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podkopaeva_dm\работа\РАЗВИТИЕ\SkyPro\портфолио\"/>
    </mc:Choice>
  </mc:AlternateContent>
  <bookViews>
    <workbookView xWindow="0" yWindow="300" windowWidth="16245" windowHeight="6765" tabRatio="869" firstSheet="1" activeTab="1"/>
  </bookViews>
  <sheets>
    <sheet name="целевые показатели" sheetId="63" state="hidden" r:id="rId1"/>
    <sheet name="Пояснение" sheetId="66" r:id="rId2"/>
    <sheet name="База КР" sheetId="50" r:id="rId3"/>
    <sheet name="КПЭ" sheetId="64" r:id="rId4"/>
    <sheet name="Отчет по сотрудникам" sheetId="67" r:id="rId5"/>
    <sheet name="защищенность (расчет)" sheetId="58" state="hidden" r:id="rId6"/>
    <sheet name="назначаемость (расчет)" sheetId="60" state="hidden" r:id="rId7"/>
    <sheet name="текучесть (расчет)" sheetId="61" state="hidden" r:id="rId8"/>
    <sheet name="Списки данных" sheetId="51" state="hidden" r:id="rId9"/>
    <sheet name="уровень защищенности" sheetId="53" state="hidden" r:id="rId10"/>
  </sheets>
  <externalReferences>
    <externalReference r:id="rId11"/>
    <externalReference r:id="rId12"/>
    <externalReference r:id="rId13"/>
  </externalReferences>
  <definedNames>
    <definedName name="_xlnm._FilterDatabase" localSheetId="2" hidden="1">'База КР'!$A$1:$AE$4469</definedName>
    <definedName name="_xlnm._FilterDatabase" localSheetId="4" hidden="1">'Отчет по сотрудникам'!$A$1:$I$5612</definedName>
    <definedName name="_xlnm._FilterDatabase" localSheetId="8" hidden="1">'Списки данных'!$C$1:$E$58</definedName>
    <definedName name="_xlnm._FilterDatabase" localSheetId="9" hidden="1">'уровень защищенности'!$B$6:$F$1093</definedName>
    <definedName name="другие" localSheetId="2">#REF!</definedName>
    <definedName name="другие">#REF!</definedName>
    <definedName name="ДССК">[1]Инструкция!$L$29:$L$38</definedName>
    <definedName name="РИСКИ">[2]Инструкция!$L$29:$L$38</definedName>
    <definedName name="Юристыиаудиторы">[3]Инструкция!$L$29:$L$38</definedName>
  </definedName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5" i="60" l="1"/>
  <c r="AK4" i="60"/>
  <c r="AK3" i="60"/>
  <c r="AK2" i="60"/>
  <c r="U3" i="60"/>
  <c r="Z2" i="50" l="1"/>
  <c r="Z3" i="50"/>
  <c r="Z4" i="50"/>
  <c r="Z5" i="50"/>
  <c r="Z6" i="50"/>
  <c r="Z7" i="50"/>
  <c r="Z8" i="50"/>
  <c r="Z9" i="50"/>
  <c r="Z10" i="50"/>
  <c r="Z11" i="50"/>
  <c r="Z12" i="50"/>
  <c r="Z13" i="50"/>
  <c r="Z14" i="50"/>
  <c r="Z15" i="50"/>
  <c r="Z16" i="50"/>
  <c r="Z17" i="50"/>
  <c r="Z18" i="50"/>
  <c r="Z19" i="50"/>
  <c r="Z20" i="50"/>
  <c r="Z21" i="50"/>
  <c r="Z22" i="50"/>
  <c r="Z23" i="50"/>
  <c r="Z24" i="50"/>
  <c r="Z25" i="50"/>
  <c r="Z26" i="50"/>
  <c r="Z27" i="50"/>
  <c r="Z28" i="50"/>
  <c r="Z29" i="50"/>
  <c r="Z30" i="50"/>
  <c r="Z31" i="50"/>
  <c r="Z32" i="50"/>
  <c r="Z33" i="50"/>
  <c r="Z34" i="50"/>
  <c r="Z35" i="50"/>
  <c r="Z36" i="50"/>
  <c r="Z37" i="50"/>
  <c r="Z38" i="50"/>
  <c r="Z39" i="50"/>
  <c r="Z40" i="50"/>
  <c r="Z41" i="50"/>
  <c r="Z42" i="50"/>
  <c r="Z43" i="50"/>
  <c r="Z44" i="50"/>
  <c r="Z45" i="50"/>
  <c r="Z46" i="50"/>
  <c r="Z47" i="50"/>
  <c r="Z48" i="50"/>
  <c r="Z49" i="50"/>
  <c r="Z50" i="50"/>
  <c r="Z51" i="50"/>
  <c r="Z52" i="50"/>
  <c r="Z53" i="50"/>
  <c r="Z54" i="50"/>
  <c r="Z55" i="50"/>
  <c r="Z56" i="50"/>
  <c r="Z57" i="50"/>
  <c r="Z58" i="50"/>
  <c r="Z59" i="50"/>
  <c r="Z60" i="50"/>
  <c r="Z61" i="50"/>
  <c r="Z62" i="50"/>
  <c r="Z63" i="50"/>
  <c r="Z64" i="50"/>
  <c r="Z65" i="50"/>
  <c r="Z66" i="50"/>
  <c r="Z67" i="50"/>
  <c r="Z68" i="50"/>
  <c r="Z69" i="50"/>
  <c r="Z70" i="50"/>
  <c r="Z71" i="50"/>
  <c r="Z72" i="50"/>
  <c r="Z73" i="50"/>
  <c r="Z74" i="50"/>
  <c r="Z75" i="50"/>
  <c r="Z76" i="50"/>
  <c r="Z77" i="50"/>
  <c r="Z78" i="50"/>
  <c r="Z79" i="50"/>
  <c r="Z80" i="50"/>
  <c r="Z81" i="50"/>
  <c r="Z82" i="50"/>
  <c r="Z83" i="50"/>
  <c r="Z84" i="50"/>
  <c r="Z85" i="50"/>
  <c r="Z86" i="50"/>
  <c r="Z87" i="50"/>
  <c r="Z88" i="50"/>
  <c r="Z89" i="50"/>
  <c r="Z90" i="50"/>
  <c r="Z91" i="50"/>
  <c r="Z92" i="50"/>
  <c r="Z93" i="50"/>
  <c r="Z94" i="50"/>
  <c r="Z95" i="50"/>
  <c r="Z96" i="50"/>
  <c r="Z97" i="50"/>
  <c r="Z98" i="50"/>
  <c r="Z99" i="50"/>
  <c r="Z100" i="50"/>
  <c r="Z101" i="50"/>
  <c r="Z102" i="50"/>
  <c r="Z103" i="50"/>
  <c r="Z104" i="50"/>
  <c r="Z105" i="50"/>
  <c r="Z106" i="50"/>
  <c r="Z107" i="50"/>
  <c r="Z108" i="50"/>
  <c r="Z109" i="50"/>
  <c r="Z110" i="50"/>
  <c r="Z111" i="50"/>
  <c r="Z112" i="50"/>
  <c r="Z113" i="50"/>
  <c r="Z114" i="50"/>
  <c r="Z115" i="50"/>
  <c r="Z116" i="50"/>
  <c r="Z117" i="50"/>
  <c r="Z118" i="50"/>
  <c r="Z119" i="50"/>
  <c r="Z120" i="50"/>
  <c r="Z121" i="50"/>
  <c r="Z122" i="50"/>
  <c r="Z123" i="50"/>
  <c r="Z124" i="50"/>
  <c r="Z125" i="50"/>
  <c r="Z126" i="50"/>
  <c r="Z127" i="50"/>
  <c r="Z128" i="50"/>
  <c r="Z129" i="50"/>
  <c r="Z130" i="50"/>
  <c r="Z131" i="50"/>
  <c r="Z132" i="50"/>
  <c r="Z133" i="50"/>
  <c r="Z134" i="50"/>
  <c r="Z135" i="50"/>
  <c r="Z136" i="50"/>
  <c r="Z137" i="50"/>
  <c r="Z138" i="50"/>
  <c r="Z139" i="50"/>
  <c r="Z140" i="50"/>
  <c r="Z141" i="50"/>
  <c r="Z142" i="50"/>
  <c r="Z143" i="50"/>
  <c r="Z144" i="50"/>
  <c r="Z145" i="50"/>
  <c r="Z146" i="50"/>
  <c r="Z147" i="50"/>
  <c r="Z148" i="50"/>
  <c r="Z149" i="50"/>
  <c r="Z150" i="50"/>
  <c r="Z151" i="50"/>
  <c r="Z152" i="50"/>
  <c r="Z153" i="50"/>
  <c r="Z154" i="50"/>
  <c r="Z155" i="50"/>
  <c r="Z156" i="50"/>
  <c r="Z157" i="50"/>
  <c r="Z158" i="50"/>
  <c r="Z159" i="50"/>
  <c r="Z160" i="50"/>
  <c r="Z161" i="50"/>
  <c r="Z162" i="50"/>
  <c r="Z163" i="50"/>
  <c r="Z164" i="50"/>
  <c r="Z165" i="50"/>
  <c r="Z166" i="50"/>
  <c r="Z167" i="50"/>
  <c r="Z168" i="50"/>
  <c r="Z169" i="50"/>
  <c r="Z170" i="50"/>
  <c r="Z171" i="50"/>
  <c r="Z172" i="50"/>
  <c r="Z173" i="50"/>
  <c r="Z174" i="50"/>
  <c r="Z175" i="50"/>
  <c r="Z176" i="50"/>
  <c r="Z177" i="50"/>
  <c r="Z178" i="50"/>
  <c r="Z179" i="50"/>
  <c r="Z180" i="50"/>
  <c r="Z181" i="50"/>
  <c r="Z182" i="50"/>
  <c r="Z183" i="50"/>
  <c r="Z184" i="50"/>
  <c r="Z185" i="50"/>
  <c r="Z186" i="50"/>
  <c r="Z187" i="50"/>
  <c r="Z188" i="50"/>
  <c r="Z189" i="50"/>
  <c r="Z190" i="50"/>
  <c r="Z191" i="50"/>
  <c r="Z192" i="50"/>
  <c r="Z193" i="50"/>
  <c r="Z194" i="50"/>
  <c r="Z195" i="50"/>
  <c r="Z196" i="50"/>
  <c r="Z197" i="50"/>
  <c r="Z198" i="50"/>
  <c r="Z199" i="50"/>
  <c r="Z200" i="50"/>
  <c r="Z201" i="50"/>
  <c r="Z202" i="50"/>
  <c r="Z203" i="50"/>
  <c r="Z204" i="50"/>
  <c r="Z205" i="50"/>
  <c r="Z206" i="50"/>
  <c r="Z207" i="50"/>
  <c r="Z208" i="50"/>
  <c r="Z209" i="50"/>
  <c r="Z210" i="50"/>
  <c r="Z211" i="50"/>
  <c r="Z212" i="50"/>
  <c r="Z213" i="50"/>
  <c r="Z214" i="50"/>
  <c r="Z215" i="50"/>
  <c r="Z216" i="50"/>
  <c r="Z217" i="50"/>
  <c r="Z218" i="50"/>
  <c r="Z219" i="50"/>
  <c r="Z220" i="50"/>
  <c r="Z221" i="50"/>
  <c r="Z222" i="50"/>
  <c r="Z223" i="50"/>
  <c r="Z224" i="50"/>
  <c r="Z225" i="50"/>
  <c r="Z226" i="50"/>
  <c r="Z227" i="50"/>
  <c r="Z228" i="50"/>
  <c r="Z229" i="50"/>
  <c r="Z230" i="50"/>
  <c r="Z231" i="50"/>
  <c r="Z232" i="50"/>
  <c r="Z233" i="50"/>
  <c r="Z234" i="50"/>
  <c r="Z235" i="50"/>
  <c r="Z236" i="50"/>
  <c r="Z237" i="50"/>
  <c r="Z238" i="50"/>
  <c r="Z239" i="50"/>
  <c r="Z240" i="50"/>
  <c r="Z241" i="50"/>
  <c r="Z242" i="50"/>
  <c r="Z243" i="50"/>
  <c r="Z244" i="50"/>
  <c r="Z245" i="50"/>
  <c r="Z246" i="50"/>
  <c r="Z247" i="50"/>
  <c r="Z248" i="50"/>
  <c r="Z249" i="50"/>
  <c r="Z250" i="50"/>
  <c r="Z251" i="50"/>
  <c r="Z252" i="50"/>
  <c r="Z253" i="50"/>
  <c r="Z254" i="50"/>
  <c r="Z255" i="50"/>
  <c r="Z256" i="50"/>
  <c r="Z257" i="50"/>
  <c r="Z258" i="50"/>
  <c r="Z259" i="50"/>
  <c r="Z260" i="50"/>
  <c r="Z261" i="50"/>
  <c r="Z262" i="50"/>
  <c r="Z263" i="50"/>
  <c r="Z264" i="50"/>
  <c r="Z265" i="50"/>
  <c r="Z266" i="50"/>
  <c r="Z267" i="50"/>
  <c r="Z268" i="50"/>
  <c r="Z269" i="50"/>
  <c r="Z270" i="50"/>
  <c r="Z271" i="50"/>
  <c r="Z272" i="50"/>
  <c r="Z273" i="50"/>
  <c r="Z274" i="50"/>
  <c r="Z275" i="50"/>
  <c r="Z276" i="50"/>
  <c r="Z277" i="50"/>
  <c r="Z278" i="50"/>
  <c r="Z279" i="50"/>
  <c r="Z280" i="50"/>
  <c r="Z281" i="50"/>
  <c r="Z282" i="50"/>
  <c r="Z283" i="50"/>
  <c r="Z284" i="50"/>
  <c r="Z285" i="50"/>
  <c r="Z286" i="50"/>
  <c r="Z287" i="50"/>
  <c r="Z288" i="50"/>
  <c r="Z289" i="50"/>
  <c r="Z290" i="50"/>
  <c r="Z291" i="50"/>
  <c r="Z292" i="50"/>
  <c r="Z293" i="50"/>
  <c r="Z294" i="50"/>
  <c r="Z295" i="50"/>
  <c r="Z296" i="50"/>
  <c r="Z297" i="50"/>
  <c r="Z298" i="50"/>
  <c r="Z299" i="50"/>
  <c r="Z300" i="50"/>
  <c r="Z301" i="50"/>
  <c r="Z302" i="50"/>
  <c r="Z303" i="50"/>
  <c r="Z304" i="50"/>
  <c r="Z305" i="50"/>
  <c r="Z306" i="50"/>
  <c r="Z307" i="50"/>
  <c r="Z308" i="50"/>
  <c r="Z309" i="50"/>
  <c r="Z310" i="50"/>
  <c r="Z311" i="50"/>
  <c r="Z312" i="50"/>
  <c r="Z313" i="50"/>
  <c r="Z314" i="50"/>
  <c r="Z315" i="50"/>
  <c r="Z316" i="50"/>
  <c r="Z317" i="50"/>
  <c r="Z318" i="50"/>
  <c r="Z319" i="50"/>
  <c r="Z320" i="50"/>
  <c r="Z321" i="50"/>
  <c r="Z322" i="50"/>
  <c r="Z323" i="50"/>
  <c r="Z324" i="50"/>
  <c r="Z325" i="50"/>
  <c r="Z326" i="50"/>
  <c r="Z327" i="50"/>
  <c r="Z328" i="50"/>
  <c r="Z329" i="50"/>
  <c r="Z330" i="50"/>
  <c r="Z331" i="50"/>
  <c r="Z332" i="50"/>
  <c r="Z333" i="50"/>
  <c r="Z334" i="50"/>
  <c r="Z335" i="50"/>
  <c r="Z336" i="50"/>
  <c r="Z337" i="50"/>
  <c r="Z338" i="50"/>
  <c r="Z339" i="50"/>
  <c r="Z340" i="50"/>
  <c r="Z341" i="50"/>
  <c r="Z342" i="50"/>
  <c r="Z343" i="50"/>
  <c r="Z344" i="50"/>
  <c r="Z345" i="50"/>
  <c r="Z346" i="50"/>
  <c r="Z347" i="50"/>
  <c r="Z348" i="50"/>
  <c r="Z349" i="50"/>
  <c r="Z350" i="50"/>
  <c r="Z351" i="50"/>
  <c r="Z352" i="50"/>
  <c r="Z353" i="50"/>
  <c r="Z354" i="50"/>
  <c r="Z355" i="50"/>
  <c r="Z356" i="50"/>
  <c r="Z357" i="50"/>
  <c r="Z358" i="50"/>
  <c r="Z359" i="50"/>
  <c r="Z360" i="50"/>
  <c r="Z361" i="50"/>
  <c r="Z362" i="50"/>
  <c r="Z363" i="50"/>
  <c r="Z364" i="50"/>
  <c r="Z365" i="50"/>
  <c r="Z366" i="50"/>
  <c r="Z367" i="50"/>
  <c r="Z368" i="50"/>
  <c r="Z369" i="50"/>
  <c r="Z370" i="50"/>
  <c r="Z371" i="50"/>
  <c r="Z372" i="50"/>
  <c r="Z373" i="50"/>
  <c r="Z374" i="50"/>
  <c r="Z375" i="50"/>
  <c r="Z376" i="50"/>
  <c r="Z377" i="50"/>
  <c r="Z378" i="50"/>
  <c r="Z379" i="50"/>
  <c r="Z380" i="50"/>
  <c r="Z381" i="50"/>
  <c r="Z382" i="50"/>
  <c r="Z383" i="50"/>
  <c r="Z384" i="50"/>
  <c r="Z385" i="50"/>
  <c r="Z386" i="50"/>
  <c r="Z387" i="50"/>
  <c r="Z388" i="50"/>
  <c r="Z389" i="50"/>
  <c r="Z390" i="50"/>
  <c r="Z391" i="50"/>
  <c r="Z392" i="50"/>
  <c r="Z393" i="50"/>
  <c r="Z394" i="50"/>
  <c r="Z395" i="50"/>
  <c r="Z396" i="50"/>
  <c r="Z397" i="50"/>
  <c r="Z398" i="50"/>
  <c r="Z399" i="50"/>
  <c r="Z400" i="50"/>
  <c r="Z401" i="50"/>
  <c r="Z402" i="50"/>
  <c r="Z403" i="50"/>
  <c r="Z404" i="50"/>
  <c r="Z405" i="50"/>
  <c r="Z406" i="50"/>
  <c r="Z407" i="50"/>
  <c r="Z408" i="50"/>
  <c r="Z409" i="50"/>
  <c r="Z410" i="50"/>
  <c r="Z411" i="50"/>
  <c r="Z412" i="50"/>
  <c r="Z413" i="50"/>
  <c r="Z414" i="50"/>
  <c r="Z415" i="50"/>
  <c r="Z416" i="50"/>
  <c r="Z417" i="50"/>
  <c r="Z418" i="50"/>
  <c r="Z419" i="50"/>
  <c r="Z420" i="50"/>
  <c r="Z421" i="50"/>
  <c r="Z422" i="50"/>
  <c r="Z423" i="50"/>
  <c r="Z424" i="50"/>
  <c r="Z425" i="50"/>
  <c r="Z426" i="50"/>
  <c r="Z427" i="50"/>
  <c r="Z428" i="50"/>
  <c r="Z429" i="50"/>
  <c r="Z430" i="50"/>
  <c r="Z431" i="50"/>
  <c r="Z432" i="50"/>
  <c r="Z433" i="50"/>
  <c r="Z434" i="50"/>
  <c r="Z435" i="50"/>
  <c r="Z436" i="50"/>
  <c r="Z437" i="50"/>
  <c r="Z438" i="50"/>
  <c r="Z439" i="50"/>
  <c r="Z440" i="50"/>
  <c r="Z441" i="50"/>
  <c r="Z442" i="50"/>
  <c r="Z443" i="50"/>
  <c r="Z444" i="50"/>
  <c r="Z445" i="50"/>
  <c r="Z446" i="50"/>
  <c r="Z447" i="50"/>
  <c r="Z448" i="50"/>
  <c r="Z449" i="50"/>
  <c r="Z450" i="50"/>
  <c r="Z451" i="50"/>
  <c r="Z452" i="50"/>
  <c r="Z453" i="50"/>
  <c r="Z454" i="50"/>
  <c r="Z455" i="50"/>
  <c r="Z456" i="50"/>
  <c r="Z457" i="50"/>
  <c r="Z458" i="50"/>
  <c r="Z459" i="50"/>
  <c r="Z460" i="50"/>
  <c r="Z461" i="50"/>
  <c r="Z462" i="50"/>
  <c r="Z463" i="50"/>
  <c r="Z464" i="50"/>
  <c r="Z465" i="50"/>
  <c r="Z466" i="50"/>
  <c r="Z467" i="50"/>
  <c r="Z468" i="50"/>
  <c r="Z469" i="50"/>
  <c r="Z470" i="50"/>
  <c r="Z471" i="50"/>
  <c r="Z472" i="50"/>
  <c r="Z473" i="50"/>
  <c r="Z474" i="50"/>
  <c r="Z475" i="50"/>
  <c r="Z476" i="50"/>
  <c r="Z477" i="50"/>
  <c r="Z478" i="50"/>
  <c r="Z479" i="50"/>
  <c r="Z480" i="50"/>
  <c r="Z481" i="50"/>
  <c r="Z482" i="50"/>
  <c r="Z483" i="50"/>
  <c r="Z484" i="50"/>
  <c r="Z485" i="50"/>
  <c r="Z486" i="50"/>
  <c r="Z487" i="50"/>
  <c r="Z488" i="50"/>
  <c r="Z489" i="50"/>
  <c r="Z490" i="50"/>
  <c r="Z491" i="50"/>
  <c r="Z492" i="50"/>
  <c r="Z493" i="50"/>
  <c r="Z494" i="50"/>
  <c r="Z495" i="50"/>
  <c r="Z496" i="50"/>
  <c r="Z497" i="50"/>
  <c r="Z498" i="50"/>
  <c r="Z499" i="50"/>
  <c r="Z500" i="50"/>
  <c r="Z501" i="50"/>
  <c r="Z502" i="50"/>
  <c r="Z503" i="50"/>
  <c r="Z504" i="50"/>
  <c r="Z505" i="50"/>
  <c r="Z506" i="50"/>
  <c r="Z507" i="50"/>
  <c r="Z508" i="50"/>
  <c r="Z509" i="50"/>
  <c r="Z510" i="50"/>
  <c r="Z511" i="50"/>
  <c r="Z512" i="50"/>
  <c r="Z513" i="50"/>
  <c r="Z514" i="50"/>
  <c r="Z515" i="50"/>
  <c r="Z516" i="50"/>
  <c r="Z517" i="50"/>
  <c r="Z518" i="50"/>
  <c r="Z519" i="50"/>
  <c r="Z520" i="50"/>
  <c r="Z521" i="50"/>
  <c r="Z522" i="50"/>
  <c r="Z523" i="50"/>
  <c r="Z524" i="50"/>
  <c r="Z525" i="50"/>
  <c r="Z526" i="50"/>
  <c r="Z527" i="50"/>
  <c r="Z528" i="50"/>
  <c r="Z529" i="50"/>
  <c r="Z530" i="50"/>
  <c r="Z531" i="50"/>
  <c r="Z532" i="50"/>
  <c r="Z533" i="50"/>
  <c r="Z534" i="50"/>
  <c r="Z535" i="50"/>
  <c r="Z536" i="50"/>
  <c r="Z537" i="50"/>
  <c r="Z538" i="50"/>
  <c r="Z539" i="50"/>
  <c r="Z540" i="50"/>
  <c r="Z541" i="50"/>
  <c r="Z542" i="50"/>
  <c r="Z543" i="50"/>
  <c r="Z544" i="50"/>
  <c r="Z545" i="50"/>
  <c r="Z546" i="50"/>
  <c r="Z547" i="50"/>
  <c r="Z548" i="50"/>
  <c r="Z549" i="50"/>
  <c r="Z550" i="50"/>
  <c r="Z551" i="50"/>
  <c r="Z552" i="50"/>
  <c r="Z553" i="50"/>
  <c r="Z554" i="50"/>
  <c r="Z555" i="50"/>
  <c r="Z556" i="50"/>
  <c r="Z557" i="50"/>
  <c r="Z558" i="50"/>
  <c r="Z559" i="50"/>
  <c r="Z560" i="50"/>
  <c r="Z561" i="50"/>
  <c r="Z562" i="50"/>
  <c r="Z563" i="50"/>
  <c r="Z564" i="50"/>
  <c r="Z565" i="50"/>
  <c r="Z566" i="50"/>
  <c r="Z567" i="50"/>
  <c r="Z568" i="50"/>
  <c r="Z569" i="50"/>
  <c r="Z570" i="50"/>
  <c r="Z571" i="50"/>
  <c r="Z572" i="50"/>
  <c r="Z573" i="50"/>
  <c r="Z574" i="50"/>
  <c r="Z575" i="50"/>
  <c r="Z576" i="50"/>
  <c r="Z577" i="50"/>
  <c r="Z578" i="50"/>
  <c r="Z579" i="50"/>
  <c r="Z580" i="50"/>
  <c r="Z581" i="50"/>
  <c r="Z582" i="50"/>
  <c r="Z583" i="50"/>
  <c r="Z584" i="50"/>
  <c r="Z585" i="50"/>
  <c r="Z586" i="50"/>
  <c r="Z587" i="50"/>
  <c r="Z588" i="50"/>
  <c r="Z589" i="50"/>
  <c r="Z590" i="50"/>
  <c r="Z591" i="50"/>
  <c r="Z592" i="50"/>
  <c r="Z593" i="50"/>
  <c r="Z594" i="50"/>
  <c r="Z595" i="50"/>
  <c r="Z596" i="50"/>
  <c r="Z597" i="50"/>
  <c r="Z598" i="50"/>
  <c r="Z599" i="50"/>
  <c r="Z600" i="50"/>
  <c r="Z601" i="50"/>
  <c r="Z602" i="50"/>
  <c r="Z603" i="50"/>
  <c r="Z604" i="50"/>
  <c r="Z605" i="50"/>
  <c r="Z606" i="50"/>
  <c r="Z607" i="50"/>
  <c r="Z608" i="50"/>
  <c r="Z609" i="50"/>
  <c r="Z610" i="50"/>
  <c r="Z611" i="50"/>
  <c r="Z612" i="50"/>
  <c r="Z613" i="50"/>
  <c r="Z614" i="50"/>
  <c r="Z615" i="50"/>
  <c r="Z616" i="50"/>
  <c r="Z617" i="50"/>
  <c r="Z618" i="50"/>
  <c r="Z619" i="50"/>
  <c r="Z620" i="50"/>
  <c r="Z621" i="50"/>
  <c r="Z622" i="50"/>
  <c r="Z623" i="50"/>
  <c r="Z624" i="50"/>
  <c r="Z625" i="50"/>
  <c r="Z626" i="50"/>
  <c r="Z627" i="50"/>
  <c r="Z628" i="50"/>
  <c r="Z629" i="50"/>
  <c r="Z630" i="50"/>
  <c r="Z631" i="50"/>
  <c r="Z632" i="50"/>
  <c r="Z633" i="50"/>
  <c r="Z634" i="50"/>
  <c r="Z635" i="50"/>
  <c r="Z636" i="50"/>
  <c r="Z637" i="50"/>
  <c r="Z638" i="50"/>
  <c r="Z639" i="50"/>
  <c r="Z640" i="50"/>
  <c r="Z641" i="50"/>
  <c r="Z642" i="50"/>
  <c r="Z643" i="50"/>
  <c r="Z644" i="50"/>
  <c r="Z645" i="50"/>
  <c r="Z646" i="50"/>
  <c r="Z647" i="50"/>
  <c r="Z648" i="50"/>
  <c r="Z649" i="50"/>
  <c r="Z650" i="50"/>
  <c r="Z651" i="50"/>
  <c r="Z652" i="50"/>
  <c r="Z653" i="50"/>
  <c r="Z654" i="50"/>
  <c r="Z655" i="50"/>
  <c r="Z656" i="50"/>
  <c r="Z657" i="50"/>
  <c r="Z658" i="50"/>
  <c r="Z659" i="50"/>
  <c r="Z660" i="50"/>
  <c r="Z661" i="50"/>
  <c r="Z662" i="50"/>
  <c r="Z663" i="50"/>
  <c r="Z664" i="50"/>
  <c r="Z665" i="50"/>
  <c r="Z666" i="50"/>
  <c r="Z667" i="50"/>
  <c r="Z668" i="50"/>
  <c r="Z669" i="50"/>
  <c r="Z670" i="50"/>
  <c r="Z671" i="50"/>
  <c r="Z672" i="50"/>
  <c r="Z673" i="50"/>
  <c r="Z674" i="50"/>
  <c r="Z675" i="50"/>
  <c r="Z676" i="50"/>
  <c r="Z677" i="50"/>
  <c r="Z678" i="50"/>
  <c r="Z679" i="50"/>
  <c r="Z680" i="50"/>
  <c r="Z681" i="50"/>
  <c r="Z682" i="50"/>
  <c r="Z683" i="50"/>
  <c r="Z684" i="50"/>
  <c r="Z685" i="50"/>
  <c r="Z686" i="50"/>
  <c r="Z687" i="50"/>
  <c r="Z688" i="50"/>
  <c r="Z689" i="50"/>
  <c r="Z690" i="50"/>
  <c r="Z691" i="50"/>
  <c r="Z692" i="50"/>
  <c r="Z693" i="50"/>
  <c r="Z694" i="50"/>
  <c r="Z695" i="50"/>
  <c r="Z696" i="50"/>
  <c r="Z697" i="50"/>
  <c r="Z698" i="50"/>
  <c r="Z699" i="50"/>
  <c r="Z700" i="50"/>
  <c r="Z701" i="50"/>
  <c r="Z702" i="50"/>
  <c r="Z703" i="50"/>
  <c r="Z704" i="50"/>
  <c r="Z705" i="50"/>
  <c r="Z706" i="50"/>
  <c r="Z707" i="50"/>
  <c r="Z708" i="50"/>
  <c r="Z709" i="50"/>
  <c r="Z710" i="50"/>
  <c r="Z711" i="50"/>
  <c r="Z712" i="50"/>
  <c r="Z713" i="50"/>
  <c r="Z714" i="50"/>
  <c r="Z715" i="50"/>
  <c r="Z716" i="50"/>
  <c r="Z717" i="50"/>
  <c r="Z718" i="50"/>
  <c r="Z719" i="50"/>
  <c r="Z720" i="50"/>
  <c r="Z721" i="50"/>
  <c r="Z722" i="50"/>
  <c r="Z723" i="50"/>
  <c r="Z724" i="50"/>
  <c r="Z725" i="50"/>
  <c r="Z726" i="50"/>
  <c r="Z727" i="50"/>
  <c r="Z728" i="50"/>
  <c r="Z729" i="50"/>
  <c r="Z730" i="50"/>
  <c r="Z731" i="50"/>
  <c r="Z732" i="50"/>
  <c r="Z733" i="50"/>
  <c r="Z734" i="50"/>
  <c r="Z735" i="50"/>
  <c r="Z736" i="50"/>
  <c r="Z737" i="50"/>
  <c r="Z738" i="50"/>
  <c r="Z739" i="50"/>
  <c r="Z740" i="50"/>
  <c r="Z741" i="50"/>
  <c r="Z742" i="50"/>
  <c r="Z743" i="50"/>
  <c r="Z744" i="50"/>
  <c r="Z745" i="50"/>
  <c r="Z746" i="50"/>
  <c r="Z747" i="50"/>
  <c r="Z748" i="50"/>
  <c r="Z749" i="50"/>
  <c r="Z750" i="50"/>
  <c r="Z751" i="50"/>
  <c r="Z752" i="50"/>
  <c r="Z753" i="50"/>
  <c r="Z754" i="50"/>
  <c r="Z755" i="50"/>
  <c r="Z756" i="50"/>
  <c r="Z757" i="50"/>
  <c r="Z758" i="50"/>
  <c r="Z759" i="50"/>
  <c r="Z760" i="50"/>
  <c r="Z761" i="50"/>
  <c r="Z762" i="50"/>
  <c r="Z763" i="50"/>
  <c r="Z764" i="50"/>
  <c r="Z765" i="50"/>
  <c r="Z766" i="50"/>
  <c r="Z767" i="50"/>
  <c r="Z768" i="50"/>
  <c r="Z769" i="50"/>
  <c r="Z770" i="50"/>
  <c r="Z771" i="50"/>
  <c r="Z772" i="50"/>
  <c r="Z773" i="50"/>
  <c r="Z774" i="50"/>
  <c r="Z775" i="50"/>
  <c r="Z776" i="50"/>
  <c r="Z777" i="50"/>
  <c r="Z778" i="50"/>
  <c r="Z779" i="50"/>
  <c r="Z780" i="50"/>
  <c r="Z781" i="50"/>
  <c r="Z782" i="50"/>
  <c r="Z783" i="50"/>
  <c r="Z784" i="50"/>
  <c r="Z785" i="50"/>
  <c r="Z786" i="50"/>
  <c r="Z787" i="50"/>
  <c r="Z788" i="50"/>
  <c r="Z789" i="50"/>
  <c r="Z790" i="50"/>
  <c r="Z791" i="50"/>
  <c r="Z792" i="50"/>
  <c r="Z793" i="50"/>
  <c r="Z794" i="50"/>
  <c r="Z795" i="50"/>
  <c r="Z796" i="50"/>
  <c r="Z797" i="50"/>
  <c r="Z798" i="50"/>
  <c r="Z799" i="50"/>
  <c r="Z800" i="50"/>
  <c r="Z801" i="50"/>
  <c r="Z802" i="50"/>
  <c r="Z803" i="50"/>
  <c r="Z804" i="50"/>
  <c r="Z805" i="50"/>
  <c r="Z806" i="50"/>
  <c r="Z807" i="50"/>
  <c r="Z808" i="50"/>
  <c r="Z809" i="50"/>
  <c r="Z810" i="50"/>
  <c r="Z811" i="50"/>
  <c r="Z812" i="50"/>
  <c r="Z813" i="50"/>
  <c r="Z814" i="50"/>
  <c r="Z815" i="50"/>
  <c r="Z816" i="50"/>
  <c r="Z817" i="50"/>
  <c r="Z818" i="50"/>
  <c r="Z819" i="50"/>
  <c r="Z820" i="50"/>
  <c r="Z821" i="50"/>
  <c r="Z822" i="50"/>
  <c r="Z823" i="50"/>
  <c r="Z824" i="50"/>
  <c r="Z825" i="50"/>
  <c r="Z826" i="50"/>
  <c r="Z827" i="50"/>
  <c r="Z828" i="50"/>
  <c r="Z829" i="50"/>
  <c r="Z830" i="50"/>
  <c r="Z831" i="50"/>
  <c r="Z832" i="50"/>
  <c r="Z833" i="50"/>
  <c r="Z834" i="50"/>
  <c r="Z835" i="50"/>
  <c r="Z836" i="50"/>
  <c r="Z837" i="50"/>
  <c r="Z838" i="50"/>
  <c r="Z839" i="50"/>
  <c r="Z840" i="50"/>
  <c r="Z841" i="50"/>
  <c r="Z842" i="50"/>
  <c r="Z843" i="50"/>
  <c r="Z844" i="50"/>
  <c r="Z845" i="50"/>
  <c r="Z846" i="50"/>
  <c r="Z847" i="50"/>
  <c r="Z848" i="50"/>
  <c r="Z849" i="50"/>
  <c r="Z850" i="50"/>
  <c r="Z851" i="50"/>
  <c r="Z852" i="50"/>
  <c r="Z853" i="50"/>
  <c r="Z854" i="50"/>
  <c r="Z855" i="50"/>
  <c r="Z856" i="50"/>
  <c r="Z857" i="50"/>
  <c r="Z858" i="50"/>
  <c r="Z859" i="50"/>
  <c r="Z860" i="50"/>
  <c r="Z861" i="50"/>
  <c r="Z862" i="50"/>
  <c r="Z863" i="50"/>
  <c r="Z864" i="50"/>
  <c r="Z865" i="50"/>
  <c r="Z866" i="50"/>
  <c r="Z867" i="50"/>
  <c r="Z868" i="50"/>
  <c r="Z869" i="50"/>
  <c r="Z870" i="50"/>
  <c r="Z871" i="50"/>
  <c r="Z872" i="50"/>
  <c r="Z873" i="50"/>
  <c r="Z874" i="50"/>
  <c r="Z875" i="50"/>
  <c r="Z876" i="50"/>
  <c r="Z877" i="50"/>
  <c r="Z878" i="50"/>
  <c r="Z879" i="50"/>
  <c r="Z880" i="50"/>
  <c r="Z881" i="50"/>
  <c r="Z882" i="50"/>
  <c r="Z883" i="50"/>
  <c r="Z884" i="50"/>
  <c r="Z885" i="50"/>
  <c r="Z886" i="50"/>
  <c r="Z887" i="50"/>
  <c r="Z888" i="50"/>
  <c r="Z889" i="50"/>
  <c r="Z890" i="50"/>
  <c r="Z891" i="50"/>
  <c r="Z892" i="50"/>
  <c r="Z893" i="50"/>
  <c r="Z894" i="50"/>
  <c r="Z895" i="50"/>
  <c r="Z896" i="50"/>
  <c r="Z897" i="50"/>
  <c r="Z898" i="50"/>
  <c r="Z899" i="50"/>
  <c r="Z900" i="50"/>
  <c r="Z901" i="50"/>
  <c r="Z902" i="50"/>
  <c r="Z903" i="50"/>
  <c r="Z904" i="50"/>
  <c r="Z905" i="50"/>
  <c r="Z906" i="50"/>
  <c r="Z907" i="50"/>
  <c r="Z908" i="50"/>
  <c r="Z909" i="50"/>
  <c r="Z910" i="50"/>
  <c r="Z911" i="50"/>
  <c r="Z912" i="50"/>
  <c r="Z913" i="50"/>
  <c r="Z914" i="50"/>
  <c r="Z915" i="50"/>
  <c r="Z916" i="50"/>
  <c r="Z917" i="50"/>
  <c r="Z918" i="50"/>
  <c r="Z919" i="50"/>
  <c r="Z920" i="50"/>
  <c r="Z921" i="50"/>
  <c r="Z922" i="50"/>
  <c r="Z923" i="50"/>
  <c r="Z924" i="50"/>
  <c r="Z925" i="50"/>
  <c r="Z926" i="50"/>
  <c r="Z927" i="50"/>
  <c r="Z928" i="50"/>
  <c r="Z929" i="50"/>
  <c r="Z930" i="50"/>
  <c r="Z931" i="50"/>
  <c r="Z932" i="50"/>
  <c r="Z933" i="50"/>
  <c r="Z934" i="50"/>
  <c r="Z935" i="50"/>
  <c r="Z936" i="50"/>
  <c r="Z937" i="50"/>
  <c r="Z938" i="50"/>
  <c r="Z939" i="50"/>
  <c r="Z940" i="50"/>
  <c r="Z941" i="50"/>
  <c r="Z942" i="50"/>
  <c r="Z943" i="50"/>
  <c r="Z944" i="50"/>
  <c r="Z945" i="50"/>
  <c r="Z946" i="50"/>
  <c r="Z947" i="50"/>
  <c r="Z948" i="50"/>
  <c r="Z949" i="50"/>
  <c r="Z950" i="50"/>
  <c r="Z951" i="50"/>
  <c r="Z952" i="50"/>
  <c r="Z953" i="50"/>
  <c r="Z954" i="50"/>
  <c r="Z955" i="50"/>
  <c r="Z956" i="50"/>
  <c r="Z957" i="50"/>
  <c r="Z958" i="50"/>
  <c r="Z959" i="50"/>
  <c r="Z960" i="50"/>
  <c r="Z961" i="50"/>
  <c r="Z962" i="50"/>
  <c r="Z963" i="50"/>
  <c r="Z964" i="50"/>
  <c r="Z965" i="50"/>
  <c r="Z966" i="50"/>
  <c r="Z967" i="50"/>
  <c r="Z968" i="50"/>
  <c r="Z969" i="50"/>
  <c r="Z970" i="50"/>
  <c r="Z971" i="50"/>
  <c r="Z972" i="50"/>
  <c r="Z973" i="50"/>
  <c r="Z974" i="50"/>
  <c r="Z975" i="50"/>
  <c r="Z976" i="50"/>
  <c r="Z977" i="50"/>
  <c r="Z978" i="50"/>
  <c r="Z979" i="50"/>
  <c r="Z980" i="50"/>
  <c r="Z981" i="50"/>
  <c r="Z982" i="50"/>
  <c r="Z983" i="50"/>
  <c r="Z984" i="50"/>
  <c r="Z985" i="50"/>
  <c r="Z986" i="50"/>
  <c r="Z987" i="50"/>
  <c r="Z988" i="50"/>
  <c r="Z989" i="50"/>
  <c r="Z990" i="50"/>
  <c r="Z991" i="50"/>
  <c r="Z992" i="50"/>
  <c r="Z993" i="50"/>
  <c r="Z994" i="50"/>
  <c r="Z995" i="50"/>
  <c r="Z996" i="50"/>
  <c r="Z997" i="50"/>
  <c r="Z998" i="50"/>
  <c r="Z999" i="50"/>
  <c r="Z1000" i="50"/>
  <c r="Z1001" i="50"/>
  <c r="Z1002" i="50"/>
  <c r="Z1003" i="50"/>
  <c r="Z1004" i="50"/>
  <c r="Z1005" i="50"/>
  <c r="Z1006" i="50"/>
  <c r="Z1007" i="50"/>
  <c r="Z1008" i="50"/>
  <c r="Z1009" i="50"/>
  <c r="Z1010" i="50"/>
  <c r="Z1011" i="50"/>
  <c r="Z1012" i="50"/>
  <c r="Z1013" i="50"/>
  <c r="Z1014" i="50"/>
  <c r="Z1015" i="50"/>
  <c r="Z1016" i="50"/>
  <c r="Z1017" i="50"/>
  <c r="Z1018" i="50"/>
  <c r="Z1019" i="50"/>
  <c r="Z1020" i="50"/>
  <c r="Z1021" i="50"/>
  <c r="Z1022" i="50"/>
  <c r="Z1023" i="50"/>
  <c r="Z1024" i="50"/>
  <c r="Z1025" i="50"/>
  <c r="Z1026" i="50"/>
  <c r="Z1027" i="50"/>
  <c r="Z1028" i="50"/>
  <c r="Z1029" i="50"/>
  <c r="Z1030" i="50"/>
  <c r="Z1031" i="50"/>
  <c r="Z1032" i="50"/>
  <c r="Z1033" i="50"/>
  <c r="Z1034" i="50"/>
  <c r="Z1035" i="50"/>
  <c r="Z1036" i="50"/>
  <c r="Z1037" i="50"/>
  <c r="Z1038" i="50"/>
  <c r="Z1039" i="50"/>
  <c r="Z1040" i="50"/>
  <c r="Z1041" i="50"/>
  <c r="Z1042" i="50"/>
  <c r="Z1043" i="50"/>
  <c r="Z1044" i="50"/>
  <c r="Z1045" i="50"/>
  <c r="Z1046" i="50"/>
  <c r="Z1047" i="50"/>
  <c r="Z1048" i="50"/>
  <c r="Z1049" i="50"/>
  <c r="Z1050" i="50"/>
  <c r="Z1051" i="50"/>
  <c r="Z1052" i="50"/>
  <c r="Z1053" i="50"/>
  <c r="Z1054" i="50"/>
  <c r="Z1055" i="50"/>
  <c r="Z1056" i="50"/>
  <c r="Z1057" i="50"/>
  <c r="Z1058" i="50"/>
  <c r="Z1059" i="50"/>
  <c r="Z1060" i="50"/>
  <c r="Z1061" i="50"/>
  <c r="Z1062" i="50"/>
  <c r="Z1063" i="50"/>
  <c r="Z1064" i="50"/>
  <c r="Z1065" i="50"/>
  <c r="Z1066" i="50"/>
  <c r="Z1067" i="50"/>
  <c r="Z1068" i="50"/>
  <c r="Z1069" i="50"/>
  <c r="Z1070" i="50"/>
  <c r="Z1071" i="50"/>
  <c r="Z1072" i="50"/>
  <c r="Z1073" i="50"/>
  <c r="Z1074" i="50"/>
  <c r="Z1075" i="50"/>
  <c r="Z1076" i="50"/>
  <c r="Z1077" i="50"/>
  <c r="Z1078" i="50"/>
  <c r="Z1079" i="50"/>
  <c r="Z1080" i="50"/>
  <c r="Z1081" i="50"/>
  <c r="Z1082" i="50"/>
  <c r="Z1083" i="50"/>
  <c r="Z1084" i="50"/>
  <c r="Z1085" i="50"/>
  <c r="Z1086" i="50"/>
  <c r="Z1087" i="50"/>
  <c r="Z1088" i="50"/>
  <c r="Z1089" i="50"/>
  <c r="Z1090" i="50"/>
  <c r="Z1091" i="50"/>
  <c r="Z1092" i="50"/>
  <c r="Z1093" i="50"/>
  <c r="Z1094" i="50"/>
  <c r="Z1095" i="50"/>
  <c r="Z1096" i="50"/>
  <c r="Z1097" i="50"/>
  <c r="Z1098" i="50"/>
  <c r="Z1099" i="50"/>
  <c r="Z1100" i="50"/>
  <c r="Z1101" i="50"/>
  <c r="Z1102" i="50"/>
  <c r="Z1103" i="50"/>
  <c r="Z1104" i="50"/>
  <c r="Z1105" i="50"/>
  <c r="Z1106" i="50"/>
  <c r="Z1107" i="50"/>
  <c r="Z1108" i="50"/>
  <c r="Z1109" i="50"/>
  <c r="Z1110" i="50"/>
  <c r="Z1111" i="50"/>
  <c r="Z1112" i="50"/>
  <c r="Z1113" i="50"/>
  <c r="Z1114" i="50"/>
  <c r="Z1115" i="50"/>
  <c r="Z1116" i="50"/>
  <c r="Z1117" i="50"/>
  <c r="Z1118" i="50"/>
  <c r="Z1119" i="50"/>
  <c r="Z1120" i="50"/>
  <c r="Z1121" i="50"/>
  <c r="Z1122" i="50"/>
  <c r="Z1123" i="50"/>
  <c r="Z1124" i="50"/>
  <c r="Z1125" i="50"/>
  <c r="Z1126" i="50"/>
  <c r="Z1127" i="50"/>
  <c r="Z1128" i="50"/>
  <c r="Z1129" i="50"/>
  <c r="Z1130" i="50"/>
  <c r="Z1131" i="50"/>
  <c r="Z1132" i="50"/>
  <c r="Z1133" i="50"/>
  <c r="Z1134" i="50"/>
  <c r="Z1135" i="50"/>
  <c r="Z1136" i="50"/>
  <c r="Z1137" i="50"/>
  <c r="Z1138" i="50"/>
  <c r="Z1139" i="50"/>
  <c r="Z1140" i="50"/>
  <c r="Z1141" i="50"/>
  <c r="Z1142" i="50"/>
  <c r="Z1143" i="50"/>
  <c r="Z1144" i="50"/>
  <c r="Z1145" i="50"/>
  <c r="Z1146" i="50"/>
  <c r="Z1147" i="50"/>
  <c r="Z1148" i="50"/>
  <c r="Z1149" i="50"/>
  <c r="Z1150" i="50"/>
  <c r="Z1151" i="50"/>
  <c r="Z1152" i="50"/>
  <c r="Z1153" i="50"/>
  <c r="Z1154" i="50"/>
  <c r="Z1155" i="50"/>
  <c r="Z1156" i="50"/>
  <c r="Z1157" i="50"/>
  <c r="Z1158" i="50"/>
  <c r="Z1159" i="50"/>
  <c r="Z1160" i="50"/>
  <c r="Z1161" i="50"/>
  <c r="Z1162" i="50"/>
  <c r="Z1163" i="50"/>
  <c r="Z1164" i="50"/>
  <c r="Z1165" i="50"/>
  <c r="Z1166" i="50"/>
  <c r="Z1167" i="50"/>
  <c r="Z1168" i="50"/>
  <c r="Z1169" i="50"/>
  <c r="Z1170" i="50"/>
  <c r="Z1171" i="50"/>
  <c r="Z1172" i="50"/>
  <c r="Z1173" i="50"/>
  <c r="Z1174" i="50"/>
  <c r="Z1175" i="50"/>
  <c r="Z1176" i="50"/>
  <c r="Z1177" i="50"/>
  <c r="Z1178" i="50"/>
  <c r="Z1179" i="50"/>
  <c r="Z1180" i="50"/>
  <c r="Z1181" i="50"/>
  <c r="Z1182" i="50"/>
  <c r="Z1183" i="50"/>
  <c r="Z1184" i="50"/>
  <c r="Z1185" i="50"/>
  <c r="Z1186" i="50"/>
  <c r="Z1187" i="50"/>
  <c r="Z1188" i="50"/>
  <c r="Z1189" i="50"/>
  <c r="Z1190" i="50"/>
  <c r="Z1191" i="50"/>
  <c r="Z1192" i="50"/>
  <c r="Z1193" i="50"/>
  <c r="Z1194" i="50"/>
  <c r="Z1195" i="50"/>
  <c r="Z1196" i="50"/>
  <c r="Z1197" i="50"/>
  <c r="Z1198" i="50"/>
  <c r="Z1199" i="50"/>
  <c r="Z1200" i="50"/>
  <c r="Z1201" i="50"/>
  <c r="Z1202" i="50"/>
  <c r="Z1203" i="50"/>
  <c r="Z1204" i="50"/>
  <c r="Z1205" i="50"/>
  <c r="Z1206" i="50"/>
  <c r="Z1207" i="50"/>
  <c r="Z1208" i="50"/>
  <c r="Z1209" i="50"/>
  <c r="Z1210" i="50"/>
  <c r="Z1211" i="50"/>
  <c r="Z1212" i="50"/>
  <c r="Z1213" i="50"/>
  <c r="Z1214" i="50"/>
  <c r="Z1215" i="50"/>
  <c r="Z1216" i="50"/>
  <c r="Z1217" i="50"/>
  <c r="Z1218" i="50"/>
  <c r="Z1219" i="50"/>
  <c r="Z1220" i="50"/>
  <c r="Z1221" i="50"/>
  <c r="Z1222" i="50"/>
  <c r="Z1223" i="50"/>
  <c r="Z1224" i="50"/>
  <c r="Z1225" i="50"/>
  <c r="Z1226" i="50"/>
  <c r="Z1227" i="50"/>
  <c r="Z1228" i="50"/>
  <c r="Z1229" i="50"/>
  <c r="Z1230" i="50"/>
  <c r="Z1231" i="50"/>
  <c r="Z1232" i="50"/>
  <c r="Z1233" i="50"/>
  <c r="Z1234" i="50"/>
  <c r="Z1235" i="50"/>
  <c r="Z1236" i="50"/>
  <c r="Z1237" i="50"/>
  <c r="Z1238" i="50"/>
  <c r="Z1239" i="50"/>
  <c r="Z1240" i="50"/>
  <c r="Z1241" i="50"/>
  <c r="Z1242" i="50"/>
  <c r="Z1243" i="50"/>
  <c r="Z1244" i="50"/>
  <c r="Z1245" i="50"/>
  <c r="Z1246" i="50"/>
  <c r="Z1247" i="50"/>
  <c r="Z1248" i="50"/>
  <c r="Z1249" i="50"/>
  <c r="Z1250" i="50"/>
  <c r="Z1251" i="50"/>
  <c r="Z1252" i="50"/>
  <c r="Z1253" i="50"/>
  <c r="Z1254" i="50"/>
  <c r="Z1255" i="50"/>
  <c r="Z1256" i="50"/>
  <c r="Z1257" i="50"/>
  <c r="Z1258" i="50"/>
  <c r="Z1259" i="50"/>
  <c r="Z1260" i="50"/>
  <c r="Z1261" i="50"/>
  <c r="Z1262" i="50"/>
  <c r="Z1263" i="50"/>
  <c r="Z1264" i="50"/>
  <c r="Z1265" i="50"/>
  <c r="Z1266" i="50"/>
  <c r="Z1267" i="50"/>
  <c r="Z1268" i="50"/>
  <c r="Z1269" i="50"/>
  <c r="Z1270" i="50"/>
  <c r="Z1271" i="50"/>
  <c r="Z1272" i="50"/>
  <c r="Z1273" i="50"/>
  <c r="Z1274" i="50"/>
  <c r="Z1275" i="50"/>
  <c r="Z1276" i="50"/>
  <c r="Z1277" i="50"/>
  <c r="Z1278" i="50"/>
  <c r="Z1279" i="50"/>
  <c r="Z1280" i="50"/>
  <c r="Z1281" i="50"/>
  <c r="Z1282" i="50"/>
  <c r="Z1283" i="50"/>
  <c r="Z1284" i="50"/>
  <c r="Z1285" i="50"/>
  <c r="Z1286" i="50"/>
  <c r="Z1287" i="50"/>
  <c r="Z1288" i="50"/>
  <c r="Z1289" i="50"/>
  <c r="Z1290" i="50"/>
  <c r="Z1291" i="50"/>
  <c r="Z1292" i="50"/>
  <c r="Z1293" i="50"/>
  <c r="Z1294" i="50"/>
  <c r="Z1295" i="50"/>
  <c r="Z1296" i="50"/>
  <c r="Z1297" i="50"/>
  <c r="Z1298" i="50"/>
  <c r="Z1299" i="50"/>
  <c r="Z1300" i="50"/>
  <c r="Z1301" i="50"/>
  <c r="Z1302" i="50"/>
  <c r="Z1303" i="50"/>
  <c r="Z1304" i="50"/>
  <c r="Z1305" i="50"/>
  <c r="Z1306" i="50"/>
  <c r="Z1307" i="50"/>
  <c r="Z1308" i="50"/>
  <c r="Z1309" i="50"/>
  <c r="Z1310" i="50"/>
  <c r="Z1311" i="50"/>
  <c r="Z1312" i="50"/>
  <c r="Z1313" i="50"/>
  <c r="Z1314" i="50"/>
  <c r="Z1315" i="50"/>
  <c r="Z1316" i="50"/>
  <c r="Z1317" i="50"/>
  <c r="Z1318" i="50"/>
  <c r="Z1319" i="50"/>
  <c r="Z1320" i="50"/>
  <c r="Z1321" i="50"/>
  <c r="Z1322" i="50"/>
  <c r="Z1323" i="50"/>
  <c r="Z1324" i="50"/>
  <c r="Z1325" i="50"/>
  <c r="Z1326" i="50"/>
  <c r="Z1327" i="50"/>
  <c r="Z1328" i="50"/>
  <c r="Z1329" i="50"/>
  <c r="Z1330" i="50"/>
  <c r="Z1331" i="50"/>
  <c r="Z1332" i="50"/>
  <c r="Z1333" i="50"/>
  <c r="Z1334" i="50"/>
  <c r="Z1335" i="50"/>
  <c r="Z1336" i="50"/>
  <c r="Z1337" i="50"/>
  <c r="Z1338" i="50"/>
  <c r="Z1339" i="50"/>
  <c r="Z1340" i="50"/>
  <c r="Z1341" i="50"/>
  <c r="Z1342" i="50"/>
  <c r="Z1343" i="50"/>
  <c r="Z1344" i="50"/>
  <c r="Z1345" i="50"/>
  <c r="Z1346" i="50"/>
  <c r="Z1347" i="50"/>
  <c r="Z1348" i="50"/>
  <c r="Z1349" i="50"/>
  <c r="Z1350" i="50"/>
  <c r="Z1351" i="50"/>
  <c r="Z1352" i="50"/>
  <c r="Z1353" i="50"/>
  <c r="Z1354" i="50"/>
  <c r="Z1355" i="50"/>
  <c r="Z1356" i="50"/>
  <c r="Z1357" i="50"/>
  <c r="Z1358" i="50"/>
  <c r="Z1359" i="50"/>
  <c r="Z1360" i="50"/>
  <c r="Z1361" i="50"/>
  <c r="Z1362" i="50"/>
  <c r="Z1363" i="50"/>
  <c r="Z1364" i="50"/>
  <c r="Z1365" i="50"/>
  <c r="Z1366" i="50"/>
  <c r="Z1367" i="50"/>
  <c r="Z1368" i="50"/>
  <c r="Z1369" i="50"/>
  <c r="Z1370" i="50"/>
  <c r="Z1371" i="50"/>
  <c r="Z1372" i="50"/>
  <c r="Z1373" i="50"/>
  <c r="Z1374" i="50"/>
  <c r="Z1375" i="50"/>
  <c r="Z1376" i="50"/>
  <c r="Z1377" i="50"/>
  <c r="Z1378" i="50"/>
  <c r="Z1379" i="50"/>
  <c r="Z1380" i="50"/>
  <c r="Z1381" i="50"/>
  <c r="Z1382" i="50"/>
  <c r="Z1383" i="50"/>
  <c r="Z1384" i="50"/>
  <c r="Z1385" i="50"/>
  <c r="Z1386" i="50"/>
  <c r="Z1387" i="50"/>
  <c r="Z1388" i="50"/>
  <c r="Z1389" i="50"/>
  <c r="Z1390" i="50"/>
  <c r="Z1391" i="50"/>
  <c r="Z1392" i="50"/>
  <c r="Z1393" i="50"/>
  <c r="Z1394" i="50"/>
  <c r="Z1395" i="50"/>
  <c r="Z1396" i="50"/>
  <c r="Z1397" i="50"/>
  <c r="Z1398" i="50"/>
  <c r="Z1399" i="50"/>
  <c r="Z1400" i="50"/>
  <c r="Z1401" i="50"/>
  <c r="Z1402" i="50"/>
  <c r="Z1403" i="50"/>
  <c r="Z1404" i="50"/>
  <c r="Z1405" i="50"/>
  <c r="Z1406" i="50"/>
  <c r="Z1407" i="50"/>
  <c r="Z1408" i="50"/>
  <c r="Z1409" i="50"/>
  <c r="Z1410" i="50"/>
  <c r="Z1411" i="50"/>
  <c r="Z1412" i="50"/>
  <c r="Z1413" i="50"/>
  <c r="Z1414" i="50"/>
  <c r="Z1415" i="50"/>
  <c r="Z1416" i="50"/>
  <c r="Z1417" i="50"/>
  <c r="Z1418" i="50"/>
  <c r="Z1419" i="50"/>
  <c r="Z1420" i="50"/>
  <c r="Z1421" i="50"/>
  <c r="Z1422" i="50"/>
  <c r="Z1423" i="50"/>
  <c r="Z1424" i="50"/>
  <c r="Z1425" i="50"/>
  <c r="Z1426" i="50"/>
  <c r="Z1427" i="50"/>
  <c r="Z1428" i="50"/>
  <c r="Z1429" i="50"/>
  <c r="Z1430" i="50"/>
  <c r="Z1431" i="50"/>
  <c r="Z1432" i="50"/>
  <c r="Z1433" i="50"/>
  <c r="Z1434" i="50"/>
  <c r="Z1435" i="50"/>
  <c r="Z1436" i="50"/>
  <c r="Z1437" i="50"/>
  <c r="Z1438" i="50"/>
  <c r="Z1439" i="50"/>
  <c r="Z1440" i="50"/>
  <c r="Z1441" i="50"/>
  <c r="Z1442" i="50"/>
  <c r="Z1443" i="50"/>
  <c r="Z1444" i="50"/>
  <c r="Z1445" i="50"/>
  <c r="Z1446" i="50"/>
  <c r="Z1447" i="50"/>
  <c r="Z1448" i="50"/>
  <c r="Z1449" i="50"/>
  <c r="Z1450" i="50"/>
  <c r="Z1451" i="50"/>
  <c r="Z1452" i="50"/>
  <c r="Z1453" i="50"/>
  <c r="Z1454" i="50"/>
  <c r="Z1455" i="50"/>
  <c r="Z1456" i="50"/>
  <c r="Z1457" i="50"/>
  <c r="Z1458" i="50"/>
  <c r="Z1459" i="50"/>
  <c r="Z1460" i="50"/>
  <c r="Z1461" i="50"/>
  <c r="Z1462" i="50"/>
  <c r="Z1463" i="50"/>
  <c r="Z1464" i="50"/>
  <c r="Z1465" i="50"/>
  <c r="Z1466" i="50"/>
  <c r="Z1467" i="50"/>
  <c r="Z1468" i="50"/>
  <c r="Z1469" i="50"/>
  <c r="Z1470" i="50"/>
  <c r="Z1471" i="50"/>
  <c r="Z1472" i="50"/>
  <c r="Z1473" i="50"/>
  <c r="Z1474" i="50"/>
  <c r="Z1475" i="50"/>
  <c r="Z1476" i="50"/>
  <c r="Z1477" i="50"/>
  <c r="Z1478" i="50"/>
  <c r="Z1479" i="50"/>
  <c r="Z1480" i="50"/>
  <c r="Z1481" i="50"/>
  <c r="Z1482" i="50"/>
  <c r="Z1483" i="50"/>
  <c r="Z1484" i="50"/>
  <c r="Z1485" i="50"/>
  <c r="Z1486" i="50"/>
  <c r="Z1487" i="50"/>
  <c r="Z1488" i="50"/>
  <c r="Z1489" i="50"/>
  <c r="Z1490" i="50"/>
  <c r="Z1491" i="50"/>
  <c r="Z1492" i="50"/>
  <c r="Z1493" i="50"/>
  <c r="Z1494" i="50"/>
  <c r="Z1495" i="50"/>
  <c r="Z1496" i="50"/>
  <c r="Z1497" i="50"/>
  <c r="Z1498" i="50"/>
  <c r="Z1499" i="50"/>
  <c r="Z1500" i="50"/>
  <c r="Z1501" i="50"/>
  <c r="Z1502" i="50"/>
  <c r="Z1503" i="50"/>
  <c r="Z1504" i="50"/>
  <c r="Z1505" i="50"/>
  <c r="Z1506" i="50"/>
  <c r="Z1507" i="50"/>
  <c r="Z1508" i="50"/>
  <c r="Z1509" i="50"/>
  <c r="Z1510" i="50"/>
  <c r="Z1511" i="50"/>
  <c r="Z1512" i="50"/>
  <c r="Z1513" i="50"/>
  <c r="Z1514" i="50"/>
  <c r="Z1515" i="50"/>
  <c r="Z1516" i="50"/>
  <c r="Z1517" i="50"/>
  <c r="Z1518" i="50"/>
  <c r="Z1519" i="50"/>
  <c r="Z1520" i="50"/>
  <c r="Z1521" i="50"/>
  <c r="Z1522" i="50"/>
  <c r="Z1523" i="50"/>
  <c r="Z1524" i="50"/>
  <c r="Z1525" i="50"/>
  <c r="Z1526" i="50"/>
  <c r="Z1527" i="50"/>
  <c r="Z1528" i="50"/>
  <c r="Z1529" i="50"/>
  <c r="Z1530" i="50"/>
  <c r="Z1531" i="50"/>
  <c r="Z1532" i="50"/>
  <c r="Z1533" i="50"/>
  <c r="Z1534" i="50"/>
  <c r="Z1535" i="50"/>
  <c r="Z1536" i="50"/>
  <c r="Z1537" i="50"/>
  <c r="Z1538" i="50"/>
  <c r="Z1539" i="50"/>
  <c r="Z1540" i="50"/>
  <c r="Z1541" i="50"/>
  <c r="Z1542" i="50"/>
  <c r="Z1543" i="50"/>
  <c r="Z1544" i="50"/>
  <c r="Z1545" i="50"/>
  <c r="Z1546" i="50"/>
  <c r="Z1547" i="50"/>
  <c r="Z1548" i="50"/>
  <c r="Z1549" i="50"/>
  <c r="Z1550" i="50"/>
  <c r="Z1551" i="50"/>
  <c r="Z1552" i="50"/>
  <c r="Z1553" i="50"/>
  <c r="Z1554" i="50"/>
  <c r="Z1555" i="50"/>
  <c r="Z1556" i="50"/>
  <c r="Z1557" i="50"/>
  <c r="Z1558" i="50"/>
  <c r="Z1559" i="50"/>
  <c r="Z1560" i="50"/>
  <c r="Z1561" i="50"/>
  <c r="Z1562" i="50"/>
  <c r="Z1563" i="50"/>
  <c r="Z1564" i="50"/>
  <c r="Z1565" i="50"/>
  <c r="Z1566" i="50"/>
  <c r="Z1567" i="50"/>
  <c r="Z1568" i="50"/>
  <c r="Z1569" i="50"/>
  <c r="Z1570" i="50"/>
  <c r="Z1571" i="50"/>
  <c r="Z1572" i="50"/>
  <c r="Z1573" i="50"/>
  <c r="Z1574" i="50"/>
  <c r="Z1575" i="50"/>
  <c r="Z1576" i="50"/>
  <c r="Z1577" i="50"/>
  <c r="Z1578" i="50"/>
  <c r="Z1579" i="50"/>
  <c r="Z1580" i="50"/>
  <c r="Z1581" i="50"/>
  <c r="Z1582" i="50"/>
  <c r="Z1583" i="50"/>
  <c r="Z1584" i="50"/>
  <c r="Z1585" i="50"/>
  <c r="Z1586" i="50"/>
  <c r="Z1587" i="50"/>
  <c r="Z1588" i="50"/>
  <c r="Z1589" i="50"/>
  <c r="Z1590" i="50"/>
  <c r="Z1591" i="50"/>
  <c r="Z1592" i="50"/>
  <c r="Z1593" i="50"/>
  <c r="Z1594" i="50"/>
  <c r="Z1595" i="50"/>
  <c r="Z1596" i="50"/>
  <c r="Z1597" i="50"/>
  <c r="Z1598" i="50"/>
  <c r="Z1599" i="50"/>
  <c r="Z1600" i="50"/>
  <c r="Z1601" i="50"/>
  <c r="Z1602" i="50"/>
  <c r="Z1603" i="50"/>
  <c r="Z1604" i="50"/>
  <c r="Z1605" i="50"/>
  <c r="Z1606" i="50"/>
  <c r="Z1607" i="50"/>
  <c r="Z1608" i="50"/>
  <c r="Z1609" i="50"/>
  <c r="Z1610" i="50"/>
  <c r="Z1611" i="50"/>
  <c r="Z1612" i="50"/>
  <c r="Z1613" i="50"/>
  <c r="Z1614" i="50"/>
  <c r="Z1615" i="50"/>
  <c r="Z1616" i="50"/>
  <c r="Z1617" i="50"/>
  <c r="Z1618" i="50"/>
  <c r="Z1619" i="50"/>
  <c r="Z1620" i="50"/>
  <c r="Z1621" i="50"/>
  <c r="Z1622" i="50"/>
  <c r="Z1623" i="50"/>
  <c r="Z1624" i="50"/>
  <c r="Z1625" i="50"/>
  <c r="Z1626" i="50"/>
  <c r="Z1627" i="50"/>
  <c r="Z1628" i="50"/>
  <c r="Z1629" i="50"/>
  <c r="Z1630" i="50"/>
  <c r="Z1631" i="50"/>
  <c r="Z1632" i="50"/>
  <c r="Z1633" i="50"/>
  <c r="Z1634" i="50"/>
  <c r="Z1635" i="50"/>
  <c r="Z1636" i="50"/>
  <c r="Z1637" i="50"/>
  <c r="Z1638" i="50"/>
  <c r="Z1639" i="50"/>
  <c r="Z1640" i="50"/>
  <c r="Z1641" i="50"/>
  <c r="Z1642" i="50"/>
  <c r="Z1643" i="50"/>
  <c r="Z1644" i="50"/>
  <c r="Z1645" i="50"/>
  <c r="Z1646" i="50"/>
  <c r="Z1647" i="50"/>
  <c r="Z1648" i="50"/>
  <c r="Z1649" i="50"/>
  <c r="Z1650" i="50"/>
  <c r="Z1651" i="50"/>
  <c r="Z1652" i="50"/>
  <c r="Z1653" i="50"/>
  <c r="Z1654" i="50"/>
  <c r="Z1655" i="50"/>
  <c r="Z1656" i="50"/>
  <c r="Z1657" i="50"/>
  <c r="Z1658" i="50"/>
  <c r="Z1659" i="50"/>
  <c r="Z1660" i="50"/>
  <c r="Z1661" i="50"/>
  <c r="Z1662" i="50"/>
  <c r="Z1663" i="50"/>
  <c r="Z1664" i="50"/>
  <c r="Z1665" i="50"/>
  <c r="Z1666" i="50"/>
  <c r="Z1667" i="50"/>
  <c r="Z1668" i="50"/>
  <c r="Z1669" i="50"/>
  <c r="Z1670" i="50"/>
  <c r="Z1671" i="50"/>
  <c r="Z1672" i="50"/>
  <c r="Z1673" i="50"/>
  <c r="Z1674" i="50"/>
  <c r="Z1675" i="50"/>
  <c r="Z1676" i="50"/>
  <c r="Z1677" i="50"/>
  <c r="Z1678" i="50"/>
  <c r="Z1679" i="50"/>
  <c r="Z1680" i="50"/>
  <c r="Z1681" i="50"/>
  <c r="Z1682" i="50"/>
  <c r="Z1683" i="50"/>
  <c r="Z1684" i="50"/>
  <c r="Z1685" i="50"/>
  <c r="Z1686" i="50"/>
  <c r="Z1687" i="50"/>
  <c r="Z1688" i="50"/>
  <c r="Z1689" i="50"/>
  <c r="Z1690" i="50"/>
  <c r="Z1691" i="50"/>
  <c r="Z1692" i="50"/>
  <c r="Z1693" i="50"/>
  <c r="Z1694" i="50"/>
  <c r="Z1695" i="50"/>
  <c r="Z1696" i="50"/>
  <c r="Z1697" i="50"/>
  <c r="Z1698" i="50"/>
  <c r="Z1699" i="50"/>
  <c r="Z1700" i="50"/>
  <c r="Z1701" i="50"/>
  <c r="Z1702" i="50"/>
  <c r="Z1703" i="50"/>
  <c r="Z1704" i="50"/>
  <c r="Z1705" i="50"/>
  <c r="Z1706" i="50"/>
  <c r="Z1707" i="50"/>
  <c r="Z1708" i="50"/>
  <c r="Z1709" i="50"/>
  <c r="Z1710" i="50"/>
  <c r="Z1711" i="50"/>
  <c r="Z1712" i="50"/>
  <c r="Z1713" i="50"/>
  <c r="Z1714" i="50"/>
  <c r="Z1715" i="50"/>
  <c r="Z1716" i="50"/>
  <c r="Z1717" i="50"/>
  <c r="Z1718" i="50"/>
  <c r="Z1719" i="50"/>
  <c r="Z1720" i="50"/>
  <c r="Z1721" i="50"/>
  <c r="Z1722" i="50"/>
  <c r="Z1723" i="50"/>
  <c r="Z1724" i="50"/>
  <c r="Z1725" i="50"/>
  <c r="Z1726" i="50"/>
  <c r="Z1727" i="50"/>
  <c r="Z1728" i="50"/>
  <c r="Z1729" i="50"/>
  <c r="Z1730" i="50"/>
  <c r="Z1731" i="50"/>
  <c r="Z1732" i="50"/>
  <c r="Z1733" i="50"/>
  <c r="Z1734" i="50"/>
  <c r="Z1735" i="50"/>
  <c r="Z1736" i="50"/>
  <c r="Z1737" i="50"/>
  <c r="Z1738" i="50"/>
  <c r="Z1739" i="50"/>
  <c r="Z1740" i="50"/>
  <c r="Z1741" i="50"/>
  <c r="Z1742" i="50"/>
  <c r="Z1743" i="50"/>
  <c r="Z1744" i="50"/>
  <c r="Z1745" i="50"/>
  <c r="Z1746" i="50"/>
  <c r="Z1747" i="50"/>
  <c r="Z1748" i="50"/>
  <c r="Z1749" i="50"/>
  <c r="Z1750" i="50"/>
  <c r="Z1751" i="50"/>
  <c r="Z1752" i="50"/>
  <c r="Z1753" i="50"/>
  <c r="Z1754" i="50"/>
  <c r="Z1755" i="50"/>
  <c r="Z1756" i="50"/>
  <c r="Z1757" i="50"/>
  <c r="Z1758" i="50"/>
  <c r="Z1759" i="50"/>
  <c r="Z1760" i="50"/>
  <c r="Z1761" i="50"/>
  <c r="Z1762" i="50"/>
  <c r="Z1763" i="50"/>
  <c r="Z1764" i="50"/>
  <c r="Z1765" i="50"/>
  <c r="Z1766" i="50"/>
  <c r="Z1767" i="50"/>
  <c r="Z1768" i="50"/>
  <c r="Z1769" i="50"/>
  <c r="Z1770" i="50"/>
  <c r="Z1771" i="50"/>
  <c r="Z1772" i="50"/>
  <c r="Z1773" i="50"/>
  <c r="Z1774" i="50"/>
  <c r="Z1775" i="50"/>
  <c r="Z1776" i="50"/>
  <c r="Z1777" i="50"/>
  <c r="Z1778" i="50"/>
  <c r="Z1779" i="50"/>
  <c r="Z1780" i="50"/>
  <c r="Z1781" i="50"/>
  <c r="Z1782" i="50"/>
  <c r="Z1783" i="50"/>
  <c r="Z1784" i="50"/>
  <c r="Z1785" i="50"/>
  <c r="Z1786" i="50"/>
  <c r="Z1787" i="50"/>
  <c r="Z1788" i="50"/>
  <c r="Z1789" i="50"/>
  <c r="Z1790" i="50"/>
  <c r="Z1791" i="50"/>
  <c r="Z1792" i="50"/>
  <c r="Z1793" i="50"/>
  <c r="Z1794" i="50"/>
  <c r="Z1795" i="50"/>
  <c r="Z1796" i="50"/>
  <c r="Z1797" i="50"/>
  <c r="Z1798" i="50"/>
  <c r="Z1799" i="50"/>
  <c r="Z1800" i="50"/>
  <c r="Z1801" i="50"/>
  <c r="Z1802" i="50"/>
  <c r="Z1803" i="50"/>
  <c r="Z1804" i="50"/>
  <c r="Z1805" i="50"/>
  <c r="Z1806" i="50"/>
  <c r="Z1807" i="50"/>
  <c r="Z1808" i="50"/>
  <c r="Z1809" i="50"/>
  <c r="Z1810" i="50"/>
  <c r="Z1811" i="50"/>
  <c r="Z1812" i="50"/>
  <c r="Z1813" i="50"/>
  <c r="Z1814" i="50"/>
  <c r="Z1815" i="50"/>
  <c r="Z1816" i="50"/>
  <c r="Z1817" i="50"/>
  <c r="Z1818" i="50"/>
  <c r="Z1819" i="50"/>
  <c r="Z1820" i="50"/>
  <c r="Z1821" i="50"/>
  <c r="Z1822" i="50"/>
  <c r="Z1823" i="50"/>
  <c r="Z1824" i="50"/>
  <c r="Z1825" i="50"/>
  <c r="Z1826" i="50"/>
  <c r="Z1827" i="50"/>
  <c r="Z1828" i="50"/>
  <c r="Z1829" i="50"/>
  <c r="Z1830" i="50"/>
  <c r="Z1831" i="50"/>
  <c r="Z1832" i="50"/>
  <c r="Z1833" i="50"/>
  <c r="Z1834" i="50"/>
  <c r="Z1835" i="50"/>
  <c r="Z1836" i="50"/>
  <c r="Z1837" i="50"/>
  <c r="Z1838" i="50"/>
  <c r="Z1839" i="50"/>
  <c r="Z1840" i="50"/>
  <c r="Z1841" i="50"/>
  <c r="Z1842" i="50"/>
  <c r="Z1843" i="50"/>
  <c r="Z1844" i="50"/>
  <c r="Z1845" i="50"/>
  <c r="Z1846" i="50"/>
  <c r="Z1847" i="50"/>
  <c r="Z1848" i="50"/>
  <c r="Z1849" i="50"/>
  <c r="Z1850" i="50"/>
  <c r="Z1851" i="50"/>
  <c r="Z1852" i="50"/>
  <c r="Z1853" i="50"/>
  <c r="Z1854" i="50"/>
  <c r="Z1855" i="50"/>
  <c r="Z1856" i="50"/>
  <c r="Z1857" i="50"/>
  <c r="Z1858" i="50"/>
  <c r="Z1859" i="50"/>
  <c r="Z1860" i="50"/>
  <c r="Z1861" i="50"/>
  <c r="Z1862" i="50"/>
  <c r="Z1863" i="50"/>
  <c r="Z1864" i="50"/>
  <c r="Z1865" i="50"/>
  <c r="Z1866" i="50"/>
  <c r="Z1867" i="50"/>
  <c r="Z1868" i="50"/>
  <c r="Z1869" i="50"/>
  <c r="Z1870" i="50"/>
  <c r="Z1871" i="50"/>
  <c r="Z1872" i="50"/>
  <c r="Z1873" i="50"/>
  <c r="Z1874" i="50"/>
  <c r="Z1875" i="50"/>
  <c r="Z1876" i="50"/>
  <c r="Z1877" i="50"/>
  <c r="Z1878" i="50"/>
  <c r="Z1879" i="50"/>
  <c r="Z1880" i="50"/>
  <c r="Z1881" i="50"/>
  <c r="Z1882" i="50"/>
  <c r="Z1883" i="50"/>
  <c r="Z1884" i="50"/>
  <c r="Z1885" i="50"/>
  <c r="Z1886" i="50"/>
  <c r="Z1887" i="50"/>
  <c r="Z1888" i="50"/>
  <c r="Z1889" i="50"/>
  <c r="Z1890" i="50"/>
  <c r="Z1891" i="50"/>
  <c r="Z1892" i="50"/>
  <c r="Z1893" i="50"/>
  <c r="Z1894" i="50"/>
  <c r="Z1895" i="50"/>
  <c r="Z1896" i="50"/>
  <c r="Z1897" i="50"/>
  <c r="Z1898" i="50"/>
  <c r="Z1899" i="50"/>
  <c r="Z1900" i="50"/>
  <c r="Z1901" i="50"/>
  <c r="Z1902" i="50"/>
  <c r="Z1903" i="50"/>
  <c r="Z1904" i="50"/>
  <c r="Z1905" i="50"/>
  <c r="Z1906" i="50"/>
  <c r="Z1907" i="50"/>
  <c r="Z1908" i="50"/>
  <c r="Z1909" i="50"/>
  <c r="Z1910" i="50"/>
  <c r="Z1911" i="50"/>
  <c r="Z1912" i="50"/>
  <c r="Z1913" i="50"/>
  <c r="Z1914" i="50"/>
  <c r="Z1915" i="50"/>
  <c r="Z1916" i="50"/>
  <c r="Z1917" i="50"/>
  <c r="Z1918" i="50"/>
  <c r="Z1919" i="50"/>
  <c r="Z1920" i="50"/>
  <c r="Z1921" i="50"/>
  <c r="Z1922" i="50"/>
  <c r="Z1923" i="50"/>
  <c r="Z1924" i="50"/>
  <c r="Z1925" i="50"/>
  <c r="Z1926" i="50"/>
  <c r="Z1927" i="50"/>
  <c r="Z1928" i="50"/>
  <c r="Z1929" i="50"/>
  <c r="Z1930" i="50"/>
  <c r="Z1931" i="50"/>
  <c r="Z1932" i="50"/>
  <c r="Z1933" i="50"/>
  <c r="Z1934" i="50"/>
  <c r="Z1935" i="50"/>
  <c r="Z1936" i="50"/>
  <c r="Z1937" i="50"/>
  <c r="Z1938" i="50"/>
  <c r="Z1939" i="50"/>
  <c r="Z1940" i="50"/>
  <c r="Z1941" i="50"/>
  <c r="Z1942" i="50"/>
  <c r="Z1943" i="50"/>
  <c r="Z1944" i="50"/>
  <c r="Z1945" i="50"/>
  <c r="Z1946" i="50"/>
  <c r="Z1947" i="50"/>
  <c r="Z1948" i="50"/>
  <c r="Z1949" i="50"/>
  <c r="Z1950" i="50"/>
  <c r="Z1951" i="50"/>
  <c r="Z1952" i="50"/>
  <c r="Z1953" i="50"/>
  <c r="Z1954" i="50"/>
  <c r="Z1955" i="50"/>
  <c r="Z1956" i="50"/>
  <c r="Z1957" i="50"/>
  <c r="Z1958" i="50"/>
  <c r="Z1959" i="50"/>
  <c r="Z1960" i="50"/>
  <c r="Z1961" i="50"/>
  <c r="Z1962" i="50"/>
  <c r="Z1963" i="50"/>
  <c r="Z1964" i="50"/>
  <c r="Z1965" i="50"/>
  <c r="Z1966" i="50"/>
  <c r="Z1967" i="50"/>
  <c r="Z1968" i="50"/>
  <c r="Z1969" i="50"/>
  <c r="Z1970" i="50"/>
  <c r="Z1971" i="50"/>
  <c r="Z1972" i="50"/>
  <c r="Z1973" i="50"/>
  <c r="Z1974" i="50"/>
  <c r="Z1975" i="50"/>
  <c r="Z1976" i="50"/>
  <c r="Z1977" i="50"/>
  <c r="Z1978" i="50"/>
  <c r="Z1979" i="50"/>
  <c r="Z1980" i="50"/>
  <c r="Z1981" i="50"/>
  <c r="Z1982" i="50"/>
  <c r="Z1983" i="50"/>
  <c r="Z1984" i="50"/>
  <c r="Z1985" i="50"/>
  <c r="Z1986" i="50"/>
  <c r="Z1987" i="50"/>
  <c r="Z1988" i="50"/>
  <c r="Z1989" i="50"/>
  <c r="Z1990" i="50"/>
  <c r="Z1991" i="50"/>
  <c r="Z1992" i="50"/>
  <c r="Z1993" i="50"/>
  <c r="Z1994" i="50"/>
  <c r="Z1995" i="50"/>
  <c r="Z1996" i="50"/>
  <c r="Z1997" i="50"/>
  <c r="Z1998" i="50"/>
  <c r="Z1999" i="50"/>
  <c r="Z2000" i="50"/>
  <c r="Z2001" i="50"/>
  <c r="Z2002" i="50"/>
  <c r="Z2003" i="50"/>
  <c r="Z2004" i="50"/>
  <c r="Z2005" i="50"/>
  <c r="Z2006" i="50"/>
  <c r="Z2007" i="50"/>
  <c r="Z2008" i="50"/>
  <c r="Z2009" i="50"/>
  <c r="Z2010" i="50"/>
  <c r="Z2011" i="50"/>
  <c r="Z2012" i="50"/>
  <c r="Z2013" i="50"/>
  <c r="Z2014" i="50"/>
  <c r="Z2015" i="50"/>
  <c r="Z2016" i="50"/>
  <c r="Z2017" i="50"/>
  <c r="Z2018" i="50"/>
  <c r="Z2019" i="50"/>
  <c r="Z2020" i="50"/>
  <c r="Z2021" i="50"/>
  <c r="Z2022" i="50"/>
  <c r="Z2023" i="50"/>
  <c r="Z2024" i="50"/>
  <c r="Z2025" i="50"/>
  <c r="Z2026" i="50"/>
  <c r="Z2027" i="50"/>
  <c r="Z2028" i="50"/>
  <c r="Z2029" i="50"/>
  <c r="Z2030" i="50"/>
  <c r="Z2031" i="50"/>
  <c r="Z2032" i="50"/>
  <c r="Z2033" i="50"/>
  <c r="Z2034" i="50"/>
  <c r="Z2035" i="50"/>
  <c r="Z2036" i="50"/>
  <c r="Z2037" i="50"/>
  <c r="Z2038" i="50"/>
  <c r="Z2039" i="50"/>
  <c r="Z2040" i="50"/>
  <c r="Z2041" i="50"/>
  <c r="Z2042" i="50"/>
  <c r="Z2043" i="50"/>
  <c r="Z2044" i="50"/>
  <c r="Z2045" i="50"/>
  <c r="Z2046" i="50"/>
  <c r="Z2047" i="50"/>
  <c r="Z2048" i="50"/>
  <c r="Z2049" i="50"/>
  <c r="Z2050" i="50"/>
  <c r="Z2051" i="50"/>
  <c r="Z2052" i="50"/>
  <c r="Z2053" i="50"/>
  <c r="Z2054" i="50"/>
  <c r="Z2055" i="50"/>
  <c r="Z2056" i="50"/>
  <c r="Z2057" i="50"/>
  <c r="Z2058" i="50"/>
  <c r="Z2059" i="50"/>
  <c r="Z2060" i="50"/>
  <c r="Z2061" i="50"/>
  <c r="Z2062" i="50"/>
  <c r="Z2063" i="50"/>
  <c r="Z2064" i="50"/>
  <c r="Z2065" i="50"/>
  <c r="Z2066" i="50"/>
  <c r="Z2067" i="50"/>
  <c r="Z2068" i="50"/>
  <c r="Z2069" i="50"/>
  <c r="Z2070" i="50"/>
  <c r="Z2071" i="50"/>
  <c r="Z2072" i="50"/>
  <c r="Z2073" i="50"/>
  <c r="Z2074" i="50"/>
  <c r="Z2075" i="50"/>
  <c r="Z2076" i="50"/>
  <c r="Z2077" i="50"/>
  <c r="Z2078" i="50"/>
  <c r="Z2079" i="50"/>
  <c r="Z2080" i="50"/>
  <c r="Z2081" i="50"/>
  <c r="Z2082" i="50"/>
  <c r="Z2083" i="50"/>
  <c r="Z2084" i="50"/>
  <c r="Z2085" i="50"/>
  <c r="Z2086" i="50"/>
  <c r="Z2087" i="50"/>
  <c r="Z2088" i="50"/>
  <c r="Z2089" i="50"/>
  <c r="Z2090" i="50"/>
  <c r="Z2091" i="50"/>
  <c r="Z2092" i="50"/>
  <c r="Z2093" i="50"/>
  <c r="Z2094" i="50"/>
  <c r="Z2095" i="50"/>
  <c r="Z2096" i="50"/>
  <c r="Z2097" i="50"/>
  <c r="Z2098" i="50"/>
  <c r="Z2099" i="50"/>
  <c r="Z2100" i="50"/>
  <c r="Z2101" i="50"/>
  <c r="Z2102" i="50"/>
  <c r="Z2103" i="50"/>
  <c r="Z2104" i="50"/>
  <c r="Z2105" i="50"/>
  <c r="Z2106" i="50"/>
  <c r="Z2107" i="50"/>
  <c r="Z2108" i="50"/>
  <c r="Z2109" i="50"/>
  <c r="Z2110" i="50"/>
  <c r="Z2111" i="50"/>
  <c r="Z2112" i="50"/>
  <c r="Z2113" i="50"/>
  <c r="Z2114" i="50"/>
  <c r="Z2115" i="50"/>
  <c r="Z2116" i="50"/>
  <c r="Z2117" i="50"/>
  <c r="Z2118" i="50"/>
  <c r="Z2119" i="50"/>
  <c r="Z2120" i="50"/>
  <c r="Z2121" i="50"/>
  <c r="Z2122" i="50"/>
  <c r="Z2123" i="50"/>
  <c r="Z2124" i="50"/>
  <c r="Z2125" i="50"/>
  <c r="Z2126" i="50"/>
  <c r="Z2127" i="50"/>
  <c r="Z2128" i="50"/>
  <c r="Z2129" i="50"/>
  <c r="Z2130" i="50"/>
  <c r="Z2131" i="50"/>
  <c r="Z2132" i="50"/>
  <c r="Z2133" i="50"/>
  <c r="Z2134" i="50"/>
  <c r="Z2135" i="50"/>
  <c r="Z2136" i="50"/>
  <c r="Z2137" i="50"/>
  <c r="Z2138" i="50"/>
  <c r="Z2139" i="50"/>
  <c r="Z2140" i="50"/>
  <c r="Z2141" i="50"/>
  <c r="Z2142" i="50"/>
  <c r="Z2143" i="50"/>
  <c r="Z2144" i="50"/>
  <c r="Z2145" i="50"/>
  <c r="Z2146" i="50"/>
  <c r="Z2147" i="50"/>
  <c r="Z2148" i="50"/>
  <c r="Z2149" i="50"/>
  <c r="Z2150" i="50"/>
  <c r="Z2151" i="50"/>
  <c r="Z2152" i="50"/>
  <c r="Z2153" i="50"/>
  <c r="Z2154" i="50"/>
  <c r="Z2155" i="50"/>
  <c r="Z2156" i="50"/>
  <c r="Z2157" i="50"/>
  <c r="Z2158" i="50"/>
  <c r="Z2159" i="50"/>
  <c r="Z2160" i="50"/>
  <c r="Z2161" i="50"/>
  <c r="Z2162" i="50"/>
  <c r="Z2163" i="50"/>
  <c r="Z2164" i="50"/>
  <c r="Z2165" i="50"/>
  <c r="Z2166" i="50"/>
  <c r="Z2167" i="50"/>
  <c r="Z2168" i="50"/>
  <c r="Z2169" i="50"/>
  <c r="Z2170" i="50"/>
  <c r="Z2171" i="50"/>
  <c r="Z2172" i="50"/>
  <c r="Z2173" i="50"/>
  <c r="Z2174" i="50"/>
  <c r="Z2175" i="50"/>
  <c r="Z2176" i="50"/>
  <c r="Z2177" i="50"/>
  <c r="Z2178" i="50"/>
  <c r="Z2179" i="50"/>
  <c r="Z2180" i="50"/>
  <c r="Z2181" i="50"/>
  <c r="Z2182" i="50"/>
  <c r="Z2183" i="50"/>
  <c r="Z2184" i="50"/>
  <c r="Z2185" i="50"/>
  <c r="Z2186" i="50"/>
  <c r="Z2187" i="50"/>
  <c r="Z2188" i="50"/>
  <c r="Z2189" i="50"/>
  <c r="Z2190" i="50"/>
  <c r="Z2191" i="50"/>
  <c r="Z2192" i="50"/>
  <c r="Z2193" i="50"/>
  <c r="Z2194" i="50"/>
  <c r="Z2195" i="50"/>
  <c r="Z2196" i="50"/>
  <c r="Z2197" i="50"/>
  <c r="Z2198" i="50"/>
  <c r="Z2199" i="50"/>
  <c r="Z2200" i="50"/>
  <c r="Z2201" i="50"/>
  <c r="Z2202" i="50"/>
  <c r="Z2203" i="50"/>
  <c r="Z2204" i="50"/>
  <c r="Z2205" i="50"/>
  <c r="Z2206" i="50"/>
  <c r="Z2207" i="50"/>
  <c r="Z2208" i="50"/>
  <c r="Z2209" i="50"/>
  <c r="Z2210" i="50"/>
  <c r="Z2211" i="50"/>
  <c r="Z2212" i="50"/>
  <c r="Z2213" i="50"/>
  <c r="Z2214" i="50"/>
  <c r="Z2215" i="50"/>
  <c r="Z2216" i="50"/>
  <c r="Z2217" i="50"/>
  <c r="Z2218" i="50"/>
  <c r="Z2219" i="50"/>
  <c r="Z2220" i="50"/>
  <c r="Z2221" i="50"/>
  <c r="Z2222" i="50"/>
  <c r="Z2223" i="50"/>
  <c r="Z2224" i="50"/>
  <c r="Z2225" i="50"/>
  <c r="Z2226" i="50"/>
  <c r="Z2227" i="50"/>
  <c r="Z2228" i="50"/>
  <c r="Z2229" i="50"/>
  <c r="Z2230" i="50"/>
  <c r="Z2231" i="50"/>
  <c r="Z2232" i="50"/>
  <c r="Z2233" i="50"/>
  <c r="Z2234" i="50"/>
  <c r="Z2235" i="50"/>
  <c r="Z2236" i="50"/>
  <c r="Z2237" i="50"/>
  <c r="Z2238" i="50"/>
  <c r="Z2239" i="50"/>
  <c r="Z2240" i="50"/>
  <c r="Z2241" i="50"/>
  <c r="Z2242" i="50"/>
  <c r="Z2243" i="50"/>
  <c r="Z2244" i="50"/>
  <c r="Z2245" i="50"/>
  <c r="Z2246" i="50"/>
  <c r="Z2247" i="50"/>
  <c r="Z2248" i="50"/>
  <c r="Z2249" i="50"/>
  <c r="Z2250" i="50"/>
  <c r="Z2251" i="50"/>
  <c r="Z2252" i="50"/>
  <c r="Z2253" i="50"/>
  <c r="Z2254" i="50"/>
  <c r="Z2255" i="50"/>
  <c r="Z2256" i="50"/>
  <c r="Z2257" i="50"/>
  <c r="Z2258" i="50"/>
  <c r="Z2259" i="50"/>
  <c r="Z2260" i="50"/>
  <c r="Z2261" i="50"/>
  <c r="Z2262" i="50"/>
  <c r="Z2263" i="50"/>
  <c r="Z2264" i="50"/>
  <c r="Z2265" i="50"/>
  <c r="Z2266" i="50"/>
  <c r="Z2267" i="50"/>
  <c r="Z2268" i="50"/>
  <c r="Z2269" i="50"/>
  <c r="Z2270" i="50"/>
  <c r="Z2271" i="50"/>
  <c r="Z2272" i="50"/>
  <c r="Z2273" i="50"/>
  <c r="Z2274" i="50"/>
  <c r="Z2275" i="50"/>
  <c r="Z2276" i="50"/>
  <c r="Z2277" i="50"/>
  <c r="Z2278" i="50"/>
  <c r="Z2279" i="50"/>
  <c r="Z2280" i="50"/>
  <c r="Z2281" i="50"/>
  <c r="Z2282" i="50"/>
  <c r="Z2283" i="50"/>
  <c r="Z2284" i="50"/>
  <c r="Z2285" i="50"/>
  <c r="Z2286" i="50"/>
  <c r="Z2287" i="50"/>
  <c r="Z2288" i="50"/>
  <c r="Z2289" i="50"/>
  <c r="Z2290" i="50"/>
  <c r="Z2291" i="50"/>
  <c r="Z2292" i="50"/>
  <c r="Z2293" i="50"/>
  <c r="Z2294" i="50"/>
  <c r="Z2295" i="50"/>
  <c r="Z2296" i="50"/>
  <c r="Z2297" i="50"/>
  <c r="Z2298" i="50"/>
  <c r="Z2299" i="50"/>
  <c r="Z2300" i="50"/>
  <c r="Z2301" i="50"/>
  <c r="Z2302" i="50"/>
  <c r="Z2303" i="50"/>
  <c r="Z2304" i="50"/>
  <c r="Z2305" i="50"/>
  <c r="Z2306" i="50"/>
  <c r="Z2307" i="50"/>
  <c r="Z2308" i="50"/>
  <c r="Z2309" i="50"/>
  <c r="Z2310" i="50"/>
  <c r="Z2311" i="50"/>
  <c r="Z2312" i="50"/>
  <c r="Z2313" i="50"/>
  <c r="Z2314" i="50"/>
  <c r="Z2315" i="50"/>
  <c r="Z2316" i="50"/>
  <c r="Z2317" i="50"/>
  <c r="Z2318" i="50"/>
  <c r="Z2319" i="50"/>
  <c r="Z2320" i="50"/>
  <c r="Z2321" i="50"/>
  <c r="Z2322" i="50"/>
  <c r="Z2323" i="50"/>
  <c r="Z2324" i="50"/>
  <c r="Z2325" i="50"/>
  <c r="Z2326" i="50"/>
  <c r="Z2327" i="50"/>
  <c r="Z2328" i="50"/>
  <c r="Z2329" i="50"/>
  <c r="Z2330" i="50"/>
  <c r="Z2331" i="50"/>
  <c r="Z2332" i="50"/>
  <c r="Z2333" i="50"/>
  <c r="Z2334" i="50"/>
  <c r="Z2335" i="50"/>
  <c r="Z2336" i="50"/>
  <c r="Z2337" i="50"/>
  <c r="Z2338" i="50"/>
  <c r="Z2339" i="50"/>
  <c r="Z2340" i="50"/>
  <c r="Z2341" i="50"/>
  <c r="Z2342" i="50"/>
  <c r="Z2343" i="50"/>
  <c r="Z2344" i="50"/>
  <c r="Z2345" i="50"/>
  <c r="Z2346" i="50"/>
  <c r="Z2347" i="50"/>
  <c r="Z2348" i="50"/>
  <c r="Z2349" i="50"/>
  <c r="Z2350" i="50"/>
  <c r="Z2351" i="50"/>
  <c r="Z2352" i="50"/>
  <c r="Z2353" i="50"/>
  <c r="Z2354" i="50"/>
  <c r="Z2355" i="50"/>
  <c r="Z2356" i="50"/>
  <c r="Z2357" i="50"/>
  <c r="Z2358" i="50"/>
  <c r="Z2359" i="50"/>
  <c r="Z2360" i="50"/>
  <c r="Z2361" i="50"/>
  <c r="Z2362" i="50"/>
  <c r="Z2363" i="50"/>
  <c r="Z2364" i="50"/>
  <c r="Z2365" i="50"/>
  <c r="Z2366" i="50"/>
  <c r="Z2367" i="50"/>
  <c r="Z2368" i="50"/>
  <c r="Z2369" i="50"/>
  <c r="Z2370" i="50"/>
  <c r="Z2371" i="50"/>
  <c r="Z2372" i="50"/>
  <c r="Z2373" i="50"/>
  <c r="Z2374" i="50"/>
  <c r="Z2375" i="50"/>
  <c r="Z2376" i="50"/>
  <c r="Z2377" i="50"/>
  <c r="Z2378" i="50"/>
  <c r="Z2379" i="50"/>
  <c r="Z2380" i="50"/>
  <c r="Z2381" i="50"/>
  <c r="Z2382" i="50"/>
  <c r="Z2383" i="50"/>
  <c r="Z2384" i="50"/>
  <c r="Z2385" i="50"/>
  <c r="Z2386" i="50"/>
  <c r="Z2387" i="50"/>
  <c r="Z2388" i="50"/>
  <c r="Z2389" i="50"/>
  <c r="Z2390" i="50"/>
  <c r="Z2391" i="50"/>
  <c r="Z2392" i="50"/>
  <c r="Z2393" i="50"/>
  <c r="Z2394" i="50"/>
  <c r="Z2395" i="50"/>
  <c r="Z2396" i="50"/>
  <c r="Z2397" i="50"/>
  <c r="Z2398" i="50"/>
  <c r="Z2399" i="50"/>
  <c r="Z2400" i="50"/>
  <c r="Z2401" i="50"/>
  <c r="Z2402" i="50"/>
  <c r="Z2403" i="50"/>
  <c r="Z2404" i="50"/>
  <c r="Z2405" i="50"/>
  <c r="Z2406" i="50"/>
  <c r="Z2407" i="50"/>
  <c r="Z2408" i="50"/>
  <c r="Z2409" i="50"/>
  <c r="Z2410" i="50"/>
  <c r="Z2411" i="50"/>
  <c r="Z2412" i="50"/>
  <c r="Z2413" i="50"/>
  <c r="Z2414" i="50"/>
  <c r="Z2415" i="50"/>
  <c r="Z2416" i="50"/>
  <c r="Z2417" i="50"/>
  <c r="Z2418" i="50"/>
  <c r="Z2419" i="50"/>
  <c r="Z2420" i="50"/>
  <c r="Z2421" i="50"/>
  <c r="Z2422" i="50"/>
  <c r="Z2423" i="50"/>
  <c r="Z2424" i="50"/>
  <c r="Z2425" i="50"/>
  <c r="Z2426" i="50"/>
  <c r="Z2427" i="50"/>
  <c r="Z2428" i="50"/>
  <c r="Z2429" i="50"/>
  <c r="Z2430" i="50"/>
  <c r="Z2431" i="50"/>
  <c r="Z2432" i="50"/>
  <c r="Z2433" i="50"/>
  <c r="Z2434" i="50"/>
  <c r="Z2435" i="50"/>
  <c r="Z2436" i="50"/>
  <c r="Z2437" i="50"/>
  <c r="Z2438" i="50"/>
  <c r="Z2439" i="50"/>
  <c r="Z2440" i="50"/>
  <c r="Z2441" i="50"/>
  <c r="Z2442" i="50"/>
  <c r="Z2443" i="50"/>
  <c r="Z2444" i="50"/>
  <c r="Z2445" i="50"/>
  <c r="Z2446" i="50"/>
  <c r="Z2447" i="50"/>
  <c r="Z2448" i="50"/>
  <c r="Z2449" i="50"/>
  <c r="Z2450" i="50"/>
  <c r="Z2451" i="50"/>
  <c r="Z2452" i="50"/>
  <c r="Z2453" i="50"/>
  <c r="Z2454" i="50"/>
  <c r="Z2455" i="50"/>
  <c r="Z2456" i="50"/>
  <c r="Z2457" i="50"/>
  <c r="Z2458" i="50"/>
  <c r="Z2459" i="50"/>
  <c r="Z2460" i="50"/>
  <c r="Z2461" i="50"/>
  <c r="Z2462" i="50"/>
  <c r="Z2463" i="50"/>
  <c r="Z2464" i="50"/>
  <c r="Z2465" i="50"/>
  <c r="Z2466" i="50"/>
  <c r="Z2467" i="50"/>
  <c r="Z2468" i="50"/>
  <c r="Z2469" i="50"/>
  <c r="Z2470" i="50"/>
  <c r="Z2471" i="50"/>
  <c r="Z2472" i="50"/>
  <c r="Z2473" i="50"/>
  <c r="Z2474" i="50"/>
  <c r="Z2475" i="50"/>
  <c r="Z2476" i="50"/>
  <c r="Z2477" i="50"/>
  <c r="Z2478" i="50"/>
  <c r="Z2479" i="50"/>
  <c r="Z2480" i="50"/>
  <c r="Z2481" i="50"/>
  <c r="Z2482" i="50"/>
  <c r="Z2483" i="50"/>
  <c r="Z2484" i="50"/>
  <c r="Z2485" i="50"/>
  <c r="Z2486" i="50"/>
  <c r="Z2487" i="50"/>
  <c r="Z2488" i="50"/>
  <c r="Z2489" i="50"/>
  <c r="Z2490" i="50"/>
  <c r="Z2491" i="50"/>
  <c r="Z2492" i="50"/>
  <c r="Z2493" i="50"/>
  <c r="Z2494" i="50"/>
  <c r="Z2495" i="50"/>
  <c r="Z2496" i="50"/>
  <c r="Z2497" i="50"/>
  <c r="Z2498" i="50"/>
  <c r="Z2499" i="50"/>
  <c r="Z2500" i="50"/>
  <c r="Z2501" i="50"/>
  <c r="Z2502" i="50"/>
  <c r="Z2503" i="50"/>
  <c r="Z2504" i="50"/>
  <c r="Z2505" i="50"/>
  <c r="Z2506" i="50"/>
  <c r="Z2507" i="50"/>
  <c r="Z2508" i="50"/>
  <c r="Z2509" i="50"/>
  <c r="Z2510" i="50"/>
  <c r="Z2511" i="50"/>
  <c r="Z2512" i="50"/>
  <c r="Z2513" i="50"/>
  <c r="Z2514" i="50"/>
  <c r="Z2515" i="50"/>
  <c r="Z2516" i="50"/>
  <c r="Z2517" i="50"/>
  <c r="Z2518" i="50"/>
  <c r="Z2519" i="50"/>
  <c r="Z2520" i="50"/>
  <c r="Z2521" i="50"/>
  <c r="Z2522" i="50"/>
  <c r="Z2523" i="50"/>
  <c r="Z2524" i="50"/>
  <c r="Z2525" i="50"/>
  <c r="Z2526" i="50"/>
  <c r="Z2527" i="50"/>
  <c r="Z2528" i="50"/>
  <c r="Z2529" i="50"/>
  <c r="Z2530" i="50"/>
  <c r="Z2531" i="50"/>
  <c r="Z2532" i="50"/>
  <c r="Z2533" i="50"/>
  <c r="Z2534" i="50"/>
  <c r="Z2535" i="50"/>
  <c r="Z2536" i="50"/>
  <c r="Z2537" i="50"/>
  <c r="Z2538" i="50"/>
  <c r="Z2539" i="50"/>
  <c r="Z2540" i="50"/>
  <c r="Z2541" i="50"/>
  <c r="Z2542" i="50"/>
  <c r="Z2543" i="50"/>
  <c r="Z2544" i="50"/>
  <c r="Z2545" i="50"/>
  <c r="Z2546" i="50"/>
  <c r="Z2547" i="50"/>
  <c r="Z2548" i="50"/>
  <c r="Z2549" i="50"/>
  <c r="Z2550" i="50"/>
  <c r="Z2551" i="50"/>
  <c r="Z2552" i="50"/>
  <c r="Z2553" i="50"/>
  <c r="Z2554" i="50"/>
  <c r="Z2555" i="50"/>
  <c r="Z2556" i="50"/>
  <c r="Z2557" i="50"/>
  <c r="Z2558" i="50"/>
  <c r="Z2559" i="50"/>
  <c r="Z2560" i="50"/>
  <c r="Z2561" i="50"/>
  <c r="Z2562" i="50"/>
  <c r="Z2563" i="50"/>
  <c r="Z2564" i="50"/>
  <c r="Z2565" i="50"/>
  <c r="Z2566" i="50"/>
  <c r="Z2567" i="50"/>
  <c r="Z2568" i="50"/>
  <c r="Z2569" i="50"/>
  <c r="Z2570" i="50"/>
  <c r="Z2571" i="50"/>
  <c r="Z2572" i="50"/>
  <c r="Z2573" i="50"/>
  <c r="Z2574" i="50"/>
  <c r="Z2575" i="50"/>
  <c r="Z2576" i="50"/>
  <c r="Z2577" i="50"/>
  <c r="Z2578" i="50"/>
  <c r="Z2579" i="50"/>
  <c r="Z2580" i="50"/>
  <c r="Z2581" i="50"/>
  <c r="Z2582" i="50"/>
  <c r="Z2583" i="50"/>
  <c r="Z2584" i="50"/>
  <c r="Z2585" i="50"/>
  <c r="Z2586" i="50"/>
  <c r="Z2587" i="50"/>
  <c r="Z2588" i="50"/>
  <c r="Z2589" i="50"/>
  <c r="Z2590" i="50"/>
  <c r="Z2591" i="50"/>
  <c r="Z2592" i="50"/>
  <c r="Z2593" i="50"/>
  <c r="Z2594" i="50"/>
  <c r="Z2595" i="50"/>
  <c r="Z2596" i="50"/>
  <c r="Z2597" i="50"/>
  <c r="Z2598" i="50"/>
  <c r="Z2599" i="50"/>
  <c r="Z2600" i="50"/>
  <c r="Z2601" i="50"/>
  <c r="Z2602" i="50"/>
  <c r="Z2603" i="50"/>
  <c r="Z2604" i="50"/>
  <c r="Z2605" i="50"/>
  <c r="Z2606" i="50"/>
  <c r="Z2607" i="50"/>
  <c r="Z2608" i="50"/>
  <c r="Z2609" i="50"/>
  <c r="Z2610" i="50"/>
  <c r="Z2611" i="50"/>
  <c r="Z2612" i="50"/>
  <c r="Z2613" i="50"/>
  <c r="Z2614" i="50"/>
  <c r="Z2615" i="50"/>
  <c r="Z2616" i="50"/>
  <c r="Z2617" i="50"/>
  <c r="Z2618" i="50"/>
  <c r="Z2619" i="50"/>
  <c r="Z2620" i="50"/>
  <c r="Z2621" i="50"/>
  <c r="Z2622" i="50"/>
  <c r="Z2623" i="50"/>
  <c r="Z2624" i="50"/>
  <c r="Z2625" i="50"/>
  <c r="Z2626" i="50"/>
  <c r="Z2627" i="50"/>
  <c r="Z2628" i="50"/>
  <c r="Z2629" i="50"/>
  <c r="Z2630" i="50"/>
  <c r="Z2631" i="50"/>
  <c r="Z2632" i="50"/>
  <c r="Z2633" i="50"/>
  <c r="Z2634" i="50"/>
  <c r="Z2635" i="50"/>
  <c r="Z2636" i="50"/>
  <c r="Z2637" i="50"/>
  <c r="Z2638" i="50"/>
  <c r="Z2639" i="50"/>
  <c r="Z2640" i="50"/>
  <c r="Z2641" i="50"/>
  <c r="Z2642" i="50"/>
  <c r="Z2643" i="50"/>
  <c r="Z2644" i="50"/>
  <c r="Z2645" i="50"/>
  <c r="Z2646" i="50"/>
  <c r="Z2647" i="50"/>
  <c r="Z2648" i="50"/>
  <c r="Z2649" i="50"/>
  <c r="Z2650" i="50"/>
  <c r="Z2651" i="50"/>
  <c r="Z2652" i="50"/>
  <c r="Z2653" i="50"/>
  <c r="Z2654" i="50"/>
  <c r="Z2655" i="50"/>
  <c r="Z2656" i="50"/>
  <c r="Z2657" i="50"/>
  <c r="Z2658" i="50"/>
  <c r="Z2659" i="50"/>
  <c r="Z2660" i="50"/>
  <c r="Z2661" i="50"/>
  <c r="Z2662" i="50"/>
  <c r="Z2663" i="50"/>
  <c r="Z2664" i="50"/>
  <c r="Z2665" i="50"/>
  <c r="Z2666" i="50"/>
  <c r="Z2667" i="50"/>
  <c r="Z2668" i="50"/>
  <c r="Z2669" i="50"/>
  <c r="Z2670" i="50"/>
  <c r="Z2671" i="50"/>
  <c r="Z2672" i="50"/>
  <c r="Z2673" i="50"/>
  <c r="Z2674" i="50"/>
  <c r="Z2675" i="50"/>
  <c r="Z2676" i="50"/>
  <c r="Z2677" i="50"/>
  <c r="Z2678" i="50"/>
  <c r="Z2679" i="50"/>
  <c r="Z2680" i="50"/>
  <c r="Z2681" i="50"/>
  <c r="Z2682" i="50"/>
  <c r="Z2683" i="50"/>
  <c r="Z2684" i="50"/>
  <c r="Z2685" i="50"/>
  <c r="Z2686" i="50"/>
  <c r="Z2687" i="50"/>
  <c r="Z2688" i="50"/>
  <c r="Z2689" i="50"/>
  <c r="Z2690" i="50"/>
  <c r="Z2691" i="50"/>
  <c r="Z2692" i="50"/>
  <c r="Z2693" i="50"/>
  <c r="Z2694" i="50"/>
  <c r="Z2695" i="50"/>
  <c r="Z2696" i="50"/>
  <c r="Z2697" i="50"/>
  <c r="Z2698" i="50"/>
  <c r="Z2699" i="50"/>
  <c r="Z2700" i="50"/>
  <c r="Z2701" i="50"/>
  <c r="Z2702" i="50"/>
  <c r="Z2703" i="50"/>
  <c r="Z2704" i="50"/>
  <c r="Z2705" i="50"/>
  <c r="Z2706" i="50"/>
  <c r="Z2707" i="50"/>
  <c r="Z2708" i="50"/>
  <c r="Z2709" i="50"/>
  <c r="Z2710" i="50"/>
  <c r="Z2711" i="50"/>
  <c r="Z2712" i="50"/>
  <c r="Z2713" i="50"/>
  <c r="Z2714" i="50"/>
  <c r="Z2715" i="50"/>
  <c r="Z2716" i="50"/>
  <c r="Z2717" i="50"/>
  <c r="Z2718" i="50"/>
  <c r="Z2719" i="50"/>
  <c r="Z2720" i="50"/>
  <c r="Z2721" i="50"/>
  <c r="Z2722" i="50"/>
  <c r="Z2723" i="50"/>
  <c r="Z2724" i="50"/>
  <c r="Z2725" i="50"/>
  <c r="Z2726" i="50"/>
  <c r="Z2727" i="50"/>
  <c r="Z2728" i="50"/>
  <c r="Z2729" i="50"/>
  <c r="Z2730" i="50"/>
  <c r="Z2731" i="50"/>
  <c r="Z2732" i="50"/>
  <c r="Z2733" i="50"/>
  <c r="Z2734" i="50"/>
  <c r="Z2735" i="50"/>
  <c r="Z2736" i="50"/>
  <c r="Z2737" i="50"/>
  <c r="Z2738" i="50"/>
  <c r="Z2739" i="50"/>
  <c r="Z2740" i="50"/>
  <c r="Z2741" i="50"/>
  <c r="Z2742" i="50"/>
  <c r="Z2743" i="50"/>
  <c r="Z2744" i="50"/>
  <c r="Z2745" i="50"/>
  <c r="Z2746" i="50"/>
  <c r="Z2747" i="50"/>
  <c r="Z2748" i="50"/>
  <c r="Z2749" i="50"/>
  <c r="Z2750" i="50"/>
  <c r="Z2751" i="50"/>
  <c r="Z2752" i="50"/>
  <c r="Z2753" i="50"/>
  <c r="Z2754" i="50"/>
  <c r="Z2755" i="50"/>
  <c r="Z2756" i="50"/>
  <c r="Z2757" i="50"/>
  <c r="Z2758" i="50"/>
  <c r="Z2759" i="50"/>
  <c r="Z2760" i="50"/>
  <c r="Z2761" i="50"/>
  <c r="Z2762" i="50"/>
  <c r="Z2763" i="50"/>
  <c r="Z2764" i="50"/>
  <c r="Z2765" i="50"/>
  <c r="Z2766" i="50"/>
  <c r="Z2767" i="50"/>
  <c r="Z2768" i="50"/>
  <c r="Z2769" i="50"/>
  <c r="Z2770" i="50"/>
  <c r="Z2771" i="50"/>
  <c r="Z2772" i="50"/>
  <c r="Z2773" i="50"/>
  <c r="Z2774" i="50"/>
  <c r="Z2775" i="50"/>
  <c r="Z2776" i="50"/>
  <c r="Z2777" i="50"/>
  <c r="Z2778" i="50"/>
  <c r="Z2779" i="50"/>
  <c r="Z2780" i="50"/>
  <c r="Z2781" i="50"/>
  <c r="Z2782" i="50"/>
  <c r="Z2783" i="50"/>
  <c r="Z2784" i="50"/>
  <c r="Z2785" i="50"/>
  <c r="Z2786" i="50"/>
  <c r="Z2787" i="50"/>
  <c r="Z2788" i="50"/>
  <c r="Z2789" i="50"/>
  <c r="Z2790" i="50"/>
  <c r="Z2791" i="50"/>
  <c r="Z2792" i="50"/>
  <c r="Z2793" i="50"/>
  <c r="Z2794" i="50"/>
  <c r="Z2795" i="50"/>
  <c r="Z2796" i="50"/>
  <c r="Z2797" i="50"/>
  <c r="Z2798" i="50"/>
  <c r="Z2799" i="50"/>
  <c r="Z2800" i="50"/>
  <c r="Z2801" i="50"/>
  <c r="Z2802" i="50"/>
  <c r="Z2803" i="50"/>
  <c r="Z2804" i="50"/>
  <c r="Z2805" i="50"/>
  <c r="Z2806" i="50"/>
  <c r="Z2807" i="50"/>
  <c r="Z2808" i="50"/>
  <c r="Z2809" i="50"/>
  <c r="Z2810" i="50"/>
  <c r="Z2811" i="50"/>
  <c r="Z2812" i="50"/>
  <c r="Z2813" i="50"/>
  <c r="Z2814" i="50"/>
  <c r="Z2815" i="50"/>
  <c r="Z2816" i="50"/>
  <c r="Z2817" i="50"/>
  <c r="Z2818" i="50"/>
  <c r="Z2819" i="50"/>
  <c r="Z2820" i="50"/>
  <c r="Z2821" i="50"/>
  <c r="Z2822" i="50"/>
  <c r="Z2823" i="50"/>
  <c r="Z2824" i="50"/>
  <c r="Z2825" i="50"/>
  <c r="Z2826" i="50"/>
  <c r="Z2827" i="50"/>
  <c r="Z2828" i="50"/>
  <c r="Z2829" i="50"/>
  <c r="Z2830" i="50"/>
  <c r="Z2831" i="50"/>
  <c r="Z2832" i="50"/>
  <c r="Z2833" i="50"/>
  <c r="Z2834" i="50"/>
  <c r="Z2835" i="50"/>
  <c r="Z2836" i="50"/>
  <c r="Z2837" i="50"/>
  <c r="Z2838" i="50"/>
  <c r="Z2839" i="50"/>
  <c r="Z2840" i="50"/>
  <c r="Z2841" i="50"/>
  <c r="Z2842" i="50"/>
  <c r="Z2843" i="50"/>
  <c r="Z2844" i="50"/>
  <c r="Z2845" i="50"/>
  <c r="Z2846" i="50"/>
  <c r="Z2847" i="50"/>
  <c r="Z2848" i="50"/>
  <c r="Z2849" i="50"/>
  <c r="Z2850" i="50"/>
  <c r="Z2851" i="50"/>
  <c r="Z2852" i="50"/>
  <c r="Z2853" i="50"/>
  <c r="Z2854" i="50"/>
  <c r="Z2855" i="50"/>
  <c r="Z2856" i="50"/>
  <c r="Z2857" i="50"/>
  <c r="Z2858" i="50"/>
  <c r="Z2859" i="50"/>
  <c r="Z2860" i="50"/>
  <c r="Z2861" i="50"/>
  <c r="Z2862" i="50"/>
  <c r="Z2863" i="50"/>
  <c r="Z2864" i="50"/>
  <c r="Z2865" i="50"/>
  <c r="Z2866" i="50"/>
  <c r="Z2867" i="50"/>
  <c r="Z2868" i="50"/>
  <c r="Z2869" i="50"/>
  <c r="Z2870" i="50"/>
  <c r="Z2871" i="50"/>
  <c r="Z2872" i="50"/>
  <c r="Z2873" i="50"/>
  <c r="Z2874" i="50"/>
  <c r="Z2875" i="50"/>
  <c r="Z2876" i="50"/>
  <c r="Z2877" i="50"/>
  <c r="Z2878" i="50"/>
  <c r="Z2879" i="50"/>
  <c r="Z2880" i="50"/>
  <c r="Z2881" i="50"/>
  <c r="Z2882" i="50"/>
  <c r="Z2883" i="50"/>
  <c r="Z2884" i="50"/>
  <c r="Z2885" i="50"/>
  <c r="Z2886" i="50"/>
  <c r="Z2887" i="50"/>
  <c r="Z2888" i="50"/>
  <c r="Z2889" i="50"/>
  <c r="Z2890" i="50"/>
  <c r="Z2891" i="50"/>
  <c r="Z2892" i="50"/>
  <c r="Z2893" i="50"/>
  <c r="Z2894" i="50"/>
  <c r="Z2895" i="50"/>
  <c r="Z2896" i="50"/>
  <c r="Z2897" i="50"/>
  <c r="Z2898" i="50"/>
  <c r="Z2899" i="50"/>
  <c r="Z2900" i="50"/>
  <c r="Z2901" i="50"/>
  <c r="Z2902" i="50"/>
  <c r="Z2903" i="50"/>
  <c r="Z2904" i="50"/>
  <c r="Z2905" i="50"/>
  <c r="Z2906" i="50"/>
  <c r="Z2907" i="50"/>
  <c r="Z2908" i="50"/>
  <c r="Z2909" i="50"/>
  <c r="Z2910" i="50"/>
  <c r="Z2911" i="50"/>
  <c r="Z2912" i="50"/>
  <c r="Z2913" i="50"/>
  <c r="Z2914" i="50"/>
  <c r="Z2915" i="50"/>
  <c r="Z2916" i="50"/>
  <c r="Z2917" i="50"/>
  <c r="Z2918" i="50"/>
  <c r="Z2919" i="50"/>
  <c r="Z2920" i="50"/>
  <c r="Z2921" i="50"/>
  <c r="Z2922" i="50"/>
  <c r="Z2923" i="50"/>
  <c r="Z2924" i="50"/>
  <c r="Z2925" i="50"/>
  <c r="Z2926" i="50"/>
  <c r="Z2927" i="50"/>
  <c r="Z2928" i="50"/>
  <c r="Z2929" i="50"/>
  <c r="Z2930" i="50"/>
  <c r="Z2931" i="50"/>
  <c r="Z2932" i="50"/>
  <c r="Z2933" i="50"/>
  <c r="Z2934" i="50"/>
  <c r="Z2935" i="50"/>
  <c r="Z2936" i="50"/>
  <c r="Z2937" i="50"/>
  <c r="Z2938" i="50"/>
  <c r="Z2939" i="50"/>
  <c r="Z2940" i="50"/>
  <c r="Z2941" i="50"/>
  <c r="Z2942" i="50"/>
  <c r="Z2943" i="50"/>
  <c r="Z2944" i="50"/>
  <c r="Z2945" i="50"/>
  <c r="Z2946" i="50"/>
  <c r="Z2947" i="50"/>
  <c r="Z2948" i="50"/>
  <c r="Z2949" i="50"/>
  <c r="Z2950" i="50"/>
  <c r="Z2951" i="50"/>
  <c r="Z2952" i="50"/>
  <c r="Z2953" i="50"/>
  <c r="Z2954" i="50"/>
  <c r="Z2955" i="50"/>
  <c r="Z2956" i="50"/>
  <c r="Z2957" i="50"/>
  <c r="Z2958" i="50"/>
  <c r="Z2959" i="50"/>
  <c r="Z2960" i="50"/>
  <c r="Z2961" i="50"/>
  <c r="Z2962" i="50"/>
  <c r="Z2963" i="50"/>
  <c r="Z2964" i="50"/>
  <c r="Z2965" i="50"/>
  <c r="Z2966" i="50"/>
  <c r="Z2967" i="50"/>
  <c r="Z2968" i="50"/>
  <c r="Z2969" i="50"/>
  <c r="Z2970" i="50"/>
  <c r="Z2971" i="50"/>
  <c r="Z2972" i="50"/>
  <c r="Z2973" i="50"/>
  <c r="Z2974" i="50"/>
  <c r="Z2975" i="50"/>
  <c r="Z2976" i="50"/>
  <c r="Z2977" i="50"/>
  <c r="Z2978" i="50"/>
  <c r="Z2979" i="50"/>
  <c r="Z2980" i="50"/>
  <c r="Z2981" i="50"/>
  <c r="Z2982" i="50"/>
  <c r="Z2983" i="50"/>
  <c r="Z2984" i="50"/>
  <c r="Z2985" i="50"/>
  <c r="Z2986" i="50"/>
  <c r="Z2987" i="50"/>
  <c r="Z2988" i="50"/>
  <c r="Z2989" i="50"/>
  <c r="Z2990" i="50"/>
  <c r="Z2991" i="50"/>
  <c r="Z2992" i="50"/>
  <c r="Z2993" i="50"/>
  <c r="Z2994" i="50"/>
  <c r="Z2995" i="50"/>
  <c r="Z2996" i="50"/>
  <c r="Z2997" i="50"/>
  <c r="Z2998" i="50"/>
  <c r="Z2999" i="50"/>
  <c r="Z3000" i="50"/>
  <c r="Z3001" i="50"/>
  <c r="Z3002" i="50"/>
  <c r="Z3003" i="50"/>
  <c r="Z3004" i="50"/>
  <c r="Z3005" i="50"/>
  <c r="Z3006" i="50"/>
  <c r="Z3007" i="50"/>
  <c r="Z3008" i="50"/>
  <c r="Z3009" i="50"/>
  <c r="Z3010" i="50"/>
  <c r="Z3011" i="50"/>
  <c r="Z3012" i="50"/>
  <c r="Z3013" i="50"/>
  <c r="Z3014" i="50"/>
  <c r="Z3015" i="50"/>
  <c r="Z3016" i="50"/>
  <c r="Z3017" i="50"/>
  <c r="Z3018" i="50"/>
  <c r="Z3019" i="50"/>
  <c r="Z3020" i="50"/>
  <c r="Z3021" i="50"/>
  <c r="Z3022" i="50"/>
  <c r="Z3023" i="50"/>
  <c r="Z3024" i="50"/>
  <c r="Z3025" i="50"/>
  <c r="Z3026" i="50"/>
  <c r="Z3027" i="50"/>
  <c r="Z3028" i="50"/>
  <c r="Z3029" i="50"/>
  <c r="Z3030" i="50"/>
  <c r="Z3031" i="50"/>
  <c r="Z3032" i="50"/>
  <c r="Z3033" i="50"/>
  <c r="Z3034" i="50"/>
  <c r="Z3035" i="50"/>
  <c r="Z3036" i="50"/>
  <c r="Z3037" i="50"/>
  <c r="Z3038" i="50"/>
  <c r="Z3039" i="50"/>
  <c r="Z3040" i="50"/>
  <c r="Z3041" i="50"/>
  <c r="Z3042" i="50"/>
  <c r="Z3043" i="50"/>
  <c r="Z3044" i="50"/>
  <c r="Z3045" i="50"/>
  <c r="Z3046" i="50"/>
  <c r="Z3047" i="50"/>
  <c r="Z3048" i="50"/>
  <c r="Z3049" i="50"/>
  <c r="Z3050" i="50"/>
  <c r="Z3051" i="50"/>
  <c r="Z3052" i="50"/>
  <c r="Z3053" i="50"/>
  <c r="Z3054" i="50"/>
  <c r="Z3055" i="50"/>
  <c r="Z3056" i="50"/>
  <c r="Z3057" i="50"/>
  <c r="Z3058" i="50"/>
  <c r="Z3059" i="50"/>
  <c r="Z3060" i="50"/>
  <c r="Z3061" i="50"/>
  <c r="Z3062" i="50"/>
  <c r="Z3063" i="50"/>
  <c r="Z3064" i="50"/>
  <c r="Z3065" i="50"/>
  <c r="Z3066" i="50"/>
  <c r="Z3067" i="50"/>
  <c r="Z3068" i="50"/>
  <c r="Z3069" i="50"/>
  <c r="Z3070" i="50"/>
  <c r="Z3071" i="50"/>
  <c r="Z3072" i="50"/>
  <c r="Z3073" i="50"/>
  <c r="Z3074" i="50"/>
  <c r="Z3075" i="50"/>
  <c r="Z3076" i="50"/>
  <c r="Z3077" i="50"/>
  <c r="Z3078" i="50"/>
  <c r="Z3079" i="50"/>
  <c r="Z3080" i="50"/>
  <c r="Z3081" i="50"/>
  <c r="Z3082" i="50"/>
  <c r="Z3083" i="50"/>
  <c r="Z3084" i="50"/>
  <c r="Z3085" i="50"/>
  <c r="Z3086" i="50"/>
  <c r="Z3087" i="50"/>
  <c r="Z3088" i="50"/>
  <c r="Z3089" i="50"/>
  <c r="Z3090" i="50"/>
  <c r="Z3091" i="50"/>
  <c r="Z3092" i="50"/>
  <c r="Z3093" i="50"/>
  <c r="Z3094" i="50"/>
  <c r="Z3095" i="50"/>
  <c r="Z3096" i="50"/>
  <c r="Z3097" i="50"/>
  <c r="Z3098" i="50"/>
  <c r="Z3099" i="50"/>
  <c r="Z3100" i="50"/>
  <c r="Z3101" i="50"/>
  <c r="Z3102" i="50"/>
  <c r="Z3103" i="50"/>
  <c r="Z3104" i="50"/>
  <c r="Z3105" i="50"/>
  <c r="Z3106" i="50"/>
  <c r="Z3107" i="50"/>
  <c r="Z3108" i="50"/>
  <c r="Z3109" i="50"/>
  <c r="Z3110" i="50"/>
  <c r="Z3111" i="50"/>
  <c r="Z3112" i="50"/>
  <c r="Z3113" i="50"/>
  <c r="Z3114" i="50"/>
  <c r="Z3115" i="50"/>
  <c r="Z3116" i="50"/>
  <c r="Z3117" i="50"/>
  <c r="Z3118" i="50"/>
  <c r="Z3119" i="50"/>
  <c r="Z3120" i="50"/>
  <c r="Z3121" i="50"/>
  <c r="Z3122" i="50"/>
  <c r="Z3123" i="50"/>
  <c r="Z3124" i="50"/>
  <c r="Z3125" i="50"/>
  <c r="Z3126" i="50"/>
  <c r="Z3127" i="50"/>
  <c r="Z3128" i="50"/>
  <c r="Z3129" i="50"/>
  <c r="Z3130" i="50"/>
  <c r="Z3131" i="50"/>
  <c r="Z3132" i="50"/>
  <c r="Z3133" i="50"/>
  <c r="Z3134" i="50"/>
  <c r="Z3135" i="50"/>
  <c r="Z3136" i="50"/>
  <c r="Z3137" i="50"/>
  <c r="Z3138" i="50"/>
  <c r="Z3139" i="50"/>
  <c r="Z3140" i="50"/>
  <c r="Z3141" i="50"/>
  <c r="Z3142" i="50"/>
  <c r="Z3143" i="50"/>
  <c r="Z3144" i="50"/>
  <c r="Z3145" i="50"/>
  <c r="Z3146" i="50"/>
  <c r="Z3147" i="50"/>
  <c r="Z3148" i="50"/>
  <c r="Z3149" i="50"/>
  <c r="Z3150" i="50"/>
  <c r="Z3151" i="50"/>
  <c r="Z3152" i="50"/>
  <c r="Z3153" i="50"/>
  <c r="Z3154" i="50"/>
  <c r="Z3155" i="50"/>
  <c r="Z3156" i="50"/>
  <c r="Z3157" i="50"/>
  <c r="Z3158" i="50"/>
  <c r="Z3159" i="50"/>
  <c r="Z3160" i="50"/>
  <c r="Z3161" i="50"/>
  <c r="Z3162" i="50"/>
  <c r="Z3163" i="50"/>
  <c r="Z3164" i="50"/>
  <c r="Z3165" i="50"/>
  <c r="Z3166" i="50"/>
  <c r="Z3167" i="50"/>
  <c r="Z3168" i="50"/>
  <c r="Z3169" i="50"/>
  <c r="Z3170" i="50"/>
  <c r="Z3171" i="50"/>
  <c r="Z3172" i="50"/>
  <c r="Z3173" i="50"/>
  <c r="Z3174" i="50"/>
  <c r="Z3175" i="50"/>
  <c r="Z3176" i="50"/>
  <c r="Z3177" i="50"/>
  <c r="Z3178" i="50"/>
  <c r="Z3179" i="50"/>
  <c r="Z3180" i="50"/>
  <c r="Z3181" i="50"/>
  <c r="Z3182" i="50"/>
  <c r="Z3183" i="50"/>
  <c r="Z3184" i="50"/>
  <c r="Z3185" i="50"/>
  <c r="Z3186" i="50"/>
  <c r="Z3187" i="50"/>
  <c r="Z3188" i="50"/>
  <c r="Z3189" i="50"/>
  <c r="Z3190" i="50"/>
  <c r="Z3191" i="50"/>
  <c r="Z3192" i="50"/>
  <c r="Z3193" i="50"/>
  <c r="Z3194" i="50"/>
  <c r="Z3195" i="50"/>
  <c r="Z3196" i="50"/>
  <c r="Z3197" i="50"/>
  <c r="Z3198" i="50"/>
  <c r="Z3199" i="50"/>
  <c r="Z3200" i="50"/>
  <c r="Z3201" i="50"/>
  <c r="Z3202" i="50"/>
  <c r="Z3203" i="50"/>
  <c r="Z3204" i="50"/>
  <c r="Z3205" i="50"/>
  <c r="Z3206" i="50"/>
  <c r="Z3207" i="50"/>
  <c r="Z3208" i="50"/>
  <c r="Z3209" i="50"/>
  <c r="Z3210" i="50"/>
  <c r="Z3211" i="50"/>
  <c r="Z3212" i="50"/>
  <c r="Z3213" i="50"/>
  <c r="Z3214" i="50"/>
  <c r="Z3215" i="50"/>
  <c r="Z3216" i="50"/>
  <c r="Z3217" i="50"/>
  <c r="Z3218" i="50"/>
  <c r="Z3219" i="50"/>
  <c r="Z3220" i="50"/>
  <c r="Z3221" i="50"/>
  <c r="Z3222" i="50"/>
  <c r="Z3223" i="50"/>
  <c r="Z3224" i="50"/>
  <c r="Z3225" i="50"/>
  <c r="Z3226" i="50"/>
  <c r="Z3227" i="50"/>
  <c r="Z3228" i="50"/>
  <c r="Z3229" i="50"/>
  <c r="Z3230" i="50"/>
  <c r="Z3231" i="50"/>
  <c r="Z3232" i="50"/>
  <c r="Z3233" i="50"/>
  <c r="Z3234" i="50"/>
  <c r="Z3235" i="50"/>
  <c r="Z3236" i="50"/>
  <c r="Z3237" i="50"/>
  <c r="Z3238" i="50"/>
  <c r="Z3239" i="50"/>
  <c r="Z3240" i="50"/>
  <c r="Z3241" i="50"/>
  <c r="Z3242" i="50"/>
  <c r="Z3243" i="50"/>
  <c r="Z3244" i="50"/>
  <c r="Z3245" i="50"/>
  <c r="Z3246" i="50"/>
  <c r="Z3247" i="50"/>
  <c r="Z3248" i="50"/>
  <c r="Z3249" i="50"/>
  <c r="Z3250" i="50"/>
  <c r="Z3251" i="50"/>
  <c r="Z3252" i="50"/>
  <c r="Z3253" i="50"/>
  <c r="Z3254" i="50"/>
  <c r="Z3255" i="50"/>
  <c r="Z3256" i="50"/>
  <c r="Z3257" i="50"/>
  <c r="Z3258" i="50"/>
  <c r="Z3259" i="50"/>
  <c r="Z3260" i="50"/>
  <c r="Z3261" i="50"/>
  <c r="Z3262" i="50"/>
  <c r="Z3263" i="50"/>
  <c r="Z3264" i="50"/>
  <c r="Z3265" i="50"/>
  <c r="Z3266" i="50"/>
  <c r="Z3267" i="50"/>
  <c r="Z3268" i="50"/>
  <c r="Z3269" i="50"/>
  <c r="Z3270" i="50"/>
  <c r="Z3271" i="50"/>
  <c r="Z3272" i="50"/>
  <c r="Z3273" i="50"/>
  <c r="Z3274" i="50"/>
  <c r="Z3275" i="50"/>
  <c r="Z3276" i="50"/>
  <c r="Z3277" i="50"/>
  <c r="Z3278" i="50"/>
  <c r="Z3279" i="50"/>
  <c r="Z3280" i="50"/>
  <c r="Z3281" i="50"/>
  <c r="Z3282" i="50"/>
  <c r="Z3283" i="50"/>
  <c r="Z3284" i="50"/>
  <c r="Z3285" i="50"/>
  <c r="Z3286" i="50"/>
  <c r="Z3287" i="50"/>
  <c r="Z3288" i="50"/>
  <c r="Z3289" i="50"/>
  <c r="Z3290" i="50"/>
  <c r="Z3291" i="50"/>
  <c r="Z3292" i="50"/>
  <c r="Z3293" i="50"/>
  <c r="Z3294" i="50"/>
  <c r="Z3295" i="50"/>
  <c r="Z3296" i="50"/>
  <c r="Z3297" i="50"/>
  <c r="Z3298" i="50"/>
  <c r="Z3299" i="50"/>
  <c r="Z3300" i="50"/>
  <c r="Z3301" i="50"/>
  <c r="Z3302" i="50"/>
  <c r="Z3303" i="50"/>
  <c r="Z3304" i="50"/>
  <c r="Z3305" i="50"/>
  <c r="Z3306" i="50"/>
  <c r="Z3307" i="50"/>
  <c r="Z3308" i="50"/>
  <c r="Z3309" i="50"/>
  <c r="Z3310" i="50"/>
  <c r="Z3311" i="50"/>
  <c r="Z3312" i="50"/>
  <c r="Z3313" i="50"/>
  <c r="Z3314" i="50"/>
  <c r="Z3315" i="50"/>
  <c r="Z3316" i="50"/>
  <c r="Z3317" i="50"/>
  <c r="Z3318" i="50"/>
  <c r="Z3319" i="50"/>
  <c r="Z3320" i="50"/>
  <c r="Z3321" i="50"/>
  <c r="Z3322" i="50"/>
  <c r="Z3323" i="50"/>
  <c r="Z3324" i="50"/>
  <c r="Z3325" i="50"/>
  <c r="Z3326" i="50"/>
  <c r="Z3327" i="50"/>
  <c r="Z3328" i="50"/>
  <c r="Z3329" i="50"/>
  <c r="Z3330" i="50"/>
  <c r="Z3331" i="50"/>
  <c r="Z3332" i="50"/>
  <c r="Z3333" i="50"/>
  <c r="Z3334" i="50"/>
  <c r="Z3335" i="50"/>
  <c r="Z3336" i="50"/>
  <c r="Z3337" i="50"/>
  <c r="Z3338" i="50"/>
  <c r="Z3339" i="50"/>
  <c r="Z3340" i="50"/>
  <c r="Z3341" i="50"/>
  <c r="Z3342" i="50"/>
  <c r="Z3343" i="50"/>
  <c r="Z3344" i="50"/>
  <c r="Z3345" i="50"/>
  <c r="Z3346" i="50"/>
  <c r="Z3347" i="50"/>
  <c r="Z3348" i="50"/>
  <c r="Z3349" i="50"/>
  <c r="Z3350" i="50"/>
  <c r="Z3351" i="50"/>
  <c r="Z3352" i="50"/>
  <c r="Z3353" i="50"/>
  <c r="Z3354" i="50"/>
  <c r="Z3355" i="50"/>
  <c r="Z3356" i="50"/>
  <c r="Z3357" i="50"/>
  <c r="Z3358" i="50"/>
  <c r="Z3359" i="50"/>
  <c r="Z3360" i="50"/>
  <c r="Z3361" i="50"/>
  <c r="Z3362" i="50"/>
  <c r="Z3363" i="50"/>
  <c r="Z3364" i="50"/>
  <c r="Z3365" i="50"/>
  <c r="Z3366" i="50"/>
  <c r="Z3367" i="50"/>
  <c r="Z3368" i="50"/>
  <c r="Z3369" i="50"/>
  <c r="Z3370" i="50"/>
  <c r="Z3371" i="50"/>
  <c r="Z3372" i="50"/>
  <c r="Z3373" i="50"/>
  <c r="Z3374" i="50"/>
  <c r="Z3375" i="50"/>
  <c r="Z3376" i="50"/>
  <c r="Z3377" i="50"/>
  <c r="Z3378" i="50"/>
  <c r="Z3379" i="50"/>
  <c r="Z3380" i="50"/>
  <c r="Z3381" i="50"/>
  <c r="Z3382" i="50"/>
  <c r="Z3383" i="50"/>
  <c r="Z3384" i="50"/>
  <c r="Z3385" i="50"/>
  <c r="Z3386" i="50"/>
  <c r="Z3387" i="50"/>
  <c r="Z3388" i="50"/>
  <c r="Z3389" i="50"/>
  <c r="Z3390" i="50"/>
  <c r="Z3391" i="50"/>
  <c r="Z3392" i="50"/>
  <c r="Z3393" i="50"/>
  <c r="Z3394" i="50"/>
  <c r="Z3395" i="50"/>
  <c r="Z3396" i="50"/>
  <c r="Z3397" i="50"/>
  <c r="Z3398" i="50"/>
  <c r="Z3399" i="50"/>
  <c r="Z3400" i="50"/>
  <c r="Z3401" i="50"/>
  <c r="Z3402" i="50"/>
  <c r="Z3403" i="50"/>
  <c r="Z3404" i="50"/>
  <c r="Z3405" i="50"/>
  <c r="Z3406" i="50"/>
  <c r="Z3407" i="50"/>
  <c r="Z3408" i="50"/>
  <c r="Z3409" i="50"/>
  <c r="Z3410" i="50"/>
  <c r="Z3411" i="50"/>
  <c r="Z3412" i="50"/>
  <c r="Z3413" i="50"/>
  <c r="Z3414" i="50"/>
  <c r="Z3415" i="50"/>
  <c r="Z3416" i="50"/>
  <c r="Z3417" i="50"/>
  <c r="Z3418" i="50"/>
  <c r="Z3419" i="50"/>
  <c r="Z3420" i="50"/>
  <c r="Z3421" i="50"/>
  <c r="Z3422" i="50"/>
  <c r="Z3423" i="50"/>
  <c r="Z3424" i="50"/>
  <c r="Z3425" i="50"/>
  <c r="Z3426" i="50"/>
  <c r="Z3427" i="50"/>
  <c r="Z3428" i="50"/>
  <c r="Z3429" i="50"/>
  <c r="Z3430" i="50"/>
  <c r="Z3431" i="50"/>
  <c r="Z3432" i="50"/>
  <c r="Z3433" i="50"/>
  <c r="Z3434" i="50"/>
  <c r="Z3435" i="50"/>
  <c r="Z3436" i="50"/>
  <c r="Z3437" i="50"/>
  <c r="Z3438" i="50"/>
  <c r="Z3439" i="50"/>
  <c r="Z3440" i="50"/>
  <c r="Z3441" i="50"/>
  <c r="Z3442" i="50"/>
  <c r="Z3443" i="50"/>
  <c r="Z3444" i="50"/>
  <c r="Z3445" i="50"/>
  <c r="Z3446" i="50"/>
  <c r="Z3447" i="50"/>
  <c r="Z3448" i="50"/>
  <c r="Z3449" i="50"/>
  <c r="Z3450" i="50"/>
  <c r="Z3451" i="50"/>
  <c r="Z3452" i="50"/>
  <c r="Z3453" i="50"/>
  <c r="Z3454" i="50"/>
  <c r="Z3455" i="50"/>
  <c r="Z3456" i="50"/>
  <c r="Z3457" i="50"/>
  <c r="Z3458" i="50"/>
  <c r="Z3459" i="50"/>
  <c r="Z3460" i="50"/>
  <c r="Z3461" i="50"/>
  <c r="Z3462" i="50"/>
  <c r="Z3463" i="50"/>
  <c r="Z3464" i="50"/>
  <c r="Z3465" i="50"/>
  <c r="Z3466" i="50"/>
  <c r="Z3467" i="50"/>
  <c r="Z3468" i="50"/>
  <c r="Z3469" i="50"/>
  <c r="Z3470" i="50"/>
  <c r="Z3471" i="50"/>
  <c r="Z3472" i="50"/>
  <c r="Z3473" i="50"/>
  <c r="Z3474" i="50"/>
  <c r="Z3475" i="50"/>
  <c r="Z3476" i="50"/>
  <c r="Z3477" i="50"/>
  <c r="Z3478" i="50"/>
  <c r="Z3479" i="50"/>
  <c r="Z3480" i="50"/>
  <c r="Z3481" i="50"/>
  <c r="Z3482" i="50"/>
  <c r="Z3483" i="50"/>
  <c r="Z3484" i="50"/>
  <c r="Z3485" i="50"/>
  <c r="Z3486" i="50"/>
  <c r="Z3487" i="50"/>
  <c r="Z3488" i="50"/>
  <c r="Z3489" i="50"/>
  <c r="Z3490" i="50"/>
  <c r="Z3491" i="50"/>
  <c r="Z3492" i="50"/>
  <c r="Z3493" i="50"/>
  <c r="Z3494" i="50"/>
  <c r="Z3495" i="50"/>
  <c r="Z3496" i="50"/>
  <c r="Z3497" i="50"/>
  <c r="Z3498" i="50"/>
  <c r="Z3499" i="50"/>
  <c r="Z3500" i="50"/>
  <c r="Z3501" i="50"/>
  <c r="Z3502" i="50"/>
  <c r="Z3503" i="50"/>
  <c r="Z3504" i="50"/>
  <c r="Z3505" i="50"/>
  <c r="Z3506" i="50"/>
  <c r="Z3507" i="50"/>
  <c r="Z3508" i="50"/>
  <c r="Z3509" i="50"/>
  <c r="Z3510" i="50"/>
  <c r="Z3511" i="50"/>
  <c r="Z3512" i="50"/>
  <c r="Z3513" i="50"/>
  <c r="Z3514" i="50"/>
  <c r="Z3515" i="50"/>
  <c r="Z3516" i="50"/>
  <c r="Z3517" i="50"/>
  <c r="Z3518" i="50"/>
  <c r="Z3519" i="50"/>
  <c r="Z3520" i="50"/>
  <c r="Z3521" i="50"/>
  <c r="Z3522" i="50"/>
  <c r="Z3523" i="50"/>
  <c r="Z3524" i="50"/>
  <c r="Z3525" i="50"/>
  <c r="Z3526" i="50"/>
  <c r="Z3527" i="50"/>
  <c r="Z3528" i="50"/>
  <c r="Z3529" i="50"/>
  <c r="Z3530" i="50"/>
  <c r="Z3531" i="50"/>
  <c r="Z3532" i="50"/>
  <c r="Z3533" i="50"/>
  <c r="Z3534" i="50"/>
  <c r="Z3535" i="50"/>
  <c r="Z3536" i="50"/>
  <c r="Z3537" i="50"/>
  <c r="Z3538" i="50"/>
  <c r="Z3539" i="50"/>
  <c r="Z3540" i="50"/>
  <c r="Z3541" i="50"/>
  <c r="Z3542" i="50"/>
  <c r="Z3543" i="50"/>
  <c r="Z3544" i="50"/>
  <c r="Z3545" i="50"/>
  <c r="Z3546" i="50"/>
  <c r="Z3547" i="50"/>
  <c r="Z3548" i="50"/>
  <c r="Z3549" i="50"/>
  <c r="Z3550" i="50"/>
  <c r="Z3551" i="50"/>
  <c r="Z3552" i="50"/>
  <c r="Z3553" i="50"/>
  <c r="Z3554" i="50"/>
  <c r="Z3555" i="50"/>
  <c r="Z3556" i="50"/>
  <c r="Z3557" i="50"/>
  <c r="Z3558" i="50"/>
  <c r="Z3559" i="50"/>
  <c r="Z3560" i="50"/>
  <c r="Z3561" i="50"/>
  <c r="Z3562" i="50"/>
  <c r="Z3563" i="50"/>
  <c r="Z3564" i="50"/>
  <c r="Z3565" i="50"/>
  <c r="Z3566" i="50"/>
  <c r="Z3567" i="50"/>
  <c r="Z3568" i="50"/>
  <c r="Z3569" i="50"/>
  <c r="Z3570" i="50"/>
  <c r="Z3571" i="50"/>
  <c r="Z3572" i="50"/>
  <c r="Z3573" i="50"/>
  <c r="Z3574" i="50"/>
  <c r="Z3575" i="50"/>
  <c r="Z3576" i="50"/>
  <c r="Z3577" i="50"/>
  <c r="Z3578" i="50"/>
  <c r="Z3579" i="50"/>
  <c r="Z3580" i="50"/>
  <c r="Z3581" i="50"/>
  <c r="Z3582" i="50"/>
  <c r="Z3583" i="50"/>
  <c r="Z3584" i="50"/>
  <c r="Z3585" i="50"/>
  <c r="Z3586" i="50"/>
  <c r="Z3587" i="50"/>
  <c r="Z3588" i="50"/>
  <c r="Z3589" i="50"/>
  <c r="Z3590" i="50"/>
  <c r="Z3591" i="50"/>
  <c r="Z3592" i="50"/>
  <c r="Z3593" i="50"/>
  <c r="Z3594" i="50"/>
  <c r="Z3595" i="50"/>
  <c r="Z3596" i="50"/>
  <c r="Z3597" i="50"/>
  <c r="Z3598" i="50"/>
  <c r="Z3599" i="50"/>
  <c r="Z3600" i="50"/>
  <c r="Z3601" i="50"/>
  <c r="Z3602" i="50"/>
  <c r="Z3603" i="50"/>
  <c r="Z3604" i="50"/>
  <c r="Z3605" i="50"/>
  <c r="Z3606" i="50"/>
  <c r="Z3607" i="50"/>
  <c r="Z3608" i="50"/>
  <c r="Z3609" i="50"/>
  <c r="Z3610" i="50"/>
  <c r="Z3611" i="50"/>
  <c r="Z3612" i="50"/>
  <c r="Z3613" i="50"/>
  <c r="Z3614" i="50"/>
  <c r="Z3615" i="50"/>
  <c r="Z3616" i="50"/>
  <c r="Z3617" i="50"/>
  <c r="Z3618" i="50"/>
  <c r="Z3619" i="50"/>
  <c r="Z3620" i="50"/>
  <c r="Z3621" i="50"/>
  <c r="Z3622" i="50"/>
  <c r="Z3623" i="50"/>
  <c r="Z3624" i="50"/>
  <c r="Z3625" i="50"/>
  <c r="Z3626" i="50"/>
  <c r="Z3627" i="50"/>
  <c r="Z3628" i="50"/>
  <c r="Z3629" i="50"/>
  <c r="Z3630" i="50"/>
  <c r="Z3631" i="50"/>
  <c r="Z3632" i="50"/>
  <c r="Z3633" i="50"/>
  <c r="Z3634" i="50"/>
  <c r="Z3635" i="50"/>
  <c r="Z3636" i="50"/>
  <c r="Z3637" i="50"/>
  <c r="Z3638" i="50"/>
  <c r="Z3639" i="50"/>
  <c r="Z3640" i="50"/>
  <c r="Z3641" i="50"/>
  <c r="Z3642" i="50"/>
  <c r="Z3643" i="50"/>
  <c r="Z3644" i="50"/>
  <c r="Z3645" i="50"/>
  <c r="Z3646" i="50"/>
  <c r="Z3647" i="50"/>
  <c r="Z3648" i="50"/>
  <c r="Z3649" i="50"/>
  <c r="Z3650" i="50"/>
  <c r="Z3651" i="50"/>
  <c r="Z3652" i="50"/>
  <c r="Z3653" i="50"/>
  <c r="Z3654" i="50"/>
  <c r="Z3655" i="50"/>
  <c r="Z3656" i="50"/>
  <c r="Z3657" i="50"/>
  <c r="Z3658" i="50"/>
  <c r="Z3659" i="50"/>
  <c r="Z3660" i="50"/>
  <c r="Z3661" i="50"/>
  <c r="Z3662" i="50"/>
  <c r="Z3663" i="50"/>
  <c r="Z3664" i="50"/>
  <c r="Z3665" i="50"/>
  <c r="Z3666" i="50"/>
  <c r="Z3667" i="50"/>
  <c r="Z3668" i="50"/>
  <c r="Z3669" i="50"/>
  <c r="Z3670" i="50"/>
  <c r="Z3671" i="50"/>
  <c r="Z3672" i="50"/>
  <c r="Z3673" i="50"/>
  <c r="Z3674" i="50"/>
  <c r="Z3675" i="50"/>
  <c r="Z3676" i="50"/>
  <c r="Z3677" i="50"/>
  <c r="Z3678" i="50"/>
  <c r="Z3679" i="50"/>
  <c r="Z3680" i="50"/>
  <c r="Z3681" i="50"/>
  <c r="Z3682" i="50"/>
  <c r="Z3683" i="50"/>
  <c r="Z3684" i="50"/>
  <c r="Z3685" i="50"/>
  <c r="Z3686" i="50"/>
  <c r="Z3687" i="50"/>
  <c r="Z3688" i="50"/>
  <c r="Z3689" i="50"/>
  <c r="Z3690" i="50"/>
  <c r="Z3691" i="50"/>
  <c r="Z3692" i="50"/>
  <c r="Z3693" i="50"/>
  <c r="Z3694" i="50"/>
  <c r="Z3695" i="50"/>
  <c r="Z3696" i="50"/>
  <c r="Z3697" i="50"/>
  <c r="Z3698" i="50"/>
  <c r="Z3699" i="50"/>
  <c r="Z3700" i="50"/>
  <c r="Z3701" i="50"/>
  <c r="Z3702" i="50"/>
  <c r="Z3703" i="50"/>
  <c r="Z3704" i="50"/>
  <c r="Z3705" i="50"/>
  <c r="Z3706" i="50"/>
  <c r="Z3707" i="50"/>
  <c r="Z3708" i="50"/>
  <c r="Z3709" i="50"/>
  <c r="Z3710" i="50"/>
  <c r="Z3711" i="50"/>
  <c r="Z3712" i="50"/>
  <c r="Z3713" i="50"/>
  <c r="Z3714" i="50"/>
  <c r="Z3715" i="50"/>
  <c r="Z3716" i="50"/>
  <c r="Z3717" i="50"/>
  <c r="Z3718" i="50"/>
  <c r="Z3719" i="50"/>
  <c r="Z3720" i="50"/>
  <c r="Z3721" i="50"/>
  <c r="Z3722" i="50"/>
  <c r="Z3723" i="50"/>
  <c r="Z3724" i="50"/>
  <c r="Z3725" i="50"/>
  <c r="Z3726" i="50"/>
  <c r="Z3727" i="50"/>
  <c r="Z3728" i="50"/>
  <c r="Z3729" i="50"/>
  <c r="Z3730" i="50"/>
  <c r="Z3731" i="50"/>
  <c r="Z3732" i="50"/>
  <c r="Z3733" i="50"/>
  <c r="Z3734" i="50"/>
  <c r="Z3735" i="50"/>
  <c r="Z3736" i="50"/>
  <c r="Z3737" i="50"/>
  <c r="Z3738" i="50"/>
  <c r="Z3739" i="50"/>
  <c r="Z3740" i="50"/>
  <c r="Z3741" i="50"/>
  <c r="Z3742" i="50"/>
  <c r="Z3743" i="50"/>
  <c r="Z3744" i="50"/>
  <c r="Z3745" i="50"/>
  <c r="Z3746" i="50"/>
  <c r="Z3747" i="50"/>
  <c r="Z3748" i="50"/>
  <c r="Z3749" i="50"/>
  <c r="Z3750" i="50"/>
  <c r="Z3751" i="50"/>
  <c r="Z3752" i="50"/>
  <c r="Z3753" i="50"/>
  <c r="Z3754" i="50"/>
  <c r="Z3755" i="50"/>
  <c r="Z3756" i="50"/>
  <c r="Z3757" i="50"/>
  <c r="Z3758" i="50"/>
  <c r="Z3759" i="50"/>
  <c r="Z3760" i="50"/>
  <c r="Z3761" i="50"/>
  <c r="Z3762" i="50"/>
  <c r="Z3763" i="50"/>
  <c r="Z3764" i="50"/>
  <c r="Z3765" i="50"/>
  <c r="Z3766" i="50"/>
  <c r="Z3767" i="50"/>
  <c r="Z3768" i="50"/>
  <c r="Z3769" i="50"/>
  <c r="Z3770" i="50"/>
  <c r="Z3771" i="50"/>
  <c r="Z3772" i="50"/>
  <c r="Z3773" i="50"/>
  <c r="Z3774" i="50"/>
  <c r="Z3775" i="50"/>
  <c r="Z3776" i="50"/>
  <c r="Z3777" i="50"/>
  <c r="Z3778" i="50"/>
  <c r="Z3779" i="50"/>
  <c r="Z3780" i="50"/>
  <c r="Z3781" i="50"/>
  <c r="Z3782" i="50"/>
  <c r="Z3783" i="50"/>
  <c r="Z3784" i="50"/>
  <c r="Z3785" i="50"/>
  <c r="Z3786" i="50"/>
  <c r="Z3787" i="50"/>
  <c r="Z3788" i="50"/>
  <c r="Z3789" i="50"/>
  <c r="Z3790" i="50"/>
  <c r="Z3791" i="50"/>
  <c r="Z3792" i="50"/>
  <c r="Z3793" i="50"/>
  <c r="Z3794" i="50"/>
  <c r="Z3795" i="50"/>
  <c r="Z3796" i="50"/>
  <c r="Z3797" i="50"/>
  <c r="Z3798" i="50"/>
  <c r="Z3799" i="50"/>
  <c r="Z3800" i="50"/>
  <c r="Z3801" i="50"/>
  <c r="Z3802" i="50"/>
  <c r="Z3803" i="50"/>
  <c r="Z3804" i="50"/>
  <c r="Z3805" i="50"/>
  <c r="Z3806" i="50"/>
  <c r="Z3807" i="50"/>
  <c r="Z3808" i="50"/>
  <c r="Z3809" i="50"/>
  <c r="Z3810" i="50"/>
  <c r="Z3811" i="50"/>
  <c r="Z3812" i="50"/>
  <c r="Z3813" i="50"/>
  <c r="Z3814" i="50"/>
  <c r="Z3815" i="50"/>
  <c r="Z3816" i="50"/>
  <c r="Z3817" i="50"/>
  <c r="Z3818" i="50"/>
  <c r="Z3819" i="50"/>
  <c r="Z3820" i="50"/>
  <c r="Z3821" i="50"/>
  <c r="Z3822" i="50"/>
  <c r="Z3823" i="50"/>
  <c r="Z3824" i="50"/>
  <c r="Z3825" i="50"/>
  <c r="Z3826" i="50"/>
  <c r="Z3827" i="50"/>
  <c r="Z3828" i="50"/>
  <c r="Z3829" i="50"/>
  <c r="Z3830" i="50"/>
  <c r="Z3831" i="50"/>
  <c r="Z3832" i="50"/>
  <c r="Z3833" i="50"/>
  <c r="Z3834" i="50"/>
  <c r="Z3835" i="50"/>
  <c r="Z3836" i="50"/>
  <c r="Z3837" i="50"/>
  <c r="Z3838" i="50"/>
  <c r="Z3839" i="50"/>
  <c r="Z3840" i="50"/>
  <c r="Z3841" i="50"/>
  <c r="Z3842" i="50"/>
  <c r="Z3843" i="50"/>
  <c r="Z3844" i="50"/>
  <c r="Z3845" i="50"/>
  <c r="Z3846" i="50"/>
  <c r="Z3847" i="50"/>
  <c r="Z3848" i="50"/>
  <c r="Z3849" i="50"/>
  <c r="Z3850" i="50"/>
  <c r="Z3851" i="50"/>
  <c r="Z3852" i="50"/>
  <c r="Z3853" i="50"/>
  <c r="Z3854" i="50"/>
  <c r="Z3855" i="50"/>
  <c r="Z3856" i="50"/>
  <c r="Z3857" i="50"/>
  <c r="Z3858" i="50"/>
  <c r="Z3859" i="50"/>
  <c r="Z3860" i="50"/>
  <c r="Z3861" i="50"/>
  <c r="Z3862" i="50"/>
  <c r="Z3863" i="50"/>
  <c r="Z3864" i="50"/>
  <c r="Z3865" i="50"/>
  <c r="Z3866" i="50"/>
  <c r="Z3867" i="50"/>
  <c r="Z3868" i="50"/>
  <c r="Z3869" i="50"/>
  <c r="Z3870" i="50"/>
  <c r="Z3871" i="50"/>
  <c r="Z3872" i="50"/>
  <c r="Z3873" i="50"/>
  <c r="Z3874" i="50"/>
  <c r="Z3875" i="50"/>
  <c r="Z3876" i="50"/>
  <c r="Z3877" i="50"/>
  <c r="Z3878" i="50"/>
  <c r="Z3879" i="50"/>
  <c r="Z3880" i="50"/>
  <c r="Z3881" i="50"/>
  <c r="Z3882" i="50"/>
  <c r="Z3883" i="50"/>
  <c r="Z3884" i="50"/>
  <c r="Z3885" i="50"/>
  <c r="Z3886" i="50"/>
  <c r="Z3887" i="50"/>
  <c r="Z3888" i="50"/>
  <c r="Z3889" i="50"/>
  <c r="Z3890" i="50"/>
  <c r="Z3891" i="50"/>
  <c r="Z3892" i="50"/>
  <c r="Z3893" i="50"/>
  <c r="Z3894" i="50"/>
  <c r="Z3895" i="50"/>
  <c r="Z3896" i="50"/>
  <c r="Z3897" i="50"/>
  <c r="Z3898" i="50"/>
  <c r="Z3899" i="50"/>
  <c r="Z3900" i="50"/>
  <c r="Z3901" i="50"/>
  <c r="Z3902" i="50"/>
  <c r="Z3903" i="50"/>
  <c r="Z3904" i="50"/>
  <c r="Z3905" i="50"/>
  <c r="Z3906" i="50"/>
  <c r="Z3907" i="50"/>
  <c r="Z3908" i="50"/>
  <c r="Z3909" i="50"/>
  <c r="Z3910" i="50"/>
  <c r="Z3911" i="50"/>
  <c r="Z3912" i="50"/>
  <c r="Z3913" i="50"/>
  <c r="Z3914" i="50"/>
  <c r="Z3915" i="50"/>
  <c r="Z3916" i="50"/>
  <c r="Z3917" i="50"/>
  <c r="Z3918" i="50"/>
  <c r="Z3919" i="50"/>
  <c r="Z3920" i="50"/>
  <c r="Z3921" i="50"/>
  <c r="Z3922" i="50"/>
  <c r="Z3923" i="50"/>
  <c r="Z3924" i="50"/>
  <c r="Z3925" i="50"/>
  <c r="Z3926" i="50"/>
  <c r="Z3927" i="50"/>
  <c r="Z3928" i="50"/>
  <c r="Z3929" i="50"/>
  <c r="Z3930" i="50"/>
  <c r="Z3931" i="50"/>
  <c r="Z3932" i="50"/>
  <c r="Z3933" i="50"/>
  <c r="Z3934" i="50"/>
  <c r="Z3935" i="50"/>
  <c r="Z3936" i="50"/>
  <c r="Z3937" i="50"/>
  <c r="Z3938" i="50"/>
  <c r="Z3939" i="50"/>
  <c r="Z3940" i="50"/>
  <c r="Z3941" i="50"/>
  <c r="Z3942" i="50"/>
  <c r="Z3943" i="50"/>
  <c r="Z3944" i="50"/>
  <c r="Z3945" i="50"/>
  <c r="Z3946" i="50"/>
  <c r="Z3947" i="50"/>
  <c r="Z3948" i="50"/>
  <c r="Z3949" i="50"/>
  <c r="Z3950" i="50"/>
  <c r="Z3951" i="50"/>
  <c r="Z3952" i="50"/>
  <c r="Z3953" i="50"/>
  <c r="Z3954" i="50"/>
  <c r="Z3955" i="50"/>
  <c r="Z3956" i="50"/>
  <c r="Z3957" i="50"/>
  <c r="Z3958" i="50"/>
  <c r="Z3959" i="50"/>
  <c r="Z3960" i="50"/>
  <c r="Z3961" i="50"/>
  <c r="Z3962" i="50"/>
  <c r="Z3963" i="50"/>
  <c r="Z3964" i="50"/>
  <c r="Z3965" i="50"/>
  <c r="Z3966" i="50"/>
  <c r="Z3967" i="50"/>
  <c r="Z3968" i="50"/>
  <c r="Z3969" i="50"/>
  <c r="Z3970" i="50"/>
  <c r="Z3971" i="50"/>
  <c r="Z3972" i="50"/>
  <c r="Z3973" i="50"/>
  <c r="Z3974" i="50"/>
  <c r="Z3975" i="50"/>
  <c r="Z3976" i="50"/>
  <c r="Z3977" i="50"/>
  <c r="Z3978" i="50"/>
  <c r="Z3979" i="50"/>
  <c r="Z3980" i="50"/>
  <c r="Z3981" i="50"/>
  <c r="Z3982" i="50"/>
  <c r="Z3983" i="50"/>
  <c r="Z3984" i="50"/>
  <c r="Z3985" i="50"/>
  <c r="Z3986" i="50"/>
  <c r="Z3987" i="50"/>
  <c r="Z3988" i="50"/>
  <c r="Z3989" i="50"/>
  <c r="Z3990" i="50"/>
  <c r="Z3991" i="50"/>
  <c r="Z3992" i="50"/>
  <c r="Z3993" i="50"/>
  <c r="Z3994" i="50"/>
  <c r="Z3995" i="50"/>
  <c r="Z3996" i="50"/>
  <c r="Z3997" i="50"/>
  <c r="Z3998" i="50"/>
  <c r="Z3999" i="50"/>
  <c r="Z4000" i="50"/>
  <c r="Z4001" i="50"/>
  <c r="Z4002" i="50"/>
  <c r="Z4003" i="50"/>
  <c r="Z4004" i="50"/>
  <c r="Z4005" i="50"/>
  <c r="Z4006" i="50"/>
  <c r="Z4007" i="50"/>
  <c r="Z4008" i="50"/>
  <c r="Z4009" i="50"/>
  <c r="Z4010" i="50"/>
  <c r="Z4011" i="50"/>
  <c r="Z4012" i="50"/>
  <c r="Z4013" i="50"/>
  <c r="Z4014" i="50"/>
  <c r="Z4015" i="50"/>
  <c r="Z4016" i="50"/>
  <c r="Z4017" i="50"/>
  <c r="Z4018" i="50"/>
  <c r="Z4019" i="50"/>
  <c r="Z4020" i="50"/>
  <c r="Z4021" i="50"/>
  <c r="Z4022" i="50"/>
  <c r="Z4023" i="50"/>
  <c r="Z4024" i="50"/>
  <c r="Z4025" i="50"/>
  <c r="Z4026" i="50"/>
  <c r="Z4027" i="50"/>
  <c r="Z4028" i="50"/>
  <c r="Z4029" i="50"/>
  <c r="Z4030" i="50"/>
  <c r="Z4031" i="50"/>
  <c r="Z4032" i="50"/>
  <c r="Z4033" i="50"/>
  <c r="Z4034" i="50"/>
  <c r="Z4035" i="50"/>
  <c r="Z4036" i="50"/>
  <c r="Z4037" i="50"/>
  <c r="Z4038" i="50"/>
  <c r="Z4039" i="50"/>
  <c r="Z4040" i="50"/>
  <c r="Z4041" i="50"/>
  <c r="Z4042" i="50"/>
  <c r="Z4043" i="50"/>
  <c r="Z4044" i="50"/>
  <c r="Z4045" i="50"/>
  <c r="Z4046" i="50"/>
  <c r="Z4047" i="50"/>
  <c r="Z4048" i="50"/>
  <c r="Z4049" i="50"/>
  <c r="Z4050" i="50"/>
  <c r="Z4051" i="50"/>
  <c r="Z4052" i="50"/>
  <c r="Z4053" i="50"/>
  <c r="Z4054" i="50"/>
  <c r="Z4055" i="50"/>
  <c r="Z4056" i="50"/>
  <c r="Z4057" i="50"/>
  <c r="Z4058" i="50"/>
  <c r="Z4059" i="50"/>
  <c r="Z4060" i="50"/>
  <c r="Z4061" i="50"/>
  <c r="Z4062" i="50"/>
  <c r="Z4063" i="50"/>
  <c r="Z4064" i="50"/>
  <c r="Z4065" i="50"/>
  <c r="Z4066" i="50"/>
  <c r="Z4067" i="50"/>
  <c r="Z4068" i="50"/>
  <c r="Z4069" i="50"/>
  <c r="Z4070" i="50"/>
  <c r="Z4071" i="50"/>
  <c r="Z4072" i="50"/>
  <c r="Z4073" i="50"/>
  <c r="Z4074" i="50"/>
  <c r="Z4075" i="50"/>
  <c r="Z4076" i="50"/>
  <c r="Z4077" i="50"/>
  <c r="Z4078" i="50"/>
  <c r="Z4079" i="50"/>
  <c r="Z4080" i="50"/>
  <c r="Z4081" i="50"/>
  <c r="Z4082" i="50"/>
  <c r="Z4083" i="50"/>
  <c r="Z4084" i="50"/>
  <c r="Z4085" i="50"/>
  <c r="Z4086" i="50"/>
  <c r="Z4087" i="50"/>
  <c r="Z4088" i="50"/>
  <c r="Z4089" i="50"/>
  <c r="Z4090" i="50"/>
  <c r="Z4091" i="50"/>
  <c r="Z4092" i="50"/>
  <c r="Z4093" i="50"/>
  <c r="Z4094" i="50"/>
  <c r="Z4095" i="50"/>
  <c r="Z4096" i="50"/>
  <c r="Z4097" i="50"/>
  <c r="Z4098" i="50"/>
  <c r="Z4099" i="50"/>
  <c r="Z4100" i="50"/>
  <c r="Z4101" i="50"/>
  <c r="Z4102" i="50"/>
  <c r="Z4103" i="50"/>
  <c r="Z4104" i="50"/>
  <c r="Z4105" i="50"/>
  <c r="Z4106" i="50"/>
  <c r="Z4107" i="50"/>
  <c r="Z4108" i="50"/>
  <c r="Z4109" i="50"/>
  <c r="Z4110" i="50"/>
  <c r="Z4111" i="50"/>
  <c r="Z4112" i="50"/>
  <c r="Z4113" i="50"/>
  <c r="Z4114" i="50"/>
  <c r="Z4115" i="50"/>
  <c r="Z4116" i="50"/>
  <c r="Z4117" i="50"/>
  <c r="Z4118" i="50"/>
  <c r="Z4119" i="50"/>
  <c r="Z4120" i="50"/>
  <c r="Z4121" i="50"/>
  <c r="Z4122" i="50"/>
  <c r="Z4123" i="50"/>
  <c r="Z4124" i="50"/>
  <c r="Z4125" i="50"/>
  <c r="Z4126" i="50"/>
  <c r="Z4127" i="50"/>
  <c r="Z4128" i="50"/>
  <c r="Z4129" i="50"/>
  <c r="Z4130" i="50"/>
  <c r="Z4131" i="50"/>
  <c r="Z4132" i="50"/>
  <c r="Z4133" i="50"/>
  <c r="Z4134" i="50"/>
  <c r="Z4135" i="50"/>
  <c r="Z4136" i="50"/>
  <c r="Z4137" i="50"/>
  <c r="Z4138" i="50"/>
  <c r="Z4139" i="50"/>
  <c r="Z4140" i="50"/>
  <c r="Z4141" i="50"/>
  <c r="Z4142" i="50"/>
  <c r="Z4143" i="50"/>
  <c r="Z4144" i="50"/>
  <c r="Z4145" i="50"/>
  <c r="Z4146" i="50"/>
  <c r="Z4147" i="50"/>
  <c r="Z4148" i="50"/>
  <c r="Z4149" i="50"/>
  <c r="Z4150" i="50"/>
  <c r="Z4151" i="50"/>
  <c r="Z4152" i="50"/>
  <c r="Z4153" i="50"/>
  <c r="Z4154" i="50"/>
  <c r="Z4155" i="50"/>
  <c r="Z4156" i="50"/>
  <c r="Z4157" i="50"/>
  <c r="Z4158" i="50"/>
  <c r="Z4159" i="50"/>
  <c r="Z4160" i="50"/>
  <c r="Z4161" i="50"/>
  <c r="Z4162" i="50"/>
  <c r="Z4163" i="50"/>
  <c r="Z4164" i="50"/>
  <c r="Z4165" i="50"/>
  <c r="Z4166" i="50"/>
  <c r="Z4167" i="50"/>
  <c r="Z4168" i="50"/>
  <c r="Z4169" i="50"/>
  <c r="Z4170" i="50"/>
  <c r="Z4171" i="50"/>
  <c r="Z4172" i="50"/>
  <c r="Z4173" i="50"/>
  <c r="Z4174" i="50"/>
  <c r="Z4175" i="50"/>
  <c r="Z4176" i="50"/>
  <c r="Z4177" i="50"/>
  <c r="Z4178" i="50"/>
  <c r="Z4179" i="50"/>
  <c r="Z4180" i="50"/>
  <c r="Z4181" i="50"/>
  <c r="Z4182" i="50"/>
  <c r="Z4183" i="50"/>
  <c r="Z4184" i="50"/>
  <c r="Z4185" i="50"/>
  <c r="Z4186" i="50"/>
  <c r="Z4187" i="50"/>
  <c r="Z4188" i="50"/>
  <c r="Z4189" i="50"/>
  <c r="Z4190" i="50"/>
  <c r="Z4191" i="50"/>
  <c r="Z4192" i="50"/>
  <c r="Z4193" i="50"/>
  <c r="Z4194" i="50"/>
  <c r="Z4195" i="50"/>
  <c r="Z4196" i="50"/>
  <c r="Z4197" i="50"/>
  <c r="Z4198" i="50"/>
  <c r="Z4199" i="50"/>
  <c r="Z4200" i="50"/>
  <c r="Z4201" i="50"/>
  <c r="Z4202" i="50"/>
  <c r="Z4203" i="50"/>
  <c r="Z4204" i="50"/>
  <c r="Z4205" i="50"/>
  <c r="Z4206" i="50"/>
  <c r="Z4207" i="50"/>
  <c r="Z4208" i="50"/>
  <c r="Z4209" i="50"/>
  <c r="Z4210" i="50"/>
  <c r="Z4211" i="50"/>
  <c r="Z4212" i="50"/>
  <c r="Z4213" i="50"/>
  <c r="Z4214" i="50"/>
  <c r="Z4215" i="50"/>
  <c r="Z4216" i="50"/>
  <c r="Z4217" i="50"/>
  <c r="Z4218" i="50"/>
  <c r="Z4219" i="50"/>
  <c r="Z4220" i="50"/>
  <c r="Z4221" i="50"/>
  <c r="Z4222" i="50"/>
  <c r="Z4223" i="50"/>
  <c r="Z4224" i="50"/>
  <c r="Z4225" i="50"/>
  <c r="Z4226" i="50"/>
  <c r="Z4227" i="50"/>
  <c r="Z4228" i="50"/>
  <c r="Z4229" i="50"/>
  <c r="Z4230" i="50"/>
  <c r="Z4231" i="50"/>
  <c r="Z4232" i="50"/>
  <c r="Z4233" i="50"/>
  <c r="Z4234" i="50"/>
  <c r="Z4235" i="50"/>
  <c r="Z4236" i="50"/>
  <c r="Z4237" i="50"/>
  <c r="Z4238" i="50"/>
  <c r="Z4239" i="50"/>
  <c r="Z4240" i="50"/>
  <c r="Z4241" i="50"/>
  <c r="Z4242" i="50"/>
  <c r="Z4243" i="50"/>
  <c r="Z4244" i="50"/>
  <c r="Z4245" i="50"/>
  <c r="Z4246" i="50"/>
  <c r="Z4247" i="50"/>
  <c r="Z4248" i="50"/>
  <c r="Z4249" i="50"/>
  <c r="Z4250" i="50"/>
  <c r="Z4251" i="50"/>
  <c r="Z4252" i="50"/>
  <c r="Z4253" i="50"/>
  <c r="Z4254" i="50"/>
  <c r="Z4255" i="50"/>
  <c r="Z4256" i="50"/>
  <c r="Z4257" i="50"/>
  <c r="Z4258" i="50"/>
  <c r="Z4259" i="50"/>
  <c r="Z4260" i="50"/>
  <c r="Z4261" i="50"/>
  <c r="Z4262" i="50"/>
  <c r="Z4263" i="50"/>
  <c r="Z4264" i="50"/>
  <c r="Z4265" i="50"/>
  <c r="Z4266" i="50"/>
  <c r="Z4267" i="50"/>
  <c r="Z4268" i="50"/>
  <c r="Z4269" i="50"/>
  <c r="Z4270" i="50"/>
  <c r="Z4271" i="50"/>
  <c r="Z4272" i="50"/>
  <c r="Z4273" i="50"/>
  <c r="Z4274" i="50"/>
  <c r="Z4275" i="50"/>
  <c r="Z4276" i="50"/>
  <c r="Z4277" i="50"/>
  <c r="Z4278" i="50"/>
  <c r="Z4279" i="50"/>
  <c r="Z4280" i="50"/>
  <c r="Z4281" i="50"/>
  <c r="Z4282" i="50"/>
  <c r="Z4283" i="50"/>
  <c r="Z4284" i="50"/>
  <c r="Z4285" i="50"/>
  <c r="Z4286" i="50"/>
  <c r="Z4287" i="50"/>
  <c r="Z4288" i="50"/>
  <c r="Z4289" i="50"/>
  <c r="Z4290" i="50"/>
  <c r="Z4291" i="50"/>
  <c r="Z4292" i="50"/>
  <c r="Z4293" i="50"/>
  <c r="Z4294" i="50"/>
  <c r="Z4295" i="50"/>
  <c r="Z4296" i="50"/>
  <c r="Z4297" i="50"/>
  <c r="Z4298" i="50"/>
  <c r="Z4299" i="50"/>
  <c r="Z4300" i="50"/>
  <c r="Z4301" i="50"/>
  <c r="Z4302" i="50"/>
  <c r="Z4303" i="50"/>
  <c r="Z4304" i="50"/>
  <c r="Z4305" i="50"/>
  <c r="Z4306" i="50"/>
  <c r="Z4307" i="50"/>
  <c r="Z4308" i="50"/>
  <c r="Z4309" i="50"/>
  <c r="Z4310" i="50"/>
  <c r="Z4311" i="50"/>
  <c r="Z4312" i="50"/>
  <c r="Z4313" i="50"/>
  <c r="Z4314" i="50"/>
  <c r="Z4315" i="50"/>
  <c r="Z4316" i="50"/>
  <c r="Z4317" i="50"/>
  <c r="Z4318" i="50"/>
  <c r="Z4319" i="50"/>
  <c r="Z4320" i="50"/>
  <c r="Z4321" i="50"/>
  <c r="Z4322" i="50"/>
  <c r="Z4323" i="50"/>
  <c r="Z4324" i="50"/>
  <c r="Z4325" i="50"/>
  <c r="Z4326" i="50"/>
  <c r="Z4327" i="50"/>
  <c r="Z4328" i="50"/>
  <c r="Z4329" i="50"/>
  <c r="Z4330" i="50"/>
  <c r="Z4331" i="50"/>
  <c r="Z4332" i="50"/>
  <c r="Z4333" i="50"/>
  <c r="Z4334" i="50"/>
  <c r="Z4335" i="50"/>
  <c r="Z4336" i="50"/>
  <c r="Z4337" i="50"/>
  <c r="Z4338" i="50"/>
  <c r="Z4339" i="50"/>
  <c r="Z4340" i="50"/>
  <c r="Z4341" i="50"/>
  <c r="Z4342" i="50"/>
  <c r="Z4343" i="50"/>
  <c r="Z4344" i="50"/>
  <c r="Z4345" i="50"/>
  <c r="Z4346" i="50"/>
  <c r="Z4347" i="50"/>
  <c r="Z4348" i="50"/>
  <c r="Z4349" i="50"/>
  <c r="Z4350" i="50"/>
  <c r="Z4351" i="50"/>
  <c r="Z4352" i="50"/>
  <c r="Z4353" i="50"/>
  <c r="Z4354" i="50"/>
  <c r="Z4355" i="50"/>
  <c r="Z4356" i="50"/>
  <c r="Z4357" i="50"/>
  <c r="Z4358" i="50"/>
  <c r="Z4359" i="50"/>
  <c r="Z4360" i="50"/>
  <c r="Z4361" i="50"/>
  <c r="Z4362" i="50"/>
  <c r="Z4363" i="50"/>
  <c r="Z4364" i="50"/>
  <c r="Z4365" i="50"/>
  <c r="Z4366" i="50"/>
  <c r="Z4367" i="50"/>
  <c r="Z4368" i="50"/>
  <c r="Z4369" i="50"/>
  <c r="Z4370" i="50"/>
  <c r="Z4371" i="50"/>
  <c r="Z4372" i="50"/>
  <c r="Z4373" i="50"/>
  <c r="Z4374" i="50"/>
  <c r="Z4375" i="50"/>
  <c r="Z4376" i="50"/>
  <c r="Z4377" i="50"/>
  <c r="Z4378" i="50"/>
  <c r="Z4379" i="50"/>
  <c r="Z4380" i="50"/>
  <c r="Z4381" i="50"/>
  <c r="Z4382" i="50"/>
  <c r="Z4383" i="50"/>
  <c r="Z4384" i="50"/>
  <c r="Z4385" i="50"/>
  <c r="Z4386" i="50"/>
  <c r="Z4387" i="50"/>
  <c r="Z4388" i="50"/>
  <c r="Z4389" i="50"/>
  <c r="Z4390" i="50"/>
  <c r="Z4391" i="50"/>
  <c r="Z4392" i="50"/>
  <c r="Z4393" i="50"/>
  <c r="Z4394" i="50"/>
  <c r="Z4395" i="50"/>
  <c r="Z4396" i="50"/>
  <c r="Z4397" i="50"/>
  <c r="Z4398" i="50"/>
  <c r="Z4399" i="50"/>
  <c r="Z4400" i="50"/>
  <c r="Z4401" i="50"/>
  <c r="Z4402" i="50"/>
  <c r="Z4403" i="50"/>
  <c r="Z4404" i="50"/>
  <c r="Z4405" i="50"/>
  <c r="Z4406" i="50"/>
  <c r="Z4407" i="50"/>
  <c r="Z4408" i="50"/>
  <c r="Z4409" i="50"/>
  <c r="Z4410" i="50"/>
  <c r="Z4411" i="50"/>
  <c r="Z4412" i="50"/>
  <c r="Z4413" i="50"/>
  <c r="Z4414" i="50"/>
  <c r="Z4415" i="50"/>
  <c r="Z4416" i="50"/>
  <c r="Z4417" i="50"/>
  <c r="Z4418" i="50"/>
  <c r="Z4419" i="50"/>
  <c r="Z4420" i="50"/>
  <c r="Z4421" i="50"/>
  <c r="Z4422" i="50"/>
  <c r="Z4423" i="50"/>
  <c r="Z4424" i="50"/>
  <c r="Z4425" i="50"/>
  <c r="Z4426" i="50"/>
  <c r="Z4427" i="50"/>
  <c r="Z4428" i="50"/>
  <c r="Z4429" i="50"/>
  <c r="Z4430" i="50"/>
  <c r="Z4431" i="50"/>
  <c r="Z4432" i="50"/>
  <c r="Z4433" i="50"/>
  <c r="Z4434" i="50"/>
  <c r="Z4435" i="50"/>
  <c r="Z4436" i="50"/>
  <c r="Z4437" i="50"/>
  <c r="Z4438" i="50"/>
  <c r="Z4439" i="50"/>
  <c r="Z4440" i="50"/>
  <c r="Z4441" i="50"/>
  <c r="Z4442" i="50"/>
  <c r="Z4443" i="50"/>
  <c r="Z4444" i="50"/>
  <c r="Z4445" i="50"/>
  <c r="Z4446" i="50"/>
  <c r="Z4447" i="50"/>
  <c r="Z4448" i="50"/>
  <c r="Z4449" i="50"/>
  <c r="Z4450" i="50"/>
  <c r="Z4451" i="50"/>
  <c r="Z4452" i="50"/>
  <c r="Z4453" i="50"/>
  <c r="Z4454" i="50"/>
  <c r="Z4455" i="50"/>
  <c r="Z4456" i="50"/>
  <c r="Z4457" i="50"/>
  <c r="Z4458" i="50"/>
  <c r="Z4459" i="50"/>
  <c r="Z4460" i="50"/>
  <c r="Z4461" i="50"/>
  <c r="Z4462" i="50"/>
  <c r="Z4463" i="50"/>
  <c r="Z4464" i="50"/>
  <c r="Z4465" i="50"/>
  <c r="Z4466" i="50"/>
  <c r="Z4467" i="50"/>
  <c r="Z4468" i="50"/>
  <c r="Z4469" i="50"/>
  <c r="AA3" i="50"/>
  <c r="AA4" i="50"/>
  <c r="AA5" i="50"/>
  <c r="AA6" i="50"/>
  <c r="AA7" i="50"/>
  <c r="AA8" i="50"/>
  <c r="AA9" i="50"/>
  <c r="AA10" i="50"/>
  <c r="AA11" i="50"/>
  <c r="AA12" i="50"/>
  <c r="AA13" i="50"/>
  <c r="AA14" i="50"/>
  <c r="AA15" i="50"/>
  <c r="AA16" i="50"/>
  <c r="AA17" i="50"/>
  <c r="AA18" i="50"/>
  <c r="AA19" i="50"/>
  <c r="AA20" i="50"/>
  <c r="AA21" i="50"/>
  <c r="AA22" i="50"/>
  <c r="AA23" i="50"/>
  <c r="AA24" i="50"/>
  <c r="AA25" i="50"/>
  <c r="AA26" i="50"/>
  <c r="AA27" i="50"/>
  <c r="AA28" i="50"/>
  <c r="AA29" i="50"/>
  <c r="AA30" i="50"/>
  <c r="AA31" i="50"/>
  <c r="AA32" i="50"/>
  <c r="AA33" i="50"/>
  <c r="AA34" i="50"/>
  <c r="AA35" i="50"/>
  <c r="AA36" i="50"/>
  <c r="AA37" i="50"/>
  <c r="AA38" i="50"/>
  <c r="AA39" i="50"/>
  <c r="AA40" i="50"/>
  <c r="AA41" i="50"/>
  <c r="AA42" i="50"/>
  <c r="AA43" i="50"/>
  <c r="AA44" i="50"/>
  <c r="AA45" i="50"/>
  <c r="AA46" i="50"/>
  <c r="AA47" i="50"/>
  <c r="AA48" i="50"/>
  <c r="AA49" i="50"/>
  <c r="AA50" i="50"/>
  <c r="AA51" i="50"/>
  <c r="AA52" i="50"/>
  <c r="AA53" i="50"/>
  <c r="AA54" i="50"/>
  <c r="AA55" i="50"/>
  <c r="AA56" i="50"/>
  <c r="AA57" i="50"/>
  <c r="AA58" i="50"/>
  <c r="AA59" i="50"/>
  <c r="AA60" i="50"/>
  <c r="AA61" i="50"/>
  <c r="AA62" i="50"/>
  <c r="AA63" i="50"/>
  <c r="AA64" i="50"/>
  <c r="AA65" i="50"/>
  <c r="AA66" i="50"/>
  <c r="AA67" i="50"/>
  <c r="AA68" i="50"/>
  <c r="AA69" i="50"/>
  <c r="AA70" i="50"/>
  <c r="AA71" i="50"/>
  <c r="AA72" i="50"/>
  <c r="AA73" i="50"/>
  <c r="AA74" i="50"/>
  <c r="AA75" i="50"/>
  <c r="AA76" i="50"/>
  <c r="AA77" i="50"/>
  <c r="AA78" i="50"/>
  <c r="AA79" i="50"/>
  <c r="AA80" i="50"/>
  <c r="AA81" i="50"/>
  <c r="AA82" i="50"/>
  <c r="AA83" i="50"/>
  <c r="AA84" i="50"/>
  <c r="AA85" i="50"/>
  <c r="AA86" i="50"/>
  <c r="AA87" i="50"/>
  <c r="AA88" i="50"/>
  <c r="AA89" i="50"/>
  <c r="AA90" i="50"/>
  <c r="AA91" i="50"/>
  <c r="AA92" i="50"/>
  <c r="AA93" i="50"/>
  <c r="AA94" i="50"/>
  <c r="AA95" i="50"/>
  <c r="AA96" i="50"/>
  <c r="AA97" i="50"/>
  <c r="AA98" i="50"/>
  <c r="AA99" i="50"/>
  <c r="AA100" i="50"/>
  <c r="AA101" i="50"/>
  <c r="AA102" i="50"/>
  <c r="AA103" i="50"/>
  <c r="AA104" i="50"/>
  <c r="AA105" i="50"/>
  <c r="AA106" i="50"/>
  <c r="AA107" i="50"/>
  <c r="AA108" i="50"/>
  <c r="AA109" i="50"/>
  <c r="AA110" i="50"/>
  <c r="AA111" i="50"/>
  <c r="AA112" i="50"/>
  <c r="AA113" i="50"/>
  <c r="AA114" i="50"/>
  <c r="AA115" i="50"/>
  <c r="AA116" i="50"/>
  <c r="AA117" i="50"/>
  <c r="AA118" i="50"/>
  <c r="AA119" i="50"/>
  <c r="AA120" i="50"/>
  <c r="AA121" i="50"/>
  <c r="AA122" i="50"/>
  <c r="AA123" i="50"/>
  <c r="AA124" i="50"/>
  <c r="AA125" i="50"/>
  <c r="AA126" i="50"/>
  <c r="AA127" i="50"/>
  <c r="AA128" i="50"/>
  <c r="AA129" i="50"/>
  <c r="AA130" i="50"/>
  <c r="AA131" i="50"/>
  <c r="AA132" i="50"/>
  <c r="AA133" i="50"/>
  <c r="AA134" i="50"/>
  <c r="AA135" i="50"/>
  <c r="AA136" i="50"/>
  <c r="AA137" i="50"/>
  <c r="AA138" i="50"/>
  <c r="AA139" i="50"/>
  <c r="AA140" i="50"/>
  <c r="AA141" i="50"/>
  <c r="AA142" i="50"/>
  <c r="AA143" i="50"/>
  <c r="AA144" i="50"/>
  <c r="AA145" i="50"/>
  <c r="AA146" i="50"/>
  <c r="AA147" i="50"/>
  <c r="AA148" i="50"/>
  <c r="AA149" i="50"/>
  <c r="AA150" i="50"/>
  <c r="AA151" i="50"/>
  <c r="AA152" i="50"/>
  <c r="AA153" i="50"/>
  <c r="AA154" i="50"/>
  <c r="AA155" i="50"/>
  <c r="AA156" i="50"/>
  <c r="AA157" i="50"/>
  <c r="AA158" i="50"/>
  <c r="AA159" i="50"/>
  <c r="AA160" i="50"/>
  <c r="AA161" i="50"/>
  <c r="AA162" i="50"/>
  <c r="AA163" i="50"/>
  <c r="AA164" i="50"/>
  <c r="AA165" i="50"/>
  <c r="AA166" i="50"/>
  <c r="AA167" i="50"/>
  <c r="AA168" i="50"/>
  <c r="AA169" i="50"/>
  <c r="AA170" i="50"/>
  <c r="AA171" i="50"/>
  <c r="AA172" i="50"/>
  <c r="AA173" i="50"/>
  <c r="AA174" i="50"/>
  <c r="AA175" i="50"/>
  <c r="AA176" i="50"/>
  <c r="AA177" i="50"/>
  <c r="AA178" i="50"/>
  <c r="AA179" i="50"/>
  <c r="AA180" i="50"/>
  <c r="AA181" i="50"/>
  <c r="AA182" i="50"/>
  <c r="AA183" i="50"/>
  <c r="AA184" i="50"/>
  <c r="AA185" i="50"/>
  <c r="AA186" i="50"/>
  <c r="AA187" i="50"/>
  <c r="AA188" i="50"/>
  <c r="AA189" i="50"/>
  <c r="AA190" i="50"/>
  <c r="AA191" i="50"/>
  <c r="AA192" i="50"/>
  <c r="AA193" i="50"/>
  <c r="AA194" i="50"/>
  <c r="AA195" i="50"/>
  <c r="AA196" i="50"/>
  <c r="AA197" i="50"/>
  <c r="AA198" i="50"/>
  <c r="AA199" i="50"/>
  <c r="AA200" i="50"/>
  <c r="AA201" i="50"/>
  <c r="AA202" i="50"/>
  <c r="AA203" i="50"/>
  <c r="AA204" i="50"/>
  <c r="AA205" i="50"/>
  <c r="AA206" i="50"/>
  <c r="AA207" i="50"/>
  <c r="AA208" i="50"/>
  <c r="AA209" i="50"/>
  <c r="AA210" i="50"/>
  <c r="AA211" i="50"/>
  <c r="AA212" i="50"/>
  <c r="AA213" i="50"/>
  <c r="AA214" i="50"/>
  <c r="AA215" i="50"/>
  <c r="AA216" i="50"/>
  <c r="AA217" i="50"/>
  <c r="AA218" i="50"/>
  <c r="AA219" i="50"/>
  <c r="AA220" i="50"/>
  <c r="AA221" i="50"/>
  <c r="AA222" i="50"/>
  <c r="AA223" i="50"/>
  <c r="AA224" i="50"/>
  <c r="AA225" i="50"/>
  <c r="AA226" i="50"/>
  <c r="AA227" i="50"/>
  <c r="AA228" i="50"/>
  <c r="AA229" i="50"/>
  <c r="AA230" i="50"/>
  <c r="AA231" i="50"/>
  <c r="AA232" i="50"/>
  <c r="AA233" i="50"/>
  <c r="AA234" i="50"/>
  <c r="AA235" i="50"/>
  <c r="AA236" i="50"/>
  <c r="AA237" i="50"/>
  <c r="AA238" i="50"/>
  <c r="AA239" i="50"/>
  <c r="AA240" i="50"/>
  <c r="AA241" i="50"/>
  <c r="AA242" i="50"/>
  <c r="AA243" i="50"/>
  <c r="AA244" i="50"/>
  <c r="AA245" i="50"/>
  <c r="AA246" i="50"/>
  <c r="AA247" i="50"/>
  <c r="AA248" i="50"/>
  <c r="AA249" i="50"/>
  <c r="AA250" i="50"/>
  <c r="AA251" i="50"/>
  <c r="AA252" i="50"/>
  <c r="AA253" i="50"/>
  <c r="AA254" i="50"/>
  <c r="AA255" i="50"/>
  <c r="AA256" i="50"/>
  <c r="AA257" i="50"/>
  <c r="AA258" i="50"/>
  <c r="AA259" i="50"/>
  <c r="AA260" i="50"/>
  <c r="AA261" i="50"/>
  <c r="AA262" i="50"/>
  <c r="AA263" i="50"/>
  <c r="AA264" i="50"/>
  <c r="AA265" i="50"/>
  <c r="AA266" i="50"/>
  <c r="AA267" i="50"/>
  <c r="AA268" i="50"/>
  <c r="AA269" i="50"/>
  <c r="AA270" i="50"/>
  <c r="AA271" i="50"/>
  <c r="AA272" i="50"/>
  <c r="AA273" i="50"/>
  <c r="AA274" i="50"/>
  <c r="AA275" i="50"/>
  <c r="AA276" i="50"/>
  <c r="AA277" i="50"/>
  <c r="AA278" i="50"/>
  <c r="AA279" i="50"/>
  <c r="AA280" i="50"/>
  <c r="AA281" i="50"/>
  <c r="AA282" i="50"/>
  <c r="AA283" i="50"/>
  <c r="AA284" i="50"/>
  <c r="AA285" i="50"/>
  <c r="AA286" i="50"/>
  <c r="AA287" i="50"/>
  <c r="AA288" i="50"/>
  <c r="AA289" i="50"/>
  <c r="AA290" i="50"/>
  <c r="AA291" i="50"/>
  <c r="AA292" i="50"/>
  <c r="AA293" i="50"/>
  <c r="AA294" i="50"/>
  <c r="AA295" i="50"/>
  <c r="AA296" i="50"/>
  <c r="AA297" i="50"/>
  <c r="AA298" i="50"/>
  <c r="AA299" i="50"/>
  <c r="AA300" i="50"/>
  <c r="AA301" i="50"/>
  <c r="AA302" i="50"/>
  <c r="AA303" i="50"/>
  <c r="AA304" i="50"/>
  <c r="AA305" i="50"/>
  <c r="AA306" i="50"/>
  <c r="AA307" i="50"/>
  <c r="AA308" i="50"/>
  <c r="AA309" i="50"/>
  <c r="AA310" i="50"/>
  <c r="AA311" i="50"/>
  <c r="AA312" i="50"/>
  <c r="AA313" i="50"/>
  <c r="AA314" i="50"/>
  <c r="AA315" i="50"/>
  <c r="AA316" i="50"/>
  <c r="AA317" i="50"/>
  <c r="AA318" i="50"/>
  <c r="AA319" i="50"/>
  <c r="AA320" i="50"/>
  <c r="AA321" i="50"/>
  <c r="AA322" i="50"/>
  <c r="AA323" i="50"/>
  <c r="AA324" i="50"/>
  <c r="AA325" i="50"/>
  <c r="AA326" i="50"/>
  <c r="AA327" i="50"/>
  <c r="AA328" i="50"/>
  <c r="AA329" i="50"/>
  <c r="AA330" i="50"/>
  <c r="AA331" i="50"/>
  <c r="AA332" i="50"/>
  <c r="AA333" i="50"/>
  <c r="AA334" i="50"/>
  <c r="AA335" i="50"/>
  <c r="AA336" i="50"/>
  <c r="AA337" i="50"/>
  <c r="AA338" i="50"/>
  <c r="AA339" i="50"/>
  <c r="AA340" i="50"/>
  <c r="AA341" i="50"/>
  <c r="AA342" i="50"/>
  <c r="AA343" i="50"/>
  <c r="AA344" i="50"/>
  <c r="AA345" i="50"/>
  <c r="AA346" i="50"/>
  <c r="AA347" i="50"/>
  <c r="AA348" i="50"/>
  <c r="AA349" i="50"/>
  <c r="AA350" i="50"/>
  <c r="AA351" i="50"/>
  <c r="AA352" i="50"/>
  <c r="AA353" i="50"/>
  <c r="AA354" i="50"/>
  <c r="AA355" i="50"/>
  <c r="AA356" i="50"/>
  <c r="AA357" i="50"/>
  <c r="AA358" i="50"/>
  <c r="AA359" i="50"/>
  <c r="AA360" i="50"/>
  <c r="AA361" i="50"/>
  <c r="AA362" i="50"/>
  <c r="AA363" i="50"/>
  <c r="AA364" i="50"/>
  <c r="AA365" i="50"/>
  <c r="AA366" i="50"/>
  <c r="AA367" i="50"/>
  <c r="AA368" i="50"/>
  <c r="AA369" i="50"/>
  <c r="AA370" i="50"/>
  <c r="AA371" i="50"/>
  <c r="AA372" i="50"/>
  <c r="AA373" i="50"/>
  <c r="AA374" i="50"/>
  <c r="AA375" i="50"/>
  <c r="AA376" i="50"/>
  <c r="AA377" i="50"/>
  <c r="AA378" i="50"/>
  <c r="AA379" i="50"/>
  <c r="AA380" i="50"/>
  <c r="AA381" i="50"/>
  <c r="AA382" i="50"/>
  <c r="AA383" i="50"/>
  <c r="AA384" i="50"/>
  <c r="AA385" i="50"/>
  <c r="AA386" i="50"/>
  <c r="AA387" i="50"/>
  <c r="AA388" i="50"/>
  <c r="AA389" i="50"/>
  <c r="AA390" i="50"/>
  <c r="AA391" i="50"/>
  <c r="AA392" i="50"/>
  <c r="AA393" i="50"/>
  <c r="AA394" i="50"/>
  <c r="AA395" i="50"/>
  <c r="AA396" i="50"/>
  <c r="AA397" i="50"/>
  <c r="AA398" i="50"/>
  <c r="AA399" i="50"/>
  <c r="AA400" i="50"/>
  <c r="AA401" i="50"/>
  <c r="AA402" i="50"/>
  <c r="AA403" i="50"/>
  <c r="AA404" i="50"/>
  <c r="AA405" i="50"/>
  <c r="AA406" i="50"/>
  <c r="AA407" i="50"/>
  <c r="AA408" i="50"/>
  <c r="AA409" i="50"/>
  <c r="AA410" i="50"/>
  <c r="AA411" i="50"/>
  <c r="AA412" i="50"/>
  <c r="AA413" i="50"/>
  <c r="AA414" i="50"/>
  <c r="AA415" i="50"/>
  <c r="AA416" i="50"/>
  <c r="AA417" i="50"/>
  <c r="AA418" i="50"/>
  <c r="AA419" i="50"/>
  <c r="AA420" i="50"/>
  <c r="AA421" i="50"/>
  <c r="AA422" i="50"/>
  <c r="AA423" i="50"/>
  <c r="AA424" i="50"/>
  <c r="AA425" i="50"/>
  <c r="AA426" i="50"/>
  <c r="AA427" i="50"/>
  <c r="AA428" i="50"/>
  <c r="AA429" i="50"/>
  <c r="AA430" i="50"/>
  <c r="AA431" i="50"/>
  <c r="AA432" i="50"/>
  <c r="AA433" i="50"/>
  <c r="AA434" i="50"/>
  <c r="AA435" i="50"/>
  <c r="AA436" i="50"/>
  <c r="AA437" i="50"/>
  <c r="AA438" i="50"/>
  <c r="AA439" i="50"/>
  <c r="AA440" i="50"/>
  <c r="AA441" i="50"/>
  <c r="AA442" i="50"/>
  <c r="AA443" i="50"/>
  <c r="AA444" i="50"/>
  <c r="AA445" i="50"/>
  <c r="AA446" i="50"/>
  <c r="AA447" i="50"/>
  <c r="AA448" i="50"/>
  <c r="AA449" i="50"/>
  <c r="AA450" i="50"/>
  <c r="AA451" i="50"/>
  <c r="AA452" i="50"/>
  <c r="AA453" i="50"/>
  <c r="AA454" i="50"/>
  <c r="AA455" i="50"/>
  <c r="AA456" i="50"/>
  <c r="AA457" i="50"/>
  <c r="AA458" i="50"/>
  <c r="AA459" i="50"/>
  <c r="AA460" i="50"/>
  <c r="AA461" i="50"/>
  <c r="AA462" i="50"/>
  <c r="AA463" i="50"/>
  <c r="AA464" i="50"/>
  <c r="AA465" i="50"/>
  <c r="AA466" i="50"/>
  <c r="AA467" i="50"/>
  <c r="AA468" i="50"/>
  <c r="AA469" i="50"/>
  <c r="AA470" i="50"/>
  <c r="AA471" i="50"/>
  <c r="AA472" i="50"/>
  <c r="AA473" i="50"/>
  <c r="AA474" i="50"/>
  <c r="AA475" i="50"/>
  <c r="AA476" i="50"/>
  <c r="AA477" i="50"/>
  <c r="AA478" i="50"/>
  <c r="AA479" i="50"/>
  <c r="AA480" i="50"/>
  <c r="AA481" i="50"/>
  <c r="AA482" i="50"/>
  <c r="AA483" i="50"/>
  <c r="AA484" i="50"/>
  <c r="AA485" i="50"/>
  <c r="AA486" i="50"/>
  <c r="AA487" i="50"/>
  <c r="AA488" i="50"/>
  <c r="AA489" i="50"/>
  <c r="AA490" i="50"/>
  <c r="AA491" i="50"/>
  <c r="AA492" i="50"/>
  <c r="AA493" i="50"/>
  <c r="AA494" i="50"/>
  <c r="AA495" i="50"/>
  <c r="AA496" i="50"/>
  <c r="AA497" i="50"/>
  <c r="AA498" i="50"/>
  <c r="AA499" i="50"/>
  <c r="AA500" i="50"/>
  <c r="AA501" i="50"/>
  <c r="AA502" i="50"/>
  <c r="AA503" i="50"/>
  <c r="AA504" i="50"/>
  <c r="AA505" i="50"/>
  <c r="AA506" i="50"/>
  <c r="AA507" i="50"/>
  <c r="AA508" i="50"/>
  <c r="AA509" i="50"/>
  <c r="AA510" i="50"/>
  <c r="AA511" i="50"/>
  <c r="AA512" i="50"/>
  <c r="AA513" i="50"/>
  <c r="AA514" i="50"/>
  <c r="AA515" i="50"/>
  <c r="AA516" i="50"/>
  <c r="AA517" i="50"/>
  <c r="AA518" i="50"/>
  <c r="AA519" i="50"/>
  <c r="AA520" i="50"/>
  <c r="AA521" i="50"/>
  <c r="AA522" i="50"/>
  <c r="AA523" i="50"/>
  <c r="AA524" i="50"/>
  <c r="AA525" i="50"/>
  <c r="AA526" i="50"/>
  <c r="AA527" i="50"/>
  <c r="AA528" i="50"/>
  <c r="AA529" i="50"/>
  <c r="AA530" i="50"/>
  <c r="AA531" i="50"/>
  <c r="AA532" i="50"/>
  <c r="AA533" i="50"/>
  <c r="AA534" i="50"/>
  <c r="AA535" i="50"/>
  <c r="AA536" i="50"/>
  <c r="AA537" i="50"/>
  <c r="AA538" i="50"/>
  <c r="AA539" i="50"/>
  <c r="AA540" i="50"/>
  <c r="AA541" i="50"/>
  <c r="AA542" i="50"/>
  <c r="AA543" i="50"/>
  <c r="AA544" i="50"/>
  <c r="AA545" i="50"/>
  <c r="AA546" i="50"/>
  <c r="AA547" i="50"/>
  <c r="AA548" i="50"/>
  <c r="AA549" i="50"/>
  <c r="AA550" i="50"/>
  <c r="AA551" i="50"/>
  <c r="AA552" i="50"/>
  <c r="AA553" i="50"/>
  <c r="AA554" i="50"/>
  <c r="AA555" i="50"/>
  <c r="AA556" i="50"/>
  <c r="AA557" i="50"/>
  <c r="AA558" i="50"/>
  <c r="AA559" i="50"/>
  <c r="AA560" i="50"/>
  <c r="AA561" i="50"/>
  <c r="AA562" i="50"/>
  <c r="AA563" i="50"/>
  <c r="AA564" i="50"/>
  <c r="AA565" i="50"/>
  <c r="AA566" i="50"/>
  <c r="AA567" i="50"/>
  <c r="AA568" i="50"/>
  <c r="AA569" i="50"/>
  <c r="AA570" i="50"/>
  <c r="AA571" i="50"/>
  <c r="AA572" i="50"/>
  <c r="AA573" i="50"/>
  <c r="AA574" i="50"/>
  <c r="AA575" i="50"/>
  <c r="AA576" i="50"/>
  <c r="AA577" i="50"/>
  <c r="AA578" i="50"/>
  <c r="AA579" i="50"/>
  <c r="AA580" i="50"/>
  <c r="AA581" i="50"/>
  <c r="AA582" i="50"/>
  <c r="AA583" i="50"/>
  <c r="AA584" i="50"/>
  <c r="AA585" i="50"/>
  <c r="AA586" i="50"/>
  <c r="AA587" i="50"/>
  <c r="AA588" i="50"/>
  <c r="AA589" i="50"/>
  <c r="AA590" i="50"/>
  <c r="AA591" i="50"/>
  <c r="AA592" i="50"/>
  <c r="AA593" i="50"/>
  <c r="AA594" i="50"/>
  <c r="AA595" i="50"/>
  <c r="AA596" i="50"/>
  <c r="AA597" i="50"/>
  <c r="AA598" i="50"/>
  <c r="AA599" i="50"/>
  <c r="AA600" i="50"/>
  <c r="AA601" i="50"/>
  <c r="AA602" i="50"/>
  <c r="AA603" i="50"/>
  <c r="AA604" i="50"/>
  <c r="AA605" i="50"/>
  <c r="AA606" i="50"/>
  <c r="AA607" i="50"/>
  <c r="AA608" i="50"/>
  <c r="AA609" i="50"/>
  <c r="AA610" i="50"/>
  <c r="AA611" i="50"/>
  <c r="AA612" i="50"/>
  <c r="AA613" i="50"/>
  <c r="AA614" i="50"/>
  <c r="AA615" i="50"/>
  <c r="AA616" i="50"/>
  <c r="AA617" i="50"/>
  <c r="AA618" i="50"/>
  <c r="AA619" i="50"/>
  <c r="AA620" i="50"/>
  <c r="AA621" i="50"/>
  <c r="AA622" i="50"/>
  <c r="AA623" i="50"/>
  <c r="AA624" i="50"/>
  <c r="AA625" i="50"/>
  <c r="AA626" i="50"/>
  <c r="AA627" i="50"/>
  <c r="AA628" i="50"/>
  <c r="AA629" i="50"/>
  <c r="AA630" i="50"/>
  <c r="AA631" i="50"/>
  <c r="AA632" i="50"/>
  <c r="AA633" i="50"/>
  <c r="AA634" i="50"/>
  <c r="AA635" i="50"/>
  <c r="AA636" i="50"/>
  <c r="AA637" i="50"/>
  <c r="AA638" i="50"/>
  <c r="AA639" i="50"/>
  <c r="AA640" i="50"/>
  <c r="AA641" i="50"/>
  <c r="AA642" i="50"/>
  <c r="AA643" i="50"/>
  <c r="AA644" i="50"/>
  <c r="AA645" i="50"/>
  <c r="AA646" i="50"/>
  <c r="AA647" i="50"/>
  <c r="AA648" i="50"/>
  <c r="AA649" i="50"/>
  <c r="AA650" i="50"/>
  <c r="AA651" i="50"/>
  <c r="AA652" i="50"/>
  <c r="AA653" i="50"/>
  <c r="AA654" i="50"/>
  <c r="AA655" i="50"/>
  <c r="AA656" i="50"/>
  <c r="AA657" i="50"/>
  <c r="AA658" i="50"/>
  <c r="AA659" i="50"/>
  <c r="AA660" i="50"/>
  <c r="AA661" i="50"/>
  <c r="AA662" i="50"/>
  <c r="AA663" i="50"/>
  <c r="AA664" i="50"/>
  <c r="AA665" i="50"/>
  <c r="AA666" i="50"/>
  <c r="AA667" i="50"/>
  <c r="AA668" i="50"/>
  <c r="AA669" i="50"/>
  <c r="AA670" i="50"/>
  <c r="AA671" i="50"/>
  <c r="AA672" i="50"/>
  <c r="AA673" i="50"/>
  <c r="AA674" i="50"/>
  <c r="AA675" i="50"/>
  <c r="AA676" i="50"/>
  <c r="AA677" i="50"/>
  <c r="AA678" i="50"/>
  <c r="AA679" i="50"/>
  <c r="AA680" i="50"/>
  <c r="AA681" i="50"/>
  <c r="AA682" i="50"/>
  <c r="AA683" i="50"/>
  <c r="AA684" i="50"/>
  <c r="AA685" i="50"/>
  <c r="AA686" i="50"/>
  <c r="AA687" i="50"/>
  <c r="AA688" i="50"/>
  <c r="AA689" i="50"/>
  <c r="AA690" i="50"/>
  <c r="AA691" i="50"/>
  <c r="AA692" i="50"/>
  <c r="AA693" i="50"/>
  <c r="AA694" i="50"/>
  <c r="AA695" i="50"/>
  <c r="AA696" i="50"/>
  <c r="AA697" i="50"/>
  <c r="AA698" i="50"/>
  <c r="AA699" i="50"/>
  <c r="AA700" i="50"/>
  <c r="AA701" i="50"/>
  <c r="AA702" i="50"/>
  <c r="AA703" i="50"/>
  <c r="AA704" i="50"/>
  <c r="AA705" i="50"/>
  <c r="AA706" i="50"/>
  <c r="AA707" i="50"/>
  <c r="AA708" i="50"/>
  <c r="AA709" i="50"/>
  <c r="AA710" i="50"/>
  <c r="AA711" i="50"/>
  <c r="AA712" i="50"/>
  <c r="AA713" i="50"/>
  <c r="AA714" i="50"/>
  <c r="AA715" i="50"/>
  <c r="AA716" i="50"/>
  <c r="AA717" i="50"/>
  <c r="AA718" i="50"/>
  <c r="AA719" i="50"/>
  <c r="AA720" i="50"/>
  <c r="AA721" i="50"/>
  <c r="AA722" i="50"/>
  <c r="AA723" i="50"/>
  <c r="AA724" i="50"/>
  <c r="AA725" i="50"/>
  <c r="AA726" i="50"/>
  <c r="AA727" i="50"/>
  <c r="AA728" i="50"/>
  <c r="AA729" i="50"/>
  <c r="AA730" i="50"/>
  <c r="AA731" i="50"/>
  <c r="AA732" i="50"/>
  <c r="AA733" i="50"/>
  <c r="AA734" i="50"/>
  <c r="AA735" i="50"/>
  <c r="AA736" i="50"/>
  <c r="AA737" i="50"/>
  <c r="AA738" i="50"/>
  <c r="AA739" i="50"/>
  <c r="AA740" i="50"/>
  <c r="AA741" i="50"/>
  <c r="AA742" i="50"/>
  <c r="AA743" i="50"/>
  <c r="AA744" i="50"/>
  <c r="AA745" i="50"/>
  <c r="AA746" i="50"/>
  <c r="AA747" i="50"/>
  <c r="AA748" i="50"/>
  <c r="AA749" i="50"/>
  <c r="AA750" i="50"/>
  <c r="AA751" i="50"/>
  <c r="AA752" i="50"/>
  <c r="AA753" i="50"/>
  <c r="AA754" i="50"/>
  <c r="AA755" i="50"/>
  <c r="AA756" i="50"/>
  <c r="AA757" i="50"/>
  <c r="AA758" i="50"/>
  <c r="AA759" i="50"/>
  <c r="AA760" i="50"/>
  <c r="AA761" i="50"/>
  <c r="AA762" i="50"/>
  <c r="AA763" i="50"/>
  <c r="AA764" i="50"/>
  <c r="AA765" i="50"/>
  <c r="AA766" i="50"/>
  <c r="AA767" i="50"/>
  <c r="AA768" i="50"/>
  <c r="AA769" i="50"/>
  <c r="AA770" i="50"/>
  <c r="AA771" i="50"/>
  <c r="AA772" i="50"/>
  <c r="AA773" i="50"/>
  <c r="AA774" i="50"/>
  <c r="AA775" i="50"/>
  <c r="AA776" i="50"/>
  <c r="AA777" i="50"/>
  <c r="AA778" i="50"/>
  <c r="AA779" i="50"/>
  <c r="AA780" i="50"/>
  <c r="AA781" i="50"/>
  <c r="AA782" i="50"/>
  <c r="AA783" i="50"/>
  <c r="AA784" i="50"/>
  <c r="AA785" i="50"/>
  <c r="AA786" i="50"/>
  <c r="AA787" i="50"/>
  <c r="AA788" i="50"/>
  <c r="AA789" i="50"/>
  <c r="AA790" i="50"/>
  <c r="AA791" i="50"/>
  <c r="AA792" i="50"/>
  <c r="AA793" i="50"/>
  <c r="AA794" i="50"/>
  <c r="AA795" i="50"/>
  <c r="AA796" i="50"/>
  <c r="AA797" i="50"/>
  <c r="AA798" i="50"/>
  <c r="AA799" i="50"/>
  <c r="AA800" i="50"/>
  <c r="AA801" i="50"/>
  <c r="AA802" i="50"/>
  <c r="AA803" i="50"/>
  <c r="AA804" i="50"/>
  <c r="AA805" i="50"/>
  <c r="AA806" i="50"/>
  <c r="AA807" i="50"/>
  <c r="AA808" i="50"/>
  <c r="AA809" i="50"/>
  <c r="AA810" i="50"/>
  <c r="AA811" i="50"/>
  <c r="AA812" i="50"/>
  <c r="AA813" i="50"/>
  <c r="AA814" i="50"/>
  <c r="AA815" i="50"/>
  <c r="AA816" i="50"/>
  <c r="AA817" i="50"/>
  <c r="AA818" i="50"/>
  <c r="AA819" i="50"/>
  <c r="AA820" i="50"/>
  <c r="AA821" i="50"/>
  <c r="AA822" i="50"/>
  <c r="AA823" i="50"/>
  <c r="AA824" i="50"/>
  <c r="AA825" i="50"/>
  <c r="AA826" i="50"/>
  <c r="AA827" i="50"/>
  <c r="AA828" i="50"/>
  <c r="AA829" i="50"/>
  <c r="AA830" i="50"/>
  <c r="AA831" i="50"/>
  <c r="AA832" i="50"/>
  <c r="AA833" i="50"/>
  <c r="AA834" i="50"/>
  <c r="AA835" i="50"/>
  <c r="AA836" i="50"/>
  <c r="AA837" i="50"/>
  <c r="AA838" i="50"/>
  <c r="AA839" i="50"/>
  <c r="AA840" i="50"/>
  <c r="AA841" i="50"/>
  <c r="AA842" i="50"/>
  <c r="AA843" i="50"/>
  <c r="AA844" i="50"/>
  <c r="AA845" i="50"/>
  <c r="AA846" i="50"/>
  <c r="AA847" i="50"/>
  <c r="AA848" i="50"/>
  <c r="AA849" i="50"/>
  <c r="AA850" i="50"/>
  <c r="AA851" i="50"/>
  <c r="AA852" i="50"/>
  <c r="AA853" i="50"/>
  <c r="AA854" i="50"/>
  <c r="AA855" i="50"/>
  <c r="AA856" i="50"/>
  <c r="AA857" i="50"/>
  <c r="AA858" i="50"/>
  <c r="AA859" i="50"/>
  <c r="AA860" i="50"/>
  <c r="AA861" i="50"/>
  <c r="AA862" i="50"/>
  <c r="AA863" i="50"/>
  <c r="AA864" i="50"/>
  <c r="AA865" i="50"/>
  <c r="AA866" i="50"/>
  <c r="AA867" i="50"/>
  <c r="AA868" i="50"/>
  <c r="AA869" i="50"/>
  <c r="AA870" i="50"/>
  <c r="AA871" i="50"/>
  <c r="AA872" i="50"/>
  <c r="AA873" i="50"/>
  <c r="AA874" i="50"/>
  <c r="AA875" i="50"/>
  <c r="AA876" i="50"/>
  <c r="AA877" i="50"/>
  <c r="AA878" i="50"/>
  <c r="AA879" i="50"/>
  <c r="AA880" i="50"/>
  <c r="AA881" i="50"/>
  <c r="AA882" i="50"/>
  <c r="AA883" i="50"/>
  <c r="AA884" i="50"/>
  <c r="AA885" i="50"/>
  <c r="AA886" i="50"/>
  <c r="AA887" i="50"/>
  <c r="AA888" i="50"/>
  <c r="AA889" i="50"/>
  <c r="AA890" i="50"/>
  <c r="AA891" i="50"/>
  <c r="AA892" i="50"/>
  <c r="AA893" i="50"/>
  <c r="AA894" i="50"/>
  <c r="AA895" i="50"/>
  <c r="AA896" i="50"/>
  <c r="AA897" i="50"/>
  <c r="AA898" i="50"/>
  <c r="AA899" i="50"/>
  <c r="AA900" i="50"/>
  <c r="AA901" i="50"/>
  <c r="AA902" i="50"/>
  <c r="AA903" i="50"/>
  <c r="AA904" i="50"/>
  <c r="AA905" i="50"/>
  <c r="AA906" i="50"/>
  <c r="AA907" i="50"/>
  <c r="AA908" i="50"/>
  <c r="AA909" i="50"/>
  <c r="AA910" i="50"/>
  <c r="AA911" i="50"/>
  <c r="AA912" i="50"/>
  <c r="AA913" i="50"/>
  <c r="AA914" i="50"/>
  <c r="AA915" i="50"/>
  <c r="AA916" i="50"/>
  <c r="AA917" i="50"/>
  <c r="AA918" i="50"/>
  <c r="AA919" i="50"/>
  <c r="AA920" i="50"/>
  <c r="AA921" i="50"/>
  <c r="AA922" i="50"/>
  <c r="AA923" i="50"/>
  <c r="AA924" i="50"/>
  <c r="AA925" i="50"/>
  <c r="AA926" i="50"/>
  <c r="AA927" i="50"/>
  <c r="AA928" i="50"/>
  <c r="AA929" i="50"/>
  <c r="AA930" i="50"/>
  <c r="AA931" i="50"/>
  <c r="AA932" i="50"/>
  <c r="AA933" i="50"/>
  <c r="AA934" i="50"/>
  <c r="AA935" i="50"/>
  <c r="AA936" i="50"/>
  <c r="AA937" i="50"/>
  <c r="AA938" i="50"/>
  <c r="AA939" i="50"/>
  <c r="AA940" i="50"/>
  <c r="AA941" i="50"/>
  <c r="AA942" i="50"/>
  <c r="AA943" i="50"/>
  <c r="AA944" i="50"/>
  <c r="AA945" i="50"/>
  <c r="AA946" i="50"/>
  <c r="AA947" i="50"/>
  <c r="AA948" i="50"/>
  <c r="AA949" i="50"/>
  <c r="AA950" i="50"/>
  <c r="AA951" i="50"/>
  <c r="AA952" i="50"/>
  <c r="AA953" i="50"/>
  <c r="AA954" i="50"/>
  <c r="AA955" i="50"/>
  <c r="AA956" i="50"/>
  <c r="AA957" i="50"/>
  <c r="AA958" i="50"/>
  <c r="AA959" i="50"/>
  <c r="AA960" i="50"/>
  <c r="AA961" i="50"/>
  <c r="AA962" i="50"/>
  <c r="AA963" i="50"/>
  <c r="AA964" i="50"/>
  <c r="AA965" i="50"/>
  <c r="AA966" i="50"/>
  <c r="AA967" i="50"/>
  <c r="AA968" i="50"/>
  <c r="AA969" i="50"/>
  <c r="AA970" i="50"/>
  <c r="AA971" i="50"/>
  <c r="AA972" i="50"/>
  <c r="AA973" i="50"/>
  <c r="AA974" i="50"/>
  <c r="AA975" i="50"/>
  <c r="AA976" i="50"/>
  <c r="AA977" i="50"/>
  <c r="AA978" i="50"/>
  <c r="AA979" i="50"/>
  <c r="AA980" i="50"/>
  <c r="AA981" i="50"/>
  <c r="AA982" i="50"/>
  <c r="AA983" i="50"/>
  <c r="AA984" i="50"/>
  <c r="AA985" i="50"/>
  <c r="AA986" i="50"/>
  <c r="AA987" i="50"/>
  <c r="AA988" i="50"/>
  <c r="AA989" i="50"/>
  <c r="AA990" i="50"/>
  <c r="AA991" i="50"/>
  <c r="AA992" i="50"/>
  <c r="AA993" i="50"/>
  <c r="AA994" i="50"/>
  <c r="AA995" i="50"/>
  <c r="AA996" i="50"/>
  <c r="AA997" i="50"/>
  <c r="AA998" i="50"/>
  <c r="AA999" i="50"/>
  <c r="AA1000" i="50"/>
  <c r="AA1001" i="50"/>
  <c r="AA1002" i="50"/>
  <c r="AA1003" i="50"/>
  <c r="AA1004" i="50"/>
  <c r="AA1005" i="50"/>
  <c r="AA1006" i="50"/>
  <c r="AA1007" i="50"/>
  <c r="AA1008" i="50"/>
  <c r="AA1009" i="50"/>
  <c r="AA1010" i="50"/>
  <c r="AA1011" i="50"/>
  <c r="AA1012" i="50"/>
  <c r="AA1013" i="50"/>
  <c r="AA1014" i="50"/>
  <c r="AA1015" i="50"/>
  <c r="AA1016" i="50"/>
  <c r="AA1017" i="50"/>
  <c r="AA1018" i="50"/>
  <c r="AA1019" i="50"/>
  <c r="AA1020" i="50"/>
  <c r="AA1021" i="50"/>
  <c r="AA1022" i="50"/>
  <c r="AA1023" i="50"/>
  <c r="AA1024" i="50"/>
  <c r="AA1025" i="50"/>
  <c r="AA1026" i="50"/>
  <c r="AA1027" i="50"/>
  <c r="AA1028" i="50"/>
  <c r="AA1029" i="50"/>
  <c r="AA1030" i="50"/>
  <c r="AA1031" i="50"/>
  <c r="AA1032" i="50"/>
  <c r="AA1033" i="50"/>
  <c r="AA1034" i="50"/>
  <c r="AA1035" i="50"/>
  <c r="AA1036" i="50"/>
  <c r="AA1037" i="50"/>
  <c r="AA1038" i="50"/>
  <c r="AA1039" i="50"/>
  <c r="AA1040" i="50"/>
  <c r="AA1041" i="50"/>
  <c r="AA1042" i="50"/>
  <c r="AA1043" i="50"/>
  <c r="AA1044" i="50"/>
  <c r="AA1045" i="50"/>
  <c r="AA1046" i="50"/>
  <c r="AA1047" i="50"/>
  <c r="AA1048" i="50"/>
  <c r="AA1049" i="50"/>
  <c r="AA1050" i="50"/>
  <c r="AA1051" i="50"/>
  <c r="AA1052" i="50"/>
  <c r="AA1053" i="50"/>
  <c r="AA1054" i="50"/>
  <c r="AA1055" i="50"/>
  <c r="AA1056" i="50"/>
  <c r="AA1057" i="50"/>
  <c r="AA1058" i="50"/>
  <c r="AA1059" i="50"/>
  <c r="AA1060" i="50"/>
  <c r="AA1061" i="50"/>
  <c r="AA1062" i="50"/>
  <c r="AA1063" i="50"/>
  <c r="AA1064" i="50"/>
  <c r="AA1065" i="50"/>
  <c r="AA1066" i="50"/>
  <c r="AA1067" i="50"/>
  <c r="AA1068" i="50"/>
  <c r="AA1069" i="50"/>
  <c r="AA1070" i="50"/>
  <c r="AA1071" i="50"/>
  <c r="AA1072" i="50"/>
  <c r="AA1073" i="50"/>
  <c r="AA1074" i="50"/>
  <c r="AA1075" i="50"/>
  <c r="AA1076" i="50"/>
  <c r="AA1077" i="50"/>
  <c r="AA1078" i="50"/>
  <c r="AA1079" i="50"/>
  <c r="AA1080" i="50"/>
  <c r="AA1081" i="50"/>
  <c r="AA1082" i="50"/>
  <c r="AA1083" i="50"/>
  <c r="AA1084" i="50"/>
  <c r="AA1085" i="50"/>
  <c r="AA1086" i="50"/>
  <c r="AA1087" i="50"/>
  <c r="AA1088" i="50"/>
  <c r="AA1089" i="50"/>
  <c r="AA1090" i="50"/>
  <c r="AA1091" i="50"/>
  <c r="AA1092" i="50"/>
  <c r="AA1093" i="50"/>
  <c r="AA1094" i="50"/>
  <c r="AA1095" i="50"/>
  <c r="AA1096" i="50"/>
  <c r="AA1097" i="50"/>
  <c r="AA1098" i="50"/>
  <c r="AA1099" i="50"/>
  <c r="AA1100" i="50"/>
  <c r="AA1101" i="50"/>
  <c r="AA1102" i="50"/>
  <c r="AA1103" i="50"/>
  <c r="AA1104" i="50"/>
  <c r="AA1105" i="50"/>
  <c r="AA1106" i="50"/>
  <c r="AA1107" i="50"/>
  <c r="AA1108" i="50"/>
  <c r="AA1109" i="50"/>
  <c r="AA1110" i="50"/>
  <c r="AA1111" i="50"/>
  <c r="AA1112" i="50"/>
  <c r="AA1113" i="50"/>
  <c r="AA1114" i="50"/>
  <c r="AA1115" i="50"/>
  <c r="AA1116" i="50"/>
  <c r="AA1117" i="50"/>
  <c r="AA1118" i="50"/>
  <c r="AA1119" i="50"/>
  <c r="AA1120" i="50"/>
  <c r="AA1121" i="50"/>
  <c r="AA1122" i="50"/>
  <c r="AA1123" i="50"/>
  <c r="AA1124" i="50"/>
  <c r="AA1125" i="50"/>
  <c r="AA1126" i="50"/>
  <c r="AA1127" i="50"/>
  <c r="AA1128" i="50"/>
  <c r="AA1129" i="50"/>
  <c r="AA1130" i="50"/>
  <c r="AA1131" i="50"/>
  <c r="AA1132" i="50"/>
  <c r="AA1133" i="50"/>
  <c r="AA1134" i="50"/>
  <c r="AA1135" i="50"/>
  <c r="AA1136" i="50"/>
  <c r="AA1137" i="50"/>
  <c r="AA1138" i="50"/>
  <c r="AA1139" i="50"/>
  <c r="AA1140" i="50"/>
  <c r="AA1141" i="50"/>
  <c r="AA1142" i="50"/>
  <c r="AA1143" i="50"/>
  <c r="AA1144" i="50"/>
  <c r="AA1145" i="50"/>
  <c r="AA1146" i="50"/>
  <c r="AA1147" i="50"/>
  <c r="AA1148" i="50"/>
  <c r="AA1149" i="50"/>
  <c r="AA1150" i="50"/>
  <c r="AA1151" i="50"/>
  <c r="AA1152" i="50"/>
  <c r="AA1153" i="50"/>
  <c r="AA1154" i="50"/>
  <c r="AA1155" i="50"/>
  <c r="AA1156" i="50"/>
  <c r="AA1157" i="50"/>
  <c r="AA1158" i="50"/>
  <c r="AA1159" i="50"/>
  <c r="AA1160" i="50"/>
  <c r="AA1161" i="50"/>
  <c r="AA1162" i="50"/>
  <c r="AA1163" i="50"/>
  <c r="AA1164" i="50"/>
  <c r="AA1165" i="50"/>
  <c r="AA1166" i="50"/>
  <c r="AA1167" i="50"/>
  <c r="AA1168" i="50"/>
  <c r="AA1169" i="50"/>
  <c r="AA1170" i="50"/>
  <c r="AA1171" i="50"/>
  <c r="AA1172" i="50"/>
  <c r="AA1173" i="50"/>
  <c r="AA1174" i="50"/>
  <c r="AA1175" i="50"/>
  <c r="AA1176" i="50"/>
  <c r="AA1177" i="50"/>
  <c r="AA1178" i="50"/>
  <c r="AA1179" i="50"/>
  <c r="AA1180" i="50"/>
  <c r="AA1181" i="50"/>
  <c r="AA1182" i="50"/>
  <c r="AA1183" i="50"/>
  <c r="AA1184" i="50"/>
  <c r="AA1185" i="50"/>
  <c r="AA1186" i="50"/>
  <c r="AA1187" i="50"/>
  <c r="AA1188" i="50"/>
  <c r="AA1189" i="50"/>
  <c r="AA1190" i="50"/>
  <c r="AA1191" i="50"/>
  <c r="AA1192" i="50"/>
  <c r="AA1193" i="50"/>
  <c r="AA1194" i="50"/>
  <c r="AA1195" i="50"/>
  <c r="AA1196" i="50"/>
  <c r="AA1197" i="50"/>
  <c r="AA1198" i="50"/>
  <c r="AA1199" i="50"/>
  <c r="AA1200" i="50"/>
  <c r="AA1201" i="50"/>
  <c r="AA1202" i="50"/>
  <c r="AA1203" i="50"/>
  <c r="AA1204" i="50"/>
  <c r="AA1205" i="50"/>
  <c r="AA1206" i="50"/>
  <c r="AA1207" i="50"/>
  <c r="AA1208" i="50"/>
  <c r="AA1209" i="50"/>
  <c r="AA1210" i="50"/>
  <c r="AA1211" i="50"/>
  <c r="AA1212" i="50"/>
  <c r="AA1213" i="50"/>
  <c r="AA1214" i="50"/>
  <c r="AA1215" i="50"/>
  <c r="AA1216" i="50"/>
  <c r="AA1217" i="50"/>
  <c r="AA1218" i="50"/>
  <c r="AA1219" i="50"/>
  <c r="AA1220" i="50"/>
  <c r="AA1221" i="50"/>
  <c r="AA1222" i="50"/>
  <c r="AA1223" i="50"/>
  <c r="AA1224" i="50"/>
  <c r="AA1225" i="50"/>
  <c r="AA1226" i="50"/>
  <c r="AA1227" i="50"/>
  <c r="AA1228" i="50"/>
  <c r="AA1229" i="50"/>
  <c r="AA1230" i="50"/>
  <c r="AA1231" i="50"/>
  <c r="AA1232" i="50"/>
  <c r="AA1233" i="50"/>
  <c r="AA1234" i="50"/>
  <c r="AA1235" i="50"/>
  <c r="AA1236" i="50"/>
  <c r="AA1237" i="50"/>
  <c r="AA1238" i="50"/>
  <c r="AA1239" i="50"/>
  <c r="AA1240" i="50"/>
  <c r="AA1241" i="50"/>
  <c r="AA1242" i="50"/>
  <c r="AA1243" i="50"/>
  <c r="AA1244" i="50"/>
  <c r="AA1245" i="50"/>
  <c r="AA1246" i="50"/>
  <c r="AA1247" i="50"/>
  <c r="AA1248" i="50"/>
  <c r="AA1249" i="50"/>
  <c r="AA1250" i="50"/>
  <c r="AA1251" i="50"/>
  <c r="AA1252" i="50"/>
  <c r="AA1253" i="50"/>
  <c r="AA1254" i="50"/>
  <c r="AA1255" i="50"/>
  <c r="AA1256" i="50"/>
  <c r="AA1257" i="50"/>
  <c r="AA1258" i="50"/>
  <c r="AA1259" i="50"/>
  <c r="AA1260" i="50"/>
  <c r="AA1261" i="50"/>
  <c r="AA1262" i="50"/>
  <c r="AA1263" i="50"/>
  <c r="AA1264" i="50"/>
  <c r="AA1265" i="50"/>
  <c r="AA1266" i="50"/>
  <c r="AA1267" i="50"/>
  <c r="AA1268" i="50"/>
  <c r="AA1269" i="50"/>
  <c r="AA1270" i="50"/>
  <c r="AA1271" i="50"/>
  <c r="AA1272" i="50"/>
  <c r="AA1273" i="50"/>
  <c r="AA1274" i="50"/>
  <c r="AA1275" i="50"/>
  <c r="AA1276" i="50"/>
  <c r="AA1277" i="50"/>
  <c r="AA1278" i="50"/>
  <c r="AA1279" i="50"/>
  <c r="AA1280" i="50"/>
  <c r="AA1281" i="50"/>
  <c r="AA1282" i="50"/>
  <c r="AA1283" i="50"/>
  <c r="AA1284" i="50"/>
  <c r="AA1285" i="50"/>
  <c r="AA1286" i="50"/>
  <c r="AA1287" i="50"/>
  <c r="AA1288" i="50"/>
  <c r="AA1289" i="50"/>
  <c r="AA1290" i="50"/>
  <c r="AA1291" i="50"/>
  <c r="AA1292" i="50"/>
  <c r="AA1293" i="50"/>
  <c r="AA1294" i="50"/>
  <c r="AA1295" i="50"/>
  <c r="AA1296" i="50"/>
  <c r="AA1297" i="50"/>
  <c r="AA1298" i="50"/>
  <c r="AA1299" i="50"/>
  <c r="AA1300" i="50"/>
  <c r="AA1301" i="50"/>
  <c r="AA1302" i="50"/>
  <c r="AA1303" i="50"/>
  <c r="AA1304" i="50"/>
  <c r="AA1305" i="50"/>
  <c r="AA1306" i="50"/>
  <c r="AA1307" i="50"/>
  <c r="AA1308" i="50"/>
  <c r="AA1309" i="50"/>
  <c r="AA1310" i="50"/>
  <c r="AA1311" i="50"/>
  <c r="AA1312" i="50"/>
  <c r="AA1313" i="50"/>
  <c r="AA1314" i="50"/>
  <c r="AA1315" i="50"/>
  <c r="AA1316" i="50"/>
  <c r="AA1317" i="50"/>
  <c r="AA1318" i="50"/>
  <c r="AA1319" i="50"/>
  <c r="AA1320" i="50"/>
  <c r="AA1321" i="50"/>
  <c r="AA1322" i="50"/>
  <c r="AA1323" i="50"/>
  <c r="AA1324" i="50"/>
  <c r="AA1325" i="50"/>
  <c r="AA1326" i="50"/>
  <c r="AA1327" i="50"/>
  <c r="AA1328" i="50"/>
  <c r="AA1329" i="50"/>
  <c r="AA1330" i="50"/>
  <c r="AA1331" i="50"/>
  <c r="AA1332" i="50"/>
  <c r="AA1333" i="50"/>
  <c r="AA1334" i="50"/>
  <c r="AA1335" i="50"/>
  <c r="AA1336" i="50"/>
  <c r="AA1337" i="50"/>
  <c r="AA1338" i="50"/>
  <c r="AA1339" i="50"/>
  <c r="AA1340" i="50"/>
  <c r="AA1341" i="50"/>
  <c r="AA1342" i="50"/>
  <c r="AA1343" i="50"/>
  <c r="AA1344" i="50"/>
  <c r="AA1345" i="50"/>
  <c r="AA1346" i="50"/>
  <c r="AA1347" i="50"/>
  <c r="AA1348" i="50"/>
  <c r="AA1349" i="50"/>
  <c r="AA1350" i="50"/>
  <c r="AA1351" i="50"/>
  <c r="AA1352" i="50"/>
  <c r="AA1353" i="50"/>
  <c r="AA1354" i="50"/>
  <c r="AA1355" i="50"/>
  <c r="AA1356" i="50"/>
  <c r="AA1357" i="50"/>
  <c r="AA1358" i="50"/>
  <c r="AA1359" i="50"/>
  <c r="AA1360" i="50"/>
  <c r="AA1361" i="50"/>
  <c r="AA1362" i="50"/>
  <c r="AA1363" i="50"/>
  <c r="AA1364" i="50"/>
  <c r="AA1365" i="50"/>
  <c r="AA1366" i="50"/>
  <c r="AA1367" i="50"/>
  <c r="AA1368" i="50"/>
  <c r="AA1369" i="50"/>
  <c r="AA1370" i="50"/>
  <c r="AA1371" i="50"/>
  <c r="AA1372" i="50"/>
  <c r="AA1373" i="50"/>
  <c r="AA1374" i="50"/>
  <c r="AA1375" i="50"/>
  <c r="AA1376" i="50"/>
  <c r="AA1377" i="50"/>
  <c r="AA1378" i="50"/>
  <c r="AA1379" i="50"/>
  <c r="AA1380" i="50"/>
  <c r="AA1381" i="50"/>
  <c r="AA1382" i="50"/>
  <c r="AA1383" i="50"/>
  <c r="AA1384" i="50"/>
  <c r="AA1385" i="50"/>
  <c r="AA1386" i="50"/>
  <c r="AA1387" i="50"/>
  <c r="AA1388" i="50"/>
  <c r="AA1389" i="50"/>
  <c r="AA1390" i="50"/>
  <c r="AA1391" i="50"/>
  <c r="AA1392" i="50"/>
  <c r="AA1393" i="50"/>
  <c r="AA1394" i="50"/>
  <c r="AA1395" i="50"/>
  <c r="AA1396" i="50"/>
  <c r="AA1397" i="50"/>
  <c r="AA1398" i="50"/>
  <c r="AA1399" i="50"/>
  <c r="AA1400" i="50"/>
  <c r="AA1401" i="50"/>
  <c r="AA1402" i="50"/>
  <c r="AA1403" i="50"/>
  <c r="AA1404" i="50"/>
  <c r="AA1405" i="50"/>
  <c r="AA1406" i="50"/>
  <c r="AA1407" i="50"/>
  <c r="AA1408" i="50"/>
  <c r="AA1409" i="50"/>
  <c r="AA1410" i="50"/>
  <c r="AA1411" i="50"/>
  <c r="AA1412" i="50"/>
  <c r="AA1413" i="50"/>
  <c r="AA1414" i="50"/>
  <c r="AA1415" i="50"/>
  <c r="AA1416" i="50"/>
  <c r="AA1417" i="50"/>
  <c r="AA1418" i="50"/>
  <c r="AA1419" i="50"/>
  <c r="AA1420" i="50"/>
  <c r="AA1421" i="50"/>
  <c r="AA1422" i="50"/>
  <c r="AA1423" i="50"/>
  <c r="AA1424" i="50"/>
  <c r="AA1425" i="50"/>
  <c r="AA1426" i="50"/>
  <c r="AA1427" i="50"/>
  <c r="AA1428" i="50"/>
  <c r="AA1429" i="50"/>
  <c r="AA1430" i="50"/>
  <c r="AA1431" i="50"/>
  <c r="AA1432" i="50"/>
  <c r="AA1433" i="50"/>
  <c r="AA1434" i="50"/>
  <c r="AA1435" i="50"/>
  <c r="AA1436" i="50"/>
  <c r="AA1437" i="50"/>
  <c r="AA1438" i="50"/>
  <c r="AA1439" i="50"/>
  <c r="AA1440" i="50"/>
  <c r="AA1441" i="50"/>
  <c r="AA1442" i="50"/>
  <c r="AA1443" i="50"/>
  <c r="AA1444" i="50"/>
  <c r="AA1445" i="50"/>
  <c r="AA1446" i="50"/>
  <c r="AA1447" i="50"/>
  <c r="AA1448" i="50"/>
  <c r="AA1449" i="50"/>
  <c r="AA1450" i="50"/>
  <c r="AA1451" i="50"/>
  <c r="AA1452" i="50"/>
  <c r="AA1453" i="50"/>
  <c r="AA1454" i="50"/>
  <c r="AA1455" i="50"/>
  <c r="AA1456" i="50"/>
  <c r="AA1457" i="50"/>
  <c r="AA1458" i="50"/>
  <c r="AA1459" i="50"/>
  <c r="AA1460" i="50"/>
  <c r="AA1461" i="50"/>
  <c r="AA1462" i="50"/>
  <c r="AA1463" i="50"/>
  <c r="AA1464" i="50"/>
  <c r="AA1465" i="50"/>
  <c r="AA1466" i="50"/>
  <c r="AA1467" i="50"/>
  <c r="AA1468" i="50"/>
  <c r="AA1469" i="50"/>
  <c r="AA1470" i="50"/>
  <c r="AA1471" i="50"/>
  <c r="AA1472" i="50"/>
  <c r="AA1473" i="50"/>
  <c r="AA1474" i="50"/>
  <c r="AA1475" i="50"/>
  <c r="AA1476" i="50"/>
  <c r="AA1477" i="50"/>
  <c r="AA1478" i="50"/>
  <c r="AA1479" i="50"/>
  <c r="AA1480" i="50"/>
  <c r="AA1481" i="50"/>
  <c r="AA1482" i="50"/>
  <c r="AA1483" i="50"/>
  <c r="AA1484" i="50"/>
  <c r="AA1485" i="50"/>
  <c r="AA1486" i="50"/>
  <c r="AA1487" i="50"/>
  <c r="AA1488" i="50"/>
  <c r="AA1489" i="50"/>
  <c r="AA1490" i="50"/>
  <c r="AA1491" i="50"/>
  <c r="AA1492" i="50"/>
  <c r="AA1493" i="50"/>
  <c r="AA1494" i="50"/>
  <c r="AA1495" i="50"/>
  <c r="AA1496" i="50"/>
  <c r="AA1497" i="50"/>
  <c r="AA1498" i="50"/>
  <c r="AA1499" i="50"/>
  <c r="AA1500" i="50"/>
  <c r="AA1501" i="50"/>
  <c r="AA1502" i="50"/>
  <c r="AA1503" i="50"/>
  <c r="AA1504" i="50"/>
  <c r="AA1505" i="50"/>
  <c r="AA1506" i="50"/>
  <c r="AA1507" i="50"/>
  <c r="AA1508" i="50"/>
  <c r="AA1509" i="50"/>
  <c r="AA1510" i="50"/>
  <c r="AA1511" i="50"/>
  <c r="AA1512" i="50"/>
  <c r="AA1513" i="50"/>
  <c r="AA1514" i="50"/>
  <c r="AA1515" i="50"/>
  <c r="AA1516" i="50"/>
  <c r="AA1517" i="50"/>
  <c r="AA1518" i="50"/>
  <c r="AA1519" i="50"/>
  <c r="AA1520" i="50"/>
  <c r="AA1521" i="50"/>
  <c r="AA1522" i="50"/>
  <c r="AA1523" i="50"/>
  <c r="AA1524" i="50"/>
  <c r="AA1525" i="50"/>
  <c r="AA1526" i="50"/>
  <c r="AA1527" i="50"/>
  <c r="AA1528" i="50"/>
  <c r="AA1529" i="50"/>
  <c r="AA1530" i="50"/>
  <c r="AA1531" i="50"/>
  <c r="AA1532" i="50"/>
  <c r="AA1533" i="50"/>
  <c r="AA1534" i="50"/>
  <c r="AA1535" i="50"/>
  <c r="AA1536" i="50"/>
  <c r="AA1537" i="50"/>
  <c r="AA1538" i="50"/>
  <c r="AA1539" i="50"/>
  <c r="AA1540" i="50"/>
  <c r="AA1541" i="50"/>
  <c r="AA1542" i="50"/>
  <c r="AA1543" i="50"/>
  <c r="AA1544" i="50"/>
  <c r="AA1545" i="50"/>
  <c r="AA1546" i="50"/>
  <c r="AA1547" i="50"/>
  <c r="AA1548" i="50"/>
  <c r="AA1549" i="50"/>
  <c r="AA1550" i="50"/>
  <c r="AA1551" i="50"/>
  <c r="AA1552" i="50"/>
  <c r="AA1553" i="50"/>
  <c r="AA1554" i="50"/>
  <c r="AA1555" i="50"/>
  <c r="AA1556" i="50"/>
  <c r="AA1557" i="50"/>
  <c r="AA1558" i="50"/>
  <c r="AA1559" i="50"/>
  <c r="AA1560" i="50"/>
  <c r="AA1561" i="50"/>
  <c r="AA1562" i="50"/>
  <c r="AA1563" i="50"/>
  <c r="AA1564" i="50"/>
  <c r="AA1565" i="50"/>
  <c r="AA1566" i="50"/>
  <c r="AA1567" i="50"/>
  <c r="AA1568" i="50"/>
  <c r="AA1569" i="50"/>
  <c r="AA1570" i="50"/>
  <c r="AA1571" i="50"/>
  <c r="AA1572" i="50"/>
  <c r="AA1573" i="50"/>
  <c r="AA1574" i="50"/>
  <c r="AA1575" i="50"/>
  <c r="AA1576" i="50"/>
  <c r="AA1577" i="50"/>
  <c r="AA1578" i="50"/>
  <c r="AA1579" i="50"/>
  <c r="AA1580" i="50"/>
  <c r="AA1581" i="50"/>
  <c r="AA1582" i="50"/>
  <c r="AA1583" i="50"/>
  <c r="AA1584" i="50"/>
  <c r="AA1585" i="50"/>
  <c r="AA1586" i="50"/>
  <c r="AA1587" i="50"/>
  <c r="AA1588" i="50"/>
  <c r="AA1589" i="50"/>
  <c r="AA1590" i="50"/>
  <c r="AA1591" i="50"/>
  <c r="AA1592" i="50"/>
  <c r="AA1593" i="50"/>
  <c r="AA1594" i="50"/>
  <c r="AA1595" i="50"/>
  <c r="AA1596" i="50"/>
  <c r="AA1597" i="50"/>
  <c r="AA1598" i="50"/>
  <c r="AA1599" i="50"/>
  <c r="AA1600" i="50"/>
  <c r="AA1601" i="50"/>
  <c r="AA1602" i="50"/>
  <c r="AA1603" i="50"/>
  <c r="AA1604" i="50"/>
  <c r="AA1605" i="50"/>
  <c r="AA1606" i="50"/>
  <c r="AA1607" i="50"/>
  <c r="AA1608" i="50"/>
  <c r="AA1609" i="50"/>
  <c r="AA1610" i="50"/>
  <c r="AA1611" i="50"/>
  <c r="AA1612" i="50"/>
  <c r="AA1613" i="50"/>
  <c r="AA1614" i="50"/>
  <c r="AA1615" i="50"/>
  <c r="AA1616" i="50"/>
  <c r="AA1617" i="50"/>
  <c r="AA1618" i="50"/>
  <c r="AA1619" i="50"/>
  <c r="AA1620" i="50"/>
  <c r="AA1621" i="50"/>
  <c r="AA1622" i="50"/>
  <c r="AA1623" i="50"/>
  <c r="AA1624" i="50"/>
  <c r="AA1625" i="50"/>
  <c r="AA1626" i="50"/>
  <c r="AA1627" i="50"/>
  <c r="AA1628" i="50"/>
  <c r="AA1629" i="50"/>
  <c r="AA1630" i="50"/>
  <c r="AA1631" i="50"/>
  <c r="AA1632" i="50"/>
  <c r="AA1633" i="50"/>
  <c r="AA1634" i="50"/>
  <c r="AA1635" i="50"/>
  <c r="AA1636" i="50"/>
  <c r="AA1637" i="50"/>
  <c r="AA1638" i="50"/>
  <c r="AA1639" i="50"/>
  <c r="AA1640" i="50"/>
  <c r="AA1641" i="50"/>
  <c r="AA1642" i="50"/>
  <c r="AA1643" i="50"/>
  <c r="AA1644" i="50"/>
  <c r="AA1645" i="50"/>
  <c r="AA1646" i="50"/>
  <c r="AA1647" i="50"/>
  <c r="AA1648" i="50"/>
  <c r="AA1649" i="50"/>
  <c r="AA1650" i="50"/>
  <c r="AA1651" i="50"/>
  <c r="AA1652" i="50"/>
  <c r="AA1653" i="50"/>
  <c r="AA1654" i="50"/>
  <c r="AA1655" i="50"/>
  <c r="AA1656" i="50"/>
  <c r="AA1657" i="50"/>
  <c r="AA1658" i="50"/>
  <c r="AA1659" i="50"/>
  <c r="AA1660" i="50"/>
  <c r="AA1661" i="50"/>
  <c r="AA1662" i="50"/>
  <c r="AA1663" i="50"/>
  <c r="AA1664" i="50"/>
  <c r="AA1665" i="50"/>
  <c r="AA1666" i="50"/>
  <c r="AA1667" i="50"/>
  <c r="AA1668" i="50"/>
  <c r="AA1669" i="50"/>
  <c r="AA1670" i="50"/>
  <c r="AA1671" i="50"/>
  <c r="AA1672" i="50"/>
  <c r="AA1673" i="50"/>
  <c r="AA1674" i="50"/>
  <c r="AA1675" i="50"/>
  <c r="AA1676" i="50"/>
  <c r="AA1677" i="50"/>
  <c r="AA1678" i="50"/>
  <c r="AA1679" i="50"/>
  <c r="AA1680" i="50"/>
  <c r="AA1681" i="50"/>
  <c r="AA1682" i="50"/>
  <c r="AA1683" i="50"/>
  <c r="AA1684" i="50"/>
  <c r="AA1685" i="50"/>
  <c r="AA1686" i="50"/>
  <c r="AA1687" i="50"/>
  <c r="AA1688" i="50"/>
  <c r="AA1689" i="50"/>
  <c r="AA1690" i="50"/>
  <c r="AA1691" i="50"/>
  <c r="AA1692" i="50"/>
  <c r="AA1693" i="50"/>
  <c r="AA1694" i="50"/>
  <c r="AA1695" i="50"/>
  <c r="AA1696" i="50"/>
  <c r="AA1697" i="50"/>
  <c r="AA1698" i="50"/>
  <c r="AA1699" i="50"/>
  <c r="AA1700" i="50"/>
  <c r="AA1701" i="50"/>
  <c r="AA1702" i="50"/>
  <c r="AA1703" i="50"/>
  <c r="AA1704" i="50"/>
  <c r="AA1705" i="50"/>
  <c r="AA1706" i="50"/>
  <c r="AA1707" i="50"/>
  <c r="AA1708" i="50"/>
  <c r="AA1709" i="50"/>
  <c r="AA1710" i="50"/>
  <c r="AA1711" i="50"/>
  <c r="AA1712" i="50"/>
  <c r="AA1713" i="50"/>
  <c r="AA1714" i="50"/>
  <c r="AA1715" i="50"/>
  <c r="AA1716" i="50"/>
  <c r="AA1717" i="50"/>
  <c r="AA1718" i="50"/>
  <c r="AA1719" i="50"/>
  <c r="AA1720" i="50"/>
  <c r="AA1721" i="50"/>
  <c r="AA1722" i="50"/>
  <c r="AA1723" i="50"/>
  <c r="AA1724" i="50"/>
  <c r="AA1725" i="50"/>
  <c r="AA1726" i="50"/>
  <c r="AA1727" i="50"/>
  <c r="AA1728" i="50"/>
  <c r="AA1729" i="50"/>
  <c r="AA1730" i="50"/>
  <c r="AA1731" i="50"/>
  <c r="AA1732" i="50"/>
  <c r="AA1733" i="50"/>
  <c r="AA1734" i="50"/>
  <c r="AA1735" i="50"/>
  <c r="AA1736" i="50"/>
  <c r="AA1737" i="50"/>
  <c r="AA1738" i="50"/>
  <c r="AA1739" i="50"/>
  <c r="AA1740" i="50"/>
  <c r="AA1741" i="50"/>
  <c r="AA1742" i="50"/>
  <c r="AA1743" i="50"/>
  <c r="AA1744" i="50"/>
  <c r="AA1745" i="50"/>
  <c r="AA1746" i="50"/>
  <c r="AA1747" i="50"/>
  <c r="AA1748" i="50"/>
  <c r="AA1749" i="50"/>
  <c r="AA1750" i="50"/>
  <c r="AA1751" i="50"/>
  <c r="AA1752" i="50"/>
  <c r="AA1753" i="50"/>
  <c r="AA1754" i="50"/>
  <c r="AA1755" i="50"/>
  <c r="AA1756" i="50"/>
  <c r="AA1757" i="50"/>
  <c r="AA1758" i="50"/>
  <c r="AA1759" i="50"/>
  <c r="AA1760" i="50"/>
  <c r="AA1761" i="50"/>
  <c r="AA1762" i="50"/>
  <c r="AA1763" i="50"/>
  <c r="AA1764" i="50"/>
  <c r="AA1765" i="50"/>
  <c r="AA1766" i="50"/>
  <c r="AA1767" i="50"/>
  <c r="AA1768" i="50"/>
  <c r="AA1769" i="50"/>
  <c r="AA1770" i="50"/>
  <c r="AA1771" i="50"/>
  <c r="AA1772" i="50"/>
  <c r="AA1773" i="50"/>
  <c r="AA1774" i="50"/>
  <c r="AA1775" i="50"/>
  <c r="AA1776" i="50"/>
  <c r="AA1777" i="50"/>
  <c r="AA1778" i="50"/>
  <c r="AA1779" i="50"/>
  <c r="AA1780" i="50"/>
  <c r="AA1781" i="50"/>
  <c r="AA1782" i="50"/>
  <c r="AA1783" i="50"/>
  <c r="AA1784" i="50"/>
  <c r="AA1785" i="50"/>
  <c r="AA1786" i="50"/>
  <c r="AA1787" i="50"/>
  <c r="AA1788" i="50"/>
  <c r="AA1789" i="50"/>
  <c r="AA1790" i="50"/>
  <c r="AA1791" i="50"/>
  <c r="AA1792" i="50"/>
  <c r="AA1793" i="50"/>
  <c r="AA1794" i="50"/>
  <c r="AA1795" i="50"/>
  <c r="AA1796" i="50"/>
  <c r="AA1797" i="50"/>
  <c r="AA1798" i="50"/>
  <c r="AA1799" i="50"/>
  <c r="AA1800" i="50"/>
  <c r="AA1801" i="50"/>
  <c r="AA1802" i="50"/>
  <c r="AA1803" i="50"/>
  <c r="AA1804" i="50"/>
  <c r="AA1805" i="50"/>
  <c r="AA1806" i="50"/>
  <c r="AA1807" i="50"/>
  <c r="AA1808" i="50"/>
  <c r="AA1809" i="50"/>
  <c r="AA1810" i="50"/>
  <c r="AA1811" i="50"/>
  <c r="AA1812" i="50"/>
  <c r="AA1813" i="50"/>
  <c r="AA1814" i="50"/>
  <c r="AA1815" i="50"/>
  <c r="AA1816" i="50"/>
  <c r="AA1817" i="50"/>
  <c r="AA1818" i="50"/>
  <c r="AA1819" i="50"/>
  <c r="AA1820" i="50"/>
  <c r="AA1821" i="50"/>
  <c r="AA1822" i="50"/>
  <c r="AA1823" i="50"/>
  <c r="AA1824" i="50"/>
  <c r="AA1825" i="50"/>
  <c r="AA1826" i="50"/>
  <c r="AA1827" i="50"/>
  <c r="AA1828" i="50"/>
  <c r="AA1829" i="50"/>
  <c r="AA1830" i="50"/>
  <c r="AA1831" i="50"/>
  <c r="AA1832" i="50"/>
  <c r="AA1833" i="50"/>
  <c r="AA1834" i="50"/>
  <c r="AA1835" i="50"/>
  <c r="AA1836" i="50"/>
  <c r="AA1837" i="50"/>
  <c r="AA1838" i="50"/>
  <c r="AA1839" i="50"/>
  <c r="AA1840" i="50"/>
  <c r="AA1841" i="50"/>
  <c r="AA1842" i="50"/>
  <c r="AA1843" i="50"/>
  <c r="AA1844" i="50"/>
  <c r="AA1845" i="50"/>
  <c r="AA1846" i="50"/>
  <c r="AA1847" i="50"/>
  <c r="AA1848" i="50"/>
  <c r="AA1849" i="50"/>
  <c r="AA1850" i="50"/>
  <c r="AA1851" i="50"/>
  <c r="AA1852" i="50"/>
  <c r="AA1853" i="50"/>
  <c r="AA1854" i="50"/>
  <c r="AA1855" i="50"/>
  <c r="AA1856" i="50"/>
  <c r="AA1857" i="50"/>
  <c r="AA1858" i="50"/>
  <c r="AA1859" i="50"/>
  <c r="AA1860" i="50"/>
  <c r="AA1861" i="50"/>
  <c r="AA1862" i="50"/>
  <c r="AA1863" i="50"/>
  <c r="AA1864" i="50"/>
  <c r="AA1865" i="50"/>
  <c r="AA1866" i="50"/>
  <c r="AA1867" i="50"/>
  <c r="AA1868" i="50"/>
  <c r="AA1869" i="50"/>
  <c r="AA1870" i="50"/>
  <c r="AA1871" i="50"/>
  <c r="AA1872" i="50"/>
  <c r="AA1873" i="50"/>
  <c r="AA1874" i="50"/>
  <c r="AA1875" i="50"/>
  <c r="AA1876" i="50"/>
  <c r="AA1877" i="50"/>
  <c r="AA1878" i="50"/>
  <c r="AA1879" i="50"/>
  <c r="AA1880" i="50"/>
  <c r="AA1881" i="50"/>
  <c r="AA1882" i="50"/>
  <c r="AA1883" i="50"/>
  <c r="AA1884" i="50"/>
  <c r="AA1885" i="50"/>
  <c r="AA1886" i="50"/>
  <c r="AA1887" i="50"/>
  <c r="AA1888" i="50"/>
  <c r="AA1889" i="50"/>
  <c r="AA1890" i="50"/>
  <c r="AA1891" i="50"/>
  <c r="AA1892" i="50"/>
  <c r="AA1893" i="50"/>
  <c r="AA1894" i="50"/>
  <c r="AA1895" i="50"/>
  <c r="AA1896" i="50"/>
  <c r="AA1897" i="50"/>
  <c r="AA1898" i="50"/>
  <c r="AA1899" i="50"/>
  <c r="AA1900" i="50"/>
  <c r="AA1901" i="50"/>
  <c r="AA1902" i="50"/>
  <c r="AA1903" i="50"/>
  <c r="AA1904" i="50"/>
  <c r="AA1905" i="50"/>
  <c r="AA1906" i="50"/>
  <c r="AA1907" i="50"/>
  <c r="AA1908" i="50"/>
  <c r="AA1909" i="50"/>
  <c r="AA1910" i="50"/>
  <c r="AA1911" i="50"/>
  <c r="AA1912" i="50"/>
  <c r="AA1913" i="50"/>
  <c r="AA1914" i="50"/>
  <c r="AA1915" i="50"/>
  <c r="AA1916" i="50"/>
  <c r="AA1917" i="50"/>
  <c r="AA1918" i="50"/>
  <c r="AA1919" i="50"/>
  <c r="AA1920" i="50"/>
  <c r="AA1921" i="50"/>
  <c r="AA1922" i="50"/>
  <c r="AA1923" i="50"/>
  <c r="AA1924" i="50"/>
  <c r="AA1925" i="50"/>
  <c r="AA1926" i="50"/>
  <c r="AA1927" i="50"/>
  <c r="AA1928" i="50"/>
  <c r="AA1929" i="50"/>
  <c r="AA1930" i="50"/>
  <c r="AA1931" i="50"/>
  <c r="AA1932" i="50"/>
  <c r="AA1933" i="50"/>
  <c r="AA1934" i="50"/>
  <c r="AA1935" i="50"/>
  <c r="AA1936" i="50"/>
  <c r="AA1937" i="50"/>
  <c r="AA1938" i="50"/>
  <c r="AA1939" i="50"/>
  <c r="AA1940" i="50"/>
  <c r="AA1941" i="50"/>
  <c r="AA1942" i="50"/>
  <c r="AA1943" i="50"/>
  <c r="AA1944" i="50"/>
  <c r="AA1945" i="50"/>
  <c r="AA1946" i="50"/>
  <c r="AA1947" i="50"/>
  <c r="AA1948" i="50"/>
  <c r="AA1949" i="50"/>
  <c r="AA1950" i="50"/>
  <c r="AA1951" i="50"/>
  <c r="AA1952" i="50"/>
  <c r="AA1953" i="50"/>
  <c r="AA1954" i="50"/>
  <c r="AA1955" i="50"/>
  <c r="AA1956" i="50"/>
  <c r="AA1957" i="50"/>
  <c r="AA1958" i="50"/>
  <c r="AA1959" i="50"/>
  <c r="AA1960" i="50"/>
  <c r="AA1961" i="50"/>
  <c r="AA1962" i="50"/>
  <c r="AA1963" i="50"/>
  <c r="AA1964" i="50"/>
  <c r="AA1965" i="50"/>
  <c r="AA1966" i="50"/>
  <c r="AA1967" i="50"/>
  <c r="AA1968" i="50"/>
  <c r="AA1969" i="50"/>
  <c r="AA1970" i="50"/>
  <c r="AA1971" i="50"/>
  <c r="AA1972" i="50"/>
  <c r="AA1973" i="50"/>
  <c r="AA1974" i="50"/>
  <c r="AA1975" i="50"/>
  <c r="AA1976" i="50"/>
  <c r="AA1977" i="50"/>
  <c r="AA1978" i="50"/>
  <c r="AA1979" i="50"/>
  <c r="AA1980" i="50"/>
  <c r="AA1981" i="50"/>
  <c r="AA1982" i="50"/>
  <c r="AA1983" i="50"/>
  <c r="AA1984" i="50"/>
  <c r="AA1985" i="50"/>
  <c r="AA1986" i="50"/>
  <c r="AA1987" i="50"/>
  <c r="AA1988" i="50"/>
  <c r="AA1989" i="50"/>
  <c r="AA1990" i="50"/>
  <c r="AA1991" i="50"/>
  <c r="AA1992" i="50"/>
  <c r="AA1993" i="50"/>
  <c r="AA1994" i="50"/>
  <c r="AA1995" i="50"/>
  <c r="AA1996" i="50"/>
  <c r="AA1997" i="50"/>
  <c r="AA1998" i="50"/>
  <c r="AA1999" i="50"/>
  <c r="AA2000" i="50"/>
  <c r="AA2001" i="50"/>
  <c r="AA2002" i="50"/>
  <c r="AA2003" i="50"/>
  <c r="AA2004" i="50"/>
  <c r="AA2005" i="50"/>
  <c r="AA2006" i="50"/>
  <c r="AA2007" i="50"/>
  <c r="AA2008" i="50"/>
  <c r="AA2009" i="50"/>
  <c r="AA2010" i="50"/>
  <c r="AA2011" i="50"/>
  <c r="AA2012" i="50"/>
  <c r="AA2013" i="50"/>
  <c r="AA2014" i="50"/>
  <c r="AA2015" i="50"/>
  <c r="AA2016" i="50"/>
  <c r="AA2017" i="50"/>
  <c r="AA2018" i="50"/>
  <c r="AA2019" i="50"/>
  <c r="AA2020" i="50"/>
  <c r="AA2021" i="50"/>
  <c r="AA2022" i="50"/>
  <c r="AA2023" i="50"/>
  <c r="AA2024" i="50"/>
  <c r="AA2025" i="50"/>
  <c r="AA2026" i="50"/>
  <c r="AA2027" i="50"/>
  <c r="AA2028" i="50"/>
  <c r="AA2029" i="50"/>
  <c r="AA2030" i="50"/>
  <c r="AA2031" i="50"/>
  <c r="AA2032" i="50"/>
  <c r="AA2033" i="50"/>
  <c r="AA2034" i="50"/>
  <c r="AA2035" i="50"/>
  <c r="AA2036" i="50"/>
  <c r="AA2037" i="50"/>
  <c r="AA2038" i="50"/>
  <c r="AA2039" i="50"/>
  <c r="AA2040" i="50"/>
  <c r="AA2041" i="50"/>
  <c r="AA2042" i="50"/>
  <c r="AA2043" i="50"/>
  <c r="AA2044" i="50"/>
  <c r="AA2045" i="50"/>
  <c r="AA2046" i="50"/>
  <c r="AA2047" i="50"/>
  <c r="AA2048" i="50"/>
  <c r="AA2049" i="50"/>
  <c r="AA2050" i="50"/>
  <c r="AA2051" i="50"/>
  <c r="AA2052" i="50"/>
  <c r="AA2053" i="50"/>
  <c r="AA2054" i="50"/>
  <c r="AA2055" i="50"/>
  <c r="AA2056" i="50"/>
  <c r="AA2057" i="50"/>
  <c r="AA2058" i="50"/>
  <c r="AA2059" i="50"/>
  <c r="AA2060" i="50"/>
  <c r="AA2061" i="50"/>
  <c r="AA2062" i="50"/>
  <c r="AA2063" i="50"/>
  <c r="AA2064" i="50"/>
  <c r="AA2065" i="50"/>
  <c r="AA2066" i="50"/>
  <c r="AA2067" i="50"/>
  <c r="AA2068" i="50"/>
  <c r="AA2069" i="50"/>
  <c r="AA2070" i="50"/>
  <c r="AA2071" i="50"/>
  <c r="AA2072" i="50"/>
  <c r="AA2073" i="50"/>
  <c r="AA2074" i="50"/>
  <c r="AA2075" i="50"/>
  <c r="AA2076" i="50"/>
  <c r="AA2077" i="50"/>
  <c r="AA2078" i="50"/>
  <c r="AA2079" i="50"/>
  <c r="AA2080" i="50"/>
  <c r="AA2081" i="50"/>
  <c r="AA2082" i="50"/>
  <c r="AA2083" i="50"/>
  <c r="AA2084" i="50"/>
  <c r="AA2085" i="50"/>
  <c r="AA2086" i="50"/>
  <c r="AA2087" i="50"/>
  <c r="AA2088" i="50"/>
  <c r="AA2089" i="50"/>
  <c r="AA2090" i="50"/>
  <c r="AA2091" i="50"/>
  <c r="AA2092" i="50"/>
  <c r="AA2093" i="50"/>
  <c r="AA2094" i="50"/>
  <c r="AA2095" i="50"/>
  <c r="AA2096" i="50"/>
  <c r="AA2097" i="50"/>
  <c r="AA2098" i="50"/>
  <c r="AA2099" i="50"/>
  <c r="AA2100" i="50"/>
  <c r="AA2101" i="50"/>
  <c r="AA2102" i="50"/>
  <c r="AA2103" i="50"/>
  <c r="AA2104" i="50"/>
  <c r="AA2105" i="50"/>
  <c r="AA2106" i="50"/>
  <c r="AA2107" i="50"/>
  <c r="AA2108" i="50"/>
  <c r="AA2109" i="50"/>
  <c r="AA2110" i="50"/>
  <c r="AA2111" i="50"/>
  <c r="AA2112" i="50"/>
  <c r="AA2113" i="50"/>
  <c r="AA2114" i="50"/>
  <c r="AA2115" i="50"/>
  <c r="AA2116" i="50"/>
  <c r="AA2117" i="50"/>
  <c r="AA2118" i="50"/>
  <c r="AA2119" i="50"/>
  <c r="AA2120" i="50"/>
  <c r="AA2121" i="50"/>
  <c r="AA2122" i="50"/>
  <c r="AA2123" i="50"/>
  <c r="AA2124" i="50"/>
  <c r="AA2125" i="50"/>
  <c r="AA2126" i="50"/>
  <c r="AA2127" i="50"/>
  <c r="AA2128" i="50"/>
  <c r="AA2129" i="50"/>
  <c r="AA2130" i="50"/>
  <c r="AA2131" i="50"/>
  <c r="AA2132" i="50"/>
  <c r="AA2133" i="50"/>
  <c r="AA2134" i="50"/>
  <c r="AA2135" i="50"/>
  <c r="AA2136" i="50"/>
  <c r="AA2137" i="50"/>
  <c r="AA2138" i="50"/>
  <c r="AA2139" i="50"/>
  <c r="AA2140" i="50"/>
  <c r="AA2141" i="50"/>
  <c r="AA2142" i="50"/>
  <c r="AA2143" i="50"/>
  <c r="AA2144" i="50"/>
  <c r="AA2145" i="50"/>
  <c r="AA2146" i="50"/>
  <c r="AA2147" i="50"/>
  <c r="AA2148" i="50"/>
  <c r="AA2149" i="50"/>
  <c r="AA2150" i="50"/>
  <c r="AA2151" i="50"/>
  <c r="AA2152" i="50"/>
  <c r="AA2153" i="50"/>
  <c r="AA2154" i="50"/>
  <c r="AA2155" i="50"/>
  <c r="AA2156" i="50"/>
  <c r="AA2157" i="50"/>
  <c r="AA2158" i="50"/>
  <c r="AA2159" i="50"/>
  <c r="AA2160" i="50"/>
  <c r="AA2161" i="50"/>
  <c r="AA2162" i="50"/>
  <c r="AA2163" i="50"/>
  <c r="AA2164" i="50"/>
  <c r="AA2165" i="50"/>
  <c r="AA2166" i="50"/>
  <c r="AA2167" i="50"/>
  <c r="AA2168" i="50"/>
  <c r="AA2169" i="50"/>
  <c r="AA2170" i="50"/>
  <c r="AA2171" i="50"/>
  <c r="AA2172" i="50"/>
  <c r="AA2173" i="50"/>
  <c r="AA2174" i="50"/>
  <c r="AA2175" i="50"/>
  <c r="AA2176" i="50"/>
  <c r="AA2177" i="50"/>
  <c r="AA2178" i="50"/>
  <c r="AA2179" i="50"/>
  <c r="AA2180" i="50"/>
  <c r="AA2181" i="50"/>
  <c r="AA2182" i="50"/>
  <c r="AA2183" i="50"/>
  <c r="AA2184" i="50"/>
  <c r="AA2185" i="50"/>
  <c r="AA2186" i="50"/>
  <c r="AA2187" i="50"/>
  <c r="AA2188" i="50"/>
  <c r="AA2189" i="50"/>
  <c r="AA2190" i="50"/>
  <c r="AA2191" i="50"/>
  <c r="AA2192" i="50"/>
  <c r="AA2193" i="50"/>
  <c r="AA2194" i="50"/>
  <c r="AA2195" i="50"/>
  <c r="AA2196" i="50"/>
  <c r="AA2197" i="50"/>
  <c r="AA2198" i="50"/>
  <c r="AA2199" i="50"/>
  <c r="AA2200" i="50"/>
  <c r="AA2201" i="50"/>
  <c r="AA2202" i="50"/>
  <c r="AA2203" i="50"/>
  <c r="AA2204" i="50"/>
  <c r="AA2205" i="50"/>
  <c r="AA2206" i="50"/>
  <c r="AA2207" i="50"/>
  <c r="AA2208" i="50"/>
  <c r="AA2209" i="50"/>
  <c r="AA2210" i="50"/>
  <c r="AA2211" i="50"/>
  <c r="AA2212" i="50"/>
  <c r="AA2213" i="50"/>
  <c r="AA2214" i="50"/>
  <c r="AA2215" i="50"/>
  <c r="AA2216" i="50"/>
  <c r="AA2217" i="50"/>
  <c r="AA2218" i="50"/>
  <c r="AA2219" i="50"/>
  <c r="AA2220" i="50"/>
  <c r="AA2221" i="50"/>
  <c r="AA2222" i="50"/>
  <c r="AA2223" i="50"/>
  <c r="AA2224" i="50"/>
  <c r="AA2225" i="50"/>
  <c r="AA2226" i="50"/>
  <c r="AA2227" i="50"/>
  <c r="AA2228" i="50"/>
  <c r="AA2229" i="50"/>
  <c r="AA2230" i="50"/>
  <c r="AA2231" i="50"/>
  <c r="AA2232" i="50"/>
  <c r="AA2233" i="50"/>
  <c r="AA2234" i="50"/>
  <c r="AA2235" i="50"/>
  <c r="AA2236" i="50"/>
  <c r="AA2237" i="50"/>
  <c r="AA2238" i="50"/>
  <c r="AA2239" i="50"/>
  <c r="AA2240" i="50"/>
  <c r="AA2241" i="50"/>
  <c r="AA2242" i="50"/>
  <c r="AA2243" i="50"/>
  <c r="AA2244" i="50"/>
  <c r="AA2245" i="50"/>
  <c r="AA2246" i="50"/>
  <c r="AA2247" i="50"/>
  <c r="AA2248" i="50"/>
  <c r="AA2249" i="50"/>
  <c r="AA2250" i="50"/>
  <c r="AA2251" i="50"/>
  <c r="AA2252" i="50"/>
  <c r="AA2253" i="50"/>
  <c r="AA2254" i="50"/>
  <c r="AA2255" i="50"/>
  <c r="AA2256" i="50"/>
  <c r="AA2257" i="50"/>
  <c r="AA2258" i="50"/>
  <c r="AA2259" i="50"/>
  <c r="AA2260" i="50"/>
  <c r="AA2261" i="50"/>
  <c r="AA2262" i="50"/>
  <c r="AA2263" i="50"/>
  <c r="AA2264" i="50"/>
  <c r="AA2265" i="50"/>
  <c r="AA2266" i="50"/>
  <c r="AA2267" i="50"/>
  <c r="AA2268" i="50"/>
  <c r="AA2269" i="50"/>
  <c r="AA2270" i="50"/>
  <c r="AA2271" i="50"/>
  <c r="AA2272" i="50"/>
  <c r="AA2273" i="50"/>
  <c r="AA2274" i="50"/>
  <c r="AA2275" i="50"/>
  <c r="AA2276" i="50"/>
  <c r="AA2277" i="50"/>
  <c r="AA2278" i="50"/>
  <c r="AA2279" i="50"/>
  <c r="AA2280" i="50"/>
  <c r="AA2281" i="50"/>
  <c r="AA2282" i="50"/>
  <c r="AA2283" i="50"/>
  <c r="AA2284" i="50"/>
  <c r="AA2285" i="50"/>
  <c r="AA2286" i="50"/>
  <c r="AA2287" i="50"/>
  <c r="AA2288" i="50"/>
  <c r="AA2289" i="50"/>
  <c r="AA2290" i="50"/>
  <c r="AA2291" i="50"/>
  <c r="AA2292" i="50"/>
  <c r="AA2293" i="50"/>
  <c r="AA2294" i="50"/>
  <c r="AA2295" i="50"/>
  <c r="AA2296" i="50"/>
  <c r="AA2297" i="50"/>
  <c r="AA2298" i="50"/>
  <c r="AA2299" i="50"/>
  <c r="AA2300" i="50"/>
  <c r="AA2301" i="50"/>
  <c r="AA2302" i="50"/>
  <c r="AA2303" i="50"/>
  <c r="AA2304" i="50"/>
  <c r="AA2305" i="50"/>
  <c r="AA2306" i="50"/>
  <c r="AA2307" i="50"/>
  <c r="AA2308" i="50"/>
  <c r="AA2309" i="50"/>
  <c r="AA2310" i="50"/>
  <c r="AA2311" i="50"/>
  <c r="AA2312" i="50"/>
  <c r="AA2313" i="50"/>
  <c r="AA2314" i="50"/>
  <c r="AA2315" i="50"/>
  <c r="AA2316" i="50"/>
  <c r="AA2317" i="50"/>
  <c r="AA2318" i="50"/>
  <c r="AA2319" i="50"/>
  <c r="AA2320" i="50"/>
  <c r="AA2321" i="50"/>
  <c r="AA2322" i="50"/>
  <c r="AA2323" i="50"/>
  <c r="AA2324" i="50"/>
  <c r="AA2325" i="50"/>
  <c r="AA2326" i="50"/>
  <c r="AA2327" i="50"/>
  <c r="AA2328" i="50"/>
  <c r="AA2329" i="50"/>
  <c r="AA2330" i="50"/>
  <c r="AA2331" i="50"/>
  <c r="AA2332" i="50"/>
  <c r="AA2333" i="50"/>
  <c r="AA2334" i="50"/>
  <c r="AA2335" i="50"/>
  <c r="AA2336" i="50"/>
  <c r="AA2337" i="50"/>
  <c r="AA2338" i="50"/>
  <c r="AA2339" i="50"/>
  <c r="AA2340" i="50"/>
  <c r="AA2341" i="50"/>
  <c r="AA2342" i="50"/>
  <c r="AA2343" i="50"/>
  <c r="AA2344" i="50"/>
  <c r="AA2345" i="50"/>
  <c r="AA2346" i="50"/>
  <c r="AA2347" i="50"/>
  <c r="AA2348" i="50"/>
  <c r="AA2349" i="50"/>
  <c r="AA2350" i="50"/>
  <c r="AA2351" i="50"/>
  <c r="AA2352" i="50"/>
  <c r="AA2353" i="50"/>
  <c r="AA2354" i="50"/>
  <c r="AA2355" i="50"/>
  <c r="AA2356" i="50"/>
  <c r="AA2357" i="50"/>
  <c r="AA2358" i="50"/>
  <c r="AA2359" i="50"/>
  <c r="AA2360" i="50"/>
  <c r="AA2361" i="50"/>
  <c r="AA2362" i="50"/>
  <c r="AA2363" i="50"/>
  <c r="AA2364" i="50"/>
  <c r="AA2365" i="50"/>
  <c r="AA2366" i="50"/>
  <c r="AA2367" i="50"/>
  <c r="AA2368" i="50"/>
  <c r="AA2369" i="50"/>
  <c r="AA2370" i="50"/>
  <c r="AA2371" i="50"/>
  <c r="AA2372" i="50"/>
  <c r="AA2373" i="50"/>
  <c r="AA2374" i="50"/>
  <c r="AA2375" i="50"/>
  <c r="AA2376" i="50"/>
  <c r="AA2377" i="50"/>
  <c r="AA2378" i="50"/>
  <c r="AA2379" i="50"/>
  <c r="AA2380" i="50"/>
  <c r="AA2381" i="50"/>
  <c r="AA2382" i="50"/>
  <c r="AA2383" i="50"/>
  <c r="AA2384" i="50"/>
  <c r="AA2385" i="50"/>
  <c r="AA2386" i="50"/>
  <c r="AA2387" i="50"/>
  <c r="AA2388" i="50"/>
  <c r="AA2389" i="50"/>
  <c r="AA2390" i="50"/>
  <c r="AA2391" i="50"/>
  <c r="AA2392" i="50"/>
  <c r="AA2393" i="50"/>
  <c r="AA2394" i="50"/>
  <c r="AA2395" i="50"/>
  <c r="AA2396" i="50"/>
  <c r="AA2397" i="50"/>
  <c r="AA2398" i="50"/>
  <c r="AA2399" i="50"/>
  <c r="AA2400" i="50"/>
  <c r="AA2401" i="50"/>
  <c r="AA2402" i="50"/>
  <c r="AA2403" i="50"/>
  <c r="AA2404" i="50"/>
  <c r="AA2405" i="50"/>
  <c r="AA2406" i="50"/>
  <c r="AA2407" i="50"/>
  <c r="AA2408" i="50"/>
  <c r="AA2409" i="50"/>
  <c r="AA2410" i="50"/>
  <c r="AA2411" i="50"/>
  <c r="AA2412" i="50"/>
  <c r="AA2413" i="50"/>
  <c r="AA2414" i="50"/>
  <c r="AA2415" i="50"/>
  <c r="AA2416" i="50"/>
  <c r="AA2417" i="50"/>
  <c r="AA2418" i="50"/>
  <c r="AA2419" i="50"/>
  <c r="AA2420" i="50"/>
  <c r="AA2421" i="50"/>
  <c r="AA2422" i="50"/>
  <c r="AA2423" i="50"/>
  <c r="AA2424" i="50"/>
  <c r="AA2425" i="50"/>
  <c r="AA2426" i="50"/>
  <c r="AA2427" i="50"/>
  <c r="AA2428" i="50"/>
  <c r="AA2429" i="50"/>
  <c r="AA2430" i="50"/>
  <c r="AA2431" i="50"/>
  <c r="AA2432" i="50"/>
  <c r="AA2433" i="50"/>
  <c r="AA2434" i="50"/>
  <c r="AA2435" i="50"/>
  <c r="AA2436" i="50"/>
  <c r="AA2437" i="50"/>
  <c r="AA2438" i="50"/>
  <c r="AA2439" i="50"/>
  <c r="AA2440" i="50"/>
  <c r="AA2441" i="50"/>
  <c r="AA2442" i="50"/>
  <c r="AA2443" i="50"/>
  <c r="AA2444" i="50"/>
  <c r="AA2445" i="50"/>
  <c r="AA2446" i="50"/>
  <c r="AA2447" i="50"/>
  <c r="AA2448" i="50"/>
  <c r="AA2449" i="50"/>
  <c r="AA2450" i="50"/>
  <c r="AA2451" i="50"/>
  <c r="AA2452" i="50"/>
  <c r="AA2453" i="50"/>
  <c r="AA2454" i="50"/>
  <c r="AA2455" i="50"/>
  <c r="AA2456" i="50"/>
  <c r="AA2457" i="50"/>
  <c r="AA2458" i="50"/>
  <c r="AA2459" i="50"/>
  <c r="AA2460" i="50"/>
  <c r="AA2461" i="50"/>
  <c r="AA2462" i="50"/>
  <c r="AA2463" i="50"/>
  <c r="AA2464" i="50"/>
  <c r="AA2465" i="50"/>
  <c r="AA2466" i="50"/>
  <c r="AA2467" i="50"/>
  <c r="AA2468" i="50"/>
  <c r="AA2469" i="50"/>
  <c r="AA2470" i="50"/>
  <c r="AA2471" i="50"/>
  <c r="AA2472" i="50"/>
  <c r="AA2473" i="50"/>
  <c r="AA2474" i="50"/>
  <c r="AA2475" i="50"/>
  <c r="AA2476" i="50"/>
  <c r="AA2477" i="50"/>
  <c r="AA2478" i="50"/>
  <c r="AA2479" i="50"/>
  <c r="AA2480" i="50"/>
  <c r="AA2481" i="50"/>
  <c r="AA2482" i="50"/>
  <c r="AA2483" i="50"/>
  <c r="AA2484" i="50"/>
  <c r="AA2485" i="50"/>
  <c r="AA2486" i="50"/>
  <c r="AA2487" i="50"/>
  <c r="AA2488" i="50"/>
  <c r="AA2489" i="50"/>
  <c r="AA2490" i="50"/>
  <c r="AA2491" i="50"/>
  <c r="AA2492" i="50"/>
  <c r="AA2493" i="50"/>
  <c r="AA2494" i="50"/>
  <c r="AA2495" i="50"/>
  <c r="AA2496" i="50"/>
  <c r="AA2497" i="50"/>
  <c r="AA2498" i="50"/>
  <c r="AA2499" i="50"/>
  <c r="AA2500" i="50"/>
  <c r="AA2501" i="50"/>
  <c r="AA2502" i="50"/>
  <c r="AA2503" i="50"/>
  <c r="AA2504" i="50"/>
  <c r="AA2505" i="50"/>
  <c r="AA2506" i="50"/>
  <c r="AA2507" i="50"/>
  <c r="AA2508" i="50"/>
  <c r="AA2509" i="50"/>
  <c r="AA2510" i="50"/>
  <c r="AA2511" i="50"/>
  <c r="AA2512" i="50"/>
  <c r="AA2513" i="50"/>
  <c r="AA2514" i="50"/>
  <c r="AA2515" i="50"/>
  <c r="AA2516" i="50"/>
  <c r="AA2517" i="50"/>
  <c r="AA2518" i="50"/>
  <c r="AA2519" i="50"/>
  <c r="AA2520" i="50"/>
  <c r="AA2521" i="50"/>
  <c r="AA2522" i="50"/>
  <c r="AA2523" i="50"/>
  <c r="AA2524" i="50"/>
  <c r="AA2525" i="50"/>
  <c r="AA2526" i="50"/>
  <c r="AA2527" i="50"/>
  <c r="AA2528" i="50"/>
  <c r="AA2529" i="50"/>
  <c r="AA2530" i="50"/>
  <c r="AA2531" i="50"/>
  <c r="AA2532" i="50"/>
  <c r="AA2533" i="50"/>
  <c r="AA2534" i="50"/>
  <c r="AA2535" i="50"/>
  <c r="AA2536" i="50"/>
  <c r="AA2537" i="50"/>
  <c r="AA2538" i="50"/>
  <c r="AA2539" i="50"/>
  <c r="AA2540" i="50"/>
  <c r="AA2541" i="50"/>
  <c r="AA2542" i="50"/>
  <c r="AA2543" i="50"/>
  <c r="AA2544" i="50"/>
  <c r="AA2545" i="50"/>
  <c r="AA2546" i="50"/>
  <c r="AA2547" i="50"/>
  <c r="AA2548" i="50"/>
  <c r="AA2549" i="50"/>
  <c r="AA2550" i="50"/>
  <c r="AA2551" i="50"/>
  <c r="AA2552" i="50"/>
  <c r="AA2553" i="50"/>
  <c r="AA2554" i="50"/>
  <c r="AA2555" i="50"/>
  <c r="AA2556" i="50"/>
  <c r="AA2557" i="50"/>
  <c r="AA2558" i="50"/>
  <c r="AA2559" i="50"/>
  <c r="AA2560" i="50"/>
  <c r="AA2561" i="50"/>
  <c r="AA2562" i="50"/>
  <c r="AA2563" i="50"/>
  <c r="AA2564" i="50"/>
  <c r="AA2565" i="50"/>
  <c r="AA2566" i="50"/>
  <c r="AA2567" i="50"/>
  <c r="AA2568" i="50"/>
  <c r="AA2569" i="50"/>
  <c r="AA2570" i="50"/>
  <c r="AA2571" i="50"/>
  <c r="AA2572" i="50"/>
  <c r="AA2573" i="50"/>
  <c r="AA2574" i="50"/>
  <c r="AA2575" i="50"/>
  <c r="AA2576" i="50"/>
  <c r="AA2577" i="50"/>
  <c r="AA2578" i="50"/>
  <c r="AA2579" i="50"/>
  <c r="AA2580" i="50"/>
  <c r="AA2581" i="50"/>
  <c r="AA2582" i="50"/>
  <c r="AA2583" i="50"/>
  <c r="AA2584" i="50"/>
  <c r="AA2585" i="50"/>
  <c r="AA2586" i="50"/>
  <c r="AA2587" i="50"/>
  <c r="AA2588" i="50"/>
  <c r="AA2589" i="50"/>
  <c r="AA2590" i="50"/>
  <c r="AA2591" i="50"/>
  <c r="AA2592" i="50"/>
  <c r="AA2593" i="50"/>
  <c r="AA2594" i="50"/>
  <c r="AA2595" i="50"/>
  <c r="AA2596" i="50"/>
  <c r="AA2597" i="50"/>
  <c r="AA2598" i="50"/>
  <c r="AA2599" i="50"/>
  <c r="AA2600" i="50"/>
  <c r="AA2601" i="50"/>
  <c r="AA2602" i="50"/>
  <c r="AA2603" i="50"/>
  <c r="AA2604" i="50"/>
  <c r="AA2605" i="50"/>
  <c r="AA2606" i="50"/>
  <c r="AA2607" i="50"/>
  <c r="AA2608" i="50"/>
  <c r="AA2609" i="50"/>
  <c r="AA2610" i="50"/>
  <c r="AA2611" i="50"/>
  <c r="AA2612" i="50"/>
  <c r="AA2613" i="50"/>
  <c r="AA2614" i="50"/>
  <c r="AA2615" i="50"/>
  <c r="AA2616" i="50"/>
  <c r="AA2617" i="50"/>
  <c r="AA2618" i="50"/>
  <c r="AA2619" i="50"/>
  <c r="AA2620" i="50"/>
  <c r="AA2621" i="50"/>
  <c r="AA2622" i="50"/>
  <c r="AA2623" i="50"/>
  <c r="AA2624" i="50"/>
  <c r="AA2625" i="50"/>
  <c r="AA2626" i="50"/>
  <c r="AA2627" i="50"/>
  <c r="AA2628" i="50"/>
  <c r="AA2629" i="50"/>
  <c r="AA2630" i="50"/>
  <c r="AA2631" i="50"/>
  <c r="AA2632" i="50"/>
  <c r="AA2633" i="50"/>
  <c r="AA2634" i="50"/>
  <c r="AA2635" i="50"/>
  <c r="AA2636" i="50"/>
  <c r="AA2637" i="50"/>
  <c r="AA2638" i="50"/>
  <c r="AA2639" i="50"/>
  <c r="AA2640" i="50"/>
  <c r="AA2641" i="50"/>
  <c r="AA2642" i="50"/>
  <c r="AA2643" i="50"/>
  <c r="AA2644" i="50"/>
  <c r="AA2645" i="50"/>
  <c r="AA2646" i="50"/>
  <c r="AA2647" i="50"/>
  <c r="AA2648" i="50"/>
  <c r="AA2649" i="50"/>
  <c r="AA2650" i="50"/>
  <c r="AA2651" i="50"/>
  <c r="AA2652" i="50"/>
  <c r="AA2653" i="50"/>
  <c r="AA2654" i="50"/>
  <c r="AA2655" i="50"/>
  <c r="AA2656" i="50"/>
  <c r="AA2657" i="50"/>
  <c r="AA2658" i="50"/>
  <c r="AA2659" i="50"/>
  <c r="AA2660" i="50"/>
  <c r="AA2661" i="50"/>
  <c r="AA2662" i="50"/>
  <c r="AA2663" i="50"/>
  <c r="AA2664" i="50"/>
  <c r="AA2665" i="50"/>
  <c r="AA2666" i="50"/>
  <c r="AA2667" i="50"/>
  <c r="AA2668" i="50"/>
  <c r="AA2669" i="50"/>
  <c r="AA2670" i="50"/>
  <c r="AA2671" i="50"/>
  <c r="AA2672" i="50"/>
  <c r="AA2673" i="50"/>
  <c r="AA2674" i="50"/>
  <c r="AA2675" i="50"/>
  <c r="AA2676" i="50"/>
  <c r="AA2677" i="50"/>
  <c r="AA2678" i="50"/>
  <c r="AA2679" i="50"/>
  <c r="AA2680" i="50"/>
  <c r="AA2681" i="50"/>
  <c r="AA2682" i="50"/>
  <c r="AA2683" i="50"/>
  <c r="AA2684" i="50"/>
  <c r="AA2685" i="50"/>
  <c r="AA2686" i="50"/>
  <c r="AA2687" i="50"/>
  <c r="AA2688" i="50"/>
  <c r="AA2689" i="50"/>
  <c r="AA2690" i="50"/>
  <c r="AA2691" i="50"/>
  <c r="AA2692" i="50"/>
  <c r="AA2693" i="50"/>
  <c r="AA2694" i="50"/>
  <c r="AA2695" i="50"/>
  <c r="AA2696" i="50"/>
  <c r="AA2697" i="50"/>
  <c r="AA2698" i="50"/>
  <c r="AA2699" i="50"/>
  <c r="AA2700" i="50"/>
  <c r="AA2701" i="50"/>
  <c r="AA2702" i="50"/>
  <c r="AA2703" i="50"/>
  <c r="AA2704" i="50"/>
  <c r="AA2705" i="50"/>
  <c r="AA2706" i="50"/>
  <c r="AA2707" i="50"/>
  <c r="AA2708" i="50"/>
  <c r="AA2709" i="50"/>
  <c r="AA2710" i="50"/>
  <c r="AA2711" i="50"/>
  <c r="AA2712" i="50"/>
  <c r="AA2713" i="50"/>
  <c r="AA2714" i="50"/>
  <c r="AA2715" i="50"/>
  <c r="AA2716" i="50"/>
  <c r="AA2717" i="50"/>
  <c r="AA2718" i="50"/>
  <c r="AA2719" i="50"/>
  <c r="AA2720" i="50"/>
  <c r="AA2721" i="50"/>
  <c r="AA2722" i="50"/>
  <c r="AA2723" i="50"/>
  <c r="AA2724" i="50"/>
  <c r="AA2725" i="50"/>
  <c r="AA2726" i="50"/>
  <c r="AA2727" i="50"/>
  <c r="AA2728" i="50"/>
  <c r="AA2729" i="50"/>
  <c r="AA2730" i="50"/>
  <c r="AA2731" i="50"/>
  <c r="AA2732" i="50"/>
  <c r="AA2733" i="50"/>
  <c r="AA2734" i="50"/>
  <c r="AA2735" i="50"/>
  <c r="AA2736" i="50"/>
  <c r="AA2737" i="50"/>
  <c r="AA2738" i="50"/>
  <c r="AA2739" i="50"/>
  <c r="AA2740" i="50"/>
  <c r="AA2741" i="50"/>
  <c r="AA2742" i="50"/>
  <c r="AA2743" i="50"/>
  <c r="AA2744" i="50"/>
  <c r="AA2745" i="50"/>
  <c r="AA2746" i="50"/>
  <c r="AA2747" i="50"/>
  <c r="AA2748" i="50"/>
  <c r="AA2749" i="50"/>
  <c r="AA2750" i="50"/>
  <c r="AA2751" i="50"/>
  <c r="AA2752" i="50"/>
  <c r="AA2753" i="50"/>
  <c r="AA2754" i="50"/>
  <c r="AA2755" i="50"/>
  <c r="AA2756" i="50"/>
  <c r="AA2757" i="50"/>
  <c r="AA2758" i="50"/>
  <c r="AA2759" i="50"/>
  <c r="AA2760" i="50"/>
  <c r="AA2761" i="50"/>
  <c r="AA2762" i="50"/>
  <c r="AA2763" i="50"/>
  <c r="AA2764" i="50"/>
  <c r="AA2765" i="50"/>
  <c r="AA2766" i="50"/>
  <c r="AA2767" i="50"/>
  <c r="AA2768" i="50"/>
  <c r="AA2769" i="50"/>
  <c r="AA2770" i="50"/>
  <c r="AA2771" i="50"/>
  <c r="AA2772" i="50"/>
  <c r="AA2773" i="50"/>
  <c r="AA2774" i="50"/>
  <c r="AA2775" i="50"/>
  <c r="AA2776" i="50"/>
  <c r="AA2777" i="50"/>
  <c r="AA2778" i="50"/>
  <c r="AA2779" i="50"/>
  <c r="AA2780" i="50"/>
  <c r="AA2781" i="50"/>
  <c r="AA2782" i="50"/>
  <c r="AA2783" i="50"/>
  <c r="AA2784" i="50"/>
  <c r="AA2785" i="50"/>
  <c r="AA2786" i="50"/>
  <c r="AA2787" i="50"/>
  <c r="AA2788" i="50"/>
  <c r="AA2789" i="50"/>
  <c r="AA2790" i="50"/>
  <c r="AA2791" i="50"/>
  <c r="AA2792" i="50"/>
  <c r="AA2793" i="50"/>
  <c r="AA2794" i="50"/>
  <c r="AA2795" i="50"/>
  <c r="AA2796" i="50"/>
  <c r="AA2797" i="50"/>
  <c r="AA2798" i="50"/>
  <c r="AA2799" i="50"/>
  <c r="AA2800" i="50"/>
  <c r="AA2801" i="50"/>
  <c r="AA2802" i="50"/>
  <c r="AA2803" i="50"/>
  <c r="AA2804" i="50"/>
  <c r="AA2805" i="50"/>
  <c r="AA2806" i="50"/>
  <c r="AA2807" i="50"/>
  <c r="AA2808" i="50"/>
  <c r="AA2809" i="50"/>
  <c r="AA2810" i="50"/>
  <c r="AA2811" i="50"/>
  <c r="AA2812" i="50"/>
  <c r="AA2813" i="50"/>
  <c r="AA2814" i="50"/>
  <c r="AA2815" i="50"/>
  <c r="AA2816" i="50"/>
  <c r="AA2817" i="50"/>
  <c r="AA2818" i="50"/>
  <c r="AA2819" i="50"/>
  <c r="AA2820" i="50"/>
  <c r="AA2821" i="50"/>
  <c r="AA2822" i="50"/>
  <c r="AA2823" i="50"/>
  <c r="AA2824" i="50"/>
  <c r="AA2825" i="50"/>
  <c r="AA2826" i="50"/>
  <c r="AA2827" i="50"/>
  <c r="AA2828" i="50"/>
  <c r="AA2829" i="50"/>
  <c r="AA2830" i="50"/>
  <c r="AA2831" i="50"/>
  <c r="AA2832" i="50"/>
  <c r="AA2833" i="50"/>
  <c r="AA2834" i="50"/>
  <c r="AA2835" i="50"/>
  <c r="AA2836" i="50"/>
  <c r="AA2837" i="50"/>
  <c r="AA2838" i="50"/>
  <c r="AA2839" i="50"/>
  <c r="AA2840" i="50"/>
  <c r="AA2841" i="50"/>
  <c r="AA2842" i="50"/>
  <c r="AA2843" i="50"/>
  <c r="AA2844" i="50"/>
  <c r="AA2845" i="50"/>
  <c r="AA2846" i="50"/>
  <c r="AA2847" i="50"/>
  <c r="AA2848" i="50"/>
  <c r="AA2849" i="50"/>
  <c r="AA2850" i="50"/>
  <c r="AA2851" i="50"/>
  <c r="AA2852" i="50"/>
  <c r="AA2853" i="50"/>
  <c r="AA2854" i="50"/>
  <c r="AA2855" i="50"/>
  <c r="AA2856" i="50"/>
  <c r="AA2857" i="50"/>
  <c r="AA2858" i="50"/>
  <c r="AA2859" i="50"/>
  <c r="AA2860" i="50"/>
  <c r="AA2861" i="50"/>
  <c r="AA2862" i="50"/>
  <c r="AA2863" i="50"/>
  <c r="AA2864" i="50"/>
  <c r="AA2865" i="50"/>
  <c r="AA2866" i="50"/>
  <c r="AA2867" i="50"/>
  <c r="AA2868" i="50"/>
  <c r="AA2869" i="50"/>
  <c r="AA2870" i="50"/>
  <c r="AA2871" i="50"/>
  <c r="AA2872" i="50"/>
  <c r="AA2873" i="50"/>
  <c r="AA2874" i="50"/>
  <c r="AA2875" i="50"/>
  <c r="AA2876" i="50"/>
  <c r="AA2877" i="50"/>
  <c r="AA2878" i="50"/>
  <c r="AA2879" i="50"/>
  <c r="AA2880" i="50"/>
  <c r="AA2881" i="50"/>
  <c r="AA2882" i="50"/>
  <c r="AA2883" i="50"/>
  <c r="AA2884" i="50"/>
  <c r="AA2885" i="50"/>
  <c r="AA2886" i="50"/>
  <c r="AA2887" i="50"/>
  <c r="AA2888" i="50"/>
  <c r="AA2889" i="50"/>
  <c r="AA2890" i="50"/>
  <c r="AA2891" i="50"/>
  <c r="AA2892" i="50"/>
  <c r="AA2893" i="50"/>
  <c r="AA2894" i="50"/>
  <c r="AA2895" i="50"/>
  <c r="AA2896" i="50"/>
  <c r="AA2897" i="50"/>
  <c r="AA2898" i="50"/>
  <c r="AA2899" i="50"/>
  <c r="AA2900" i="50"/>
  <c r="AA2901" i="50"/>
  <c r="AA2902" i="50"/>
  <c r="AA2903" i="50"/>
  <c r="AA2904" i="50"/>
  <c r="AA2905" i="50"/>
  <c r="AA2906" i="50"/>
  <c r="AA2907" i="50"/>
  <c r="AA2908" i="50"/>
  <c r="AA2909" i="50"/>
  <c r="AA2910" i="50"/>
  <c r="AA2911" i="50"/>
  <c r="AA2912" i="50"/>
  <c r="AA2913" i="50"/>
  <c r="AA2914" i="50"/>
  <c r="AA2915" i="50"/>
  <c r="AA2916" i="50"/>
  <c r="AA2917" i="50"/>
  <c r="AA2918" i="50"/>
  <c r="AA2919" i="50"/>
  <c r="AA2920" i="50"/>
  <c r="AA2921" i="50"/>
  <c r="AA2922" i="50"/>
  <c r="AA2923" i="50"/>
  <c r="AA2924" i="50"/>
  <c r="AA2925" i="50"/>
  <c r="AA2926" i="50"/>
  <c r="AA2927" i="50"/>
  <c r="AA2928" i="50"/>
  <c r="AA2929" i="50"/>
  <c r="AA2930" i="50"/>
  <c r="AA2931" i="50"/>
  <c r="AA2932" i="50"/>
  <c r="AA2933" i="50"/>
  <c r="AA2934" i="50"/>
  <c r="AA2935" i="50"/>
  <c r="AA2936" i="50"/>
  <c r="AA2937" i="50"/>
  <c r="AA2938" i="50"/>
  <c r="AA2939" i="50"/>
  <c r="AA2940" i="50"/>
  <c r="AA2941" i="50"/>
  <c r="AA2942" i="50"/>
  <c r="AA2943" i="50"/>
  <c r="AA2944" i="50"/>
  <c r="AA2945" i="50"/>
  <c r="AA2946" i="50"/>
  <c r="AA2947" i="50"/>
  <c r="AA2948" i="50"/>
  <c r="AA2949" i="50"/>
  <c r="AA2950" i="50"/>
  <c r="AA2951" i="50"/>
  <c r="AA2952" i="50"/>
  <c r="AA2953" i="50"/>
  <c r="AA2954" i="50"/>
  <c r="AA2955" i="50"/>
  <c r="AA2956" i="50"/>
  <c r="AA2957" i="50"/>
  <c r="AA2958" i="50"/>
  <c r="AA2959" i="50"/>
  <c r="AA2960" i="50"/>
  <c r="AA2961" i="50"/>
  <c r="AA2962" i="50"/>
  <c r="AA2963" i="50"/>
  <c r="AA2964" i="50"/>
  <c r="AA2965" i="50"/>
  <c r="AA2966" i="50"/>
  <c r="AA2967" i="50"/>
  <c r="AA2968" i="50"/>
  <c r="AA2969" i="50"/>
  <c r="AA2970" i="50"/>
  <c r="AA2971" i="50"/>
  <c r="AA2972" i="50"/>
  <c r="AA2973" i="50"/>
  <c r="AA2974" i="50"/>
  <c r="AA2975" i="50"/>
  <c r="AA2976" i="50"/>
  <c r="AA2977" i="50"/>
  <c r="AA2978" i="50"/>
  <c r="AA2979" i="50"/>
  <c r="AA2980" i="50"/>
  <c r="AA2981" i="50"/>
  <c r="AA2982" i="50"/>
  <c r="AA2983" i="50"/>
  <c r="AA2984" i="50"/>
  <c r="AA2985" i="50"/>
  <c r="AA2986" i="50"/>
  <c r="AA2987" i="50"/>
  <c r="AA2988" i="50"/>
  <c r="AA2989" i="50"/>
  <c r="AA2990" i="50"/>
  <c r="AA2991" i="50"/>
  <c r="AA2992" i="50"/>
  <c r="AA2993" i="50"/>
  <c r="AA2994" i="50"/>
  <c r="AA2995" i="50"/>
  <c r="AA2996" i="50"/>
  <c r="AA2997" i="50"/>
  <c r="AA2998" i="50"/>
  <c r="AA2999" i="50"/>
  <c r="AA3000" i="50"/>
  <c r="AA3001" i="50"/>
  <c r="AA3002" i="50"/>
  <c r="AA3003" i="50"/>
  <c r="AA3004" i="50"/>
  <c r="AA3005" i="50"/>
  <c r="AA3006" i="50"/>
  <c r="AA3007" i="50"/>
  <c r="AA3008" i="50"/>
  <c r="AA3009" i="50"/>
  <c r="AA3010" i="50"/>
  <c r="AA3011" i="50"/>
  <c r="AA3012" i="50"/>
  <c r="AA3013" i="50"/>
  <c r="AA3014" i="50"/>
  <c r="AA3015" i="50"/>
  <c r="AA3016" i="50"/>
  <c r="AA3017" i="50"/>
  <c r="AA3018" i="50"/>
  <c r="AA3019" i="50"/>
  <c r="AA3020" i="50"/>
  <c r="AA3021" i="50"/>
  <c r="AA3022" i="50"/>
  <c r="AA3023" i="50"/>
  <c r="AA3024" i="50"/>
  <c r="AA3025" i="50"/>
  <c r="AA3026" i="50"/>
  <c r="AA3027" i="50"/>
  <c r="AA3028" i="50"/>
  <c r="AA3029" i="50"/>
  <c r="AA3030" i="50"/>
  <c r="AA3031" i="50"/>
  <c r="AA3032" i="50"/>
  <c r="AA3033" i="50"/>
  <c r="AA3034" i="50"/>
  <c r="AA3035" i="50"/>
  <c r="AA3036" i="50"/>
  <c r="AA3037" i="50"/>
  <c r="AA3038" i="50"/>
  <c r="AA3039" i="50"/>
  <c r="AA3040" i="50"/>
  <c r="AA3041" i="50"/>
  <c r="AA3042" i="50"/>
  <c r="AA3043" i="50"/>
  <c r="AA3044" i="50"/>
  <c r="AA3045" i="50"/>
  <c r="AA3046" i="50"/>
  <c r="AA3047" i="50"/>
  <c r="AA3048" i="50"/>
  <c r="AA3049" i="50"/>
  <c r="AA3050" i="50"/>
  <c r="AA3051" i="50"/>
  <c r="AA3052" i="50"/>
  <c r="AA3053" i="50"/>
  <c r="AA3054" i="50"/>
  <c r="AA3055" i="50"/>
  <c r="AA3056" i="50"/>
  <c r="AA3057" i="50"/>
  <c r="AA3058" i="50"/>
  <c r="AA3059" i="50"/>
  <c r="AA3060" i="50"/>
  <c r="AA3061" i="50"/>
  <c r="AA3062" i="50"/>
  <c r="AA3063" i="50"/>
  <c r="AA3064" i="50"/>
  <c r="AA3065" i="50"/>
  <c r="AA3066" i="50"/>
  <c r="AA3067" i="50"/>
  <c r="AA3068" i="50"/>
  <c r="AA3069" i="50"/>
  <c r="AA3070" i="50"/>
  <c r="AA3071" i="50"/>
  <c r="AA3072" i="50"/>
  <c r="AA3073" i="50"/>
  <c r="AA3074" i="50"/>
  <c r="AA3075" i="50"/>
  <c r="AA3076" i="50"/>
  <c r="AA3077" i="50"/>
  <c r="AA3078" i="50"/>
  <c r="AA3079" i="50"/>
  <c r="AA3080" i="50"/>
  <c r="AA3081" i="50"/>
  <c r="AA3082" i="50"/>
  <c r="AA3083" i="50"/>
  <c r="AA3084" i="50"/>
  <c r="AA3085" i="50"/>
  <c r="AA3086" i="50"/>
  <c r="AA3087" i="50"/>
  <c r="AA3088" i="50"/>
  <c r="AA3089" i="50"/>
  <c r="AA3090" i="50"/>
  <c r="AA3091" i="50"/>
  <c r="AA3092" i="50"/>
  <c r="AA3093" i="50"/>
  <c r="AA3094" i="50"/>
  <c r="AA3095" i="50"/>
  <c r="AA3096" i="50"/>
  <c r="AA3097" i="50"/>
  <c r="AA3098" i="50"/>
  <c r="AA3099" i="50"/>
  <c r="AA3100" i="50"/>
  <c r="AA3101" i="50"/>
  <c r="AA3102" i="50"/>
  <c r="AA3103" i="50"/>
  <c r="AA3104" i="50"/>
  <c r="AA3105" i="50"/>
  <c r="AA3106" i="50"/>
  <c r="AA3107" i="50"/>
  <c r="AA3108" i="50"/>
  <c r="AA3109" i="50"/>
  <c r="AA3110" i="50"/>
  <c r="AA3111" i="50"/>
  <c r="AA3112" i="50"/>
  <c r="AA3113" i="50"/>
  <c r="AA3114" i="50"/>
  <c r="AA3115" i="50"/>
  <c r="AA3116" i="50"/>
  <c r="AA3117" i="50"/>
  <c r="AA3118" i="50"/>
  <c r="AA3119" i="50"/>
  <c r="AA3120" i="50"/>
  <c r="AA3121" i="50"/>
  <c r="AA3122" i="50"/>
  <c r="AA3123" i="50"/>
  <c r="AA3124" i="50"/>
  <c r="AA3125" i="50"/>
  <c r="AA3126" i="50"/>
  <c r="AA3127" i="50"/>
  <c r="AA3128" i="50"/>
  <c r="AA3129" i="50"/>
  <c r="AA3130" i="50"/>
  <c r="AA3131" i="50"/>
  <c r="AA3132" i="50"/>
  <c r="AA3133" i="50"/>
  <c r="AA3134" i="50"/>
  <c r="AA3135" i="50"/>
  <c r="AA3136" i="50"/>
  <c r="AA3137" i="50"/>
  <c r="AA3138" i="50"/>
  <c r="AA3139" i="50"/>
  <c r="AA3140" i="50"/>
  <c r="AA3141" i="50"/>
  <c r="AA3142" i="50"/>
  <c r="AA3143" i="50"/>
  <c r="AA3144" i="50"/>
  <c r="AA3145" i="50"/>
  <c r="AA3146" i="50"/>
  <c r="AA3147" i="50"/>
  <c r="AA3148" i="50"/>
  <c r="AA3149" i="50"/>
  <c r="AA3150" i="50"/>
  <c r="AA3151" i="50"/>
  <c r="AA3152" i="50"/>
  <c r="AA3153" i="50"/>
  <c r="AA3154" i="50"/>
  <c r="AA3155" i="50"/>
  <c r="AA3156" i="50"/>
  <c r="AA3157" i="50"/>
  <c r="AA3158" i="50"/>
  <c r="AA3159" i="50"/>
  <c r="AA3160" i="50"/>
  <c r="AA3161" i="50"/>
  <c r="AA3162" i="50"/>
  <c r="AA3163" i="50"/>
  <c r="AA3164" i="50"/>
  <c r="AA3165" i="50"/>
  <c r="AA3166" i="50"/>
  <c r="AA3167" i="50"/>
  <c r="AA3168" i="50"/>
  <c r="AA3169" i="50"/>
  <c r="AA3170" i="50"/>
  <c r="AA3171" i="50"/>
  <c r="AA3172" i="50"/>
  <c r="AA3173" i="50"/>
  <c r="AA3174" i="50"/>
  <c r="AA3175" i="50"/>
  <c r="AA3176" i="50"/>
  <c r="AA3177" i="50"/>
  <c r="AA3178" i="50"/>
  <c r="AA3179" i="50"/>
  <c r="AA3180" i="50"/>
  <c r="AA3181" i="50"/>
  <c r="AA3182" i="50"/>
  <c r="AA3183" i="50"/>
  <c r="AA3184" i="50"/>
  <c r="AA3185" i="50"/>
  <c r="AA3186" i="50"/>
  <c r="AA3187" i="50"/>
  <c r="AA3188" i="50"/>
  <c r="AA3189" i="50"/>
  <c r="AA3190" i="50"/>
  <c r="AA3191" i="50"/>
  <c r="AA3192" i="50"/>
  <c r="AA3193" i="50"/>
  <c r="AA3194" i="50"/>
  <c r="AA3195" i="50"/>
  <c r="AA3196" i="50"/>
  <c r="AA3197" i="50"/>
  <c r="AA3198" i="50"/>
  <c r="AA3199" i="50"/>
  <c r="AA3200" i="50"/>
  <c r="AA3201" i="50"/>
  <c r="AA3202" i="50"/>
  <c r="AA3203" i="50"/>
  <c r="AA3204" i="50"/>
  <c r="AA3205" i="50"/>
  <c r="AA3206" i="50"/>
  <c r="AA3207" i="50"/>
  <c r="AA3208" i="50"/>
  <c r="AA3209" i="50"/>
  <c r="AA3210" i="50"/>
  <c r="AA3211" i="50"/>
  <c r="AA3212" i="50"/>
  <c r="AA3213" i="50"/>
  <c r="AA3214" i="50"/>
  <c r="AA3215" i="50"/>
  <c r="AA3216" i="50"/>
  <c r="AA3217" i="50"/>
  <c r="AA3218" i="50"/>
  <c r="AA3219" i="50"/>
  <c r="AA3220" i="50"/>
  <c r="AA3221" i="50"/>
  <c r="AA3222" i="50"/>
  <c r="AA3223" i="50"/>
  <c r="AA3224" i="50"/>
  <c r="AA3225" i="50"/>
  <c r="AA3226" i="50"/>
  <c r="AA3227" i="50"/>
  <c r="AA3228" i="50"/>
  <c r="AA3229" i="50"/>
  <c r="AA3230" i="50"/>
  <c r="AA3231" i="50"/>
  <c r="AA3232" i="50"/>
  <c r="AA3233" i="50"/>
  <c r="AA3234" i="50"/>
  <c r="AA3235" i="50"/>
  <c r="AA3236" i="50"/>
  <c r="AA3237" i="50"/>
  <c r="AA3238" i="50"/>
  <c r="AA3239" i="50"/>
  <c r="AA3240" i="50"/>
  <c r="AA3241" i="50"/>
  <c r="AA3242" i="50"/>
  <c r="AA3243" i="50"/>
  <c r="AA3244" i="50"/>
  <c r="AA3245" i="50"/>
  <c r="AA3246" i="50"/>
  <c r="AA3247" i="50"/>
  <c r="AA3248" i="50"/>
  <c r="AA3249" i="50"/>
  <c r="AA3250" i="50"/>
  <c r="AA3251" i="50"/>
  <c r="AA3252" i="50"/>
  <c r="AA3253" i="50"/>
  <c r="AA3254" i="50"/>
  <c r="AA3255" i="50"/>
  <c r="AA3256" i="50"/>
  <c r="AA3257" i="50"/>
  <c r="AA3258" i="50"/>
  <c r="AA3259" i="50"/>
  <c r="AA3260" i="50"/>
  <c r="AA3261" i="50"/>
  <c r="AA3262" i="50"/>
  <c r="AA3263" i="50"/>
  <c r="AA3264" i="50"/>
  <c r="AA3265" i="50"/>
  <c r="AA3266" i="50"/>
  <c r="AA3267" i="50"/>
  <c r="AA3268" i="50"/>
  <c r="AA3269" i="50"/>
  <c r="AA3270" i="50"/>
  <c r="AA3271" i="50"/>
  <c r="AA3272" i="50"/>
  <c r="AA3273" i="50"/>
  <c r="AA3274" i="50"/>
  <c r="AA3275" i="50"/>
  <c r="AA3276" i="50"/>
  <c r="AA3277" i="50"/>
  <c r="AA3278" i="50"/>
  <c r="AA3279" i="50"/>
  <c r="AA3280" i="50"/>
  <c r="AA3281" i="50"/>
  <c r="AA3282" i="50"/>
  <c r="AA3283" i="50"/>
  <c r="AA3284" i="50"/>
  <c r="AA3285" i="50"/>
  <c r="AA3286" i="50"/>
  <c r="AA3287" i="50"/>
  <c r="AA3288" i="50"/>
  <c r="AA3289" i="50"/>
  <c r="AA3290" i="50"/>
  <c r="AA3291" i="50"/>
  <c r="AA3292" i="50"/>
  <c r="AA3293" i="50"/>
  <c r="AA3294" i="50"/>
  <c r="AA3295" i="50"/>
  <c r="AA3296" i="50"/>
  <c r="AA3297" i="50"/>
  <c r="AA3298" i="50"/>
  <c r="AA3299" i="50"/>
  <c r="AA3300" i="50"/>
  <c r="AA3301" i="50"/>
  <c r="AA3302" i="50"/>
  <c r="AA3303" i="50"/>
  <c r="AA3304" i="50"/>
  <c r="AA3305" i="50"/>
  <c r="AA3306" i="50"/>
  <c r="AA3307" i="50"/>
  <c r="AA3308" i="50"/>
  <c r="AA3309" i="50"/>
  <c r="AA3310" i="50"/>
  <c r="AA3311" i="50"/>
  <c r="AA3312" i="50"/>
  <c r="AA3313" i="50"/>
  <c r="AA3314" i="50"/>
  <c r="AA3315" i="50"/>
  <c r="AA3316" i="50"/>
  <c r="AA3317" i="50"/>
  <c r="AA3318" i="50"/>
  <c r="AA3319" i="50"/>
  <c r="AA3320" i="50"/>
  <c r="AA3321" i="50"/>
  <c r="AA3322" i="50"/>
  <c r="AA3323" i="50"/>
  <c r="AA3324" i="50"/>
  <c r="AA3325" i="50"/>
  <c r="AA3326" i="50"/>
  <c r="AA3327" i="50"/>
  <c r="AA3328" i="50"/>
  <c r="AA3329" i="50"/>
  <c r="AA3330" i="50"/>
  <c r="AA3331" i="50"/>
  <c r="AA3332" i="50"/>
  <c r="AA3333" i="50"/>
  <c r="AA3334" i="50"/>
  <c r="AA3335" i="50"/>
  <c r="AA3336" i="50"/>
  <c r="AA3337" i="50"/>
  <c r="AA3338" i="50"/>
  <c r="AA3339" i="50"/>
  <c r="AA3340" i="50"/>
  <c r="AA3341" i="50"/>
  <c r="AA3342" i="50"/>
  <c r="AA3343" i="50"/>
  <c r="AA3344" i="50"/>
  <c r="AA3345" i="50"/>
  <c r="AA3346" i="50"/>
  <c r="AA3347" i="50"/>
  <c r="AA3348" i="50"/>
  <c r="AA3349" i="50"/>
  <c r="AA3350" i="50"/>
  <c r="AA3351" i="50"/>
  <c r="AA3352" i="50"/>
  <c r="AA3353" i="50"/>
  <c r="AA3354" i="50"/>
  <c r="AA3355" i="50"/>
  <c r="AA3356" i="50"/>
  <c r="AA3357" i="50"/>
  <c r="AA3358" i="50"/>
  <c r="AA3359" i="50"/>
  <c r="AA3360" i="50"/>
  <c r="AA3361" i="50"/>
  <c r="AA3362" i="50"/>
  <c r="AA3363" i="50"/>
  <c r="AA3364" i="50"/>
  <c r="AA3365" i="50"/>
  <c r="AA3366" i="50"/>
  <c r="AA3367" i="50"/>
  <c r="AA3368" i="50"/>
  <c r="AA3369" i="50"/>
  <c r="AA3370" i="50"/>
  <c r="AA3371" i="50"/>
  <c r="AA3372" i="50"/>
  <c r="AA3373" i="50"/>
  <c r="AA3374" i="50"/>
  <c r="AA3375" i="50"/>
  <c r="AA3376" i="50"/>
  <c r="AA3377" i="50"/>
  <c r="AA3378" i="50"/>
  <c r="AA3379" i="50"/>
  <c r="AA3380" i="50"/>
  <c r="AA3381" i="50"/>
  <c r="AA3382" i="50"/>
  <c r="AA3383" i="50"/>
  <c r="AA3384" i="50"/>
  <c r="AA3385" i="50"/>
  <c r="AA3386" i="50"/>
  <c r="AA3387" i="50"/>
  <c r="AA3388" i="50"/>
  <c r="AA3389" i="50"/>
  <c r="AA3390" i="50"/>
  <c r="AA3391" i="50"/>
  <c r="AA3392" i="50"/>
  <c r="AA3393" i="50"/>
  <c r="AA3394" i="50"/>
  <c r="AA3395" i="50"/>
  <c r="AA3396" i="50"/>
  <c r="AA3397" i="50"/>
  <c r="AA3398" i="50"/>
  <c r="AA3399" i="50"/>
  <c r="AA3400" i="50"/>
  <c r="AA3401" i="50"/>
  <c r="AA3402" i="50"/>
  <c r="AA3403" i="50"/>
  <c r="AA3404" i="50"/>
  <c r="AA3405" i="50"/>
  <c r="AA3406" i="50"/>
  <c r="AA3407" i="50"/>
  <c r="AA3408" i="50"/>
  <c r="AA3409" i="50"/>
  <c r="AA3410" i="50"/>
  <c r="AA3411" i="50"/>
  <c r="AA3412" i="50"/>
  <c r="AA3413" i="50"/>
  <c r="AA3414" i="50"/>
  <c r="AA3415" i="50"/>
  <c r="AA3416" i="50"/>
  <c r="AA3417" i="50"/>
  <c r="AA3418" i="50"/>
  <c r="AA3419" i="50"/>
  <c r="AA3420" i="50"/>
  <c r="AA3421" i="50"/>
  <c r="AA3422" i="50"/>
  <c r="AA3423" i="50"/>
  <c r="AA3424" i="50"/>
  <c r="AA3425" i="50"/>
  <c r="AA3426" i="50"/>
  <c r="AA3427" i="50"/>
  <c r="AA3428" i="50"/>
  <c r="AA3429" i="50"/>
  <c r="AA3430" i="50"/>
  <c r="AA3431" i="50"/>
  <c r="AA3432" i="50"/>
  <c r="AA3433" i="50"/>
  <c r="AA3434" i="50"/>
  <c r="AA3435" i="50"/>
  <c r="AA3436" i="50"/>
  <c r="AA3437" i="50"/>
  <c r="AA3438" i="50"/>
  <c r="AA3439" i="50"/>
  <c r="AA3440" i="50"/>
  <c r="AA3441" i="50"/>
  <c r="AA3442" i="50"/>
  <c r="AA3443" i="50"/>
  <c r="AA3444" i="50"/>
  <c r="AA3445" i="50"/>
  <c r="AA3446" i="50"/>
  <c r="AA3447" i="50"/>
  <c r="AA3448" i="50"/>
  <c r="AA3449" i="50"/>
  <c r="AA3450" i="50"/>
  <c r="AA3451" i="50"/>
  <c r="AA3452" i="50"/>
  <c r="AA3453" i="50"/>
  <c r="AA3454" i="50"/>
  <c r="AA3455" i="50"/>
  <c r="AA3456" i="50"/>
  <c r="AA3457" i="50"/>
  <c r="AA3458" i="50"/>
  <c r="AA3459" i="50"/>
  <c r="AA3460" i="50"/>
  <c r="AA3461" i="50"/>
  <c r="AA3462" i="50"/>
  <c r="AA3463" i="50"/>
  <c r="AA3464" i="50"/>
  <c r="AA3465" i="50"/>
  <c r="AA3466" i="50"/>
  <c r="AA3467" i="50"/>
  <c r="AA3468" i="50"/>
  <c r="AA3469" i="50"/>
  <c r="AA3470" i="50"/>
  <c r="AA3471" i="50"/>
  <c r="AA3472" i="50"/>
  <c r="AA3473" i="50"/>
  <c r="AA3474" i="50"/>
  <c r="AA3475" i="50"/>
  <c r="AA3476" i="50"/>
  <c r="AA3477" i="50"/>
  <c r="AA3478" i="50"/>
  <c r="AA3479" i="50"/>
  <c r="AA3480" i="50"/>
  <c r="AA3481" i="50"/>
  <c r="AA3482" i="50"/>
  <c r="AA3483" i="50"/>
  <c r="AA3484" i="50"/>
  <c r="AA3485" i="50"/>
  <c r="AA3486" i="50"/>
  <c r="AA3487" i="50"/>
  <c r="AA3488" i="50"/>
  <c r="AA3489" i="50"/>
  <c r="AA3490" i="50"/>
  <c r="AA3491" i="50"/>
  <c r="AA3492" i="50"/>
  <c r="AA3493" i="50"/>
  <c r="AA3494" i="50"/>
  <c r="AA3495" i="50"/>
  <c r="AA3496" i="50"/>
  <c r="AA3497" i="50"/>
  <c r="AA3498" i="50"/>
  <c r="AA3499" i="50"/>
  <c r="AA3500" i="50"/>
  <c r="AA3501" i="50"/>
  <c r="AA3502" i="50"/>
  <c r="AA3503" i="50"/>
  <c r="AA3504" i="50"/>
  <c r="AA3505" i="50"/>
  <c r="AA3506" i="50"/>
  <c r="AA3507" i="50"/>
  <c r="AA3508" i="50"/>
  <c r="AA3509" i="50"/>
  <c r="AA3510" i="50"/>
  <c r="AA3511" i="50"/>
  <c r="AA3512" i="50"/>
  <c r="AA3513" i="50"/>
  <c r="AA3514" i="50"/>
  <c r="AA3515" i="50"/>
  <c r="AA3516" i="50"/>
  <c r="AA3517" i="50"/>
  <c r="AA3518" i="50"/>
  <c r="AA3519" i="50"/>
  <c r="AA3520" i="50"/>
  <c r="AA3521" i="50"/>
  <c r="AA3522" i="50"/>
  <c r="AA3523" i="50"/>
  <c r="AA3524" i="50"/>
  <c r="AA3525" i="50"/>
  <c r="AA3526" i="50"/>
  <c r="AA3527" i="50"/>
  <c r="AA3528" i="50"/>
  <c r="AA3529" i="50"/>
  <c r="AA3530" i="50"/>
  <c r="AA3531" i="50"/>
  <c r="AA3532" i="50"/>
  <c r="AA3533" i="50"/>
  <c r="AA3534" i="50"/>
  <c r="AA3535" i="50"/>
  <c r="AA3536" i="50"/>
  <c r="AA3537" i="50"/>
  <c r="AA3538" i="50"/>
  <c r="AA3539" i="50"/>
  <c r="AA3540" i="50"/>
  <c r="AA3541" i="50"/>
  <c r="AA3542" i="50"/>
  <c r="AA3543" i="50"/>
  <c r="AA3544" i="50"/>
  <c r="AA3545" i="50"/>
  <c r="AA3546" i="50"/>
  <c r="AA3547" i="50"/>
  <c r="AA3548" i="50"/>
  <c r="AA3549" i="50"/>
  <c r="AA3550" i="50"/>
  <c r="AA3551" i="50"/>
  <c r="AA3552" i="50"/>
  <c r="AA3553" i="50"/>
  <c r="AA3554" i="50"/>
  <c r="AA3555" i="50"/>
  <c r="AA3556" i="50"/>
  <c r="AA3557" i="50"/>
  <c r="AA3558" i="50"/>
  <c r="AA3559" i="50"/>
  <c r="AA3560" i="50"/>
  <c r="AA3561" i="50"/>
  <c r="AA3562" i="50"/>
  <c r="AA3563" i="50"/>
  <c r="AA3564" i="50"/>
  <c r="AA3565" i="50"/>
  <c r="AA3566" i="50"/>
  <c r="AA3567" i="50"/>
  <c r="AA3568" i="50"/>
  <c r="AA3569" i="50"/>
  <c r="AA3570" i="50"/>
  <c r="AA3571" i="50"/>
  <c r="AA3572" i="50"/>
  <c r="AA3573" i="50"/>
  <c r="AA3574" i="50"/>
  <c r="AA3575" i="50"/>
  <c r="AA3576" i="50"/>
  <c r="AA3577" i="50"/>
  <c r="AA3578" i="50"/>
  <c r="AA3579" i="50"/>
  <c r="AA3580" i="50"/>
  <c r="AA3581" i="50"/>
  <c r="AA3582" i="50"/>
  <c r="AA3583" i="50"/>
  <c r="AA3584" i="50"/>
  <c r="AA3585" i="50"/>
  <c r="AA3586" i="50"/>
  <c r="AA3587" i="50"/>
  <c r="AA3588" i="50"/>
  <c r="AA3589" i="50"/>
  <c r="AA3590" i="50"/>
  <c r="AA3591" i="50"/>
  <c r="AA3592" i="50"/>
  <c r="AA3593" i="50"/>
  <c r="AA3594" i="50"/>
  <c r="AA3595" i="50"/>
  <c r="AA3596" i="50"/>
  <c r="AA3597" i="50"/>
  <c r="AA3598" i="50"/>
  <c r="AA3599" i="50"/>
  <c r="AA3600" i="50"/>
  <c r="AA3601" i="50"/>
  <c r="AA3602" i="50"/>
  <c r="AA3603" i="50"/>
  <c r="AA3604" i="50"/>
  <c r="AA3605" i="50"/>
  <c r="AA3606" i="50"/>
  <c r="AA3607" i="50"/>
  <c r="AA3608" i="50"/>
  <c r="AA3609" i="50"/>
  <c r="AA3610" i="50"/>
  <c r="AA3611" i="50"/>
  <c r="AA3612" i="50"/>
  <c r="AA3613" i="50"/>
  <c r="AA3614" i="50"/>
  <c r="AA3615" i="50"/>
  <c r="AA3616" i="50"/>
  <c r="AA3617" i="50"/>
  <c r="AA3618" i="50"/>
  <c r="AA3619" i="50"/>
  <c r="AA3620" i="50"/>
  <c r="AA3621" i="50"/>
  <c r="AA3622" i="50"/>
  <c r="AA3623" i="50"/>
  <c r="AA3624" i="50"/>
  <c r="AA3625" i="50"/>
  <c r="AA3626" i="50"/>
  <c r="AA3627" i="50"/>
  <c r="AA3628" i="50"/>
  <c r="AA3629" i="50"/>
  <c r="AA3630" i="50"/>
  <c r="AA3631" i="50"/>
  <c r="AA3632" i="50"/>
  <c r="AA3633" i="50"/>
  <c r="AA3634" i="50"/>
  <c r="AA3635" i="50"/>
  <c r="AA3636" i="50"/>
  <c r="AA3637" i="50"/>
  <c r="AA3638" i="50"/>
  <c r="AA3639" i="50"/>
  <c r="AA3640" i="50"/>
  <c r="AA3641" i="50"/>
  <c r="AA3642" i="50"/>
  <c r="AA3643" i="50"/>
  <c r="AA3644" i="50"/>
  <c r="AA3645" i="50"/>
  <c r="AA3646" i="50"/>
  <c r="AA3647" i="50"/>
  <c r="AA3648" i="50"/>
  <c r="AA3649" i="50"/>
  <c r="AA3650" i="50"/>
  <c r="AA3651" i="50"/>
  <c r="AA3652" i="50"/>
  <c r="AA3653" i="50"/>
  <c r="AA3654" i="50"/>
  <c r="AA3655" i="50"/>
  <c r="AA3656" i="50"/>
  <c r="AA3657" i="50"/>
  <c r="AA3658" i="50"/>
  <c r="AA3659" i="50"/>
  <c r="AA3660" i="50"/>
  <c r="AA3661" i="50"/>
  <c r="AA3662" i="50"/>
  <c r="AA3663" i="50"/>
  <c r="AA3664" i="50"/>
  <c r="AA3665" i="50"/>
  <c r="AA3666" i="50"/>
  <c r="AA3667" i="50"/>
  <c r="AA3668" i="50"/>
  <c r="AA3669" i="50"/>
  <c r="AA3670" i="50"/>
  <c r="AA3671" i="50"/>
  <c r="AA3672" i="50"/>
  <c r="AA3673" i="50"/>
  <c r="AA3674" i="50"/>
  <c r="AA3675" i="50"/>
  <c r="AA3676" i="50"/>
  <c r="AA3677" i="50"/>
  <c r="AA3678" i="50"/>
  <c r="AA3679" i="50"/>
  <c r="AA3680" i="50"/>
  <c r="AA3681" i="50"/>
  <c r="AA3682" i="50"/>
  <c r="AA3683" i="50"/>
  <c r="AA3684" i="50"/>
  <c r="AA3685" i="50"/>
  <c r="AA3686" i="50"/>
  <c r="AA3687" i="50"/>
  <c r="AA3688" i="50"/>
  <c r="AA3689" i="50"/>
  <c r="AA3690" i="50"/>
  <c r="AA3691" i="50"/>
  <c r="AA3692" i="50"/>
  <c r="AA3693" i="50"/>
  <c r="AA3694" i="50"/>
  <c r="AA3695" i="50"/>
  <c r="AA3696" i="50"/>
  <c r="AA3697" i="50"/>
  <c r="AA3698" i="50"/>
  <c r="AA3699" i="50"/>
  <c r="AA3700" i="50"/>
  <c r="AA3701" i="50"/>
  <c r="AA3702" i="50"/>
  <c r="AA3703" i="50"/>
  <c r="AA3704" i="50"/>
  <c r="AA3705" i="50"/>
  <c r="AA3706" i="50"/>
  <c r="AA3707" i="50"/>
  <c r="AA3708" i="50"/>
  <c r="AA3709" i="50"/>
  <c r="AA3710" i="50"/>
  <c r="AA3711" i="50"/>
  <c r="AA3712" i="50"/>
  <c r="AA3713" i="50"/>
  <c r="AA3714" i="50"/>
  <c r="AA3715" i="50"/>
  <c r="AA3716" i="50"/>
  <c r="AA3717" i="50"/>
  <c r="AA3718" i="50"/>
  <c r="AA3719" i="50"/>
  <c r="AA3720" i="50"/>
  <c r="AA3721" i="50"/>
  <c r="AA3722" i="50"/>
  <c r="AA3723" i="50"/>
  <c r="AA3724" i="50"/>
  <c r="AA3725" i="50"/>
  <c r="AA3726" i="50"/>
  <c r="AA3727" i="50"/>
  <c r="AA3728" i="50"/>
  <c r="AA3729" i="50"/>
  <c r="AA3730" i="50"/>
  <c r="AA3731" i="50"/>
  <c r="AA3732" i="50"/>
  <c r="AA3733" i="50"/>
  <c r="AA3734" i="50"/>
  <c r="AA3735" i="50"/>
  <c r="AA3736" i="50"/>
  <c r="AA3737" i="50"/>
  <c r="AA3738" i="50"/>
  <c r="AA3739" i="50"/>
  <c r="AA3740" i="50"/>
  <c r="AA3741" i="50"/>
  <c r="AA3742" i="50"/>
  <c r="AA3743" i="50"/>
  <c r="AA3744" i="50"/>
  <c r="AA3745" i="50"/>
  <c r="AA3746" i="50"/>
  <c r="AA3747" i="50"/>
  <c r="AA3748" i="50"/>
  <c r="AA3749" i="50"/>
  <c r="AA3750" i="50"/>
  <c r="AA3751" i="50"/>
  <c r="AA3752" i="50"/>
  <c r="AA3753" i="50"/>
  <c r="AA3754" i="50"/>
  <c r="AA3755" i="50"/>
  <c r="AA3756" i="50"/>
  <c r="AA3757" i="50"/>
  <c r="AA3758" i="50"/>
  <c r="AA3759" i="50"/>
  <c r="AA3760" i="50"/>
  <c r="AA3761" i="50"/>
  <c r="AA3762" i="50"/>
  <c r="AA3763" i="50"/>
  <c r="AA3764" i="50"/>
  <c r="AA3765" i="50"/>
  <c r="AA3766" i="50"/>
  <c r="AA3767" i="50"/>
  <c r="AA3768" i="50"/>
  <c r="AA3769" i="50"/>
  <c r="AA3770" i="50"/>
  <c r="AA3771" i="50"/>
  <c r="AA3772" i="50"/>
  <c r="AA3773" i="50"/>
  <c r="AA3774" i="50"/>
  <c r="AA3775" i="50"/>
  <c r="AA3776" i="50"/>
  <c r="AA3777" i="50"/>
  <c r="AA3778" i="50"/>
  <c r="AA3779" i="50"/>
  <c r="AA3780" i="50"/>
  <c r="AA3781" i="50"/>
  <c r="AA3782" i="50"/>
  <c r="AA3783" i="50"/>
  <c r="AA3784" i="50"/>
  <c r="AA3785" i="50"/>
  <c r="AA3786" i="50"/>
  <c r="AA3787" i="50"/>
  <c r="AA3788" i="50"/>
  <c r="AA3789" i="50"/>
  <c r="AA3790" i="50"/>
  <c r="AA3791" i="50"/>
  <c r="AA3792" i="50"/>
  <c r="AA3793" i="50"/>
  <c r="AA3794" i="50"/>
  <c r="AA3795" i="50"/>
  <c r="AA3796" i="50"/>
  <c r="AA3797" i="50"/>
  <c r="AA3798" i="50"/>
  <c r="AA3799" i="50"/>
  <c r="AA3800" i="50"/>
  <c r="AA3801" i="50"/>
  <c r="AA3802" i="50"/>
  <c r="AA3803" i="50"/>
  <c r="AA3804" i="50"/>
  <c r="AA3805" i="50"/>
  <c r="AA3806" i="50"/>
  <c r="AA3807" i="50"/>
  <c r="AA3808" i="50"/>
  <c r="AA3809" i="50"/>
  <c r="AA3810" i="50"/>
  <c r="AA3811" i="50"/>
  <c r="AA3812" i="50"/>
  <c r="AA3813" i="50"/>
  <c r="AA3814" i="50"/>
  <c r="AA3815" i="50"/>
  <c r="AA3816" i="50"/>
  <c r="AA3817" i="50"/>
  <c r="AA3818" i="50"/>
  <c r="AA3819" i="50"/>
  <c r="AA3820" i="50"/>
  <c r="AA3821" i="50"/>
  <c r="AA3822" i="50"/>
  <c r="AA3823" i="50"/>
  <c r="AA3824" i="50"/>
  <c r="AA3825" i="50"/>
  <c r="AA3826" i="50"/>
  <c r="AA3827" i="50"/>
  <c r="AA3828" i="50"/>
  <c r="AA3829" i="50"/>
  <c r="AA3830" i="50"/>
  <c r="AA3831" i="50"/>
  <c r="AA3832" i="50"/>
  <c r="AA3833" i="50"/>
  <c r="AA3834" i="50"/>
  <c r="AA3835" i="50"/>
  <c r="AA3836" i="50"/>
  <c r="AA3837" i="50"/>
  <c r="AA3838" i="50"/>
  <c r="AA3839" i="50"/>
  <c r="AA3840" i="50"/>
  <c r="AA3841" i="50"/>
  <c r="AA3842" i="50"/>
  <c r="AA3843" i="50"/>
  <c r="AA3844" i="50"/>
  <c r="AA3845" i="50"/>
  <c r="AA3846" i="50"/>
  <c r="AA3847" i="50"/>
  <c r="AA3848" i="50"/>
  <c r="AA3849" i="50"/>
  <c r="AA3850" i="50"/>
  <c r="AA3851" i="50"/>
  <c r="AA3852" i="50"/>
  <c r="AA3853" i="50"/>
  <c r="AA3854" i="50"/>
  <c r="AA3855" i="50"/>
  <c r="AA3856" i="50"/>
  <c r="AA3857" i="50"/>
  <c r="AA3858" i="50"/>
  <c r="AA3859" i="50"/>
  <c r="AA3860" i="50"/>
  <c r="AA3861" i="50"/>
  <c r="AA3862" i="50"/>
  <c r="AA3863" i="50"/>
  <c r="AA3864" i="50"/>
  <c r="AA3865" i="50"/>
  <c r="AA3866" i="50"/>
  <c r="AA3867" i="50"/>
  <c r="AA3868" i="50"/>
  <c r="AA3869" i="50"/>
  <c r="AA3870" i="50"/>
  <c r="AA3871" i="50"/>
  <c r="AA3872" i="50"/>
  <c r="AA3873" i="50"/>
  <c r="AA3874" i="50"/>
  <c r="AA3875" i="50"/>
  <c r="AA3876" i="50"/>
  <c r="AA3877" i="50"/>
  <c r="AA3878" i="50"/>
  <c r="AA3879" i="50"/>
  <c r="AA3880" i="50"/>
  <c r="AA3881" i="50"/>
  <c r="AA3882" i="50"/>
  <c r="AA3883" i="50"/>
  <c r="AA3884" i="50"/>
  <c r="AA3885" i="50"/>
  <c r="AA3886" i="50"/>
  <c r="AA3887" i="50"/>
  <c r="AA3888" i="50"/>
  <c r="AA3889" i="50"/>
  <c r="AA3890" i="50"/>
  <c r="AA3891" i="50"/>
  <c r="AA3892" i="50"/>
  <c r="AA3893" i="50"/>
  <c r="AA3894" i="50"/>
  <c r="AA3895" i="50"/>
  <c r="AA3896" i="50"/>
  <c r="AA3897" i="50"/>
  <c r="AA3898" i="50"/>
  <c r="AA3899" i="50"/>
  <c r="AA3900" i="50"/>
  <c r="AA3901" i="50"/>
  <c r="AA3902" i="50"/>
  <c r="AA3903" i="50"/>
  <c r="AA3904" i="50"/>
  <c r="AA3905" i="50"/>
  <c r="AA3906" i="50"/>
  <c r="AA3907" i="50"/>
  <c r="AA3908" i="50"/>
  <c r="AA3909" i="50"/>
  <c r="AA3910" i="50"/>
  <c r="AA3911" i="50"/>
  <c r="AA3912" i="50"/>
  <c r="AA3913" i="50"/>
  <c r="AA3914" i="50"/>
  <c r="AA3915" i="50"/>
  <c r="AA3916" i="50"/>
  <c r="AA3917" i="50"/>
  <c r="AA3918" i="50"/>
  <c r="AA3919" i="50"/>
  <c r="AA3920" i="50"/>
  <c r="AA3921" i="50"/>
  <c r="AA3922" i="50"/>
  <c r="AA3923" i="50"/>
  <c r="AA3924" i="50"/>
  <c r="AA3925" i="50"/>
  <c r="AA3926" i="50"/>
  <c r="AA3927" i="50"/>
  <c r="AA3928" i="50"/>
  <c r="AA3929" i="50"/>
  <c r="AA3930" i="50"/>
  <c r="AA3931" i="50"/>
  <c r="AA3932" i="50"/>
  <c r="AA3933" i="50"/>
  <c r="AA3934" i="50"/>
  <c r="AA3935" i="50"/>
  <c r="AA3936" i="50"/>
  <c r="AA3937" i="50"/>
  <c r="AA3938" i="50"/>
  <c r="AA3939" i="50"/>
  <c r="AA3940" i="50"/>
  <c r="AA3941" i="50"/>
  <c r="AA3942" i="50"/>
  <c r="AA3943" i="50"/>
  <c r="AA3944" i="50"/>
  <c r="AA3945" i="50"/>
  <c r="AA3946" i="50"/>
  <c r="AA3947" i="50"/>
  <c r="AA3948" i="50"/>
  <c r="AA3949" i="50"/>
  <c r="AA3950" i="50"/>
  <c r="AA3951" i="50"/>
  <c r="AA3952" i="50"/>
  <c r="AA3953" i="50"/>
  <c r="AA3954" i="50"/>
  <c r="AA3955" i="50"/>
  <c r="AA3956" i="50"/>
  <c r="AA3957" i="50"/>
  <c r="AA3958" i="50"/>
  <c r="AA3959" i="50"/>
  <c r="AA3960" i="50"/>
  <c r="AA3961" i="50"/>
  <c r="AA3962" i="50"/>
  <c r="AA3963" i="50"/>
  <c r="AA3964" i="50"/>
  <c r="AA3965" i="50"/>
  <c r="AA3966" i="50"/>
  <c r="AA3967" i="50"/>
  <c r="AA3968" i="50"/>
  <c r="AA3969" i="50"/>
  <c r="AA3970" i="50"/>
  <c r="AA3971" i="50"/>
  <c r="AA3972" i="50"/>
  <c r="AA3973" i="50"/>
  <c r="AA3974" i="50"/>
  <c r="AA3975" i="50"/>
  <c r="AA3976" i="50"/>
  <c r="AA3977" i="50"/>
  <c r="AA3978" i="50"/>
  <c r="AA3979" i="50"/>
  <c r="AA3980" i="50"/>
  <c r="AA3981" i="50"/>
  <c r="AA3982" i="50"/>
  <c r="AA3983" i="50"/>
  <c r="AA3984" i="50"/>
  <c r="AA3985" i="50"/>
  <c r="AA3986" i="50"/>
  <c r="AA3987" i="50"/>
  <c r="AA3988" i="50"/>
  <c r="AA3989" i="50"/>
  <c r="AA3990" i="50"/>
  <c r="AA3991" i="50"/>
  <c r="AA3992" i="50"/>
  <c r="AA3993" i="50"/>
  <c r="AA3994" i="50"/>
  <c r="AA3995" i="50"/>
  <c r="AA3996" i="50"/>
  <c r="AA3997" i="50"/>
  <c r="AA3998" i="50"/>
  <c r="AA3999" i="50"/>
  <c r="AA4000" i="50"/>
  <c r="AA4001" i="50"/>
  <c r="AA4002" i="50"/>
  <c r="AA4003" i="50"/>
  <c r="AA4004" i="50"/>
  <c r="AA4005" i="50"/>
  <c r="AA4006" i="50"/>
  <c r="AA4007" i="50"/>
  <c r="AA4008" i="50"/>
  <c r="AA4009" i="50"/>
  <c r="AA4010" i="50"/>
  <c r="AA4011" i="50"/>
  <c r="AA4012" i="50"/>
  <c r="AA4013" i="50"/>
  <c r="AA4014" i="50"/>
  <c r="AA4015" i="50"/>
  <c r="AA4016" i="50"/>
  <c r="AA4017" i="50"/>
  <c r="AA4018" i="50"/>
  <c r="AA4019" i="50"/>
  <c r="AA4020" i="50"/>
  <c r="AA4021" i="50"/>
  <c r="AA4022" i="50"/>
  <c r="AA4023" i="50"/>
  <c r="AA4024" i="50"/>
  <c r="AA4025" i="50"/>
  <c r="AA4026" i="50"/>
  <c r="AA4027" i="50"/>
  <c r="AA4028" i="50"/>
  <c r="AA4029" i="50"/>
  <c r="AA4030" i="50"/>
  <c r="AA4031" i="50"/>
  <c r="AA4032" i="50"/>
  <c r="AA4033" i="50"/>
  <c r="AA4034" i="50"/>
  <c r="AA4035" i="50"/>
  <c r="AA4036" i="50"/>
  <c r="AA4037" i="50"/>
  <c r="AA4038" i="50"/>
  <c r="AA4039" i="50"/>
  <c r="AA4040" i="50"/>
  <c r="AA4041" i="50"/>
  <c r="AA4042" i="50"/>
  <c r="AA4043" i="50"/>
  <c r="AA4044" i="50"/>
  <c r="AA4045" i="50"/>
  <c r="AA4046" i="50"/>
  <c r="AA4047" i="50"/>
  <c r="AA4048" i="50"/>
  <c r="AA4049" i="50"/>
  <c r="AA4050" i="50"/>
  <c r="AA4051" i="50"/>
  <c r="AA4052" i="50"/>
  <c r="AA4053" i="50"/>
  <c r="AA4054" i="50"/>
  <c r="AA4055" i="50"/>
  <c r="AA4056" i="50"/>
  <c r="AA4057" i="50"/>
  <c r="AA4058" i="50"/>
  <c r="AA4059" i="50"/>
  <c r="AA4060" i="50"/>
  <c r="AA4061" i="50"/>
  <c r="AA4062" i="50"/>
  <c r="AA4063" i="50"/>
  <c r="AA4064" i="50"/>
  <c r="AA4065" i="50"/>
  <c r="AA4066" i="50"/>
  <c r="AA4067" i="50"/>
  <c r="AA4068" i="50"/>
  <c r="AA4069" i="50"/>
  <c r="AA4070" i="50"/>
  <c r="AA4071" i="50"/>
  <c r="AA4072" i="50"/>
  <c r="AA4073" i="50"/>
  <c r="AA4074" i="50"/>
  <c r="AA4075" i="50"/>
  <c r="AA4076" i="50"/>
  <c r="AA4077" i="50"/>
  <c r="AA4078" i="50"/>
  <c r="AA4079" i="50"/>
  <c r="AA4080" i="50"/>
  <c r="AA4081" i="50"/>
  <c r="AA4082" i="50"/>
  <c r="AA4083" i="50"/>
  <c r="AA4084" i="50"/>
  <c r="AA4085" i="50"/>
  <c r="AA4086" i="50"/>
  <c r="AA4087" i="50"/>
  <c r="AA4088" i="50"/>
  <c r="AA4089" i="50"/>
  <c r="AA4090" i="50"/>
  <c r="AA4091" i="50"/>
  <c r="AA4092" i="50"/>
  <c r="AA4093" i="50"/>
  <c r="AA4094" i="50"/>
  <c r="AA4095" i="50"/>
  <c r="AA4096" i="50"/>
  <c r="AA4097" i="50"/>
  <c r="AA4098" i="50"/>
  <c r="AA4099" i="50"/>
  <c r="AA4100" i="50"/>
  <c r="AA4101" i="50"/>
  <c r="AA4102" i="50"/>
  <c r="AA4103" i="50"/>
  <c r="AA4104" i="50"/>
  <c r="AA4105" i="50"/>
  <c r="AA4106" i="50"/>
  <c r="AA4107" i="50"/>
  <c r="AA4108" i="50"/>
  <c r="AA4109" i="50"/>
  <c r="AA4110" i="50"/>
  <c r="AA4111" i="50"/>
  <c r="AA4112" i="50"/>
  <c r="AA4113" i="50"/>
  <c r="AA4114" i="50"/>
  <c r="AA4115" i="50"/>
  <c r="AA4116" i="50"/>
  <c r="AA4117" i="50"/>
  <c r="AA4118" i="50"/>
  <c r="AA4119" i="50"/>
  <c r="AA4120" i="50"/>
  <c r="AA4121" i="50"/>
  <c r="AA4122" i="50"/>
  <c r="AA4123" i="50"/>
  <c r="AA4124" i="50"/>
  <c r="AA4125" i="50"/>
  <c r="AA4126" i="50"/>
  <c r="AA4127" i="50"/>
  <c r="AA4128" i="50"/>
  <c r="AA4129" i="50"/>
  <c r="AA4130" i="50"/>
  <c r="AA4131" i="50"/>
  <c r="AA4132" i="50"/>
  <c r="AA4133" i="50"/>
  <c r="AA4134" i="50"/>
  <c r="AA4135" i="50"/>
  <c r="AA4136" i="50"/>
  <c r="AA4137" i="50"/>
  <c r="AA4138" i="50"/>
  <c r="AA4139" i="50"/>
  <c r="AA4140" i="50"/>
  <c r="AA4141" i="50"/>
  <c r="AA4142" i="50"/>
  <c r="AA4143" i="50"/>
  <c r="AA4144" i="50"/>
  <c r="AA4145" i="50"/>
  <c r="AA4146" i="50"/>
  <c r="AA4147" i="50"/>
  <c r="AA4148" i="50"/>
  <c r="AA4149" i="50"/>
  <c r="AA4150" i="50"/>
  <c r="AA4151" i="50"/>
  <c r="AA4152" i="50"/>
  <c r="AA4153" i="50"/>
  <c r="AA4154" i="50"/>
  <c r="AA4155" i="50"/>
  <c r="AA4156" i="50"/>
  <c r="AA4157" i="50"/>
  <c r="AA4158" i="50"/>
  <c r="AA4159" i="50"/>
  <c r="AA4160" i="50"/>
  <c r="AA4161" i="50"/>
  <c r="AA4162" i="50"/>
  <c r="AA4163" i="50"/>
  <c r="AA4164" i="50"/>
  <c r="AA4165" i="50"/>
  <c r="AA4166" i="50"/>
  <c r="AA4167" i="50"/>
  <c r="AA4168" i="50"/>
  <c r="AA4169" i="50"/>
  <c r="AA4170" i="50"/>
  <c r="AA4171" i="50"/>
  <c r="AA4172" i="50"/>
  <c r="AA4173" i="50"/>
  <c r="AA4174" i="50"/>
  <c r="AA4175" i="50"/>
  <c r="AA4176" i="50"/>
  <c r="AA4177" i="50"/>
  <c r="AA4178" i="50"/>
  <c r="AA4179" i="50"/>
  <c r="AA4180" i="50"/>
  <c r="AA4181" i="50"/>
  <c r="AA4182" i="50"/>
  <c r="AA4183" i="50"/>
  <c r="AA4184" i="50"/>
  <c r="AA4185" i="50"/>
  <c r="AA4186" i="50"/>
  <c r="AA4187" i="50"/>
  <c r="AA4188" i="50"/>
  <c r="AA4189" i="50"/>
  <c r="AA4190" i="50"/>
  <c r="AA4191" i="50"/>
  <c r="AA4192" i="50"/>
  <c r="AA4193" i="50"/>
  <c r="AA4194" i="50"/>
  <c r="AA4195" i="50"/>
  <c r="AA4196" i="50"/>
  <c r="AA4197" i="50"/>
  <c r="AA4198" i="50"/>
  <c r="AA4199" i="50"/>
  <c r="AA4200" i="50"/>
  <c r="AA4201" i="50"/>
  <c r="AA4202" i="50"/>
  <c r="AA4203" i="50"/>
  <c r="AA4204" i="50"/>
  <c r="AA4205" i="50"/>
  <c r="AA4206" i="50"/>
  <c r="AA4207" i="50"/>
  <c r="AA4208" i="50"/>
  <c r="AA4209" i="50"/>
  <c r="AA4210" i="50"/>
  <c r="AA4211" i="50"/>
  <c r="AA4212" i="50"/>
  <c r="AA4213" i="50"/>
  <c r="AA4214" i="50"/>
  <c r="AA4215" i="50"/>
  <c r="AA4216" i="50"/>
  <c r="AA4217" i="50"/>
  <c r="AA4218" i="50"/>
  <c r="AA4219" i="50"/>
  <c r="AA4220" i="50"/>
  <c r="AA4221" i="50"/>
  <c r="AA4222" i="50"/>
  <c r="AA4223" i="50"/>
  <c r="AA4224" i="50"/>
  <c r="AA4225" i="50"/>
  <c r="AA4226" i="50"/>
  <c r="AA4227" i="50"/>
  <c r="AA4228" i="50"/>
  <c r="AA4229" i="50"/>
  <c r="AA4230" i="50"/>
  <c r="AA4231" i="50"/>
  <c r="AA4232" i="50"/>
  <c r="AA4233" i="50"/>
  <c r="AA4234" i="50"/>
  <c r="AA4235" i="50"/>
  <c r="AA4236" i="50"/>
  <c r="AA4237" i="50"/>
  <c r="AA4238" i="50"/>
  <c r="AA4239" i="50"/>
  <c r="AA4240" i="50"/>
  <c r="AA4241" i="50"/>
  <c r="AA4242" i="50"/>
  <c r="AA4243" i="50"/>
  <c r="AA4244" i="50"/>
  <c r="AA4245" i="50"/>
  <c r="AA4246" i="50"/>
  <c r="AA4247" i="50"/>
  <c r="AA4248" i="50"/>
  <c r="AA4249" i="50"/>
  <c r="AA4250" i="50"/>
  <c r="AA4251" i="50"/>
  <c r="AA4252" i="50"/>
  <c r="AA4253" i="50"/>
  <c r="AA4254" i="50"/>
  <c r="AA4255" i="50"/>
  <c r="AA4256" i="50"/>
  <c r="AA4257" i="50"/>
  <c r="AA4258" i="50"/>
  <c r="AA4259" i="50"/>
  <c r="AA4260" i="50"/>
  <c r="AA4261" i="50"/>
  <c r="AA4262" i="50"/>
  <c r="AA4263" i="50"/>
  <c r="AA4264" i="50"/>
  <c r="AA4265" i="50"/>
  <c r="AA4266" i="50"/>
  <c r="AA4267" i="50"/>
  <c r="AA4268" i="50"/>
  <c r="AA4269" i="50"/>
  <c r="AA4270" i="50"/>
  <c r="AA4271" i="50"/>
  <c r="AA4272" i="50"/>
  <c r="AA4273" i="50"/>
  <c r="AA4274" i="50"/>
  <c r="AA4275" i="50"/>
  <c r="AA4276" i="50"/>
  <c r="AA4277" i="50"/>
  <c r="AA4278" i="50"/>
  <c r="AA4279" i="50"/>
  <c r="AA4280" i="50"/>
  <c r="AA4281" i="50"/>
  <c r="AA4282" i="50"/>
  <c r="AA4283" i="50"/>
  <c r="AA4284" i="50"/>
  <c r="AA4285" i="50"/>
  <c r="AA4286" i="50"/>
  <c r="AA4287" i="50"/>
  <c r="AA4288" i="50"/>
  <c r="AA4289" i="50"/>
  <c r="AA4290" i="50"/>
  <c r="AA4291" i="50"/>
  <c r="AA4292" i="50"/>
  <c r="AA4293" i="50"/>
  <c r="AA4294" i="50"/>
  <c r="AA4295" i="50"/>
  <c r="AA4296" i="50"/>
  <c r="AA4297" i="50"/>
  <c r="AA4298" i="50"/>
  <c r="AA4299" i="50"/>
  <c r="AA4300" i="50"/>
  <c r="AA4301" i="50"/>
  <c r="AA4302" i="50"/>
  <c r="AA4303" i="50"/>
  <c r="AA4304" i="50"/>
  <c r="AA4305" i="50"/>
  <c r="AA4306" i="50"/>
  <c r="AA4307" i="50"/>
  <c r="AA4308" i="50"/>
  <c r="AA4309" i="50"/>
  <c r="AA4310" i="50"/>
  <c r="AA4311" i="50"/>
  <c r="AA4312" i="50"/>
  <c r="AA4313" i="50"/>
  <c r="AA4314" i="50"/>
  <c r="AA4315" i="50"/>
  <c r="AA4316" i="50"/>
  <c r="AA4317" i="50"/>
  <c r="AA4318" i="50"/>
  <c r="AA4319" i="50"/>
  <c r="AA4320" i="50"/>
  <c r="AA4321" i="50"/>
  <c r="AA4322" i="50"/>
  <c r="AA4323" i="50"/>
  <c r="AA4324" i="50"/>
  <c r="AA4325" i="50"/>
  <c r="AA4326" i="50"/>
  <c r="AA4327" i="50"/>
  <c r="AA4328" i="50"/>
  <c r="AA4329" i="50"/>
  <c r="AA4330" i="50"/>
  <c r="AA4331" i="50"/>
  <c r="AA4332" i="50"/>
  <c r="AA4333" i="50"/>
  <c r="AA4334" i="50"/>
  <c r="AA4335" i="50"/>
  <c r="AA4336" i="50"/>
  <c r="AA4337" i="50"/>
  <c r="AA4338" i="50"/>
  <c r="AA4339" i="50"/>
  <c r="AA4340" i="50"/>
  <c r="AA4341" i="50"/>
  <c r="AA4342" i="50"/>
  <c r="AA4343" i="50"/>
  <c r="AA4344" i="50"/>
  <c r="AA4345" i="50"/>
  <c r="AA4346" i="50"/>
  <c r="AA4347" i="50"/>
  <c r="AA4348" i="50"/>
  <c r="AA4349" i="50"/>
  <c r="AA4350" i="50"/>
  <c r="AA4351" i="50"/>
  <c r="AA4352" i="50"/>
  <c r="AA4353" i="50"/>
  <c r="AA4354" i="50"/>
  <c r="AA4355" i="50"/>
  <c r="AA4356" i="50"/>
  <c r="AA4357" i="50"/>
  <c r="AA4358" i="50"/>
  <c r="AA4359" i="50"/>
  <c r="AA4360" i="50"/>
  <c r="AA4361" i="50"/>
  <c r="AA4362" i="50"/>
  <c r="AA4363" i="50"/>
  <c r="AA4364" i="50"/>
  <c r="AA4365" i="50"/>
  <c r="AA4366" i="50"/>
  <c r="AA4367" i="50"/>
  <c r="AA4368" i="50"/>
  <c r="AA4369" i="50"/>
  <c r="AA4370" i="50"/>
  <c r="AA4371" i="50"/>
  <c r="AA4372" i="50"/>
  <c r="AA4373" i="50"/>
  <c r="AA4374" i="50"/>
  <c r="AA4375" i="50"/>
  <c r="AA4376" i="50"/>
  <c r="AA4377" i="50"/>
  <c r="AA4378" i="50"/>
  <c r="AA4379" i="50"/>
  <c r="AA4380" i="50"/>
  <c r="AA4381" i="50"/>
  <c r="AA4382" i="50"/>
  <c r="AA4383" i="50"/>
  <c r="AA4384" i="50"/>
  <c r="AA4385" i="50"/>
  <c r="AA4386" i="50"/>
  <c r="AA4387" i="50"/>
  <c r="AA4388" i="50"/>
  <c r="AA4389" i="50"/>
  <c r="AA4390" i="50"/>
  <c r="AA4391" i="50"/>
  <c r="AA4392" i="50"/>
  <c r="AA4393" i="50"/>
  <c r="AA4394" i="50"/>
  <c r="AA4395" i="50"/>
  <c r="AA4396" i="50"/>
  <c r="AA4397" i="50"/>
  <c r="AA4398" i="50"/>
  <c r="AA4399" i="50"/>
  <c r="AA4400" i="50"/>
  <c r="AA4401" i="50"/>
  <c r="AA4402" i="50"/>
  <c r="AA4403" i="50"/>
  <c r="AA4404" i="50"/>
  <c r="AA4405" i="50"/>
  <c r="AA4406" i="50"/>
  <c r="AA4407" i="50"/>
  <c r="AA4408" i="50"/>
  <c r="AA4409" i="50"/>
  <c r="AA4410" i="50"/>
  <c r="AA4411" i="50"/>
  <c r="AA4412" i="50"/>
  <c r="AA4413" i="50"/>
  <c r="AA4414" i="50"/>
  <c r="AA4415" i="50"/>
  <c r="AA4416" i="50"/>
  <c r="AA4417" i="50"/>
  <c r="AA4418" i="50"/>
  <c r="AA4419" i="50"/>
  <c r="AA4420" i="50"/>
  <c r="AA4421" i="50"/>
  <c r="AA4422" i="50"/>
  <c r="AA4423" i="50"/>
  <c r="AA4424" i="50"/>
  <c r="AA4425" i="50"/>
  <c r="AA4426" i="50"/>
  <c r="AA4427" i="50"/>
  <c r="AA4428" i="50"/>
  <c r="AA4429" i="50"/>
  <c r="AA4430" i="50"/>
  <c r="AA4431" i="50"/>
  <c r="AA4432" i="50"/>
  <c r="AA4433" i="50"/>
  <c r="AA4434" i="50"/>
  <c r="AA4435" i="50"/>
  <c r="AA4436" i="50"/>
  <c r="AA4437" i="50"/>
  <c r="AA4438" i="50"/>
  <c r="AA4439" i="50"/>
  <c r="AA4440" i="50"/>
  <c r="AA4441" i="50"/>
  <c r="AA4442" i="50"/>
  <c r="AA4443" i="50"/>
  <c r="AA4444" i="50"/>
  <c r="AA4445" i="50"/>
  <c r="AA4446" i="50"/>
  <c r="AA4447" i="50"/>
  <c r="AA4448" i="50"/>
  <c r="AA4449" i="50"/>
  <c r="AA4450" i="50"/>
  <c r="AA4451" i="50"/>
  <c r="AA4452" i="50"/>
  <c r="AA4453" i="50"/>
  <c r="AA4454" i="50"/>
  <c r="AA4455" i="50"/>
  <c r="AA4456" i="50"/>
  <c r="AA4457" i="50"/>
  <c r="AA4458" i="50"/>
  <c r="AA4459" i="50"/>
  <c r="AA4460" i="50"/>
  <c r="AA4461" i="50"/>
  <c r="AA4462" i="50"/>
  <c r="AA4463" i="50"/>
  <c r="AA4464" i="50"/>
  <c r="AA4465" i="50"/>
  <c r="AA4466" i="50"/>
  <c r="AA4467" i="50"/>
  <c r="AA4468" i="50"/>
  <c r="AA4469" i="50"/>
  <c r="AA2" i="50"/>
  <c r="D3" i="50" l="1"/>
  <c r="D4" i="50"/>
  <c r="D5" i="50"/>
  <c r="D6" i="50"/>
  <c r="D7" i="50"/>
  <c r="D8" i="50"/>
  <c r="D9" i="50"/>
  <c r="D10" i="50"/>
  <c r="D11" i="50"/>
  <c r="D12" i="50"/>
  <c r="D13" i="50"/>
  <c r="D14" i="50"/>
  <c r="D15" i="50"/>
  <c r="D16" i="50"/>
  <c r="D17" i="50"/>
  <c r="D18" i="50"/>
  <c r="D19" i="50"/>
  <c r="D20" i="50"/>
  <c r="D21" i="50"/>
  <c r="D22" i="50"/>
  <c r="D23" i="50"/>
  <c r="D24" i="50"/>
  <c r="D25" i="50"/>
  <c r="D26" i="50"/>
  <c r="D27" i="50"/>
  <c r="D28" i="50"/>
  <c r="D29" i="50"/>
  <c r="D30" i="50"/>
  <c r="D31" i="50"/>
  <c r="D32" i="50"/>
  <c r="D33" i="50"/>
  <c r="D34" i="50"/>
  <c r="D35" i="50"/>
  <c r="D36" i="50"/>
  <c r="D37" i="50"/>
  <c r="D38" i="50"/>
  <c r="D39" i="50"/>
  <c r="D40" i="50"/>
  <c r="D41" i="50"/>
  <c r="D42" i="50"/>
  <c r="D43" i="50"/>
  <c r="D44" i="50"/>
  <c r="D45" i="50"/>
  <c r="D46" i="50"/>
  <c r="D47" i="50"/>
  <c r="D48" i="50"/>
  <c r="D49" i="50"/>
  <c r="D50" i="50"/>
  <c r="D51" i="50"/>
  <c r="D52" i="50"/>
  <c r="D53" i="50"/>
  <c r="D54" i="50"/>
  <c r="D55" i="50"/>
  <c r="D56" i="50"/>
  <c r="D57" i="50"/>
  <c r="D58" i="50"/>
  <c r="D59" i="50"/>
  <c r="D60" i="50"/>
  <c r="D61" i="50"/>
  <c r="D62" i="50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D106" i="50"/>
  <c r="D107" i="50"/>
  <c r="D108" i="50"/>
  <c r="D109" i="50"/>
  <c r="D110" i="50"/>
  <c r="D111" i="50"/>
  <c r="D112" i="50"/>
  <c r="D113" i="50"/>
  <c r="D114" i="50"/>
  <c r="D115" i="50"/>
  <c r="D116" i="50"/>
  <c r="D117" i="50"/>
  <c r="D118" i="50"/>
  <c r="D119" i="50"/>
  <c r="D120" i="50"/>
  <c r="D121" i="50"/>
  <c r="D122" i="50"/>
  <c r="D123" i="50"/>
  <c r="D124" i="50"/>
  <c r="D125" i="50"/>
  <c r="D126" i="50"/>
  <c r="D127" i="50"/>
  <c r="D128" i="50"/>
  <c r="D129" i="50"/>
  <c r="D130" i="50"/>
  <c r="D131" i="50"/>
  <c r="D132" i="50"/>
  <c r="D133" i="50"/>
  <c r="D134" i="50"/>
  <c r="D135" i="50"/>
  <c r="D136" i="50"/>
  <c r="D137" i="50"/>
  <c r="D138" i="50"/>
  <c r="D139" i="50"/>
  <c r="D140" i="50"/>
  <c r="D141" i="50"/>
  <c r="D142" i="50"/>
  <c r="D143" i="50"/>
  <c r="D144" i="50"/>
  <c r="D145" i="50"/>
  <c r="D146" i="50"/>
  <c r="D147" i="50"/>
  <c r="D148" i="50"/>
  <c r="D149" i="50"/>
  <c r="D150" i="50"/>
  <c r="D151" i="50"/>
  <c r="D152" i="50"/>
  <c r="D153" i="50"/>
  <c r="D154" i="50"/>
  <c r="D155" i="50"/>
  <c r="D156" i="50"/>
  <c r="D157" i="50"/>
  <c r="D158" i="50"/>
  <c r="D159" i="50"/>
  <c r="D160" i="50"/>
  <c r="D161" i="50"/>
  <c r="D162" i="50"/>
  <c r="D163" i="50"/>
  <c r="D164" i="50"/>
  <c r="D165" i="50"/>
  <c r="D166" i="50"/>
  <c r="D167" i="50"/>
  <c r="D168" i="50"/>
  <c r="D169" i="50"/>
  <c r="D170" i="50"/>
  <c r="D171" i="50"/>
  <c r="D172" i="50"/>
  <c r="D173" i="50"/>
  <c r="D174" i="50"/>
  <c r="D175" i="50"/>
  <c r="D176" i="50"/>
  <c r="D177" i="50"/>
  <c r="D178" i="50"/>
  <c r="D179" i="50"/>
  <c r="D180" i="50"/>
  <c r="D181" i="50"/>
  <c r="D182" i="50"/>
  <c r="D183" i="50"/>
  <c r="D184" i="50"/>
  <c r="D185" i="50"/>
  <c r="D186" i="50"/>
  <c r="D187" i="50"/>
  <c r="D188" i="50"/>
  <c r="D189" i="50"/>
  <c r="D190" i="50"/>
  <c r="D191" i="50"/>
  <c r="D192" i="50"/>
  <c r="D193" i="50"/>
  <c r="D194" i="50"/>
  <c r="D195" i="50"/>
  <c r="D196" i="50"/>
  <c r="D197" i="50"/>
  <c r="D198" i="50"/>
  <c r="D199" i="50"/>
  <c r="D200" i="50"/>
  <c r="D201" i="50"/>
  <c r="D202" i="50"/>
  <c r="D203" i="50"/>
  <c r="D204" i="50"/>
  <c r="D205" i="50"/>
  <c r="D206" i="50"/>
  <c r="D207" i="50"/>
  <c r="D208" i="50"/>
  <c r="D209" i="50"/>
  <c r="D210" i="50"/>
  <c r="D211" i="50"/>
  <c r="D212" i="50"/>
  <c r="D213" i="50"/>
  <c r="D214" i="50"/>
  <c r="D215" i="50"/>
  <c r="D216" i="50"/>
  <c r="D217" i="50"/>
  <c r="D218" i="50"/>
  <c r="D219" i="50"/>
  <c r="D220" i="50"/>
  <c r="D221" i="50"/>
  <c r="D222" i="50"/>
  <c r="D223" i="50"/>
  <c r="D224" i="50"/>
  <c r="D225" i="50"/>
  <c r="D226" i="50"/>
  <c r="D227" i="50"/>
  <c r="D228" i="50"/>
  <c r="D229" i="50"/>
  <c r="D230" i="50"/>
  <c r="D231" i="50"/>
  <c r="D232" i="50"/>
  <c r="D233" i="50"/>
  <c r="D234" i="50"/>
  <c r="D235" i="50"/>
  <c r="D236" i="50"/>
  <c r="D237" i="50"/>
  <c r="D238" i="50"/>
  <c r="D239" i="50"/>
  <c r="D240" i="50"/>
  <c r="D241" i="50"/>
  <c r="D242" i="50"/>
  <c r="D243" i="50"/>
  <c r="D244" i="50"/>
  <c r="D245" i="50"/>
  <c r="D246" i="50"/>
  <c r="D247" i="50"/>
  <c r="D248" i="50"/>
  <c r="D249" i="50"/>
  <c r="D250" i="50"/>
  <c r="D251" i="50"/>
  <c r="D252" i="50"/>
  <c r="D253" i="50"/>
  <c r="D254" i="50"/>
  <c r="D255" i="50"/>
  <c r="D256" i="50"/>
  <c r="D257" i="50"/>
  <c r="D258" i="50"/>
  <c r="D259" i="50"/>
  <c r="D260" i="50"/>
  <c r="D261" i="50"/>
  <c r="D262" i="50"/>
  <c r="D263" i="50"/>
  <c r="D264" i="50"/>
  <c r="D265" i="50"/>
  <c r="D266" i="50"/>
  <c r="D267" i="50"/>
  <c r="D268" i="50"/>
  <c r="D269" i="50"/>
  <c r="D270" i="50"/>
  <c r="D271" i="50"/>
  <c r="D272" i="50"/>
  <c r="D273" i="50"/>
  <c r="D274" i="50"/>
  <c r="D275" i="50"/>
  <c r="D276" i="50"/>
  <c r="D277" i="50"/>
  <c r="D278" i="50"/>
  <c r="D279" i="50"/>
  <c r="D280" i="50"/>
  <c r="D281" i="50"/>
  <c r="D282" i="50"/>
  <c r="D283" i="50"/>
  <c r="D284" i="50"/>
  <c r="D285" i="50"/>
  <c r="D286" i="50"/>
  <c r="D287" i="50"/>
  <c r="D288" i="50"/>
  <c r="D289" i="50"/>
  <c r="D290" i="50"/>
  <c r="D291" i="50"/>
  <c r="D292" i="50"/>
  <c r="D293" i="50"/>
  <c r="D294" i="50"/>
  <c r="D295" i="50"/>
  <c r="D296" i="50"/>
  <c r="D297" i="50"/>
  <c r="D298" i="50"/>
  <c r="D299" i="50"/>
  <c r="D300" i="50"/>
  <c r="D301" i="50"/>
  <c r="D302" i="50"/>
  <c r="D303" i="50"/>
  <c r="D304" i="50"/>
  <c r="D305" i="50"/>
  <c r="D306" i="50"/>
  <c r="D307" i="50"/>
  <c r="D308" i="50"/>
  <c r="D309" i="50"/>
  <c r="D310" i="50"/>
  <c r="D311" i="50"/>
  <c r="D312" i="50"/>
  <c r="D313" i="50"/>
  <c r="D314" i="50"/>
  <c r="D315" i="50"/>
  <c r="D316" i="50"/>
  <c r="D317" i="50"/>
  <c r="D318" i="50"/>
  <c r="D319" i="50"/>
  <c r="D320" i="50"/>
  <c r="D321" i="50"/>
  <c r="D322" i="50"/>
  <c r="D323" i="50"/>
  <c r="D324" i="50"/>
  <c r="D325" i="50"/>
  <c r="D326" i="50"/>
  <c r="D327" i="50"/>
  <c r="D328" i="50"/>
  <c r="D329" i="50"/>
  <c r="D330" i="50"/>
  <c r="D331" i="50"/>
  <c r="D332" i="50"/>
  <c r="D333" i="50"/>
  <c r="D334" i="50"/>
  <c r="D335" i="50"/>
  <c r="D336" i="50"/>
  <c r="D337" i="50"/>
  <c r="D338" i="50"/>
  <c r="D339" i="50"/>
  <c r="D340" i="50"/>
  <c r="D341" i="50"/>
  <c r="D342" i="50"/>
  <c r="D343" i="50"/>
  <c r="D344" i="50"/>
  <c r="D345" i="50"/>
  <c r="D346" i="50"/>
  <c r="D347" i="50"/>
  <c r="D348" i="50"/>
  <c r="D349" i="50"/>
  <c r="D350" i="50"/>
  <c r="D351" i="50"/>
  <c r="D352" i="50"/>
  <c r="D353" i="50"/>
  <c r="D354" i="50"/>
  <c r="D355" i="50"/>
  <c r="D356" i="50"/>
  <c r="D357" i="50"/>
  <c r="D358" i="50"/>
  <c r="D359" i="50"/>
  <c r="D360" i="50"/>
  <c r="D361" i="50"/>
  <c r="D362" i="50"/>
  <c r="D363" i="50"/>
  <c r="D364" i="50"/>
  <c r="D365" i="50"/>
  <c r="D366" i="50"/>
  <c r="D367" i="50"/>
  <c r="D368" i="50"/>
  <c r="D369" i="50"/>
  <c r="D370" i="50"/>
  <c r="D371" i="50"/>
  <c r="D372" i="50"/>
  <c r="D373" i="50"/>
  <c r="D374" i="50"/>
  <c r="D375" i="50"/>
  <c r="D376" i="50"/>
  <c r="D377" i="50"/>
  <c r="D378" i="50"/>
  <c r="D379" i="50"/>
  <c r="D380" i="50"/>
  <c r="D381" i="50"/>
  <c r="D382" i="50"/>
  <c r="D383" i="50"/>
  <c r="D384" i="50"/>
  <c r="D385" i="50"/>
  <c r="D386" i="50"/>
  <c r="D387" i="50"/>
  <c r="D388" i="50"/>
  <c r="D389" i="50"/>
  <c r="D390" i="50"/>
  <c r="D391" i="50"/>
  <c r="D392" i="50"/>
  <c r="D393" i="50"/>
  <c r="D394" i="50"/>
  <c r="D395" i="50"/>
  <c r="D396" i="50"/>
  <c r="D397" i="50"/>
  <c r="D398" i="50"/>
  <c r="D399" i="50"/>
  <c r="D400" i="50"/>
  <c r="D401" i="50"/>
  <c r="D402" i="50"/>
  <c r="D403" i="50"/>
  <c r="D404" i="50"/>
  <c r="D405" i="50"/>
  <c r="D406" i="50"/>
  <c r="D407" i="50"/>
  <c r="D408" i="50"/>
  <c r="D409" i="50"/>
  <c r="D410" i="50"/>
  <c r="D411" i="50"/>
  <c r="D412" i="50"/>
  <c r="D413" i="50"/>
  <c r="D414" i="50"/>
  <c r="D415" i="50"/>
  <c r="D416" i="50"/>
  <c r="D417" i="50"/>
  <c r="D418" i="50"/>
  <c r="D419" i="50"/>
  <c r="D420" i="50"/>
  <c r="D421" i="50"/>
  <c r="D422" i="50"/>
  <c r="D423" i="50"/>
  <c r="D424" i="50"/>
  <c r="D425" i="50"/>
  <c r="D426" i="50"/>
  <c r="D427" i="50"/>
  <c r="D428" i="50"/>
  <c r="D429" i="50"/>
  <c r="D430" i="50"/>
  <c r="D431" i="50"/>
  <c r="D432" i="50"/>
  <c r="D433" i="50"/>
  <c r="D434" i="50"/>
  <c r="D435" i="50"/>
  <c r="D436" i="50"/>
  <c r="D437" i="50"/>
  <c r="D438" i="50"/>
  <c r="D439" i="50"/>
  <c r="D440" i="50"/>
  <c r="D441" i="50"/>
  <c r="D442" i="50"/>
  <c r="D443" i="50"/>
  <c r="D444" i="50"/>
  <c r="D445" i="50"/>
  <c r="D446" i="50"/>
  <c r="D447" i="50"/>
  <c r="D448" i="50"/>
  <c r="D449" i="50"/>
  <c r="D450" i="50"/>
  <c r="D451" i="50"/>
  <c r="D452" i="50"/>
  <c r="D453" i="50"/>
  <c r="D454" i="50"/>
  <c r="D455" i="50"/>
  <c r="D456" i="50"/>
  <c r="D457" i="50"/>
  <c r="D458" i="50"/>
  <c r="D459" i="50"/>
  <c r="D460" i="50"/>
  <c r="D461" i="50"/>
  <c r="D462" i="50"/>
  <c r="D463" i="50"/>
  <c r="D464" i="50"/>
  <c r="D465" i="50"/>
  <c r="D466" i="50"/>
  <c r="D467" i="50"/>
  <c r="D468" i="50"/>
  <c r="D469" i="50"/>
  <c r="D470" i="50"/>
  <c r="D471" i="50"/>
  <c r="D472" i="50"/>
  <c r="D473" i="50"/>
  <c r="D474" i="50"/>
  <c r="D475" i="50"/>
  <c r="D476" i="50"/>
  <c r="D477" i="50"/>
  <c r="D478" i="50"/>
  <c r="D479" i="50"/>
  <c r="D480" i="50"/>
  <c r="D481" i="50"/>
  <c r="D482" i="50"/>
  <c r="D483" i="50"/>
  <c r="D484" i="50"/>
  <c r="D485" i="50"/>
  <c r="D486" i="50"/>
  <c r="D487" i="50"/>
  <c r="D488" i="50"/>
  <c r="D489" i="50"/>
  <c r="D490" i="50"/>
  <c r="D491" i="50"/>
  <c r="D492" i="50"/>
  <c r="D493" i="50"/>
  <c r="D494" i="50"/>
  <c r="D495" i="50"/>
  <c r="D496" i="50"/>
  <c r="D497" i="50"/>
  <c r="D498" i="50"/>
  <c r="D499" i="50"/>
  <c r="D500" i="50"/>
  <c r="D501" i="50"/>
  <c r="D502" i="50"/>
  <c r="D503" i="50"/>
  <c r="D504" i="50"/>
  <c r="D505" i="50"/>
  <c r="D506" i="50"/>
  <c r="D507" i="50"/>
  <c r="D508" i="50"/>
  <c r="D509" i="50"/>
  <c r="D510" i="50"/>
  <c r="D511" i="50"/>
  <c r="D512" i="50"/>
  <c r="D513" i="50"/>
  <c r="D514" i="50"/>
  <c r="D515" i="50"/>
  <c r="D516" i="50"/>
  <c r="D517" i="50"/>
  <c r="D518" i="50"/>
  <c r="D519" i="50"/>
  <c r="D520" i="50"/>
  <c r="D521" i="50"/>
  <c r="D522" i="50"/>
  <c r="D523" i="50"/>
  <c r="D524" i="50"/>
  <c r="D525" i="50"/>
  <c r="D526" i="50"/>
  <c r="D527" i="50"/>
  <c r="D528" i="50"/>
  <c r="D529" i="50"/>
  <c r="D530" i="50"/>
  <c r="D531" i="50"/>
  <c r="D532" i="50"/>
  <c r="D533" i="50"/>
  <c r="D534" i="50"/>
  <c r="D535" i="50"/>
  <c r="D536" i="50"/>
  <c r="D537" i="50"/>
  <c r="D538" i="50"/>
  <c r="D539" i="50"/>
  <c r="D540" i="50"/>
  <c r="D541" i="50"/>
  <c r="D542" i="50"/>
  <c r="D543" i="50"/>
  <c r="D544" i="50"/>
  <c r="D545" i="50"/>
  <c r="D546" i="50"/>
  <c r="D547" i="50"/>
  <c r="D548" i="50"/>
  <c r="D549" i="50"/>
  <c r="D550" i="50"/>
  <c r="D551" i="50"/>
  <c r="D552" i="50"/>
  <c r="D553" i="50"/>
  <c r="D554" i="50"/>
  <c r="D555" i="50"/>
  <c r="D556" i="50"/>
  <c r="D557" i="50"/>
  <c r="D558" i="50"/>
  <c r="D559" i="50"/>
  <c r="D560" i="50"/>
  <c r="D561" i="50"/>
  <c r="D562" i="50"/>
  <c r="D563" i="50"/>
  <c r="D564" i="50"/>
  <c r="D565" i="50"/>
  <c r="D566" i="50"/>
  <c r="D567" i="50"/>
  <c r="D568" i="50"/>
  <c r="D569" i="50"/>
  <c r="D570" i="50"/>
  <c r="D571" i="50"/>
  <c r="D572" i="50"/>
  <c r="D573" i="50"/>
  <c r="D574" i="50"/>
  <c r="D575" i="50"/>
  <c r="D576" i="50"/>
  <c r="D577" i="50"/>
  <c r="D578" i="50"/>
  <c r="D579" i="50"/>
  <c r="D580" i="50"/>
  <c r="D581" i="50"/>
  <c r="D582" i="50"/>
  <c r="D583" i="50"/>
  <c r="D584" i="50"/>
  <c r="D585" i="50"/>
  <c r="D586" i="50"/>
  <c r="D587" i="50"/>
  <c r="D588" i="50"/>
  <c r="D589" i="50"/>
  <c r="D590" i="50"/>
  <c r="D591" i="50"/>
  <c r="D592" i="50"/>
  <c r="D593" i="50"/>
  <c r="D594" i="50"/>
  <c r="D595" i="50"/>
  <c r="D596" i="50"/>
  <c r="D597" i="50"/>
  <c r="D598" i="50"/>
  <c r="D599" i="50"/>
  <c r="D600" i="50"/>
  <c r="D601" i="50"/>
  <c r="D602" i="50"/>
  <c r="D603" i="50"/>
  <c r="D604" i="50"/>
  <c r="D605" i="50"/>
  <c r="D606" i="50"/>
  <c r="D607" i="50"/>
  <c r="D608" i="50"/>
  <c r="D609" i="50"/>
  <c r="D610" i="50"/>
  <c r="D611" i="50"/>
  <c r="D612" i="50"/>
  <c r="D613" i="50"/>
  <c r="D614" i="50"/>
  <c r="D615" i="50"/>
  <c r="D616" i="50"/>
  <c r="D617" i="50"/>
  <c r="D618" i="50"/>
  <c r="D619" i="50"/>
  <c r="D620" i="50"/>
  <c r="D621" i="50"/>
  <c r="D622" i="50"/>
  <c r="D623" i="50"/>
  <c r="D624" i="50"/>
  <c r="D625" i="50"/>
  <c r="D626" i="50"/>
  <c r="D627" i="50"/>
  <c r="D628" i="50"/>
  <c r="D629" i="50"/>
  <c r="D630" i="50"/>
  <c r="D631" i="50"/>
  <c r="D632" i="50"/>
  <c r="D633" i="50"/>
  <c r="D634" i="50"/>
  <c r="D635" i="50"/>
  <c r="D636" i="50"/>
  <c r="D637" i="50"/>
  <c r="D638" i="50"/>
  <c r="D639" i="50"/>
  <c r="D640" i="50"/>
  <c r="D641" i="50"/>
  <c r="D642" i="50"/>
  <c r="D643" i="50"/>
  <c r="D644" i="50"/>
  <c r="D645" i="50"/>
  <c r="D646" i="50"/>
  <c r="D647" i="50"/>
  <c r="D648" i="50"/>
  <c r="D649" i="50"/>
  <c r="D650" i="50"/>
  <c r="D651" i="50"/>
  <c r="D652" i="50"/>
  <c r="D653" i="50"/>
  <c r="D654" i="50"/>
  <c r="D655" i="50"/>
  <c r="D656" i="50"/>
  <c r="D657" i="50"/>
  <c r="D658" i="50"/>
  <c r="D659" i="50"/>
  <c r="D660" i="50"/>
  <c r="D661" i="50"/>
  <c r="D662" i="50"/>
  <c r="D663" i="50"/>
  <c r="D664" i="50"/>
  <c r="D665" i="50"/>
  <c r="D666" i="50"/>
  <c r="D667" i="50"/>
  <c r="D668" i="50"/>
  <c r="D669" i="50"/>
  <c r="D670" i="50"/>
  <c r="D671" i="50"/>
  <c r="D672" i="50"/>
  <c r="D673" i="50"/>
  <c r="D674" i="50"/>
  <c r="D675" i="50"/>
  <c r="D676" i="50"/>
  <c r="D677" i="50"/>
  <c r="D678" i="50"/>
  <c r="D679" i="50"/>
  <c r="D680" i="50"/>
  <c r="D681" i="50"/>
  <c r="D682" i="50"/>
  <c r="D683" i="50"/>
  <c r="D684" i="50"/>
  <c r="D685" i="50"/>
  <c r="D686" i="50"/>
  <c r="D687" i="50"/>
  <c r="D688" i="50"/>
  <c r="D689" i="50"/>
  <c r="D690" i="50"/>
  <c r="D691" i="50"/>
  <c r="D692" i="50"/>
  <c r="D693" i="50"/>
  <c r="D694" i="50"/>
  <c r="D695" i="50"/>
  <c r="D696" i="50"/>
  <c r="D697" i="50"/>
  <c r="D698" i="50"/>
  <c r="D699" i="50"/>
  <c r="D700" i="50"/>
  <c r="D701" i="50"/>
  <c r="D702" i="50"/>
  <c r="D703" i="50"/>
  <c r="D704" i="50"/>
  <c r="D705" i="50"/>
  <c r="D706" i="50"/>
  <c r="D707" i="50"/>
  <c r="D708" i="50"/>
  <c r="D709" i="50"/>
  <c r="D710" i="50"/>
  <c r="D711" i="50"/>
  <c r="D712" i="50"/>
  <c r="D713" i="50"/>
  <c r="D714" i="50"/>
  <c r="D715" i="50"/>
  <c r="D716" i="50"/>
  <c r="D717" i="50"/>
  <c r="D718" i="50"/>
  <c r="D719" i="50"/>
  <c r="D720" i="50"/>
  <c r="D721" i="50"/>
  <c r="D722" i="50"/>
  <c r="D723" i="50"/>
  <c r="D724" i="50"/>
  <c r="D725" i="50"/>
  <c r="D726" i="50"/>
  <c r="D727" i="50"/>
  <c r="D728" i="50"/>
  <c r="D729" i="50"/>
  <c r="D730" i="50"/>
  <c r="D731" i="50"/>
  <c r="D732" i="50"/>
  <c r="D733" i="50"/>
  <c r="D734" i="50"/>
  <c r="D735" i="50"/>
  <c r="D736" i="50"/>
  <c r="D737" i="50"/>
  <c r="D738" i="50"/>
  <c r="D739" i="50"/>
  <c r="D740" i="50"/>
  <c r="D741" i="50"/>
  <c r="D742" i="50"/>
  <c r="D743" i="50"/>
  <c r="D744" i="50"/>
  <c r="D745" i="50"/>
  <c r="D746" i="50"/>
  <c r="D747" i="50"/>
  <c r="D748" i="50"/>
  <c r="D749" i="50"/>
  <c r="D750" i="50"/>
  <c r="D751" i="50"/>
  <c r="D752" i="50"/>
  <c r="D753" i="50"/>
  <c r="D754" i="50"/>
  <c r="D755" i="50"/>
  <c r="D756" i="50"/>
  <c r="D757" i="50"/>
  <c r="D758" i="50"/>
  <c r="D759" i="50"/>
  <c r="D760" i="50"/>
  <c r="D761" i="50"/>
  <c r="D762" i="50"/>
  <c r="D763" i="50"/>
  <c r="D764" i="50"/>
  <c r="D765" i="50"/>
  <c r="D766" i="50"/>
  <c r="D767" i="50"/>
  <c r="D768" i="50"/>
  <c r="D769" i="50"/>
  <c r="D770" i="50"/>
  <c r="D771" i="50"/>
  <c r="D772" i="50"/>
  <c r="D773" i="50"/>
  <c r="D774" i="50"/>
  <c r="D775" i="50"/>
  <c r="D776" i="50"/>
  <c r="D777" i="50"/>
  <c r="D778" i="50"/>
  <c r="D779" i="50"/>
  <c r="D780" i="50"/>
  <c r="D781" i="50"/>
  <c r="D782" i="50"/>
  <c r="D783" i="50"/>
  <c r="D784" i="50"/>
  <c r="D785" i="50"/>
  <c r="D786" i="50"/>
  <c r="D787" i="50"/>
  <c r="D788" i="50"/>
  <c r="D789" i="50"/>
  <c r="D790" i="50"/>
  <c r="D791" i="50"/>
  <c r="D792" i="50"/>
  <c r="D793" i="50"/>
  <c r="D794" i="50"/>
  <c r="D795" i="50"/>
  <c r="D796" i="50"/>
  <c r="D797" i="50"/>
  <c r="D798" i="50"/>
  <c r="D799" i="50"/>
  <c r="D800" i="50"/>
  <c r="D801" i="50"/>
  <c r="D802" i="50"/>
  <c r="D803" i="50"/>
  <c r="D804" i="50"/>
  <c r="D805" i="50"/>
  <c r="D806" i="50"/>
  <c r="D807" i="50"/>
  <c r="D808" i="50"/>
  <c r="D809" i="50"/>
  <c r="D810" i="50"/>
  <c r="D811" i="50"/>
  <c r="D812" i="50"/>
  <c r="D813" i="50"/>
  <c r="D814" i="50"/>
  <c r="D815" i="50"/>
  <c r="D816" i="50"/>
  <c r="D817" i="50"/>
  <c r="D818" i="50"/>
  <c r="D819" i="50"/>
  <c r="D820" i="50"/>
  <c r="D821" i="50"/>
  <c r="D822" i="50"/>
  <c r="D823" i="50"/>
  <c r="D824" i="50"/>
  <c r="D825" i="50"/>
  <c r="D826" i="50"/>
  <c r="D827" i="50"/>
  <c r="D828" i="50"/>
  <c r="D829" i="50"/>
  <c r="D830" i="50"/>
  <c r="D831" i="50"/>
  <c r="D832" i="50"/>
  <c r="D833" i="50"/>
  <c r="D834" i="50"/>
  <c r="D835" i="50"/>
  <c r="D836" i="50"/>
  <c r="D837" i="50"/>
  <c r="D838" i="50"/>
  <c r="D839" i="50"/>
  <c r="D840" i="50"/>
  <c r="D841" i="50"/>
  <c r="D842" i="50"/>
  <c r="D843" i="50"/>
  <c r="D844" i="50"/>
  <c r="D845" i="50"/>
  <c r="D846" i="50"/>
  <c r="D847" i="50"/>
  <c r="D848" i="50"/>
  <c r="D849" i="50"/>
  <c r="D850" i="50"/>
  <c r="D851" i="50"/>
  <c r="D852" i="50"/>
  <c r="D853" i="50"/>
  <c r="D854" i="50"/>
  <c r="D855" i="50"/>
  <c r="D856" i="50"/>
  <c r="D857" i="50"/>
  <c r="D858" i="50"/>
  <c r="D859" i="50"/>
  <c r="D860" i="50"/>
  <c r="D861" i="50"/>
  <c r="D862" i="50"/>
  <c r="D863" i="50"/>
  <c r="D864" i="50"/>
  <c r="D865" i="50"/>
  <c r="D866" i="50"/>
  <c r="D867" i="50"/>
  <c r="D868" i="50"/>
  <c r="D869" i="50"/>
  <c r="D870" i="50"/>
  <c r="D871" i="50"/>
  <c r="D872" i="50"/>
  <c r="D873" i="50"/>
  <c r="D874" i="50"/>
  <c r="D875" i="50"/>
  <c r="D876" i="50"/>
  <c r="D877" i="50"/>
  <c r="D878" i="50"/>
  <c r="D879" i="50"/>
  <c r="D880" i="50"/>
  <c r="D881" i="50"/>
  <c r="D882" i="50"/>
  <c r="D883" i="50"/>
  <c r="D884" i="50"/>
  <c r="D885" i="50"/>
  <c r="D886" i="50"/>
  <c r="D887" i="50"/>
  <c r="D888" i="50"/>
  <c r="D889" i="50"/>
  <c r="D890" i="50"/>
  <c r="D891" i="50"/>
  <c r="D892" i="50"/>
  <c r="D893" i="50"/>
  <c r="D894" i="50"/>
  <c r="D895" i="50"/>
  <c r="D896" i="50"/>
  <c r="D897" i="50"/>
  <c r="D898" i="50"/>
  <c r="D899" i="50"/>
  <c r="D900" i="50"/>
  <c r="D901" i="50"/>
  <c r="D902" i="50"/>
  <c r="D903" i="50"/>
  <c r="D904" i="50"/>
  <c r="D905" i="50"/>
  <c r="D906" i="50"/>
  <c r="D907" i="50"/>
  <c r="D908" i="50"/>
  <c r="D909" i="50"/>
  <c r="D910" i="50"/>
  <c r="D911" i="50"/>
  <c r="D912" i="50"/>
  <c r="D913" i="50"/>
  <c r="D914" i="50"/>
  <c r="D915" i="50"/>
  <c r="D916" i="50"/>
  <c r="D917" i="50"/>
  <c r="D918" i="50"/>
  <c r="D919" i="50"/>
  <c r="D920" i="50"/>
  <c r="D921" i="50"/>
  <c r="D922" i="50"/>
  <c r="D923" i="50"/>
  <c r="D924" i="50"/>
  <c r="D925" i="50"/>
  <c r="D926" i="50"/>
  <c r="D927" i="50"/>
  <c r="D928" i="50"/>
  <c r="D929" i="50"/>
  <c r="D930" i="50"/>
  <c r="D931" i="50"/>
  <c r="D932" i="50"/>
  <c r="D933" i="50"/>
  <c r="D934" i="50"/>
  <c r="D935" i="50"/>
  <c r="D936" i="50"/>
  <c r="D937" i="50"/>
  <c r="D938" i="50"/>
  <c r="D939" i="50"/>
  <c r="D940" i="50"/>
  <c r="D941" i="50"/>
  <c r="D942" i="50"/>
  <c r="D943" i="50"/>
  <c r="D944" i="50"/>
  <c r="D945" i="50"/>
  <c r="D946" i="50"/>
  <c r="D947" i="50"/>
  <c r="D948" i="50"/>
  <c r="D949" i="50"/>
  <c r="D950" i="50"/>
  <c r="D951" i="50"/>
  <c r="D952" i="50"/>
  <c r="D953" i="50"/>
  <c r="D954" i="50"/>
  <c r="D955" i="50"/>
  <c r="D956" i="50"/>
  <c r="D957" i="50"/>
  <c r="D958" i="50"/>
  <c r="D959" i="50"/>
  <c r="D960" i="50"/>
  <c r="D961" i="50"/>
  <c r="D962" i="50"/>
  <c r="D963" i="50"/>
  <c r="D964" i="50"/>
  <c r="D965" i="50"/>
  <c r="D966" i="50"/>
  <c r="D967" i="50"/>
  <c r="D968" i="50"/>
  <c r="D969" i="50"/>
  <c r="D970" i="50"/>
  <c r="D971" i="50"/>
  <c r="D972" i="50"/>
  <c r="D973" i="50"/>
  <c r="D974" i="50"/>
  <c r="D975" i="50"/>
  <c r="D976" i="50"/>
  <c r="D977" i="50"/>
  <c r="D978" i="50"/>
  <c r="D979" i="50"/>
  <c r="D980" i="50"/>
  <c r="D981" i="50"/>
  <c r="D982" i="50"/>
  <c r="D983" i="50"/>
  <c r="D984" i="50"/>
  <c r="D985" i="50"/>
  <c r="D986" i="50"/>
  <c r="D987" i="50"/>
  <c r="D988" i="50"/>
  <c r="D989" i="50"/>
  <c r="D990" i="50"/>
  <c r="D991" i="50"/>
  <c r="D992" i="50"/>
  <c r="D993" i="50"/>
  <c r="D994" i="50"/>
  <c r="D995" i="50"/>
  <c r="D996" i="50"/>
  <c r="D997" i="50"/>
  <c r="D998" i="50"/>
  <c r="D999" i="50"/>
  <c r="D1000" i="50"/>
  <c r="D1001" i="50"/>
  <c r="D1002" i="50"/>
  <c r="D1003" i="50"/>
  <c r="D1004" i="50"/>
  <c r="D1005" i="50"/>
  <c r="D1006" i="50"/>
  <c r="D1007" i="50"/>
  <c r="D1008" i="50"/>
  <c r="D1009" i="50"/>
  <c r="D1010" i="50"/>
  <c r="D1011" i="50"/>
  <c r="D1012" i="50"/>
  <c r="D1013" i="50"/>
  <c r="D1014" i="50"/>
  <c r="D1015" i="50"/>
  <c r="D1016" i="50"/>
  <c r="D1017" i="50"/>
  <c r="D1018" i="50"/>
  <c r="D1019" i="50"/>
  <c r="D1020" i="50"/>
  <c r="D1021" i="50"/>
  <c r="D1022" i="50"/>
  <c r="D1023" i="50"/>
  <c r="D1024" i="50"/>
  <c r="D1025" i="50"/>
  <c r="D1026" i="50"/>
  <c r="D1027" i="50"/>
  <c r="D1028" i="50"/>
  <c r="D1029" i="50"/>
  <c r="D1030" i="50"/>
  <c r="D1031" i="50"/>
  <c r="D1032" i="50"/>
  <c r="D1033" i="50"/>
  <c r="D1034" i="50"/>
  <c r="D1035" i="50"/>
  <c r="D1036" i="50"/>
  <c r="D1037" i="50"/>
  <c r="D1038" i="50"/>
  <c r="D1039" i="50"/>
  <c r="D1040" i="50"/>
  <c r="D1041" i="50"/>
  <c r="D1042" i="50"/>
  <c r="D1043" i="50"/>
  <c r="D1044" i="50"/>
  <c r="D1045" i="50"/>
  <c r="D1046" i="50"/>
  <c r="D1047" i="50"/>
  <c r="D1048" i="50"/>
  <c r="D1049" i="50"/>
  <c r="D1050" i="50"/>
  <c r="D1051" i="50"/>
  <c r="D1052" i="50"/>
  <c r="D1053" i="50"/>
  <c r="D1054" i="50"/>
  <c r="D1055" i="50"/>
  <c r="D1056" i="50"/>
  <c r="D1057" i="50"/>
  <c r="D1058" i="50"/>
  <c r="D1059" i="50"/>
  <c r="D1060" i="50"/>
  <c r="D1061" i="50"/>
  <c r="D1062" i="50"/>
  <c r="D1063" i="50"/>
  <c r="D1064" i="50"/>
  <c r="D1065" i="50"/>
  <c r="D1066" i="50"/>
  <c r="D1067" i="50"/>
  <c r="D1068" i="50"/>
  <c r="D1069" i="50"/>
  <c r="D1070" i="50"/>
  <c r="D1071" i="50"/>
  <c r="D1072" i="50"/>
  <c r="D1073" i="50"/>
  <c r="D1074" i="50"/>
  <c r="D1075" i="50"/>
  <c r="D1076" i="50"/>
  <c r="D1077" i="50"/>
  <c r="D1078" i="50"/>
  <c r="D1079" i="50"/>
  <c r="D1080" i="50"/>
  <c r="D1081" i="50"/>
  <c r="D1082" i="50"/>
  <c r="D1083" i="50"/>
  <c r="D1084" i="50"/>
  <c r="D1085" i="50"/>
  <c r="D1086" i="50"/>
  <c r="D1087" i="50"/>
  <c r="D1088" i="50"/>
  <c r="D1089" i="50"/>
  <c r="D1090" i="50"/>
  <c r="D1091" i="50"/>
  <c r="D1092" i="50"/>
  <c r="D1093" i="50"/>
  <c r="D1094" i="50"/>
  <c r="D1095" i="50"/>
  <c r="D1096" i="50"/>
  <c r="D1097" i="50"/>
  <c r="D1098" i="50"/>
  <c r="D1099" i="50"/>
  <c r="D1100" i="50"/>
  <c r="D1101" i="50"/>
  <c r="D1102" i="50"/>
  <c r="D1103" i="50"/>
  <c r="D1104" i="50"/>
  <c r="D1105" i="50"/>
  <c r="D1106" i="50"/>
  <c r="D1107" i="50"/>
  <c r="D1108" i="50"/>
  <c r="D1109" i="50"/>
  <c r="D1110" i="50"/>
  <c r="D1111" i="50"/>
  <c r="D1112" i="50"/>
  <c r="D1113" i="50"/>
  <c r="D1114" i="50"/>
  <c r="D1115" i="50"/>
  <c r="D1116" i="50"/>
  <c r="D1117" i="50"/>
  <c r="D1118" i="50"/>
  <c r="D1119" i="50"/>
  <c r="D1120" i="50"/>
  <c r="D1121" i="50"/>
  <c r="D1122" i="50"/>
  <c r="D1123" i="50"/>
  <c r="D1124" i="50"/>
  <c r="D1125" i="50"/>
  <c r="D1126" i="50"/>
  <c r="D1127" i="50"/>
  <c r="D1128" i="50"/>
  <c r="D1129" i="50"/>
  <c r="D1130" i="50"/>
  <c r="D1131" i="50"/>
  <c r="D1132" i="50"/>
  <c r="D1133" i="50"/>
  <c r="D1134" i="50"/>
  <c r="D1135" i="50"/>
  <c r="D1136" i="50"/>
  <c r="D1137" i="50"/>
  <c r="D1138" i="50"/>
  <c r="D1139" i="50"/>
  <c r="D1140" i="50"/>
  <c r="D1141" i="50"/>
  <c r="D1142" i="50"/>
  <c r="D1143" i="50"/>
  <c r="D1144" i="50"/>
  <c r="D1145" i="50"/>
  <c r="D1146" i="50"/>
  <c r="D1147" i="50"/>
  <c r="D1148" i="50"/>
  <c r="D1149" i="50"/>
  <c r="D1150" i="50"/>
  <c r="D1151" i="50"/>
  <c r="D1152" i="50"/>
  <c r="D1153" i="50"/>
  <c r="D1154" i="50"/>
  <c r="D1155" i="50"/>
  <c r="D1156" i="50"/>
  <c r="D1157" i="50"/>
  <c r="D1158" i="50"/>
  <c r="D1159" i="50"/>
  <c r="D1160" i="50"/>
  <c r="D1161" i="50"/>
  <c r="D1162" i="50"/>
  <c r="D1163" i="50"/>
  <c r="D1164" i="50"/>
  <c r="D1165" i="50"/>
  <c r="D1166" i="50"/>
  <c r="D1167" i="50"/>
  <c r="D1168" i="50"/>
  <c r="D1169" i="50"/>
  <c r="D1170" i="50"/>
  <c r="D1171" i="50"/>
  <c r="D1172" i="50"/>
  <c r="D1173" i="50"/>
  <c r="D1174" i="50"/>
  <c r="D1175" i="50"/>
  <c r="D1176" i="50"/>
  <c r="D1177" i="50"/>
  <c r="D1178" i="50"/>
  <c r="D1179" i="50"/>
  <c r="D1180" i="50"/>
  <c r="D1181" i="50"/>
  <c r="D1182" i="50"/>
  <c r="D1183" i="50"/>
  <c r="D1184" i="50"/>
  <c r="D1185" i="50"/>
  <c r="D1186" i="50"/>
  <c r="D1187" i="50"/>
  <c r="D1188" i="50"/>
  <c r="D1189" i="50"/>
  <c r="D1190" i="50"/>
  <c r="D1191" i="50"/>
  <c r="D1192" i="50"/>
  <c r="D1193" i="50"/>
  <c r="D1194" i="50"/>
  <c r="D1195" i="50"/>
  <c r="D1196" i="50"/>
  <c r="D1197" i="50"/>
  <c r="D1198" i="50"/>
  <c r="D1199" i="50"/>
  <c r="D1200" i="50"/>
  <c r="D1201" i="50"/>
  <c r="D1202" i="50"/>
  <c r="D1203" i="50"/>
  <c r="D1204" i="50"/>
  <c r="D1205" i="50"/>
  <c r="D1206" i="50"/>
  <c r="D1207" i="50"/>
  <c r="D1208" i="50"/>
  <c r="D1209" i="50"/>
  <c r="D1210" i="50"/>
  <c r="D1211" i="50"/>
  <c r="D1212" i="50"/>
  <c r="D1213" i="50"/>
  <c r="D1214" i="50"/>
  <c r="D1215" i="50"/>
  <c r="D1216" i="50"/>
  <c r="D1217" i="50"/>
  <c r="D1218" i="50"/>
  <c r="D1219" i="50"/>
  <c r="D1220" i="50"/>
  <c r="D1221" i="50"/>
  <c r="D1222" i="50"/>
  <c r="D1223" i="50"/>
  <c r="D1224" i="50"/>
  <c r="D1225" i="50"/>
  <c r="D1226" i="50"/>
  <c r="D1227" i="50"/>
  <c r="D1228" i="50"/>
  <c r="D1229" i="50"/>
  <c r="D1230" i="50"/>
  <c r="D1231" i="50"/>
  <c r="D1232" i="50"/>
  <c r="D1233" i="50"/>
  <c r="D1234" i="50"/>
  <c r="D1235" i="50"/>
  <c r="D1236" i="50"/>
  <c r="D1237" i="50"/>
  <c r="D1238" i="50"/>
  <c r="D1239" i="50"/>
  <c r="D1240" i="50"/>
  <c r="D1241" i="50"/>
  <c r="D1242" i="50"/>
  <c r="D1243" i="50"/>
  <c r="D1244" i="50"/>
  <c r="D1245" i="50"/>
  <c r="D1246" i="50"/>
  <c r="D1247" i="50"/>
  <c r="D1248" i="50"/>
  <c r="D1249" i="50"/>
  <c r="D1250" i="50"/>
  <c r="D1251" i="50"/>
  <c r="D1252" i="50"/>
  <c r="D1253" i="50"/>
  <c r="D1254" i="50"/>
  <c r="D1255" i="50"/>
  <c r="D1256" i="50"/>
  <c r="D1257" i="50"/>
  <c r="D1258" i="50"/>
  <c r="D1259" i="50"/>
  <c r="D1260" i="50"/>
  <c r="D1261" i="50"/>
  <c r="D1262" i="50"/>
  <c r="D1263" i="50"/>
  <c r="D1264" i="50"/>
  <c r="D1265" i="50"/>
  <c r="D1266" i="50"/>
  <c r="D1267" i="50"/>
  <c r="D1268" i="50"/>
  <c r="D1269" i="50"/>
  <c r="D1270" i="50"/>
  <c r="D1271" i="50"/>
  <c r="D1272" i="50"/>
  <c r="D1273" i="50"/>
  <c r="D1274" i="50"/>
  <c r="D1275" i="50"/>
  <c r="D1276" i="50"/>
  <c r="D1277" i="50"/>
  <c r="D1278" i="50"/>
  <c r="D1279" i="50"/>
  <c r="D1280" i="50"/>
  <c r="D1281" i="50"/>
  <c r="D1282" i="50"/>
  <c r="D1283" i="50"/>
  <c r="D1284" i="50"/>
  <c r="D1285" i="50"/>
  <c r="D1286" i="50"/>
  <c r="D1287" i="50"/>
  <c r="D1288" i="50"/>
  <c r="D1289" i="50"/>
  <c r="D1290" i="50"/>
  <c r="D1291" i="50"/>
  <c r="D1292" i="50"/>
  <c r="D1293" i="50"/>
  <c r="D1294" i="50"/>
  <c r="D1295" i="50"/>
  <c r="D1296" i="50"/>
  <c r="D1297" i="50"/>
  <c r="D1298" i="50"/>
  <c r="D1299" i="50"/>
  <c r="D1300" i="50"/>
  <c r="D1301" i="50"/>
  <c r="D1302" i="50"/>
  <c r="D1303" i="50"/>
  <c r="D1304" i="50"/>
  <c r="D1305" i="50"/>
  <c r="D1306" i="50"/>
  <c r="D1307" i="50"/>
  <c r="D1308" i="50"/>
  <c r="D1309" i="50"/>
  <c r="D1310" i="50"/>
  <c r="D1311" i="50"/>
  <c r="D1312" i="50"/>
  <c r="D1313" i="50"/>
  <c r="D1314" i="50"/>
  <c r="D1315" i="50"/>
  <c r="D1316" i="50"/>
  <c r="D1317" i="50"/>
  <c r="D1318" i="50"/>
  <c r="D1319" i="50"/>
  <c r="D1320" i="50"/>
  <c r="D1321" i="50"/>
  <c r="D1322" i="50"/>
  <c r="D1323" i="50"/>
  <c r="D1324" i="50"/>
  <c r="D1325" i="50"/>
  <c r="D1326" i="50"/>
  <c r="D1327" i="50"/>
  <c r="D1328" i="50"/>
  <c r="D1329" i="50"/>
  <c r="D1330" i="50"/>
  <c r="D1331" i="50"/>
  <c r="D1332" i="50"/>
  <c r="D1333" i="50"/>
  <c r="D1334" i="50"/>
  <c r="D1335" i="50"/>
  <c r="D1336" i="50"/>
  <c r="D1337" i="50"/>
  <c r="D1338" i="50"/>
  <c r="D1339" i="50"/>
  <c r="D1340" i="50"/>
  <c r="D1341" i="50"/>
  <c r="D1342" i="50"/>
  <c r="D1343" i="50"/>
  <c r="D1344" i="50"/>
  <c r="D1345" i="50"/>
  <c r="D1346" i="50"/>
  <c r="D1347" i="50"/>
  <c r="D1348" i="50"/>
  <c r="D1349" i="50"/>
  <c r="D1350" i="50"/>
  <c r="D1351" i="50"/>
  <c r="D1352" i="50"/>
  <c r="D1353" i="50"/>
  <c r="D1354" i="50"/>
  <c r="D1355" i="50"/>
  <c r="D1356" i="50"/>
  <c r="D1357" i="50"/>
  <c r="D1358" i="50"/>
  <c r="D1359" i="50"/>
  <c r="D1360" i="50"/>
  <c r="D1361" i="50"/>
  <c r="D1362" i="50"/>
  <c r="D1363" i="50"/>
  <c r="D1364" i="50"/>
  <c r="D1365" i="50"/>
  <c r="D1366" i="50"/>
  <c r="D1367" i="50"/>
  <c r="D1368" i="50"/>
  <c r="D1369" i="50"/>
  <c r="D1370" i="50"/>
  <c r="D1371" i="50"/>
  <c r="D1372" i="50"/>
  <c r="D1373" i="50"/>
  <c r="D1374" i="50"/>
  <c r="D1375" i="50"/>
  <c r="D1376" i="50"/>
  <c r="D1377" i="50"/>
  <c r="D1378" i="50"/>
  <c r="D1379" i="50"/>
  <c r="D1380" i="50"/>
  <c r="D1381" i="50"/>
  <c r="D1382" i="50"/>
  <c r="D1383" i="50"/>
  <c r="D1384" i="50"/>
  <c r="D1385" i="50"/>
  <c r="D1386" i="50"/>
  <c r="D1387" i="50"/>
  <c r="D1388" i="50"/>
  <c r="D1389" i="50"/>
  <c r="D1390" i="50"/>
  <c r="D1391" i="50"/>
  <c r="D1392" i="50"/>
  <c r="D1393" i="50"/>
  <c r="D1394" i="50"/>
  <c r="D1395" i="50"/>
  <c r="D1396" i="50"/>
  <c r="D1397" i="50"/>
  <c r="D1398" i="50"/>
  <c r="D1399" i="50"/>
  <c r="D1400" i="50"/>
  <c r="D1401" i="50"/>
  <c r="D1402" i="50"/>
  <c r="D1403" i="50"/>
  <c r="D1404" i="50"/>
  <c r="D1405" i="50"/>
  <c r="D1406" i="50"/>
  <c r="D1407" i="50"/>
  <c r="D1408" i="50"/>
  <c r="D1409" i="50"/>
  <c r="D1410" i="50"/>
  <c r="D1411" i="50"/>
  <c r="D1412" i="50"/>
  <c r="D1413" i="50"/>
  <c r="D1414" i="50"/>
  <c r="D1415" i="50"/>
  <c r="D1416" i="50"/>
  <c r="D1417" i="50"/>
  <c r="D1418" i="50"/>
  <c r="D1419" i="50"/>
  <c r="D1420" i="50"/>
  <c r="D1421" i="50"/>
  <c r="D1422" i="50"/>
  <c r="D1423" i="50"/>
  <c r="D1424" i="50"/>
  <c r="D1425" i="50"/>
  <c r="D1426" i="50"/>
  <c r="D1427" i="50"/>
  <c r="D1428" i="50"/>
  <c r="D1429" i="50"/>
  <c r="D1430" i="50"/>
  <c r="D1431" i="50"/>
  <c r="D1432" i="50"/>
  <c r="D1433" i="50"/>
  <c r="D1434" i="50"/>
  <c r="D1435" i="50"/>
  <c r="D1436" i="50"/>
  <c r="D1437" i="50"/>
  <c r="D1438" i="50"/>
  <c r="D1439" i="50"/>
  <c r="D1440" i="50"/>
  <c r="D1441" i="50"/>
  <c r="D1442" i="50"/>
  <c r="D1443" i="50"/>
  <c r="D1444" i="50"/>
  <c r="D1445" i="50"/>
  <c r="D1446" i="50"/>
  <c r="D1447" i="50"/>
  <c r="D1448" i="50"/>
  <c r="D1449" i="50"/>
  <c r="D1450" i="50"/>
  <c r="D1451" i="50"/>
  <c r="D1452" i="50"/>
  <c r="D1453" i="50"/>
  <c r="D1454" i="50"/>
  <c r="D1455" i="50"/>
  <c r="D1456" i="50"/>
  <c r="D1457" i="50"/>
  <c r="D1458" i="50"/>
  <c r="D1459" i="50"/>
  <c r="D1460" i="50"/>
  <c r="D1461" i="50"/>
  <c r="D1462" i="50"/>
  <c r="D1463" i="50"/>
  <c r="D1464" i="50"/>
  <c r="D1465" i="50"/>
  <c r="D1466" i="50"/>
  <c r="D1467" i="50"/>
  <c r="D1468" i="50"/>
  <c r="D1469" i="50"/>
  <c r="D1470" i="50"/>
  <c r="D1471" i="50"/>
  <c r="D1472" i="50"/>
  <c r="D1473" i="50"/>
  <c r="D1474" i="50"/>
  <c r="D1475" i="50"/>
  <c r="D1476" i="50"/>
  <c r="D1477" i="50"/>
  <c r="D1478" i="50"/>
  <c r="D1479" i="50"/>
  <c r="D1480" i="50"/>
  <c r="D1481" i="50"/>
  <c r="D1482" i="50"/>
  <c r="D1483" i="50"/>
  <c r="D1484" i="50"/>
  <c r="D1485" i="50"/>
  <c r="D1486" i="50"/>
  <c r="D1487" i="50"/>
  <c r="D1488" i="50"/>
  <c r="D1489" i="50"/>
  <c r="D1490" i="50"/>
  <c r="D1491" i="50"/>
  <c r="D1492" i="50"/>
  <c r="D1493" i="50"/>
  <c r="D1494" i="50"/>
  <c r="D1495" i="50"/>
  <c r="D1496" i="50"/>
  <c r="D1497" i="50"/>
  <c r="D1498" i="50"/>
  <c r="D1499" i="50"/>
  <c r="D1500" i="50"/>
  <c r="D1501" i="50"/>
  <c r="D1502" i="50"/>
  <c r="D1503" i="50"/>
  <c r="D1504" i="50"/>
  <c r="D1505" i="50"/>
  <c r="D1506" i="50"/>
  <c r="D1507" i="50"/>
  <c r="D1508" i="50"/>
  <c r="D1509" i="50"/>
  <c r="D1510" i="50"/>
  <c r="D1511" i="50"/>
  <c r="D1512" i="50"/>
  <c r="D1513" i="50"/>
  <c r="D1514" i="50"/>
  <c r="D1515" i="50"/>
  <c r="D1516" i="50"/>
  <c r="D1517" i="50"/>
  <c r="D1518" i="50"/>
  <c r="D1519" i="50"/>
  <c r="D1520" i="50"/>
  <c r="D1521" i="50"/>
  <c r="D1522" i="50"/>
  <c r="D1523" i="50"/>
  <c r="D1524" i="50"/>
  <c r="D1525" i="50"/>
  <c r="D1526" i="50"/>
  <c r="D1527" i="50"/>
  <c r="D1528" i="50"/>
  <c r="D1529" i="50"/>
  <c r="D1530" i="50"/>
  <c r="D1531" i="50"/>
  <c r="D1532" i="50"/>
  <c r="D1533" i="50"/>
  <c r="D1534" i="50"/>
  <c r="D1535" i="50"/>
  <c r="D1536" i="50"/>
  <c r="D1537" i="50"/>
  <c r="D1538" i="50"/>
  <c r="D1539" i="50"/>
  <c r="D1540" i="50"/>
  <c r="D1541" i="50"/>
  <c r="D1542" i="50"/>
  <c r="D1543" i="50"/>
  <c r="D1544" i="50"/>
  <c r="D1545" i="50"/>
  <c r="D1546" i="50"/>
  <c r="D1547" i="50"/>
  <c r="D1548" i="50"/>
  <c r="D1549" i="50"/>
  <c r="D1550" i="50"/>
  <c r="D1551" i="50"/>
  <c r="D1552" i="50"/>
  <c r="D1553" i="50"/>
  <c r="D1554" i="50"/>
  <c r="D1555" i="50"/>
  <c r="D1556" i="50"/>
  <c r="D1557" i="50"/>
  <c r="D1558" i="50"/>
  <c r="D1559" i="50"/>
  <c r="D1560" i="50"/>
  <c r="D1561" i="50"/>
  <c r="D1562" i="50"/>
  <c r="D1563" i="50"/>
  <c r="D1564" i="50"/>
  <c r="D1565" i="50"/>
  <c r="D1566" i="50"/>
  <c r="D1567" i="50"/>
  <c r="D1568" i="50"/>
  <c r="D1569" i="50"/>
  <c r="D1570" i="50"/>
  <c r="D1571" i="50"/>
  <c r="D1572" i="50"/>
  <c r="D1573" i="50"/>
  <c r="D1574" i="50"/>
  <c r="D1575" i="50"/>
  <c r="D1576" i="50"/>
  <c r="D1577" i="50"/>
  <c r="D1578" i="50"/>
  <c r="D1579" i="50"/>
  <c r="D1580" i="50"/>
  <c r="D1581" i="50"/>
  <c r="D1582" i="50"/>
  <c r="D1583" i="50"/>
  <c r="D1584" i="50"/>
  <c r="D1585" i="50"/>
  <c r="D1586" i="50"/>
  <c r="D1587" i="50"/>
  <c r="D1588" i="50"/>
  <c r="D1589" i="50"/>
  <c r="D1590" i="50"/>
  <c r="D1591" i="50"/>
  <c r="D1592" i="50"/>
  <c r="D1593" i="50"/>
  <c r="D1594" i="50"/>
  <c r="D1595" i="50"/>
  <c r="D1596" i="50"/>
  <c r="D1597" i="50"/>
  <c r="D1598" i="50"/>
  <c r="D1599" i="50"/>
  <c r="D1600" i="50"/>
  <c r="D1601" i="50"/>
  <c r="D1602" i="50"/>
  <c r="D1603" i="50"/>
  <c r="D1604" i="50"/>
  <c r="D1605" i="50"/>
  <c r="D1606" i="50"/>
  <c r="D1607" i="50"/>
  <c r="D1608" i="50"/>
  <c r="D1609" i="50"/>
  <c r="D1610" i="50"/>
  <c r="D1611" i="50"/>
  <c r="D1612" i="50"/>
  <c r="D1613" i="50"/>
  <c r="D1614" i="50"/>
  <c r="D1615" i="50"/>
  <c r="D1616" i="50"/>
  <c r="D1617" i="50"/>
  <c r="D1618" i="50"/>
  <c r="D1619" i="50"/>
  <c r="D1620" i="50"/>
  <c r="D1621" i="50"/>
  <c r="D1622" i="50"/>
  <c r="D1623" i="50"/>
  <c r="D1624" i="50"/>
  <c r="D1625" i="50"/>
  <c r="D1626" i="50"/>
  <c r="D1627" i="50"/>
  <c r="D1628" i="50"/>
  <c r="D1629" i="50"/>
  <c r="D1630" i="50"/>
  <c r="D1631" i="50"/>
  <c r="D1632" i="50"/>
  <c r="D1633" i="50"/>
  <c r="D1634" i="50"/>
  <c r="D1635" i="50"/>
  <c r="D1636" i="50"/>
  <c r="D1637" i="50"/>
  <c r="D1638" i="50"/>
  <c r="D1639" i="50"/>
  <c r="D1640" i="50"/>
  <c r="D1641" i="50"/>
  <c r="D1642" i="50"/>
  <c r="D1643" i="50"/>
  <c r="D1644" i="50"/>
  <c r="D1645" i="50"/>
  <c r="D1646" i="50"/>
  <c r="D1647" i="50"/>
  <c r="D1648" i="50"/>
  <c r="D1649" i="50"/>
  <c r="D1650" i="50"/>
  <c r="D1651" i="50"/>
  <c r="D1652" i="50"/>
  <c r="D1653" i="50"/>
  <c r="D1654" i="50"/>
  <c r="D1655" i="50"/>
  <c r="D1656" i="50"/>
  <c r="D1657" i="50"/>
  <c r="D1658" i="50"/>
  <c r="D1659" i="50"/>
  <c r="D1660" i="50"/>
  <c r="D1661" i="50"/>
  <c r="D1662" i="50"/>
  <c r="D1663" i="50"/>
  <c r="D1664" i="50"/>
  <c r="D1665" i="50"/>
  <c r="D1666" i="50"/>
  <c r="D1667" i="50"/>
  <c r="D1668" i="50"/>
  <c r="D1669" i="50"/>
  <c r="D1670" i="50"/>
  <c r="D1671" i="50"/>
  <c r="D1672" i="50"/>
  <c r="D1673" i="50"/>
  <c r="D1674" i="50"/>
  <c r="D1675" i="50"/>
  <c r="D1676" i="50"/>
  <c r="D1677" i="50"/>
  <c r="D1678" i="50"/>
  <c r="D1679" i="50"/>
  <c r="D1680" i="50"/>
  <c r="D1681" i="50"/>
  <c r="D1682" i="50"/>
  <c r="D1683" i="50"/>
  <c r="D1684" i="50"/>
  <c r="D1685" i="50"/>
  <c r="D1686" i="50"/>
  <c r="D1687" i="50"/>
  <c r="D1688" i="50"/>
  <c r="D1689" i="50"/>
  <c r="D1690" i="50"/>
  <c r="D1691" i="50"/>
  <c r="D1692" i="50"/>
  <c r="D1693" i="50"/>
  <c r="D1694" i="50"/>
  <c r="D1695" i="50"/>
  <c r="D1696" i="50"/>
  <c r="D1697" i="50"/>
  <c r="D1698" i="50"/>
  <c r="D1699" i="50"/>
  <c r="D1700" i="50"/>
  <c r="D1701" i="50"/>
  <c r="D1702" i="50"/>
  <c r="D1703" i="50"/>
  <c r="D1704" i="50"/>
  <c r="D1705" i="50"/>
  <c r="D1706" i="50"/>
  <c r="D1707" i="50"/>
  <c r="D1708" i="50"/>
  <c r="D1709" i="50"/>
  <c r="D1710" i="50"/>
  <c r="D1711" i="50"/>
  <c r="D1712" i="50"/>
  <c r="D1713" i="50"/>
  <c r="D1714" i="50"/>
  <c r="D1715" i="50"/>
  <c r="D1716" i="50"/>
  <c r="D1717" i="50"/>
  <c r="D1718" i="50"/>
  <c r="D1719" i="50"/>
  <c r="D1720" i="50"/>
  <c r="D1721" i="50"/>
  <c r="D1722" i="50"/>
  <c r="D1723" i="50"/>
  <c r="D1724" i="50"/>
  <c r="D1725" i="50"/>
  <c r="D1726" i="50"/>
  <c r="D1727" i="50"/>
  <c r="D1728" i="50"/>
  <c r="D1729" i="50"/>
  <c r="D1730" i="50"/>
  <c r="D1731" i="50"/>
  <c r="D1732" i="50"/>
  <c r="D1733" i="50"/>
  <c r="D1734" i="50"/>
  <c r="D1735" i="50"/>
  <c r="D1736" i="50"/>
  <c r="D1737" i="50"/>
  <c r="D1738" i="50"/>
  <c r="D1739" i="50"/>
  <c r="D1740" i="50"/>
  <c r="D1741" i="50"/>
  <c r="D1742" i="50"/>
  <c r="D1743" i="50"/>
  <c r="D1744" i="50"/>
  <c r="D1745" i="50"/>
  <c r="D1746" i="50"/>
  <c r="D1747" i="50"/>
  <c r="D1748" i="50"/>
  <c r="D1749" i="50"/>
  <c r="D1750" i="50"/>
  <c r="D1751" i="50"/>
  <c r="D1752" i="50"/>
  <c r="D1753" i="50"/>
  <c r="D1754" i="50"/>
  <c r="D1755" i="50"/>
  <c r="D1756" i="50"/>
  <c r="D1757" i="50"/>
  <c r="D1758" i="50"/>
  <c r="D1759" i="50"/>
  <c r="D1760" i="50"/>
  <c r="D1761" i="50"/>
  <c r="D1762" i="50"/>
  <c r="D1763" i="50"/>
  <c r="D1764" i="50"/>
  <c r="D1765" i="50"/>
  <c r="D1766" i="50"/>
  <c r="D1767" i="50"/>
  <c r="D1768" i="50"/>
  <c r="D1769" i="50"/>
  <c r="D1770" i="50"/>
  <c r="D1771" i="50"/>
  <c r="D1772" i="50"/>
  <c r="D1773" i="50"/>
  <c r="D1774" i="50"/>
  <c r="D1775" i="50"/>
  <c r="D1776" i="50"/>
  <c r="D1777" i="50"/>
  <c r="D1778" i="50"/>
  <c r="D1779" i="50"/>
  <c r="D1780" i="50"/>
  <c r="D1781" i="50"/>
  <c r="D1782" i="50"/>
  <c r="D1783" i="50"/>
  <c r="D1784" i="50"/>
  <c r="D1785" i="50"/>
  <c r="D1786" i="50"/>
  <c r="D1787" i="50"/>
  <c r="D1788" i="50"/>
  <c r="D1789" i="50"/>
  <c r="D1790" i="50"/>
  <c r="D1791" i="50"/>
  <c r="D1792" i="50"/>
  <c r="D1793" i="50"/>
  <c r="D1794" i="50"/>
  <c r="D1795" i="50"/>
  <c r="D1796" i="50"/>
  <c r="D1797" i="50"/>
  <c r="D1798" i="50"/>
  <c r="D1799" i="50"/>
  <c r="D1800" i="50"/>
  <c r="D1801" i="50"/>
  <c r="D1802" i="50"/>
  <c r="D1803" i="50"/>
  <c r="D1804" i="50"/>
  <c r="D1805" i="50"/>
  <c r="D1806" i="50"/>
  <c r="D1807" i="50"/>
  <c r="D1808" i="50"/>
  <c r="D1809" i="50"/>
  <c r="D1810" i="50"/>
  <c r="D1811" i="50"/>
  <c r="D1812" i="50"/>
  <c r="D1813" i="50"/>
  <c r="D1814" i="50"/>
  <c r="D1815" i="50"/>
  <c r="D1816" i="50"/>
  <c r="D1817" i="50"/>
  <c r="D1818" i="50"/>
  <c r="D1819" i="50"/>
  <c r="D1820" i="50"/>
  <c r="D1821" i="50"/>
  <c r="D1822" i="50"/>
  <c r="D1823" i="50"/>
  <c r="D1824" i="50"/>
  <c r="D1825" i="50"/>
  <c r="D1826" i="50"/>
  <c r="D1827" i="50"/>
  <c r="D1828" i="50"/>
  <c r="D1829" i="50"/>
  <c r="D1830" i="50"/>
  <c r="D1831" i="50"/>
  <c r="D1832" i="50"/>
  <c r="D1833" i="50"/>
  <c r="D1834" i="50"/>
  <c r="D1835" i="50"/>
  <c r="D1836" i="50"/>
  <c r="D1837" i="50"/>
  <c r="D1838" i="50"/>
  <c r="D1839" i="50"/>
  <c r="D1840" i="50"/>
  <c r="D1841" i="50"/>
  <c r="D1842" i="50"/>
  <c r="D1843" i="50"/>
  <c r="D1844" i="50"/>
  <c r="D1845" i="50"/>
  <c r="D1846" i="50"/>
  <c r="D1847" i="50"/>
  <c r="D1848" i="50"/>
  <c r="D1849" i="50"/>
  <c r="D1850" i="50"/>
  <c r="D1851" i="50"/>
  <c r="D1852" i="50"/>
  <c r="D1853" i="50"/>
  <c r="D1854" i="50"/>
  <c r="D1855" i="50"/>
  <c r="D1856" i="50"/>
  <c r="D1857" i="50"/>
  <c r="D1858" i="50"/>
  <c r="D1859" i="50"/>
  <c r="D1860" i="50"/>
  <c r="D1861" i="50"/>
  <c r="D1862" i="50"/>
  <c r="D1863" i="50"/>
  <c r="D1864" i="50"/>
  <c r="D1865" i="50"/>
  <c r="D1866" i="50"/>
  <c r="D1867" i="50"/>
  <c r="D1868" i="50"/>
  <c r="D1869" i="50"/>
  <c r="D1870" i="50"/>
  <c r="D1871" i="50"/>
  <c r="D1872" i="50"/>
  <c r="D1873" i="50"/>
  <c r="D1874" i="50"/>
  <c r="D1875" i="50"/>
  <c r="D1876" i="50"/>
  <c r="D1877" i="50"/>
  <c r="D1878" i="50"/>
  <c r="D1879" i="50"/>
  <c r="D1880" i="50"/>
  <c r="D1881" i="50"/>
  <c r="D1882" i="50"/>
  <c r="D1883" i="50"/>
  <c r="D1884" i="50"/>
  <c r="D1885" i="50"/>
  <c r="D1886" i="50"/>
  <c r="D1887" i="50"/>
  <c r="D1888" i="50"/>
  <c r="D1889" i="50"/>
  <c r="D1890" i="50"/>
  <c r="D1891" i="50"/>
  <c r="D1892" i="50"/>
  <c r="D1893" i="50"/>
  <c r="D1894" i="50"/>
  <c r="D1895" i="50"/>
  <c r="D1896" i="50"/>
  <c r="D1897" i="50"/>
  <c r="D1898" i="50"/>
  <c r="D1899" i="50"/>
  <c r="D1900" i="50"/>
  <c r="D1901" i="50"/>
  <c r="D1902" i="50"/>
  <c r="D1903" i="50"/>
  <c r="D1904" i="50"/>
  <c r="D1905" i="50"/>
  <c r="D1906" i="50"/>
  <c r="D1907" i="50"/>
  <c r="D1908" i="50"/>
  <c r="D1909" i="50"/>
  <c r="D1910" i="50"/>
  <c r="D1911" i="50"/>
  <c r="D1912" i="50"/>
  <c r="D1913" i="50"/>
  <c r="D1914" i="50"/>
  <c r="D1915" i="50"/>
  <c r="D1916" i="50"/>
  <c r="D1917" i="50"/>
  <c r="D1918" i="50"/>
  <c r="D1919" i="50"/>
  <c r="D1920" i="50"/>
  <c r="D1921" i="50"/>
  <c r="D1922" i="50"/>
  <c r="D1923" i="50"/>
  <c r="D1924" i="50"/>
  <c r="D1925" i="50"/>
  <c r="D1926" i="50"/>
  <c r="D1927" i="50"/>
  <c r="D1928" i="50"/>
  <c r="D1929" i="50"/>
  <c r="D1930" i="50"/>
  <c r="D1931" i="50"/>
  <c r="D1932" i="50"/>
  <c r="D1933" i="50"/>
  <c r="D1934" i="50"/>
  <c r="D1935" i="50"/>
  <c r="D1936" i="50"/>
  <c r="D1937" i="50"/>
  <c r="D1938" i="50"/>
  <c r="D1939" i="50"/>
  <c r="D1940" i="50"/>
  <c r="D1941" i="50"/>
  <c r="D1942" i="50"/>
  <c r="D1943" i="50"/>
  <c r="D1944" i="50"/>
  <c r="D1945" i="50"/>
  <c r="D1946" i="50"/>
  <c r="D1947" i="50"/>
  <c r="D1948" i="50"/>
  <c r="D1949" i="50"/>
  <c r="D1950" i="50"/>
  <c r="D1951" i="50"/>
  <c r="D1952" i="50"/>
  <c r="D1953" i="50"/>
  <c r="D1954" i="50"/>
  <c r="D1955" i="50"/>
  <c r="D1956" i="50"/>
  <c r="D1957" i="50"/>
  <c r="D1958" i="50"/>
  <c r="D1959" i="50"/>
  <c r="D1960" i="50"/>
  <c r="D1961" i="50"/>
  <c r="D1962" i="50"/>
  <c r="D1963" i="50"/>
  <c r="D1964" i="50"/>
  <c r="D1965" i="50"/>
  <c r="D1966" i="50"/>
  <c r="D1967" i="50"/>
  <c r="D1968" i="50"/>
  <c r="D1969" i="50"/>
  <c r="D1970" i="50"/>
  <c r="D1971" i="50"/>
  <c r="D1972" i="50"/>
  <c r="D1973" i="50"/>
  <c r="D1974" i="50"/>
  <c r="D1975" i="50"/>
  <c r="D1976" i="50"/>
  <c r="D1977" i="50"/>
  <c r="D1978" i="50"/>
  <c r="D1979" i="50"/>
  <c r="D1980" i="50"/>
  <c r="D1981" i="50"/>
  <c r="D1982" i="50"/>
  <c r="D1983" i="50"/>
  <c r="D1984" i="50"/>
  <c r="D1985" i="50"/>
  <c r="D1986" i="50"/>
  <c r="D1987" i="50"/>
  <c r="D1988" i="50"/>
  <c r="D1989" i="50"/>
  <c r="D1990" i="50"/>
  <c r="D1991" i="50"/>
  <c r="D1992" i="50"/>
  <c r="D1993" i="50"/>
  <c r="D1994" i="50"/>
  <c r="D1995" i="50"/>
  <c r="D1996" i="50"/>
  <c r="D1997" i="50"/>
  <c r="D1998" i="50"/>
  <c r="D1999" i="50"/>
  <c r="D2000" i="50"/>
  <c r="D2001" i="50"/>
  <c r="D2002" i="50"/>
  <c r="D2003" i="50"/>
  <c r="D2004" i="50"/>
  <c r="D2005" i="50"/>
  <c r="D2006" i="50"/>
  <c r="D2007" i="50"/>
  <c r="D2008" i="50"/>
  <c r="D2009" i="50"/>
  <c r="D2010" i="50"/>
  <c r="D2011" i="50"/>
  <c r="D2012" i="50"/>
  <c r="D2013" i="50"/>
  <c r="D2014" i="50"/>
  <c r="D2015" i="50"/>
  <c r="D2016" i="50"/>
  <c r="D2017" i="50"/>
  <c r="D2018" i="50"/>
  <c r="D2019" i="50"/>
  <c r="D2020" i="50"/>
  <c r="D2021" i="50"/>
  <c r="D2022" i="50"/>
  <c r="D2023" i="50"/>
  <c r="D2024" i="50"/>
  <c r="D2025" i="50"/>
  <c r="D2026" i="50"/>
  <c r="D2027" i="50"/>
  <c r="D2028" i="50"/>
  <c r="D2029" i="50"/>
  <c r="D2030" i="50"/>
  <c r="D2031" i="50"/>
  <c r="D2032" i="50"/>
  <c r="D2033" i="50"/>
  <c r="D2034" i="50"/>
  <c r="D2035" i="50"/>
  <c r="D2036" i="50"/>
  <c r="D2037" i="50"/>
  <c r="D2038" i="50"/>
  <c r="D2039" i="50"/>
  <c r="D2040" i="50"/>
  <c r="D2041" i="50"/>
  <c r="D2042" i="50"/>
  <c r="D2043" i="50"/>
  <c r="D2044" i="50"/>
  <c r="D2045" i="50"/>
  <c r="D2046" i="50"/>
  <c r="D2047" i="50"/>
  <c r="D2048" i="50"/>
  <c r="D2049" i="50"/>
  <c r="D2050" i="50"/>
  <c r="D2051" i="50"/>
  <c r="D2052" i="50"/>
  <c r="D2053" i="50"/>
  <c r="D2054" i="50"/>
  <c r="D2055" i="50"/>
  <c r="D2056" i="50"/>
  <c r="D2057" i="50"/>
  <c r="D2058" i="50"/>
  <c r="D2059" i="50"/>
  <c r="D2060" i="50"/>
  <c r="D2061" i="50"/>
  <c r="D2062" i="50"/>
  <c r="D2063" i="50"/>
  <c r="D2064" i="50"/>
  <c r="D2065" i="50"/>
  <c r="D2066" i="50"/>
  <c r="D2067" i="50"/>
  <c r="D2068" i="50"/>
  <c r="D2069" i="50"/>
  <c r="D2070" i="50"/>
  <c r="D2071" i="50"/>
  <c r="D2072" i="50"/>
  <c r="D2073" i="50"/>
  <c r="D2074" i="50"/>
  <c r="D2075" i="50"/>
  <c r="D2076" i="50"/>
  <c r="D2077" i="50"/>
  <c r="D2078" i="50"/>
  <c r="D2079" i="50"/>
  <c r="D2080" i="50"/>
  <c r="D2081" i="50"/>
  <c r="D2082" i="50"/>
  <c r="D2083" i="50"/>
  <c r="D2084" i="50"/>
  <c r="D2085" i="50"/>
  <c r="D2086" i="50"/>
  <c r="D2087" i="50"/>
  <c r="D2088" i="50"/>
  <c r="D2089" i="50"/>
  <c r="D2090" i="50"/>
  <c r="D2091" i="50"/>
  <c r="D2092" i="50"/>
  <c r="D2093" i="50"/>
  <c r="D2094" i="50"/>
  <c r="D2095" i="50"/>
  <c r="D2096" i="50"/>
  <c r="D2097" i="50"/>
  <c r="D2098" i="50"/>
  <c r="D2099" i="50"/>
  <c r="D2100" i="50"/>
  <c r="D2101" i="50"/>
  <c r="D2102" i="50"/>
  <c r="D2103" i="50"/>
  <c r="D2104" i="50"/>
  <c r="D2105" i="50"/>
  <c r="D2106" i="50"/>
  <c r="D2107" i="50"/>
  <c r="D2108" i="50"/>
  <c r="D2109" i="50"/>
  <c r="D2110" i="50"/>
  <c r="D2111" i="50"/>
  <c r="D2112" i="50"/>
  <c r="D2113" i="50"/>
  <c r="D2114" i="50"/>
  <c r="D2115" i="50"/>
  <c r="D2116" i="50"/>
  <c r="D2117" i="50"/>
  <c r="D2118" i="50"/>
  <c r="D2119" i="50"/>
  <c r="D2120" i="50"/>
  <c r="D2121" i="50"/>
  <c r="D2122" i="50"/>
  <c r="D2123" i="50"/>
  <c r="D2124" i="50"/>
  <c r="D2125" i="50"/>
  <c r="D2126" i="50"/>
  <c r="D2127" i="50"/>
  <c r="D2128" i="50"/>
  <c r="D2129" i="50"/>
  <c r="D2130" i="50"/>
  <c r="D2131" i="50"/>
  <c r="D2132" i="50"/>
  <c r="D2133" i="50"/>
  <c r="D2134" i="50"/>
  <c r="D2135" i="50"/>
  <c r="D2136" i="50"/>
  <c r="D2137" i="50"/>
  <c r="D2138" i="50"/>
  <c r="D2139" i="50"/>
  <c r="D2140" i="50"/>
  <c r="D2141" i="50"/>
  <c r="D2142" i="50"/>
  <c r="D2143" i="50"/>
  <c r="D2144" i="50"/>
  <c r="D2145" i="50"/>
  <c r="D2146" i="50"/>
  <c r="D2147" i="50"/>
  <c r="D2148" i="50"/>
  <c r="D2149" i="50"/>
  <c r="D2150" i="50"/>
  <c r="D2151" i="50"/>
  <c r="D2152" i="50"/>
  <c r="D2153" i="50"/>
  <c r="D2154" i="50"/>
  <c r="D2155" i="50"/>
  <c r="D2156" i="50"/>
  <c r="D2157" i="50"/>
  <c r="D2158" i="50"/>
  <c r="D2159" i="50"/>
  <c r="D2160" i="50"/>
  <c r="D2161" i="50"/>
  <c r="D2162" i="50"/>
  <c r="D2163" i="50"/>
  <c r="D2164" i="50"/>
  <c r="D2165" i="50"/>
  <c r="D2166" i="50"/>
  <c r="D2167" i="50"/>
  <c r="D2168" i="50"/>
  <c r="D2169" i="50"/>
  <c r="D2170" i="50"/>
  <c r="D2171" i="50"/>
  <c r="D2172" i="50"/>
  <c r="D2173" i="50"/>
  <c r="D2174" i="50"/>
  <c r="D2175" i="50"/>
  <c r="D2176" i="50"/>
  <c r="D2177" i="50"/>
  <c r="D2178" i="50"/>
  <c r="D2179" i="50"/>
  <c r="D2180" i="50"/>
  <c r="D2181" i="50"/>
  <c r="D2182" i="50"/>
  <c r="D2183" i="50"/>
  <c r="D2184" i="50"/>
  <c r="D2185" i="50"/>
  <c r="D2186" i="50"/>
  <c r="D2187" i="50"/>
  <c r="D2188" i="50"/>
  <c r="D2189" i="50"/>
  <c r="D2190" i="50"/>
  <c r="D2191" i="50"/>
  <c r="D2192" i="50"/>
  <c r="D2193" i="50"/>
  <c r="D2194" i="50"/>
  <c r="D2195" i="50"/>
  <c r="D2196" i="50"/>
  <c r="D2197" i="50"/>
  <c r="D2198" i="50"/>
  <c r="D2199" i="50"/>
  <c r="D2200" i="50"/>
  <c r="D2201" i="50"/>
  <c r="D2202" i="50"/>
  <c r="D2203" i="50"/>
  <c r="D2204" i="50"/>
  <c r="D2205" i="50"/>
  <c r="D2206" i="50"/>
  <c r="D2207" i="50"/>
  <c r="D2208" i="50"/>
  <c r="D2209" i="50"/>
  <c r="D2210" i="50"/>
  <c r="D2211" i="50"/>
  <c r="D2212" i="50"/>
  <c r="D2213" i="50"/>
  <c r="D2214" i="50"/>
  <c r="D2215" i="50"/>
  <c r="D2216" i="50"/>
  <c r="D2217" i="50"/>
  <c r="D2218" i="50"/>
  <c r="D2219" i="50"/>
  <c r="D2220" i="50"/>
  <c r="D2221" i="50"/>
  <c r="D2222" i="50"/>
  <c r="D2223" i="50"/>
  <c r="D2224" i="50"/>
  <c r="D2225" i="50"/>
  <c r="D2226" i="50"/>
  <c r="D2227" i="50"/>
  <c r="D2228" i="50"/>
  <c r="D2229" i="50"/>
  <c r="D2230" i="50"/>
  <c r="D2231" i="50"/>
  <c r="D2232" i="50"/>
  <c r="D2233" i="50"/>
  <c r="D2234" i="50"/>
  <c r="D2235" i="50"/>
  <c r="D2236" i="50"/>
  <c r="D2237" i="50"/>
  <c r="D2238" i="50"/>
  <c r="D2239" i="50"/>
  <c r="D2240" i="50"/>
  <c r="D2241" i="50"/>
  <c r="D2242" i="50"/>
  <c r="D2243" i="50"/>
  <c r="D2244" i="50"/>
  <c r="D2245" i="50"/>
  <c r="D2246" i="50"/>
  <c r="D2247" i="50"/>
  <c r="D2248" i="50"/>
  <c r="D2249" i="50"/>
  <c r="D2250" i="50"/>
  <c r="D2251" i="50"/>
  <c r="D2252" i="50"/>
  <c r="D2253" i="50"/>
  <c r="D2254" i="50"/>
  <c r="D2255" i="50"/>
  <c r="D2256" i="50"/>
  <c r="D2257" i="50"/>
  <c r="D2258" i="50"/>
  <c r="D2259" i="50"/>
  <c r="D2260" i="50"/>
  <c r="D2261" i="50"/>
  <c r="D2262" i="50"/>
  <c r="D2263" i="50"/>
  <c r="D2264" i="50"/>
  <c r="D2265" i="50"/>
  <c r="D2266" i="50"/>
  <c r="D2267" i="50"/>
  <c r="D2268" i="50"/>
  <c r="D2269" i="50"/>
  <c r="D2270" i="50"/>
  <c r="D2271" i="50"/>
  <c r="D2272" i="50"/>
  <c r="D2273" i="50"/>
  <c r="D2274" i="50"/>
  <c r="D2275" i="50"/>
  <c r="D2276" i="50"/>
  <c r="D2277" i="50"/>
  <c r="D2278" i="50"/>
  <c r="D2279" i="50"/>
  <c r="D2280" i="50"/>
  <c r="D2281" i="50"/>
  <c r="D2282" i="50"/>
  <c r="D2283" i="50"/>
  <c r="D2284" i="50"/>
  <c r="D2285" i="50"/>
  <c r="D2286" i="50"/>
  <c r="D2287" i="50"/>
  <c r="D2288" i="50"/>
  <c r="D2289" i="50"/>
  <c r="D2290" i="50"/>
  <c r="D2291" i="50"/>
  <c r="D2292" i="50"/>
  <c r="D2293" i="50"/>
  <c r="D2294" i="50"/>
  <c r="D2295" i="50"/>
  <c r="D2296" i="50"/>
  <c r="D2297" i="50"/>
  <c r="D2298" i="50"/>
  <c r="D2299" i="50"/>
  <c r="D2300" i="50"/>
  <c r="D2301" i="50"/>
  <c r="D2302" i="50"/>
  <c r="D2303" i="50"/>
  <c r="D2304" i="50"/>
  <c r="D2305" i="50"/>
  <c r="D2306" i="50"/>
  <c r="D2307" i="50"/>
  <c r="D2308" i="50"/>
  <c r="D2309" i="50"/>
  <c r="D2310" i="50"/>
  <c r="D2311" i="50"/>
  <c r="D2312" i="50"/>
  <c r="D2313" i="50"/>
  <c r="D2314" i="50"/>
  <c r="D2315" i="50"/>
  <c r="D2316" i="50"/>
  <c r="D2317" i="50"/>
  <c r="D2318" i="50"/>
  <c r="D2319" i="50"/>
  <c r="D2320" i="50"/>
  <c r="D2321" i="50"/>
  <c r="D2322" i="50"/>
  <c r="D2323" i="50"/>
  <c r="D2324" i="50"/>
  <c r="D2325" i="50"/>
  <c r="D2326" i="50"/>
  <c r="D2327" i="50"/>
  <c r="D2328" i="50"/>
  <c r="D2329" i="50"/>
  <c r="D2330" i="50"/>
  <c r="D2331" i="50"/>
  <c r="D2332" i="50"/>
  <c r="D2333" i="50"/>
  <c r="D2334" i="50"/>
  <c r="D2335" i="50"/>
  <c r="D2336" i="50"/>
  <c r="D2337" i="50"/>
  <c r="D2338" i="50"/>
  <c r="D2339" i="50"/>
  <c r="D2340" i="50"/>
  <c r="D2341" i="50"/>
  <c r="D2342" i="50"/>
  <c r="D2343" i="50"/>
  <c r="D2344" i="50"/>
  <c r="D2345" i="50"/>
  <c r="D2346" i="50"/>
  <c r="D2347" i="50"/>
  <c r="D2348" i="50"/>
  <c r="D2349" i="50"/>
  <c r="D2350" i="50"/>
  <c r="D2351" i="50"/>
  <c r="D2352" i="50"/>
  <c r="D2353" i="50"/>
  <c r="D2354" i="50"/>
  <c r="D2355" i="50"/>
  <c r="D2356" i="50"/>
  <c r="D2357" i="50"/>
  <c r="D2358" i="50"/>
  <c r="D2359" i="50"/>
  <c r="D2360" i="50"/>
  <c r="D2361" i="50"/>
  <c r="D2362" i="50"/>
  <c r="D2363" i="50"/>
  <c r="D2364" i="50"/>
  <c r="D2365" i="50"/>
  <c r="D2366" i="50"/>
  <c r="D2367" i="50"/>
  <c r="D2368" i="50"/>
  <c r="D2369" i="50"/>
  <c r="D2370" i="50"/>
  <c r="D2371" i="50"/>
  <c r="D2372" i="50"/>
  <c r="D2373" i="50"/>
  <c r="D2374" i="50"/>
  <c r="D2375" i="50"/>
  <c r="D2376" i="50"/>
  <c r="D2377" i="50"/>
  <c r="D2378" i="50"/>
  <c r="D2379" i="50"/>
  <c r="D2380" i="50"/>
  <c r="D2381" i="50"/>
  <c r="D2382" i="50"/>
  <c r="D2383" i="50"/>
  <c r="D2384" i="50"/>
  <c r="D2385" i="50"/>
  <c r="D2386" i="50"/>
  <c r="D2387" i="50"/>
  <c r="D2388" i="50"/>
  <c r="D2389" i="50"/>
  <c r="D2390" i="50"/>
  <c r="D2391" i="50"/>
  <c r="D2392" i="50"/>
  <c r="D2393" i="50"/>
  <c r="D2394" i="50"/>
  <c r="D2395" i="50"/>
  <c r="D2396" i="50"/>
  <c r="D2397" i="50"/>
  <c r="D2398" i="50"/>
  <c r="D2399" i="50"/>
  <c r="D2400" i="50"/>
  <c r="D2401" i="50"/>
  <c r="D2402" i="50"/>
  <c r="D2403" i="50"/>
  <c r="D2404" i="50"/>
  <c r="D2405" i="50"/>
  <c r="D2406" i="50"/>
  <c r="D2407" i="50"/>
  <c r="D2408" i="50"/>
  <c r="D2409" i="50"/>
  <c r="D2410" i="50"/>
  <c r="D2411" i="50"/>
  <c r="D2412" i="50"/>
  <c r="D2413" i="50"/>
  <c r="D2414" i="50"/>
  <c r="D2415" i="50"/>
  <c r="D2416" i="50"/>
  <c r="D2417" i="50"/>
  <c r="D2418" i="50"/>
  <c r="D2419" i="50"/>
  <c r="D2420" i="50"/>
  <c r="D2421" i="50"/>
  <c r="D2422" i="50"/>
  <c r="D2423" i="50"/>
  <c r="D2424" i="50"/>
  <c r="D2425" i="50"/>
  <c r="D2426" i="50"/>
  <c r="D2427" i="50"/>
  <c r="D2428" i="50"/>
  <c r="D2429" i="50"/>
  <c r="D2430" i="50"/>
  <c r="D2431" i="50"/>
  <c r="D2432" i="50"/>
  <c r="D2433" i="50"/>
  <c r="D2434" i="50"/>
  <c r="D2435" i="50"/>
  <c r="D2436" i="50"/>
  <c r="D2437" i="50"/>
  <c r="D2438" i="50"/>
  <c r="D2439" i="50"/>
  <c r="D2440" i="50"/>
  <c r="D2441" i="50"/>
  <c r="D2442" i="50"/>
  <c r="D2443" i="50"/>
  <c r="D2444" i="50"/>
  <c r="D2445" i="50"/>
  <c r="D2446" i="50"/>
  <c r="D2447" i="50"/>
  <c r="D2448" i="50"/>
  <c r="D2449" i="50"/>
  <c r="D2450" i="50"/>
  <c r="D2451" i="50"/>
  <c r="D2452" i="50"/>
  <c r="D2453" i="50"/>
  <c r="D2454" i="50"/>
  <c r="D2455" i="50"/>
  <c r="D2456" i="50"/>
  <c r="D2457" i="50"/>
  <c r="D2458" i="50"/>
  <c r="D2459" i="50"/>
  <c r="D2460" i="50"/>
  <c r="D2461" i="50"/>
  <c r="D2462" i="50"/>
  <c r="D2463" i="50"/>
  <c r="D2464" i="50"/>
  <c r="D2465" i="50"/>
  <c r="D2466" i="50"/>
  <c r="D2467" i="50"/>
  <c r="D2468" i="50"/>
  <c r="D2469" i="50"/>
  <c r="D2470" i="50"/>
  <c r="D2471" i="50"/>
  <c r="D2472" i="50"/>
  <c r="D2473" i="50"/>
  <c r="D2474" i="50"/>
  <c r="D2475" i="50"/>
  <c r="D2476" i="50"/>
  <c r="D2477" i="50"/>
  <c r="D2478" i="50"/>
  <c r="D2479" i="50"/>
  <c r="D2480" i="50"/>
  <c r="D2481" i="50"/>
  <c r="D2482" i="50"/>
  <c r="D2483" i="50"/>
  <c r="D2484" i="50"/>
  <c r="D2485" i="50"/>
  <c r="D2486" i="50"/>
  <c r="D2487" i="50"/>
  <c r="D2488" i="50"/>
  <c r="D2489" i="50"/>
  <c r="D2490" i="50"/>
  <c r="D2491" i="50"/>
  <c r="D2492" i="50"/>
  <c r="D2493" i="50"/>
  <c r="D2494" i="50"/>
  <c r="D2495" i="50"/>
  <c r="D2496" i="50"/>
  <c r="D2497" i="50"/>
  <c r="D2498" i="50"/>
  <c r="D2499" i="50"/>
  <c r="D2500" i="50"/>
  <c r="D2501" i="50"/>
  <c r="D2502" i="50"/>
  <c r="D2503" i="50"/>
  <c r="D2504" i="50"/>
  <c r="D2505" i="50"/>
  <c r="D2506" i="50"/>
  <c r="D2507" i="50"/>
  <c r="D2508" i="50"/>
  <c r="D2509" i="50"/>
  <c r="D2510" i="50"/>
  <c r="D2511" i="50"/>
  <c r="D2512" i="50"/>
  <c r="D2513" i="50"/>
  <c r="D2514" i="50"/>
  <c r="D2515" i="50"/>
  <c r="D2516" i="50"/>
  <c r="D2517" i="50"/>
  <c r="D2518" i="50"/>
  <c r="D2519" i="50"/>
  <c r="D2520" i="50"/>
  <c r="D2521" i="50"/>
  <c r="D2522" i="50"/>
  <c r="D2523" i="50"/>
  <c r="D2524" i="50"/>
  <c r="D2525" i="50"/>
  <c r="D2526" i="50"/>
  <c r="D2527" i="50"/>
  <c r="D2528" i="50"/>
  <c r="D2529" i="50"/>
  <c r="D2530" i="50"/>
  <c r="D2531" i="50"/>
  <c r="D2532" i="50"/>
  <c r="D2533" i="50"/>
  <c r="D2534" i="50"/>
  <c r="D2535" i="50"/>
  <c r="D2536" i="50"/>
  <c r="D2537" i="50"/>
  <c r="D2538" i="50"/>
  <c r="D2539" i="50"/>
  <c r="D2540" i="50"/>
  <c r="D2541" i="50"/>
  <c r="D2542" i="50"/>
  <c r="D2543" i="50"/>
  <c r="D2544" i="50"/>
  <c r="D2545" i="50"/>
  <c r="D2546" i="50"/>
  <c r="D2547" i="50"/>
  <c r="D2548" i="50"/>
  <c r="D2549" i="50"/>
  <c r="D2550" i="50"/>
  <c r="D2551" i="50"/>
  <c r="D2552" i="50"/>
  <c r="D2553" i="50"/>
  <c r="D2554" i="50"/>
  <c r="D2555" i="50"/>
  <c r="D2556" i="50"/>
  <c r="D2557" i="50"/>
  <c r="D2558" i="50"/>
  <c r="D2559" i="50"/>
  <c r="D2560" i="50"/>
  <c r="D2561" i="50"/>
  <c r="D2562" i="50"/>
  <c r="D2563" i="50"/>
  <c r="D2564" i="50"/>
  <c r="D2565" i="50"/>
  <c r="D2566" i="50"/>
  <c r="D2567" i="50"/>
  <c r="D2568" i="50"/>
  <c r="D2569" i="50"/>
  <c r="D2570" i="50"/>
  <c r="D2571" i="50"/>
  <c r="D2572" i="50"/>
  <c r="D2573" i="50"/>
  <c r="D2574" i="50"/>
  <c r="D2575" i="50"/>
  <c r="D2576" i="50"/>
  <c r="D2577" i="50"/>
  <c r="D2578" i="50"/>
  <c r="D2579" i="50"/>
  <c r="D2580" i="50"/>
  <c r="D2581" i="50"/>
  <c r="D2582" i="50"/>
  <c r="D2583" i="50"/>
  <c r="D2584" i="50"/>
  <c r="D2585" i="50"/>
  <c r="D2586" i="50"/>
  <c r="D2587" i="50"/>
  <c r="D2588" i="50"/>
  <c r="D2589" i="50"/>
  <c r="D2590" i="50"/>
  <c r="D2591" i="50"/>
  <c r="D2592" i="50"/>
  <c r="D2593" i="50"/>
  <c r="D2594" i="50"/>
  <c r="D2595" i="50"/>
  <c r="D2596" i="50"/>
  <c r="D2597" i="50"/>
  <c r="D2598" i="50"/>
  <c r="D2599" i="50"/>
  <c r="D2600" i="50"/>
  <c r="D2601" i="50"/>
  <c r="D2602" i="50"/>
  <c r="D2603" i="50"/>
  <c r="D2604" i="50"/>
  <c r="D2605" i="50"/>
  <c r="D2606" i="50"/>
  <c r="D2607" i="50"/>
  <c r="D2608" i="50"/>
  <c r="D2609" i="50"/>
  <c r="D2610" i="50"/>
  <c r="D2611" i="50"/>
  <c r="D2612" i="50"/>
  <c r="D2613" i="50"/>
  <c r="D2614" i="50"/>
  <c r="D2615" i="50"/>
  <c r="D2616" i="50"/>
  <c r="D2617" i="50"/>
  <c r="D2618" i="50"/>
  <c r="D2619" i="50"/>
  <c r="D2620" i="50"/>
  <c r="D2621" i="50"/>
  <c r="D2622" i="50"/>
  <c r="D2623" i="50"/>
  <c r="D2624" i="50"/>
  <c r="D2625" i="50"/>
  <c r="D2626" i="50"/>
  <c r="D2627" i="50"/>
  <c r="D2628" i="50"/>
  <c r="D2629" i="50"/>
  <c r="D2630" i="50"/>
  <c r="D2631" i="50"/>
  <c r="D2632" i="50"/>
  <c r="D2633" i="50"/>
  <c r="D2634" i="50"/>
  <c r="D2635" i="50"/>
  <c r="D2636" i="50"/>
  <c r="D2637" i="50"/>
  <c r="D2638" i="50"/>
  <c r="D2639" i="50"/>
  <c r="D2640" i="50"/>
  <c r="D2641" i="50"/>
  <c r="D2642" i="50"/>
  <c r="D2643" i="50"/>
  <c r="D2644" i="50"/>
  <c r="D2645" i="50"/>
  <c r="D2646" i="50"/>
  <c r="D2647" i="50"/>
  <c r="D2648" i="50"/>
  <c r="D2649" i="50"/>
  <c r="D2650" i="50"/>
  <c r="D2651" i="50"/>
  <c r="D2652" i="50"/>
  <c r="D2653" i="50"/>
  <c r="D2654" i="50"/>
  <c r="D2655" i="50"/>
  <c r="D2656" i="50"/>
  <c r="D2657" i="50"/>
  <c r="D2658" i="50"/>
  <c r="D2659" i="50"/>
  <c r="D2660" i="50"/>
  <c r="D2661" i="50"/>
  <c r="D2662" i="50"/>
  <c r="D2663" i="50"/>
  <c r="D2664" i="50"/>
  <c r="D2665" i="50"/>
  <c r="D2666" i="50"/>
  <c r="D2667" i="50"/>
  <c r="D2668" i="50"/>
  <c r="D2669" i="50"/>
  <c r="D2670" i="50"/>
  <c r="D2671" i="50"/>
  <c r="D2672" i="50"/>
  <c r="D2673" i="50"/>
  <c r="D2674" i="50"/>
  <c r="D2675" i="50"/>
  <c r="D2676" i="50"/>
  <c r="D2677" i="50"/>
  <c r="D2678" i="50"/>
  <c r="D2679" i="50"/>
  <c r="D2680" i="50"/>
  <c r="D2681" i="50"/>
  <c r="D2682" i="50"/>
  <c r="D2683" i="50"/>
  <c r="D2684" i="50"/>
  <c r="D2685" i="50"/>
  <c r="D2686" i="50"/>
  <c r="D2687" i="50"/>
  <c r="D2688" i="50"/>
  <c r="D2689" i="50"/>
  <c r="D2690" i="50"/>
  <c r="D2691" i="50"/>
  <c r="D2692" i="50"/>
  <c r="D2693" i="50"/>
  <c r="D2694" i="50"/>
  <c r="D2695" i="50"/>
  <c r="D2696" i="50"/>
  <c r="D2697" i="50"/>
  <c r="D2698" i="50"/>
  <c r="D2699" i="50"/>
  <c r="D2700" i="50"/>
  <c r="D2701" i="50"/>
  <c r="D2702" i="50"/>
  <c r="D2703" i="50"/>
  <c r="D2704" i="50"/>
  <c r="D2705" i="50"/>
  <c r="D2706" i="50"/>
  <c r="D2707" i="50"/>
  <c r="D2708" i="50"/>
  <c r="D2709" i="50"/>
  <c r="D2710" i="50"/>
  <c r="D2711" i="50"/>
  <c r="D2712" i="50"/>
  <c r="D2713" i="50"/>
  <c r="D2714" i="50"/>
  <c r="D2715" i="50"/>
  <c r="D2716" i="50"/>
  <c r="D2717" i="50"/>
  <c r="D2718" i="50"/>
  <c r="D2719" i="50"/>
  <c r="D2720" i="50"/>
  <c r="D2721" i="50"/>
  <c r="D2722" i="50"/>
  <c r="D2723" i="50"/>
  <c r="D2724" i="50"/>
  <c r="D2725" i="50"/>
  <c r="D2726" i="50"/>
  <c r="D2727" i="50"/>
  <c r="D2728" i="50"/>
  <c r="D2729" i="50"/>
  <c r="D2730" i="50"/>
  <c r="D2731" i="50"/>
  <c r="D2732" i="50"/>
  <c r="D2733" i="50"/>
  <c r="D2734" i="50"/>
  <c r="D2735" i="50"/>
  <c r="D2736" i="50"/>
  <c r="D2737" i="50"/>
  <c r="D2738" i="50"/>
  <c r="D2739" i="50"/>
  <c r="D2740" i="50"/>
  <c r="D2741" i="50"/>
  <c r="D2742" i="50"/>
  <c r="D2743" i="50"/>
  <c r="D2744" i="50"/>
  <c r="D2745" i="50"/>
  <c r="D2746" i="50"/>
  <c r="D2747" i="50"/>
  <c r="D2748" i="50"/>
  <c r="D2749" i="50"/>
  <c r="D2750" i="50"/>
  <c r="D2751" i="50"/>
  <c r="D2752" i="50"/>
  <c r="D2753" i="50"/>
  <c r="D2754" i="50"/>
  <c r="D2755" i="50"/>
  <c r="D2756" i="50"/>
  <c r="D2757" i="50"/>
  <c r="D2758" i="50"/>
  <c r="D2759" i="50"/>
  <c r="D2760" i="50"/>
  <c r="D2761" i="50"/>
  <c r="D2762" i="50"/>
  <c r="D2763" i="50"/>
  <c r="D2764" i="50"/>
  <c r="D2765" i="50"/>
  <c r="D2766" i="50"/>
  <c r="D2767" i="50"/>
  <c r="D2768" i="50"/>
  <c r="D2769" i="50"/>
  <c r="D2770" i="50"/>
  <c r="D2771" i="50"/>
  <c r="D2772" i="50"/>
  <c r="D2773" i="50"/>
  <c r="D2774" i="50"/>
  <c r="D2775" i="50"/>
  <c r="D2776" i="50"/>
  <c r="D2777" i="50"/>
  <c r="D2778" i="50"/>
  <c r="D2779" i="50"/>
  <c r="D2780" i="50"/>
  <c r="D2781" i="50"/>
  <c r="D2782" i="50"/>
  <c r="D2783" i="50"/>
  <c r="D2784" i="50"/>
  <c r="D2785" i="50"/>
  <c r="D2786" i="50"/>
  <c r="D2787" i="50"/>
  <c r="D2788" i="50"/>
  <c r="D2789" i="50"/>
  <c r="D2790" i="50"/>
  <c r="D2791" i="50"/>
  <c r="D2792" i="50"/>
  <c r="D2793" i="50"/>
  <c r="D2794" i="50"/>
  <c r="D2795" i="50"/>
  <c r="D2796" i="50"/>
  <c r="D2797" i="50"/>
  <c r="D2798" i="50"/>
  <c r="D2799" i="50"/>
  <c r="D2800" i="50"/>
  <c r="D2801" i="50"/>
  <c r="D2802" i="50"/>
  <c r="D2803" i="50"/>
  <c r="D2804" i="50"/>
  <c r="D2805" i="50"/>
  <c r="D2806" i="50"/>
  <c r="D2807" i="50"/>
  <c r="D2808" i="50"/>
  <c r="D2809" i="50"/>
  <c r="D2810" i="50"/>
  <c r="D2811" i="50"/>
  <c r="D2812" i="50"/>
  <c r="D2813" i="50"/>
  <c r="D2814" i="50"/>
  <c r="D2815" i="50"/>
  <c r="D2816" i="50"/>
  <c r="D2817" i="50"/>
  <c r="D2818" i="50"/>
  <c r="D2819" i="50"/>
  <c r="D2820" i="50"/>
  <c r="D2821" i="50"/>
  <c r="D2822" i="50"/>
  <c r="D2823" i="50"/>
  <c r="D2824" i="50"/>
  <c r="D2825" i="50"/>
  <c r="D2826" i="50"/>
  <c r="D2827" i="50"/>
  <c r="D2828" i="50"/>
  <c r="D2829" i="50"/>
  <c r="D2830" i="50"/>
  <c r="D2831" i="50"/>
  <c r="D2832" i="50"/>
  <c r="D2833" i="50"/>
  <c r="D2834" i="50"/>
  <c r="D2835" i="50"/>
  <c r="D2836" i="50"/>
  <c r="D2837" i="50"/>
  <c r="D2838" i="50"/>
  <c r="D2839" i="50"/>
  <c r="D2840" i="50"/>
  <c r="D2841" i="50"/>
  <c r="D2842" i="50"/>
  <c r="D2843" i="50"/>
  <c r="D2844" i="50"/>
  <c r="D2845" i="50"/>
  <c r="D2846" i="50"/>
  <c r="D2847" i="50"/>
  <c r="D2848" i="50"/>
  <c r="D2849" i="50"/>
  <c r="D2850" i="50"/>
  <c r="D2851" i="50"/>
  <c r="D2852" i="50"/>
  <c r="D2853" i="50"/>
  <c r="D2854" i="50"/>
  <c r="D2855" i="50"/>
  <c r="D2856" i="50"/>
  <c r="D2857" i="50"/>
  <c r="D2858" i="50"/>
  <c r="D2859" i="50"/>
  <c r="D2860" i="50"/>
  <c r="D2861" i="50"/>
  <c r="D2862" i="50"/>
  <c r="D2863" i="50"/>
  <c r="D2864" i="50"/>
  <c r="D2865" i="50"/>
  <c r="D2866" i="50"/>
  <c r="D2867" i="50"/>
  <c r="D2868" i="50"/>
  <c r="D2869" i="50"/>
  <c r="D2870" i="50"/>
  <c r="D2871" i="50"/>
  <c r="D2872" i="50"/>
  <c r="D2873" i="50"/>
  <c r="D2874" i="50"/>
  <c r="D2875" i="50"/>
  <c r="D2876" i="50"/>
  <c r="D2877" i="50"/>
  <c r="D2878" i="50"/>
  <c r="D2879" i="50"/>
  <c r="D2880" i="50"/>
  <c r="D2881" i="50"/>
  <c r="D2882" i="50"/>
  <c r="D2883" i="50"/>
  <c r="D2884" i="50"/>
  <c r="D2885" i="50"/>
  <c r="D2886" i="50"/>
  <c r="D2887" i="50"/>
  <c r="D2888" i="50"/>
  <c r="D2889" i="50"/>
  <c r="D2890" i="50"/>
  <c r="D2891" i="50"/>
  <c r="D2892" i="50"/>
  <c r="D2893" i="50"/>
  <c r="D2894" i="50"/>
  <c r="D2895" i="50"/>
  <c r="D2896" i="50"/>
  <c r="D2897" i="50"/>
  <c r="D2898" i="50"/>
  <c r="D2899" i="50"/>
  <c r="D2900" i="50"/>
  <c r="D2901" i="50"/>
  <c r="D2902" i="50"/>
  <c r="D2903" i="50"/>
  <c r="D2904" i="50"/>
  <c r="D2905" i="50"/>
  <c r="D2906" i="50"/>
  <c r="D2907" i="50"/>
  <c r="D2908" i="50"/>
  <c r="D2909" i="50"/>
  <c r="D2910" i="50"/>
  <c r="D2911" i="50"/>
  <c r="D2912" i="50"/>
  <c r="D2913" i="50"/>
  <c r="D2914" i="50"/>
  <c r="D2915" i="50"/>
  <c r="D2916" i="50"/>
  <c r="D2917" i="50"/>
  <c r="D2918" i="50"/>
  <c r="D2919" i="50"/>
  <c r="D2920" i="50"/>
  <c r="D2921" i="50"/>
  <c r="D2922" i="50"/>
  <c r="D2923" i="50"/>
  <c r="D2924" i="50"/>
  <c r="D2925" i="50"/>
  <c r="D2926" i="50"/>
  <c r="D2927" i="50"/>
  <c r="D2928" i="50"/>
  <c r="D2929" i="50"/>
  <c r="D2930" i="50"/>
  <c r="D2931" i="50"/>
  <c r="D2932" i="50"/>
  <c r="D2933" i="50"/>
  <c r="D2934" i="50"/>
  <c r="D2935" i="50"/>
  <c r="D2936" i="50"/>
  <c r="D2937" i="50"/>
  <c r="D2938" i="50"/>
  <c r="D2939" i="50"/>
  <c r="D2940" i="50"/>
  <c r="D2941" i="50"/>
  <c r="D2942" i="50"/>
  <c r="D2943" i="50"/>
  <c r="D2944" i="50"/>
  <c r="D2945" i="50"/>
  <c r="D2946" i="50"/>
  <c r="D2947" i="50"/>
  <c r="D2948" i="50"/>
  <c r="D2949" i="50"/>
  <c r="D2950" i="50"/>
  <c r="D2951" i="50"/>
  <c r="D2952" i="50"/>
  <c r="D2953" i="50"/>
  <c r="D2954" i="50"/>
  <c r="D2955" i="50"/>
  <c r="D2956" i="50"/>
  <c r="D2957" i="50"/>
  <c r="D2958" i="50"/>
  <c r="D2959" i="50"/>
  <c r="D2960" i="50"/>
  <c r="D2961" i="50"/>
  <c r="D2962" i="50"/>
  <c r="D2963" i="50"/>
  <c r="D2964" i="50"/>
  <c r="D2965" i="50"/>
  <c r="D2966" i="50"/>
  <c r="D2967" i="50"/>
  <c r="D2968" i="50"/>
  <c r="D2969" i="50"/>
  <c r="D2970" i="50"/>
  <c r="D2971" i="50"/>
  <c r="D2972" i="50"/>
  <c r="D2973" i="50"/>
  <c r="D2974" i="50"/>
  <c r="D2975" i="50"/>
  <c r="D2976" i="50"/>
  <c r="D2977" i="50"/>
  <c r="D2978" i="50"/>
  <c r="D2979" i="50"/>
  <c r="D2980" i="50"/>
  <c r="D2981" i="50"/>
  <c r="D2982" i="50"/>
  <c r="D2983" i="50"/>
  <c r="D2984" i="50"/>
  <c r="D2985" i="50"/>
  <c r="D2986" i="50"/>
  <c r="D2987" i="50"/>
  <c r="D2988" i="50"/>
  <c r="D2989" i="50"/>
  <c r="D2990" i="50"/>
  <c r="D2991" i="50"/>
  <c r="D2992" i="50"/>
  <c r="D2993" i="50"/>
  <c r="D2994" i="50"/>
  <c r="D2995" i="50"/>
  <c r="D2996" i="50"/>
  <c r="D2997" i="50"/>
  <c r="D2998" i="50"/>
  <c r="D2999" i="50"/>
  <c r="D3000" i="50"/>
  <c r="D3001" i="50"/>
  <c r="D3002" i="50"/>
  <c r="D3003" i="50"/>
  <c r="D3004" i="50"/>
  <c r="D3005" i="50"/>
  <c r="D3006" i="50"/>
  <c r="D3007" i="50"/>
  <c r="D3008" i="50"/>
  <c r="D3009" i="50"/>
  <c r="D3010" i="50"/>
  <c r="D3011" i="50"/>
  <c r="D3012" i="50"/>
  <c r="D3013" i="50"/>
  <c r="D3014" i="50"/>
  <c r="D3015" i="50"/>
  <c r="D3016" i="50"/>
  <c r="D3017" i="50"/>
  <c r="D3018" i="50"/>
  <c r="D3019" i="50"/>
  <c r="D3020" i="50"/>
  <c r="D3021" i="50"/>
  <c r="D3022" i="50"/>
  <c r="D3023" i="50"/>
  <c r="D3024" i="50"/>
  <c r="D3025" i="50"/>
  <c r="D3026" i="50"/>
  <c r="D3027" i="50"/>
  <c r="D3028" i="50"/>
  <c r="D3029" i="50"/>
  <c r="D3030" i="50"/>
  <c r="D3031" i="50"/>
  <c r="D3032" i="50"/>
  <c r="D3033" i="50"/>
  <c r="D3034" i="50"/>
  <c r="D3035" i="50"/>
  <c r="D3036" i="50"/>
  <c r="D3037" i="50"/>
  <c r="D3038" i="50"/>
  <c r="D3039" i="50"/>
  <c r="D3040" i="50"/>
  <c r="D3041" i="50"/>
  <c r="D3042" i="50"/>
  <c r="D3043" i="50"/>
  <c r="D3044" i="50"/>
  <c r="D3045" i="50"/>
  <c r="D3046" i="50"/>
  <c r="D3047" i="50"/>
  <c r="D3048" i="50"/>
  <c r="D3049" i="50"/>
  <c r="D3050" i="50"/>
  <c r="D3051" i="50"/>
  <c r="D3052" i="50"/>
  <c r="D3053" i="50"/>
  <c r="D3054" i="50"/>
  <c r="D3055" i="50"/>
  <c r="D3056" i="50"/>
  <c r="D3057" i="50"/>
  <c r="D3058" i="50"/>
  <c r="D3059" i="50"/>
  <c r="D3060" i="50"/>
  <c r="D3061" i="50"/>
  <c r="D3062" i="50"/>
  <c r="D3063" i="50"/>
  <c r="D3064" i="50"/>
  <c r="D3065" i="50"/>
  <c r="D3066" i="50"/>
  <c r="D3067" i="50"/>
  <c r="D3068" i="50"/>
  <c r="D3069" i="50"/>
  <c r="D3070" i="50"/>
  <c r="D3071" i="50"/>
  <c r="D3072" i="50"/>
  <c r="D3073" i="50"/>
  <c r="D3074" i="50"/>
  <c r="D3075" i="50"/>
  <c r="D3076" i="50"/>
  <c r="D3077" i="50"/>
  <c r="D3078" i="50"/>
  <c r="D3079" i="50"/>
  <c r="D3080" i="50"/>
  <c r="D3081" i="50"/>
  <c r="D3082" i="50"/>
  <c r="D3083" i="50"/>
  <c r="D3084" i="50"/>
  <c r="D3085" i="50"/>
  <c r="D3086" i="50"/>
  <c r="D3087" i="50"/>
  <c r="D3088" i="50"/>
  <c r="D3089" i="50"/>
  <c r="D3090" i="50"/>
  <c r="D3091" i="50"/>
  <c r="D3092" i="50"/>
  <c r="D3093" i="50"/>
  <c r="D3094" i="50"/>
  <c r="D3095" i="50"/>
  <c r="D3096" i="50"/>
  <c r="D3097" i="50"/>
  <c r="D3098" i="50"/>
  <c r="D3099" i="50"/>
  <c r="D3100" i="50"/>
  <c r="D3101" i="50"/>
  <c r="D3102" i="50"/>
  <c r="D3103" i="50"/>
  <c r="D3104" i="50"/>
  <c r="D3105" i="50"/>
  <c r="D3106" i="50"/>
  <c r="D3107" i="50"/>
  <c r="D3108" i="50"/>
  <c r="D3109" i="50"/>
  <c r="D3110" i="50"/>
  <c r="D3111" i="50"/>
  <c r="D3112" i="50"/>
  <c r="D3113" i="50"/>
  <c r="D3114" i="50"/>
  <c r="D3115" i="50"/>
  <c r="D3116" i="50"/>
  <c r="D3117" i="50"/>
  <c r="D3118" i="50"/>
  <c r="D3119" i="50"/>
  <c r="D3120" i="50"/>
  <c r="D3121" i="50"/>
  <c r="D3122" i="50"/>
  <c r="D3123" i="50"/>
  <c r="D3124" i="50"/>
  <c r="D3125" i="50"/>
  <c r="D3126" i="50"/>
  <c r="D3127" i="50"/>
  <c r="D3128" i="50"/>
  <c r="D3129" i="50"/>
  <c r="D3130" i="50"/>
  <c r="D3131" i="50"/>
  <c r="D3132" i="50"/>
  <c r="D3133" i="50"/>
  <c r="D3134" i="50"/>
  <c r="D3135" i="50"/>
  <c r="D3136" i="50"/>
  <c r="D3137" i="50"/>
  <c r="D3138" i="50"/>
  <c r="D3139" i="50"/>
  <c r="D3140" i="50"/>
  <c r="D3141" i="50"/>
  <c r="D3142" i="50"/>
  <c r="D3143" i="50"/>
  <c r="D3144" i="50"/>
  <c r="D3145" i="50"/>
  <c r="D3146" i="50"/>
  <c r="D3147" i="50"/>
  <c r="D3148" i="50"/>
  <c r="D3149" i="50"/>
  <c r="D3150" i="50"/>
  <c r="D3151" i="50"/>
  <c r="D3152" i="50"/>
  <c r="D3153" i="50"/>
  <c r="D3154" i="50"/>
  <c r="D3155" i="50"/>
  <c r="D3156" i="50"/>
  <c r="D3157" i="50"/>
  <c r="D3158" i="50"/>
  <c r="D3159" i="50"/>
  <c r="D3160" i="50"/>
  <c r="D3161" i="50"/>
  <c r="D3162" i="50"/>
  <c r="D3163" i="50"/>
  <c r="D3164" i="50"/>
  <c r="D3165" i="50"/>
  <c r="D3166" i="50"/>
  <c r="D3167" i="50"/>
  <c r="D3168" i="50"/>
  <c r="D3169" i="50"/>
  <c r="D3170" i="50"/>
  <c r="D3171" i="50"/>
  <c r="D3172" i="50"/>
  <c r="D3173" i="50"/>
  <c r="D3174" i="50"/>
  <c r="D3175" i="50"/>
  <c r="D3176" i="50"/>
  <c r="D3177" i="50"/>
  <c r="D3178" i="50"/>
  <c r="D3179" i="50"/>
  <c r="D3180" i="50"/>
  <c r="D3181" i="50"/>
  <c r="D3182" i="50"/>
  <c r="D3183" i="50"/>
  <c r="D3184" i="50"/>
  <c r="D3185" i="50"/>
  <c r="D3186" i="50"/>
  <c r="D3187" i="50"/>
  <c r="D3188" i="50"/>
  <c r="D3189" i="50"/>
  <c r="D3190" i="50"/>
  <c r="D3191" i="50"/>
  <c r="D3192" i="50"/>
  <c r="D3193" i="50"/>
  <c r="D3194" i="50"/>
  <c r="D3195" i="50"/>
  <c r="D3196" i="50"/>
  <c r="D3197" i="50"/>
  <c r="D3198" i="50"/>
  <c r="D3199" i="50"/>
  <c r="D3200" i="50"/>
  <c r="D3201" i="50"/>
  <c r="D3202" i="50"/>
  <c r="D3203" i="50"/>
  <c r="D3204" i="50"/>
  <c r="D3205" i="50"/>
  <c r="D3206" i="50"/>
  <c r="D3207" i="50"/>
  <c r="D3208" i="50"/>
  <c r="D3209" i="50"/>
  <c r="D3210" i="50"/>
  <c r="D3211" i="50"/>
  <c r="D3212" i="50"/>
  <c r="D3213" i="50"/>
  <c r="D3214" i="50"/>
  <c r="D3215" i="50"/>
  <c r="D3216" i="50"/>
  <c r="D3217" i="50"/>
  <c r="D3218" i="50"/>
  <c r="D3219" i="50"/>
  <c r="D3220" i="50"/>
  <c r="D3221" i="50"/>
  <c r="D3222" i="50"/>
  <c r="D3223" i="50"/>
  <c r="D3224" i="50"/>
  <c r="D3225" i="50"/>
  <c r="D3226" i="50"/>
  <c r="D3227" i="50"/>
  <c r="D3228" i="50"/>
  <c r="D3229" i="50"/>
  <c r="D3230" i="50"/>
  <c r="D3231" i="50"/>
  <c r="D3232" i="50"/>
  <c r="D3233" i="50"/>
  <c r="D3234" i="50"/>
  <c r="D3235" i="50"/>
  <c r="D3236" i="50"/>
  <c r="D3237" i="50"/>
  <c r="D3238" i="50"/>
  <c r="D3239" i="50"/>
  <c r="D3240" i="50"/>
  <c r="D3241" i="50"/>
  <c r="D3242" i="50"/>
  <c r="D3243" i="50"/>
  <c r="D3244" i="50"/>
  <c r="D3245" i="50"/>
  <c r="D3246" i="50"/>
  <c r="D3247" i="50"/>
  <c r="D3248" i="50"/>
  <c r="D3249" i="50"/>
  <c r="D3250" i="50"/>
  <c r="D3251" i="50"/>
  <c r="D3252" i="50"/>
  <c r="D3253" i="50"/>
  <c r="D3254" i="50"/>
  <c r="D3255" i="50"/>
  <c r="D3256" i="50"/>
  <c r="D3257" i="50"/>
  <c r="D3258" i="50"/>
  <c r="D3259" i="50"/>
  <c r="D3260" i="50"/>
  <c r="D3261" i="50"/>
  <c r="D3262" i="50"/>
  <c r="D3263" i="50"/>
  <c r="D3264" i="50"/>
  <c r="D3265" i="50"/>
  <c r="D3266" i="50"/>
  <c r="D3267" i="50"/>
  <c r="D3268" i="50"/>
  <c r="D3269" i="50"/>
  <c r="D3270" i="50"/>
  <c r="D3271" i="50"/>
  <c r="D3272" i="50"/>
  <c r="D3273" i="50"/>
  <c r="D3274" i="50"/>
  <c r="D3275" i="50"/>
  <c r="D3276" i="50"/>
  <c r="D3277" i="50"/>
  <c r="D3278" i="50"/>
  <c r="D3279" i="50"/>
  <c r="D3280" i="50"/>
  <c r="D3281" i="50"/>
  <c r="D3282" i="50"/>
  <c r="D3283" i="50"/>
  <c r="D3284" i="50"/>
  <c r="D3285" i="50"/>
  <c r="D3286" i="50"/>
  <c r="D3287" i="50"/>
  <c r="D3288" i="50"/>
  <c r="D3289" i="50"/>
  <c r="D3290" i="50"/>
  <c r="D3291" i="50"/>
  <c r="D3292" i="50"/>
  <c r="D3293" i="50"/>
  <c r="D3294" i="50"/>
  <c r="D3295" i="50"/>
  <c r="D3296" i="50"/>
  <c r="D3297" i="50"/>
  <c r="D3298" i="50"/>
  <c r="D3299" i="50"/>
  <c r="D3300" i="50"/>
  <c r="D3301" i="50"/>
  <c r="D3302" i="50"/>
  <c r="D3303" i="50"/>
  <c r="D3304" i="50"/>
  <c r="D3305" i="50"/>
  <c r="D3306" i="50"/>
  <c r="D3307" i="50"/>
  <c r="D3308" i="50"/>
  <c r="D3309" i="50"/>
  <c r="D3310" i="50"/>
  <c r="D3311" i="50"/>
  <c r="D3312" i="50"/>
  <c r="D3313" i="50"/>
  <c r="D3314" i="50"/>
  <c r="D3315" i="50"/>
  <c r="D3316" i="50"/>
  <c r="D3317" i="50"/>
  <c r="D3318" i="50"/>
  <c r="D3319" i="50"/>
  <c r="D3320" i="50"/>
  <c r="D3321" i="50"/>
  <c r="D3322" i="50"/>
  <c r="D3323" i="50"/>
  <c r="D3324" i="50"/>
  <c r="D3325" i="50"/>
  <c r="D3326" i="50"/>
  <c r="D3327" i="50"/>
  <c r="D3328" i="50"/>
  <c r="D3329" i="50"/>
  <c r="D3330" i="50"/>
  <c r="D3331" i="50"/>
  <c r="D3332" i="50"/>
  <c r="D3333" i="50"/>
  <c r="D3334" i="50"/>
  <c r="D3335" i="50"/>
  <c r="D3336" i="50"/>
  <c r="D3337" i="50"/>
  <c r="D3338" i="50"/>
  <c r="D3339" i="50"/>
  <c r="D3340" i="50"/>
  <c r="D3341" i="50"/>
  <c r="D3342" i="50"/>
  <c r="D3343" i="50"/>
  <c r="D3344" i="50"/>
  <c r="D3345" i="50"/>
  <c r="D3346" i="50"/>
  <c r="D3347" i="50"/>
  <c r="D3348" i="50"/>
  <c r="D3349" i="50"/>
  <c r="D3350" i="50"/>
  <c r="D3351" i="50"/>
  <c r="D3352" i="50"/>
  <c r="D3353" i="50"/>
  <c r="D3354" i="50"/>
  <c r="D3355" i="50"/>
  <c r="D3356" i="50"/>
  <c r="D3357" i="50"/>
  <c r="D3358" i="50"/>
  <c r="D3359" i="50"/>
  <c r="D3360" i="50"/>
  <c r="D3361" i="50"/>
  <c r="D3362" i="50"/>
  <c r="D3363" i="50"/>
  <c r="D3364" i="50"/>
  <c r="D3365" i="50"/>
  <c r="D3366" i="50"/>
  <c r="D3367" i="50"/>
  <c r="D3368" i="50"/>
  <c r="D3369" i="50"/>
  <c r="D3370" i="50"/>
  <c r="D3371" i="50"/>
  <c r="D3372" i="50"/>
  <c r="D3373" i="50"/>
  <c r="D3374" i="50"/>
  <c r="D3375" i="50"/>
  <c r="D3376" i="50"/>
  <c r="D3377" i="50"/>
  <c r="D3378" i="50"/>
  <c r="D3379" i="50"/>
  <c r="D3380" i="50"/>
  <c r="D3381" i="50"/>
  <c r="D3382" i="50"/>
  <c r="D3383" i="50"/>
  <c r="D3384" i="50"/>
  <c r="D3385" i="50"/>
  <c r="D3386" i="50"/>
  <c r="D3387" i="50"/>
  <c r="D3388" i="50"/>
  <c r="D3389" i="50"/>
  <c r="D3390" i="50"/>
  <c r="D3391" i="50"/>
  <c r="D3392" i="50"/>
  <c r="D3393" i="50"/>
  <c r="D3394" i="50"/>
  <c r="D3395" i="50"/>
  <c r="D3396" i="50"/>
  <c r="D3397" i="50"/>
  <c r="D3398" i="50"/>
  <c r="D3399" i="50"/>
  <c r="D3400" i="50"/>
  <c r="D3401" i="50"/>
  <c r="D3402" i="50"/>
  <c r="D3403" i="50"/>
  <c r="D3404" i="50"/>
  <c r="D3405" i="50"/>
  <c r="D3406" i="50"/>
  <c r="D3407" i="50"/>
  <c r="D3408" i="50"/>
  <c r="D3409" i="50"/>
  <c r="D3410" i="50"/>
  <c r="D3411" i="50"/>
  <c r="D3412" i="50"/>
  <c r="D3413" i="50"/>
  <c r="D3414" i="50"/>
  <c r="D3415" i="50"/>
  <c r="D3416" i="50"/>
  <c r="D3417" i="50"/>
  <c r="D3418" i="50"/>
  <c r="D3419" i="50"/>
  <c r="D3420" i="50"/>
  <c r="D3421" i="50"/>
  <c r="D3422" i="50"/>
  <c r="D3423" i="50"/>
  <c r="D3424" i="50"/>
  <c r="D3425" i="50"/>
  <c r="D3426" i="50"/>
  <c r="D3427" i="50"/>
  <c r="D3428" i="50"/>
  <c r="D3429" i="50"/>
  <c r="D3430" i="50"/>
  <c r="D3431" i="50"/>
  <c r="D3432" i="50"/>
  <c r="D3433" i="50"/>
  <c r="D3434" i="50"/>
  <c r="D3435" i="50"/>
  <c r="D3436" i="50"/>
  <c r="D3437" i="50"/>
  <c r="D3438" i="50"/>
  <c r="D3439" i="50"/>
  <c r="D3440" i="50"/>
  <c r="D3441" i="50"/>
  <c r="D3442" i="50"/>
  <c r="D3443" i="50"/>
  <c r="D3444" i="50"/>
  <c r="D3445" i="50"/>
  <c r="D3446" i="50"/>
  <c r="D3447" i="50"/>
  <c r="D3448" i="50"/>
  <c r="D3449" i="50"/>
  <c r="D3450" i="50"/>
  <c r="D3451" i="50"/>
  <c r="D3452" i="50"/>
  <c r="D3453" i="50"/>
  <c r="D3454" i="50"/>
  <c r="D3455" i="50"/>
  <c r="D3456" i="50"/>
  <c r="D3457" i="50"/>
  <c r="D3458" i="50"/>
  <c r="D3459" i="50"/>
  <c r="D3460" i="50"/>
  <c r="D3461" i="50"/>
  <c r="D3462" i="50"/>
  <c r="D3463" i="50"/>
  <c r="D3464" i="50"/>
  <c r="D3465" i="50"/>
  <c r="D3466" i="50"/>
  <c r="D3467" i="50"/>
  <c r="D3468" i="50"/>
  <c r="D3469" i="50"/>
  <c r="D3470" i="50"/>
  <c r="D3471" i="50"/>
  <c r="D3472" i="50"/>
  <c r="D3473" i="50"/>
  <c r="D3474" i="50"/>
  <c r="D3475" i="50"/>
  <c r="D3476" i="50"/>
  <c r="D3477" i="50"/>
  <c r="D3478" i="50"/>
  <c r="D3479" i="50"/>
  <c r="D3480" i="50"/>
  <c r="D3481" i="50"/>
  <c r="D3482" i="50"/>
  <c r="D3483" i="50"/>
  <c r="D3484" i="50"/>
  <c r="D3485" i="50"/>
  <c r="D3486" i="50"/>
  <c r="D3487" i="50"/>
  <c r="D3488" i="50"/>
  <c r="D3489" i="50"/>
  <c r="D3490" i="50"/>
  <c r="D3491" i="50"/>
  <c r="D3492" i="50"/>
  <c r="D3493" i="50"/>
  <c r="D3494" i="50"/>
  <c r="D3495" i="50"/>
  <c r="D3496" i="50"/>
  <c r="D3497" i="50"/>
  <c r="D3498" i="50"/>
  <c r="D3499" i="50"/>
  <c r="D3500" i="50"/>
  <c r="D3501" i="50"/>
  <c r="D3502" i="50"/>
  <c r="D3503" i="50"/>
  <c r="D3504" i="50"/>
  <c r="D3505" i="50"/>
  <c r="D3506" i="50"/>
  <c r="D3507" i="50"/>
  <c r="D3508" i="50"/>
  <c r="D3509" i="50"/>
  <c r="D3510" i="50"/>
  <c r="D3511" i="50"/>
  <c r="D3512" i="50"/>
  <c r="D3513" i="50"/>
  <c r="D3514" i="50"/>
  <c r="D3515" i="50"/>
  <c r="D3516" i="50"/>
  <c r="D3517" i="50"/>
  <c r="D3518" i="50"/>
  <c r="D3519" i="50"/>
  <c r="D3520" i="50"/>
  <c r="D3521" i="50"/>
  <c r="D3522" i="50"/>
  <c r="D3523" i="50"/>
  <c r="D3524" i="50"/>
  <c r="D3525" i="50"/>
  <c r="D3526" i="50"/>
  <c r="D3527" i="50"/>
  <c r="D3528" i="50"/>
  <c r="D3529" i="50"/>
  <c r="D3530" i="50"/>
  <c r="D3531" i="50"/>
  <c r="D3532" i="50"/>
  <c r="D3533" i="50"/>
  <c r="D3534" i="50"/>
  <c r="D3535" i="50"/>
  <c r="D3536" i="50"/>
  <c r="D3537" i="50"/>
  <c r="D3538" i="50"/>
  <c r="D3539" i="50"/>
  <c r="D3540" i="50"/>
  <c r="D3541" i="50"/>
  <c r="D3542" i="50"/>
  <c r="D3543" i="50"/>
  <c r="D3544" i="50"/>
  <c r="D3545" i="50"/>
  <c r="D3546" i="50"/>
  <c r="D3547" i="50"/>
  <c r="D3548" i="50"/>
  <c r="D3549" i="50"/>
  <c r="D3550" i="50"/>
  <c r="D3551" i="50"/>
  <c r="D3552" i="50"/>
  <c r="D3553" i="50"/>
  <c r="D3554" i="50"/>
  <c r="D3555" i="50"/>
  <c r="D3556" i="50"/>
  <c r="D3557" i="50"/>
  <c r="D3558" i="50"/>
  <c r="D3559" i="50"/>
  <c r="D3560" i="50"/>
  <c r="D3561" i="50"/>
  <c r="D3562" i="50"/>
  <c r="D3563" i="50"/>
  <c r="D3564" i="50"/>
  <c r="D3565" i="50"/>
  <c r="D3566" i="50"/>
  <c r="D3567" i="50"/>
  <c r="D3568" i="50"/>
  <c r="D3569" i="50"/>
  <c r="D3570" i="50"/>
  <c r="D3571" i="50"/>
  <c r="D3572" i="50"/>
  <c r="D3573" i="50"/>
  <c r="D3574" i="50"/>
  <c r="D3575" i="50"/>
  <c r="D3576" i="50"/>
  <c r="D3577" i="50"/>
  <c r="D3578" i="50"/>
  <c r="D3579" i="50"/>
  <c r="D3580" i="50"/>
  <c r="D3581" i="50"/>
  <c r="D3582" i="50"/>
  <c r="D3583" i="50"/>
  <c r="D3584" i="50"/>
  <c r="D3585" i="50"/>
  <c r="D3586" i="50"/>
  <c r="D3587" i="50"/>
  <c r="D3588" i="50"/>
  <c r="D3589" i="50"/>
  <c r="D3590" i="50"/>
  <c r="D3591" i="50"/>
  <c r="D3592" i="50"/>
  <c r="D3593" i="50"/>
  <c r="D3594" i="50"/>
  <c r="D3595" i="50"/>
  <c r="D3596" i="50"/>
  <c r="D3597" i="50"/>
  <c r="D3598" i="50"/>
  <c r="D3599" i="50"/>
  <c r="D3600" i="50"/>
  <c r="D3601" i="50"/>
  <c r="D3602" i="50"/>
  <c r="D3603" i="50"/>
  <c r="D3604" i="50"/>
  <c r="D3605" i="50"/>
  <c r="D3606" i="50"/>
  <c r="D3607" i="50"/>
  <c r="D3608" i="50"/>
  <c r="D3609" i="50"/>
  <c r="D3610" i="50"/>
  <c r="D3611" i="50"/>
  <c r="D3612" i="50"/>
  <c r="D3613" i="50"/>
  <c r="D3614" i="50"/>
  <c r="D3615" i="50"/>
  <c r="D3616" i="50"/>
  <c r="D3617" i="50"/>
  <c r="D3618" i="50"/>
  <c r="D3619" i="50"/>
  <c r="D3620" i="50"/>
  <c r="D3621" i="50"/>
  <c r="D3622" i="50"/>
  <c r="D3623" i="50"/>
  <c r="D3624" i="50"/>
  <c r="D3625" i="50"/>
  <c r="D3626" i="50"/>
  <c r="D3627" i="50"/>
  <c r="D3628" i="50"/>
  <c r="D3629" i="50"/>
  <c r="D3630" i="50"/>
  <c r="D3631" i="50"/>
  <c r="D3632" i="50"/>
  <c r="D3633" i="50"/>
  <c r="D3634" i="50"/>
  <c r="D3635" i="50"/>
  <c r="D3636" i="50"/>
  <c r="D3637" i="50"/>
  <c r="D3638" i="50"/>
  <c r="D3639" i="50"/>
  <c r="D3640" i="50"/>
  <c r="D3641" i="50"/>
  <c r="D3642" i="50"/>
  <c r="D3643" i="50"/>
  <c r="D3644" i="50"/>
  <c r="D3645" i="50"/>
  <c r="D3646" i="50"/>
  <c r="D3647" i="50"/>
  <c r="D3648" i="50"/>
  <c r="D3649" i="50"/>
  <c r="D3650" i="50"/>
  <c r="D3651" i="50"/>
  <c r="D3652" i="50"/>
  <c r="D3653" i="50"/>
  <c r="D3654" i="50"/>
  <c r="D3655" i="50"/>
  <c r="D3656" i="50"/>
  <c r="D3657" i="50"/>
  <c r="D3658" i="50"/>
  <c r="D3659" i="50"/>
  <c r="D3660" i="50"/>
  <c r="D3661" i="50"/>
  <c r="D3662" i="50"/>
  <c r="D3663" i="50"/>
  <c r="D3664" i="50"/>
  <c r="D3665" i="50"/>
  <c r="D3666" i="50"/>
  <c r="D3667" i="50"/>
  <c r="D3668" i="50"/>
  <c r="D3669" i="50"/>
  <c r="D3670" i="50"/>
  <c r="D3671" i="50"/>
  <c r="D3672" i="50"/>
  <c r="D3673" i="50"/>
  <c r="D3674" i="50"/>
  <c r="D3675" i="50"/>
  <c r="D3676" i="50"/>
  <c r="D3677" i="50"/>
  <c r="D3678" i="50"/>
  <c r="D3679" i="50"/>
  <c r="D3680" i="50"/>
  <c r="D3681" i="50"/>
  <c r="D3682" i="50"/>
  <c r="D3683" i="50"/>
  <c r="D3684" i="50"/>
  <c r="D3685" i="50"/>
  <c r="D3686" i="50"/>
  <c r="D3687" i="50"/>
  <c r="D3688" i="50"/>
  <c r="D3689" i="50"/>
  <c r="D3690" i="50"/>
  <c r="D3691" i="50"/>
  <c r="D3692" i="50"/>
  <c r="D3693" i="50"/>
  <c r="D3694" i="50"/>
  <c r="D3695" i="50"/>
  <c r="D3696" i="50"/>
  <c r="D3697" i="50"/>
  <c r="D3698" i="50"/>
  <c r="D3699" i="50"/>
  <c r="D3700" i="50"/>
  <c r="D3701" i="50"/>
  <c r="D3702" i="50"/>
  <c r="D3703" i="50"/>
  <c r="D3704" i="50"/>
  <c r="D3705" i="50"/>
  <c r="D3706" i="50"/>
  <c r="D3707" i="50"/>
  <c r="D3708" i="50"/>
  <c r="D3709" i="50"/>
  <c r="D3710" i="50"/>
  <c r="D3711" i="50"/>
  <c r="D3712" i="50"/>
  <c r="D3713" i="50"/>
  <c r="D3714" i="50"/>
  <c r="D3715" i="50"/>
  <c r="D3716" i="50"/>
  <c r="D3717" i="50"/>
  <c r="D3718" i="50"/>
  <c r="D3719" i="50"/>
  <c r="D3720" i="50"/>
  <c r="D3721" i="50"/>
  <c r="D3722" i="50"/>
  <c r="D3723" i="50"/>
  <c r="D3724" i="50"/>
  <c r="D3725" i="50"/>
  <c r="D3726" i="50"/>
  <c r="D3727" i="50"/>
  <c r="D3728" i="50"/>
  <c r="D3729" i="50"/>
  <c r="D3730" i="50"/>
  <c r="D3731" i="50"/>
  <c r="D3732" i="50"/>
  <c r="D3733" i="50"/>
  <c r="D3734" i="50"/>
  <c r="D3735" i="50"/>
  <c r="D3736" i="50"/>
  <c r="D3737" i="50"/>
  <c r="D3738" i="50"/>
  <c r="D3739" i="50"/>
  <c r="D3740" i="50"/>
  <c r="D3741" i="50"/>
  <c r="D3742" i="50"/>
  <c r="D3743" i="50"/>
  <c r="D3744" i="50"/>
  <c r="D3745" i="50"/>
  <c r="D3746" i="50"/>
  <c r="D3747" i="50"/>
  <c r="D3748" i="50"/>
  <c r="D3749" i="50"/>
  <c r="D3750" i="50"/>
  <c r="D3751" i="50"/>
  <c r="D3752" i="50"/>
  <c r="D3753" i="50"/>
  <c r="D3754" i="50"/>
  <c r="D3755" i="50"/>
  <c r="D3756" i="50"/>
  <c r="D3757" i="50"/>
  <c r="D3758" i="50"/>
  <c r="D3759" i="50"/>
  <c r="D3760" i="50"/>
  <c r="D3761" i="50"/>
  <c r="D3762" i="50"/>
  <c r="D3763" i="50"/>
  <c r="D3764" i="50"/>
  <c r="D3765" i="50"/>
  <c r="D3766" i="50"/>
  <c r="D3767" i="50"/>
  <c r="D3768" i="50"/>
  <c r="D3769" i="50"/>
  <c r="D3770" i="50"/>
  <c r="D3771" i="50"/>
  <c r="D3772" i="50"/>
  <c r="D3773" i="50"/>
  <c r="D3774" i="50"/>
  <c r="D3775" i="50"/>
  <c r="D3776" i="50"/>
  <c r="D3777" i="50"/>
  <c r="D3778" i="50"/>
  <c r="D3779" i="50"/>
  <c r="D3780" i="50"/>
  <c r="D3781" i="50"/>
  <c r="D3782" i="50"/>
  <c r="D3783" i="50"/>
  <c r="D3784" i="50"/>
  <c r="D3785" i="50"/>
  <c r="D3786" i="50"/>
  <c r="D3787" i="50"/>
  <c r="D3788" i="50"/>
  <c r="D3789" i="50"/>
  <c r="D3790" i="50"/>
  <c r="D3791" i="50"/>
  <c r="D3792" i="50"/>
  <c r="D3793" i="50"/>
  <c r="D3794" i="50"/>
  <c r="D3795" i="50"/>
  <c r="D3796" i="50"/>
  <c r="D3797" i="50"/>
  <c r="D3798" i="50"/>
  <c r="D3799" i="50"/>
  <c r="D3800" i="50"/>
  <c r="D3801" i="50"/>
  <c r="D3802" i="50"/>
  <c r="D3803" i="50"/>
  <c r="D3804" i="50"/>
  <c r="D3805" i="50"/>
  <c r="D3806" i="50"/>
  <c r="D3807" i="50"/>
  <c r="D3808" i="50"/>
  <c r="D3809" i="50"/>
  <c r="D3810" i="50"/>
  <c r="D3811" i="50"/>
  <c r="D3812" i="50"/>
  <c r="D3813" i="50"/>
  <c r="D3814" i="50"/>
  <c r="D3815" i="50"/>
  <c r="D3816" i="50"/>
  <c r="D3817" i="50"/>
  <c r="D3818" i="50"/>
  <c r="D3819" i="50"/>
  <c r="D3820" i="50"/>
  <c r="D3821" i="50"/>
  <c r="D3822" i="50"/>
  <c r="D3823" i="50"/>
  <c r="D3824" i="50"/>
  <c r="D3825" i="50"/>
  <c r="D3826" i="50"/>
  <c r="D3827" i="50"/>
  <c r="D3828" i="50"/>
  <c r="D3829" i="50"/>
  <c r="D3830" i="50"/>
  <c r="D3831" i="50"/>
  <c r="D3832" i="50"/>
  <c r="D3833" i="50"/>
  <c r="D3834" i="50"/>
  <c r="D3835" i="50"/>
  <c r="D3836" i="50"/>
  <c r="D3837" i="50"/>
  <c r="D3838" i="50"/>
  <c r="D3839" i="50"/>
  <c r="D3840" i="50"/>
  <c r="D3841" i="50"/>
  <c r="D3842" i="50"/>
  <c r="D3843" i="50"/>
  <c r="D3844" i="50"/>
  <c r="D3845" i="50"/>
  <c r="D3846" i="50"/>
  <c r="D3847" i="50"/>
  <c r="D3848" i="50"/>
  <c r="D3849" i="50"/>
  <c r="D3850" i="50"/>
  <c r="D3851" i="50"/>
  <c r="D3852" i="50"/>
  <c r="D3853" i="50"/>
  <c r="D3854" i="50"/>
  <c r="D3855" i="50"/>
  <c r="D3856" i="50"/>
  <c r="D3857" i="50"/>
  <c r="D3858" i="50"/>
  <c r="D3859" i="50"/>
  <c r="D3860" i="50"/>
  <c r="D3861" i="50"/>
  <c r="D3862" i="50"/>
  <c r="D3863" i="50"/>
  <c r="D3864" i="50"/>
  <c r="D3865" i="50"/>
  <c r="D3866" i="50"/>
  <c r="D3867" i="50"/>
  <c r="D3868" i="50"/>
  <c r="D3869" i="50"/>
  <c r="D3870" i="50"/>
  <c r="D3871" i="50"/>
  <c r="D3872" i="50"/>
  <c r="D3873" i="50"/>
  <c r="D3874" i="50"/>
  <c r="D3875" i="50"/>
  <c r="D3876" i="50"/>
  <c r="D3877" i="50"/>
  <c r="D3878" i="50"/>
  <c r="D3879" i="50"/>
  <c r="D3880" i="50"/>
  <c r="D3881" i="50"/>
  <c r="D3882" i="50"/>
  <c r="D3883" i="50"/>
  <c r="D3884" i="50"/>
  <c r="D3885" i="50"/>
  <c r="D3886" i="50"/>
  <c r="D3887" i="50"/>
  <c r="D3888" i="50"/>
  <c r="D3889" i="50"/>
  <c r="D3890" i="50"/>
  <c r="D3891" i="50"/>
  <c r="D3892" i="50"/>
  <c r="D3893" i="50"/>
  <c r="D3894" i="50"/>
  <c r="D3895" i="50"/>
  <c r="D3896" i="50"/>
  <c r="D3897" i="50"/>
  <c r="D3898" i="50"/>
  <c r="D3899" i="50"/>
  <c r="D3900" i="50"/>
  <c r="D3901" i="50"/>
  <c r="D3902" i="50"/>
  <c r="D3903" i="50"/>
  <c r="D3904" i="50"/>
  <c r="D3905" i="50"/>
  <c r="D3906" i="50"/>
  <c r="D3907" i="50"/>
  <c r="D3908" i="50"/>
  <c r="D3909" i="50"/>
  <c r="D3910" i="50"/>
  <c r="D3911" i="50"/>
  <c r="D3912" i="50"/>
  <c r="D3913" i="50"/>
  <c r="D3914" i="50"/>
  <c r="D3915" i="50"/>
  <c r="D3916" i="50"/>
  <c r="D3917" i="50"/>
  <c r="D3918" i="50"/>
  <c r="D3919" i="50"/>
  <c r="D3920" i="50"/>
  <c r="D3921" i="50"/>
  <c r="D3922" i="50"/>
  <c r="D3923" i="50"/>
  <c r="D3924" i="50"/>
  <c r="D3925" i="50"/>
  <c r="D3926" i="50"/>
  <c r="D3927" i="50"/>
  <c r="D3928" i="50"/>
  <c r="D3929" i="50"/>
  <c r="D3930" i="50"/>
  <c r="D3931" i="50"/>
  <c r="D3932" i="50"/>
  <c r="D3933" i="50"/>
  <c r="D3934" i="50"/>
  <c r="D3935" i="50"/>
  <c r="D3936" i="50"/>
  <c r="D3937" i="50"/>
  <c r="D3938" i="50"/>
  <c r="D3939" i="50"/>
  <c r="D3940" i="50"/>
  <c r="D3941" i="50"/>
  <c r="D3942" i="50"/>
  <c r="D3943" i="50"/>
  <c r="D3944" i="50"/>
  <c r="D3945" i="50"/>
  <c r="D3946" i="50"/>
  <c r="D3947" i="50"/>
  <c r="D3948" i="50"/>
  <c r="D3949" i="50"/>
  <c r="D3950" i="50"/>
  <c r="D3951" i="50"/>
  <c r="D3952" i="50"/>
  <c r="D3953" i="50"/>
  <c r="D3954" i="50"/>
  <c r="D3955" i="50"/>
  <c r="D3956" i="50"/>
  <c r="D3957" i="50"/>
  <c r="D3958" i="50"/>
  <c r="D3959" i="50"/>
  <c r="D3960" i="50"/>
  <c r="D3961" i="50"/>
  <c r="D3962" i="50"/>
  <c r="D3963" i="50"/>
  <c r="D3964" i="50"/>
  <c r="D3965" i="50"/>
  <c r="D3966" i="50"/>
  <c r="D3967" i="50"/>
  <c r="D3968" i="50"/>
  <c r="D3969" i="50"/>
  <c r="D3970" i="50"/>
  <c r="D3971" i="50"/>
  <c r="D3972" i="50"/>
  <c r="D3973" i="50"/>
  <c r="D3974" i="50"/>
  <c r="D3975" i="50"/>
  <c r="D3976" i="50"/>
  <c r="D3977" i="50"/>
  <c r="D3978" i="50"/>
  <c r="D3979" i="50"/>
  <c r="D3980" i="50"/>
  <c r="D3981" i="50"/>
  <c r="D3982" i="50"/>
  <c r="D3983" i="50"/>
  <c r="D3984" i="50"/>
  <c r="D3985" i="50"/>
  <c r="D3986" i="50"/>
  <c r="D3987" i="50"/>
  <c r="D3988" i="50"/>
  <c r="D3989" i="50"/>
  <c r="D3990" i="50"/>
  <c r="D3991" i="50"/>
  <c r="D3992" i="50"/>
  <c r="D3993" i="50"/>
  <c r="D3994" i="50"/>
  <c r="D3995" i="50"/>
  <c r="D3996" i="50"/>
  <c r="D3997" i="50"/>
  <c r="D3998" i="50"/>
  <c r="D3999" i="50"/>
  <c r="D4000" i="50"/>
  <c r="D4001" i="50"/>
  <c r="D4002" i="50"/>
  <c r="D4003" i="50"/>
  <c r="D4004" i="50"/>
  <c r="D4005" i="50"/>
  <c r="D4006" i="50"/>
  <c r="D4007" i="50"/>
  <c r="D4008" i="50"/>
  <c r="D4009" i="50"/>
  <c r="D4010" i="50"/>
  <c r="D4011" i="50"/>
  <c r="D4012" i="50"/>
  <c r="D4013" i="50"/>
  <c r="D4014" i="50"/>
  <c r="D4015" i="50"/>
  <c r="D4016" i="50"/>
  <c r="D4017" i="50"/>
  <c r="D4018" i="50"/>
  <c r="D4019" i="50"/>
  <c r="D4020" i="50"/>
  <c r="D4021" i="50"/>
  <c r="D4022" i="50"/>
  <c r="D4023" i="50"/>
  <c r="D4024" i="50"/>
  <c r="D4025" i="50"/>
  <c r="D4026" i="50"/>
  <c r="D4027" i="50"/>
  <c r="D4028" i="50"/>
  <c r="D4029" i="50"/>
  <c r="D4030" i="50"/>
  <c r="D4031" i="50"/>
  <c r="D4032" i="50"/>
  <c r="D4033" i="50"/>
  <c r="D4034" i="50"/>
  <c r="D4035" i="50"/>
  <c r="D4036" i="50"/>
  <c r="D4037" i="50"/>
  <c r="D4038" i="50"/>
  <c r="D4039" i="50"/>
  <c r="D4040" i="50"/>
  <c r="D4041" i="50"/>
  <c r="D4042" i="50"/>
  <c r="D4043" i="50"/>
  <c r="D4044" i="50"/>
  <c r="D4045" i="50"/>
  <c r="D4046" i="50"/>
  <c r="D4047" i="50"/>
  <c r="D4048" i="50"/>
  <c r="D4049" i="50"/>
  <c r="D4050" i="50"/>
  <c r="D4051" i="50"/>
  <c r="D4052" i="50"/>
  <c r="D4053" i="50"/>
  <c r="D4054" i="50"/>
  <c r="D4055" i="50"/>
  <c r="D4056" i="50"/>
  <c r="D4057" i="50"/>
  <c r="D4058" i="50"/>
  <c r="D4059" i="50"/>
  <c r="D4060" i="50"/>
  <c r="D4061" i="50"/>
  <c r="D4062" i="50"/>
  <c r="D4063" i="50"/>
  <c r="D4064" i="50"/>
  <c r="D4065" i="50"/>
  <c r="D4066" i="50"/>
  <c r="D4067" i="50"/>
  <c r="D4068" i="50"/>
  <c r="D4069" i="50"/>
  <c r="D4070" i="50"/>
  <c r="D4071" i="50"/>
  <c r="D4072" i="50"/>
  <c r="D4073" i="50"/>
  <c r="D4074" i="50"/>
  <c r="D4075" i="50"/>
  <c r="D4076" i="50"/>
  <c r="D4077" i="50"/>
  <c r="D4078" i="50"/>
  <c r="D4079" i="50"/>
  <c r="D4080" i="50"/>
  <c r="D4081" i="50"/>
  <c r="D4082" i="50"/>
  <c r="D4083" i="50"/>
  <c r="D4084" i="50"/>
  <c r="D4085" i="50"/>
  <c r="D4086" i="50"/>
  <c r="D4087" i="50"/>
  <c r="D4088" i="50"/>
  <c r="D4089" i="50"/>
  <c r="D4090" i="50"/>
  <c r="D4091" i="50"/>
  <c r="D4092" i="50"/>
  <c r="D4093" i="50"/>
  <c r="D4094" i="50"/>
  <c r="D4095" i="50"/>
  <c r="D4096" i="50"/>
  <c r="D4097" i="50"/>
  <c r="D4098" i="50"/>
  <c r="D4099" i="50"/>
  <c r="D4100" i="50"/>
  <c r="D4101" i="50"/>
  <c r="D4102" i="50"/>
  <c r="D4103" i="50"/>
  <c r="D4104" i="50"/>
  <c r="D4105" i="50"/>
  <c r="D4106" i="50"/>
  <c r="D4107" i="50"/>
  <c r="D4108" i="50"/>
  <c r="D4109" i="50"/>
  <c r="D4110" i="50"/>
  <c r="D4111" i="50"/>
  <c r="D4112" i="50"/>
  <c r="D4113" i="50"/>
  <c r="D4114" i="50"/>
  <c r="D4115" i="50"/>
  <c r="D4116" i="50"/>
  <c r="D4117" i="50"/>
  <c r="D4118" i="50"/>
  <c r="D4119" i="50"/>
  <c r="D4120" i="50"/>
  <c r="D4121" i="50"/>
  <c r="D4122" i="50"/>
  <c r="D4123" i="50"/>
  <c r="D4124" i="50"/>
  <c r="D4125" i="50"/>
  <c r="D4126" i="50"/>
  <c r="D4127" i="50"/>
  <c r="D4128" i="50"/>
  <c r="D4129" i="50"/>
  <c r="D4130" i="50"/>
  <c r="D4131" i="50"/>
  <c r="D4132" i="50"/>
  <c r="D4133" i="50"/>
  <c r="D4134" i="50"/>
  <c r="D4135" i="50"/>
  <c r="D4136" i="50"/>
  <c r="D4137" i="50"/>
  <c r="D4138" i="50"/>
  <c r="D4139" i="50"/>
  <c r="D4140" i="50"/>
  <c r="D4141" i="50"/>
  <c r="D4142" i="50"/>
  <c r="D4143" i="50"/>
  <c r="D4144" i="50"/>
  <c r="D4145" i="50"/>
  <c r="D4146" i="50"/>
  <c r="D4147" i="50"/>
  <c r="D4148" i="50"/>
  <c r="D4149" i="50"/>
  <c r="D4150" i="50"/>
  <c r="D4151" i="50"/>
  <c r="D4152" i="50"/>
  <c r="D4153" i="50"/>
  <c r="D4154" i="50"/>
  <c r="D4155" i="50"/>
  <c r="D4156" i="50"/>
  <c r="D4157" i="50"/>
  <c r="D4158" i="50"/>
  <c r="D4159" i="50"/>
  <c r="D4160" i="50"/>
  <c r="D4161" i="50"/>
  <c r="D4162" i="50"/>
  <c r="D4163" i="50"/>
  <c r="D4164" i="50"/>
  <c r="D4165" i="50"/>
  <c r="D4166" i="50"/>
  <c r="D4167" i="50"/>
  <c r="D4168" i="50"/>
  <c r="D4169" i="50"/>
  <c r="D4170" i="50"/>
  <c r="D4171" i="50"/>
  <c r="D4172" i="50"/>
  <c r="D4173" i="50"/>
  <c r="D4174" i="50"/>
  <c r="D4175" i="50"/>
  <c r="D4176" i="50"/>
  <c r="D4177" i="50"/>
  <c r="D4178" i="50"/>
  <c r="D4179" i="50"/>
  <c r="D4180" i="50"/>
  <c r="D4181" i="50"/>
  <c r="D4182" i="50"/>
  <c r="D4183" i="50"/>
  <c r="D4184" i="50"/>
  <c r="D4185" i="50"/>
  <c r="D4186" i="50"/>
  <c r="D4187" i="50"/>
  <c r="D4188" i="50"/>
  <c r="D4189" i="50"/>
  <c r="D4190" i="50"/>
  <c r="D4191" i="50"/>
  <c r="D4192" i="50"/>
  <c r="D4193" i="50"/>
  <c r="D4194" i="50"/>
  <c r="D4195" i="50"/>
  <c r="D4196" i="50"/>
  <c r="D4197" i="50"/>
  <c r="D4198" i="50"/>
  <c r="D4199" i="50"/>
  <c r="D4200" i="50"/>
  <c r="D4201" i="50"/>
  <c r="D4202" i="50"/>
  <c r="D4203" i="50"/>
  <c r="D4204" i="50"/>
  <c r="D4205" i="50"/>
  <c r="D4206" i="50"/>
  <c r="D4207" i="50"/>
  <c r="D4208" i="50"/>
  <c r="D4209" i="50"/>
  <c r="D4210" i="50"/>
  <c r="D4211" i="50"/>
  <c r="D4212" i="50"/>
  <c r="D4213" i="50"/>
  <c r="D4214" i="50"/>
  <c r="D4215" i="50"/>
  <c r="D4216" i="50"/>
  <c r="D4217" i="50"/>
  <c r="D4218" i="50"/>
  <c r="D4219" i="50"/>
  <c r="D4220" i="50"/>
  <c r="D4221" i="50"/>
  <c r="D4222" i="50"/>
  <c r="D4223" i="50"/>
  <c r="D4224" i="50"/>
  <c r="D4225" i="50"/>
  <c r="D4226" i="50"/>
  <c r="D4227" i="50"/>
  <c r="D4228" i="50"/>
  <c r="D4229" i="50"/>
  <c r="D4230" i="50"/>
  <c r="D4231" i="50"/>
  <c r="D4232" i="50"/>
  <c r="D4233" i="50"/>
  <c r="D4234" i="50"/>
  <c r="D4235" i="50"/>
  <c r="D4236" i="50"/>
  <c r="D4237" i="50"/>
  <c r="D4238" i="50"/>
  <c r="D4239" i="50"/>
  <c r="D4240" i="50"/>
  <c r="D4241" i="50"/>
  <c r="D4242" i="50"/>
  <c r="D4243" i="50"/>
  <c r="D4244" i="50"/>
  <c r="D4245" i="50"/>
  <c r="D4246" i="50"/>
  <c r="D4247" i="50"/>
  <c r="D4248" i="50"/>
  <c r="D4249" i="50"/>
  <c r="D4250" i="50"/>
  <c r="D4251" i="50"/>
  <c r="D4252" i="50"/>
  <c r="D4253" i="50"/>
  <c r="D4254" i="50"/>
  <c r="D4255" i="50"/>
  <c r="D4256" i="50"/>
  <c r="D4257" i="50"/>
  <c r="D4258" i="50"/>
  <c r="D4259" i="50"/>
  <c r="D4260" i="50"/>
  <c r="D4261" i="50"/>
  <c r="D4262" i="50"/>
  <c r="D4263" i="50"/>
  <c r="D4264" i="50"/>
  <c r="D4265" i="50"/>
  <c r="D4266" i="50"/>
  <c r="D4267" i="50"/>
  <c r="D4268" i="50"/>
  <c r="D4269" i="50"/>
  <c r="D4270" i="50"/>
  <c r="D4271" i="50"/>
  <c r="D4272" i="50"/>
  <c r="D4273" i="50"/>
  <c r="D4274" i="50"/>
  <c r="D4275" i="50"/>
  <c r="D4276" i="50"/>
  <c r="D4277" i="50"/>
  <c r="D4278" i="50"/>
  <c r="D4279" i="50"/>
  <c r="D4280" i="50"/>
  <c r="D4281" i="50"/>
  <c r="D4282" i="50"/>
  <c r="D4283" i="50"/>
  <c r="D4284" i="50"/>
  <c r="D4285" i="50"/>
  <c r="D4286" i="50"/>
  <c r="D4287" i="50"/>
  <c r="D4288" i="50"/>
  <c r="D4289" i="50"/>
  <c r="D4290" i="50"/>
  <c r="D4291" i="50"/>
  <c r="D4292" i="50"/>
  <c r="D4293" i="50"/>
  <c r="D4294" i="50"/>
  <c r="D4295" i="50"/>
  <c r="D4296" i="50"/>
  <c r="D4297" i="50"/>
  <c r="D4298" i="50"/>
  <c r="D4299" i="50"/>
  <c r="D4300" i="50"/>
  <c r="D4301" i="50"/>
  <c r="D4302" i="50"/>
  <c r="D4303" i="50"/>
  <c r="D4304" i="50"/>
  <c r="D4305" i="50"/>
  <c r="D4306" i="50"/>
  <c r="D4307" i="50"/>
  <c r="D4308" i="50"/>
  <c r="D4309" i="50"/>
  <c r="D4310" i="50"/>
  <c r="D4311" i="50"/>
  <c r="D4312" i="50"/>
  <c r="D4313" i="50"/>
  <c r="D4314" i="50"/>
  <c r="D4315" i="50"/>
  <c r="D4316" i="50"/>
  <c r="D4317" i="50"/>
  <c r="D4318" i="50"/>
  <c r="D4319" i="50"/>
  <c r="D4320" i="50"/>
  <c r="D4321" i="50"/>
  <c r="D4322" i="50"/>
  <c r="D4323" i="50"/>
  <c r="D4324" i="50"/>
  <c r="D4325" i="50"/>
  <c r="D4326" i="50"/>
  <c r="D4327" i="50"/>
  <c r="D4328" i="50"/>
  <c r="D4329" i="50"/>
  <c r="D4330" i="50"/>
  <c r="D4331" i="50"/>
  <c r="D4332" i="50"/>
  <c r="D4333" i="50"/>
  <c r="D4334" i="50"/>
  <c r="D4335" i="50"/>
  <c r="D4336" i="50"/>
  <c r="D4337" i="50"/>
  <c r="D4338" i="50"/>
  <c r="D4339" i="50"/>
  <c r="D4340" i="50"/>
  <c r="D4341" i="50"/>
  <c r="D4342" i="50"/>
  <c r="D4343" i="50"/>
  <c r="D4344" i="50"/>
  <c r="D4345" i="50"/>
  <c r="D4346" i="50"/>
  <c r="D4347" i="50"/>
  <c r="D4348" i="50"/>
  <c r="D4349" i="50"/>
  <c r="D4350" i="50"/>
  <c r="D4351" i="50"/>
  <c r="D4352" i="50"/>
  <c r="D4353" i="50"/>
  <c r="D4354" i="50"/>
  <c r="D4355" i="50"/>
  <c r="D4356" i="50"/>
  <c r="D4357" i="50"/>
  <c r="D4358" i="50"/>
  <c r="D4359" i="50"/>
  <c r="D4360" i="50"/>
  <c r="D4361" i="50"/>
  <c r="D4362" i="50"/>
  <c r="D4363" i="50"/>
  <c r="D4364" i="50"/>
  <c r="D4365" i="50"/>
  <c r="D4366" i="50"/>
  <c r="D4367" i="50"/>
  <c r="D4368" i="50"/>
  <c r="D4369" i="50"/>
  <c r="D4370" i="50"/>
  <c r="D4371" i="50"/>
  <c r="D4372" i="50"/>
  <c r="D4373" i="50"/>
  <c r="D4374" i="50"/>
  <c r="D4375" i="50"/>
  <c r="D4376" i="50"/>
  <c r="D4377" i="50"/>
  <c r="D4378" i="50"/>
  <c r="D4379" i="50"/>
  <c r="D4380" i="50"/>
  <c r="D4381" i="50"/>
  <c r="D4382" i="50"/>
  <c r="D4383" i="50"/>
  <c r="D4384" i="50"/>
  <c r="D4385" i="50"/>
  <c r="D4386" i="50"/>
  <c r="D4387" i="50"/>
  <c r="D4388" i="50"/>
  <c r="D4389" i="50"/>
  <c r="D4390" i="50"/>
  <c r="D4391" i="50"/>
  <c r="D4392" i="50"/>
  <c r="D4393" i="50"/>
  <c r="D4394" i="50"/>
  <c r="D4395" i="50"/>
  <c r="D4396" i="50"/>
  <c r="D4397" i="50"/>
  <c r="D4398" i="50"/>
  <c r="D4399" i="50"/>
  <c r="D4400" i="50"/>
  <c r="D4401" i="50"/>
  <c r="D4402" i="50"/>
  <c r="D4403" i="50"/>
  <c r="D4404" i="50"/>
  <c r="D4405" i="50"/>
  <c r="D4406" i="50"/>
  <c r="D4407" i="50"/>
  <c r="D4408" i="50"/>
  <c r="D4409" i="50"/>
  <c r="D4410" i="50"/>
  <c r="D4411" i="50"/>
  <c r="D4412" i="50"/>
  <c r="D4413" i="50"/>
  <c r="D4414" i="50"/>
  <c r="D4415" i="50"/>
  <c r="D4416" i="50"/>
  <c r="D4417" i="50"/>
  <c r="D4418" i="50"/>
  <c r="D4419" i="50"/>
  <c r="D4420" i="50"/>
  <c r="D4421" i="50"/>
  <c r="D4422" i="50"/>
  <c r="D4423" i="50"/>
  <c r="D4424" i="50"/>
  <c r="D4425" i="50"/>
  <c r="D4426" i="50"/>
  <c r="D4427" i="50"/>
  <c r="D4428" i="50"/>
  <c r="D4429" i="50"/>
  <c r="D4430" i="50"/>
  <c r="D4431" i="50"/>
  <c r="D4432" i="50"/>
  <c r="D4433" i="50"/>
  <c r="D4434" i="50"/>
  <c r="D4435" i="50"/>
  <c r="D4436" i="50"/>
  <c r="D4437" i="50"/>
  <c r="D4438" i="50"/>
  <c r="D4439" i="50"/>
  <c r="D4440" i="50"/>
  <c r="D4441" i="50"/>
  <c r="D4442" i="50"/>
  <c r="D4443" i="50"/>
  <c r="D4444" i="50"/>
  <c r="D4445" i="50"/>
  <c r="D4446" i="50"/>
  <c r="D4447" i="50"/>
  <c r="D4448" i="50"/>
  <c r="D4449" i="50"/>
  <c r="D4450" i="50"/>
  <c r="D4451" i="50"/>
  <c r="D4452" i="50"/>
  <c r="D4453" i="50"/>
  <c r="D4454" i="50"/>
  <c r="D4455" i="50"/>
  <c r="D4456" i="50"/>
  <c r="D4457" i="50"/>
  <c r="D4458" i="50"/>
  <c r="D4459" i="50"/>
  <c r="D4460" i="50"/>
  <c r="D4461" i="50"/>
  <c r="D4462" i="50"/>
  <c r="D4463" i="50"/>
  <c r="D4464" i="50"/>
  <c r="D4465" i="50"/>
  <c r="D4466" i="50"/>
  <c r="D4467" i="50"/>
  <c r="D4468" i="50"/>
  <c r="D4469" i="50"/>
  <c r="F1092" i="53" l="1"/>
  <c r="F1091" i="53"/>
  <c r="F1090" i="53"/>
  <c r="F1089" i="53"/>
  <c r="E4442" i="50" s="1"/>
  <c r="F1088" i="53"/>
  <c r="F1087" i="53"/>
  <c r="F1086" i="53"/>
  <c r="E4438" i="50" s="1"/>
  <c r="F1085" i="53"/>
  <c r="F1084" i="53"/>
  <c r="F1083" i="53"/>
  <c r="F1082" i="53"/>
  <c r="E4431" i="50" s="1"/>
  <c r="F1081" i="53"/>
  <c r="E4428" i="50" s="1"/>
  <c r="F1080" i="53"/>
  <c r="F1079" i="53"/>
  <c r="F1078" i="53"/>
  <c r="E4420" i="50" s="1"/>
  <c r="F1077" i="53"/>
  <c r="E4417" i="50" s="1"/>
  <c r="F1076" i="53"/>
  <c r="F1075" i="53"/>
  <c r="F1074" i="53"/>
  <c r="E4410" i="50" s="1"/>
  <c r="F1073" i="53"/>
  <c r="F1072" i="53"/>
  <c r="F1071" i="53"/>
  <c r="F1070" i="53"/>
  <c r="E4394" i="50" s="1"/>
  <c r="F1069" i="53"/>
  <c r="E4386" i="50" s="1"/>
  <c r="F1068" i="53"/>
  <c r="F1067" i="53"/>
  <c r="F1066" i="53"/>
  <c r="F1065" i="53"/>
  <c r="F1064" i="53"/>
  <c r="F1063" i="53"/>
  <c r="F1062" i="53"/>
  <c r="F1061" i="53"/>
  <c r="E4371" i="50" s="1"/>
  <c r="F1060" i="53"/>
  <c r="F1059" i="53"/>
  <c r="F1058" i="53"/>
  <c r="F1057" i="53"/>
  <c r="E4366" i="50" s="1"/>
  <c r="F1056" i="53"/>
  <c r="F1055" i="53"/>
  <c r="F1054" i="53"/>
  <c r="E4359" i="50" s="1"/>
  <c r="F1053" i="53"/>
  <c r="E4358" i="50" s="1"/>
  <c r="F1052" i="53"/>
  <c r="F1051" i="53"/>
  <c r="F1050" i="53"/>
  <c r="E4348" i="50" s="1"/>
  <c r="F1049" i="53"/>
  <c r="F1048" i="53"/>
  <c r="F1047" i="53"/>
  <c r="F1046" i="53"/>
  <c r="F1045" i="53"/>
  <c r="F1044" i="53"/>
  <c r="F1043" i="53"/>
  <c r="F1042" i="53"/>
  <c r="F1041" i="53"/>
  <c r="F1040" i="53"/>
  <c r="F1039" i="53"/>
  <c r="F1038" i="53"/>
  <c r="F1037" i="53"/>
  <c r="F1036" i="53"/>
  <c r="F1035" i="53"/>
  <c r="F1034" i="53"/>
  <c r="F1033" i="53"/>
  <c r="F1032" i="53"/>
  <c r="F1031" i="53"/>
  <c r="F1030" i="53"/>
  <c r="F1029" i="53"/>
  <c r="F1028" i="53"/>
  <c r="F1027" i="53"/>
  <c r="F1026" i="53"/>
  <c r="F1025" i="53"/>
  <c r="F1024" i="53"/>
  <c r="F1023" i="53"/>
  <c r="F1022" i="53"/>
  <c r="F1021" i="53"/>
  <c r="F1020" i="53"/>
  <c r="F1019" i="53"/>
  <c r="F1018" i="53"/>
  <c r="F1017" i="53"/>
  <c r="F1016" i="53"/>
  <c r="F1015" i="53"/>
  <c r="F1014" i="53"/>
  <c r="F1013" i="53"/>
  <c r="F1012" i="53"/>
  <c r="F1011" i="53"/>
  <c r="F1010" i="53"/>
  <c r="F1009" i="53"/>
  <c r="F1008" i="53"/>
  <c r="F1007" i="53"/>
  <c r="F1006" i="53"/>
  <c r="F1005" i="53"/>
  <c r="F1004" i="53"/>
  <c r="F1003" i="53"/>
  <c r="F1002" i="53"/>
  <c r="F1001" i="53"/>
  <c r="F1000" i="53"/>
  <c r="F999" i="53"/>
  <c r="F998" i="53"/>
  <c r="F997" i="53"/>
  <c r="F996" i="53"/>
  <c r="F995" i="53"/>
  <c r="F994" i="53"/>
  <c r="F993" i="53"/>
  <c r="F992" i="53"/>
  <c r="F991" i="53"/>
  <c r="F990" i="53"/>
  <c r="F989" i="53"/>
  <c r="F988" i="53"/>
  <c r="F987" i="53"/>
  <c r="F986" i="53"/>
  <c r="F985" i="53"/>
  <c r="F984" i="53"/>
  <c r="F983" i="53"/>
  <c r="F982" i="53"/>
  <c r="F981" i="53"/>
  <c r="F980" i="53"/>
  <c r="F979" i="53"/>
  <c r="F978" i="53"/>
  <c r="F977" i="53"/>
  <c r="F976" i="53"/>
  <c r="F975" i="53"/>
  <c r="F974" i="53"/>
  <c r="F973" i="53"/>
  <c r="F972" i="53"/>
  <c r="F971" i="53"/>
  <c r="F970" i="53"/>
  <c r="F969" i="53"/>
  <c r="F968" i="53"/>
  <c r="F967" i="53"/>
  <c r="F966" i="53"/>
  <c r="F965" i="53"/>
  <c r="F964" i="53"/>
  <c r="F963" i="53"/>
  <c r="F962" i="53"/>
  <c r="F961" i="53"/>
  <c r="F960" i="53"/>
  <c r="F959" i="53"/>
  <c r="F958" i="53"/>
  <c r="F957" i="53"/>
  <c r="F956" i="53"/>
  <c r="F955" i="53"/>
  <c r="F954" i="53"/>
  <c r="F953" i="53"/>
  <c r="F952" i="53"/>
  <c r="F951" i="53"/>
  <c r="F950" i="53"/>
  <c r="F949" i="53"/>
  <c r="F948" i="53"/>
  <c r="F947" i="53"/>
  <c r="F946" i="53"/>
  <c r="F945" i="53"/>
  <c r="F944" i="53"/>
  <c r="F943" i="53"/>
  <c r="F942" i="53"/>
  <c r="F941" i="53"/>
  <c r="F940" i="53"/>
  <c r="F939" i="53"/>
  <c r="F938" i="53"/>
  <c r="F937" i="53"/>
  <c r="F936" i="53"/>
  <c r="F935" i="53"/>
  <c r="F934" i="53"/>
  <c r="F933" i="53"/>
  <c r="F932" i="53"/>
  <c r="F931" i="53"/>
  <c r="F930" i="53"/>
  <c r="F929" i="53"/>
  <c r="F928" i="53"/>
  <c r="F927" i="53"/>
  <c r="F926" i="53"/>
  <c r="F925" i="53"/>
  <c r="F924" i="53"/>
  <c r="F923" i="53"/>
  <c r="F922" i="53"/>
  <c r="F921" i="53"/>
  <c r="F920" i="53"/>
  <c r="F919" i="53"/>
  <c r="F918" i="53"/>
  <c r="F917" i="53"/>
  <c r="F916" i="53"/>
  <c r="F915" i="53"/>
  <c r="F914" i="53"/>
  <c r="F913" i="53"/>
  <c r="F912" i="53"/>
  <c r="F911" i="53"/>
  <c r="F910" i="53"/>
  <c r="F909" i="53"/>
  <c r="F908" i="53"/>
  <c r="F907" i="53"/>
  <c r="F906" i="53"/>
  <c r="F905" i="53"/>
  <c r="F904" i="53"/>
  <c r="F903" i="53"/>
  <c r="F902" i="53"/>
  <c r="F901" i="53"/>
  <c r="F900" i="53"/>
  <c r="F899" i="53"/>
  <c r="F898" i="53"/>
  <c r="F897" i="53"/>
  <c r="F896" i="53"/>
  <c r="F895" i="53"/>
  <c r="F894" i="53"/>
  <c r="F893" i="53"/>
  <c r="F892" i="53"/>
  <c r="F891" i="53"/>
  <c r="F890" i="53"/>
  <c r="F889" i="53"/>
  <c r="F888" i="53"/>
  <c r="F887" i="53"/>
  <c r="F886" i="53"/>
  <c r="F885" i="53"/>
  <c r="F884" i="53"/>
  <c r="F883" i="53"/>
  <c r="F882" i="53"/>
  <c r="F881" i="53"/>
  <c r="F880" i="53"/>
  <c r="F879" i="53"/>
  <c r="F878" i="53"/>
  <c r="F877" i="53"/>
  <c r="F876" i="53"/>
  <c r="F875" i="53"/>
  <c r="F874" i="53"/>
  <c r="F873" i="53"/>
  <c r="F872" i="53"/>
  <c r="F871" i="53"/>
  <c r="F870" i="53"/>
  <c r="F869" i="53"/>
  <c r="F868" i="53"/>
  <c r="F867" i="53"/>
  <c r="F866" i="53"/>
  <c r="F865" i="53"/>
  <c r="F864" i="53"/>
  <c r="F863" i="53"/>
  <c r="F862" i="53"/>
  <c r="F861" i="53"/>
  <c r="F860" i="53"/>
  <c r="F859" i="53"/>
  <c r="F858" i="53"/>
  <c r="F857" i="53"/>
  <c r="F856" i="53"/>
  <c r="F855" i="53"/>
  <c r="F854" i="53"/>
  <c r="F853" i="53"/>
  <c r="F852" i="53"/>
  <c r="F851" i="53"/>
  <c r="F850" i="53"/>
  <c r="F849" i="53"/>
  <c r="F848" i="53"/>
  <c r="F847" i="53"/>
  <c r="F846" i="53"/>
  <c r="F845" i="53"/>
  <c r="F844" i="53"/>
  <c r="F843" i="53"/>
  <c r="F842" i="53"/>
  <c r="F841" i="53"/>
  <c r="F840" i="53"/>
  <c r="F839" i="53"/>
  <c r="F838" i="53"/>
  <c r="F837" i="53"/>
  <c r="F836" i="53"/>
  <c r="F835" i="53"/>
  <c r="F834" i="53"/>
  <c r="F833" i="53"/>
  <c r="F832" i="53"/>
  <c r="F831" i="53"/>
  <c r="F830" i="53"/>
  <c r="F829" i="53"/>
  <c r="F828" i="53"/>
  <c r="F827" i="53"/>
  <c r="F826" i="53"/>
  <c r="F825" i="53"/>
  <c r="F824" i="53"/>
  <c r="F823" i="53"/>
  <c r="F822" i="53"/>
  <c r="F821" i="53"/>
  <c r="F820" i="53"/>
  <c r="F819" i="53"/>
  <c r="F818" i="53"/>
  <c r="F817" i="53"/>
  <c r="F816" i="53"/>
  <c r="F815" i="53"/>
  <c r="F814" i="53"/>
  <c r="F813" i="53"/>
  <c r="F812" i="53"/>
  <c r="F811" i="53"/>
  <c r="F810" i="53"/>
  <c r="F809" i="53"/>
  <c r="F808" i="53"/>
  <c r="F807" i="53"/>
  <c r="F806" i="53"/>
  <c r="F805" i="53"/>
  <c r="F804" i="53"/>
  <c r="F803" i="53"/>
  <c r="F802" i="53"/>
  <c r="F801" i="53"/>
  <c r="F800" i="53"/>
  <c r="F799" i="53"/>
  <c r="F798" i="53"/>
  <c r="F797" i="53"/>
  <c r="F796" i="53"/>
  <c r="F795" i="53"/>
  <c r="F794" i="53"/>
  <c r="F793" i="53"/>
  <c r="F792" i="53"/>
  <c r="F791" i="53"/>
  <c r="F790" i="53"/>
  <c r="F789" i="53"/>
  <c r="F788" i="53"/>
  <c r="F787" i="53"/>
  <c r="F786" i="53"/>
  <c r="F785" i="53"/>
  <c r="F784" i="53"/>
  <c r="F783" i="53"/>
  <c r="F782" i="53"/>
  <c r="F781" i="53"/>
  <c r="F780" i="53"/>
  <c r="F779" i="53"/>
  <c r="F778" i="53"/>
  <c r="F777" i="53"/>
  <c r="F776" i="53"/>
  <c r="F775" i="53"/>
  <c r="F774" i="53"/>
  <c r="F773" i="53"/>
  <c r="F772" i="53"/>
  <c r="F771" i="53"/>
  <c r="F770" i="53"/>
  <c r="F769" i="53"/>
  <c r="F768" i="53"/>
  <c r="F767" i="53"/>
  <c r="F766" i="53"/>
  <c r="F765" i="53"/>
  <c r="F764" i="53"/>
  <c r="F763" i="53"/>
  <c r="F762" i="53"/>
  <c r="F761" i="53"/>
  <c r="F760" i="53"/>
  <c r="F759" i="53"/>
  <c r="F758" i="53"/>
  <c r="F757" i="53"/>
  <c r="F756" i="53"/>
  <c r="F755" i="53"/>
  <c r="F754" i="53"/>
  <c r="F753" i="53"/>
  <c r="F752" i="53"/>
  <c r="F751" i="53"/>
  <c r="F750" i="53"/>
  <c r="F749" i="53"/>
  <c r="F748" i="53"/>
  <c r="F747" i="53"/>
  <c r="F746" i="53"/>
  <c r="F745" i="53"/>
  <c r="F744" i="53"/>
  <c r="F743" i="53"/>
  <c r="F742" i="53"/>
  <c r="F741" i="53"/>
  <c r="F740" i="53"/>
  <c r="F739" i="53"/>
  <c r="F738" i="53"/>
  <c r="F737" i="53"/>
  <c r="F736" i="53"/>
  <c r="F735" i="53"/>
  <c r="F734" i="53"/>
  <c r="F733" i="53"/>
  <c r="F732" i="53"/>
  <c r="F731" i="53"/>
  <c r="F730" i="53"/>
  <c r="F729" i="53"/>
  <c r="F728" i="53"/>
  <c r="F727" i="53"/>
  <c r="F726" i="53"/>
  <c r="F725" i="53"/>
  <c r="F724" i="53"/>
  <c r="F723" i="53"/>
  <c r="F722" i="53"/>
  <c r="F721" i="53"/>
  <c r="F720" i="53"/>
  <c r="F719" i="53"/>
  <c r="F718" i="53"/>
  <c r="F717" i="53"/>
  <c r="F716" i="53"/>
  <c r="F715" i="53"/>
  <c r="F714" i="53"/>
  <c r="F713" i="53"/>
  <c r="F712" i="53"/>
  <c r="F711" i="53"/>
  <c r="F710" i="53"/>
  <c r="F709" i="53"/>
  <c r="F708" i="53"/>
  <c r="F707" i="53"/>
  <c r="F706" i="53"/>
  <c r="F705" i="53"/>
  <c r="F704" i="53"/>
  <c r="F703" i="53"/>
  <c r="F702" i="53"/>
  <c r="F701" i="53"/>
  <c r="F700" i="53"/>
  <c r="F699" i="53"/>
  <c r="F698" i="53"/>
  <c r="F697" i="53"/>
  <c r="F696" i="53"/>
  <c r="F695" i="53"/>
  <c r="F694" i="53"/>
  <c r="F693" i="53"/>
  <c r="F692" i="53"/>
  <c r="F691" i="53"/>
  <c r="F690" i="53"/>
  <c r="F689" i="53"/>
  <c r="F688" i="53"/>
  <c r="F687" i="53"/>
  <c r="F686" i="53"/>
  <c r="F685" i="53"/>
  <c r="F684" i="53"/>
  <c r="F683" i="53"/>
  <c r="F682" i="53"/>
  <c r="F681" i="53"/>
  <c r="F680" i="53"/>
  <c r="F679" i="53"/>
  <c r="F678" i="53"/>
  <c r="F677" i="53"/>
  <c r="F676" i="53"/>
  <c r="F675" i="53"/>
  <c r="F674" i="53"/>
  <c r="F673" i="53"/>
  <c r="F672" i="53"/>
  <c r="F671" i="53"/>
  <c r="F670" i="53"/>
  <c r="F669" i="53"/>
  <c r="F668" i="53"/>
  <c r="F667" i="53"/>
  <c r="F666" i="53"/>
  <c r="F665" i="53"/>
  <c r="F664" i="53"/>
  <c r="F663" i="53"/>
  <c r="F662" i="53"/>
  <c r="F661" i="53"/>
  <c r="F660" i="53"/>
  <c r="F659" i="53"/>
  <c r="F658" i="53"/>
  <c r="F657" i="53"/>
  <c r="F656" i="53"/>
  <c r="F655" i="53"/>
  <c r="F654" i="53"/>
  <c r="F653" i="53"/>
  <c r="F652" i="53"/>
  <c r="F651" i="53"/>
  <c r="F650" i="53"/>
  <c r="F649" i="53"/>
  <c r="F648" i="53"/>
  <c r="F647" i="53"/>
  <c r="F646" i="53"/>
  <c r="F645" i="53"/>
  <c r="F644" i="53"/>
  <c r="F643" i="53"/>
  <c r="F642" i="53"/>
  <c r="F641" i="53"/>
  <c r="F640" i="53"/>
  <c r="F639" i="53"/>
  <c r="F638" i="53"/>
  <c r="F637" i="53"/>
  <c r="F636" i="53"/>
  <c r="F635" i="53"/>
  <c r="F634" i="53"/>
  <c r="F633" i="53"/>
  <c r="F632" i="53"/>
  <c r="F631" i="53"/>
  <c r="F630" i="53"/>
  <c r="F629" i="53"/>
  <c r="F628" i="53"/>
  <c r="F627" i="53"/>
  <c r="F626" i="53"/>
  <c r="F625" i="53"/>
  <c r="F624" i="53"/>
  <c r="F623" i="53"/>
  <c r="F622" i="53"/>
  <c r="F621" i="53"/>
  <c r="F620" i="53"/>
  <c r="F619" i="53"/>
  <c r="F618" i="53"/>
  <c r="F617" i="53"/>
  <c r="F616" i="53"/>
  <c r="F615" i="53"/>
  <c r="F614" i="53"/>
  <c r="F613" i="53"/>
  <c r="F612" i="53"/>
  <c r="F611" i="53"/>
  <c r="F610" i="53"/>
  <c r="F609" i="53"/>
  <c r="F608" i="53"/>
  <c r="F607" i="53"/>
  <c r="F606" i="53"/>
  <c r="F605" i="53"/>
  <c r="F604" i="53"/>
  <c r="F603" i="53"/>
  <c r="F602" i="53"/>
  <c r="F601" i="53"/>
  <c r="F600" i="53"/>
  <c r="F599" i="53"/>
  <c r="F598" i="53"/>
  <c r="F597" i="53"/>
  <c r="F596" i="53"/>
  <c r="F595" i="53"/>
  <c r="F594" i="53"/>
  <c r="F593" i="53"/>
  <c r="F592" i="53"/>
  <c r="F591" i="53"/>
  <c r="F590" i="53"/>
  <c r="F589" i="53"/>
  <c r="F588" i="53"/>
  <c r="F587" i="53"/>
  <c r="F586" i="53"/>
  <c r="F585" i="53"/>
  <c r="F584" i="53"/>
  <c r="F583" i="53"/>
  <c r="F582" i="53"/>
  <c r="F581" i="53"/>
  <c r="F580" i="53"/>
  <c r="F579" i="53"/>
  <c r="F578" i="53"/>
  <c r="F577" i="53"/>
  <c r="F576" i="53"/>
  <c r="F575" i="53"/>
  <c r="F574" i="53"/>
  <c r="F573" i="53"/>
  <c r="F572" i="53"/>
  <c r="F571" i="53"/>
  <c r="F570" i="53"/>
  <c r="F569" i="53"/>
  <c r="F568" i="53"/>
  <c r="F567" i="53"/>
  <c r="F566" i="53"/>
  <c r="F565" i="53"/>
  <c r="F564" i="53"/>
  <c r="F563" i="53"/>
  <c r="F562" i="53"/>
  <c r="F561" i="53"/>
  <c r="F560" i="53"/>
  <c r="F559" i="53"/>
  <c r="F558" i="53"/>
  <c r="F557" i="53"/>
  <c r="F556" i="53"/>
  <c r="F555" i="53"/>
  <c r="F554" i="53"/>
  <c r="F553" i="53"/>
  <c r="F552" i="53"/>
  <c r="F551" i="53"/>
  <c r="F550" i="53"/>
  <c r="F549" i="53"/>
  <c r="F548" i="53"/>
  <c r="F547" i="53"/>
  <c r="F546" i="53"/>
  <c r="F545" i="53"/>
  <c r="F544" i="53"/>
  <c r="F543" i="53"/>
  <c r="F542" i="53"/>
  <c r="F541" i="53"/>
  <c r="F540" i="53"/>
  <c r="F539" i="53"/>
  <c r="F538" i="53"/>
  <c r="F537" i="53"/>
  <c r="F536" i="53"/>
  <c r="F535" i="53"/>
  <c r="F534" i="53"/>
  <c r="F533" i="53"/>
  <c r="F532" i="53"/>
  <c r="F531" i="53"/>
  <c r="F530" i="53"/>
  <c r="F529" i="53"/>
  <c r="F528" i="53"/>
  <c r="F527" i="53"/>
  <c r="F526" i="53"/>
  <c r="F525" i="53"/>
  <c r="F524" i="53"/>
  <c r="F523" i="53"/>
  <c r="F522" i="53"/>
  <c r="F521" i="53"/>
  <c r="F520" i="53"/>
  <c r="F519" i="53"/>
  <c r="F518" i="53"/>
  <c r="F517" i="53"/>
  <c r="F516" i="53"/>
  <c r="F515" i="53"/>
  <c r="F514" i="53"/>
  <c r="F513" i="53"/>
  <c r="F512" i="53"/>
  <c r="F511" i="53"/>
  <c r="F510" i="53"/>
  <c r="F509" i="53"/>
  <c r="F508" i="53"/>
  <c r="F507" i="53"/>
  <c r="F506" i="53"/>
  <c r="F505" i="53"/>
  <c r="F504" i="53"/>
  <c r="F503" i="53"/>
  <c r="F502" i="53"/>
  <c r="F501" i="53"/>
  <c r="F500" i="53"/>
  <c r="F499" i="53"/>
  <c r="F498" i="53"/>
  <c r="F497" i="53"/>
  <c r="F496" i="53"/>
  <c r="F495" i="53"/>
  <c r="F494" i="53"/>
  <c r="F493" i="53"/>
  <c r="F492" i="53"/>
  <c r="F491" i="53"/>
  <c r="F490" i="53"/>
  <c r="F489" i="53"/>
  <c r="F488" i="53"/>
  <c r="F487" i="53"/>
  <c r="F486" i="53"/>
  <c r="F485" i="53"/>
  <c r="F484" i="53"/>
  <c r="F483" i="53"/>
  <c r="F482" i="53"/>
  <c r="F481" i="53"/>
  <c r="F480" i="53"/>
  <c r="F479" i="53"/>
  <c r="F478" i="53"/>
  <c r="F477" i="53"/>
  <c r="F476" i="53"/>
  <c r="F475" i="53"/>
  <c r="F474" i="53"/>
  <c r="F473" i="53"/>
  <c r="F472" i="53"/>
  <c r="F471" i="53"/>
  <c r="F470" i="53"/>
  <c r="F469" i="53"/>
  <c r="F468" i="53"/>
  <c r="F467" i="53"/>
  <c r="F466" i="53"/>
  <c r="F465" i="53"/>
  <c r="F464" i="53"/>
  <c r="F463" i="53"/>
  <c r="F462" i="53"/>
  <c r="F461" i="53"/>
  <c r="F460" i="53"/>
  <c r="F459" i="53"/>
  <c r="F458" i="53"/>
  <c r="F457" i="53"/>
  <c r="F456" i="53"/>
  <c r="F455" i="53"/>
  <c r="F454" i="53"/>
  <c r="F453" i="53"/>
  <c r="F452" i="53"/>
  <c r="F451" i="53"/>
  <c r="F450" i="53"/>
  <c r="F449" i="53"/>
  <c r="F448" i="53"/>
  <c r="F447" i="53"/>
  <c r="F446" i="53"/>
  <c r="F445" i="53"/>
  <c r="F444" i="53"/>
  <c r="F443" i="53"/>
  <c r="F442" i="53"/>
  <c r="F441" i="53"/>
  <c r="F440" i="53"/>
  <c r="F439" i="53"/>
  <c r="F438" i="53"/>
  <c r="F437" i="53"/>
  <c r="F436" i="53"/>
  <c r="F435" i="53"/>
  <c r="F434" i="53"/>
  <c r="F433" i="53"/>
  <c r="F432" i="53"/>
  <c r="F431" i="53"/>
  <c r="F430" i="53"/>
  <c r="F429" i="53"/>
  <c r="F428" i="53"/>
  <c r="F427" i="53"/>
  <c r="F426" i="53"/>
  <c r="F425" i="53"/>
  <c r="F424" i="53"/>
  <c r="F423" i="53"/>
  <c r="F422" i="53"/>
  <c r="F421" i="53"/>
  <c r="F420" i="53"/>
  <c r="F419" i="53"/>
  <c r="F418" i="53"/>
  <c r="F417" i="53"/>
  <c r="F416" i="53"/>
  <c r="F415" i="53"/>
  <c r="F414" i="53"/>
  <c r="F413" i="53"/>
  <c r="F412" i="53"/>
  <c r="F411" i="53"/>
  <c r="F410" i="53"/>
  <c r="F409" i="53"/>
  <c r="F408" i="53"/>
  <c r="F407" i="53"/>
  <c r="F406" i="53"/>
  <c r="F405" i="53"/>
  <c r="F404" i="53"/>
  <c r="F403" i="53"/>
  <c r="F402" i="53"/>
  <c r="F401" i="53"/>
  <c r="F400" i="53"/>
  <c r="F399" i="53"/>
  <c r="F398" i="53"/>
  <c r="F397" i="53"/>
  <c r="F396" i="53"/>
  <c r="F395" i="53"/>
  <c r="F394" i="53"/>
  <c r="F393" i="53"/>
  <c r="F392" i="53"/>
  <c r="F391" i="53"/>
  <c r="F390" i="53"/>
  <c r="F389" i="53"/>
  <c r="F388" i="53"/>
  <c r="F387" i="53"/>
  <c r="F386" i="53"/>
  <c r="F385" i="53"/>
  <c r="F384" i="53"/>
  <c r="F383" i="53"/>
  <c r="F382" i="53"/>
  <c r="F381" i="53"/>
  <c r="F380" i="53"/>
  <c r="F379" i="53"/>
  <c r="F378" i="53"/>
  <c r="F377" i="53"/>
  <c r="F376" i="53"/>
  <c r="F375" i="53"/>
  <c r="F374" i="53"/>
  <c r="F373" i="53"/>
  <c r="F372" i="53"/>
  <c r="F371" i="53"/>
  <c r="F370" i="53"/>
  <c r="F369" i="53"/>
  <c r="F368" i="53"/>
  <c r="F367" i="53"/>
  <c r="F366" i="53"/>
  <c r="F365" i="53"/>
  <c r="F364" i="53"/>
  <c r="F363" i="53"/>
  <c r="F362" i="53"/>
  <c r="F361" i="53"/>
  <c r="F360" i="53"/>
  <c r="F359" i="53"/>
  <c r="F358" i="53"/>
  <c r="F357" i="53"/>
  <c r="F356" i="53"/>
  <c r="F355" i="53"/>
  <c r="F354" i="53"/>
  <c r="F353" i="53"/>
  <c r="F352" i="53"/>
  <c r="F351" i="53"/>
  <c r="F350" i="53"/>
  <c r="F349" i="53"/>
  <c r="F348" i="53"/>
  <c r="F347" i="53"/>
  <c r="F346" i="53"/>
  <c r="F345" i="53"/>
  <c r="F344" i="53"/>
  <c r="F343" i="53"/>
  <c r="F342" i="53"/>
  <c r="F341" i="53"/>
  <c r="F340" i="53"/>
  <c r="F339" i="53"/>
  <c r="F338" i="53"/>
  <c r="F337" i="53"/>
  <c r="F336" i="53"/>
  <c r="F335" i="53"/>
  <c r="F334" i="53"/>
  <c r="F333" i="53"/>
  <c r="F332" i="53"/>
  <c r="F331" i="53"/>
  <c r="F330" i="53"/>
  <c r="F329" i="53"/>
  <c r="F328" i="53"/>
  <c r="F327" i="53"/>
  <c r="F326" i="53"/>
  <c r="F325" i="53"/>
  <c r="F324" i="53"/>
  <c r="F323" i="53"/>
  <c r="F322" i="53"/>
  <c r="F321" i="53"/>
  <c r="F320" i="53"/>
  <c r="F319" i="53"/>
  <c r="F318" i="53"/>
  <c r="F317" i="53"/>
  <c r="F316" i="53"/>
  <c r="F315" i="53"/>
  <c r="F314" i="53"/>
  <c r="F313" i="53"/>
  <c r="F312" i="53"/>
  <c r="F311" i="53"/>
  <c r="F310" i="53"/>
  <c r="F309" i="53"/>
  <c r="F308" i="53"/>
  <c r="F307" i="53"/>
  <c r="F306" i="53"/>
  <c r="F305" i="53"/>
  <c r="F304" i="53"/>
  <c r="F303" i="53"/>
  <c r="F302" i="53"/>
  <c r="F301" i="53"/>
  <c r="F300" i="53"/>
  <c r="F299" i="53"/>
  <c r="F298" i="53"/>
  <c r="F297" i="53"/>
  <c r="F296" i="53"/>
  <c r="F295" i="53"/>
  <c r="F294" i="53"/>
  <c r="F293" i="53"/>
  <c r="F292" i="53"/>
  <c r="F291" i="53"/>
  <c r="F290" i="53"/>
  <c r="F289" i="53"/>
  <c r="F288" i="53"/>
  <c r="F287" i="53"/>
  <c r="F286" i="53"/>
  <c r="F285" i="53"/>
  <c r="F284" i="53"/>
  <c r="F283" i="53"/>
  <c r="F282" i="53"/>
  <c r="F281" i="53"/>
  <c r="F280" i="53"/>
  <c r="F279" i="53"/>
  <c r="F278" i="53"/>
  <c r="F277" i="53"/>
  <c r="F276" i="53"/>
  <c r="F275" i="53"/>
  <c r="F274" i="53"/>
  <c r="F273" i="53"/>
  <c r="F272" i="53"/>
  <c r="F271" i="53"/>
  <c r="F270" i="53"/>
  <c r="F269" i="53"/>
  <c r="F268" i="53"/>
  <c r="F267" i="53"/>
  <c r="F266" i="53"/>
  <c r="F265" i="53"/>
  <c r="F264" i="53"/>
  <c r="F263" i="53"/>
  <c r="F262" i="53"/>
  <c r="F261" i="53"/>
  <c r="F260" i="53"/>
  <c r="F259" i="53"/>
  <c r="F258" i="53"/>
  <c r="F257" i="53"/>
  <c r="F256" i="53"/>
  <c r="F255" i="53"/>
  <c r="F254" i="53"/>
  <c r="F253" i="53"/>
  <c r="F252" i="53"/>
  <c r="F251" i="53"/>
  <c r="F250" i="53"/>
  <c r="F249" i="53"/>
  <c r="F248" i="53"/>
  <c r="F247" i="53"/>
  <c r="F246" i="53"/>
  <c r="F245" i="53"/>
  <c r="F244" i="53"/>
  <c r="F243" i="53"/>
  <c r="F242" i="53"/>
  <c r="E4462" i="50" s="1"/>
  <c r="F241" i="53"/>
  <c r="E4465" i="50" s="1"/>
  <c r="F240" i="53"/>
  <c r="F239" i="53"/>
  <c r="F238" i="53"/>
  <c r="E4464" i="50" s="1"/>
  <c r="F237" i="53"/>
  <c r="E4459" i="50" s="1"/>
  <c r="F236" i="53"/>
  <c r="F235" i="53"/>
  <c r="F234" i="53"/>
  <c r="F233" i="53"/>
  <c r="F232" i="53"/>
  <c r="F231" i="53"/>
  <c r="F230" i="53"/>
  <c r="E4445" i="50" s="1"/>
  <c r="F229" i="53"/>
  <c r="E4456" i="50" s="1"/>
  <c r="F228" i="53"/>
  <c r="F227" i="53"/>
  <c r="F226" i="53"/>
  <c r="F225" i="53"/>
  <c r="F224" i="53"/>
  <c r="F223" i="53"/>
  <c r="F222" i="53"/>
  <c r="F221" i="53"/>
  <c r="F220" i="53"/>
  <c r="F219" i="53"/>
  <c r="F218" i="53"/>
  <c r="F217" i="53"/>
  <c r="F216" i="53"/>
  <c r="F215" i="53"/>
  <c r="F214" i="53"/>
  <c r="F213" i="53"/>
  <c r="F212" i="53"/>
  <c r="F211" i="53"/>
  <c r="F210" i="53"/>
  <c r="F209" i="53"/>
  <c r="F208" i="53"/>
  <c r="F207" i="53"/>
  <c r="F206" i="53"/>
  <c r="F205" i="53"/>
  <c r="F204" i="53"/>
  <c r="F203" i="53"/>
  <c r="F202" i="53"/>
  <c r="F201" i="53"/>
  <c r="F200" i="53"/>
  <c r="F199" i="53"/>
  <c r="F198" i="53"/>
  <c r="F197" i="53"/>
  <c r="F196" i="53"/>
  <c r="F195" i="53"/>
  <c r="F194" i="53"/>
  <c r="F193" i="53"/>
  <c r="F192" i="53"/>
  <c r="F191" i="53"/>
  <c r="F190" i="53"/>
  <c r="F189" i="53"/>
  <c r="F188" i="53"/>
  <c r="F187" i="53"/>
  <c r="F186" i="53"/>
  <c r="F185" i="53"/>
  <c r="F184" i="53"/>
  <c r="F183" i="53"/>
  <c r="F182" i="53"/>
  <c r="F181" i="53"/>
  <c r="F180" i="53"/>
  <c r="F179" i="53"/>
  <c r="F178" i="53"/>
  <c r="F177" i="53"/>
  <c r="F176" i="53"/>
  <c r="F175" i="53"/>
  <c r="F174" i="53"/>
  <c r="F173" i="53"/>
  <c r="F172" i="53"/>
  <c r="F171" i="53"/>
  <c r="F170" i="53"/>
  <c r="F169" i="53"/>
  <c r="F168" i="53"/>
  <c r="F167" i="53"/>
  <c r="F166" i="53"/>
  <c r="F165" i="53"/>
  <c r="F164" i="53"/>
  <c r="F163" i="53"/>
  <c r="F162" i="53"/>
  <c r="F161" i="53"/>
  <c r="F160" i="53"/>
  <c r="F159" i="53"/>
  <c r="F158" i="53"/>
  <c r="F157" i="53"/>
  <c r="F156" i="53"/>
  <c r="F155" i="53"/>
  <c r="F154" i="53"/>
  <c r="F153" i="53"/>
  <c r="F152" i="53"/>
  <c r="F151" i="53"/>
  <c r="F150" i="53"/>
  <c r="F149" i="53"/>
  <c r="F148" i="53"/>
  <c r="F147" i="53"/>
  <c r="F146" i="53"/>
  <c r="F145" i="53"/>
  <c r="F144" i="53"/>
  <c r="F143" i="53"/>
  <c r="F142" i="53"/>
  <c r="F141" i="53"/>
  <c r="F140" i="53"/>
  <c r="F139" i="53"/>
  <c r="F138" i="53"/>
  <c r="F137" i="53"/>
  <c r="F136" i="53"/>
  <c r="F135" i="53"/>
  <c r="F134" i="53"/>
  <c r="F133" i="53"/>
  <c r="F132" i="53"/>
  <c r="F131" i="53"/>
  <c r="F130" i="53"/>
  <c r="F129" i="53"/>
  <c r="F128" i="53"/>
  <c r="F127" i="53"/>
  <c r="F126" i="53"/>
  <c r="F125" i="53"/>
  <c r="F124" i="53"/>
  <c r="F123" i="53"/>
  <c r="F122" i="53"/>
  <c r="F121" i="53"/>
  <c r="F120" i="53"/>
  <c r="F119" i="53"/>
  <c r="F118" i="53"/>
  <c r="F117" i="53"/>
  <c r="F116" i="53"/>
  <c r="F115" i="53"/>
  <c r="F114" i="53"/>
  <c r="F113" i="53"/>
  <c r="F112" i="53"/>
  <c r="F111" i="53"/>
  <c r="F110" i="53"/>
  <c r="F109" i="53"/>
  <c r="F108" i="53"/>
  <c r="F107" i="53"/>
  <c r="F106" i="53"/>
  <c r="F105" i="53"/>
  <c r="F104" i="53"/>
  <c r="F103" i="53"/>
  <c r="F102" i="53"/>
  <c r="F101" i="53"/>
  <c r="F100" i="53"/>
  <c r="F99" i="53"/>
  <c r="F98" i="53"/>
  <c r="F97" i="53"/>
  <c r="F96" i="53"/>
  <c r="F95" i="53"/>
  <c r="F94" i="53"/>
  <c r="F93" i="53"/>
  <c r="F92" i="53"/>
  <c r="F91" i="53"/>
  <c r="F90" i="53"/>
  <c r="F89" i="53"/>
  <c r="F88" i="53"/>
  <c r="F87" i="53"/>
  <c r="F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B3" i="61"/>
  <c r="D3" i="61" s="1"/>
  <c r="A3" i="61"/>
  <c r="B3" i="60"/>
  <c r="V3" i="60" s="1"/>
  <c r="A3" i="60"/>
  <c r="S7" i="58"/>
  <c r="S6" i="58"/>
  <c r="B6" i="58"/>
  <c r="A6" i="58"/>
  <c r="Q6" i="58" s="1"/>
  <c r="S5" i="58"/>
  <c r="B5" i="58"/>
  <c r="A5" i="58"/>
  <c r="S4" i="58"/>
  <c r="B4" i="58"/>
  <c r="A4" i="58"/>
  <c r="Q4" i="58" s="1"/>
  <c r="S3" i="58"/>
  <c r="B3" i="58"/>
  <c r="A3" i="58"/>
  <c r="S2" i="58"/>
  <c r="B2" i="58"/>
  <c r="A2" i="58"/>
  <c r="Q2" i="58" s="1"/>
  <c r="AE1" i="58"/>
  <c r="AD1" i="58"/>
  <c r="AC1" i="58"/>
  <c r="AB1" i="58"/>
  <c r="AA1" i="58"/>
  <c r="Z1" i="58"/>
  <c r="Y1" i="58"/>
  <c r="X1" i="58"/>
  <c r="W1" i="58"/>
  <c r="V1" i="58"/>
  <c r="U1" i="58"/>
  <c r="T1" i="58"/>
  <c r="S1" i="58"/>
  <c r="R1" i="58"/>
  <c r="Q1" i="58"/>
  <c r="N4469" i="50"/>
  <c r="H4469" i="50"/>
  <c r="E4469" i="50"/>
  <c r="A4469" i="50"/>
  <c r="N4468" i="50"/>
  <c r="H4468" i="50"/>
  <c r="E4468" i="50"/>
  <c r="A4468" i="50"/>
  <c r="N4467" i="50"/>
  <c r="H4467" i="50"/>
  <c r="E4467" i="50"/>
  <c r="A4467" i="50"/>
  <c r="N4466" i="50"/>
  <c r="H4466" i="50"/>
  <c r="E4466" i="50"/>
  <c r="A4466" i="50"/>
  <c r="N4465" i="50"/>
  <c r="H4465" i="50"/>
  <c r="A4465" i="50"/>
  <c r="N4464" i="50"/>
  <c r="H4464" i="50"/>
  <c r="A4464" i="50"/>
  <c r="N4463" i="50"/>
  <c r="H4463" i="50"/>
  <c r="E4463" i="50"/>
  <c r="A4463" i="50"/>
  <c r="N4462" i="50"/>
  <c r="H4462" i="50"/>
  <c r="A4462" i="50"/>
  <c r="N4461" i="50"/>
  <c r="H4461" i="50"/>
  <c r="A4461" i="50"/>
  <c r="N4460" i="50"/>
  <c r="H4460" i="50"/>
  <c r="E4460" i="50"/>
  <c r="A4460" i="50"/>
  <c r="N4459" i="50"/>
  <c r="H4459" i="50"/>
  <c r="A4459" i="50"/>
  <c r="N4458" i="50"/>
  <c r="H4458" i="50"/>
  <c r="E4458" i="50"/>
  <c r="A4458" i="50"/>
  <c r="N4457" i="50"/>
  <c r="H4457" i="50"/>
  <c r="A4457" i="50"/>
  <c r="N4456" i="50"/>
  <c r="H4456" i="50"/>
  <c r="A4456" i="50"/>
  <c r="N4455" i="50"/>
  <c r="H4455" i="50"/>
  <c r="E4455" i="50"/>
  <c r="A4455" i="50"/>
  <c r="N4454" i="50"/>
  <c r="H4454" i="50"/>
  <c r="E4454" i="50"/>
  <c r="A4454" i="50"/>
  <c r="N4453" i="50"/>
  <c r="H4453" i="50"/>
  <c r="E4453" i="50"/>
  <c r="A4453" i="50"/>
  <c r="N4452" i="50"/>
  <c r="H4452" i="50"/>
  <c r="A4452" i="50"/>
  <c r="N4451" i="50"/>
  <c r="H4451" i="50"/>
  <c r="E4451" i="50"/>
  <c r="A4451" i="50"/>
  <c r="N4450" i="50"/>
  <c r="H4450" i="50"/>
  <c r="E4450" i="50"/>
  <c r="A4450" i="50"/>
  <c r="N4449" i="50"/>
  <c r="H4449" i="50"/>
  <c r="A4449" i="50"/>
  <c r="N4448" i="50"/>
  <c r="H4448" i="50"/>
  <c r="A4448" i="50"/>
  <c r="N4447" i="50"/>
  <c r="H4447" i="50"/>
  <c r="E4447" i="50"/>
  <c r="A4447" i="50"/>
  <c r="N4446" i="50"/>
  <c r="H4446" i="50"/>
  <c r="E4446" i="50"/>
  <c r="A4446" i="50"/>
  <c r="N4445" i="50"/>
  <c r="H4445" i="50"/>
  <c r="A4445" i="50"/>
  <c r="N4444" i="50"/>
  <c r="H4444" i="50"/>
  <c r="A4444" i="50"/>
  <c r="N4443" i="50"/>
  <c r="H4443" i="50"/>
  <c r="E4443" i="50"/>
  <c r="A4443" i="50"/>
  <c r="N4442" i="50"/>
  <c r="H4442" i="50"/>
  <c r="A4442" i="50"/>
  <c r="N4441" i="50"/>
  <c r="H4441" i="50"/>
  <c r="E4441" i="50"/>
  <c r="A4441" i="50"/>
  <c r="N4440" i="50"/>
  <c r="H4440" i="50"/>
  <c r="E4440" i="50"/>
  <c r="A4440" i="50"/>
  <c r="N4439" i="50"/>
  <c r="H4439" i="50"/>
  <c r="E4439" i="50"/>
  <c r="A4439" i="50"/>
  <c r="N4438" i="50"/>
  <c r="H4438" i="50"/>
  <c r="A4438" i="50"/>
  <c r="N4437" i="50"/>
  <c r="H4437" i="50"/>
  <c r="E4437" i="50"/>
  <c r="A4437" i="50"/>
  <c r="N4436" i="50"/>
  <c r="H4436" i="50"/>
  <c r="E4436" i="50"/>
  <c r="A4436" i="50"/>
  <c r="N4435" i="50"/>
  <c r="H4435" i="50"/>
  <c r="E4435" i="50"/>
  <c r="A4435" i="50"/>
  <c r="N4434" i="50"/>
  <c r="H4434" i="50"/>
  <c r="E4434" i="50"/>
  <c r="A4434" i="50"/>
  <c r="N4433" i="50"/>
  <c r="H4433" i="50"/>
  <c r="E4433" i="50"/>
  <c r="A4433" i="50"/>
  <c r="N4432" i="50"/>
  <c r="H4432" i="50"/>
  <c r="E4432" i="50"/>
  <c r="A4432" i="50"/>
  <c r="N4431" i="50"/>
  <c r="H4431" i="50"/>
  <c r="A4431" i="50"/>
  <c r="N4430" i="50"/>
  <c r="H4430" i="50"/>
  <c r="A4430" i="50"/>
  <c r="N4429" i="50"/>
  <c r="H4429" i="50"/>
  <c r="E4429" i="50"/>
  <c r="A4429" i="50"/>
  <c r="N4428" i="50"/>
  <c r="H4428" i="50"/>
  <c r="A4428" i="50"/>
  <c r="N4427" i="50"/>
  <c r="H4427" i="50"/>
  <c r="E4427" i="50"/>
  <c r="A4427" i="50"/>
  <c r="N4426" i="50"/>
  <c r="H4426" i="50"/>
  <c r="E4426" i="50"/>
  <c r="A4426" i="50"/>
  <c r="N4425" i="50"/>
  <c r="H4425" i="50"/>
  <c r="E4425" i="50"/>
  <c r="A4425" i="50"/>
  <c r="N4424" i="50"/>
  <c r="H4424" i="50"/>
  <c r="E4424" i="50"/>
  <c r="A4424" i="50"/>
  <c r="N4423" i="50"/>
  <c r="H4423" i="50"/>
  <c r="E4423" i="50"/>
  <c r="A4423" i="50"/>
  <c r="N4422" i="50"/>
  <c r="H4422" i="50"/>
  <c r="E4422" i="50"/>
  <c r="A4422" i="50"/>
  <c r="N4421" i="50"/>
  <c r="H4421" i="50"/>
  <c r="E4421" i="50"/>
  <c r="A4421" i="50"/>
  <c r="N4420" i="50"/>
  <c r="H4420" i="50"/>
  <c r="A4420" i="50"/>
  <c r="N4419" i="50"/>
  <c r="H4419" i="50"/>
  <c r="E4419" i="50"/>
  <c r="A4419" i="50"/>
  <c r="N4418" i="50"/>
  <c r="H4418" i="50"/>
  <c r="E4418" i="50"/>
  <c r="A4418" i="50"/>
  <c r="N4417" i="50"/>
  <c r="H4417" i="50"/>
  <c r="A4417" i="50"/>
  <c r="N4416" i="50"/>
  <c r="H4416" i="50"/>
  <c r="E4416" i="50"/>
  <c r="A4416" i="50"/>
  <c r="N4415" i="50"/>
  <c r="H4415" i="50"/>
  <c r="E4415" i="50"/>
  <c r="A4415" i="50"/>
  <c r="N4414" i="50"/>
  <c r="H4414" i="50"/>
  <c r="E4414" i="50"/>
  <c r="A4414" i="50"/>
  <c r="N4413" i="50"/>
  <c r="H4413" i="50"/>
  <c r="E4413" i="50"/>
  <c r="A4413" i="50"/>
  <c r="N4412" i="50"/>
  <c r="H4412" i="50"/>
  <c r="E4412" i="50"/>
  <c r="A4412" i="50"/>
  <c r="N4411" i="50"/>
  <c r="H4411" i="50"/>
  <c r="E4411" i="50"/>
  <c r="A4411" i="50"/>
  <c r="N4410" i="50"/>
  <c r="H4410" i="50"/>
  <c r="A4410" i="50"/>
  <c r="N4409" i="50"/>
  <c r="H4409" i="50"/>
  <c r="A4409" i="50"/>
  <c r="N4408" i="50"/>
  <c r="H4408" i="50"/>
  <c r="E4408" i="50"/>
  <c r="A4408" i="50"/>
  <c r="N4407" i="50"/>
  <c r="H4407" i="50"/>
  <c r="A4407" i="50"/>
  <c r="N4406" i="50"/>
  <c r="H4406" i="50"/>
  <c r="A4406" i="50"/>
  <c r="N4405" i="50"/>
  <c r="H4405" i="50"/>
  <c r="A4405" i="50"/>
  <c r="N4404" i="50"/>
  <c r="H4404" i="50"/>
  <c r="E4404" i="50"/>
  <c r="A4404" i="50"/>
  <c r="N4403" i="50"/>
  <c r="H4403" i="50"/>
  <c r="E4403" i="50"/>
  <c r="A4403" i="50"/>
  <c r="N4402" i="50"/>
  <c r="H4402" i="50"/>
  <c r="E4402" i="50"/>
  <c r="A4402" i="50"/>
  <c r="N4401" i="50"/>
  <c r="H4401" i="50"/>
  <c r="E4401" i="50"/>
  <c r="A4401" i="50"/>
  <c r="N4400" i="50"/>
  <c r="H4400" i="50"/>
  <c r="E4400" i="50"/>
  <c r="A4400" i="50"/>
  <c r="N4399" i="50"/>
  <c r="H4399" i="50"/>
  <c r="E4399" i="50"/>
  <c r="A4399" i="50"/>
  <c r="N4398" i="50"/>
  <c r="H4398" i="50"/>
  <c r="E4398" i="50"/>
  <c r="A4398" i="50"/>
  <c r="N4397" i="50"/>
  <c r="H4397" i="50"/>
  <c r="E4397" i="50"/>
  <c r="A4397" i="50"/>
  <c r="N4396" i="50"/>
  <c r="H4396" i="50"/>
  <c r="E4396" i="50"/>
  <c r="A4396" i="50"/>
  <c r="N4395" i="50"/>
  <c r="H4395" i="50"/>
  <c r="A4395" i="50"/>
  <c r="N4394" i="50"/>
  <c r="H4394" i="50"/>
  <c r="A4394" i="50"/>
  <c r="N4393" i="50"/>
  <c r="H4393" i="50"/>
  <c r="E4393" i="50"/>
  <c r="A4393" i="50"/>
  <c r="N4392" i="50"/>
  <c r="H4392" i="50"/>
  <c r="E4392" i="50"/>
  <c r="A4392" i="50"/>
  <c r="N4391" i="50"/>
  <c r="H4391" i="50"/>
  <c r="A4391" i="50"/>
  <c r="N4390" i="50"/>
  <c r="H4390" i="50"/>
  <c r="A4390" i="50"/>
  <c r="N4389" i="50"/>
  <c r="H4389" i="50"/>
  <c r="E4389" i="50"/>
  <c r="A4389" i="50"/>
  <c r="N4388" i="50"/>
  <c r="H4388" i="50"/>
  <c r="E4388" i="50"/>
  <c r="A4388" i="50"/>
  <c r="N4387" i="50"/>
  <c r="H4387" i="50"/>
  <c r="A4387" i="50"/>
  <c r="N4386" i="50"/>
  <c r="H4386" i="50"/>
  <c r="A4386" i="50"/>
  <c r="N4385" i="50"/>
  <c r="H4385" i="50"/>
  <c r="E4385" i="50"/>
  <c r="A4385" i="50"/>
  <c r="N4384" i="50"/>
  <c r="H4384" i="50"/>
  <c r="E4384" i="50"/>
  <c r="A4384" i="50"/>
  <c r="N4383" i="50"/>
  <c r="H4383" i="50"/>
  <c r="E4383" i="50"/>
  <c r="A4383" i="50"/>
  <c r="N4382" i="50"/>
  <c r="H4382" i="50"/>
  <c r="E4382" i="50"/>
  <c r="A4382" i="50"/>
  <c r="N4381" i="50"/>
  <c r="H4381" i="50"/>
  <c r="E4381" i="50"/>
  <c r="A4381" i="50"/>
  <c r="N4380" i="50"/>
  <c r="H4380" i="50"/>
  <c r="E4380" i="50"/>
  <c r="A4380" i="50"/>
  <c r="N4379" i="50"/>
  <c r="H4379" i="50"/>
  <c r="E4379" i="50"/>
  <c r="A4379" i="50"/>
  <c r="N4378" i="50"/>
  <c r="H4378" i="50"/>
  <c r="E4378" i="50"/>
  <c r="A4378" i="50"/>
  <c r="N4377" i="50"/>
  <c r="H4377" i="50"/>
  <c r="E4377" i="50"/>
  <c r="A4377" i="50"/>
  <c r="N4376" i="50"/>
  <c r="H4376" i="50"/>
  <c r="E4376" i="50"/>
  <c r="A4376" i="50"/>
  <c r="N4375" i="50"/>
  <c r="H4375" i="50"/>
  <c r="E4375" i="50"/>
  <c r="A4375" i="50"/>
  <c r="N4374" i="50"/>
  <c r="H4374" i="50"/>
  <c r="E4374" i="50"/>
  <c r="A4374" i="50"/>
  <c r="N4373" i="50"/>
  <c r="H4373" i="50"/>
  <c r="E4373" i="50"/>
  <c r="A4373" i="50"/>
  <c r="N4372" i="50"/>
  <c r="H4372" i="50"/>
  <c r="E4372" i="50"/>
  <c r="A4372" i="50"/>
  <c r="N4371" i="50"/>
  <c r="H4371" i="50"/>
  <c r="A4371" i="50"/>
  <c r="N4370" i="50"/>
  <c r="H4370" i="50"/>
  <c r="E4370" i="50"/>
  <c r="A4370" i="50"/>
  <c r="N4369" i="50"/>
  <c r="H4369" i="50"/>
  <c r="E4369" i="50"/>
  <c r="A4369" i="50"/>
  <c r="N4368" i="50"/>
  <c r="H4368" i="50"/>
  <c r="E4368" i="50"/>
  <c r="A4368" i="50"/>
  <c r="N4367" i="50"/>
  <c r="H4367" i="50"/>
  <c r="E4367" i="50"/>
  <c r="A4367" i="50"/>
  <c r="N4366" i="50"/>
  <c r="H4366" i="50"/>
  <c r="A4366" i="50"/>
  <c r="N4365" i="50"/>
  <c r="H4365" i="50"/>
  <c r="E4365" i="50"/>
  <c r="A4365" i="50"/>
  <c r="N4364" i="50"/>
  <c r="H4364" i="50"/>
  <c r="E4364" i="50"/>
  <c r="A4364" i="50"/>
  <c r="N4363" i="50"/>
  <c r="H4363" i="50"/>
  <c r="E4363" i="50"/>
  <c r="A4363" i="50"/>
  <c r="N4362" i="50"/>
  <c r="H4362" i="50"/>
  <c r="E4362" i="50"/>
  <c r="A4362" i="50"/>
  <c r="N4361" i="50"/>
  <c r="H4361" i="50"/>
  <c r="E4361" i="50"/>
  <c r="A4361" i="50"/>
  <c r="N4360" i="50"/>
  <c r="H4360" i="50"/>
  <c r="E4360" i="50"/>
  <c r="A4360" i="50"/>
  <c r="N4359" i="50"/>
  <c r="H4359" i="50"/>
  <c r="A4359" i="50"/>
  <c r="N4358" i="50"/>
  <c r="H4358" i="50"/>
  <c r="A4358" i="50"/>
  <c r="N4357" i="50"/>
  <c r="H4357" i="50"/>
  <c r="E4357" i="50"/>
  <c r="A4357" i="50"/>
  <c r="N4356" i="50"/>
  <c r="H4356" i="50"/>
  <c r="E4356" i="50"/>
  <c r="A4356" i="50"/>
  <c r="N4355" i="50"/>
  <c r="H4355" i="50"/>
  <c r="E4355" i="50"/>
  <c r="A4355" i="50"/>
  <c r="N4354" i="50"/>
  <c r="H4354" i="50"/>
  <c r="E4354" i="50"/>
  <c r="A4354" i="50"/>
  <c r="N4353" i="50"/>
  <c r="H4353" i="50"/>
  <c r="E4353" i="50"/>
  <c r="A4353" i="50"/>
  <c r="N4352" i="50"/>
  <c r="H4352" i="50"/>
  <c r="E4352" i="50"/>
  <c r="A4352" i="50"/>
  <c r="N4351" i="50"/>
  <c r="H4351" i="50"/>
  <c r="E4351" i="50"/>
  <c r="A4351" i="50"/>
  <c r="N4350" i="50"/>
  <c r="H4350" i="50"/>
  <c r="E4350" i="50"/>
  <c r="A4350" i="50"/>
  <c r="N4349" i="50"/>
  <c r="H4349" i="50"/>
  <c r="E4349" i="50"/>
  <c r="A4349" i="50"/>
  <c r="N4348" i="50"/>
  <c r="H4348" i="50"/>
  <c r="A4348" i="50"/>
  <c r="N4347" i="50"/>
  <c r="H4347" i="50"/>
  <c r="E4347" i="50"/>
  <c r="A4347" i="50"/>
  <c r="N4346" i="50"/>
  <c r="H4346" i="50"/>
  <c r="E4346" i="50"/>
  <c r="A4346" i="50"/>
  <c r="N4345" i="50"/>
  <c r="H4345" i="50"/>
  <c r="E4345" i="50"/>
  <c r="A4345" i="50"/>
  <c r="N4344" i="50"/>
  <c r="H4344" i="50"/>
  <c r="E4344" i="50"/>
  <c r="A4344" i="50"/>
  <c r="N4343" i="50"/>
  <c r="H4343" i="50"/>
  <c r="E4343" i="50"/>
  <c r="A4343" i="50"/>
  <c r="N4342" i="50"/>
  <c r="H4342" i="50"/>
  <c r="E4342" i="50"/>
  <c r="A4342" i="50"/>
  <c r="N4341" i="50"/>
  <c r="H4341" i="50"/>
  <c r="E4341" i="50"/>
  <c r="A4341" i="50"/>
  <c r="N4340" i="50"/>
  <c r="H4340" i="50"/>
  <c r="E4340" i="50"/>
  <c r="A4340" i="50"/>
  <c r="N4339" i="50"/>
  <c r="H4339" i="50"/>
  <c r="E4339" i="50"/>
  <c r="A4339" i="50"/>
  <c r="N4338" i="50"/>
  <c r="H4338" i="50"/>
  <c r="E4338" i="50"/>
  <c r="A4338" i="50"/>
  <c r="N4337" i="50"/>
  <c r="H4337" i="50"/>
  <c r="E4337" i="50"/>
  <c r="A4337" i="50"/>
  <c r="N4336" i="50"/>
  <c r="H4336" i="50"/>
  <c r="E4336" i="50"/>
  <c r="A4336" i="50"/>
  <c r="N4335" i="50"/>
  <c r="H4335" i="50"/>
  <c r="E4335" i="50"/>
  <c r="A4335" i="50"/>
  <c r="N4334" i="50"/>
  <c r="H4334" i="50"/>
  <c r="E4334" i="50"/>
  <c r="A4334" i="50"/>
  <c r="N4333" i="50"/>
  <c r="H4333" i="50"/>
  <c r="E4333" i="50"/>
  <c r="A4333" i="50"/>
  <c r="N4332" i="50"/>
  <c r="H4332" i="50"/>
  <c r="E4332" i="50"/>
  <c r="A4332" i="50"/>
  <c r="N4331" i="50"/>
  <c r="H4331" i="50"/>
  <c r="E4331" i="50"/>
  <c r="A4331" i="50"/>
  <c r="N4330" i="50"/>
  <c r="H4330" i="50"/>
  <c r="E4330" i="50"/>
  <c r="A4330" i="50"/>
  <c r="N4329" i="50"/>
  <c r="H4329" i="50"/>
  <c r="E4329" i="50"/>
  <c r="A4329" i="50"/>
  <c r="N4328" i="50"/>
  <c r="H4328" i="50"/>
  <c r="E4328" i="50"/>
  <c r="A4328" i="50"/>
  <c r="N4327" i="50"/>
  <c r="H4327" i="50"/>
  <c r="E4327" i="50"/>
  <c r="A4327" i="50"/>
  <c r="N4326" i="50"/>
  <c r="H4326" i="50"/>
  <c r="E4326" i="50"/>
  <c r="A4326" i="50"/>
  <c r="N4325" i="50"/>
  <c r="H4325" i="50"/>
  <c r="E4325" i="50"/>
  <c r="A4325" i="50"/>
  <c r="N4324" i="50"/>
  <c r="H4324" i="50"/>
  <c r="E4324" i="50"/>
  <c r="A4324" i="50"/>
  <c r="N4323" i="50"/>
  <c r="H4323" i="50"/>
  <c r="E4323" i="50"/>
  <c r="A4323" i="50"/>
  <c r="N4322" i="50"/>
  <c r="H4322" i="50"/>
  <c r="E4322" i="50"/>
  <c r="A4322" i="50"/>
  <c r="N4321" i="50"/>
  <c r="H4321" i="50"/>
  <c r="E4321" i="50"/>
  <c r="A4321" i="50"/>
  <c r="N4320" i="50"/>
  <c r="H4320" i="50"/>
  <c r="E4320" i="50"/>
  <c r="A4320" i="50"/>
  <c r="N4319" i="50"/>
  <c r="H4319" i="50"/>
  <c r="E4319" i="50"/>
  <c r="A4319" i="50"/>
  <c r="N4318" i="50"/>
  <c r="H4318" i="50"/>
  <c r="E4318" i="50"/>
  <c r="A4318" i="50"/>
  <c r="N4317" i="50"/>
  <c r="H4317" i="50"/>
  <c r="E4317" i="50"/>
  <c r="A4317" i="50"/>
  <c r="N4316" i="50"/>
  <c r="H4316" i="50"/>
  <c r="E4316" i="50"/>
  <c r="A4316" i="50"/>
  <c r="N4315" i="50"/>
  <c r="H4315" i="50"/>
  <c r="E4315" i="50"/>
  <c r="A4315" i="50"/>
  <c r="N4314" i="50"/>
  <c r="H4314" i="50"/>
  <c r="E4314" i="50"/>
  <c r="A4314" i="50"/>
  <c r="N4313" i="50"/>
  <c r="H4313" i="50"/>
  <c r="E4313" i="50"/>
  <c r="A4313" i="50"/>
  <c r="N4312" i="50"/>
  <c r="H4312" i="50"/>
  <c r="E4312" i="50"/>
  <c r="A4312" i="50"/>
  <c r="N4311" i="50"/>
  <c r="H4311" i="50"/>
  <c r="E4311" i="50"/>
  <c r="A4311" i="50"/>
  <c r="N4310" i="50"/>
  <c r="H4310" i="50"/>
  <c r="E4310" i="50"/>
  <c r="A4310" i="50"/>
  <c r="N4309" i="50"/>
  <c r="H4309" i="50"/>
  <c r="E4309" i="50"/>
  <c r="A4309" i="50"/>
  <c r="N4308" i="50"/>
  <c r="H4308" i="50"/>
  <c r="E4308" i="50"/>
  <c r="A4308" i="50"/>
  <c r="N4307" i="50"/>
  <c r="H4307" i="50"/>
  <c r="E4307" i="50"/>
  <c r="A4307" i="50"/>
  <c r="N4306" i="50"/>
  <c r="H4306" i="50"/>
  <c r="E4306" i="50"/>
  <c r="A4306" i="50"/>
  <c r="N4305" i="50"/>
  <c r="H4305" i="50"/>
  <c r="E4305" i="50"/>
  <c r="A4305" i="50"/>
  <c r="N4304" i="50"/>
  <c r="H4304" i="50"/>
  <c r="E4304" i="50"/>
  <c r="A4304" i="50"/>
  <c r="N4303" i="50"/>
  <c r="H4303" i="50"/>
  <c r="E4303" i="50"/>
  <c r="A4303" i="50"/>
  <c r="N4302" i="50"/>
  <c r="H4302" i="50"/>
  <c r="E4302" i="50"/>
  <c r="A4302" i="50"/>
  <c r="N4301" i="50"/>
  <c r="H4301" i="50"/>
  <c r="E4301" i="50"/>
  <c r="A4301" i="50"/>
  <c r="N4300" i="50"/>
  <c r="H4300" i="50"/>
  <c r="E4300" i="50"/>
  <c r="A4300" i="50"/>
  <c r="N4299" i="50"/>
  <c r="H4299" i="50"/>
  <c r="E4299" i="50"/>
  <c r="A4299" i="50"/>
  <c r="N4298" i="50"/>
  <c r="H4298" i="50"/>
  <c r="E4298" i="50"/>
  <c r="A4298" i="50"/>
  <c r="N4297" i="50"/>
  <c r="H4297" i="50"/>
  <c r="E4297" i="50"/>
  <c r="A4297" i="50"/>
  <c r="N4296" i="50"/>
  <c r="H4296" i="50"/>
  <c r="E4296" i="50"/>
  <c r="A4296" i="50"/>
  <c r="N4295" i="50"/>
  <c r="H4295" i="50"/>
  <c r="E4295" i="50"/>
  <c r="A4295" i="50"/>
  <c r="N4294" i="50"/>
  <c r="H4294" i="50"/>
  <c r="E4294" i="50"/>
  <c r="A4294" i="50"/>
  <c r="N4293" i="50"/>
  <c r="H4293" i="50"/>
  <c r="E4293" i="50"/>
  <c r="A4293" i="50"/>
  <c r="N4292" i="50"/>
  <c r="H4292" i="50"/>
  <c r="E4292" i="50"/>
  <c r="A4292" i="50"/>
  <c r="N4291" i="50"/>
  <c r="H4291" i="50"/>
  <c r="E4291" i="50"/>
  <c r="A4291" i="50"/>
  <c r="N4290" i="50"/>
  <c r="H4290" i="50"/>
  <c r="E4290" i="50"/>
  <c r="A4290" i="50"/>
  <c r="N4289" i="50"/>
  <c r="H4289" i="50"/>
  <c r="E4289" i="50"/>
  <c r="A4289" i="50"/>
  <c r="N4288" i="50"/>
  <c r="H4288" i="50"/>
  <c r="E4288" i="50"/>
  <c r="A4288" i="50"/>
  <c r="N4287" i="50"/>
  <c r="H4287" i="50"/>
  <c r="E4287" i="50"/>
  <c r="A4287" i="50"/>
  <c r="N4286" i="50"/>
  <c r="H4286" i="50"/>
  <c r="E4286" i="50"/>
  <c r="A4286" i="50"/>
  <c r="N4285" i="50"/>
  <c r="H4285" i="50"/>
  <c r="E4285" i="50"/>
  <c r="A4285" i="50"/>
  <c r="N4284" i="50"/>
  <c r="H4284" i="50"/>
  <c r="E4284" i="50"/>
  <c r="A4284" i="50"/>
  <c r="N4283" i="50"/>
  <c r="H4283" i="50"/>
  <c r="E4283" i="50"/>
  <c r="A4283" i="50"/>
  <c r="N4282" i="50"/>
  <c r="H4282" i="50"/>
  <c r="E4282" i="50"/>
  <c r="A4282" i="50"/>
  <c r="N4281" i="50"/>
  <c r="H4281" i="50"/>
  <c r="E4281" i="50"/>
  <c r="A4281" i="50"/>
  <c r="N4280" i="50"/>
  <c r="H4280" i="50"/>
  <c r="E4280" i="50"/>
  <c r="A4280" i="50"/>
  <c r="N4279" i="50"/>
  <c r="H4279" i="50"/>
  <c r="E4279" i="50"/>
  <c r="A4279" i="50"/>
  <c r="N4278" i="50"/>
  <c r="H4278" i="50"/>
  <c r="E4278" i="50"/>
  <c r="A4278" i="50"/>
  <c r="N4277" i="50"/>
  <c r="H4277" i="50"/>
  <c r="E4277" i="50"/>
  <c r="A4277" i="50"/>
  <c r="N4276" i="50"/>
  <c r="H4276" i="50"/>
  <c r="E4276" i="50"/>
  <c r="A4276" i="50"/>
  <c r="N4275" i="50"/>
  <c r="H4275" i="50"/>
  <c r="E4275" i="50"/>
  <c r="A4275" i="50"/>
  <c r="N4274" i="50"/>
  <c r="H4274" i="50"/>
  <c r="E4274" i="50"/>
  <c r="A4274" i="50"/>
  <c r="N4273" i="50"/>
  <c r="H4273" i="50"/>
  <c r="E4273" i="50"/>
  <c r="A4273" i="50"/>
  <c r="N4272" i="50"/>
  <c r="H4272" i="50"/>
  <c r="E4272" i="50"/>
  <c r="A4272" i="50"/>
  <c r="N4271" i="50"/>
  <c r="H4271" i="50"/>
  <c r="E4271" i="50"/>
  <c r="A4271" i="50"/>
  <c r="N4270" i="50"/>
  <c r="H4270" i="50"/>
  <c r="E4270" i="50"/>
  <c r="A4270" i="50"/>
  <c r="N4269" i="50"/>
  <c r="H4269" i="50"/>
  <c r="E4269" i="50"/>
  <c r="A4269" i="50"/>
  <c r="N4268" i="50"/>
  <c r="H4268" i="50"/>
  <c r="E4268" i="50"/>
  <c r="A4268" i="50"/>
  <c r="N4267" i="50"/>
  <c r="H4267" i="50"/>
  <c r="E4267" i="50"/>
  <c r="A4267" i="50"/>
  <c r="N4266" i="50"/>
  <c r="H4266" i="50"/>
  <c r="E4266" i="50"/>
  <c r="A4266" i="50"/>
  <c r="N4265" i="50"/>
  <c r="H4265" i="50"/>
  <c r="E4265" i="50"/>
  <c r="A4265" i="50"/>
  <c r="N4264" i="50"/>
  <c r="H4264" i="50"/>
  <c r="E4264" i="50"/>
  <c r="A4264" i="50"/>
  <c r="N4263" i="50"/>
  <c r="H4263" i="50"/>
  <c r="E4263" i="50"/>
  <c r="A4263" i="50"/>
  <c r="N4262" i="50"/>
  <c r="H4262" i="50"/>
  <c r="E4262" i="50"/>
  <c r="A4262" i="50"/>
  <c r="N4261" i="50"/>
  <c r="H4261" i="50"/>
  <c r="E4261" i="50"/>
  <c r="A4261" i="50"/>
  <c r="N4260" i="50"/>
  <c r="H4260" i="50"/>
  <c r="E4260" i="50"/>
  <c r="A4260" i="50"/>
  <c r="N4259" i="50"/>
  <c r="H4259" i="50"/>
  <c r="E4259" i="50"/>
  <c r="A4259" i="50"/>
  <c r="N4258" i="50"/>
  <c r="H4258" i="50"/>
  <c r="E4258" i="50"/>
  <c r="A4258" i="50"/>
  <c r="N4257" i="50"/>
  <c r="H4257" i="50"/>
  <c r="E4257" i="50"/>
  <c r="A4257" i="50"/>
  <c r="N4256" i="50"/>
  <c r="H4256" i="50"/>
  <c r="E4256" i="50"/>
  <c r="A4256" i="50"/>
  <c r="N4255" i="50"/>
  <c r="H4255" i="50"/>
  <c r="E4255" i="50"/>
  <c r="A4255" i="50"/>
  <c r="N4254" i="50"/>
  <c r="H4254" i="50"/>
  <c r="E4254" i="50"/>
  <c r="A4254" i="50"/>
  <c r="N4253" i="50"/>
  <c r="H4253" i="50"/>
  <c r="E4253" i="50"/>
  <c r="A4253" i="50"/>
  <c r="N4252" i="50"/>
  <c r="H4252" i="50"/>
  <c r="E4252" i="50"/>
  <c r="A4252" i="50"/>
  <c r="N4251" i="50"/>
  <c r="H4251" i="50"/>
  <c r="E4251" i="50"/>
  <c r="A4251" i="50"/>
  <c r="N4250" i="50"/>
  <c r="H4250" i="50"/>
  <c r="E4250" i="50"/>
  <c r="A4250" i="50"/>
  <c r="N4249" i="50"/>
  <c r="H4249" i="50"/>
  <c r="E4249" i="50"/>
  <c r="A4249" i="50"/>
  <c r="N4248" i="50"/>
  <c r="H4248" i="50"/>
  <c r="E4248" i="50"/>
  <c r="A4248" i="50"/>
  <c r="N4247" i="50"/>
  <c r="H4247" i="50"/>
  <c r="E4247" i="50"/>
  <c r="A4247" i="50"/>
  <c r="N4246" i="50"/>
  <c r="H4246" i="50"/>
  <c r="E4246" i="50"/>
  <c r="A4246" i="50"/>
  <c r="N4245" i="50"/>
  <c r="H4245" i="50"/>
  <c r="E4245" i="50"/>
  <c r="A4245" i="50"/>
  <c r="N4244" i="50"/>
  <c r="H4244" i="50"/>
  <c r="E4244" i="50"/>
  <c r="A4244" i="50"/>
  <c r="N4243" i="50"/>
  <c r="H4243" i="50"/>
  <c r="E4243" i="50"/>
  <c r="A4243" i="50"/>
  <c r="N4242" i="50"/>
  <c r="H4242" i="50"/>
  <c r="E4242" i="50"/>
  <c r="A4242" i="50"/>
  <c r="N4241" i="50"/>
  <c r="H4241" i="50"/>
  <c r="E4241" i="50"/>
  <c r="A4241" i="50"/>
  <c r="N4240" i="50"/>
  <c r="H4240" i="50"/>
  <c r="E4240" i="50"/>
  <c r="A4240" i="50"/>
  <c r="N4239" i="50"/>
  <c r="H4239" i="50"/>
  <c r="E4239" i="50"/>
  <c r="A4239" i="50"/>
  <c r="N4238" i="50"/>
  <c r="H4238" i="50"/>
  <c r="E4238" i="50"/>
  <c r="A4238" i="50"/>
  <c r="N4237" i="50"/>
  <c r="H4237" i="50"/>
  <c r="E4237" i="50"/>
  <c r="A4237" i="50"/>
  <c r="N4236" i="50"/>
  <c r="H4236" i="50"/>
  <c r="E4236" i="50"/>
  <c r="A4236" i="50"/>
  <c r="N4235" i="50"/>
  <c r="H4235" i="50"/>
  <c r="E4235" i="50"/>
  <c r="A4235" i="50"/>
  <c r="N4234" i="50"/>
  <c r="H4234" i="50"/>
  <c r="E4234" i="50"/>
  <c r="A4234" i="50"/>
  <c r="N4233" i="50"/>
  <c r="H4233" i="50"/>
  <c r="E4233" i="50"/>
  <c r="A4233" i="50"/>
  <c r="N4232" i="50"/>
  <c r="H4232" i="50"/>
  <c r="E4232" i="50"/>
  <c r="A4232" i="50"/>
  <c r="N4231" i="50"/>
  <c r="H4231" i="50"/>
  <c r="E4231" i="50"/>
  <c r="A4231" i="50"/>
  <c r="N4230" i="50"/>
  <c r="H4230" i="50"/>
  <c r="E4230" i="50"/>
  <c r="A4230" i="50"/>
  <c r="N4229" i="50"/>
  <c r="H4229" i="50"/>
  <c r="E4229" i="50"/>
  <c r="A4229" i="50"/>
  <c r="N4228" i="50"/>
  <c r="H4228" i="50"/>
  <c r="E4228" i="50"/>
  <c r="A4228" i="50"/>
  <c r="N4227" i="50"/>
  <c r="H4227" i="50"/>
  <c r="E4227" i="50"/>
  <c r="A4227" i="50"/>
  <c r="N4226" i="50"/>
  <c r="H4226" i="50"/>
  <c r="E4226" i="50"/>
  <c r="A4226" i="50"/>
  <c r="N4225" i="50"/>
  <c r="H4225" i="50"/>
  <c r="E4225" i="50"/>
  <c r="A4225" i="50"/>
  <c r="N4224" i="50"/>
  <c r="H4224" i="50"/>
  <c r="E4224" i="50"/>
  <c r="A4224" i="50"/>
  <c r="N4223" i="50"/>
  <c r="H4223" i="50"/>
  <c r="E4223" i="50"/>
  <c r="A4223" i="50"/>
  <c r="N4222" i="50"/>
  <c r="H4222" i="50"/>
  <c r="E4222" i="50"/>
  <c r="A4222" i="50"/>
  <c r="N4221" i="50"/>
  <c r="H4221" i="50"/>
  <c r="E4221" i="50"/>
  <c r="A4221" i="50"/>
  <c r="N4220" i="50"/>
  <c r="H4220" i="50"/>
  <c r="E4220" i="50"/>
  <c r="A4220" i="50"/>
  <c r="N4219" i="50"/>
  <c r="H4219" i="50"/>
  <c r="E4219" i="50"/>
  <c r="A4219" i="50"/>
  <c r="N4218" i="50"/>
  <c r="H4218" i="50"/>
  <c r="E4218" i="50"/>
  <c r="A4218" i="50"/>
  <c r="N4217" i="50"/>
  <c r="H4217" i="50"/>
  <c r="E4217" i="50"/>
  <c r="A4217" i="50"/>
  <c r="N4216" i="50"/>
  <c r="H4216" i="50"/>
  <c r="E4216" i="50"/>
  <c r="A4216" i="50"/>
  <c r="N4215" i="50"/>
  <c r="H4215" i="50"/>
  <c r="E4215" i="50"/>
  <c r="A4215" i="50"/>
  <c r="N4214" i="50"/>
  <c r="H4214" i="50"/>
  <c r="E4214" i="50"/>
  <c r="A4214" i="50"/>
  <c r="N4213" i="50"/>
  <c r="H4213" i="50"/>
  <c r="E4213" i="50"/>
  <c r="A4213" i="50"/>
  <c r="N4212" i="50"/>
  <c r="H4212" i="50"/>
  <c r="E4212" i="50"/>
  <c r="A4212" i="50"/>
  <c r="N4211" i="50"/>
  <c r="H4211" i="50"/>
  <c r="E4211" i="50"/>
  <c r="A4211" i="50"/>
  <c r="N4210" i="50"/>
  <c r="H4210" i="50"/>
  <c r="E4210" i="50"/>
  <c r="A4210" i="50"/>
  <c r="N4209" i="50"/>
  <c r="H4209" i="50"/>
  <c r="E4209" i="50"/>
  <c r="A4209" i="50"/>
  <c r="N4208" i="50"/>
  <c r="H4208" i="50"/>
  <c r="E4208" i="50"/>
  <c r="A4208" i="50"/>
  <c r="N4207" i="50"/>
  <c r="H4207" i="50"/>
  <c r="E4207" i="50"/>
  <c r="A4207" i="50"/>
  <c r="N4206" i="50"/>
  <c r="H4206" i="50"/>
  <c r="E4206" i="50"/>
  <c r="A4206" i="50"/>
  <c r="N4205" i="50"/>
  <c r="H4205" i="50"/>
  <c r="E4205" i="50"/>
  <c r="A4205" i="50"/>
  <c r="N4204" i="50"/>
  <c r="H4204" i="50"/>
  <c r="E4204" i="50"/>
  <c r="A4204" i="50"/>
  <c r="N4203" i="50"/>
  <c r="H4203" i="50"/>
  <c r="E4203" i="50"/>
  <c r="A4203" i="50"/>
  <c r="N4202" i="50"/>
  <c r="H4202" i="50"/>
  <c r="E4202" i="50"/>
  <c r="A4202" i="50"/>
  <c r="N4201" i="50"/>
  <c r="H4201" i="50"/>
  <c r="E4201" i="50"/>
  <c r="A4201" i="50"/>
  <c r="N4200" i="50"/>
  <c r="H4200" i="50"/>
  <c r="E4200" i="50"/>
  <c r="A4200" i="50"/>
  <c r="N4199" i="50"/>
  <c r="H4199" i="50"/>
  <c r="E4199" i="50"/>
  <c r="A4199" i="50"/>
  <c r="N4198" i="50"/>
  <c r="H4198" i="50"/>
  <c r="E4198" i="50"/>
  <c r="A4198" i="50"/>
  <c r="N4197" i="50"/>
  <c r="H4197" i="50"/>
  <c r="E4197" i="50"/>
  <c r="A4197" i="50"/>
  <c r="N4196" i="50"/>
  <c r="H4196" i="50"/>
  <c r="E4196" i="50"/>
  <c r="A4196" i="50"/>
  <c r="N4195" i="50"/>
  <c r="H4195" i="50"/>
  <c r="E4195" i="50"/>
  <c r="A4195" i="50"/>
  <c r="N4194" i="50"/>
  <c r="H4194" i="50"/>
  <c r="E4194" i="50"/>
  <c r="A4194" i="50"/>
  <c r="N4193" i="50"/>
  <c r="H4193" i="50"/>
  <c r="E4193" i="50"/>
  <c r="A4193" i="50"/>
  <c r="N4192" i="50"/>
  <c r="H4192" i="50"/>
  <c r="E4192" i="50"/>
  <c r="A4192" i="50"/>
  <c r="N4191" i="50"/>
  <c r="H4191" i="50"/>
  <c r="E4191" i="50"/>
  <c r="A4191" i="50"/>
  <c r="N4190" i="50"/>
  <c r="H4190" i="50"/>
  <c r="E4190" i="50"/>
  <c r="A4190" i="50"/>
  <c r="N4189" i="50"/>
  <c r="H4189" i="50"/>
  <c r="E4189" i="50"/>
  <c r="A4189" i="50"/>
  <c r="N4188" i="50"/>
  <c r="H4188" i="50"/>
  <c r="E4188" i="50"/>
  <c r="A4188" i="50"/>
  <c r="N4187" i="50"/>
  <c r="H4187" i="50"/>
  <c r="E4187" i="50"/>
  <c r="A4187" i="50"/>
  <c r="N4186" i="50"/>
  <c r="H4186" i="50"/>
  <c r="E4186" i="50"/>
  <c r="A4186" i="50"/>
  <c r="N4185" i="50"/>
  <c r="H4185" i="50"/>
  <c r="E4185" i="50"/>
  <c r="A4185" i="50"/>
  <c r="N4184" i="50"/>
  <c r="H4184" i="50"/>
  <c r="E4184" i="50"/>
  <c r="A4184" i="50"/>
  <c r="N4183" i="50"/>
  <c r="H4183" i="50"/>
  <c r="E4183" i="50"/>
  <c r="A4183" i="50"/>
  <c r="N4182" i="50"/>
  <c r="H4182" i="50"/>
  <c r="E4182" i="50"/>
  <c r="A4182" i="50"/>
  <c r="N4181" i="50"/>
  <c r="H4181" i="50"/>
  <c r="E4181" i="50"/>
  <c r="A4181" i="50"/>
  <c r="N4180" i="50"/>
  <c r="H4180" i="50"/>
  <c r="E4180" i="50"/>
  <c r="A4180" i="50"/>
  <c r="N4179" i="50"/>
  <c r="H4179" i="50"/>
  <c r="E4179" i="50"/>
  <c r="A4179" i="50"/>
  <c r="N4178" i="50"/>
  <c r="H4178" i="50"/>
  <c r="E4178" i="50"/>
  <c r="A4178" i="50"/>
  <c r="N4177" i="50"/>
  <c r="H4177" i="50"/>
  <c r="E4177" i="50"/>
  <c r="A4177" i="50"/>
  <c r="N4176" i="50"/>
  <c r="H4176" i="50"/>
  <c r="E4176" i="50"/>
  <c r="A4176" i="50"/>
  <c r="N4175" i="50"/>
  <c r="H4175" i="50"/>
  <c r="E4175" i="50"/>
  <c r="A4175" i="50"/>
  <c r="N4174" i="50"/>
  <c r="H4174" i="50"/>
  <c r="E4174" i="50"/>
  <c r="A4174" i="50"/>
  <c r="N4173" i="50"/>
  <c r="H4173" i="50"/>
  <c r="E4173" i="50"/>
  <c r="A4173" i="50"/>
  <c r="N4172" i="50"/>
  <c r="H4172" i="50"/>
  <c r="E4172" i="50"/>
  <c r="A4172" i="50"/>
  <c r="N4171" i="50"/>
  <c r="H4171" i="50"/>
  <c r="E4171" i="50"/>
  <c r="A4171" i="50"/>
  <c r="N4170" i="50"/>
  <c r="H4170" i="50"/>
  <c r="E4170" i="50"/>
  <c r="A4170" i="50"/>
  <c r="N4169" i="50"/>
  <c r="H4169" i="50"/>
  <c r="E4169" i="50"/>
  <c r="A4169" i="50"/>
  <c r="N4168" i="50"/>
  <c r="H4168" i="50"/>
  <c r="E4168" i="50"/>
  <c r="A4168" i="50"/>
  <c r="N4167" i="50"/>
  <c r="H4167" i="50"/>
  <c r="E4167" i="50"/>
  <c r="A4167" i="50"/>
  <c r="N4166" i="50"/>
  <c r="H4166" i="50"/>
  <c r="E4166" i="50"/>
  <c r="A4166" i="50"/>
  <c r="N4165" i="50"/>
  <c r="H4165" i="50"/>
  <c r="E4165" i="50"/>
  <c r="A4165" i="50"/>
  <c r="N4164" i="50"/>
  <c r="H4164" i="50"/>
  <c r="E4164" i="50"/>
  <c r="A4164" i="50"/>
  <c r="N4163" i="50"/>
  <c r="H4163" i="50"/>
  <c r="E4163" i="50"/>
  <c r="A4163" i="50"/>
  <c r="N4162" i="50"/>
  <c r="H4162" i="50"/>
  <c r="E4162" i="50"/>
  <c r="A4162" i="50"/>
  <c r="N4161" i="50"/>
  <c r="H4161" i="50"/>
  <c r="E4161" i="50"/>
  <c r="A4161" i="50"/>
  <c r="N4160" i="50"/>
  <c r="H4160" i="50"/>
  <c r="E4160" i="50"/>
  <c r="A4160" i="50"/>
  <c r="N4159" i="50"/>
  <c r="H4159" i="50"/>
  <c r="E4159" i="50"/>
  <c r="A4159" i="50"/>
  <c r="N4158" i="50"/>
  <c r="H4158" i="50"/>
  <c r="E4158" i="50"/>
  <c r="A4158" i="50"/>
  <c r="N4157" i="50"/>
  <c r="H4157" i="50"/>
  <c r="E4157" i="50"/>
  <c r="A4157" i="50"/>
  <c r="N4156" i="50"/>
  <c r="H4156" i="50"/>
  <c r="E4156" i="50"/>
  <c r="A4156" i="50"/>
  <c r="N4155" i="50"/>
  <c r="H4155" i="50"/>
  <c r="E4155" i="50"/>
  <c r="A4155" i="50"/>
  <c r="N4154" i="50"/>
  <c r="H4154" i="50"/>
  <c r="E4154" i="50"/>
  <c r="A4154" i="50"/>
  <c r="N4153" i="50"/>
  <c r="H4153" i="50"/>
  <c r="E4153" i="50"/>
  <c r="A4153" i="50"/>
  <c r="N4152" i="50"/>
  <c r="H4152" i="50"/>
  <c r="E4152" i="50"/>
  <c r="A4152" i="50"/>
  <c r="N4151" i="50"/>
  <c r="H4151" i="50"/>
  <c r="E4151" i="50"/>
  <c r="A4151" i="50"/>
  <c r="N4150" i="50"/>
  <c r="H4150" i="50"/>
  <c r="E4150" i="50"/>
  <c r="A4150" i="50"/>
  <c r="N4149" i="50"/>
  <c r="H4149" i="50"/>
  <c r="E4149" i="50"/>
  <c r="A4149" i="50"/>
  <c r="N4148" i="50"/>
  <c r="H4148" i="50"/>
  <c r="E4148" i="50"/>
  <c r="A4148" i="50"/>
  <c r="N4147" i="50"/>
  <c r="H4147" i="50"/>
  <c r="E4147" i="50"/>
  <c r="A4147" i="50"/>
  <c r="N4146" i="50"/>
  <c r="H4146" i="50"/>
  <c r="E4146" i="50"/>
  <c r="A4146" i="50"/>
  <c r="N4145" i="50"/>
  <c r="H4145" i="50"/>
  <c r="E4145" i="50"/>
  <c r="A4145" i="50"/>
  <c r="N4144" i="50"/>
  <c r="H4144" i="50"/>
  <c r="E4144" i="50"/>
  <c r="A4144" i="50"/>
  <c r="N4143" i="50"/>
  <c r="H4143" i="50"/>
  <c r="E4143" i="50"/>
  <c r="A4143" i="50"/>
  <c r="N4142" i="50"/>
  <c r="H4142" i="50"/>
  <c r="E4142" i="50"/>
  <c r="A4142" i="50"/>
  <c r="N4141" i="50"/>
  <c r="H4141" i="50"/>
  <c r="E4141" i="50"/>
  <c r="A4141" i="50"/>
  <c r="N4140" i="50"/>
  <c r="H4140" i="50"/>
  <c r="E4140" i="50"/>
  <c r="A4140" i="50"/>
  <c r="N4139" i="50"/>
  <c r="H4139" i="50"/>
  <c r="E4139" i="50"/>
  <c r="A4139" i="50"/>
  <c r="N4138" i="50"/>
  <c r="H4138" i="50"/>
  <c r="E4138" i="50"/>
  <c r="A4138" i="50"/>
  <c r="N4137" i="50"/>
  <c r="H4137" i="50"/>
  <c r="E4137" i="50"/>
  <c r="A4137" i="50"/>
  <c r="N4136" i="50"/>
  <c r="H4136" i="50"/>
  <c r="E4136" i="50"/>
  <c r="A4136" i="50"/>
  <c r="N4135" i="50"/>
  <c r="H4135" i="50"/>
  <c r="E4135" i="50"/>
  <c r="A4135" i="50"/>
  <c r="N4134" i="50"/>
  <c r="H4134" i="50"/>
  <c r="E4134" i="50"/>
  <c r="A4134" i="50"/>
  <c r="N4133" i="50"/>
  <c r="H4133" i="50"/>
  <c r="E4133" i="50"/>
  <c r="A4133" i="50"/>
  <c r="N4132" i="50"/>
  <c r="H4132" i="50"/>
  <c r="E4132" i="50"/>
  <c r="A4132" i="50"/>
  <c r="N4131" i="50"/>
  <c r="H4131" i="50"/>
  <c r="E4131" i="50"/>
  <c r="A4131" i="50"/>
  <c r="N4130" i="50"/>
  <c r="H4130" i="50"/>
  <c r="E4130" i="50"/>
  <c r="A4130" i="50"/>
  <c r="N4129" i="50"/>
  <c r="H4129" i="50"/>
  <c r="E4129" i="50"/>
  <c r="A4129" i="50"/>
  <c r="N4128" i="50"/>
  <c r="H4128" i="50"/>
  <c r="E4128" i="50"/>
  <c r="A4128" i="50"/>
  <c r="N4127" i="50"/>
  <c r="H4127" i="50"/>
  <c r="E4127" i="50"/>
  <c r="A4127" i="50"/>
  <c r="N4126" i="50"/>
  <c r="H4126" i="50"/>
  <c r="E4126" i="50"/>
  <c r="A4126" i="50"/>
  <c r="N4125" i="50"/>
  <c r="H4125" i="50"/>
  <c r="E4125" i="50"/>
  <c r="A4125" i="50"/>
  <c r="N4124" i="50"/>
  <c r="H4124" i="50"/>
  <c r="E4124" i="50"/>
  <c r="A4124" i="50"/>
  <c r="N4123" i="50"/>
  <c r="H4123" i="50"/>
  <c r="E4123" i="50"/>
  <c r="A4123" i="50"/>
  <c r="N4122" i="50"/>
  <c r="H4122" i="50"/>
  <c r="E4122" i="50"/>
  <c r="A4122" i="50"/>
  <c r="N4121" i="50"/>
  <c r="H4121" i="50"/>
  <c r="E4121" i="50"/>
  <c r="A4121" i="50"/>
  <c r="N4120" i="50"/>
  <c r="H4120" i="50"/>
  <c r="E4120" i="50"/>
  <c r="A4120" i="50"/>
  <c r="N4119" i="50"/>
  <c r="H4119" i="50"/>
  <c r="E4119" i="50"/>
  <c r="A4119" i="50"/>
  <c r="N4118" i="50"/>
  <c r="H4118" i="50"/>
  <c r="E4118" i="50"/>
  <c r="A4118" i="50"/>
  <c r="N4117" i="50"/>
  <c r="H4117" i="50"/>
  <c r="E4117" i="50"/>
  <c r="A4117" i="50"/>
  <c r="N4116" i="50"/>
  <c r="H4116" i="50"/>
  <c r="E4116" i="50"/>
  <c r="A4116" i="50"/>
  <c r="N4115" i="50"/>
  <c r="H4115" i="50"/>
  <c r="E4115" i="50"/>
  <c r="A4115" i="50"/>
  <c r="N4114" i="50"/>
  <c r="H4114" i="50"/>
  <c r="E4114" i="50"/>
  <c r="A4114" i="50"/>
  <c r="N4113" i="50"/>
  <c r="H4113" i="50"/>
  <c r="E4113" i="50"/>
  <c r="A4113" i="50"/>
  <c r="N4112" i="50"/>
  <c r="H4112" i="50"/>
  <c r="E4112" i="50"/>
  <c r="A4112" i="50"/>
  <c r="N4111" i="50"/>
  <c r="H4111" i="50"/>
  <c r="E4111" i="50"/>
  <c r="A4111" i="50"/>
  <c r="N4110" i="50"/>
  <c r="H4110" i="50"/>
  <c r="E4110" i="50"/>
  <c r="A4110" i="50"/>
  <c r="N4109" i="50"/>
  <c r="H4109" i="50"/>
  <c r="E4109" i="50"/>
  <c r="A4109" i="50"/>
  <c r="N4108" i="50"/>
  <c r="H4108" i="50"/>
  <c r="E4108" i="50"/>
  <c r="A4108" i="50"/>
  <c r="N4107" i="50"/>
  <c r="H4107" i="50"/>
  <c r="E4107" i="50"/>
  <c r="A4107" i="50"/>
  <c r="N4106" i="50"/>
  <c r="H4106" i="50"/>
  <c r="E4106" i="50"/>
  <c r="A4106" i="50"/>
  <c r="N4105" i="50"/>
  <c r="H4105" i="50"/>
  <c r="E4105" i="50"/>
  <c r="A4105" i="50"/>
  <c r="N4104" i="50"/>
  <c r="H4104" i="50"/>
  <c r="E4104" i="50"/>
  <c r="A4104" i="50"/>
  <c r="N4103" i="50"/>
  <c r="H4103" i="50"/>
  <c r="E4103" i="50"/>
  <c r="A4103" i="50"/>
  <c r="N4102" i="50"/>
  <c r="H4102" i="50"/>
  <c r="E4102" i="50"/>
  <c r="A4102" i="50"/>
  <c r="N4101" i="50"/>
  <c r="H4101" i="50"/>
  <c r="E4101" i="50"/>
  <c r="A4101" i="50"/>
  <c r="N4100" i="50"/>
  <c r="H4100" i="50"/>
  <c r="E4100" i="50"/>
  <c r="A4100" i="50"/>
  <c r="N4099" i="50"/>
  <c r="H4099" i="50"/>
  <c r="E4099" i="50"/>
  <c r="A4099" i="50"/>
  <c r="N4098" i="50"/>
  <c r="H4098" i="50"/>
  <c r="E4098" i="50"/>
  <c r="A4098" i="50"/>
  <c r="N4097" i="50"/>
  <c r="H4097" i="50"/>
  <c r="E4097" i="50"/>
  <c r="A4097" i="50"/>
  <c r="N4096" i="50"/>
  <c r="H4096" i="50"/>
  <c r="E4096" i="50"/>
  <c r="A4096" i="50"/>
  <c r="N4095" i="50"/>
  <c r="H4095" i="50"/>
  <c r="E4095" i="50"/>
  <c r="A4095" i="50"/>
  <c r="N4094" i="50"/>
  <c r="H4094" i="50"/>
  <c r="E4094" i="50"/>
  <c r="A4094" i="50"/>
  <c r="N4093" i="50"/>
  <c r="H4093" i="50"/>
  <c r="E4093" i="50"/>
  <c r="A4093" i="50"/>
  <c r="N4092" i="50"/>
  <c r="H4092" i="50"/>
  <c r="E4092" i="50"/>
  <c r="A4092" i="50"/>
  <c r="N4091" i="50"/>
  <c r="H4091" i="50"/>
  <c r="E4091" i="50"/>
  <c r="A4091" i="50"/>
  <c r="N4090" i="50"/>
  <c r="H4090" i="50"/>
  <c r="E4090" i="50"/>
  <c r="A4090" i="50"/>
  <c r="N4089" i="50"/>
  <c r="H4089" i="50"/>
  <c r="E4089" i="50"/>
  <c r="A4089" i="50"/>
  <c r="N4088" i="50"/>
  <c r="H4088" i="50"/>
  <c r="E4088" i="50"/>
  <c r="A4088" i="50"/>
  <c r="N4087" i="50"/>
  <c r="H4087" i="50"/>
  <c r="E4087" i="50"/>
  <c r="A4087" i="50"/>
  <c r="N4086" i="50"/>
  <c r="H4086" i="50"/>
  <c r="E4086" i="50"/>
  <c r="A4086" i="50"/>
  <c r="N4085" i="50"/>
  <c r="H4085" i="50"/>
  <c r="E4085" i="50"/>
  <c r="A4085" i="50"/>
  <c r="N4084" i="50"/>
  <c r="H4084" i="50"/>
  <c r="E4084" i="50"/>
  <c r="A4084" i="50"/>
  <c r="N4083" i="50"/>
  <c r="H4083" i="50"/>
  <c r="E4083" i="50"/>
  <c r="A4083" i="50"/>
  <c r="N4082" i="50"/>
  <c r="H4082" i="50"/>
  <c r="E4082" i="50"/>
  <c r="A4082" i="50"/>
  <c r="N4081" i="50"/>
  <c r="H4081" i="50"/>
  <c r="E4081" i="50"/>
  <c r="A4081" i="50"/>
  <c r="N4080" i="50"/>
  <c r="H4080" i="50"/>
  <c r="E4080" i="50"/>
  <c r="A4080" i="50"/>
  <c r="N4079" i="50"/>
  <c r="H4079" i="50"/>
  <c r="E4079" i="50"/>
  <c r="A4079" i="50"/>
  <c r="N4078" i="50"/>
  <c r="H4078" i="50"/>
  <c r="E4078" i="50"/>
  <c r="A4078" i="50"/>
  <c r="N4077" i="50"/>
  <c r="H4077" i="50"/>
  <c r="E4077" i="50"/>
  <c r="A4077" i="50"/>
  <c r="N4076" i="50"/>
  <c r="H4076" i="50"/>
  <c r="E4076" i="50"/>
  <c r="A4076" i="50"/>
  <c r="N4075" i="50"/>
  <c r="H4075" i="50"/>
  <c r="E4075" i="50"/>
  <c r="A4075" i="50"/>
  <c r="N4074" i="50"/>
  <c r="H4074" i="50"/>
  <c r="E4074" i="50"/>
  <c r="A4074" i="50"/>
  <c r="N4073" i="50"/>
  <c r="H4073" i="50"/>
  <c r="E4073" i="50"/>
  <c r="A4073" i="50"/>
  <c r="N4072" i="50"/>
  <c r="H4072" i="50"/>
  <c r="E4072" i="50"/>
  <c r="A4072" i="50"/>
  <c r="N4071" i="50"/>
  <c r="H4071" i="50"/>
  <c r="E4071" i="50"/>
  <c r="A4071" i="50"/>
  <c r="N4070" i="50"/>
  <c r="H4070" i="50"/>
  <c r="E4070" i="50"/>
  <c r="A4070" i="50"/>
  <c r="N4069" i="50"/>
  <c r="H4069" i="50"/>
  <c r="E4069" i="50"/>
  <c r="A4069" i="50"/>
  <c r="N4068" i="50"/>
  <c r="H4068" i="50"/>
  <c r="E4068" i="50"/>
  <c r="A4068" i="50"/>
  <c r="N4067" i="50"/>
  <c r="H4067" i="50"/>
  <c r="E4067" i="50"/>
  <c r="A4067" i="50"/>
  <c r="N4066" i="50"/>
  <c r="H4066" i="50"/>
  <c r="E4066" i="50"/>
  <c r="A4066" i="50"/>
  <c r="N4065" i="50"/>
  <c r="H4065" i="50"/>
  <c r="E4065" i="50"/>
  <c r="A4065" i="50"/>
  <c r="N4064" i="50"/>
  <c r="H4064" i="50"/>
  <c r="E4064" i="50"/>
  <c r="A4064" i="50"/>
  <c r="N4063" i="50"/>
  <c r="H4063" i="50"/>
  <c r="E4063" i="50"/>
  <c r="A4063" i="50"/>
  <c r="N4062" i="50"/>
  <c r="H4062" i="50"/>
  <c r="E4062" i="50"/>
  <c r="A4062" i="50"/>
  <c r="N4061" i="50"/>
  <c r="H4061" i="50"/>
  <c r="E4061" i="50"/>
  <c r="A4061" i="50"/>
  <c r="N4060" i="50"/>
  <c r="H4060" i="50"/>
  <c r="E4060" i="50"/>
  <c r="A4060" i="50"/>
  <c r="N4059" i="50"/>
  <c r="H4059" i="50"/>
  <c r="E4059" i="50"/>
  <c r="A4059" i="50"/>
  <c r="N4058" i="50"/>
  <c r="H4058" i="50"/>
  <c r="E4058" i="50"/>
  <c r="A4058" i="50"/>
  <c r="N4057" i="50"/>
  <c r="H4057" i="50"/>
  <c r="E4057" i="50"/>
  <c r="A4057" i="50"/>
  <c r="N4056" i="50"/>
  <c r="H4056" i="50"/>
  <c r="E4056" i="50"/>
  <c r="A4056" i="50"/>
  <c r="N4055" i="50"/>
  <c r="H4055" i="50"/>
  <c r="E4055" i="50"/>
  <c r="A4055" i="50"/>
  <c r="N4054" i="50"/>
  <c r="H4054" i="50"/>
  <c r="E4054" i="50"/>
  <c r="A4054" i="50"/>
  <c r="N4053" i="50"/>
  <c r="H4053" i="50"/>
  <c r="E4053" i="50"/>
  <c r="A4053" i="50"/>
  <c r="N4052" i="50"/>
  <c r="H4052" i="50"/>
  <c r="E4052" i="50"/>
  <c r="A4052" i="50"/>
  <c r="N4051" i="50"/>
  <c r="H4051" i="50"/>
  <c r="E4051" i="50"/>
  <c r="A4051" i="50"/>
  <c r="N4050" i="50"/>
  <c r="H4050" i="50"/>
  <c r="E4050" i="50"/>
  <c r="A4050" i="50"/>
  <c r="N4049" i="50"/>
  <c r="H4049" i="50"/>
  <c r="E4049" i="50"/>
  <c r="A4049" i="50"/>
  <c r="N4048" i="50"/>
  <c r="H4048" i="50"/>
  <c r="E4048" i="50"/>
  <c r="A4048" i="50"/>
  <c r="N4047" i="50"/>
  <c r="H4047" i="50"/>
  <c r="E4047" i="50"/>
  <c r="A4047" i="50"/>
  <c r="N4046" i="50"/>
  <c r="H4046" i="50"/>
  <c r="E4046" i="50"/>
  <c r="A4046" i="50"/>
  <c r="N4045" i="50"/>
  <c r="H4045" i="50"/>
  <c r="E4045" i="50"/>
  <c r="A4045" i="50"/>
  <c r="N4044" i="50"/>
  <c r="H4044" i="50"/>
  <c r="E4044" i="50"/>
  <c r="A4044" i="50"/>
  <c r="N4043" i="50"/>
  <c r="H4043" i="50"/>
  <c r="E4043" i="50"/>
  <c r="A4043" i="50"/>
  <c r="N4042" i="50"/>
  <c r="H4042" i="50"/>
  <c r="E4042" i="50"/>
  <c r="A4042" i="50"/>
  <c r="N4041" i="50"/>
  <c r="H4041" i="50"/>
  <c r="E4041" i="50"/>
  <c r="A4041" i="50"/>
  <c r="N4040" i="50"/>
  <c r="H4040" i="50"/>
  <c r="E4040" i="50"/>
  <c r="A4040" i="50"/>
  <c r="N4039" i="50"/>
  <c r="H4039" i="50"/>
  <c r="E4039" i="50"/>
  <c r="A4039" i="50"/>
  <c r="N4038" i="50"/>
  <c r="H4038" i="50"/>
  <c r="E4038" i="50"/>
  <c r="A4038" i="50"/>
  <c r="N4037" i="50"/>
  <c r="H4037" i="50"/>
  <c r="E4037" i="50"/>
  <c r="A4037" i="50"/>
  <c r="N4036" i="50"/>
  <c r="H4036" i="50"/>
  <c r="E4036" i="50"/>
  <c r="A4036" i="50"/>
  <c r="N4035" i="50"/>
  <c r="H4035" i="50"/>
  <c r="E4035" i="50"/>
  <c r="A4035" i="50"/>
  <c r="N4034" i="50"/>
  <c r="H4034" i="50"/>
  <c r="E4034" i="50"/>
  <c r="A4034" i="50"/>
  <c r="N4033" i="50"/>
  <c r="H4033" i="50"/>
  <c r="E4033" i="50"/>
  <c r="A4033" i="50"/>
  <c r="N4032" i="50"/>
  <c r="H4032" i="50"/>
  <c r="E4032" i="50"/>
  <c r="A4032" i="50"/>
  <c r="N4031" i="50"/>
  <c r="H4031" i="50"/>
  <c r="E4031" i="50"/>
  <c r="A4031" i="50"/>
  <c r="N4030" i="50"/>
  <c r="H4030" i="50"/>
  <c r="E4030" i="50"/>
  <c r="A4030" i="50"/>
  <c r="N4029" i="50"/>
  <c r="H4029" i="50"/>
  <c r="E4029" i="50"/>
  <c r="A4029" i="50"/>
  <c r="N4028" i="50"/>
  <c r="H4028" i="50"/>
  <c r="E4028" i="50"/>
  <c r="A4028" i="50"/>
  <c r="N4027" i="50"/>
  <c r="H4027" i="50"/>
  <c r="E4027" i="50"/>
  <c r="A4027" i="50"/>
  <c r="N4026" i="50"/>
  <c r="H4026" i="50"/>
  <c r="E4026" i="50"/>
  <c r="A4026" i="50"/>
  <c r="N4025" i="50"/>
  <c r="H4025" i="50"/>
  <c r="E4025" i="50"/>
  <c r="A4025" i="50"/>
  <c r="N4024" i="50"/>
  <c r="H4024" i="50"/>
  <c r="E4024" i="50"/>
  <c r="A4024" i="50"/>
  <c r="N4023" i="50"/>
  <c r="H4023" i="50"/>
  <c r="E4023" i="50"/>
  <c r="A4023" i="50"/>
  <c r="N4022" i="50"/>
  <c r="H4022" i="50"/>
  <c r="E4022" i="50"/>
  <c r="A4022" i="50"/>
  <c r="N4021" i="50"/>
  <c r="H4021" i="50"/>
  <c r="E4021" i="50"/>
  <c r="A4021" i="50"/>
  <c r="N4020" i="50"/>
  <c r="H4020" i="50"/>
  <c r="E4020" i="50"/>
  <c r="A4020" i="50"/>
  <c r="N4019" i="50"/>
  <c r="H4019" i="50"/>
  <c r="E4019" i="50"/>
  <c r="A4019" i="50"/>
  <c r="N4018" i="50"/>
  <c r="H4018" i="50"/>
  <c r="E4018" i="50"/>
  <c r="A4018" i="50"/>
  <c r="N4017" i="50"/>
  <c r="H4017" i="50"/>
  <c r="E4017" i="50"/>
  <c r="A4017" i="50"/>
  <c r="N4016" i="50"/>
  <c r="H4016" i="50"/>
  <c r="E4016" i="50"/>
  <c r="A4016" i="50"/>
  <c r="N4015" i="50"/>
  <c r="H4015" i="50"/>
  <c r="E4015" i="50"/>
  <c r="A4015" i="50"/>
  <c r="N4014" i="50"/>
  <c r="H4014" i="50"/>
  <c r="E4014" i="50"/>
  <c r="A4014" i="50"/>
  <c r="N4013" i="50"/>
  <c r="H4013" i="50"/>
  <c r="E4013" i="50"/>
  <c r="A4013" i="50"/>
  <c r="N4012" i="50"/>
  <c r="H4012" i="50"/>
  <c r="E4012" i="50"/>
  <c r="A4012" i="50"/>
  <c r="N4011" i="50"/>
  <c r="H4011" i="50"/>
  <c r="E4011" i="50"/>
  <c r="A4011" i="50"/>
  <c r="N4010" i="50"/>
  <c r="H4010" i="50"/>
  <c r="E4010" i="50"/>
  <c r="A4010" i="50"/>
  <c r="N4009" i="50"/>
  <c r="H4009" i="50"/>
  <c r="E4009" i="50"/>
  <c r="A4009" i="50"/>
  <c r="N4008" i="50"/>
  <c r="H4008" i="50"/>
  <c r="E4008" i="50"/>
  <c r="A4008" i="50"/>
  <c r="N4007" i="50"/>
  <c r="H4007" i="50"/>
  <c r="E4007" i="50"/>
  <c r="A4007" i="50"/>
  <c r="N4006" i="50"/>
  <c r="H4006" i="50"/>
  <c r="E4006" i="50"/>
  <c r="A4006" i="50"/>
  <c r="N4005" i="50"/>
  <c r="H4005" i="50"/>
  <c r="E4005" i="50"/>
  <c r="A4005" i="50"/>
  <c r="N4004" i="50"/>
  <c r="H4004" i="50"/>
  <c r="E4004" i="50"/>
  <c r="A4004" i="50"/>
  <c r="N4003" i="50"/>
  <c r="H4003" i="50"/>
  <c r="E4003" i="50"/>
  <c r="A4003" i="50"/>
  <c r="N4002" i="50"/>
  <c r="H4002" i="50"/>
  <c r="E4002" i="50"/>
  <c r="A4002" i="50"/>
  <c r="N4001" i="50"/>
  <c r="H4001" i="50"/>
  <c r="E4001" i="50"/>
  <c r="A4001" i="50"/>
  <c r="N4000" i="50"/>
  <c r="H4000" i="50"/>
  <c r="E4000" i="50"/>
  <c r="A4000" i="50"/>
  <c r="N3999" i="50"/>
  <c r="H3999" i="50"/>
  <c r="E3999" i="50"/>
  <c r="A3999" i="50"/>
  <c r="N3998" i="50"/>
  <c r="H3998" i="50"/>
  <c r="E3998" i="50"/>
  <c r="A3998" i="50"/>
  <c r="N3997" i="50"/>
  <c r="H3997" i="50"/>
  <c r="E3997" i="50"/>
  <c r="A3997" i="50"/>
  <c r="N3996" i="50"/>
  <c r="H3996" i="50"/>
  <c r="E3996" i="50"/>
  <c r="A3996" i="50"/>
  <c r="N3995" i="50"/>
  <c r="H3995" i="50"/>
  <c r="E3995" i="50"/>
  <c r="A3995" i="50"/>
  <c r="N3994" i="50"/>
  <c r="H3994" i="50"/>
  <c r="E3994" i="50"/>
  <c r="A3994" i="50"/>
  <c r="N3993" i="50"/>
  <c r="H3993" i="50"/>
  <c r="E3993" i="50"/>
  <c r="A3993" i="50"/>
  <c r="N3992" i="50"/>
  <c r="H3992" i="50"/>
  <c r="E3992" i="50"/>
  <c r="A3992" i="50"/>
  <c r="N3991" i="50"/>
  <c r="H3991" i="50"/>
  <c r="E3991" i="50"/>
  <c r="A3991" i="50"/>
  <c r="N3990" i="50"/>
  <c r="H3990" i="50"/>
  <c r="E3990" i="50"/>
  <c r="A3990" i="50"/>
  <c r="N3989" i="50"/>
  <c r="H3989" i="50"/>
  <c r="E3989" i="50"/>
  <c r="A3989" i="50"/>
  <c r="N3988" i="50"/>
  <c r="H3988" i="50"/>
  <c r="E3988" i="50"/>
  <c r="A3988" i="50"/>
  <c r="N3987" i="50"/>
  <c r="H3987" i="50"/>
  <c r="E3987" i="50"/>
  <c r="A3987" i="50"/>
  <c r="N3986" i="50"/>
  <c r="H3986" i="50"/>
  <c r="E3986" i="50"/>
  <c r="A3986" i="50"/>
  <c r="N3985" i="50"/>
  <c r="H3985" i="50"/>
  <c r="E3985" i="50"/>
  <c r="A3985" i="50"/>
  <c r="N3984" i="50"/>
  <c r="H3984" i="50"/>
  <c r="E3984" i="50"/>
  <c r="A3984" i="50"/>
  <c r="N3983" i="50"/>
  <c r="H3983" i="50"/>
  <c r="E3983" i="50"/>
  <c r="A3983" i="50"/>
  <c r="N3982" i="50"/>
  <c r="H3982" i="50"/>
  <c r="E3982" i="50"/>
  <c r="A3982" i="50"/>
  <c r="N3981" i="50"/>
  <c r="H3981" i="50"/>
  <c r="E3981" i="50"/>
  <c r="A3981" i="50"/>
  <c r="N3980" i="50"/>
  <c r="H3980" i="50"/>
  <c r="E3980" i="50"/>
  <c r="A3980" i="50"/>
  <c r="N3979" i="50"/>
  <c r="H3979" i="50"/>
  <c r="E3979" i="50"/>
  <c r="A3979" i="50"/>
  <c r="N3978" i="50"/>
  <c r="H3978" i="50"/>
  <c r="E3978" i="50"/>
  <c r="A3978" i="50"/>
  <c r="N3977" i="50"/>
  <c r="H3977" i="50"/>
  <c r="E3977" i="50"/>
  <c r="A3977" i="50"/>
  <c r="N3976" i="50"/>
  <c r="H3976" i="50"/>
  <c r="E3976" i="50"/>
  <c r="A3976" i="50"/>
  <c r="N3975" i="50"/>
  <c r="H3975" i="50"/>
  <c r="E3975" i="50"/>
  <c r="A3975" i="50"/>
  <c r="N3974" i="50"/>
  <c r="H3974" i="50"/>
  <c r="E3974" i="50"/>
  <c r="A3974" i="50"/>
  <c r="N3973" i="50"/>
  <c r="H3973" i="50"/>
  <c r="E3973" i="50"/>
  <c r="A3973" i="50"/>
  <c r="N3972" i="50"/>
  <c r="H3972" i="50"/>
  <c r="E3972" i="50"/>
  <c r="A3972" i="50"/>
  <c r="N3971" i="50"/>
  <c r="H3971" i="50"/>
  <c r="E3971" i="50"/>
  <c r="A3971" i="50"/>
  <c r="N3970" i="50"/>
  <c r="H3970" i="50"/>
  <c r="E3970" i="50"/>
  <c r="A3970" i="50"/>
  <c r="N3969" i="50"/>
  <c r="H3969" i="50"/>
  <c r="E3969" i="50"/>
  <c r="A3969" i="50"/>
  <c r="N3968" i="50"/>
  <c r="H3968" i="50"/>
  <c r="E3968" i="50"/>
  <c r="A3968" i="50"/>
  <c r="N3967" i="50"/>
  <c r="H3967" i="50"/>
  <c r="E3967" i="50"/>
  <c r="A3967" i="50"/>
  <c r="N3966" i="50"/>
  <c r="H3966" i="50"/>
  <c r="E3966" i="50"/>
  <c r="A3966" i="50"/>
  <c r="N3965" i="50"/>
  <c r="H3965" i="50"/>
  <c r="E3965" i="50"/>
  <c r="A3965" i="50"/>
  <c r="N3964" i="50"/>
  <c r="H3964" i="50"/>
  <c r="E3964" i="50"/>
  <c r="A3964" i="50"/>
  <c r="N3963" i="50"/>
  <c r="H3963" i="50"/>
  <c r="E3963" i="50"/>
  <c r="A3963" i="50"/>
  <c r="N3962" i="50"/>
  <c r="H3962" i="50"/>
  <c r="E3962" i="50"/>
  <c r="A3962" i="50"/>
  <c r="N3961" i="50"/>
  <c r="H3961" i="50"/>
  <c r="E3961" i="50"/>
  <c r="A3961" i="50"/>
  <c r="N3960" i="50"/>
  <c r="H3960" i="50"/>
  <c r="E3960" i="50"/>
  <c r="A3960" i="50"/>
  <c r="N3959" i="50"/>
  <c r="H3959" i="50"/>
  <c r="E3959" i="50"/>
  <c r="A3959" i="50"/>
  <c r="N3958" i="50"/>
  <c r="H3958" i="50"/>
  <c r="E3958" i="50"/>
  <c r="A3958" i="50"/>
  <c r="N3957" i="50"/>
  <c r="H3957" i="50"/>
  <c r="E3957" i="50"/>
  <c r="A3957" i="50"/>
  <c r="N3956" i="50"/>
  <c r="H3956" i="50"/>
  <c r="E3956" i="50"/>
  <c r="A3956" i="50"/>
  <c r="N3955" i="50"/>
  <c r="H3955" i="50"/>
  <c r="E3955" i="50"/>
  <c r="A3955" i="50"/>
  <c r="N3954" i="50"/>
  <c r="H3954" i="50"/>
  <c r="E3954" i="50"/>
  <c r="A3954" i="50"/>
  <c r="N3953" i="50"/>
  <c r="H3953" i="50"/>
  <c r="E3953" i="50"/>
  <c r="A3953" i="50"/>
  <c r="N3952" i="50"/>
  <c r="H3952" i="50"/>
  <c r="E3952" i="50"/>
  <c r="A3952" i="50"/>
  <c r="N3951" i="50"/>
  <c r="H3951" i="50"/>
  <c r="E3951" i="50"/>
  <c r="A3951" i="50"/>
  <c r="N3950" i="50"/>
  <c r="H3950" i="50"/>
  <c r="E3950" i="50"/>
  <c r="A3950" i="50"/>
  <c r="N3949" i="50"/>
  <c r="H3949" i="50"/>
  <c r="E3949" i="50"/>
  <c r="A3949" i="50"/>
  <c r="N3948" i="50"/>
  <c r="H3948" i="50"/>
  <c r="E3948" i="50"/>
  <c r="A3948" i="50"/>
  <c r="N3947" i="50"/>
  <c r="H3947" i="50"/>
  <c r="E3947" i="50"/>
  <c r="A3947" i="50"/>
  <c r="N3946" i="50"/>
  <c r="H3946" i="50"/>
  <c r="E3946" i="50"/>
  <c r="A3946" i="50"/>
  <c r="N3945" i="50"/>
  <c r="H3945" i="50"/>
  <c r="E3945" i="50"/>
  <c r="A3945" i="50"/>
  <c r="N3944" i="50"/>
  <c r="H3944" i="50"/>
  <c r="E3944" i="50"/>
  <c r="A3944" i="50"/>
  <c r="N3943" i="50"/>
  <c r="H3943" i="50"/>
  <c r="E3943" i="50"/>
  <c r="A3943" i="50"/>
  <c r="N3942" i="50"/>
  <c r="H3942" i="50"/>
  <c r="E3942" i="50"/>
  <c r="A3942" i="50"/>
  <c r="N3941" i="50"/>
  <c r="H3941" i="50"/>
  <c r="E3941" i="50"/>
  <c r="A3941" i="50"/>
  <c r="N3940" i="50"/>
  <c r="H3940" i="50"/>
  <c r="E3940" i="50"/>
  <c r="A3940" i="50"/>
  <c r="N3939" i="50"/>
  <c r="H3939" i="50"/>
  <c r="E3939" i="50"/>
  <c r="A3939" i="50"/>
  <c r="N3938" i="50"/>
  <c r="H3938" i="50"/>
  <c r="E3938" i="50"/>
  <c r="A3938" i="50"/>
  <c r="N3937" i="50"/>
  <c r="H3937" i="50"/>
  <c r="E3937" i="50"/>
  <c r="A3937" i="50"/>
  <c r="N3936" i="50"/>
  <c r="H3936" i="50"/>
  <c r="E3936" i="50"/>
  <c r="A3936" i="50"/>
  <c r="N3935" i="50"/>
  <c r="H3935" i="50"/>
  <c r="E3935" i="50"/>
  <c r="A3935" i="50"/>
  <c r="N3934" i="50"/>
  <c r="H3934" i="50"/>
  <c r="E3934" i="50"/>
  <c r="A3934" i="50"/>
  <c r="N3933" i="50"/>
  <c r="H3933" i="50"/>
  <c r="E3933" i="50"/>
  <c r="A3933" i="50"/>
  <c r="N3932" i="50"/>
  <c r="H3932" i="50"/>
  <c r="E3932" i="50"/>
  <c r="A3932" i="50"/>
  <c r="N3931" i="50"/>
  <c r="H3931" i="50"/>
  <c r="E3931" i="50"/>
  <c r="A3931" i="50"/>
  <c r="N3930" i="50"/>
  <c r="H3930" i="50"/>
  <c r="E3930" i="50"/>
  <c r="A3930" i="50"/>
  <c r="N3929" i="50"/>
  <c r="H3929" i="50"/>
  <c r="E3929" i="50"/>
  <c r="A3929" i="50"/>
  <c r="N3928" i="50"/>
  <c r="H3928" i="50"/>
  <c r="E3928" i="50"/>
  <c r="A3928" i="50"/>
  <c r="N3927" i="50"/>
  <c r="H3927" i="50"/>
  <c r="E3927" i="50"/>
  <c r="A3927" i="50"/>
  <c r="N3926" i="50"/>
  <c r="H3926" i="50"/>
  <c r="E3926" i="50"/>
  <c r="A3926" i="50"/>
  <c r="N3925" i="50"/>
  <c r="H3925" i="50"/>
  <c r="E3925" i="50"/>
  <c r="A3925" i="50"/>
  <c r="N3924" i="50"/>
  <c r="H3924" i="50"/>
  <c r="E3924" i="50"/>
  <c r="A3924" i="50"/>
  <c r="N3923" i="50"/>
  <c r="H3923" i="50"/>
  <c r="E3923" i="50"/>
  <c r="A3923" i="50"/>
  <c r="N3922" i="50"/>
  <c r="H3922" i="50"/>
  <c r="E3922" i="50"/>
  <c r="A3922" i="50"/>
  <c r="N3921" i="50"/>
  <c r="H3921" i="50"/>
  <c r="E3921" i="50"/>
  <c r="A3921" i="50"/>
  <c r="N3920" i="50"/>
  <c r="H3920" i="50"/>
  <c r="E3920" i="50"/>
  <c r="A3920" i="50"/>
  <c r="N3919" i="50"/>
  <c r="H3919" i="50"/>
  <c r="E3919" i="50"/>
  <c r="A3919" i="50"/>
  <c r="N3918" i="50"/>
  <c r="H3918" i="50"/>
  <c r="E3918" i="50"/>
  <c r="A3918" i="50"/>
  <c r="N3917" i="50"/>
  <c r="H3917" i="50"/>
  <c r="E3917" i="50"/>
  <c r="A3917" i="50"/>
  <c r="N3916" i="50"/>
  <c r="H3916" i="50"/>
  <c r="E3916" i="50"/>
  <c r="A3916" i="50"/>
  <c r="N3915" i="50"/>
  <c r="H3915" i="50"/>
  <c r="E3915" i="50"/>
  <c r="A3915" i="50"/>
  <c r="N3914" i="50"/>
  <c r="H3914" i="50"/>
  <c r="E3914" i="50"/>
  <c r="A3914" i="50"/>
  <c r="N3913" i="50"/>
  <c r="H3913" i="50"/>
  <c r="E3913" i="50"/>
  <c r="A3913" i="50"/>
  <c r="N3912" i="50"/>
  <c r="H3912" i="50"/>
  <c r="E3912" i="50"/>
  <c r="A3912" i="50"/>
  <c r="N3911" i="50"/>
  <c r="H3911" i="50"/>
  <c r="E3911" i="50"/>
  <c r="A3911" i="50"/>
  <c r="N3910" i="50"/>
  <c r="H3910" i="50"/>
  <c r="E3910" i="50"/>
  <c r="A3910" i="50"/>
  <c r="N3909" i="50"/>
  <c r="H3909" i="50"/>
  <c r="E3909" i="50"/>
  <c r="A3909" i="50"/>
  <c r="N3908" i="50"/>
  <c r="H3908" i="50"/>
  <c r="E3908" i="50"/>
  <c r="A3908" i="50"/>
  <c r="N3907" i="50"/>
  <c r="H3907" i="50"/>
  <c r="E3907" i="50"/>
  <c r="A3907" i="50"/>
  <c r="N3906" i="50"/>
  <c r="H3906" i="50"/>
  <c r="E3906" i="50"/>
  <c r="A3906" i="50"/>
  <c r="N3905" i="50"/>
  <c r="H3905" i="50"/>
  <c r="E3905" i="50"/>
  <c r="A3905" i="50"/>
  <c r="N3904" i="50"/>
  <c r="H3904" i="50"/>
  <c r="E3904" i="50"/>
  <c r="A3904" i="50"/>
  <c r="N3903" i="50"/>
  <c r="H3903" i="50"/>
  <c r="E3903" i="50"/>
  <c r="A3903" i="50"/>
  <c r="N3902" i="50"/>
  <c r="H3902" i="50"/>
  <c r="E3902" i="50"/>
  <c r="A3902" i="50"/>
  <c r="N3901" i="50"/>
  <c r="H3901" i="50"/>
  <c r="E3901" i="50"/>
  <c r="A3901" i="50"/>
  <c r="N3900" i="50"/>
  <c r="H3900" i="50"/>
  <c r="E3900" i="50"/>
  <c r="A3900" i="50"/>
  <c r="N3899" i="50"/>
  <c r="H3899" i="50"/>
  <c r="E3899" i="50"/>
  <c r="A3899" i="50"/>
  <c r="N3898" i="50"/>
  <c r="H3898" i="50"/>
  <c r="E3898" i="50"/>
  <c r="A3898" i="50"/>
  <c r="N3897" i="50"/>
  <c r="H3897" i="50"/>
  <c r="E3897" i="50"/>
  <c r="A3897" i="50"/>
  <c r="N3896" i="50"/>
  <c r="H3896" i="50"/>
  <c r="E3896" i="50"/>
  <c r="A3896" i="50"/>
  <c r="N3895" i="50"/>
  <c r="H3895" i="50"/>
  <c r="E3895" i="50"/>
  <c r="A3895" i="50"/>
  <c r="N3894" i="50"/>
  <c r="H3894" i="50"/>
  <c r="E3894" i="50"/>
  <c r="A3894" i="50"/>
  <c r="N3893" i="50"/>
  <c r="H3893" i="50"/>
  <c r="E3893" i="50"/>
  <c r="A3893" i="50"/>
  <c r="N3892" i="50"/>
  <c r="H3892" i="50"/>
  <c r="E3892" i="50"/>
  <c r="A3892" i="50"/>
  <c r="N3891" i="50"/>
  <c r="H3891" i="50"/>
  <c r="E3891" i="50"/>
  <c r="A3891" i="50"/>
  <c r="N3890" i="50"/>
  <c r="H3890" i="50"/>
  <c r="E3890" i="50"/>
  <c r="A3890" i="50"/>
  <c r="N3889" i="50"/>
  <c r="H3889" i="50"/>
  <c r="E3889" i="50"/>
  <c r="A3889" i="50"/>
  <c r="N3888" i="50"/>
  <c r="H3888" i="50"/>
  <c r="E3888" i="50"/>
  <c r="A3888" i="50"/>
  <c r="N3887" i="50"/>
  <c r="H3887" i="50"/>
  <c r="E3887" i="50"/>
  <c r="A3887" i="50"/>
  <c r="N3886" i="50"/>
  <c r="H3886" i="50"/>
  <c r="E3886" i="50"/>
  <c r="A3886" i="50"/>
  <c r="N3885" i="50"/>
  <c r="H3885" i="50"/>
  <c r="E3885" i="50"/>
  <c r="A3885" i="50"/>
  <c r="N3884" i="50"/>
  <c r="H3884" i="50"/>
  <c r="E3884" i="50"/>
  <c r="A3884" i="50"/>
  <c r="N3883" i="50"/>
  <c r="H3883" i="50"/>
  <c r="E3883" i="50"/>
  <c r="A3883" i="50"/>
  <c r="N3882" i="50"/>
  <c r="H3882" i="50"/>
  <c r="E3882" i="50"/>
  <c r="A3882" i="50"/>
  <c r="N3881" i="50"/>
  <c r="H3881" i="50"/>
  <c r="E3881" i="50"/>
  <c r="A3881" i="50"/>
  <c r="N3880" i="50"/>
  <c r="H3880" i="50"/>
  <c r="E3880" i="50"/>
  <c r="A3880" i="50"/>
  <c r="N3879" i="50"/>
  <c r="H3879" i="50"/>
  <c r="E3879" i="50"/>
  <c r="A3879" i="50"/>
  <c r="N3878" i="50"/>
  <c r="H3878" i="50"/>
  <c r="E3878" i="50"/>
  <c r="A3878" i="50"/>
  <c r="N3877" i="50"/>
  <c r="H3877" i="50"/>
  <c r="E3877" i="50"/>
  <c r="A3877" i="50"/>
  <c r="N3876" i="50"/>
  <c r="H3876" i="50"/>
  <c r="E3876" i="50"/>
  <c r="A3876" i="50"/>
  <c r="N3875" i="50"/>
  <c r="H3875" i="50"/>
  <c r="E3875" i="50"/>
  <c r="A3875" i="50"/>
  <c r="N3874" i="50"/>
  <c r="H3874" i="50"/>
  <c r="E3874" i="50"/>
  <c r="A3874" i="50"/>
  <c r="N3873" i="50"/>
  <c r="H3873" i="50"/>
  <c r="E3873" i="50"/>
  <c r="A3873" i="50"/>
  <c r="N3872" i="50"/>
  <c r="H3872" i="50"/>
  <c r="E3872" i="50"/>
  <c r="A3872" i="50"/>
  <c r="N3871" i="50"/>
  <c r="H3871" i="50"/>
  <c r="E3871" i="50"/>
  <c r="A3871" i="50"/>
  <c r="N3870" i="50"/>
  <c r="H3870" i="50"/>
  <c r="E3870" i="50"/>
  <c r="A3870" i="50"/>
  <c r="N3869" i="50"/>
  <c r="H3869" i="50"/>
  <c r="E3869" i="50"/>
  <c r="A3869" i="50"/>
  <c r="N3868" i="50"/>
  <c r="H3868" i="50"/>
  <c r="E3868" i="50"/>
  <c r="A3868" i="50"/>
  <c r="N3867" i="50"/>
  <c r="H3867" i="50"/>
  <c r="E3867" i="50"/>
  <c r="A3867" i="50"/>
  <c r="N3866" i="50"/>
  <c r="H3866" i="50"/>
  <c r="E3866" i="50"/>
  <c r="A3866" i="50"/>
  <c r="N3865" i="50"/>
  <c r="H3865" i="50"/>
  <c r="E3865" i="50"/>
  <c r="A3865" i="50"/>
  <c r="N3864" i="50"/>
  <c r="H3864" i="50"/>
  <c r="E3864" i="50"/>
  <c r="A3864" i="50"/>
  <c r="N3863" i="50"/>
  <c r="H3863" i="50"/>
  <c r="E3863" i="50"/>
  <c r="A3863" i="50"/>
  <c r="N3862" i="50"/>
  <c r="H3862" i="50"/>
  <c r="E3862" i="50"/>
  <c r="A3862" i="50"/>
  <c r="N3861" i="50"/>
  <c r="H3861" i="50"/>
  <c r="E3861" i="50"/>
  <c r="A3861" i="50"/>
  <c r="N3860" i="50"/>
  <c r="H3860" i="50"/>
  <c r="E3860" i="50"/>
  <c r="A3860" i="50"/>
  <c r="N3859" i="50"/>
  <c r="H3859" i="50"/>
  <c r="E3859" i="50"/>
  <c r="A3859" i="50"/>
  <c r="N3858" i="50"/>
  <c r="H3858" i="50"/>
  <c r="E3858" i="50"/>
  <c r="A3858" i="50"/>
  <c r="N3857" i="50"/>
  <c r="H3857" i="50"/>
  <c r="E3857" i="50"/>
  <c r="A3857" i="50"/>
  <c r="N3856" i="50"/>
  <c r="H3856" i="50"/>
  <c r="E3856" i="50"/>
  <c r="A3856" i="50"/>
  <c r="N3855" i="50"/>
  <c r="H3855" i="50"/>
  <c r="E3855" i="50"/>
  <c r="A3855" i="50"/>
  <c r="N3854" i="50"/>
  <c r="H3854" i="50"/>
  <c r="E3854" i="50"/>
  <c r="A3854" i="50"/>
  <c r="N3853" i="50"/>
  <c r="H3853" i="50"/>
  <c r="E3853" i="50"/>
  <c r="A3853" i="50"/>
  <c r="N3852" i="50"/>
  <c r="H3852" i="50"/>
  <c r="E3852" i="50"/>
  <c r="A3852" i="50"/>
  <c r="N3851" i="50"/>
  <c r="H3851" i="50"/>
  <c r="E3851" i="50"/>
  <c r="A3851" i="50"/>
  <c r="N3850" i="50"/>
  <c r="H3850" i="50"/>
  <c r="E3850" i="50"/>
  <c r="A3850" i="50"/>
  <c r="N3849" i="50"/>
  <c r="H3849" i="50"/>
  <c r="E3849" i="50"/>
  <c r="A3849" i="50"/>
  <c r="N3848" i="50"/>
  <c r="H3848" i="50"/>
  <c r="E3848" i="50"/>
  <c r="A3848" i="50"/>
  <c r="N3847" i="50"/>
  <c r="H3847" i="50"/>
  <c r="E3847" i="50"/>
  <c r="A3847" i="50"/>
  <c r="N3846" i="50"/>
  <c r="H3846" i="50"/>
  <c r="E3846" i="50"/>
  <c r="A3846" i="50"/>
  <c r="N3845" i="50"/>
  <c r="H3845" i="50"/>
  <c r="E3845" i="50"/>
  <c r="A3845" i="50"/>
  <c r="N3844" i="50"/>
  <c r="H3844" i="50"/>
  <c r="E3844" i="50"/>
  <c r="A3844" i="50"/>
  <c r="N3843" i="50"/>
  <c r="H3843" i="50"/>
  <c r="E3843" i="50"/>
  <c r="A3843" i="50"/>
  <c r="N3842" i="50"/>
  <c r="H3842" i="50"/>
  <c r="E3842" i="50"/>
  <c r="A3842" i="50"/>
  <c r="N3841" i="50"/>
  <c r="H3841" i="50"/>
  <c r="E3841" i="50"/>
  <c r="A3841" i="50"/>
  <c r="N3840" i="50"/>
  <c r="H3840" i="50"/>
  <c r="E3840" i="50"/>
  <c r="A3840" i="50"/>
  <c r="N3839" i="50"/>
  <c r="H3839" i="50"/>
  <c r="E3839" i="50"/>
  <c r="A3839" i="50"/>
  <c r="N3838" i="50"/>
  <c r="H3838" i="50"/>
  <c r="E3838" i="50"/>
  <c r="A3838" i="50"/>
  <c r="N3837" i="50"/>
  <c r="H3837" i="50"/>
  <c r="E3837" i="50"/>
  <c r="A3837" i="50"/>
  <c r="N3836" i="50"/>
  <c r="H3836" i="50"/>
  <c r="E3836" i="50"/>
  <c r="A3836" i="50"/>
  <c r="N3835" i="50"/>
  <c r="H3835" i="50"/>
  <c r="E3835" i="50"/>
  <c r="A3835" i="50"/>
  <c r="N3834" i="50"/>
  <c r="H3834" i="50"/>
  <c r="E3834" i="50"/>
  <c r="A3834" i="50"/>
  <c r="N3833" i="50"/>
  <c r="H3833" i="50"/>
  <c r="E3833" i="50"/>
  <c r="A3833" i="50"/>
  <c r="N3832" i="50"/>
  <c r="H3832" i="50"/>
  <c r="E3832" i="50"/>
  <c r="A3832" i="50"/>
  <c r="N3831" i="50"/>
  <c r="H3831" i="50"/>
  <c r="E3831" i="50"/>
  <c r="A3831" i="50"/>
  <c r="N3830" i="50"/>
  <c r="H3830" i="50"/>
  <c r="E3830" i="50"/>
  <c r="A3830" i="50"/>
  <c r="N3829" i="50"/>
  <c r="H3829" i="50"/>
  <c r="E3829" i="50"/>
  <c r="A3829" i="50"/>
  <c r="N3828" i="50"/>
  <c r="H3828" i="50"/>
  <c r="E3828" i="50"/>
  <c r="A3828" i="50"/>
  <c r="N3827" i="50"/>
  <c r="H3827" i="50"/>
  <c r="E3827" i="50"/>
  <c r="A3827" i="50"/>
  <c r="N3826" i="50"/>
  <c r="H3826" i="50"/>
  <c r="E3826" i="50"/>
  <c r="A3826" i="50"/>
  <c r="N3825" i="50"/>
  <c r="H3825" i="50"/>
  <c r="E3825" i="50"/>
  <c r="A3825" i="50"/>
  <c r="N3824" i="50"/>
  <c r="H3824" i="50"/>
  <c r="E3824" i="50"/>
  <c r="A3824" i="50"/>
  <c r="N3823" i="50"/>
  <c r="H3823" i="50"/>
  <c r="E3823" i="50"/>
  <c r="A3823" i="50"/>
  <c r="N3822" i="50"/>
  <c r="H3822" i="50"/>
  <c r="E3822" i="50"/>
  <c r="A3822" i="50"/>
  <c r="N3821" i="50"/>
  <c r="H3821" i="50"/>
  <c r="E3821" i="50"/>
  <c r="A3821" i="50"/>
  <c r="N3820" i="50"/>
  <c r="H3820" i="50"/>
  <c r="E3820" i="50"/>
  <c r="A3820" i="50"/>
  <c r="N3819" i="50"/>
  <c r="H3819" i="50"/>
  <c r="E3819" i="50"/>
  <c r="A3819" i="50"/>
  <c r="N3818" i="50"/>
  <c r="H3818" i="50"/>
  <c r="E3818" i="50"/>
  <c r="A3818" i="50"/>
  <c r="N3817" i="50"/>
  <c r="H3817" i="50"/>
  <c r="E3817" i="50"/>
  <c r="A3817" i="50"/>
  <c r="N3816" i="50"/>
  <c r="H3816" i="50"/>
  <c r="E3816" i="50"/>
  <c r="A3816" i="50"/>
  <c r="N3815" i="50"/>
  <c r="H3815" i="50"/>
  <c r="E3815" i="50"/>
  <c r="A3815" i="50"/>
  <c r="N3814" i="50"/>
  <c r="H3814" i="50"/>
  <c r="E3814" i="50"/>
  <c r="A3814" i="50"/>
  <c r="N3813" i="50"/>
  <c r="H3813" i="50"/>
  <c r="E3813" i="50"/>
  <c r="A3813" i="50"/>
  <c r="N3812" i="50"/>
  <c r="H3812" i="50"/>
  <c r="E3812" i="50"/>
  <c r="A3812" i="50"/>
  <c r="N3811" i="50"/>
  <c r="H3811" i="50"/>
  <c r="E3811" i="50"/>
  <c r="A3811" i="50"/>
  <c r="N3810" i="50"/>
  <c r="H3810" i="50"/>
  <c r="E3810" i="50"/>
  <c r="A3810" i="50"/>
  <c r="N3809" i="50"/>
  <c r="H3809" i="50"/>
  <c r="E3809" i="50"/>
  <c r="A3809" i="50"/>
  <c r="N3808" i="50"/>
  <c r="H3808" i="50"/>
  <c r="E3808" i="50"/>
  <c r="A3808" i="50"/>
  <c r="N3807" i="50"/>
  <c r="H3807" i="50"/>
  <c r="E3807" i="50"/>
  <c r="A3807" i="50"/>
  <c r="N3806" i="50"/>
  <c r="H3806" i="50"/>
  <c r="E3806" i="50"/>
  <c r="A3806" i="50"/>
  <c r="N3805" i="50"/>
  <c r="H3805" i="50"/>
  <c r="E3805" i="50"/>
  <c r="A3805" i="50"/>
  <c r="N3804" i="50"/>
  <c r="H3804" i="50"/>
  <c r="E3804" i="50"/>
  <c r="A3804" i="50"/>
  <c r="N3803" i="50"/>
  <c r="H3803" i="50"/>
  <c r="E3803" i="50"/>
  <c r="A3803" i="50"/>
  <c r="N3802" i="50"/>
  <c r="H3802" i="50"/>
  <c r="E3802" i="50"/>
  <c r="A3802" i="50"/>
  <c r="N3801" i="50"/>
  <c r="H3801" i="50"/>
  <c r="E3801" i="50"/>
  <c r="A3801" i="50"/>
  <c r="N3800" i="50"/>
  <c r="H3800" i="50"/>
  <c r="E3800" i="50"/>
  <c r="A3800" i="50"/>
  <c r="N3799" i="50"/>
  <c r="H3799" i="50"/>
  <c r="E3799" i="50"/>
  <c r="A3799" i="50"/>
  <c r="N3798" i="50"/>
  <c r="H3798" i="50"/>
  <c r="E3798" i="50"/>
  <c r="A3798" i="50"/>
  <c r="N3797" i="50"/>
  <c r="H3797" i="50"/>
  <c r="E3797" i="50"/>
  <c r="A3797" i="50"/>
  <c r="N3796" i="50"/>
  <c r="H3796" i="50"/>
  <c r="E3796" i="50"/>
  <c r="A3796" i="50"/>
  <c r="N3795" i="50"/>
  <c r="H3795" i="50"/>
  <c r="E3795" i="50"/>
  <c r="A3795" i="50"/>
  <c r="N3794" i="50"/>
  <c r="H3794" i="50"/>
  <c r="E3794" i="50"/>
  <c r="A3794" i="50"/>
  <c r="N3793" i="50"/>
  <c r="H3793" i="50"/>
  <c r="E3793" i="50"/>
  <c r="A3793" i="50"/>
  <c r="N3792" i="50"/>
  <c r="H3792" i="50"/>
  <c r="E3792" i="50"/>
  <c r="A3792" i="50"/>
  <c r="N3791" i="50"/>
  <c r="H3791" i="50"/>
  <c r="E3791" i="50"/>
  <c r="A3791" i="50"/>
  <c r="N3790" i="50"/>
  <c r="H3790" i="50"/>
  <c r="E3790" i="50"/>
  <c r="A3790" i="50"/>
  <c r="N3789" i="50"/>
  <c r="H3789" i="50"/>
  <c r="E3789" i="50"/>
  <c r="A3789" i="50"/>
  <c r="N3788" i="50"/>
  <c r="H3788" i="50"/>
  <c r="E3788" i="50"/>
  <c r="A3788" i="50"/>
  <c r="N3787" i="50"/>
  <c r="H3787" i="50"/>
  <c r="E3787" i="50"/>
  <c r="A3787" i="50"/>
  <c r="N3786" i="50"/>
  <c r="H3786" i="50"/>
  <c r="E3786" i="50"/>
  <c r="A3786" i="50"/>
  <c r="N3785" i="50"/>
  <c r="H3785" i="50"/>
  <c r="E3785" i="50"/>
  <c r="A3785" i="50"/>
  <c r="N3784" i="50"/>
  <c r="H3784" i="50"/>
  <c r="E3784" i="50"/>
  <c r="A3784" i="50"/>
  <c r="N3783" i="50"/>
  <c r="H3783" i="50"/>
  <c r="E3783" i="50"/>
  <c r="A3783" i="50"/>
  <c r="N3782" i="50"/>
  <c r="H3782" i="50"/>
  <c r="E3782" i="50"/>
  <c r="A3782" i="50"/>
  <c r="N3781" i="50"/>
  <c r="H3781" i="50"/>
  <c r="E3781" i="50"/>
  <c r="A3781" i="50"/>
  <c r="N3780" i="50"/>
  <c r="H3780" i="50"/>
  <c r="E3780" i="50"/>
  <c r="A3780" i="50"/>
  <c r="N3779" i="50"/>
  <c r="H3779" i="50"/>
  <c r="E3779" i="50"/>
  <c r="A3779" i="50"/>
  <c r="N3778" i="50"/>
  <c r="H3778" i="50"/>
  <c r="E3778" i="50"/>
  <c r="A3778" i="50"/>
  <c r="N3777" i="50"/>
  <c r="H3777" i="50"/>
  <c r="E3777" i="50"/>
  <c r="A3777" i="50"/>
  <c r="N3776" i="50"/>
  <c r="H3776" i="50"/>
  <c r="E3776" i="50"/>
  <c r="A3776" i="50"/>
  <c r="N3775" i="50"/>
  <c r="H3775" i="50"/>
  <c r="E3775" i="50"/>
  <c r="A3775" i="50"/>
  <c r="N3774" i="50"/>
  <c r="H3774" i="50"/>
  <c r="E3774" i="50"/>
  <c r="A3774" i="50"/>
  <c r="N3773" i="50"/>
  <c r="H3773" i="50"/>
  <c r="E3773" i="50"/>
  <c r="A3773" i="50"/>
  <c r="N3772" i="50"/>
  <c r="H3772" i="50"/>
  <c r="E3772" i="50"/>
  <c r="A3772" i="50"/>
  <c r="N3771" i="50"/>
  <c r="H3771" i="50"/>
  <c r="E3771" i="50"/>
  <c r="A3771" i="50"/>
  <c r="N3770" i="50"/>
  <c r="H3770" i="50"/>
  <c r="E3770" i="50"/>
  <c r="A3770" i="50"/>
  <c r="N3769" i="50"/>
  <c r="H3769" i="50"/>
  <c r="E3769" i="50"/>
  <c r="A3769" i="50"/>
  <c r="N3768" i="50"/>
  <c r="H3768" i="50"/>
  <c r="E3768" i="50"/>
  <c r="A3768" i="50"/>
  <c r="N3767" i="50"/>
  <c r="H3767" i="50"/>
  <c r="E3767" i="50"/>
  <c r="A3767" i="50"/>
  <c r="N3766" i="50"/>
  <c r="H3766" i="50"/>
  <c r="E3766" i="50"/>
  <c r="A3766" i="50"/>
  <c r="N3765" i="50"/>
  <c r="H3765" i="50"/>
  <c r="E3765" i="50"/>
  <c r="A3765" i="50"/>
  <c r="N3764" i="50"/>
  <c r="H3764" i="50"/>
  <c r="E3764" i="50"/>
  <c r="A3764" i="50"/>
  <c r="N3763" i="50"/>
  <c r="H3763" i="50"/>
  <c r="E3763" i="50"/>
  <c r="A3763" i="50"/>
  <c r="N3762" i="50"/>
  <c r="H3762" i="50"/>
  <c r="E3762" i="50"/>
  <c r="A3762" i="50"/>
  <c r="N3761" i="50"/>
  <c r="H3761" i="50"/>
  <c r="E3761" i="50"/>
  <c r="A3761" i="50"/>
  <c r="N3760" i="50"/>
  <c r="H3760" i="50"/>
  <c r="E3760" i="50"/>
  <c r="A3760" i="50"/>
  <c r="N3759" i="50"/>
  <c r="H3759" i="50"/>
  <c r="E3759" i="50"/>
  <c r="A3759" i="50"/>
  <c r="N3758" i="50"/>
  <c r="H3758" i="50"/>
  <c r="E3758" i="50"/>
  <c r="A3758" i="50"/>
  <c r="N3757" i="50"/>
  <c r="H3757" i="50"/>
  <c r="E3757" i="50"/>
  <c r="A3757" i="50"/>
  <c r="N3756" i="50"/>
  <c r="H3756" i="50"/>
  <c r="E3756" i="50"/>
  <c r="A3756" i="50"/>
  <c r="N3755" i="50"/>
  <c r="H3755" i="50"/>
  <c r="E3755" i="50"/>
  <c r="A3755" i="50"/>
  <c r="N3754" i="50"/>
  <c r="H3754" i="50"/>
  <c r="E3754" i="50"/>
  <c r="A3754" i="50"/>
  <c r="N3753" i="50"/>
  <c r="H3753" i="50"/>
  <c r="E3753" i="50"/>
  <c r="A3753" i="50"/>
  <c r="N3752" i="50"/>
  <c r="H3752" i="50"/>
  <c r="E3752" i="50"/>
  <c r="A3752" i="50"/>
  <c r="N3751" i="50"/>
  <c r="H3751" i="50"/>
  <c r="E3751" i="50"/>
  <c r="A3751" i="50"/>
  <c r="N3750" i="50"/>
  <c r="H3750" i="50"/>
  <c r="E3750" i="50"/>
  <c r="A3750" i="50"/>
  <c r="N3749" i="50"/>
  <c r="H3749" i="50"/>
  <c r="E3749" i="50"/>
  <c r="A3749" i="50"/>
  <c r="N3748" i="50"/>
  <c r="H3748" i="50"/>
  <c r="E3748" i="50"/>
  <c r="A3748" i="50"/>
  <c r="N3747" i="50"/>
  <c r="H3747" i="50"/>
  <c r="E3747" i="50"/>
  <c r="A3747" i="50"/>
  <c r="N3746" i="50"/>
  <c r="H3746" i="50"/>
  <c r="E3746" i="50"/>
  <c r="A3746" i="50"/>
  <c r="N3745" i="50"/>
  <c r="H3745" i="50"/>
  <c r="E3745" i="50"/>
  <c r="A3745" i="50"/>
  <c r="N3744" i="50"/>
  <c r="H3744" i="50"/>
  <c r="E3744" i="50"/>
  <c r="A3744" i="50"/>
  <c r="N3743" i="50"/>
  <c r="H3743" i="50"/>
  <c r="E3743" i="50"/>
  <c r="A3743" i="50"/>
  <c r="N3742" i="50"/>
  <c r="H3742" i="50"/>
  <c r="E3742" i="50"/>
  <c r="A3742" i="50"/>
  <c r="N3741" i="50"/>
  <c r="H3741" i="50"/>
  <c r="E3741" i="50"/>
  <c r="A3741" i="50"/>
  <c r="N3740" i="50"/>
  <c r="H3740" i="50"/>
  <c r="E3740" i="50"/>
  <c r="A3740" i="50"/>
  <c r="N3739" i="50"/>
  <c r="H3739" i="50"/>
  <c r="E3739" i="50"/>
  <c r="A3739" i="50"/>
  <c r="N3738" i="50"/>
  <c r="H3738" i="50"/>
  <c r="E3738" i="50"/>
  <c r="A3738" i="50"/>
  <c r="N3737" i="50"/>
  <c r="H3737" i="50"/>
  <c r="E3737" i="50"/>
  <c r="A3737" i="50"/>
  <c r="N3736" i="50"/>
  <c r="H3736" i="50"/>
  <c r="E3736" i="50"/>
  <c r="A3736" i="50"/>
  <c r="N3735" i="50"/>
  <c r="H3735" i="50"/>
  <c r="E3735" i="50"/>
  <c r="A3735" i="50"/>
  <c r="N3734" i="50"/>
  <c r="H3734" i="50"/>
  <c r="E3734" i="50"/>
  <c r="A3734" i="50"/>
  <c r="N3733" i="50"/>
  <c r="H3733" i="50"/>
  <c r="E3733" i="50"/>
  <c r="A3733" i="50"/>
  <c r="N3732" i="50"/>
  <c r="H3732" i="50"/>
  <c r="E3732" i="50"/>
  <c r="A3732" i="50"/>
  <c r="N3731" i="50"/>
  <c r="H3731" i="50"/>
  <c r="E3731" i="50"/>
  <c r="A3731" i="50"/>
  <c r="N3730" i="50"/>
  <c r="H3730" i="50"/>
  <c r="E3730" i="50"/>
  <c r="A3730" i="50"/>
  <c r="N3729" i="50"/>
  <c r="H3729" i="50"/>
  <c r="E3729" i="50"/>
  <c r="A3729" i="50"/>
  <c r="N3728" i="50"/>
  <c r="H3728" i="50"/>
  <c r="E3728" i="50"/>
  <c r="A3728" i="50"/>
  <c r="N3727" i="50"/>
  <c r="H3727" i="50"/>
  <c r="E3727" i="50"/>
  <c r="A3727" i="50"/>
  <c r="N3726" i="50"/>
  <c r="H3726" i="50"/>
  <c r="E3726" i="50"/>
  <c r="A3726" i="50"/>
  <c r="N3725" i="50"/>
  <c r="H3725" i="50"/>
  <c r="E3725" i="50"/>
  <c r="A3725" i="50"/>
  <c r="N3724" i="50"/>
  <c r="H3724" i="50"/>
  <c r="E3724" i="50"/>
  <c r="A3724" i="50"/>
  <c r="N3723" i="50"/>
  <c r="H3723" i="50"/>
  <c r="E3723" i="50"/>
  <c r="A3723" i="50"/>
  <c r="N3722" i="50"/>
  <c r="H3722" i="50"/>
  <c r="E3722" i="50"/>
  <c r="A3722" i="50"/>
  <c r="N3721" i="50"/>
  <c r="H3721" i="50"/>
  <c r="E3721" i="50"/>
  <c r="A3721" i="50"/>
  <c r="N3720" i="50"/>
  <c r="H3720" i="50"/>
  <c r="E3720" i="50"/>
  <c r="A3720" i="50"/>
  <c r="N3719" i="50"/>
  <c r="H3719" i="50"/>
  <c r="E3719" i="50"/>
  <c r="A3719" i="50"/>
  <c r="N3718" i="50"/>
  <c r="H3718" i="50"/>
  <c r="E3718" i="50"/>
  <c r="A3718" i="50"/>
  <c r="N3717" i="50"/>
  <c r="H3717" i="50"/>
  <c r="E3717" i="50"/>
  <c r="A3717" i="50"/>
  <c r="N3716" i="50"/>
  <c r="H3716" i="50"/>
  <c r="E3716" i="50"/>
  <c r="A3716" i="50"/>
  <c r="N3715" i="50"/>
  <c r="H3715" i="50"/>
  <c r="E3715" i="50"/>
  <c r="A3715" i="50"/>
  <c r="N3714" i="50"/>
  <c r="H3714" i="50"/>
  <c r="E3714" i="50"/>
  <c r="A3714" i="50"/>
  <c r="N3713" i="50"/>
  <c r="H3713" i="50"/>
  <c r="E3713" i="50"/>
  <c r="A3713" i="50"/>
  <c r="N3712" i="50"/>
  <c r="H3712" i="50"/>
  <c r="E3712" i="50"/>
  <c r="A3712" i="50"/>
  <c r="N3711" i="50"/>
  <c r="H3711" i="50"/>
  <c r="E3711" i="50"/>
  <c r="A3711" i="50"/>
  <c r="N3710" i="50"/>
  <c r="H3710" i="50"/>
  <c r="E3710" i="50"/>
  <c r="A3710" i="50"/>
  <c r="N3709" i="50"/>
  <c r="H3709" i="50"/>
  <c r="E3709" i="50"/>
  <c r="A3709" i="50"/>
  <c r="N3708" i="50"/>
  <c r="H3708" i="50"/>
  <c r="E3708" i="50"/>
  <c r="A3708" i="50"/>
  <c r="N3707" i="50"/>
  <c r="H3707" i="50"/>
  <c r="E3707" i="50"/>
  <c r="A3707" i="50"/>
  <c r="N3706" i="50"/>
  <c r="H3706" i="50"/>
  <c r="E3706" i="50"/>
  <c r="A3706" i="50"/>
  <c r="N3705" i="50"/>
  <c r="H3705" i="50"/>
  <c r="E3705" i="50"/>
  <c r="A3705" i="50"/>
  <c r="N3704" i="50"/>
  <c r="H3704" i="50"/>
  <c r="E3704" i="50"/>
  <c r="A3704" i="50"/>
  <c r="N3703" i="50"/>
  <c r="H3703" i="50"/>
  <c r="E3703" i="50"/>
  <c r="A3703" i="50"/>
  <c r="N3702" i="50"/>
  <c r="H3702" i="50"/>
  <c r="E3702" i="50"/>
  <c r="A3702" i="50"/>
  <c r="N3701" i="50"/>
  <c r="H3701" i="50"/>
  <c r="E3701" i="50"/>
  <c r="A3701" i="50"/>
  <c r="N3700" i="50"/>
  <c r="H3700" i="50"/>
  <c r="E3700" i="50"/>
  <c r="A3700" i="50"/>
  <c r="N3699" i="50"/>
  <c r="H3699" i="50"/>
  <c r="E3699" i="50"/>
  <c r="A3699" i="50"/>
  <c r="N3698" i="50"/>
  <c r="H3698" i="50"/>
  <c r="E3698" i="50"/>
  <c r="A3698" i="50"/>
  <c r="N3697" i="50"/>
  <c r="H3697" i="50"/>
  <c r="E3697" i="50"/>
  <c r="A3697" i="50"/>
  <c r="N3696" i="50"/>
  <c r="H3696" i="50"/>
  <c r="E3696" i="50"/>
  <c r="A3696" i="50"/>
  <c r="N3695" i="50"/>
  <c r="H3695" i="50"/>
  <c r="E3695" i="50"/>
  <c r="A3695" i="50"/>
  <c r="N3694" i="50"/>
  <c r="H3694" i="50"/>
  <c r="E3694" i="50"/>
  <c r="A3694" i="50"/>
  <c r="N3693" i="50"/>
  <c r="H3693" i="50"/>
  <c r="E3693" i="50"/>
  <c r="A3693" i="50"/>
  <c r="N3692" i="50"/>
  <c r="H3692" i="50"/>
  <c r="E3692" i="50"/>
  <c r="A3692" i="50"/>
  <c r="N3691" i="50"/>
  <c r="H3691" i="50"/>
  <c r="E3691" i="50"/>
  <c r="A3691" i="50"/>
  <c r="N3690" i="50"/>
  <c r="H3690" i="50"/>
  <c r="E3690" i="50"/>
  <c r="A3690" i="50"/>
  <c r="N3689" i="50"/>
  <c r="H3689" i="50"/>
  <c r="E3689" i="50"/>
  <c r="A3689" i="50"/>
  <c r="N3688" i="50"/>
  <c r="H3688" i="50"/>
  <c r="E3688" i="50"/>
  <c r="A3688" i="50"/>
  <c r="N3687" i="50"/>
  <c r="H3687" i="50"/>
  <c r="E3687" i="50"/>
  <c r="A3687" i="50"/>
  <c r="N3686" i="50"/>
  <c r="H3686" i="50"/>
  <c r="E3686" i="50"/>
  <c r="A3686" i="50"/>
  <c r="N3685" i="50"/>
  <c r="H3685" i="50"/>
  <c r="E3685" i="50"/>
  <c r="A3685" i="50"/>
  <c r="N3684" i="50"/>
  <c r="H3684" i="50"/>
  <c r="E3684" i="50"/>
  <c r="A3684" i="50"/>
  <c r="N3683" i="50"/>
  <c r="H3683" i="50"/>
  <c r="E3683" i="50"/>
  <c r="A3683" i="50"/>
  <c r="N3682" i="50"/>
  <c r="H3682" i="50"/>
  <c r="E3682" i="50"/>
  <c r="A3682" i="50"/>
  <c r="N3681" i="50"/>
  <c r="H3681" i="50"/>
  <c r="E3681" i="50"/>
  <c r="A3681" i="50"/>
  <c r="N3680" i="50"/>
  <c r="H3680" i="50"/>
  <c r="E3680" i="50"/>
  <c r="A3680" i="50"/>
  <c r="N3679" i="50"/>
  <c r="H3679" i="50"/>
  <c r="E3679" i="50"/>
  <c r="A3679" i="50"/>
  <c r="N3678" i="50"/>
  <c r="H3678" i="50"/>
  <c r="E3678" i="50"/>
  <c r="A3678" i="50"/>
  <c r="N3677" i="50"/>
  <c r="H3677" i="50"/>
  <c r="E3677" i="50"/>
  <c r="A3677" i="50"/>
  <c r="N3676" i="50"/>
  <c r="H3676" i="50"/>
  <c r="E3676" i="50"/>
  <c r="A3676" i="50"/>
  <c r="N3675" i="50"/>
  <c r="H3675" i="50"/>
  <c r="E3675" i="50"/>
  <c r="A3675" i="50"/>
  <c r="N3674" i="50"/>
  <c r="H3674" i="50"/>
  <c r="E3674" i="50"/>
  <c r="A3674" i="50"/>
  <c r="N3673" i="50"/>
  <c r="H3673" i="50"/>
  <c r="E3673" i="50"/>
  <c r="A3673" i="50"/>
  <c r="N3672" i="50"/>
  <c r="H3672" i="50"/>
  <c r="E3672" i="50"/>
  <c r="A3672" i="50"/>
  <c r="N3671" i="50"/>
  <c r="H3671" i="50"/>
  <c r="E3671" i="50"/>
  <c r="A3671" i="50"/>
  <c r="N3670" i="50"/>
  <c r="H3670" i="50"/>
  <c r="E3670" i="50"/>
  <c r="A3670" i="50"/>
  <c r="N3669" i="50"/>
  <c r="H3669" i="50"/>
  <c r="E3669" i="50"/>
  <c r="A3669" i="50"/>
  <c r="N3668" i="50"/>
  <c r="H3668" i="50"/>
  <c r="E3668" i="50"/>
  <c r="A3668" i="50"/>
  <c r="N3667" i="50"/>
  <c r="H3667" i="50"/>
  <c r="E3667" i="50"/>
  <c r="A3667" i="50"/>
  <c r="N3666" i="50"/>
  <c r="H3666" i="50"/>
  <c r="E3666" i="50"/>
  <c r="A3666" i="50"/>
  <c r="N3665" i="50"/>
  <c r="H3665" i="50"/>
  <c r="E3665" i="50"/>
  <c r="A3665" i="50"/>
  <c r="N3664" i="50"/>
  <c r="H3664" i="50"/>
  <c r="E3664" i="50"/>
  <c r="A3664" i="50"/>
  <c r="N3663" i="50"/>
  <c r="H3663" i="50"/>
  <c r="E3663" i="50"/>
  <c r="A3663" i="50"/>
  <c r="N3662" i="50"/>
  <c r="H3662" i="50"/>
  <c r="E3662" i="50"/>
  <c r="A3662" i="50"/>
  <c r="N3661" i="50"/>
  <c r="H3661" i="50"/>
  <c r="E3661" i="50"/>
  <c r="A3661" i="50"/>
  <c r="N3660" i="50"/>
  <c r="H3660" i="50"/>
  <c r="E3660" i="50"/>
  <c r="A3660" i="50"/>
  <c r="N3659" i="50"/>
  <c r="H3659" i="50"/>
  <c r="E3659" i="50"/>
  <c r="A3659" i="50"/>
  <c r="N3658" i="50"/>
  <c r="H3658" i="50"/>
  <c r="E3658" i="50"/>
  <c r="A3658" i="50"/>
  <c r="N3657" i="50"/>
  <c r="H3657" i="50"/>
  <c r="E3657" i="50"/>
  <c r="A3657" i="50"/>
  <c r="N3656" i="50"/>
  <c r="H3656" i="50"/>
  <c r="E3656" i="50"/>
  <c r="A3656" i="50"/>
  <c r="N3655" i="50"/>
  <c r="H3655" i="50"/>
  <c r="E3655" i="50"/>
  <c r="A3655" i="50"/>
  <c r="N3654" i="50"/>
  <c r="H3654" i="50"/>
  <c r="E3654" i="50"/>
  <c r="A3654" i="50"/>
  <c r="N3653" i="50"/>
  <c r="H3653" i="50"/>
  <c r="E3653" i="50"/>
  <c r="A3653" i="50"/>
  <c r="N3652" i="50"/>
  <c r="H3652" i="50"/>
  <c r="E3652" i="50"/>
  <c r="A3652" i="50"/>
  <c r="N3651" i="50"/>
  <c r="H3651" i="50"/>
  <c r="E3651" i="50"/>
  <c r="A3651" i="50"/>
  <c r="N3650" i="50"/>
  <c r="H3650" i="50"/>
  <c r="E3650" i="50"/>
  <c r="A3650" i="50"/>
  <c r="N3649" i="50"/>
  <c r="H3649" i="50"/>
  <c r="E3649" i="50"/>
  <c r="A3649" i="50"/>
  <c r="N3648" i="50"/>
  <c r="H3648" i="50"/>
  <c r="E3648" i="50"/>
  <c r="A3648" i="50"/>
  <c r="N3647" i="50"/>
  <c r="H3647" i="50"/>
  <c r="E3647" i="50"/>
  <c r="A3647" i="50"/>
  <c r="N3646" i="50"/>
  <c r="H3646" i="50"/>
  <c r="E3646" i="50"/>
  <c r="A3646" i="50"/>
  <c r="N3645" i="50"/>
  <c r="H3645" i="50"/>
  <c r="E3645" i="50"/>
  <c r="A3645" i="50"/>
  <c r="N3644" i="50"/>
  <c r="H3644" i="50"/>
  <c r="E3644" i="50"/>
  <c r="A3644" i="50"/>
  <c r="N3643" i="50"/>
  <c r="H3643" i="50"/>
  <c r="E3643" i="50"/>
  <c r="A3643" i="50"/>
  <c r="N3642" i="50"/>
  <c r="H3642" i="50"/>
  <c r="E3642" i="50"/>
  <c r="A3642" i="50"/>
  <c r="N3641" i="50"/>
  <c r="H3641" i="50"/>
  <c r="E3641" i="50"/>
  <c r="A3641" i="50"/>
  <c r="N3640" i="50"/>
  <c r="H3640" i="50"/>
  <c r="E3640" i="50"/>
  <c r="A3640" i="50"/>
  <c r="N3639" i="50"/>
  <c r="H3639" i="50"/>
  <c r="E3639" i="50"/>
  <c r="A3639" i="50"/>
  <c r="N3638" i="50"/>
  <c r="H3638" i="50"/>
  <c r="E3638" i="50"/>
  <c r="A3638" i="50"/>
  <c r="N3637" i="50"/>
  <c r="H3637" i="50"/>
  <c r="E3637" i="50"/>
  <c r="A3637" i="50"/>
  <c r="N3636" i="50"/>
  <c r="H3636" i="50"/>
  <c r="E3636" i="50"/>
  <c r="A3636" i="50"/>
  <c r="N3635" i="50"/>
  <c r="H3635" i="50"/>
  <c r="E3635" i="50"/>
  <c r="A3635" i="50"/>
  <c r="N3634" i="50"/>
  <c r="H3634" i="50"/>
  <c r="E3634" i="50"/>
  <c r="A3634" i="50"/>
  <c r="N3633" i="50"/>
  <c r="H3633" i="50"/>
  <c r="E3633" i="50"/>
  <c r="A3633" i="50"/>
  <c r="N3632" i="50"/>
  <c r="H3632" i="50"/>
  <c r="E3632" i="50"/>
  <c r="A3632" i="50"/>
  <c r="N3631" i="50"/>
  <c r="H3631" i="50"/>
  <c r="E3631" i="50"/>
  <c r="A3631" i="50"/>
  <c r="N3630" i="50"/>
  <c r="H3630" i="50"/>
  <c r="E3630" i="50"/>
  <c r="A3630" i="50"/>
  <c r="N3629" i="50"/>
  <c r="H3629" i="50"/>
  <c r="E3629" i="50"/>
  <c r="A3629" i="50"/>
  <c r="N3628" i="50"/>
  <c r="H3628" i="50"/>
  <c r="E3628" i="50"/>
  <c r="A3628" i="50"/>
  <c r="N3627" i="50"/>
  <c r="H3627" i="50"/>
  <c r="E3627" i="50"/>
  <c r="A3627" i="50"/>
  <c r="N3626" i="50"/>
  <c r="H3626" i="50"/>
  <c r="E3626" i="50"/>
  <c r="A3626" i="50"/>
  <c r="N3625" i="50"/>
  <c r="H3625" i="50"/>
  <c r="E3625" i="50"/>
  <c r="A3625" i="50"/>
  <c r="N3624" i="50"/>
  <c r="H3624" i="50"/>
  <c r="E3624" i="50"/>
  <c r="A3624" i="50"/>
  <c r="N3623" i="50"/>
  <c r="H3623" i="50"/>
  <c r="E3623" i="50"/>
  <c r="A3623" i="50"/>
  <c r="N3622" i="50"/>
  <c r="H3622" i="50"/>
  <c r="E3622" i="50"/>
  <c r="A3622" i="50"/>
  <c r="N3621" i="50"/>
  <c r="H3621" i="50"/>
  <c r="E3621" i="50"/>
  <c r="A3621" i="50"/>
  <c r="N3620" i="50"/>
  <c r="H3620" i="50"/>
  <c r="E3620" i="50"/>
  <c r="A3620" i="50"/>
  <c r="N3619" i="50"/>
  <c r="H3619" i="50"/>
  <c r="E3619" i="50"/>
  <c r="A3619" i="50"/>
  <c r="N3618" i="50"/>
  <c r="H3618" i="50"/>
  <c r="E3618" i="50"/>
  <c r="A3618" i="50"/>
  <c r="N3617" i="50"/>
  <c r="H3617" i="50"/>
  <c r="E3617" i="50"/>
  <c r="A3617" i="50"/>
  <c r="N3616" i="50"/>
  <c r="H3616" i="50"/>
  <c r="E3616" i="50"/>
  <c r="A3616" i="50"/>
  <c r="N3615" i="50"/>
  <c r="H3615" i="50"/>
  <c r="E3615" i="50"/>
  <c r="A3615" i="50"/>
  <c r="N3614" i="50"/>
  <c r="H3614" i="50"/>
  <c r="E3614" i="50"/>
  <c r="A3614" i="50"/>
  <c r="N3613" i="50"/>
  <c r="H3613" i="50"/>
  <c r="E3613" i="50"/>
  <c r="A3613" i="50"/>
  <c r="N3612" i="50"/>
  <c r="H3612" i="50"/>
  <c r="E3612" i="50"/>
  <c r="A3612" i="50"/>
  <c r="N3611" i="50"/>
  <c r="H3611" i="50"/>
  <c r="E3611" i="50"/>
  <c r="A3611" i="50"/>
  <c r="N3610" i="50"/>
  <c r="H3610" i="50"/>
  <c r="E3610" i="50"/>
  <c r="A3610" i="50"/>
  <c r="N3609" i="50"/>
  <c r="H3609" i="50"/>
  <c r="E3609" i="50"/>
  <c r="A3609" i="50"/>
  <c r="N3608" i="50"/>
  <c r="H3608" i="50"/>
  <c r="E3608" i="50"/>
  <c r="A3608" i="50"/>
  <c r="N3607" i="50"/>
  <c r="H3607" i="50"/>
  <c r="E3607" i="50"/>
  <c r="A3607" i="50"/>
  <c r="N3606" i="50"/>
  <c r="H3606" i="50"/>
  <c r="E3606" i="50"/>
  <c r="A3606" i="50"/>
  <c r="N3605" i="50"/>
  <c r="H3605" i="50"/>
  <c r="E3605" i="50"/>
  <c r="A3605" i="50"/>
  <c r="N3604" i="50"/>
  <c r="H3604" i="50"/>
  <c r="E3604" i="50"/>
  <c r="A3604" i="50"/>
  <c r="N3603" i="50"/>
  <c r="H3603" i="50"/>
  <c r="E3603" i="50"/>
  <c r="A3603" i="50"/>
  <c r="N3602" i="50"/>
  <c r="H3602" i="50"/>
  <c r="E3602" i="50"/>
  <c r="A3602" i="50"/>
  <c r="N3601" i="50"/>
  <c r="H3601" i="50"/>
  <c r="E3601" i="50"/>
  <c r="A3601" i="50"/>
  <c r="N3600" i="50"/>
  <c r="H3600" i="50"/>
  <c r="E3600" i="50"/>
  <c r="A3600" i="50"/>
  <c r="N3599" i="50"/>
  <c r="H3599" i="50"/>
  <c r="E3599" i="50"/>
  <c r="A3599" i="50"/>
  <c r="N3598" i="50"/>
  <c r="H3598" i="50"/>
  <c r="E3598" i="50"/>
  <c r="A3598" i="50"/>
  <c r="N3597" i="50"/>
  <c r="H3597" i="50"/>
  <c r="E3597" i="50"/>
  <c r="A3597" i="50"/>
  <c r="N3596" i="50"/>
  <c r="H3596" i="50"/>
  <c r="E3596" i="50"/>
  <c r="A3596" i="50"/>
  <c r="N3595" i="50"/>
  <c r="H3595" i="50"/>
  <c r="E3595" i="50"/>
  <c r="A3595" i="50"/>
  <c r="N3594" i="50"/>
  <c r="H3594" i="50"/>
  <c r="E3594" i="50"/>
  <c r="A3594" i="50"/>
  <c r="N3593" i="50"/>
  <c r="H3593" i="50"/>
  <c r="E3593" i="50"/>
  <c r="A3593" i="50"/>
  <c r="N3592" i="50"/>
  <c r="H3592" i="50"/>
  <c r="E3592" i="50"/>
  <c r="A3592" i="50"/>
  <c r="N3591" i="50"/>
  <c r="H3591" i="50"/>
  <c r="E3591" i="50"/>
  <c r="A3591" i="50"/>
  <c r="N3590" i="50"/>
  <c r="H3590" i="50"/>
  <c r="E3590" i="50"/>
  <c r="A3590" i="50"/>
  <c r="N3589" i="50"/>
  <c r="H3589" i="50"/>
  <c r="E3589" i="50"/>
  <c r="A3589" i="50"/>
  <c r="N3588" i="50"/>
  <c r="H3588" i="50"/>
  <c r="E3588" i="50"/>
  <c r="A3588" i="50"/>
  <c r="N3587" i="50"/>
  <c r="H3587" i="50"/>
  <c r="E3587" i="50"/>
  <c r="A3587" i="50"/>
  <c r="N3586" i="50"/>
  <c r="H3586" i="50"/>
  <c r="E3586" i="50"/>
  <c r="A3586" i="50"/>
  <c r="N3585" i="50"/>
  <c r="H3585" i="50"/>
  <c r="E3585" i="50"/>
  <c r="A3585" i="50"/>
  <c r="N3584" i="50"/>
  <c r="H3584" i="50"/>
  <c r="E3584" i="50"/>
  <c r="A3584" i="50"/>
  <c r="N3583" i="50"/>
  <c r="H3583" i="50"/>
  <c r="E3583" i="50"/>
  <c r="A3583" i="50"/>
  <c r="N3582" i="50"/>
  <c r="H3582" i="50"/>
  <c r="E3582" i="50"/>
  <c r="A3582" i="50"/>
  <c r="N3581" i="50"/>
  <c r="H3581" i="50"/>
  <c r="E3581" i="50"/>
  <c r="A3581" i="50"/>
  <c r="N3580" i="50"/>
  <c r="H3580" i="50"/>
  <c r="E3580" i="50"/>
  <c r="A3580" i="50"/>
  <c r="N3579" i="50"/>
  <c r="H3579" i="50"/>
  <c r="E3579" i="50"/>
  <c r="A3579" i="50"/>
  <c r="N3578" i="50"/>
  <c r="H3578" i="50"/>
  <c r="E3578" i="50"/>
  <c r="A3578" i="50"/>
  <c r="N3577" i="50"/>
  <c r="H3577" i="50"/>
  <c r="E3577" i="50"/>
  <c r="A3577" i="50"/>
  <c r="N3576" i="50"/>
  <c r="H3576" i="50"/>
  <c r="E3576" i="50"/>
  <c r="A3576" i="50"/>
  <c r="N3575" i="50"/>
  <c r="H3575" i="50"/>
  <c r="E3575" i="50"/>
  <c r="A3575" i="50"/>
  <c r="N3574" i="50"/>
  <c r="H3574" i="50"/>
  <c r="E3574" i="50"/>
  <c r="A3574" i="50"/>
  <c r="N3573" i="50"/>
  <c r="H3573" i="50"/>
  <c r="E3573" i="50"/>
  <c r="A3573" i="50"/>
  <c r="N3572" i="50"/>
  <c r="H3572" i="50"/>
  <c r="E3572" i="50"/>
  <c r="A3572" i="50"/>
  <c r="N3571" i="50"/>
  <c r="H3571" i="50"/>
  <c r="E3571" i="50"/>
  <c r="A3571" i="50"/>
  <c r="N3570" i="50"/>
  <c r="H3570" i="50"/>
  <c r="E3570" i="50"/>
  <c r="A3570" i="50"/>
  <c r="N3569" i="50"/>
  <c r="H3569" i="50"/>
  <c r="E3569" i="50"/>
  <c r="A3569" i="50"/>
  <c r="N3568" i="50"/>
  <c r="H3568" i="50"/>
  <c r="E3568" i="50"/>
  <c r="A3568" i="50"/>
  <c r="N3567" i="50"/>
  <c r="H3567" i="50"/>
  <c r="E3567" i="50"/>
  <c r="A3567" i="50"/>
  <c r="N3566" i="50"/>
  <c r="H3566" i="50"/>
  <c r="E3566" i="50"/>
  <c r="A3566" i="50"/>
  <c r="N3565" i="50"/>
  <c r="H3565" i="50"/>
  <c r="E3565" i="50"/>
  <c r="A3565" i="50"/>
  <c r="N3564" i="50"/>
  <c r="H3564" i="50"/>
  <c r="E3564" i="50"/>
  <c r="A3564" i="50"/>
  <c r="N3563" i="50"/>
  <c r="H3563" i="50"/>
  <c r="E3563" i="50"/>
  <c r="A3563" i="50"/>
  <c r="N3562" i="50"/>
  <c r="H3562" i="50"/>
  <c r="E3562" i="50"/>
  <c r="A3562" i="50"/>
  <c r="N3561" i="50"/>
  <c r="H3561" i="50"/>
  <c r="E3561" i="50"/>
  <c r="A3561" i="50"/>
  <c r="N3560" i="50"/>
  <c r="H3560" i="50"/>
  <c r="E3560" i="50"/>
  <c r="A3560" i="50"/>
  <c r="N3559" i="50"/>
  <c r="H3559" i="50"/>
  <c r="E3559" i="50"/>
  <c r="A3559" i="50"/>
  <c r="N3558" i="50"/>
  <c r="H3558" i="50"/>
  <c r="E3558" i="50"/>
  <c r="A3558" i="50"/>
  <c r="N3557" i="50"/>
  <c r="H3557" i="50"/>
  <c r="E3557" i="50"/>
  <c r="A3557" i="50"/>
  <c r="N3556" i="50"/>
  <c r="H3556" i="50"/>
  <c r="E3556" i="50"/>
  <c r="A3556" i="50"/>
  <c r="N3555" i="50"/>
  <c r="H3555" i="50"/>
  <c r="E3555" i="50"/>
  <c r="A3555" i="50"/>
  <c r="N3554" i="50"/>
  <c r="H3554" i="50"/>
  <c r="E3554" i="50"/>
  <c r="A3554" i="50"/>
  <c r="N3553" i="50"/>
  <c r="H3553" i="50"/>
  <c r="E3553" i="50"/>
  <c r="A3553" i="50"/>
  <c r="N3552" i="50"/>
  <c r="H3552" i="50"/>
  <c r="E3552" i="50"/>
  <c r="A3552" i="50"/>
  <c r="N3551" i="50"/>
  <c r="H3551" i="50"/>
  <c r="E3551" i="50"/>
  <c r="A3551" i="50"/>
  <c r="N3550" i="50"/>
  <c r="H3550" i="50"/>
  <c r="E3550" i="50"/>
  <c r="A3550" i="50"/>
  <c r="N3549" i="50"/>
  <c r="H3549" i="50"/>
  <c r="E3549" i="50"/>
  <c r="A3549" i="50"/>
  <c r="N3548" i="50"/>
  <c r="H3548" i="50"/>
  <c r="E3548" i="50"/>
  <c r="A3548" i="50"/>
  <c r="N3547" i="50"/>
  <c r="H3547" i="50"/>
  <c r="E3547" i="50"/>
  <c r="A3547" i="50"/>
  <c r="N3546" i="50"/>
  <c r="H3546" i="50"/>
  <c r="E3546" i="50"/>
  <c r="A3546" i="50"/>
  <c r="N3545" i="50"/>
  <c r="H3545" i="50"/>
  <c r="E3545" i="50"/>
  <c r="A3545" i="50"/>
  <c r="N3544" i="50"/>
  <c r="H3544" i="50"/>
  <c r="E3544" i="50"/>
  <c r="A3544" i="50"/>
  <c r="N3543" i="50"/>
  <c r="H3543" i="50"/>
  <c r="E3543" i="50"/>
  <c r="A3543" i="50"/>
  <c r="N3542" i="50"/>
  <c r="H3542" i="50"/>
  <c r="E3542" i="50"/>
  <c r="A3542" i="50"/>
  <c r="N3541" i="50"/>
  <c r="H3541" i="50"/>
  <c r="E3541" i="50"/>
  <c r="A3541" i="50"/>
  <c r="N3540" i="50"/>
  <c r="H3540" i="50"/>
  <c r="E3540" i="50"/>
  <c r="A3540" i="50"/>
  <c r="N3539" i="50"/>
  <c r="H3539" i="50"/>
  <c r="E3539" i="50"/>
  <c r="A3539" i="50"/>
  <c r="N3538" i="50"/>
  <c r="H3538" i="50"/>
  <c r="E3538" i="50"/>
  <c r="A3538" i="50"/>
  <c r="N3537" i="50"/>
  <c r="H3537" i="50"/>
  <c r="E3537" i="50"/>
  <c r="A3537" i="50"/>
  <c r="N3536" i="50"/>
  <c r="H3536" i="50"/>
  <c r="E3536" i="50"/>
  <c r="A3536" i="50"/>
  <c r="N3535" i="50"/>
  <c r="H3535" i="50"/>
  <c r="E3535" i="50"/>
  <c r="A3535" i="50"/>
  <c r="N3534" i="50"/>
  <c r="H3534" i="50"/>
  <c r="E3534" i="50"/>
  <c r="A3534" i="50"/>
  <c r="N3533" i="50"/>
  <c r="H3533" i="50"/>
  <c r="E3533" i="50"/>
  <c r="A3533" i="50"/>
  <c r="N3532" i="50"/>
  <c r="H3532" i="50"/>
  <c r="E3532" i="50"/>
  <c r="A3532" i="50"/>
  <c r="N3531" i="50"/>
  <c r="H3531" i="50"/>
  <c r="E3531" i="50"/>
  <c r="A3531" i="50"/>
  <c r="N3530" i="50"/>
  <c r="H3530" i="50"/>
  <c r="E3530" i="50"/>
  <c r="A3530" i="50"/>
  <c r="N3529" i="50"/>
  <c r="H3529" i="50"/>
  <c r="E3529" i="50"/>
  <c r="A3529" i="50"/>
  <c r="N3528" i="50"/>
  <c r="H3528" i="50"/>
  <c r="E3528" i="50"/>
  <c r="A3528" i="50"/>
  <c r="N3527" i="50"/>
  <c r="H3527" i="50"/>
  <c r="E3527" i="50"/>
  <c r="A3527" i="50"/>
  <c r="N3526" i="50"/>
  <c r="H3526" i="50"/>
  <c r="E3526" i="50"/>
  <c r="A3526" i="50"/>
  <c r="N3525" i="50"/>
  <c r="H3525" i="50"/>
  <c r="E3525" i="50"/>
  <c r="A3525" i="50"/>
  <c r="N3524" i="50"/>
  <c r="H3524" i="50"/>
  <c r="E3524" i="50"/>
  <c r="A3524" i="50"/>
  <c r="N3523" i="50"/>
  <c r="H3523" i="50"/>
  <c r="E3523" i="50"/>
  <c r="A3523" i="50"/>
  <c r="N3522" i="50"/>
  <c r="H3522" i="50"/>
  <c r="E3522" i="50"/>
  <c r="A3522" i="50"/>
  <c r="N3521" i="50"/>
  <c r="H3521" i="50"/>
  <c r="E3521" i="50"/>
  <c r="A3521" i="50"/>
  <c r="N3520" i="50"/>
  <c r="H3520" i="50"/>
  <c r="E3520" i="50"/>
  <c r="A3520" i="50"/>
  <c r="N3519" i="50"/>
  <c r="H3519" i="50"/>
  <c r="E3519" i="50"/>
  <c r="A3519" i="50"/>
  <c r="N3518" i="50"/>
  <c r="H3518" i="50"/>
  <c r="E3518" i="50"/>
  <c r="A3518" i="50"/>
  <c r="N3517" i="50"/>
  <c r="H3517" i="50"/>
  <c r="E3517" i="50"/>
  <c r="A3517" i="50"/>
  <c r="N3516" i="50"/>
  <c r="H3516" i="50"/>
  <c r="E3516" i="50"/>
  <c r="A3516" i="50"/>
  <c r="N3515" i="50"/>
  <c r="H3515" i="50"/>
  <c r="E3515" i="50"/>
  <c r="A3515" i="50"/>
  <c r="N3514" i="50"/>
  <c r="H3514" i="50"/>
  <c r="E3514" i="50"/>
  <c r="A3514" i="50"/>
  <c r="N3513" i="50"/>
  <c r="H3513" i="50"/>
  <c r="E3513" i="50"/>
  <c r="A3513" i="50"/>
  <c r="N3512" i="50"/>
  <c r="H3512" i="50"/>
  <c r="E3512" i="50"/>
  <c r="A3512" i="50"/>
  <c r="N3511" i="50"/>
  <c r="H3511" i="50"/>
  <c r="E3511" i="50"/>
  <c r="A3511" i="50"/>
  <c r="N3510" i="50"/>
  <c r="H3510" i="50"/>
  <c r="E3510" i="50"/>
  <c r="A3510" i="50"/>
  <c r="N3509" i="50"/>
  <c r="H3509" i="50"/>
  <c r="E3509" i="50"/>
  <c r="A3509" i="50"/>
  <c r="N3508" i="50"/>
  <c r="H3508" i="50"/>
  <c r="E3508" i="50"/>
  <c r="A3508" i="50"/>
  <c r="N3507" i="50"/>
  <c r="H3507" i="50"/>
  <c r="E3507" i="50"/>
  <c r="A3507" i="50"/>
  <c r="N3506" i="50"/>
  <c r="H3506" i="50"/>
  <c r="E3506" i="50"/>
  <c r="A3506" i="50"/>
  <c r="N3505" i="50"/>
  <c r="H3505" i="50"/>
  <c r="E3505" i="50"/>
  <c r="A3505" i="50"/>
  <c r="N3504" i="50"/>
  <c r="H3504" i="50"/>
  <c r="E3504" i="50"/>
  <c r="A3504" i="50"/>
  <c r="N3503" i="50"/>
  <c r="H3503" i="50"/>
  <c r="E3503" i="50"/>
  <c r="A3503" i="50"/>
  <c r="N3502" i="50"/>
  <c r="H3502" i="50"/>
  <c r="E3502" i="50"/>
  <c r="A3502" i="50"/>
  <c r="N3501" i="50"/>
  <c r="H3501" i="50"/>
  <c r="E3501" i="50"/>
  <c r="A3501" i="50"/>
  <c r="N3500" i="50"/>
  <c r="H3500" i="50"/>
  <c r="E3500" i="50"/>
  <c r="A3500" i="50"/>
  <c r="N3499" i="50"/>
  <c r="H3499" i="50"/>
  <c r="E3499" i="50"/>
  <c r="A3499" i="50"/>
  <c r="N3498" i="50"/>
  <c r="H3498" i="50"/>
  <c r="E3498" i="50"/>
  <c r="A3498" i="50"/>
  <c r="N3497" i="50"/>
  <c r="H3497" i="50"/>
  <c r="E3497" i="50"/>
  <c r="A3497" i="50"/>
  <c r="N3496" i="50"/>
  <c r="H3496" i="50"/>
  <c r="E3496" i="50"/>
  <c r="A3496" i="50"/>
  <c r="N3495" i="50"/>
  <c r="H3495" i="50"/>
  <c r="E3495" i="50"/>
  <c r="A3495" i="50"/>
  <c r="N3494" i="50"/>
  <c r="H3494" i="50"/>
  <c r="E3494" i="50"/>
  <c r="A3494" i="50"/>
  <c r="N3493" i="50"/>
  <c r="H3493" i="50"/>
  <c r="E3493" i="50"/>
  <c r="A3493" i="50"/>
  <c r="N3492" i="50"/>
  <c r="H3492" i="50"/>
  <c r="E3492" i="50"/>
  <c r="A3492" i="50"/>
  <c r="N3491" i="50"/>
  <c r="H3491" i="50"/>
  <c r="E3491" i="50"/>
  <c r="A3491" i="50"/>
  <c r="N3490" i="50"/>
  <c r="H3490" i="50"/>
  <c r="E3490" i="50"/>
  <c r="A3490" i="50"/>
  <c r="N3489" i="50"/>
  <c r="H3489" i="50"/>
  <c r="E3489" i="50"/>
  <c r="A3489" i="50"/>
  <c r="N3488" i="50"/>
  <c r="H3488" i="50"/>
  <c r="E3488" i="50"/>
  <c r="A3488" i="50"/>
  <c r="N3487" i="50"/>
  <c r="H3487" i="50"/>
  <c r="E3487" i="50"/>
  <c r="A3487" i="50"/>
  <c r="N3486" i="50"/>
  <c r="H3486" i="50"/>
  <c r="E3486" i="50"/>
  <c r="A3486" i="50"/>
  <c r="N3485" i="50"/>
  <c r="H3485" i="50"/>
  <c r="E3485" i="50"/>
  <c r="A3485" i="50"/>
  <c r="N3484" i="50"/>
  <c r="H3484" i="50"/>
  <c r="E3484" i="50"/>
  <c r="A3484" i="50"/>
  <c r="N3483" i="50"/>
  <c r="H3483" i="50"/>
  <c r="E3483" i="50"/>
  <c r="A3483" i="50"/>
  <c r="N3482" i="50"/>
  <c r="H3482" i="50"/>
  <c r="E3482" i="50"/>
  <c r="A3482" i="50"/>
  <c r="N3481" i="50"/>
  <c r="H3481" i="50"/>
  <c r="E3481" i="50"/>
  <c r="A3481" i="50"/>
  <c r="N3480" i="50"/>
  <c r="H3480" i="50"/>
  <c r="E3480" i="50"/>
  <c r="A3480" i="50"/>
  <c r="N3479" i="50"/>
  <c r="H3479" i="50"/>
  <c r="E3479" i="50"/>
  <c r="A3479" i="50"/>
  <c r="N3478" i="50"/>
  <c r="H3478" i="50"/>
  <c r="E3478" i="50"/>
  <c r="A3478" i="50"/>
  <c r="N3477" i="50"/>
  <c r="H3477" i="50"/>
  <c r="E3477" i="50"/>
  <c r="A3477" i="50"/>
  <c r="N3476" i="50"/>
  <c r="H3476" i="50"/>
  <c r="E3476" i="50"/>
  <c r="A3476" i="50"/>
  <c r="N3475" i="50"/>
  <c r="H3475" i="50"/>
  <c r="E3475" i="50"/>
  <c r="A3475" i="50"/>
  <c r="N3474" i="50"/>
  <c r="H3474" i="50"/>
  <c r="E3474" i="50"/>
  <c r="A3474" i="50"/>
  <c r="N3473" i="50"/>
  <c r="H3473" i="50"/>
  <c r="E3473" i="50"/>
  <c r="A3473" i="50"/>
  <c r="N3472" i="50"/>
  <c r="H3472" i="50"/>
  <c r="E3472" i="50"/>
  <c r="A3472" i="50"/>
  <c r="N3471" i="50"/>
  <c r="H3471" i="50"/>
  <c r="E3471" i="50"/>
  <c r="A3471" i="50"/>
  <c r="N3470" i="50"/>
  <c r="H3470" i="50"/>
  <c r="E3470" i="50"/>
  <c r="A3470" i="50"/>
  <c r="N3469" i="50"/>
  <c r="H3469" i="50"/>
  <c r="E3469" i="50"/>
  <c r="A3469" i="50"/>
  <c r="N3468" i="50"/>
  <c r="H3468" i="50"/>
  <c r="E3468" i="50"/>
  <c r="A3468" i="50"/>
  <c r="N3467" i="50"/>
  <c r="H3467" i="50"/>
  <c r="E3467" i="50"/>
  <c r="A3467" i="50"/>
  <c r="N3466" i="50"/>
  <c r="H3466" i="50"/>
  <c r="E3466" i="50"/>
  <c r="A3466" i="50"/>
  <c r="N3465" i="50"/>
  <c r="H3465" i="50"/>
  <c r="E3465" i="50"/>
  <c r="A3465" i="50"/>
  <c r="N3464" i="50"/>
  <c r="H3464" i="50"/>
  <c r="E3464" i="50"/>
  <c r="A3464" i="50"/>
  <c r="N3463" i="50"/>
  <c r="H3463" i="50"/>
  <c r="E3463" i="50"/>
  <c r="A3463" i="50"/>
  <c r="N3462" i="50"/>
  <c r="H3462" i="50"/>
  <c r="E3462" i="50"/>
  <c r="A3462" i="50"/>
  <c r="N3461" i="50"/>
  <c r="H3461" i="50"/>
  <c r="E3461" i="50"/>
  <c r="A3461" i="50"/>
  <c r="N3460" i="50"/>
  <c r="H3460" i="50"/>
  <c r="E3460" i="50"/>
  <c r="A3460" i="50"/>
  <c r="N3459" i="50"/>
  <c r="H3459" i="50"/>
  <c r="E3459" i="50"/>
  <c r="A3459" i="50"/>
  <c r="N3458" i="50"/>
  <c r="H3458" i="50"/>
  <c r="E3458" i="50"/>
  <c r="A3458" i="50"/>
  <c r="N3457" i="50"/>
  <c r="H3457" i="50"/>
  <c r="E3457" i="50"/>
  <c r="A3457" i="50"/>
  <c r="N3456" i="50"/>
  <c r="H3456" i="50"/>
  <c r="E3456" i="50"/>
  <c r="A3456" i="50"/>
  <c r="N3455" i="50"/>
  <c r="H3455" i="50"/>
  <c r="E3455" i="50"/>
  <c r="A3455" i="50"/>
  <c r="N3454" i="50"/>
  <c r="H3454" i="50"/>
  <c r="E3454" i="50"/>
  <c r="A3454" i="50"/>
  <c r="N3453" i="50"/>
  <c r="H3453" i="50"/>
  <c r="E3453" i="50"/>
  <c r="A3453" i="50"/>
  <c r="N3452" i="50"/>
  <c r="H3452" i="50"/>
  <c r="E3452" i="50"/>
  <c r="A3452" i="50"/>
  <c r="N3451" i="50"/>
  <c r="H3451" i="50"/>
  <c r="E3451" i="50"/>
  <c r="A3451" i="50"/>
  <c r="N3450" i="50"/>
  <c r="H3450" i="50"/>
  <c r="E3450" i="50"/>
  <c r="A3450" i="50"/>
  <c r="N3449" i="50"/>
  <c r="H3449" i="50"/>
  <c r="E3449" i="50"/>
  <c r="A3449" i="50"/>
  <c r="N3448" i="50"/>
  <c r="H3448" i="50"/>
  <c r="E3448" i="50"/>
  <c r="A3448" i="50"/>
  <c r="N3447" i="50"/>
  <c r="H3447" i="50"/>
  <c r="E3447" i="50"/>
  <c r="A3447" i="50"/>
  <c r="N3446" i="50"/>
  <c r="H3446" i="50"/>
  <c r="E3446" i="50"/>
  <c r="A3446" i="50"/>
  <c r="N3445" i="50"/>
  <c r="H3445" i="50"/>
  <c r="E3445" i="50"/>
  <c r="A3445" i="50"/>
  <c r="N3444" i="50"/>
  <c r="H3444" i="50"/>
  <c r="E3444" i="50"/>
  <c r="A3444" i="50"/>
  <c r="N3443" i="50"/>
  <c r="H3443" i="50"/>
  <c r="E3443" i="50"/>
  <c r="A3443" i="50"/>
  <c r="N3442" i="50"/>
  <c r="H3442" i="50"/>
  <c r="E3442" i="50"/>
  <c r="A3442" i="50"/>
  <c r="N3441" i="50"/>
  <c r="H3441" i="50"/>
  <c r="E3441" i="50"/>
  <c r="A3441" i="50"/>
  <c r="N3440" i="50"/>
  <c r="H3440" i="50"/>
  <c r="E3440" i="50"/>
  <c r="A3440" i="50"/>
  <c r="N3439" i="50"/>
  <c r="H3439" i="50"/>
  <c r="E3439" i="50"/>
  <c r="A3439" i="50"/>
  <c r="N3438" i="50"/>
  <c r="H3438" i="50"/>
  <c r="E3438" i="50"/>
  <c r="A3438" i="50"/>
  <c r="N3437" i="50"/>
  <c r="H3437" i="50"/>
  <c r="E3437" i="50"/>
  <c r="A3437" i="50"/>
  <c r="N3436" i="50"/>
  <c r="H3436" i="50"/>
  <c r="E3436" i="50"/>
  <c r="A3436" i="50"/>
  <c r="N3435" i="50"/>
  <c r="H3435" i="50"/>
  <c r="E3435" i="50"/>
  <c r="A3435" i="50"/>
  <c r="N3434" i="50"/>
  <c r="H3434" i="50"/>
  <c r="E3434" i="50"/>
  <c r="A3434" i="50"/>
  <c r="N3433" i="50"/>
  <c r="H3433" i="50"/>
  <c r="E3433" i="50"/>
  <c r="A3433" i="50"/>
  <c r="N3432" i="50"/>
  <c r="H3432" i="50"/>
  <c r="E3432" i="50"/>
  <c r="A3432" i="50"/>
  <c r="N3431" i="50"/>
  <c r="H3431" i="50"/>
  <c r="E3431" i="50"/>
  <c r="A3431" i="50"/>
  <c r="N3430" i="50"/>
  <c r="H3430" i="50"/>
  <c r="E3430" i="50"/>
  <c r="A3430" i="50"/>
  <c r="N3429" i="50"/>
  <c r="H3429" i="50"/>
  <c r="E3429" i="50"/>
  <c r="A3429" i="50"/>
  <c r="N3428" i="50"/>
  <c r="H3428" i="50"/>
  <c r="E3428" i="50"/>
  <c r="A3428" i="50"/>
  <c r="N3427" i="50"/>
  <c r="H3427" i="50"/>
  <c r="E3427" i="50"/>
  <c r="A3427" i="50"/>
  <c r="N3426" i="50"/>
  <c r="H3426" i="50"/>
  <c r="E3426" i="50"/>
  <c r="A3426" i="50"/>
  <c r="N3425" i="50"/>
  <c r="H3425" i="50"/>
  <c r="E3425" i="50"/>
  <c r="A3425" i="50"/>
  <c r="N3424" i="50"/>
  <c r="H3424" i="50"/>
  <c r="E3424" i="50"/>
  <c r="A3424" i="50"/>
  <c r="N3423" i="50"/>
  <c r="H3423" i="50"/>
  <c r="E3423" i="50"/>
  <c r="A3423" i="50"/>
  <c r="N3422" i="50"/>
  <c r="H3422" i="50"/>
  <c r="E3422" i="50"/>
  <c r="A3422" i="50"/>
  <c r="N3421" i="50"/>
  <c r="H3421" i="50"/>
  <c r="E3421" i="50"/>
  <c r="A3421" i="50"/>
  <c r="N3420" i="50"/>
  <c r="H3420" i="50"/>
  <c r="E3420" i="50"/>
  <c r="A3420" i="50"/>
  <c r="N3419" i="50"/>
  <c r="H3419" i="50"/>
  <c r="E3419" i="50"/>
  <c r="A3419" i="50"/>
  <c r="N3418" i="50"/>
  <c r="H3418" i="50"/>
  <c r="E3418" i="50"/>
  <c r="A3418" i="50"/>
  <c r="N3417" i="50"/>
  <c r="H3417" i="50"/>
  <c r="E3417" i="50"/>
  <c r="A3417" i="50"/>
  <c r="N3416" i="50"/>
  <c r="H3416" i="50"/>
  <c r="E3416" i="50"/>
  <c r="A3416" i="50"/>
  <c r="N3415" i="50"/>
  <c r="H3415" i="50"/>
  <c r="E3415" i="50"/>
  <c r="A3415" i="50"/>
  <c r="N3414" i="50"/>
  <c r="H3414" i="50"/>
  <c r="E3414" i="50"/>
  <c r="A3414" i="50"/>
  <c r="N3413" i="50"/>
  <c r="H3413" i="50"/>
  <c r="E3413" i="50"/>
  <c r="A3413" i="50"/>
  <c r="N3412" i="50"/>
  <c r="H3412" i="50"/>
  <c r="E3412" i="50"/>
  <c r="A3412" i="50"/>
  <c r="N3411" i="50"/>
  <c r="H3411" i="50"/>
  <c r="E3411" i="50"/>
  <c r="A3411" i="50"/>
  <c r="N3410" i="50"/>
  <c r="H3410" i="50"/>
  <c r="E3410" i="50"/>
  <c r="A3410" i="50"/>
  <c r="N3409" i="50"/>
  <c r="H3409" i="50"/>
  <c r="E3409" i="50"/>
  <c r="A3409" i="50"/>
  <c r="N3408" i="50"/>
  <c r="H3408" i="50"/>
  <c r="E3408" i="50"/>
  <c r="A3408" i="50"/>
  <c r="N3407" i="50"/>
  <c r="H3407" i="50"/>
  <c r="E3407" i="50"/>
  <c r="A3407" i="50"/>
  <c r="N3406" i="50"/>
  <c r="H3406" i="50"/>
  <c r="E3406" i="50"/>
  <c r="A3406" i="50"/>
  <c r="N3405" i="50"/>
  <c r="H3405" i="50"/>
  <c r="E3405" i="50"/>
  <c r="A3405" i="50"/>
  <c r="N3404" i="50"/>
  <c r="H3404" i="50"/>
  <c r="E3404" i="50"/>
  <c r="A3404" i="50"/>
  <c r="N3403" i="50"/>
  <c r="H3403" i="50"/>
  <c r="E3403" i="50"/>
  <c r="A3403" i="50"/>
  <c r="N3402" i="50"/>
  <c r="H3402" i="50"/>
  <c r="E3402" i="50"/>
  <c r="A3402" i="50"/>
  <c r="N3401" i="50"/>
  <c r="H3401" i="50"/>
  <c r="E3401" i="50"/>
  <c r="A3401" i="50"/>
  <c r="N3400" i="50"/>
  <c r="H3400" i="50"/>
  <c r="E3400" i="50"/>
  <c r="A3400" i="50"/>
  <c r="N3399" i="50"/>
  <c r="H3399" i="50"/>
  <c r="E3399" i="50"/>
  <c r="A3399" i="50"/>
  <c r="N3398" i="50"/>
  <c r="H3398" i="50"/>
  <c r="E3398" i="50"/>
  <c r="A3398" i="50"/>
  <c r="N3397" i="50"/>
  <c r="H3397" i="50"/>
  <c r="E3397" i="50"/>
  <c r="A3397" i="50"/>
  <c r="N3396" i="50"/>
  <c r="H3396" i="50"/>
  <c r="E3396" i="50"/>
  <c r="A3396" i="50"/>
  <c r="N3395" i="50"/>
  <c r="H3395" i="50"/>
  <c r="E3395" i="50"/>
  <c r="A3395" i="50"/>
  <c r="N3394" i="50"/>
  <c r="H3394" i="50"/>
  <c r="E3394" i="50"/>
  <c r="A3394" i="50"/>
  <c r="N3393" i="50"/>
  <c r="H3393" i="50"/>
  <c r="E3393" i="50"/>
  <c r="A3393" i="50"/>
  <c r="N3392" i="50"/>
  <c r="H3392" i="50"/>
  <c r="E3392" i="50"/>
  <c r="A3392" i="50"/>
  <c r="N3391" i="50"/>
  <c r="H3391" i="50"/>
  <c r="E3391" i="50"/>
  <c r="A3391" i="50"/>
  <c r="N3390" i="50"/>
  <c r="H3390" i="50"/>
  <c r="E3390" i="50"/>
  <c r="A3390" i="50"/>
  <c r="N3389" i="50"/>
  <c r="H3389" i="50"/>
  <c r="E3389" i="50"/>
  <c r="A3389" i="50"/>
  <c r="N3388" i="50"/>
  <c r="H3388" i="50"/>
  <c r="E3388" i="50"/>
  <c r="A3388" i="50"/>
  <c r="N3387" i="50"/>
  <c r="H3387" i="50"/>
  <c r="E3387" i="50"/>
  <c r="A3387" i="50"/>
  <c r="N3386" i="50"/>
  <c r="H3386" i="50"/>
  <c r="E3386" i="50"/>
  <c r="A3386" i="50"/>
  <c r="N3385" i="50"/>
  <c r="H3385" i="50"/>
  <c r="E3385" i="50"/>
  <c r="A3385" i="50"/>
  <c r="N3384" i="50"/>
  <c r="H3384" i="50"/>
  <c r="E3384" i="50"/>
  <c r="A3384" i="50"/>
  <c r="N3383" i="50"/>
  <c r="H3383" i="50"/>
  <c r="E3383" i="50"/>
  <c r="A3383" i="50"/>
  <c r="N3382" i="50"/>
  <c r="H3382" i="50"/>
  <c r="E3382" i="50"/>
  <c r="A3382" i="50"/>
  <c r="N3381" i="50"/>
  <c r="H3381" i="50"/>
  <c r="E3381" i="50"/>
  <c r="A3381" i="50"/>
  <c r="N3380" i="50"/>
  <c r="H3380" i="50"/>
  <c r="E3380" i="50"/>
  <c r="A3380" i="50"/>
  <c r="N3379" i="50"/>
  <c r="H3379" i="50"/>
  <c r="E3379" i="50"/>
  <c r="A3379" i="50"/>
  <c r="N3378" i="50"/>
  <c r="H3378" i="50"/>
  <c r="E3378" i="50"/>
  <c r="A3378" i="50"/>
  <c r="N3377" i="50"/>
  <c r="H3377" i="50"/>
  <c r="E3377" i="50"/>
  <c r="A3377" i="50"/>
  <c r="N3376" i="50"/>
  <c r="H3376" i="50"/>
  <c r="E3376" i="50"/>
  <c r="A3376" i="50"/>
  <c r="N3375" i="50"/>
  <c r="H3375" i="50"/>
  <c r="E3375" i="50"/>
  <c r="A3375" i="50"/>
  <c r="N3374" i="50"/>
  <c r="H3374" i="50"/>
  <c r="E3374" i="50"/>
  <c r="A3374" i="50"/>
  <c r="N3373" i="50"/>
  <c r="H3373" i="50"/>
  <c r="E3373" i="50"/>
  <c r="A3373" i="50"/>
  <c r="N3372" i="50"/>
  <c r="H3372" i="50"/>
  <c r="E3372" i="50"/>
  <c r="A3372" i="50"/>
  <c r="N3371" i="50"/>
  <c r="H3371" i="50"/>
  <c r="E3371" i="50"/>
  <c r="A3371" i="50"/>
  <c r="N3370" i="50"/>
  <c r="H3370" i="50"/>
  <c r="E3370" i="50"/>
  <c r="A3370" i="50"/>
  <c r="N3369" i="50"/>
  <c r="H3369" i="50"/>
  <c r="E3369" i="50"/>
  <c r="A3369" i="50"/>
  <c r="N3368" i="50"/>
  <c r="H3368" i="50"/>
  <c r="E3368" i="50"/>
  <c r="A3368" i="50"/>
  <c r="N3367" i="50"/>
  <c r="H3367" i="50"/>
  <c r="E3367" i="50"/>
  <c r="A3367" i="50"/>
  <c r="N3366" i="50"/>
  <c r="H3366" i="50"/>
  <c r="E3366" i="50"/>
  <c r="A3366" i="50"/>
  <c r="N3365" i="50"/>
  <c r="H3365" i="50"/>
  <c r="E3365" i="50"/>
  <c r="A3365" i="50"/>
  <c r="N3364" i="50"/>
  <c r="H3364" i="50"/>
  <c r="E3364" i="50"/>
  <c r="A3364" i="50"/>
  <c r="N3363" i="50"/>
  <c r="H3363" i="50"/>
  <c r="E3363" i="50"/>
  <c r="A3363" i="50"/>
  <c r="N3362" i="50"/>
  <c r="H3362" i="50"/>
  <c r="E3362" i="50"/>
  <c r="A3362" i="50"/>
  <c r="N3361" i="50"/>
  <c r="H3361" i="50"/>
  <c r="E3361" i="50"/>
  <c r="A3361" i="50"/>
  <c r="N3360" i="50"/>
  <c r="H3360" i="50"/>
  <c r="E3360" i="50"/>
  <c r="A3360" i="50"/>
  <c r="N3359" i="50"/>
  <c r="H3359" i="50"/>
  <c r="E3359" i="50"/>
  <c r="A3359" i="50"/>
  <c r="N3358" i="50"/>
  <c r="H3358" i="50"/>
  <c r="E3358" i="50"/>
  <c r="A3358" i="50"/>
  <c r="N3357" i="50"/>
  <c r="H3357" i="50"/>
  <c r="E3357" i="50"/>
  <c r="A3357" i="50"/>
  <c r="N3356" i="50"/>
  <c r="H3356" i="50"/>
  <c r="E3356" i="50"/>
  <c r="A3356" i="50"/>
  <c r="N3355" i="50"/>
  <c r="H3355" i="50"/>
  <c r="E3355" i="50"/>
  <c r="A3355" i="50"/>
  <c r="N3354" i="50"/>
  <c r="H3354" i="50"/>
  <c r="E3354" i="50"/>
  <c r="A3354" i="50"/>
  <c r="N3353" i="50"/>
  <c r="H3353" i="50"/>
  <c r="E3353" i="50"/>
  <c r="A3353" i="50"/>
  <c r="N3352" i="50"/>
  <c r="H3352" i="50"/>
  <c r="E3352" i="50"/>
  <c r="A3352" i="50"/>
  <c r="N3351" i="50"/>
  <c r="H3351" i="50"/>
  <c r="E3351" i="50"/>
  <c r="A3351" i="50"/>
  <c r="N3350" i="50"/>
  <c r="H3350" i="50"/>
  <c r="E3350" i="50"/>
  <c r="A3350" i="50"/>
  <c r="N3349" i="50"/>
  <c r="H3349" i="50"/>
  <c r="E3349" i="50"/>
  <c r="A3349" i="50"/>
  <c r="N3348" i="50"/>
  <c r="H3348" i="50"/>
  <c r="E3348" i="50"/>
  <c r="A3348" i="50"/>
  <c r="N3347" i="50"/>
  <c r="H3347" i="50"/>
  <c r="E3347" i="50"/>
  <c r="A3347" i="50"/>
  <c r="N3346" i="50"/>
  <c r="H3346" i="50"/>
  <c r="E3346" i="50"/>
  <c r="A3346" i="50"/>
  <c r="N3345" i="50"/>
  <c r="H3345" i="50"/>
  <c r="E3345" i="50"/>
  <c r="A3345" i="50"/>
  <c r="N3344" i="50"/>
  <c r="H3344" i="50"/>
  <c r="E3344" i="50"/>
  <c r="A3344" i="50"/>
  <c r="N3343" i="50"/>
  <c r="H3343" i="50"/>
  <c r="E3343" i="50"/>
  <c r="A3343" i="50"/>
  <c r="N3342" i="50"/>
  <c r="H3342" i="50"/>
  <c r="E3342" i="50"/>
  <c r="A3342" i="50"/>
  <c r="N3341" i="50"/>
  <c r="H3341" i="50"/>
  <c r="E3341" i="50"/>
  <c r="A3341" i="50"/>
  <c r="N3340" i="50"/>
  <c r="H3340" i="50"/>
  <c r="E3340" i="50"/>
  <c r="A3340" i="50"/>
  <c r="N3339" i="50"/>
  <c r="H3339" i="50"/>
  <c r="E3339" i="50"/>
  <c r="A3339" i="50"/>
  <c r="N3338" i="50"/>
  <c r="H3338" i="50"/>
  <c r="E3338" i="50"/>
  <c r="A3338" i="50"/>
  <c r="N3337" i="50"/>
  <c r="H3337" i="50"/>
  <c r="E3337" i="50"/>
  <c r="A3337" i="50"/>
  <c r="N3336" i="50"/>
  <c r="H3336" i="50"/>
  <c r="E3336" i="50"/>
  <c r="A3336" i="50"/>
  <c r="N3335" i="50"/>
  <c r="H3335" i="50"/>
  <c r="E3335" i="50"/>
  <c r="A3335" i="50"/>
  <c r="N3334" i="50"/>
  <c r="H3334" i="50"/>
  <c r="E3334" i="50"/>
  <c r="A3334" i="50"/>
  <c r="N3333" i="50"/>
  <c r="H3333" i="50"/>
  <c r="E3333" i="50"/>
  <c r="A3333" i="50"/>
  <c r="N3332" i="50"/>
  <c r="H3332" i="50"/>
  <c r="E3332" i="50"/>
  <c r="A3332" i="50"/>
  <c r="N3331" i="50"/>
  <c r="H3331" i="50"/>
  <c r="E3331" i="50"/>
  <c r="A3331" i="50"/>
  <c r="N3330" i="50"/>
  <c r="H3330" i="50"/>
  <c r="E3330" i="50"/>
  <c r="A3330" i="50"/>
  <c r="N3329" i="50"/>
  <c r="H3329" i="50"/>
  <c r="E3329" i="50"/>
  <c r="A3329" i="50"/>
  <c r="N3328" i="50"/>
  <c r="H3328" i="50"/>
  <c r="E3328" i="50"/>
  <c r="A3328" i="50"/>
  <c r="N3327" i="50"/>
  <c r="H3327" i="50"/>
  <c r="E3327" i="50"/>
  <c r="A3327" i="50"/>
  <c r="N3326" i="50"/>
  <c r="H3326" i="50"/>
  <c r="E3326" i="50"/>
  <c r="A3326" i="50"/>
  <c r="N3325" i="50"/>
  <c r="H3325" i="50"/>
  <c r="E3325" i="50"/>
  <c r="A3325" i="50"/>
  <c r="N3324" i="50"/>
  <c r="H3324" i="50"/>
  <c r="E3324" i="50"/>
  <c r="A3324" i="50"/>
  <c r="N3323" i="50"/>
  <c r="H3323" i="50"/>
  <c r="E3323" i="50"/>
  <c r="A3323" i="50"/>
  <c r="N3322" i="50"/>
  <c r="H3322" i="50"/>
  <c r="E3322" i="50"/>
  <c r="A3322" i="50"/>
  <c r="N3321" i="50"/>
  <c r="H3321" i="50"/>
  <c r="E3321" i="50"/>
  <c r="A3321" i="50"/>
  <c r="N3320" i="50"/>
  <c r="H3320" i="50"/>
  <c r="E3320" i="50"/>
  <c r="A3320" i="50"/>
  <c r="N3319" i="50"/>
  <c r="H3319" i="50"/>
  <c r="E3319" i="50"/>
  <c r="A3319" i="50"/>
  <c r="N3318" i="50"/>
  <c r="H3318" i="50"/>
  <c r="E3318" i="50"/>
  <c r="A3318" i="50"/>
  <c r="N3317" i="50"/>
  <c r="H3317" i="50"/>
  <c r="E3317" i="50"/>
  <c r="A3317" i="50"/>
  <c r="N3316" i="50"/>
  <c r="H3316" i="50"/>
  <c r="E3316" i="50"/>
  <c r="A3316" i="50"/>
  <c r="N3315" i="50"/>
  <c r="H3315" i="50"/>
  <c r="E3315" i="50"/>
  <c r="A3315" i="50"/>
  <c r="N3314" i="50"/>
  <c r="H3314" i="50"/>
  <c r="E3314" i="50"/>
  <c r="A3314" i="50"/>
  <c r="N3313" i="50"/>
  <c r="H3313" i="50"/>
  <c r="E3313" i="50"/>
  <c r="A3313" i="50"/>
  <c r="N3312" i="50"/>
  <c r="H3312" i="50"/>
  <c r="E3312" i="50"/>
  <c r="A3312" i="50"/>
  <c r="N3311" i="50"/>
  <c r="H3311" i="50"/>
  <c r="E3311" i="50"/>
  <c r="A3311" i="50"/>
  <c r="N3310" i="50"/>
  <c r="H3310" i="50"/>
  <c r="E3310" i="50"/>
  <c r="A3310" i="50"/>
  <c r="N3309" i="50"/>
  <c r="H3309" i="50"/>
  <c r="E3309" i="50"/>
  <c r="A3309" i="50"/>
  <c r="N3308" i="50"/>
  <c r="H3308" i="50"/>
  <c r="E3308" i="50"/>
  <c r="A3308" i="50"/>
  <c r="N3307" i="50"/>
  <c r="H3307" i="50"/>
  <c r="E3307" i="50"/>
  <c r="A3307" i="50"/>
  <c r="N3306" i="50"/>
  <c r="H3306" i="50"/>
  <c r="E3306" i="50"/>
  <c r="A3306" i="50"/>
  <c r="N3305" i="50"/>
  <c r="H3305" i="50"/>
  <c r="E3305" i="50"/>
  <c r="A3305" i="50"/>
  <c r="N3304" i="50"/>
  <c r="H3304" i="50"/>
  <c r="E3304" i="50"/>
  <c r="A3304" i="50"/>
  <c r="N3303" i="50"/>
  <c r="H3303" i="50"/>
  <c r="E3303" i="50"/>
  <c r="A3303" i="50"/>
  <c r="N3302" i="50"/>
  <c r="H3302" i="50"/>
  <c r="E3302" i="50"/>
  <c r="A3302" i="50"/>
  <c r="N3301" i="50"/>
  <c r="H3301" i="50"/>
  <c r="E3301" i="50"/>
  <c r="A3301" i="50"/>
  <c r="N3300" i="50"/>
  <c r="H3300" i="50"/>
  <c r="E3300" i="50"/>
  <c r="A3300" i="50"/>
  <c r="N3299" i="50"/>
  <c r="H3299" i="50"/>
  <c r="E3299" i="50"/>
  <c r="A3299" i="50"/>
  <c r="N3298" i="50"/>
  <c r="H3298" i="50"/>
  <c r="E3298" i="50"/>
  <c r="A3298" i="50"/>
  <c r="N3297" i="50"/>
  <c r="H3297" i="50"/>
  <c r="E3297" i="50"/>
  <c r="A3297" i="50"/>
  <c r="N3296" i="50"/>
  <c r="H3296" i="50"/>
  <c r="E3296" i="50"/>
  <c r="A3296" i="50"/>
  <c r="N3295" i="50"/>
  <c r="H3295" i="50"/>
  <c r="E3295" i="50"/>
  <c r="A3295" i="50"/>
  <c r="N3294" i="50"/>
  <c r="H3294" i="50"/>
  <c r="E3294" i="50"/>
  <c r="A3294" i="50"/>
  <c r="N3293" i="50"/>
  <c r="H3293" i="50"/>
  <c r="E3293" i="50"/>
  <c r="A3293" i="50"/>
  <c r="N3292" i="50"/>
  <c r="H3292" i="50"/>
  <c r="E3292" i="50"/>
  <c r="A3292" i="50"/>
  <c r="N3291" i="50"/>
  <c r="H3291" i="50"/>
  <c r="E3291" i="50"/>
  <c r="A3291" i="50"/>
  <c r="N3290" i="50"/>
  <c r="H3290" i="50"/>
  <c r="E3290" i="50"/>
  <c r="A3290" i="50"/>
  <c r="N3289" i="50"/>
  <c r="H3289" i="50"/>
  <c r="E3289" i="50"/>
  <c r="A3289" i="50"/>
  <c r="N3288" i="50"/>
  <c r="H3288" i="50"/>
  <c r="E3288" i="50"/>
  <c r="A3288" i="50"/>
  <c r="N3287" i="50"/>
  <c r="H3287" i="50"/>
  <c r="E3287" i="50"/>
  <c r="A3287" i="50"/>
  <c r="N3286" i="50"/>
  <c r="H3286" i="50"/>
  <c r="E3286" i="50"/>
  <c r="A3286" i="50"/>
  <c r="N3285" i="50"/>
  <c r="H3285" i="50"/>
  <c r="E3285" i="50"/>
  <c r="A3285" i="50"/>
  <c r="N3284" i="50"/>
  <c r="H3284" i="50"/>
  <c r="E3284" i="50"/>
  <c r="A3284" i="50"/>
  <c r="N3283" i="50"/>
  <c r="H3283" i="50"/>
  <c r="E3283" i="50"/>
  <c r="A3283" i="50"/>
  <c r="N3282" i="50"/>
  <c r="H3282" i="50"/>
  <c r="E3282" i="50"/>
  <c r="A3282" i="50"/>
  <c r="N3281" i="50"/>
  <c r="H3281" i="50"/>
  <c r="E3281" i="50"/>
  <c r="A3281" i="50"/>
  <c r="N3280" i="50"/>
  <c r="H3280" i="50"/>
  <c r="E3280" i="50"/>
  <c r="A3280" i="50"/>
  <c r="N3279" i="50"/>
  <c r="H3279" i="50"/>
  <c r="E3279" i="50"/>
  <c r="A3279" i="50"/>
  <c r="N3278" i="50"/>
  <c r="H3278" i="50"/>
  <c r="E3278" i="50"/>
  <c r="A3278" i="50"/>
  <c r="N3277" i="50"/>
  <c r="H3277" i="50"/>
  <c r="E3277" i="50"/>
  <c r="A3277" i="50"/>
  <c r="N3276" i="50"/>
  <c r="H3276" i="50"/>
  <c r="E3276" i="50"/>
  <c r="A3276" i="50"/>
  <c r="N3275" i="50"/>
  <c r="H3275" i="50"/>
  <c r="E3275" i="50"/>
  <c r="A3275" i="50"/>
  <c r="N3274" i="50"/>
  <c r="H3274" i="50"/>
  <c r="E3274" i="50"/>
  <c r="A3274" i="50"/>
  <c r="N3273" i="50"/>
  <c r="H3273" i="50"/>
  <c r="E3273" i="50"/>
  <c r="A3273" i="50"/>
  <c r="N3272" i="50"/>
  <c r="H3272" i="50"/>
  <c r="E3272" i="50"/>
  <c r="A3272" i="50"/>
  <c r="N3271" i="50"/>
  <c r="H3271" i="50"/>
  <c r="E3271" i="50"/>
  <c r="A3271" i="50"/>
  <c r="N3270" i="50"/>
  <c r="H3270" i="50"/>
  <c r="E3270" i="50"/>
  <c r="A3270" i="50"/>
  <c r="N3269" i="50"/>
  <c r="H3269" i="50"/>
  <c r="E3269" i="50"/>
  <c r="A3269" i="50"/>
  <c r="N3268" i="50"/>
  <c r="H3268" i="50"/>
  <c r="E3268" i="50"/>
  <c r="A3268" i="50"/>
  <c r="N3267" i="50"/>
  <c r="H3267" i="50"/>
  <c r="E3267" i="50"/>
  <c r="A3267" i="50"/>
  <c r="N3266" i="50"/>
  <c r="H3266" i="50"/>
  <c r="E3266" i="50"/>
  <c r="A3266" i="50"/>
  <c r="N3265" i="50"/>
  <c r="H3265" i="50"/>
  <c r="E3265" i="50"/>
  <c r="A3265" i="50"/>
  <c r="N3264" i="50"/>
  <c r="H3264" i="50"/>
  <c r="E3264" i="50"/>
  <c r="A3264" i="50"/>
  <c r="N3263" i="50"/>
  <c r="H3263" i="50"/>
  <c r="E3263" i="50"/>
  <c r="A3263" i="50"/>
  <c r="N3262" i="50"/>
  <c r="H3262" i="50"/>
  <c r="E3262" i="50"/>
  <c r="A3262" i="50"/>
  <c r="N3261" i="50"/>
  <c r="H3261" i="50"/>
  <c r="E3261" i="50"/>
  <c r="A3261" i="50"/>
  <c r="N3260" i="50"/>
  <c r="H3260" i="50"/>
  <c r="E3260" i="50"/>
  <c r="A3260" i="50"/>
  <c r="N3259" i="50"/>
  <c r="H3259" i="50"/>
  <c r="E3259" i="50"/>
  <c r="A3259" i="50"/>
  <c r="N3258" i="50"/>
  <c r="H3258" i="50"/>
  <c r="E3258" i="50"/>
  <c r="A3258" i="50"/>
  <c r="N3257" i="50"/>
  <c r="H3257" i="50"/>
  <c r="E3257" i="50"/>
  <c r="A3257" i="50"/>
  <c r="N3256" i="50"/>
  <c r="H3256" i="50"/>
  <c r="E3256" i="50"/>
  <c r="A3256" i="50"/>
  <c r="N3255" i="50"/>
  <c r="H3255" i="50"/>
  <c r="E3255" i="50"/>
  <c r="A3255" i="50"/>
  <c r="N3254" i="50"/>
  <c r="H3254" i="50"/>
  <c r="E3254" i="50"/>
  <c r="A3254" i="50"/>
  <c r="N3253" i="50"/>
  <c r="H3253" i="50"/>
  <c r="E3253" i="50"/>
  <c r="A3253" i="50"/>
  <c r="N3252" i="50"/>
  <c r="H3252" i="50"/>
  <c r="E3252" i="50"/>
  <c r="A3252" i="50"/>
  <c r="N3251" i="50"/>
  <c r="H3251" i="50"/>
  <c r="E3251" i="50"/>
  <c r="A3251" i="50"/>
  <c r="N3250" i="50"/>
  <c r="H3250" i="50"/>
  <c r="E3250" i="50"/>
  <c r="A3250" i="50"/>
  <c r="N3249" i="50"/>
  <c r="H3249" i="50"/>
  <c r="E3249" i="50"/>
  <c r="A3249" i="50"/>
  <c r="N3248" i="50"/>
  <c r="H3248" i="50"/>
  <c r="E3248" i="50"/>
  <c r="A3248" i="50"/>
  <c r="N3247" i="50"/>
  <c r="H3247" i="50"/>
  <c r="E3247" i="50"/>
  <c r="A3247" i="50"/>
  <c r="N3246" i="50"/>
  <c r="H3246" i="50"/>
  <c r="E3246" i="50"/>
  <c r="A3246" i="50"/>
  <c r="N3245" i="50"/>
  <c r="H3245" i="50"/>
  <c r="E3245" i="50"/>
  <c r="A3245" i="50"/>
  <c r="N3244" i="50"/>
  <c r="H3244" i="50"/>
  <c r="E3244" i="50"/>
  <c r="A3244" i="50"/>
  <c r="N3243" i="50"/>
  <c r="H3243" i="50"/>
  <c r="E3243" i="50"/>
  <c r="A3243" i="50"/>
  <c r="N3242" i="50"/>
  <c r="H3242" i="50"/>
  <c r="E3242" i="50"/>
  <c r="A3242" i="50"/>
  <c r="N3241" i="50"/>
  <c r="H3241" i="50"/>
  <c r="E3241" i="50"/>
  <c r="A3241" i="50"/>
  <c r="N3240" i="50"/>
  <c r="H3240" i="50"/>
  <c r="E3240" i="50"/>
  <c r="A3240" i="50"/>
  <c r="N3239" i="50"/>
  <c r="H3239" i="50"/>
  <c r="E3239" i="50"/>
  <c r="A3239" i="50"/>
  <c r="N3238" i="50"/>
  <c r="H3238" i="50"/>
  <c r="E3238" i="50"/>
  <c r="A3238" i="50"/>
  <c r="N3237" i="50"/>
  <c r="H3237" i="50"/>
  <c r="E3237" i="50"/>
  <c r="A3237" i="50"/>
  <c r="N3236" i="50"/>
  <c r="H3236" i="50"/>
  <c r="E3236" i="50"/>
  <c r="A3236" i="50"/>
  <c r="N3235" i="50"/>
  <c r="H3235" i="50"/>
  <c r="E3235" i="50"/>
  <c r="A3235" i="50"/>
  <c r="N3234" i="50"/>
  <c r="H3234" i="50"/>
  <c r="E3234" i="50"/>
  <c r="A3234" i="50"/>
  <c r="N3233" i="50"/>
  <c r="H3233" i="50"/>
  <c r="E3233" i="50"/>
  <c r="A3233" i="50"/>
  <c r="N3232" i="50"/>
  <c r="H3232" i="50"/>
  <c r="E3232" i="50"/>
  <c r="A3232" i="50"/>
  <c r="N3231" i="50"/>
  <c r="H3231" i="50"/>
  <c r="E3231" i="50"/>
  <c r="A3231" i="50"/>
  <c r="N3230" i="50"/>
  <c r="H3230" i="50"/>
  <c r="E3230" i="50"/>
  <c r="A3230" i="50"/>
  <c r="N3229" i="50"/>
  <c r="H3229" i="50"/>
  <c r="E3229" i="50"/>
  <c r="A3229" i="50"/>
  <c r="N3228" i="50"/>
  <c r="H3228" i="50"/>
  <c r="E3228" i="50"/>
  <c r="A3228" i="50"/>
  <c r="N3227" i="50"/>
  <c r="H3227" i="50"/>
  <c r="E3227" i="50"/>
  <c r="A3227" i="50"/>
  <c r="N3226" i="50"/>
  <c r="H3226" i="50"/>
  <c r="E3226" i="50"/>
  <c r="A3226" i="50"/>
  <c r="N3225" i="50"/>
  <c r="H3225" i="50"/>
  <c r="E3225" i="50"/>
  <c r="A3225" i="50"/>
  <c r="N3224" i="50"/>
  <c r="H3224" i="50"/>
  <c r="E3224" i="50"/>
  <c r="A3224" i="50"/>
  <c r="N3223" i="50"/>
  <c r="H3223" i="50"/>
  <c r="E3223" i="50"/>
  <c r="A3223" i="50"/>
  <c r="N3222" i="50"/>
  <c r="H3222" i="50"/>
  <c r="E3222" i="50"/>
  <c r="A3222" i="50"/>
  <c r="N3221" i="50"/>
  <c r="H3221" i="50"/>
  <c r="E3221" i="50"/>
  <c r="A3221" i="50"/>
  <c r="N3220" i="50"/>
  <c r="H3220" i="50"/>
  <c r="E3220" i="50"/>
  <c r="A3220" i="50"/>
  <c r="N3219" i="50"/>
  <c r="H3219" i="50"/>
  <c r="E3219" i="50"/>
  <c r="A3219" i="50"/>
  <c r="N3218" i="50"/>
  <c r="H3218" i="50"/>
  <c r="E3218" i="50"/>
  <c r="A3218" i="50"/>
  <c r="N3217" i="50"/>
  <c r="H3217" i="50"/>
  <c r="E3217" i="50"/>
  <c r="A3217" i="50"/>
  <c r="N3216" i="50"/>
  <c r="H3216" i="50"/>
  <c r="E3216" i="50"/>
  <c r="A3216" i="50"/>
  <c r="N3215" i="50"/>
  <c r="H3215" i="50"/>
  <c r="E3215" i="50"/>
  <c r="A3215" i="50"/>
  <c r="N3214" i="50"/>
  <c r="H3214" i="50"/>
  <c r="E3214" i="50"/>
  <c r="A3214" i="50"/>
  <c r="N3213" i="50"/>
  <c r="H3213" i="50"/>
  <c r="E3213" i="50"/>
  <c r="A3213" i="50"/>
  <c r="N3212" i="50"/>
  <c r="H3212" i="50"/>
  <c r="E3212" i="50"/>
  <c r="A3212" i="50"/>
  <c r="N3211" i="50"/>
  <c r="H3211" i="50"/>
  <c r="E3211" i="50"/>
  <c r="A3211" i="50"/>
  <c r="N3210" i="50"/>
  <c r="H3210" i="50"/>
  <c r="E3210" i="50"/>
  <c r="A3210" i="50"/>
  <c r="N3209" i="50"/>
  <c r="H3209" i="50"/>
  <c r="E3209" i="50"/>
  <c r="A3209" i="50"/>
  <c r="N3208" i="50"/>
  <c r="H3208" i="50"/>
  <c r="E3208" i="50"/>
  <c r="A3208" i="50"/>
  <c r="N3207" i="50"/>
  <c r="H3207" i="50"/>
  <c r="E3207" i="50"/>
  <c r="A3207" i="50"/>
  <c r="N3206" i="50"/>
  <c r="H3206" i="50"/>
  <c r="E3206" i="50"/>
  <c r="A3206" i="50"/>
  <c r="N3205" i="50"/>
  <c r="H3205" i="50"/>
  <c r="E3205" i="50"/>
  <c r="A3205" i="50"/>
  <c r="N3204" i="50"/>
  <c r="H3204" i="50"/>
  <c r="E3204" i="50"/>
  <c r="A3204" i="50"/>
  <c r="N3203" i="50"/>
  <c r="H3203" i="50"/>
  <c r="E3203" i="50"/>
  <c r="A3203" i="50"/>
  <c r="N3202" i="50"/>
  <c r="H3202" i="50"/>
  <c r="E3202" i="50"/>
  <c r="A3202" i="50"/>
  <c r="N3201" i="50"/>
  <c r="H3201" i="50"/>
  <c r="E3201" i="50"/>
  <c r="A3201" i="50"/>
  <c r="N3200" i="50"/>
  <c r="H3200" i="50"/>
  <c r="E3200" i="50"/>
  <c r="A3200" i="50"/>
  <c r="N3199" i="50"/>
  <c r="H3199" i="50"/>
  <c r="E3199" i="50"/>
  <c r="A3199" i="50"/>
  <c r="N3198" i="50"/>
  <c r="H3198" i="50"/>
  <c r="E3198" i="50"/>
  <c r="A3198" i="50"/>
  <c r="N3197" i="50"/>
  <c r="H3197" i="50"/>
  <c r="E3197" i="50"/>
  <c r="A3197" i="50"/>
  <c r="N3196" i="50"/>
  <c r="H3196" i="50"/>
  <c r="E3196" i="50"/>
  <c r="A3196" i="50"/>
  <c r="N3195" i="50"/>
  <c r="H3195" i="50"/>
  <c r="E3195" i="50"/>
  <c r="A3195" i="50"/>
  <c r="N3194" i="50"/>
  <c r="H3194" i="50"/>
  <c r="E3194" i="50"/>
  <c r="A3194" i="50"/>
  <c r="N3193" i="50"/>
  <c r="H3193" i="50"/>
  <c r="E3193" i="50"/>
  <c r="A3193" i="50"/>
  <c r="N3192" i="50"/>
  <c r="H3192" i="50"/>
  <c r="E3192" i="50"/>
  <c r="A3192" i="50"/>
  <c r="N3191" i="50"/>
  <c r="H3191" i="50"/>
  <c r="E3191" i="50"/>
  <c r="A3191" i="50"/>
  <c r="N3190" i="50"/>
  <c r="H3190" i="50"/>
  <c r="E3190" i="50"/>
  <c r="A3190" i="50"/>
  <c r="N3189" i="50"/>
  <c r="H3189" i="50"/>
  <c r="E3189" i="50"/>
  <c r="A3189" i="50"/>
  <c r="N3188" i="50"/>
  <c r="H3188" i="50"/>
  <c r="E3188" i="50"/>
  <c r="A3188" i="50"/>
  <c r="N3187" i="50"/>
  <c r="H3187" i="50"/>
  <c r="E3187" i="50"/>
  <c r="A3187" i="50"/>
  <c r="N3186" i="50"/>
  <c r="H3186" i="50"/>
  <c r="E3186" i="50"/>
  <c r="A3186" i="50"/>
  <c r="N3185" i="50"/>
  <c r="H3185" i="50"/>
  <c r="E3185" i="50"/>
  <c r="A3185" i="50"/>
  <c r="N3184" i="50"/>
  <c r="H3184" i="50"/>
  <c r="E3184" i="50"/>
  <c r="A3184" i="50"/>
  <c r="N3183" i="50"/>
  <c r="H3183" i="50"/>
  <c r="E3183" i="50"/>
  <c r="A3183" i="50"/>
  <c r="N3182" i="50"/>
  <c r="H3182" i="50"/>
  <c r="E3182" i="50"/>
  <c r="A3182" i="50"/>
  <c r="N3181" i="50"/>
  <c r="H3181" i="50"/>
  <c r="E3181" i="50"/>
  <c r="A3181" i="50"/>
  <c r="N3180" i="50"/>
  <c r="H3180" i="50"/>
  <c r="E3180" i="50"/>
  <c r="A3180" i="50"/>
  <c r="N3179" i="50"/>
  <c r="H3179" i="50"/>
  <c r="E3179" i="50"/>
  <c r="A3179" i="50"/>
  <c r="N3178" i="50"/>
  <c r="H3178" i="50"/>
  <c r="E3178" i="50"/>
  <c r="A3178" i="50"/>
  <c r="N3177" i="50"/>
  <c r="H3177" i="50"/>
  <c r="E3177" i="50"/>
  <c r="A3177" i="50"/>
  <c r="N3176" i="50"/>
  <c r="H3176" i="50"/>
  <c r="E3176" i="50"/>
  <c r="A3176" i="50"/>
  <c r="N3175" i="50"/>
  <c r="H3175" i="50"/>
  <c r="E3175" i="50"/>
  <c r="A3175" i="50"/>
  <c r="N3174" i="50"/>
  <c r="H3174" i="50"/>
  <c r="E3174" i="50"/>
  <c r="A3174" i="50"/>
  <c r="N3173" i="50"/>
  <c r="H3173" i="50"/>
  <c r="E3173" i="50"/>
  <c r="A3173" i="50"/>
  <c r="N3172" i="50"/>
  <c r="H3172" i="50"/>
  <c r="E3172" i="50"/>
  <c r="A3172" i="50"/>
  <c r="N3171" i="50"/>
  <c r="H3171" i="50"/>
  <c r="E3171" i="50"/>
  <c r="A3171" i="50"/>
  <c r="N3170" i="50"/>
  <c r="H3170" i="50"/>
  <c r="E3170" i="50"/>
  <c r="A3170" i="50"/>
  <c r="N3169" i="50"/>
  <c r="H3169" i="50"/>
  <c r="E3169" i="50"/>
  <c r="A3169" i="50"/>
  <c r="N3168" i="50"/>
  <c r="H3168" i="50"/>
  <c r="E3168" i="50"/>
  <c r="A3168" i="50"/>
  <c r="N3167" i="50"/>
  <c r="H3167" i="50"/>
  <c r="E3167" i="50"/>
  <c r="A3167" i="50"/>
  <c r="N3166" i="50"/>
  <c r="H3166" i="50"/>
  <c r="E3166" i="50"/>
  <c r="A3166" i="50"/>
  <c r="N3165" i="50"/>
  <c r="H3165" i="50"/>
  <c r="E3165" i="50"/>
  <c r="A3165" i="50"/>
  <c r="N3164" i="50"/>
  <c r="H3164" i="50"/>
  <c r="E3164" i="50"/>
  <c r="A3164" i="50"/>
  <c r="N3163" i="50"/>
  <c r="H3163" i="50"/>
  <c r="E3163" i="50"/>
  <c r="A3163" i="50"/>
  <c r="N3162" i="50"/>
  <c r="H3162" i="50"/>
  <c r="E3162" i="50"/>
  <c r="A3162" i="50"/>
  <c r="N3161" i="50"/>
  <c r="H3161" i="50"/>
  <c r="E3161" i="50"/>
  <c r="A3161" i="50"/>
  <c r="N3160" i="50"/>
  <c r="H3160" i="50"/>
  <c r="E3160" i="50"/>
  <c r="A3160" i="50"/>
  <c r="N3159" i="50"/>
  <c r="H3159" i="50"/>
  <c r="E3159" i="50"/>
  <c r="A3159" i="50"/>
  <c r="N3158" i="50"/>
  <c r="H3158" i="50"/>
  <c r="E3158" i="50"/>
  <c r="A3158" i="50"/>
  <c r="N3157" i="50"/>
  <c r="H3157" i="50"/>
  <c r="E3157" i="50"/>
  <c r="A3157" i="50"/>
  <c r="N3156" i="50"/>
  <c r="H3156" i="50"/>
  <c r="E3156" i="50"/>
  <c r="A3156" i="50"/>
  <c r="N3155" i="50"/>
  <c r="H3155" i="50"/>
  <c r="E3155" i="50"/>
  <c r="A3155" i="50"/>
  <c r="N3154" i="50"/>
  <c r="H3154" i="50"/>
  <c r="E3154" i="50"/>
  <c r="A3154" i="50"/>
  <c r="N3153" i="50"/>
  <c r="H3153" i="50"/>
  <c r="E3153" i="50"/>
  <c r="A3153" i="50"/>
  <c r="N3152" i="50"/>
  <c r="H3152" i="50"/>
  <c r="E3152" i="50"/>
  <c r="A3152" i="50"/>
  <c r="N3151" i="50"/>
  <c r="H3151" i="50"/>
  <c r="E3151" i="50"/>
  <c r="A3151" i="50"/>
  <c r="N3150" i="50"/>
  <c r="H3150" i="50"/>
  <c r="E3150" i="50"/>
  <c r="A3150" i="50"/>
  <c r="N3149" i="50"/>
  <c r="H3149" i="50"/>
  <c r="E3149" i="50"/>
  <c r="A3149" i="50"/>
  <c r="N3148" i="50"/>
  <c r="H3148" i="50"/>
  <c r="E3148" i="50"/>
  <c r="A3148" i="50"/>
  <c r="N3147" i="50"/>
  <c r="H3147" i="50"/>
  <c r="E3147" i="50"/>
  <c r="A3147" i="50"/>
  <c r="N3146" i="50"/>
  <c r="H3146" i="50"/>
  <c r="E3146" i="50"/>
  <c r="A3146" i="50"/>
  <c r="N3145" i="50"/>
  <c r="H3145" i="50"/>
  <c r="E3145" i="50"/>
  <c r="A3145" i="50"/>
  <c r="N3144" i="50"/>
  <c r="H3144" i="50"/>
  <c r="E3144" i="50"/>
  <c r="A3144" i="50"/>
  <c r="N3143" i="50"/>
  <c r="H3143" i="50"/>
  <c r="E3143" i="50"/>
  <c r="A3143" i="50"/>
  <c r="N3142" i="50"/>
  <c r="H3142" i="50"/>
  <c r="E3142" i="50"/>
  <c r="A3142" i="50"/>
  <c r="N3141" i="50"/>
  <c r="H3141" i="50"/>
  <c r="E3141" i="50"/>
  <c r="A3141" i="50"/>
  <c r="N3140" i="50"/>
  <c r="H3140" i="50"/>
  <c r="E3140" i="50"/>
  <c r="A3140" i="50"/>
  <c r="N3139" i="50"/>
  <c r="H3139" i="50"/>
  <c r="E3139" i="50"/>
  <c r="A3139" i="50"/>
  <c r="N3138" i="50"/>
  <c r="H3138" i="50"/>
  <c r="E3138" i="50"/>
  <c r="A3138" i="50"/>
  <c r="N3137" i="50"/>
  <c r="H3137" i="50"/>
  <c r="E3137" i="50"/>
  <c r="A3137" i="50"/>
  <c r="N3136" i="50"/>
  <c r="H3136" i="50"/>
  <c r="E3136" i="50"/>
  <c r="A3136" i="50"/>
  <c r="N3135" i="50"/>
  <c r="H3135" i="50"/>
  <c r="E3135" i="50"/>
  <c r="A3135" i="50"/>
  <c r="N3134" i="50"/>
  <c r="H3134" i="50"/>
  <c r="E3134" i="50"/>
  <c r="A3134" i="50"/>
  <c r="N3133" i="50"/>
  <c r="H3133" i="50"/>
  <c r="E3133" i="50"/>
  <c r="A3133" i="50"/>
  <c r="N3132" i="50"/>
  <c r="H3132" i="50"/>
  <c r="E3132" i="50"/>
  <c r="A3132" i="50"/>
  <c r="N3131" i="50"/>
  <c r="H3131" i="50"/>
  <c r="E3131" i="50"/>
  <c r="A3131" i="50"/>
  <c r="N3130" i="50"/>
  <c r="H3130" i="50"/>
  <c r="E3130" i="50"/>
  <c r="A3130" i="50"/>
  <c r="N3129" i="50"/>
  <c r="H3129" i="50"/>
  <c r="E3129" i="50"/>
  <c r="A3129" i="50"/>
  <c r="N3128" i="50"/>
  <c r="H3128" i="50"/>
  <c r="E3128" i="50"/>
  <c r="A3128" i="50"/>
  <c r="N3127" i="50"/>
  <c r="H3127" i="50"/>
  <c r="E3127" i="50"/>
  <c r="A3127" i="50"/>
  <c r="N3126" i="50"/>
  <c r="H3126" i="50"/>
  <c r="E3126" i="50"/>
  <c r="A3126" i="50"/>
  <c r="N3125" i="50"/>
  <c r="H3125" i="50"/>
  <c r="E3125" i="50"/>
  <c r="A3125" i="50"/>
  <c r="N3124" i="50"/>
  <c r="H3124" i="50"/>
  <c r="E3124" i="50"/>
  <c r="A3124" i="50"/>
  <c r="N3123" i="50"/>
  <c r="H3123" i="50"/>
  <c r="E3123" i="50"/>
  <c r="A3123" i="50"/>
  <c r="N3122" i="50"/>
  <c r="H3122" i="50"/>
  <c r="E3122" i="50"/>
  <c r="A3122" i="50"/>
  <c r="N3121" i="50"/>
  <c r="H3121" i="50"/>
  <c r="E3121" i="50"/>
  <c r="A3121" i="50"/>
  <c r="N3120" i="50"/>
  <c r="H3120" i="50"/>
  <c r="E3120" i="50"/>
  <c r="A3120" i="50"/>
  <c r="N3119" i="50"/>
  <c r="H3119" i="50"/>
  <c r="E3119" i="50"/>
  <c r="A3119" i="50"/>
  <c r="N3118" i="50"/>
  <c r="H3118" i="50"/>
  <c r="E3118" i="50"/>
  <c r="A3118" i="50"/>
  <c r="N3117" i="50"/>
  <c r="H3117" i="50"/>
  <c r="E3117" i="50"/>
  <c r="A3117" i="50"/>
  <c r="N3116" i="50"/>
  <c r="H3116" i="50"/>
  <c r="E3116" i="50"/>
  <c r="A3116" i="50"/>
  <c r="N3115" i="50"/>
  <c r="H3115" i="50"/>
  <c r="E3115" i="50"/>
  <c r="A3115" i="50"/>
  <c r="N3114" i="50"/>
  <c r="H3114" i="50"/>
  <c r="E3114" i="50"/>
  <c r="A3114" i="50"/>
  <c r="N3113" i="50"/>
  <c r="H3113" i="50"/>
  <c r="E3113" i="50"/>
  <c r="A3113" i="50"/>
  <c r="N3112" i="50"/>
  <c r="H3112" i="50"/>
  <c r="E3112" i="50"/>
  <c r="A3112" i="50"/>
  <c r="N3111" i="50"/>
  <c r="H3111" i="50"/>
  <c r="E3111" i="50"/>
  <c r="A3111" i="50"/>
  <c r="N3110" i="50"/>
  <c r="H3110" i="50"/>
  <c r="E3110" i="50"/>
  <c r="A3110" i="50"/>
  <c r="N3109" i="50"/>
  <c r="H3109" i="50"/>
  <c r="E3109" i="50"/>
  <c r="A3109" i="50"/>
  <c r="N3108" i="50"/>
  <c r="H3108" i="50"/>
  <c r="E3108" i="50"/>
  <c r="A3108" i="50"/>
  <c r="N3107" i="50"/>
  <c r="H3107" i="50"/>
  <c r="E3107" i="50"/>
  <c r="A3107" i="50"/>
  <c r="N3106" i="50"/>
  <c r="H3106" i="50"/>
  <c r="E3106" i="50"/>
  <c r="A3106" i="50"/>
  <c r="N3105" i="50"/>
  <c r="H3105" i="50"/>
  <c r="E3105" i="50"/>
  <c r="A3105" i="50"/>
  <c r="N3104" i="50"/>
  <c r="H3104" i="50"/>
  <c r="E3104" i="50"/>
  <c r="A3104" i="50"/>
  <c r="N3103" i="50"/>
  <c r="H3103" i="50"/>
  <c r="E3103" i="50"/>
  <c r="A3103" i="50"/>
  <c r="N3102" i="50"/>
  <c r="H3102" i="50"/>
  <c r="E3102" i="50"/>
  <c r="A3102" i="50"/>
  <c r="N3101" i="50"/>
  <c r="H3101" i="50"/>
  <c r="E3101" i="50"/>
  <c r="A3101" i="50"/>
  <c r="N3100" i="50"/>
  <c r="H3100" i="50"/>
  <c r="E3100" i="50"/>
  <c r="A3100" i="50"/>
  <c r="N3099" i="50"/>
  <c r="H3099" i="50"/>
  <c r="E3099" i="50"/>
  <c r="A3099" i="50"/>
  <c r="N3098" i="50"/>
  <c r="H3098" i="50"/>
  <c r="E3098" i="50"/>
  <c r="A3098" i="50"/>
  <c r="N3097" i="50"/>
  <c r="H3097" i="50"/>
  <c r="E3097" i="50"/>
  <c r="A3097" i="50"/>
  <c r="N3096" i="50"/>
  <c r="H3096" i="50"/>
  <c r="E3096" i="50"/>
  <c r="A3096" i="50"/>
  <c r="N3095" i="50"/>
  <c r="H3095" i="50"/>
  <c r="E3095" i="50"/>
  <c r="A3095" i="50"/>
  <c r="N3094" i="50"/>
  <c r="H3094" i="50"/>
  <c r="E3094" i="50"/>
  <c r="A3094" i="50"/>
  <c r="N3093" i="50"/>
  <c r="H3093" i="50"/>
  <c r="E3093" i="50"/>
  <c r="A3093" i="50"/>
  <c r="N3092" i="50"/>
  <c r="H3092" i="50"/>
  <c r="E3092" i="50"/>
  <c r="A3092" i="50"/>
  <c r="N3091" i="50"/>
  <c r="H3091" i="50"/>
  <c r="E3091" i="50"/>
  <c r="A3091" i="50"/>
  <c r="N3090" i="50"/>
  <c r="H3090" i="50"/>
  <c r="E3090" i="50"/>
  <c r="A3090" i="50"/>
  <c r="N3089" i="50"/>
  <c r="H3089" i="50"/>
  <c r="E3089" i="50"/>
  <c r="A3089" i="50"/>
  <c r="N3088" i="50"/>
  <c r="H3088" i="50"/>
  <c r="E3088" i="50"/>
  <c r="A3088" i="50"/>
  <c r="N3087" i="50"/>
  <c r="H3087" i="50"/>
  <c r="E3087" i="50"/>
  <c r="A3087" i="50"/>
  <c r="N3086" i="50"/>
  <c r="H3086" i="50"/>
  <c r="E3086" i="50"/>
  <c r="A3086" i="50"/>
  <c r="N3085" i="50"/>
  <c r="H3085" i="50"/>
  <c r="E3085" i="50"/>
  <c r="A3085" i="50"/>
  <c r="N3084" i="50"/>
  <c r="H3084" i="50"/>
  <c r="E3084" i="50"/>
  <c r="A3084" i="50"/>
  <c r="N3083" i="50"/>
  <c r="H3083" i="50"/>
  <c r="E3083" i="50"/>
  <c r="A3083" i="50"/>
  <c r="N3082" i="50"/>
  <c r="H3082" i="50"/>
  <c r="E3082" i="50"/>
  <c r="A3082" i="50"/>
  <c r="N3081" i="50"/>
  <c r="H3081" i="50"/>
  <c r="E3081" i="50"/>
  <c r="A3081" i="50"/>
  <c r="N3080" i="50"/>
  <c r="H3080" i="50"/>
  <c r="E3080" i="50"/>
  <c r="A3080" i="50"/>
  <c r="N3079" i="50"/>
  <c r="H3079" i="50"/>
  <c r="E3079" i="50"/>
  <c r="A3079" i="50"/>
  <c r="N3078" i="50"/>
  <c r="H3078" i="50"/>
  <c r="E3078" i="50"/>
  <c r="A3078" i="50"/>
  <c r="N3077" i="50"/>
  <c r="H3077" i="50"/>
  <c r="E3077" i="50"/>
  <c r="A3077" i="50"/>
  <c r="N3076" i="50"/>
  <c r="H3076" i="50"/>
  <c r="E3076" i="50"/>
  <c r="A3076" i="50"/>
  <c r="N3075" i="50"/>
  <c r="H3075" i="50"/>
  <c r="E3075" i="50"/>
  <c r="A3075" i="50"/>
  <c r="N3074" i="50"/>
  <c r="H3074" i="50"/>
  <c r="E3074" i="50"/>
  <c r="A3074" i="50"/>
  <c r="N3073" i="50"/>
  <c r="H3073" i="50"/>
  <c r="E3073" i="50"/>
  <c r="A3073" i="50"/>
  <c r="N3072" i="50"/>
  <c r="H3072" i="50"/>
  <c r="E3072" i="50"/>
  <c r="A3072" i="50"/>
  <c r="N3071" i="50"/>
  <c r="H3071" i="50"/>
  <c r="E3071" i="50"/>
  <c r="A3071" i="50"/>
  <c r="N3070" i="50"/>
  <c r="H3070" i="50"/>
  <c r="E3070" i="50"/>
  <c r="A3070" i="50"/>
  <c r="N3069" i="50"/>
  <c r="H3069" i="50"/>
  <c r="E3069" i="50"/>
  <c r="A3069" i="50"/>
  <c r="N3068" i="50"/>
  <c r="H3068" i="50"/>
  <c r="E3068" i="50"/>
  <c r="A3068" i="50"/>
  <c r="N3067" i="50"/>
  <c r="H3067" i="50"/>
  <c r="E3067" i="50"/>
  <c r="A3067" i="50"/>
  <c r="N3066" i="50"/>
  <c r="H3066" i="50"/>
  <c r="E3066" i="50"/>
  <c r="A3066" i="50"/>
  <c r="N3065" i="50"/>
  <c r="H3065" i="50"/>
  <c r="E3065" i="50"/>
  <c r="A3065" i="50"/>
  <c r="N3064" i="50"/>
  <c r="H3064" i="50"/>
  <c r="E3064" i="50"/>
  <c r="A3064" i="50"/>
  <c r="N3063" i="50"/>
  <c r="H3063" i="50"/>
  <c r="E3063" i="50"/>
  <c r="A3063" i="50"/>
  <c r="N3062" i="50"/>
  <c r="H3062" i="50"/>
  <c r="E3062" i="50"/>
  <c r="A3062" i="50"/>
  <c r="N3061" i="50"/>
  <c r="H3061" i="50"/>
  <c r="E3061" i="50"/>
  <c r="A3061" i="50"/>
  <c r="N3060" i="50"/>
  <c r="H3060" i="50"/>
  <c r="E3060" i="50"/>
  <c r="A3060" i="50"/>
  <c r="N3059" i="50"/>
  <c r="H3059" i="50"/>
  <c r="E3059" i="50"/>
  <c r="A3059" i="50"/>
  <c r="N3058" i="50"/>
  <c r="H3058" i="50"/>
  <c r="E3058" i="50"/>
  <c r="A3058" i="50"/>
  <c r="N3057" i="50"/>
  <c r="H3057" i="50"/>
  <c r="E3057" i="50"/>
  <c r="A3057" i="50"/>
  <c r="N3056" i="50"/>
  <c r="H3056" i="50"/>
  <c r="E3056" i="50"/>
  <c r="A3056" i="50"/>
  <c r="N3055" i="50"/>
  <c r="H3055" i="50"/>
  <c r="E3055" i="50"/>
  <c r="A3055" i="50"/>
  <c r="N3054" i="50"/>
  <c r="H3054" i="50"/>
  <c r="E3054" i="50"/>
  <c r="A3054" i="50"/>
  <c r="N3053" i="50"/>
  <c r="H3053" i="50"/>
  <c r="E3053" i="50"/>
  <c r="A3053" i="50"/>
  <c r="N3052" i="50"/>
  <c r="H3052" i="50"/>
  <c r="E3052" i="50"/>
  <c r="A3052" i="50"/>
  <c r="N3051" i="50"/>
  <c r="H3051" i="50"/>
  <c r="E3051" i="50"/>
  <c r="A3051" i="50"/>
  <c r="N3050" i="50"/>
  <c r="H3050" i="50"/>
  <c r="E3050" i="50"/>
  <c r="A3050" i="50"/>
  <c r="N3049" i="50"/>
  <c r="H3049" i="50"/>
  <c r="E3049" i="50"/>
  <c r="A3049" i="50"/>
  <c r="N3048" i="50"/>
  <c r="H3048" i="50"/>
  <c r="E3048" i="50"/>
  <c r="A3048" i="50"/>
  <c r="N3047" i="50"/>
  <c r="H3047" i="50"/>
  <c r="E3047" i="50"/>
  <c r="A3047" i="50"/>
  <c r="N3046" i="50"/>
  <c r="H3046" i="50"/>
  <c r="E3046" i="50"/>
  <c r="A3046" i="50"/>
  <c r="N3045" i="50"/>
  <c r="H3045" i="50"/>
  <c r="E3045" i="50"/>
  <c r="A3045" i="50"/>
  <c r="N3044" i="50"/>
  <c r="H3044" i="50"/>
  <c r="E3044" i="50"/>
  <c r="A3044" i="50"/>
  <c r="N3043" i="50"/>
  <c r="H3043" i="50"/>
  <c r="E3043" i="50"/>
  <c r="A3043" i="50"/>
  <c r="N3042" i="50"/>
  <c r="H3042" i="50"/>
  <c r="E3042" i="50"/>
  <c r="A3042" i="50"/>
  <c r="N3041" i="50"/>
  <c r="H3041" i="50"/>
  <c r="E3041" i="50"/>
  <c r="A3041" i="50"/>
  <c r="N3040" i="50"/>
  <c r="H3040" i="50"/>
  <c r="E3040" i="50"/>
  <c r="A3040" i="50"/>
  <c r="N3039" i="50"/>
  <c r="H3039" i="50"/>
  <c r="E3039" i="50"/>
  <c r="A3039" i="50"/>
  <c r="N3038" i="50"/>
  <c r="H3038" i="50"/>
  <c r="E3038" i="50"/>
  <c r="A3038" i="50"/>
  <c r="N3037" i="50"/>
  <c r="H3037" i="50"/>
  <c r="E3037" i="50"/>
  <c r="A3037" i="50"/>
  <c r="N3036" i="50"/>
  <c r="H3036" i="50"/>
  <c r="E3036" i="50"/>
  <c r="A3036" i="50"/>
  <c r="N3035" i="50"/>
  <c r="H3035" i="50"/>
  <c r="E3035" i="50"/>
  <c r="A3035" i="50"/>
  <c r="N3034" i="50"/>
  <c r="H3034" i="50"/>
  <c r="E3034" i="50"/>
  <c r="A3034" i="50"/>
  <c r="N3033" i="50"/>
  <c r="H3033" i="50"/>
  <c r="E3033" i="50"/>
  <c r="A3033" i="50"/>
  <c r="N3032" i="50"/>
  <c r="H3032" i="50"/>
  <c r="E3032" i="50"/>
  <c r="A3032" i="50"/>
  <c r="N3031" i="50"/>
  <c r="H3031" i="50"/>
  <c r="E3031" i="50"/>
  <c r="A3031" i="50"/>
  <c r="N3030" i="50"/>
  <c r="H3030" i="50"/>
  <c r="E3030" i="50"/>
  <c r="A3030" i="50"/>
  <c r="N3029" i="50"/>
  <c r="H3029" i="50"/>
  <c r="E3029" i="50"/>
  <c r="A3029" i="50"/>
  <c r="N3028" i="50"/>
  <c r="H3028" i="50"/>
  <c r="E3028" i="50"/>
  <c r="A3028" i="50"/>
  <c r="N3027" i="50"/>
  <c r="H3027" i="50"/>
  <c r="E3027" i="50"/>
  <c r="A3027" i="50"/>
  <c r="N3026" i="50"/>
  <c r="H3026" i="50"/>
  <c r="E3026" i="50"/>
  <c r="A3026" i="50"/>
  <c r="N3025" i="50"/>
  <c r="H3025" i="50"/>
  <c r="E3025" i="50"/>
  <c r="A3025" i="50"/>
  <c r="N3024" i="50"/>
  <c r="H3024" i="50"/>
  <c r="E3024" i="50"/>
  <c r="A3024" i="50"/>
  <c r="N3023" i="50"/>
  <c r="H3023" i="50"/>
  <c r="E3023" i="50"/>
  <c r="A3023" i="50"/>
  <c r="N3022" i="50"/>
  <c r="H3022" i="50"/>
  <c r="E3022" i="50"/>
  <c r="A3022" i="50"/>
  <c r="N3021" i="50"/>
  <c r="H3021" i="50"/>
  <c r="E3021" i="50"/>
  <c r="A3021" i="50"/>
  <c r="N3020" i="50"/>
  <c r="H3020" i="50"/>
  <c r="E3020" i="50"/>
  <c r="A3020" i="50"/>
  <c r="N3019" i="50"/>
  <c r="H3019" i="50"/>
  <c r="E3019" i="50"/>
  <c r="A3019" i="50"/>
  <c r="N3018" i="50"/>
  <c r="H3018" i="50"/>
  <c r="E3018" i="50"/>
  <c r="A3018" i="50"/>
  <c r="N3017" i="50"/>
  <c r="H3017" i="50"/>
  <c r="E3017" i="50"/>
  <c r="A3017" i="50"/>
  <c r="N3016" i="50"/>
  <c r="H3016" i="50"/>
  <c r="E3016" i="50"/>
  <c r="A3016" i="50"/>
  <c r="N3015" i="50"/>
  <c r="H3015" i="50"/>
  <c r="E3015" i="50"/>
  <c r="A3015" i="50"/>
  <c r="N3014" i="50"/>
  <c r="H3014" i="50"/>
  <c r="E3014" i="50"/>
  <c r="A3014" i="50"/>
  <c r="N3013" i="50"/>
  <c r="H3013" i="50"/>
  <c r="E3013" i="50"/>
  <c r="A3013" i="50"/>
  <c r="N3012" i="50"/>
  <c r="H3012" i="50"/>
  <c r="E3012" i="50"/>
  <c r="A3012" i="50"/>
  <c r="N3011" i="50"/>
  <c r="H3011" i="50"/>
  <c r="E3011" i="50"/>
  <c r="A3011" i="50"/>
  <c r="N3010" i="50"/>
  <c r="H3010" i="50"/>
  <c r="E3010" i="50"/>
  <c r="A3010" i="50"/>
  <c r="N3009" i="50"/>
  <c r="H3009" i="50"/>
  <c r="E3009" i="50"/>
  <c r="A3009" i="50"/>
  <c r="N3008" i="50"/>
  <c r="H3008" i="50"/>
  <c r="E3008" i="50"/>
  <c r="A3008" i="50"/>
  <c r="N3007" i="50"/>
  <c r="H3007" i="50"/>
  <c r="E3007" i="50"/>
  <c r="A3007" i="50"/>
  <c r="N3006" i="50"/>
  <c r="H3006" i="50"/>
  <c r="E3006" i="50"/>
  <c r="A3006" i="50"/>
  <c r="N3005" i="50"/>
  <c r="H3005" i="50"/>
  <c r="E3005" i="50"/>
  <c r="A3005" i="50"/>
  <c r="N3004" i="50"/>
  <c r="H3004" i="50"/>
  <c r="E3004" i="50"/>
  <c r="A3004" i="50"/>
  <c r="N3003" i="50"/>
  <c r="H3003" i="50"/>
  <c r="E3003" i="50"/>
  <c r="A3003" i="50"/>
  <c r="N3002" i="50"/>
  <c r="H3002" i="50"/>
  <c r="E3002" i="50"/>
  <c r="A3002" i="50"/>
  <c r="N3001" i="50"/>
  <c r="H3001" i="50"/>
  <c r="E3001" i="50"/>
  <c r="A3001" i="50"/>
  <c r="N3000" i="50"/>
  <c r="H3000" i="50"/>
  <c r="E3000" i="50"/>
  <c r="A3000" i="50"/>
  <c r="N2999" i="50"/>
  <c r="H2999" i="50"/>
  <c r="E2999" i="50"/>
  <c r="A2999" i="50"/>
  <c r="N2998" i="50"/>
  <c r="H2998" i="50"/>
  <c r="E2998" i="50"/>
  <c r="A2998" i="50"/>
  <c r="N2997" i="50"/>
  <c r="H2997" i="50"/>
  <c r="E2997" i="50"/>
  <c r="A2997" i="50"/>
  <c r="N2996" i="50"/>
  <c r="H2996" i="50"/>
  <c r="E2996" i="50"/>
  <c r="A2996" i="50"/>
  <c r="N2995" i="50"/>
  <c r="H2995" i="50"/>
  <c r="E2995" i="50"/>
  <c r="A2995" i="50"/>
  <c r="N2994" i="50"/>
  <c r="H2994" i="50"/>
  <c r="E2994" i="50"/>
  <c r="A2994" i="50"/>
  <c r="N2993" i="50"/>
  <c r="H2993" i="50"/>
  <c r="E2993" i="50"/>
  <c r="A2993" i="50"/>
  <c r="N2992" i="50"/>
  <c r="H2992" i="50"/>
  <c r="E2992" i="50"/>
  <c r="A2992" i="50"/>
  <c r="N2991" i="50"/>
  <c r="H2991" i="50"/>
  <c r="E2991" i="50"/>
  <c r="A2991" i="50"/>
  <c r="N2990" i="50"/>
  <c r="H2990" i="50"/>
  <c r="E2990" i="50"/>
  <c r="A2990" i="50"/>
  <c r="N2989" i="50"/>
  <c r="H2989" i="50"/>
  <c r="E2989" i="50"/>
  <c r="A2989" i="50"/>
  <c r="N2988" i="50"/>
  <c r="H2988" i="50"/>
  <c r="E2988" i="50"/>
  <c r="A2988" i="50"/>
  <c r="N2987" i="50"/>
  <c r="H2987" i="50"/>
  <c r="E2987" i="50"/>
  <c r="A2987" i="50"/>
  <c r="N2986" i="50"/>
  <c r="H2986" i="50"/>
  <c r="E2986" i="50"/>
  <c r="A2986" i="50"/>
  <c r="N2985" i="50"/>
  <c r="H2985" i="50"/>
  <c r="E2985" i="50"/>
  <c r="A2985" i="50"/>
  <c r="N2984" i="50"/>
  <c r="H2984" i="50"/>
  <c r="E2984" i="50"/>
  <c r="A2984" i="50"/>
  <c r="N2983" i="50"/>
  <c r="H2983" i="50"/>
  <c r="E2983" i="50"/>
  <c r="A2983" i="50"/>
  <c r="N2982" i="50"/>
  <c r="H2982" i="50"/>
  <c r="E2982" i="50"/>
  <c r="A2982" i="50"/>
  <c r="N2981" i="50"/>
  <c r="H2981" i="50"/>
  <c r="E2981" i="50"/>
  <c r="A2981" i="50"/>
  <c r="N2980" i="50"/>
  <c r="H2980" i="50"/>
  <c r="E2980" i="50"/>
  <c r="A2980" i="50"/>
  <c r="N2979" i="50"/>
  <c r="H2979" i="50"/>
  <c r="E2979" i="50"/>
  <c r="A2979" i="50"/>
  <c r="N2978" i="50"/>
  <c r="H2978" i="50"/>
  <c r="E2978" i="50"/>
  <c r="A2978" i="50"/>
  <c r="N2977" i="50"/>
  <c r="H2977" i="50"/>
  <c r="E2977" i="50"/>
  <c r="A2977" i="50"/>
  <c r="N2976" i="50"/>
  <c r="H2976" i="50"/>
  <c r="E2976" i="50"/>
  <c r="A2976" i="50"/>
  <c r="N2975" i="50"/>
  <c r="H2975" i="50"/>
  <c r="E2975" i="50"/>
  <c r="A2975" i="50"/>
  <c r="N2974" i="50"/>
  <c r="H2974" i="50"/>
  <c r="E2974" i="50"/>
  <c r="A2974" i="50"/>
  <c r="N2973" i="50"/>
  <c r="H2973" i="50"/>
  <c r="E2973" i="50"/>
  <c r="A2973" i="50"/>
  <c r="N2972" i="50"/>
  <c r="H2972" i="50"/>
  <c r="E2972" i="50"/>
  <c r="A2972" i="50"/>
  <c r="N2971" i="50"/>
  <c r="H2971" i="50"/>
  <c r="E2971" i="50"/>
  <c r="A2971" i="50"/>
  <c r="N2970" i="50"/>
  <c r="H2970" i="50"/>
  <c r="E2970" i="50"/>
  <c r="A2970" i="50"/>
  <c r="N2969" i="50"/>
  <c r="H2969" i="50"/>
  <c r="E2969" i="50"/>
  <c r="A2969" i="50"/>
  <c r="N2968" i="50"/>
  <c r="H2968" i="50"/>
  <c r="E2968" i="50"/>
  <c r="A2968" i="50"/>
  <c r="N2967" i="50"/>
  <c r="H2967" i="50"/>
  <c r="E2967" i="50"/>
  <c r="A2967" i="50"/>
  <c r="N2966" i="50"/>
  <c r="H2966" i="50"/>
  <c r="E2966" i="50"/>
  <c r="A2966" i="50"/>
  <c r="N2965" i="50"/>
  <c r="H2965" i="50"/>
  <c r="E2965" i="50"/>
  <c r="A2965" i="50"/>
  <c r="N2964" i="50"/>
  <c r="H2964" i="50"/>
  <c r="E2964" i="50"/>
  <c r="A2964" i="50"/>
  <c r="N2963" i="50"/>
  <c r="H2963" i="50"/>
  <c r="E2963" i="50"/>
  <c r="A2963" i="50"/>
  <c r="N2962" i="50"/>
  <c r="H2962" i="50"/>
  <c r="E2962" i="50"/>
  <c r="A2962" i="50"/>
  <c r="N2961" i="50"/>
  <c r="H2961" i="50"/>
  <c r="E2961" i="50"/>
  <c r="A2961" i="50"/>
  <c r="N2960" i="50"/>
  <c r="H2960" i="50"/>
  <c r="E2960" i="50"/>
  <c r="A2960" i="50"/>
  <c r="N2959" i="50"/>
  <c r="H2959" i="50"/>
  <c r="E2959" i="50"/>
  <c r="A2959" i="50"/>
  <c r="N2958" i="50"/>
  <c r="H2958" i="50"/>
  <c r="E2958" i="50"/>
  <c r="A2958" i="50"/>
  <c r="N2957" i="50"/>
  <c r="H2957" i="50"/>
  <c r="E2957" i="50"/>
  <c r="A2957" i="50"/>
  <c r="N2956" i="50"/>
  <c r="H2956" i="50"/>
  <c r="E2956" i="50"/>
  <c r="A2956" i="50"/>
  <c r="N2955" i="50"/>
  <c r="H2955" i="50"/>
  <c r="E2955" i="50"/>
  <c r="A2955" i="50"/>
  <c r="N2954" i="50"/>
  <c r="H2954" i="50"/>
  <c r="E2954" i="50"/>
  <c r="A2954" i="50"/>
  <c r="N2953" i="50"/>
  <c r="H2953" i="50"/>
  <c r="E2953" i="50"/>
  <c r="A2953" i="50"/>
  <c r="N2952" i="50"/>
  <c r="H2952" i="50"/>
  <c r="E2952" i="50"/>
  <c r="A2952" i="50"/>
  <c r="N2951" i="50"/>
  <c r="H2951" i="50"/>
  <c r="E2951" i="50"/>
  <c r="A2951" i="50"/>
  <c r="N2950" i="50"/>
  <c r="H2950" i="50"/>
  <c r="E2950" i="50"/>
  <c r="A2950" i="50"/>
  <c r="N2949" i="50"/>
  <c r="H2949" i="50"/>
  <c r="E2949" i="50"/>
  <c r="A2949" i="50"/>
  <c r="N2948" i="50"/>
  <c r="H2948" i="50"/>
  <c r="E2948" i="50"/>
  <c r="A2948" i="50"/>
  <c r="N2947" i="50"/>
  <c r="H2947" i="50"/>
  <c r="E2947" i="50"/>
  <c r="A2947" i="50"/>
  <c r="N2946" i="50"/>
  <c r="H2946" i="50"/>
  <c r="E2946" i="50"/>
  <c r="A2946" i="50"/>
  <c r="N2945" i="50"/>
  <c r="H2945" i="50"/>
  <c r="E2945" i="50"/>
  <c r="A2945" i="50"/>
  <c r="N2944" i="50"/>
  <c r="H2944" i="50"/>
  <c r="E2944" i="50"/>
  <c r="A2944" i="50"/>
  <c r="N2943" i="50"/>
  <c r="H2943" i="50"/>
  <c r="E2943" i="50"/>
  <c r="A2943" i="50"/>
  <c r="N2942" i="50"/>
  <c r="H2942" i="50"/>
  <c r="E2942" i="50"/>
  <c r="A2942" i="50"/>
  <c r="N2941" i="50"/>
  <c r="H2941" i="50"/>
  <c r="E2941" i="50"/>
  <c r="A2941" i="50"/>
  <c r="N2940" i="50"/>
  <c r="H2940" i="50"/>
  <c r="E2940" i="50"/>
  <c r="A2940" i="50"/>
  <c r="N2939" i="50"/>
  <c r="H2939" i="50"/>
  <c r="E2939" i="50"/>
  <c r="A2939" i="50"/>
  <c r="N2938" i="50"/>
  <c r="H2938" i="50"/>
  <c r="E2938" i="50"/>
  <c r="A2938" i="50"/>
  <c r="N2937" i="50"/>
  <c r="H2937" i="50"/>
  <c r="E2937" i="50"/>
  <c r="A2937" i="50"/>
  <c r="N2936" i="50"/>
  <c r="H2936" i="50"/>
  <c r="E2936" i="50"/>
  <c r="A2936" i="50"/>
  <c r="N2935" i="50"/>
  <c r="H2935" i="50"/>
  <c r="E2935" i="50"/>
  <c r="A2935" i="50"/>
  <c r="N2934" i="50"/>
  <c r="H2934" i="50"/>
  <c r="E2934" i="50"/>
  <c r="A2934" i="50"/>
  <c r="N2933" i="50"/>
  <c r="H2933" i="50"/>
  <c r="E2933" i="50"/>
  <c r="A2933" i="50"/>
  <c r="N2932" i="50"/>
  <c r="H2932" i="50"/>
  <c r="E2932" i="50"/>
  <c r="A2932" i="50"/>
  <c r="N2931" i="50"/>
  <c r="H2931" i="50"/>
  <c r="E2931" i="50"/>
  <c r="A2931" i="50"/>
  <c r="N2930" i="50"/>
  <c r="H2930" i="50"/>
  <c r="E2930" i="50"/>
  <c r="A2930" i="50"/>
  <c r="N2929" i="50"/>
  <c r="H2929" i="50"/>
  <c r="E2929" i="50"/>
  <c r="A2929" i="50"/>
  <c r="N2928" i="50"/>
  <c r="H2928" i="50"/>
  <c r="E2928" i="50"/>
  <c r="A2928" i="50"/>
  <c r="N2927" i="50"/>
  <c r="H2927" i="50"/>
  <c r="E2927" i="50"/>
  <c r="A2927" i="50"/>
  <c r="N2926" i="50"/>
  <c r="H2926" i="50"/>
  <c r="E2926" i="50"/>
  <c r="A2926" i="50"/>
  <c r="N2925" i="50"/>
  <c r="H2925" i="50"/>
  <c r="E2925" i="50"/>
  <c r="A2925" i="50"/>
  <c r="N2924" i="50"/>
  <c r="H2924" i="50"/>
  <c r="E2924" i="50"/>
  <c r="A2924" i="50"/>
  <c r="N2923" i="50"/>
  <c r="H2923" i="50"/>
  <c r="E2923" i="50"/>
  <c r="A2923" i="50"/>
  <c r="N2922" i="50"/>
  <c r="H2922" i="50"/>
  <c r="E2922" i="50"/>
  <c r="A2922" i="50"/>
  <c r="N2921" i="50"/>
  <c r="H2921" i="50"/>
  <c r="E2921" i="50"/>
  <c r="A2921" i="50"/>
  <c r="N2920" i="50"/>
  <c r="H2920" i="50"/>
  <c r="E2920" i="50"/>
  <c r="A2920" i="50"/>
  <c r="N2919" i="50"/>
  <c r="H2919" i="50"/>
  <c r="E2919" i="50"/>
  <c r="A2919" i="50"/>
  <c r="N2918" i="50"/>
  <c r="H2918" i="50"/>
  <c r="E2918" i="50"/>
  <c r="A2918" i="50"/>
  <c r="N2917" i="50"/>
  <c r="H2917" i="50"/>
  <c r="E2917" i="50"/>
  <c r="A2917" i="50"/>
  <c r="N2916" i="50"/>
  <c r="H2916" i="50"/>
  <c r="E2916" i="50"/>
  <c r="A2916" i="50"/>
  <c r="N2915" i="50"/>
  <c r="H2915" i="50"/>
  <c r="E2915" i="50"/>
  <c r="A2915" i="50"/>
  <c r="N2914" i="50"/>
  <c r="H2914" i="50"/>
  <c r="E2914" i="50"/>
  <c r="A2914" i="50"/>
  <c r="N2913" i="50"/>
  <c r="H2913" i="50"/>
  <c r="E2913" i="50"/>
  <c r="A2913" i="50"/>
  <c r="N2912" i="50"/>
  <c r="H2912" i="50"/>
  <c r="E2912" i="50"/>
  <c r="A2912" i="50"/>
  <c r="N2911" i="50"/>
  <c r="H2911" i="50"/>
  <c r="E2911" i="50"/>
  <c r="A2911" i="50"/>
  <c r="N2910" i="50"/>
  <c r="H2910" i="50"/>
  <c r="E2910" i="50"/>
  <c r="A2910" i="50"/>
  <c r="N2909" i="50"/>
  <c r="H2909" i="50"/>
  <c r="E2909" i="50"/>
  <c r="A2909" i="50"/>
  <c r="N2908" i="50"/>
  <c r="H2908" i="50"/>
  <c r="E2908" i="50"/>
  <c r="A2908" i="50"/>
  <c r="N2907" i="50"/>
  <c r="H2907" i="50"/>
  <c r="E2907" i="50"/>
  <c r="A2907" i="50"/>
  <c r="N2906" i="50"/>
  <c r="H2906" i="50"/>
  <c r="E2906" i="50"/>
  <c r="A2906" i="50"/>
  <c r="N2905" i="50"/>
  <c r="H2905" i="50"/>
  <c r="E2905" i="50"/>
  <c r="A2905" i="50"/>
  <c r="N2904" i="50"/>
  <c r="H2904" i="50"/>
  <c r="E2904" i="50"/>
  <c r="A2904" i="50"/>
  <c r="N2903" i="50"/>
  <c r="H2903" i="50"/>
  <c r="E2903" i="50"/>
  <c r="A2903" i="50"/>
  <c r="N2902" i="50"/>
  <c r="H2902" i="50"/>
  <c r="E2902" i="50"/>
  <c r="A2902" i="50"/>
  <c r="N2901" i="50"/>
  <c r="H2901" i="50"/>
  <c r="E2901" i="50"/>
  <c r="A2901" i="50"/>
  <c r="N2900" i="50"/>
  <c r="H2900" i="50"/>
  <c r="E2900" i="50"/>
  <c r="A2900" i="50"/>
  <c r="N2899" i="50"/>
  <c r="H2899" i="50"/>
  <c r="E2899" i="50"/>
  <c r="A2899" i="50"/>
  <c r="N2898" i="50"/>
  <c r="H2898" i="50"/>
  <c r="E2898" i="50"/>
  <c r="A2898" i="50"/>
  <c r="N2897" i="50"/>
  <c r="H2897" i="50"/>
  <c r="E2897" i="50"/>
  <c r="A2897" i="50"/>
  <c r="N2896" i="50"/>
  <c r="H2896" i="50"/>
  <c r="E2896" i="50"/>
  <c r="A2896" i="50"/>
  <c r="N2895" i="50"/>
  <c r="H2895" i="50"/>
  <c r="E2895" i="50"/>
  <c r="A2895" i="50"/>
  <c r="N2894" i="50"/>
  <c r="H2894" i="50"/>
  <c r="E2894" i="50"/>
  <c r="A2894" i="50"/>
  <c r="N2893" i="50"/>
  <c r="H2893" i="50"/>
  <c r="E2893" i="50"/>
  <c r="A2893" i="50"/>
  <c r="N2892" i="50"/>
  <c r="H2892" i="50"/>
  <c r="E2892" i="50"/>
  <c r="A2892" i="50"/>
  <c r="N2891" i="50"/>
  <c r="H2891" i="50"/>
  <c r="E2891" i="50"/>
  <c r="A2891" i="50"/>
  <c r="N2890" i="50"/>
  <c r="H2890" i="50"/>
  <c r="E2890" i="50"/>
  <c r="A2890" i="50"/>
  <c r="N2889" i="50"/>
  <c r="H2889" i="50"/>
  <c r="E2889" i="50"/>
  <c r="A2889" i="50"/>
  <c r="N2888" i="50"/>
  <c r="H2888" i="50"/>
  <c r="E2888" i="50"/>
  <c r="A2888" i="50"/>
  <c r="N2887" i="50"/>
  <c r="H2887" i="50"/>
  <c r="E2887" i="50"/>
  <c r="A2887" i="50"/>
  <c r="N2886" i="50"/>
  <c r="H2886" i="50"/>
  <c r="E2886" i="50"/>
  <c r="A2886" i="50"/>
  <c r="N2885" i="50"/>
  <c r="H2885" i="50"/>
  <c r="E2885" i="50"/>
  <c r="A2885" i="50"/>
  <c r="N2884" i="50"/>
  <c r="H2884" i="50"/>
  <c r="E2884" i="50"/>
  <c r="A2884" i="50"/>
  <c r="N2883" i="50"/>
  <c r="H2883" i="50"/>
  <c r="E2883" i="50"/>
  <c r="A2883" i="50"/>
  <c r="N2882" i="50"/>
  <c r="H2882" i="50"/>
  <c r="E2882" i="50"/>
  <c r="A2882" i="50"/>
  <c r="N2881" i="50"/>
  <c r="H2881" i="50"/>
  <c r="E2881" i="50"/>
  <c r="A2881" i="50"/>
  <c r="N2880" i="50"/>
  <c r="H2880" i="50"/>
  <c r="E2880" i="50"/>
  <c r="A2880" i="50"/>
  <c r="N2879" i="50"/>
  <c r="H2879" i="50"/>
  <c r="E2879" i="50"/>
  <c r="A2879" i="50"/>
  <c r="N2878" i="50"/>
  <c r="H2878" i="50"/>
  <c r="E2878" i="50"/>
  <c r="A2878" i="50"/>
  <c r="N2877" i="50"/>
  <c r="H2877" i="50"/>
  <c r="E2877" i="50"/>
  <c r="A2877" i="50"/>
  <c r="N2876" i="50"/>
  <c r="H2876" i="50"/>
  <c r="E2876" i="50"/>
  <c r="A2876" i="50"/>
  <c r="N2875" i="50"/>
  <c r="H2875" i="50"/>
  <c r="E2875" i="50"/>
  <c r="A2875" i="50"/>
  <c r="N2874" i="50"/>
  <c r="H2874" i="50"/>
  <c r="E2874" i="50"/>
  <c r="A2874" i="50"/>
  <c r="N2873" i="50"/>
  <c r="H2873" i="50"/>
  <c r="E2873" i="50"/>
  <c r="A2873" i="50"/>
  <c r="N2872" i="50"/>
  <c r="H2872" i="50"/>
  <c r="E2872" i="50"/>
  <c r="A2872" i="50"/>
  <c r="N2871" i="50"/>
  <c r="H2871" i="50"/>
  <c r="E2871" i="50"/>
  <c r="A2871" i="50"/>
  <c r="N2870" i="50"/>
  <c r="H2870" i="50"/>
  <c r="E2870" i="50"/>
  <c r="A2870" i="50"/>
  <c r="N2869" i="50"/>
  <c r="H2869" i="50"/>
  <c r="E2869" i="50"/>
  <c r="A2869" i="50"/>
  <c r="N2868" i="50"/>
  <c r="H2868" i="50"/>
  <c r="E2868" i="50"/>
  <c r="A2868" i="50"/>
  <c r="N2867" i="50"/>
  <c r="H2867" i="50"/>
  <c r="E2867" i="50"/>
  <c r="A2867" i="50"/>
  <c r="N2866" i="50"/>
  <c r="H2866" i="50"/>
  <c r="E2866" i="50"/>
  <c r="A2866" i="50"/>
  <c r="N2865" i="50"/>
  <c r="H2865" i="50"/>
  <c r="E2865" i="50"/>
  <c r="A2865" i="50"/>
  <c r="N2864" i="50"/>
  <c r="H2864" i="50"/>
  <c r="E2864" i="50"/>
  <c r="A2864" i="50"/>
  <c r="N2863" i="50"/>
  <c r="H2863" i="50"/>
  <c r="E2863" i="50"/>
  <c r="A2863" i="50"/>
  <c r="N2862" i="50"/>
  <c r="H2862" i="50"/>
  <c r="E2862" i="50"/>
  <c r="A2862" i="50"/>
  <c r="N2861" i="50"/>
  <c r="H2861" i="50"/>
  <c r="E2861" i="50"/>
  <c r="A2861" i="50"/>
  <c r="N2860" i="50"/>
  <c r="H2860" i="50"/>
  <c r="E2860" i="50"/>
  <c r="A2860" i="50"/>
  <c r="N2859" i="50"/>
  <c r="H2859" i="50"/>
  <c r="E2859" i="50"/>
  <c r="A2859" i="50"/>
  <c r="N2858" i="50"/>
  <c r="H2858" i="50"/>
  <c r="E2858" i="50"/>
  <c r="A2858" i="50"/>
  <c r="N2857" i="50"/>
  <c r="H2857" i="50"/>
  <c r="E2857" i="50"/>
  <c r="A2857" i="50"/>
  <c r="N2856" i="50"/>
  <c r="H2856" i="50"/>
  <c r="E2856" i="50"/>
  <c r="A2856" i="50"/>
  <c r="N2855" i="50"/>
  <c r="H2855" i="50"/>
  <c r="E2855" i="50"/>
  <c r="A2855" i="50"/>
  <c r="N2854" i="50"/>
  <c r="H2854" i="50"/>
  <c r="E2854" i="50"/>
  <c r="A2854" i="50"/>
  <c r="N2853" i="50"/>
  <c r="H2853" i="50"/>
  <c r="E2853" i="50"/>
  <c r="A2853" i="50"/>
  <c r="N2852" i="50"/>
  <c r="H2852" i="50"/>
  <c r="E2852" i="50"/>
  <c r="A2852" i="50"/>
  <c r="N2851" i="50"/>
  <c r="H2851" i="50"/>
  <c r="E2851" i="50"/>
  <c r="A2851" i="50"/>
  <c r="N2850" i="50"/>
  <c r="H2850" i="50"/>
  <c r="E2850" i="50"/>
  <c r="A2850" i="50"/>
  <c r="N2849" i="50"/>
  <c r="H2849" i="50"/>
  <c r="E2849" i="50"/>
  <c r="A2849" i="50"/>
  <c r="N2848" i="50"/>
  <c r="H2848" i="50"/>
  <c r="E2848" i="50"/>
  <c r="A2848" i="50"/>
  <c r="N2847" i="50"/>
  <c r="H2847" i="50"/>
  <c r="E2847" i="50"/>
  <c r="A2847" i="50"/>
  <c r="N2846" i="50"/>
  <c r="H2846" i="50"/>
  <c r="E2846" i="50"/>
  <c r="A2846" i="50"/>
  <c r="N2845" i="50"/>
  <c r="H2845" i="50"/>
  <c r="E2845" i="50"/>
  <c r="A2845" i="50"/>
  <c r="N2844" i="50"/>
  <c r="H2844" i="50"/>
  <c r="E2844" i="50"/>
  <c r="A2844" i="50"/>
  <c r="N2843" i="50"/>
  <c r="H2843" i="50"/>
  <c r="E2843" i="50"/>
  <c r="A2843" i="50"/>
  <c r="N2842" i="50"/>
  <c r="H2842" i="50"/>
  <c r="E2842" i="50"/>
  <c r="A2842" i="50"/>
  <c r="N2841" i="50"/>
  <c r="H2841" i="50"/>
  <c r="E2841" i="50"/>
  <c r="A2841" i="50"/>
  <c r="N2840" i="50"/>
  <c r="H2840" i="50"/>
  <c r="E2840" i="50"/>
  <c r="A2840" i="50"/>
  <c r="N2839" i="50"/>
  <c r="H2839" i="50"/>
  <c r="E2839" i="50"/>
  <c r="A2839" i="50"/>
  <c r="N2838" i="50"/>
  <c r="H2838" i="50"/>
  <c r="E2838" i="50"/>
  <c r="A2838" i="50"/>
  <c r="N2837" i="50"/>
  <c r="H2837" i="50"/>
  <c r="E2837" i="50"/>
  <c r="A2837" i="50"/>
  <c r="N2836" i="50"/>
  <c r="H2836" i="50"/>
  <c r="E2836" i="50"/>
  <c r="A2836" i="50"/>
  <c r="N2835" i="50"/>
  <c r="H2835" i="50"/>
  <c r="E2835" i="50"/>
  <c r="A2835" i="50"/>
  <c r="N2834" i="50"/>
  <c r="H2834" i="50"/>
  <c r="E2834" i="50"/>
  <c r="A2834" i="50"/>
  <c r="N2833" i="50"/>
  <c r="H2833" i="50"/>
  <c r="E2833" i="50"/>
  <c r="A2833" i="50"/>
  <c r="N2832" i="50"/>
  <c r="H2832" i="50"/>
  <c r="E2832" i="50"/>
  <c r="A2832" i="50"/>
  <c r="N2831" i="50"/>
  <c r="H2831" i="50"/>
  <c r="E2831" i="50"/>
  <c r="A2831" i="50"/>
  <c r="N2830" i="50"/>
  <c r="H2830" i="50"/>
  <c r="E2830" i="50"/>
  <c r="A2830" i="50"/>
  <c r="N2829" i="50"/>
  <c r="H2829" i="50"/>
  <c r="E2829" i="50"/>
  <c r="A2829" i="50"/>
  <c r="N2828" i="50"/>
  <c r="H2828" i="50"/>
  <c r="E2828" i="50"/>
  <c r="A2828" i="50"/>
  <c r="N2827" i="50"/>
  <c r="H2827" i="50"/>
  <c r="E2827" i="50"/>
  <c r="A2827" i="50"/>
  <c r="N2826" i="50"/>
  <c r="H2826" i="50"/>
  <c r="E2826" i="50"/>
  <c r="A2826" i="50"/>
  <c r="N2825" i="50"/>
  <c r="H2825" i="50"/>
  <c r="E2825" i="50"/>
  <c r="A2825" i="50"/>
  <c r="N2824" i="50"/>
  <c r="H2824" i="50"/>
  <c r="E2824" i="50"/>
  <c r="A2824" i="50"/>
  <c r="N2823" i="50"/>
  <c r="H2823" i="50"/>
  <c r="E2823" i="50"/>
  <c r="A2823" i="50"/>
  <c r="N2822" i="50"/>
  <c r="H2822" i="50"/>
  <c r="E2822" i="50"/>
  <c r="A2822" i="50"/>
  <c r="N2821" i="50"/>
  <c r="H2821" i="50"/>
  <c r="E2821" i="50"/>
  <c r="A2821" i="50"/>
  <c r="N2820" i="50"/>
  <c r="H2820" i="50"/>
  <c r="E2820" i="50"/>
  <c r="A2820" i="50"/>
  <c r="N2819" i="50"/>
  <c r="H2819" i="50"/>
  <c r="E2819" i="50"/>
  <c r="A2819" i="50"/>
  <c r="N2818" i="50"/>
  <c r="H2818" i="50"/>
  <c r="E2818" i="50"/>
  <c r="A2818" i="50"/>
  <c r="N2817" i="50"/>
  <c r="H2817" i="50"/>
  <c r="E2817" i="50"/>
  <c r="A2817" i="50"/>
  <c r="N2816" i="50"/>
  <c r="H2816" i="50"/>
  <c r="E2816" i="50"/>
  <c r="A2816" i="50"/>
  <c r="N2815" i="50"/>
  <c r="H2815" i="50"/>
  <c r="E2815" i="50"/>
  <c r="A2815" i="50"/>
  <c r="N2814" i="50"/>
  <c r="H2814" i="50"/>
  <c r="E2814" i="50"/>
  <c r="A2814" i="50"/>
  <c r="N2813" i="50"/>
  <c r="H2813" i="50"/>
  <c r="E2813" i="50"/>
  <c r="A2813" i="50"/>
  <c r="N2812" i="50"/>
  <c r="H2812" i="50"/>
  <c r="E2812" i="50"/>
  <c r="A2812" i="50"/>
  <c r="N2811" i="50"/>
  <c r="H2811" i="50"/>
  <c r="E2811" i="50"/>
  <c r="A2811" i="50"/>
  <c r="N2810" i="50"/>
  <c r="H2810" i="50"/>
  <c r="E2810" i="50"/>
  <c r="A2810" i="50"/>
  <c r="N2809" i="50"/>
  <c r="H2809" i="50"/>
  <c r="E2809" i="50"/>
  <c r="A2809" i="50"/>
  <c r="N2808" i="50"/>
  <c r="H2808" i="50"/>
  <c r="E2808" i="50"/>
  <c r="A2808" i="50"/>
  <c r="N2807" i="50"/>
  <c r="H2807" i="50"/>
  <c r="E2807" i="50"/>
  <c r="A2807" i="50"/>
  <c r="N2806" i="50"/>
  <c r="H2806" i="50"/>
  <c r="E2806" i="50"/>
  <c r="A2806" i="50"/>
  <c r="N2805" i="50"/>
  <c r="H2805" i="50"/>
  <c r="E2805" i="50"/>
  <c r="A2805" i="50"/>
  <c r="N2804" i="50"/>
  <c r="H2804" i="50"/>
  <c r="E2804" i="50"/>
  <c r="A2804" i="50"/>
  <c r="N2803" i="50"/>
  <c r="H2803" i="50"/>
  <c r="E2803" i="50"/>
  <c r="A2803" i="50"/>
  <c r="N2802" i="50"/>
  <c r="H2802" i="50"/>
  <c r="E2802" i="50"/>
  <c r="A2802" i="50"/>
  <c r="N2801" i="50"/>
  <c r="H2801" i="50"/>
  <c r="E2801" i="50"/>
  <c r="A2801" i="50"/>
  <c r="N2800" i="50"/>
  <c r="H2800" i="50"/>
  <c r="E2800" i="50"/>
  <c r="A2800" i="50"/>
  <c r="N2799" i="50"/>
  <c r="H2799" i="50"/>
  <c r="E2799" i="50"/>
  <c r="A2799" i="50"/>
  <c r="N2798" i="50"/>
  <c r="H2798" i="50"/>
  <c r="E2798" i="50"/>
  <c r="A2798" i="50"/>
  <c r="N2797" i="50"/>
  <c r="H2797" i="50"/>
  <c r="E2797" i="50"/>
  <c r="A2797" i="50"/>
  <c r="N2796" i="50"/>
  <c r="H2796" i="50"/>
  <c r="E2796" i="50"/>
  <c r="A2796" i="50"/>
  <c r="N2795" i="50"/>
  <c r="H2795" i="50"/>
  <c r="E2795" i="50"/>
  <c r="A2795" i="50"/>
  <c r="N2794" i="50"/>
  <c r="H2794" i="50"/>
  <c r="E2794" i="50"/>
  <c r="A2794" i="50"/>
  <c r="N2793" i="50"/>
  <c r="H2793" i="50"/>
  <c r="E2793" i="50"/>
  <c r="A2793" i="50"/>
  <c r="N2792" i="50"/>
  <c r="H2792" i="50"/>
  <c r="E2792" i="50"/>
  <c r="A2792" i="50"/>
  <c r="N2791" i="50"/>
  <c r="H2791" i="50"/>
  <c r="E2791" i="50"/>
  <c r="A2791" i="50"/>
  <c r="N2790" i="50"/>
  <c r="H2790" i="50"/>
  <c r="E2790" i="50"/>
  <c r="A2790" i="50"/>
  <c r="N2789" i="50"/>
  <c r="H2789" i="50"/>
  <c r="E2789" i="50"/>
  <c r="A2789" i="50"/>
  <c r="N2788" i="50"/>
  <c r="H2788" i="50"/>
  <c r="E2788" i="50"/>
  <c r="A2788" i="50"/>
  <c r="N2787" i="50"/>
  <c r="H2787" i="50"/>
  <c r="E2787" i="50"/>
  <c r="A2787" i="50"/>
  <c r="N2786" i="50"/>
  <c r="H2786" i="50"/>
  <c r="E2786" i="50"/>
  <c r="A2786" i="50"/>
  <c r="N2785" i="50"/>
  <c r="H2785" i="50"/>
  <c r="E2785" i="50"/>
  <c r="A2785" i="50"/>
  <c r="N2784" i="50"/>
  <c r="H2784" i="50"/>
  <c r="E2784" i="50"/>
  <c r="A2784" i="50"/>
  <c r="N2783" i="50"/>
  <c r="H2783" i="50"/>
  <c r="E2783" i="50"/>
  <c r="A2783" i="50"/>
  <c r="N2782" i="50"/>
  <c r="H2782" i="50"/>
  <c r="E2782" i="50"/>
  <c r="A2782" i="50"/>
  <c r="N2781" i="50"/>
  <c r="H2781" i="50"/>
  <c r="E2781" i="50"/>
  <c r="A2781" i="50"/>
  <c r="N2780" i="50"/>
  <c r="H2780" i="50"/>
  <c r="E2780" i="50"/>
  <c r="A2780" i="50"/>
  <c r="N2779" i="50"/>
  <c r="H2779" i="50"/>
  <c r="E2779" i="50"/>
  <c r="A2779" i="50"/>
  <c r="N2778" i="50"/>
  <c r="H2778" i="50"/>
  <c r="E2778" i="50"/>
  <c r="A2778" i="50"/>
  <c r="N2777" i="50"/>
  <c r="H2777" i="50"/>
  <c r="E2777" i="50"/>
  <c r="A2777" i="50"/>
  <c r="N2776" i="50"/>
  <c r="H2776" i="50"/>
  <c r="E2776" i="50"/>
  <c r="A2776" i="50"/>
  <c r="N2775" i="50"/>
  <c r="H2775" i="50"/>
  <c r="E2775" i="50"/>
  <c r="A2775" i="50"/>
  <c r="N2774" i="50"/>
  <c r="H2774" i="50"/>
  <c r="E2774" i="50"/>
  <c r="A2774" i="50"/>
  <c r="N2773" i="50"/>
  <c r="H2773" i="50"/>
  <c r="E2773" i="50"/>
  <c r="A2773" i="50"/>
  <c r="N2772" i="50"/>
  <c r="H2772" i="50"/>
  <c r="E2772" i="50"/>
  <c r="A2772" i="50"/>
  <c r="N2771" i="50"/>
  <c r="H2771" i="50"/>
  <c r="E2771" i="50"/>
  <c r="A2771" i="50"/>
  <c r="N2770" i="50"/>
  <c r="H2770" i="50"/>
  <c r="E2770" i="50"/>
  <c r="A2770" i="50"/>
  <c r="N2769" i="50"/>
  <c r="H2769" i="50"/>
  <c r="E2769" i="50"/>
  <c r="A2769" i="50"/>
  <c r="N2768" i="50"/>
  <c r="H2768" i="50"/>
  <c r="E2768" i="50"/>
  <c r="A2768" i="50"/>
  <c r="N2767" i="50"/>
  <c r="H2767" i="50"/>
  <c r="E2767" i="50"/>
  <c r="A2767" i="50"/>
  <c r="N2766" i="50"/>
  <c r="H2766" i="50"/>
  <c r="E2766" i="50"/>
  <c r="A2766" i="50"/>
  <c r="N2765" i="50"/>
  <c r="H2765" i="50"/>
  <c r="E2765" i="50"/>
  <c r="A2765" i="50"/>
  <c r="N2764" i="50"/>
  <c r="H2764" i="50"/>
  <c r="E2764" i="50"/>
  <c r="A2764" i="50"/>
  <c r="N2763" i="50"/>
  <c r="H2763" i="50"/>
  <c r="E2763" i="50"/>
  <c r="A2763" i="50"/>
  <c r="N2762" i="50"/>
  <c r="H2762" i="50"/>
  <c r="E2762" i="50"/>
  <c r="A2762" i="50"/>
  <c r="N2761" i="50"/>
  <c r="H2761" i="50"/>
  <c r="E2761" i="50"/>
  <c r="A2761" i="50"/>
  <c r="N2760" i="50"/>
  <c r="H2760" i="50"/>
  <c r="E2760" i="50"/>
  <c r="A2760" i="50"/>
  <c r="N2759" i="50"/>
  <c r="H2759" i="50"/>
  <c r="E2759" i="50"/>
  <c r="A2759" i="50"/>
  <c r="N2758" i="50"/>
  <c r="H2758" i="50"/>
  <c r="E2758" i="50"/>
  <c r="A2758" i="50"/>
  <c r="N2757" i="50"/>
  <c r="H2757" i="50"/>
  <c r="E2757" i="50"/>
  <c r="A2757" i="50"/>
  <c r="N2756" i="50"/>
  <c r="H2756" i="50"/>
  <c r="E2756" i="50"/>
  <c r="A2756" i="50"/>
  <c r="N2755" i="50"/>
  <c r="H2755" i="50"/>
  <c r="E2755" i="50"/>
  <c r="A2755" i="50"/>
  <c r="N2754" i="50"/>
  <c r="H2754" i="50"/>
  <c r="E2754" i="50"/>
  <c r="A2754" i="50"/>
  <c r="N2753" i="50"/>
  <c r="H2753" i="50"/>
  <c r="E2753" i="50"/>
  <c r="A2753" i="50"/>
  <c r="N2752" i="50"/>
  <c r="H2752" i="50"/>
  <c r="E2752" i="50"/>
  <c r="A2752" i="50"/>
  <c r="N2751" i="50"/>
  <c r="H2751" i="50"/>
  <c r="E2751" i="50"/>
  <c r="A2751" i="50"/>
  <c r="N2750" i="50"/>
  <c r="H2750" i="50"/>
  <c r="E2750" i="50"/>
  <c r="A2750" i="50"/>
  <c r="N2749" i="50"/>
  <c r="H2749" i="50"/>
  <c r="E2749" i="50"/>
  <c r="A2749" i="50"/>
  <c r="N2748" i="50"/>
  <c r="H2748" i="50"/>
  <c r="E2748" i="50"/>
  <c r="A2748" i="50"/>
  <c r="N2747" i="50"/>
  <c r="H2747" i="50"/>
  <c r="E2747" i="50"/>
  <c r="A2747" i="50"/>
  <c r="N2746" i="50"/>
  <c r="H2746" i="50"/>
  <c r="E2746" i="50"/>
  <c r="A2746" i="50"/>
  <c r="N2745" i="50"/>
  <c r="H2745" i="50"/>
  <c r="E2745" i="50"/>
  <c r="A2745" i="50"/>
  <c r="N2744" i="50"/>
  <c r="H2744" i="50"/>
  <c r="E2744" i="50"/>
  <c r="A2744" i="50"/>
  <c r="N2743" i="50"/>
  <c r="H2743" i="50"/>
  <c r="E2743" i="50"/>
  <c r="A2743" i="50"/>
  <c r="N2742" i="50"/>
  <c r="H2742" i="50"/>
  <c r="E2742" i="50"/>
  <c r="A2742" i="50"/>
  <c r="N2741" i="50"/>
  <c r="H2741" i="50"/>
  <c r="E2741" i="50"/>
  <c r="A2741" i="50"/>
  <c r="N2740" i="50"/>
  <c r="H2740" i="50"/>
  <c r="E2740" i="50"/>
  <c r="A2740" i="50"/>
  <c r="N2739" i="50"/>
  <c r="H2739" i="50"/>
  <c r="E2739" i="50"/>
  <c r="A2739" i="50"/>
  <c r="N2738" i="50"/>
  <c r="H2738" i="50"/>
  <c r="E2738" i="50"/>
  <c r="A2738" i="50"/>
  <c r="N2737" i="50"/>
  <c r="H2737" i="50"/>
  <c r="E2737" i="50"/>
  <c r="A2737" i="50"/>
  <c r="N2736" i="50"/>
  <c r="H2736" i="50"/>
  <c r="E2736" i="50"/>
  <c r="A2736" i="50"/>
  <c r="N2735" i="50"/>
  <c r="H2735" i="50"/>
  <c r="E2735" i="50"/>
  <c r="A2735" i="50"/>
  <c r="N2734" i="50"/>
  <c r="H2734" i="50"/>
  <c r="E2734" i="50"/>
  <c r="A2734" i="50"/>
  <c r="N2733" i="50"/>
  <c r="H2733" i="50"/>
  <c r="E2733" i="50"/>
  <c r="A2733" i="50"/>
  <c r="N2732" i="50"/>
  <c r="H2732" i="50"/>
  <c r="E2732" i="50"/>
  <c r="A2732" i="50"/>
  <c r="N2731" i="50"/>
  <c r="H2731" i="50"/>
  <c r="E2731" i="50"/>
  <c r="A2731" i="50"/>
  <c r="N2730" i="50"/>
  <c r="H2730" i="50"/>
  <c r="E2730" i="50"/>
  <c r="A2730" i="50"/>
  <c r="N2729" i="50"/>
  <c r="H2729" i="50"/>
  <c r="E2729" i="50"/>
  <c r="A2729" i="50"/>
  <c r="N2728" i="50"/>
  <c r="H2728" i="50"/>
  <c r="E2728" i="50"/>
  <c r="A2728" i="50"/>
  <c r="N2727" i="50"/>
  <c r="H2727" i="50"/>
  <c r="E2727" i="50"/>
  <c r="A2727" i="50"/>
  <c r="N2726" i="50"/>
  <c r="H2726" i="50"/>
  <c r="E2726" i="50"/>
  <c r="A2726" i="50"/>
  <c r="N2725" i="50"/>
  <c r="H2725" i="50"/>
  <c r="E2725" i="50"/>
  <c r="A2725" i="50"/>
  <c r="N2724" i="50"/>
  <c r="H2724" i="50"/>
  <c r="E2724" i="50"/>
  <c r="A2724" i="50"/>
  <c r="N2723" i="50"/>
  <c r="H2723" i="50"/>
  <c r="E2723" i="50"/>
  <c r="A2723" i="50"/>
  <c r="N2722" i="50"/>
  <c r="H2722" i="50"/>
  <c r="E2722" i="50"/>
  <c r="A2722" i="50"/>
  <c r="N2721" i="50"/>
  <c r="H2721" i="50"/>
  <c r="E2721" i="50"/>
  <c r="A2721" i="50"/>
  <c r="N2720" i="50"/>
  <c r="H2720" i="50"/>
  <c r="E2720" i="50"/>
  <c r="A2720" i="50"/>
  <c r="N2719" i="50"/>
  <c r="H2719" i="50"/>
  <c r="E2719" i="50"/>
  <c r="A2719" i="50"/>
  <c r="N2718" i="50"/>
  <c r="H2718" i="50"/>
  <c r="E2718" i="50"/>
  <c r="A2718" i="50"/>
  <c r="N2717" i="50"/>
  <c r="H2717" i="50"/>
  <c r="E2717" i="50"/>
  <c r="A2717" i="50"/>
  <c r="N2716" i="50"/>
  <c r="H2716" i="50"/>
  <c r="E2716" i="50"/>
  <c r="A2716" i="50"/>
  <c r="N2715" i="50"/>
  <c r="H2715" i="50"/>
  <c r="E2715" i="50"/>
  <c r="A2715" i="50"/>
  <c r="N2714" i="50"/>
  <c r="H2714" i="50"/>
  <c r="E2714" i="50"/>
  <c r="A2714" i="50"/>
  <c r="N2713" i="50"/>
  <c r="H2713" i="50"/>
  <c r="E2713" i="50"/>
  <c r="A2713" i="50"/>
  <c r="N2712" i="50"/>
  <c r="H2712" i="50"/>
  <c r="E2712" i="50"/>
  <c r="A2712" i="50"/>
  <c r="N2711" i="50"/>
  <c r="H2711" i="50"/>
  <c r="E2711" i="50"/>
  <c r="A2711" i="50"/>
  <c r="N2710" i="50"/>
  <c r="H2710" i="50"/>
  <c r="E2710" i="50"/>
  <c r="A2710" i="50"/>
  <c r="N2709" i="50"/>
  <c r="H2709" i="50"/>
  <c r="E2709" i="50"/>
  <c r="A2709" i="50"/>
  <c r="N2708" i="50"/>
  <c r="H2708" i="50"/>
  <c r="E2708" i="50"/>
  <c r="A2708" i="50"/>
  <c r="N2707" i="50"/>
  <c r="H2707" i="50"/>
  <c r="E2707" i="50"/>
  <c r="A2707" i="50"/>
  <c r="N2706" i="50"/>
  <c r="H2706" i="50"/>
  <c r="E2706" i="50"/>
  <c r="A2706" i="50"/>
  <c r="N2705" i="50"/>
  <c r="H2705" i="50"/>
  <c r="E2705" i="50"/>
  <c r="A2705" i="50"/>
  <c r="N2704" i="50"/>
  <c r="H2704" i="50"/>
  <c r="E2704" i="50"/>
  <c r="A2704" i="50"/>
  <c r="N2703" i="50"/>
  <c r="H2703" i="50"/>
  <c r="E2703" i="50"/>
  <c r="A2703" i="50"/>
  <c r="N2702" i="50"/>
  <c r="H2702" i="50"/>
  <c r="E2702" i="50"/>
  <c r="A2702" i="50"/>
  <c r="N2701" i="50"/>
  <c r="H2701" i="50"/>
  <c r="E2701" i="50"/>
  <c r="A2701" i="50"/>
  <c r="N2700" i="50"/>
  <c r="H2700" i="50"/>
  <c r="E2700" i="50"/>
  <c r="A2700" i="50"/>
  <c r="N2699" i="50"/>
  <c r="H2699" i="50"/>
  <c r="E2699" i="50"/>
  <c r="A2699" i="50"/>
  <c r="N2698" i="50"/>
  <c r="H2698" i="50"/>
  <c r="E2698" i="50"/>
  <c r="A2698" i="50"/>
  <c r="N2697" i="50"/>
  <c r="H2697" i="50"/>
  <c r="E2697" i="50"/>
  <c r="A2697" i="50"/>
  <c r="N2696" i="50"/>
  <c r="H2696" i="50"/>
  <c r="E2696" i="50"/>
  <c r="A2696" i="50"/>
  <c r="N2695" i="50"/>
  <c r="H2695" i="50"/>
  <c r="E2695" i="50"/>
  <c r="A2695" i="50"/>
  <c r="N2694" i="50"/>
  <c r="H2694" i="50"/>
  <c r="E2694" i="50"/>
  <c r="A2694" i="50"/>
  <c r="N2693" i="50"/>
  <c r="H2693" i="50"/>
  <c r="E2693" i="50"/>
  <c r="A2693" i="50"/>
  <c r="N2692" i="50"/>
  <c r="H2692" i="50"/>
  <c r="E2692" i="50"/>
  <c r="A2692" i="50"/>
  <c r="N2691" i="50"/>
  <c r="H2691" i="50"/>
  <c r="E2691" i="50"/>
  <c r="A2691" i="50"/>
  <c r="N2690" i="50"/>
  <c r="H2690" i="50"/>
  <c r="E2690" i="50"/>
  <c r="A2690" i="50"/>
  <c r="N2689" i="50"/>
  <c r="H2689" i="50"/>
  <c r="E2689" i="50"/>
  <c r="A2689" i="50"/>
  <c r="N2688" i="50"/>
  <c r="H2688" i="50"/>
  <c r="E2688" i="50"/>
  <c r="A2688" i="50"/>
  <c r="N2687" i="50"/>
  <c r="H2687" i="50"/>
  <c r="E2687" i="50"/>
  <c r="A2687" i="50"/>
  <c r="N2686" i="50"/>
  <c r="H2686" i="50"/>
  <c r="E2686" i="50"/>
  <c r="A2686" i="50"/>
  <c r="N2685" i="50"/>
  <c r="H2685" i="50"/>
  <c r="E2685" i="50"/>
  <c r="A2685" i="50"/>
  <c r="N2684" i="50"/>
  <c r="H2684" i="50"/>
  <c r="E2684" i="50"/>
  <c r="A2684" i="50"/>
  <c r="N2683" i="50"/>
  <c r="H2683" i="50"/>
  <c r="E2683" i="50"/>
  <c r="A2683" i="50"/>
  <c r="N2682" i="50"/>
  <c r="H2682" i="50"/>
  <c r="E2682" i="50"/>
  <c r="A2682" i="50"/>
  <c r="N2681" i="50"/>
  <c r="H2681" i="50"/>
  <c r="E2681" i="50"/>
  <c r="A2681" i="50"/>
  <c r="N2680" i="50"/>
  <c r="H2680" i="50"/>
  <c r="E2680" i="50"/>
  <c r="A2680" i="50"/>
  <c r="N2679" i="50"/>
  <c r="H2679" i="50"/>
  <c r="E2679" i="50"/>
  <c r="A2679" i="50"/>
  <c r="N2678" i="50"/>
  <c r="H2678" i="50"/>
  <c r="E2678" i="50"/>
  <c r="A2678" i="50"/>
  <c r="N2677" i="50"/>
  <c r="H2677" i="50"/>
  <c r="E2677" i="50"/>
  <c r="A2677" i="50"/>
  <c r="N2676" i="50"/>
  <c r="H2676" i="50"/>
  <c r="E2676" i="50"/>
  <c r="A2676" i="50"/>
  <c r="N2675" i="50"/>
  <c r="H2675" i="50"/>
  <c r="E2675" i="50"/>
  <c r="A2675" i="50"/>
  <c r="N2674" i="50"/>
  <c r="H2674" i="50"/>
  <c r="E2674" i="50"/>
  <c r="A2674" i="50"/>
  <c r="N2673" i="50"/>
  <c r="H2673" i="50"/>
  <c r="E2673" i="50"/>
  <c r="A2673" i="50"/>
  <c r="N2672" i="50"/>
  <c r="H2672" i="50"/>
  <c r="E2672" i="50"/>
  <c r="A2672" i="50"/>
  <c r="N2671" i="50"/>
  <c r="H2671" i="50"/>
  <c r="E2671" i="50"/>
  <c r="A2671" i="50"/>
  <c r="N2670" i="50"/>
  <c r="H2670" i="50"/>
  <c r="E2670" i="50"/>
  <c r="A2670" i="50"/>
  <c r="N2669" i="50"/>
  <c r="H2669" i="50"/>
  <c r="E2669" i="50"/>
  <c r="A2669" i="50"/>
  <c r="N2668" i="50"/>
  <c r="H2668" i="50"/>
  <c r="E2668" i="50"/>
  <c r="A2668" i="50"/>
  <c r="N2667" i="50"/>
  <c r="H2667" i="50"/>
  <c r="E2667" i="50"/>
  <c r="A2667" i="50"/>
  <c r="N2666" i="50"/>
  <c r="H2666" i="50"/>
  <c r="E2666" i="50"/>
  <c r="A2666" i="50"/>
  <c r="N2665" i="50"/>
  <c r="H2665" i="50"/>
  <c r="E2665" i="50"/>
  <c r="A2665" i="50"/>
  <c r="N2664" i="50"/>
  <c r="H2664" i="50"/>
  <c r="E2664" i="50"/>
  <c r="A2664" i="50"/>
  <c r="N2663" i="50"/>
  <c r="H2663" i="50"/>
  <c r="E2663" i="50"/>
  <c r="A2663" i="50"/>
  <c r="N2662" i="50"/>
  <c r="H2662" i="50"/>
  <c r="E2662" i="50"/>
  <c r="A2662" i="50"/>
  <c r="N2661" i="50"/>
  <c r="H2661" i="50"/>
  <c r="E2661" i="50"/>
  <c r="A2661" i="50"/>
  <c r="N2660" i="50"/>
  <c r="H2660" i="50"/>
  <c r="E2660" i="50"/>
  <c r="A2660" i="50"/>
  <c r="N2659" i="50"/>
  <c r="H2659" i="50"/>
  <c r="E2659" i="50"/>
  <c r="A2659" i="50"/>
  <c r="N2658" i="50"/>
  <c r="H2658" i="50"/>
  <c r="E2658" i="50"/>
  <c r="A2658" i="50"/>
  <c r="N2657" i="50"/>
  <c r="H2657" i="50"/>
  <c r="E2657" i="50"/>
  <c r="A2657" i="50"/>
  <c r="N2656" i="50"/>
  <c r="H2656" i="50"/>
  <c r="E2656" i="50"/>
  <c r="A2656" i="50"/>
  <c r="N2655" i="50"/>
  <c r="H2655" i="50"/>
  <c r="E2655" i="50"/>
  <c r="A2655" i="50"/>
  <c r="N2654" i="50"/>
  <c r="H2654" i="50"/>
  <c r="E2654" i="50"/>
  <c r="A2654" i="50"/>
  <c r="N2653" i="50"/>
  <c r="H2653" i="50"/>
  <c r="E2653" i="50"/>
  <c r="A2653" i="50"/>
  <c r="N2652" i="50"/>
  <c r="H2652" i="50"/>
  <c r="E2652" i="50"/>
  <c r="A2652" i="50"/>
  <c r="N2651" i="50"/>
  <c r="H2651" i="50"/>
  <c r="E2651" i="50"/>
  <c r="A2651" i="50"/>
  <c r="N2650" i="50"/>
  <c r="H2650" i="50"/>
  <c r="E2650" i="50"/>
  <c r="A2650" i="50"/>
  <c r="N2649" i="50"/>
  <c r="H2649" i="50"/>
  <c r="E2649" i="50"/>
  <c r="A2649" i="50"/>
  <c r="N2648" i="50"/>
  <c r="H2648" i="50"/>
  <c r="E2648" i="50"/>
  <c r="A2648" i="50"/>
  <c r="N2647" i="50"/>
  <c r="H2647" i="50"/>
  <c r="E2647" i="50"/>
  <c r="A2647" i="50"/>
  <c r="N2646" i="50"/>
  <c r="H2646" i="50"/>
  <c r="E2646" i="50"/>
  <c r="A2646" i="50"/>
  <c r="N2645" i="50"/>
  <c r="H2645" i="50"/>
  <c r="E2645" i="50"/>
  <c r="A2645" i="50"/>
  <c r="N2644" i="50"/>
  <c r="H2644" i="50"/>
  <c r="E2644" i="50"/>
  <c r="A2644" i="50"/>
  <c r="N2643" i="50"/>
  <c r="H2643" i="50"/>
  <c r="E2643" i="50"/>
  <c r="A2643" i="50"/>
  <c r="N2642" i="50"/>
  <c r="H2642" i="50"/>
  <c r="E2642" i="50"/>
  <c r="A2642" i="50"/>
  <c r="N2641" i="50"/>
  <c r="H2641" i="50"/>
  <c r="E2641" i="50"/>
  <c r="A2641" i="50"/>
  <c r="N2640" i="50"/>
  <c r="H2640" i="50"/>
  <c r="E2640" i="50"/>
  <c r="A2640" i="50"/>
  <c r="N2639" i="50"/>
  <c r="H2639" i="50"/>
  <c r="E2639" i="50"/>
  <c r="A2639" i="50"/>
  <c r="N2638" i="50"/>
  <c r="H2638" i="50"/>
  <c r="E2638" i="50"/>
  <c r="A2638" i="50"/>
  <c r="N2637" i="50"/>
  <c r="H2637" i="50"/>
  <c r="E2637" i="50"/>
  <c r="A2637" i="50"/>
  <c r="N2636" i="50"/>
  <c r="H2636" i="50"/>
  <c r="E2636" i="50"/>
  <c r="A2636" i="50"/>
  <c r="N2635" i="50"/>
  <c r="H2635" i="50"/>
  <c r="E2635" i="50"/>
  <c r="A2635" i="50"/>
  <c r="N2634" i="50"/>
  <c r="H2634" i="50"/>
  <c r="E2634" i="50"/>
  <c r="A2634" i="50"/>
  <c r="N2633" i="50"/>
  <c r="H2633" i="50"/>
  <c r="E2633" i="50"/>
  <c r="A2633" i="50"/>
  <c r="N2632" i="50"/>
  <c r="H2632" i="50"/>
  <c r="E2632" i="50"/>
  <c r="A2632" i="50"/>
  <c r="N2631" i="50"/>
  <c r="H2631" i="50"/>
  <c r="E2631" i="50"/>
  <c r="A2631" i="50"/>
  <c r="N2630" i="50"/>
  <c r="H2630" i="50"/>
  <c r="E2630" i="50"/>
  <c r="A2630" i="50"/>
  <c r="N2629" i="50"/>
  <c r="H2629" i="50"/>
  <c r="E2629" i="50"/>
  <c r="A2629" i="50"/>
  <c r="N2628" i="50"/>
  <c r="H2628" i="50"/>
  <c r="E2628" i="50"/>
  <c r="A2628" i="50"/>
  <c r="N2627" i="50"/>
  <c r="H2627" i="50"/>
  <c r="E2627" i="50"/>
  <c r="A2627" i="50"/>
  <c r="N2626" i="50"/>
  <c r="H2626" i="50"/>
  <c r="E2626" i="50"/>
  <c r="A2626" i="50"/>
  <c r="N2625" i="50"/>
  <c r="H2625" i="50"/>
  <c r="E2625" i="50"/>
  <c r="A2625" i="50"/>
  <c r="N2624" i="50"/>
  <c r="H2624" i="50"/>
  <c r="E2624" i="50"/>
  <c r="A2624" i="50"/>
  <c r="N2623" i="50"/>
  <c r="H2623" i="50"/>
  <c r="E2623" i="50"/>
  <c r="A2623" i="50"/>
  <c r="N2622" i="50"/>
  <c r="H2622" i="50"/>
  <c r="E2622" i="50"/>
  <c r="A2622" i="50"/>
  <c r="N2621" i="50"/>
  <c r="H2621" i="50"/>
  <c r="E2621" i="50"/>
  <c r="A2621" i="50"/>
  <c r="N2620" i="50"/>
  <c r="H2620" i="50"/>
  <c r="E2620" i="50"/>
  <c r="A2620" i="50"/>
  <c r="N2619" i="50"/>
  <c r="H2619" i="50"/>
  <c r="E2619" i="50"/>
  <c r="A2619" i="50"/>
  <c r="N2618" i="50"/>
  <c r="H2618" i="50"/>
  <c r="E2618" i="50"/>
  <c r="A2618" i="50"/>
  <c r="N2617" i="50"/>
  <c r="H2617" i="50"/>
  <c r="E2617" i="50"/>
  <c r="A2617" i="50"/>
  <c r="N2616" i="50"/>
  <c r="H2616" i="50"/>
  <c r="E2616" i="50"/>
  <c r="A2616" i="50"/>
  <c r="N2615" i="50"/>
  <c r="H2615" i="50"/>
  <c r="E2615" i="50"/>
  <c r="A2615" i="50"/>
  <c r="N2614" i="50"/>
  <c r="H2614" i="50"/>
  <c r="E2614" i="50"/>
  <c r="A2614" i="50"/>
  <c r="N2613" i="50"/>
  <c r="H2613" i="50"/>
  <c r="E2613" i="50"/>
  <c r="A2613" i="50"/>
  <c r="N2612" i="50"/>
  <c r="H2612" i="50"/>
  <c r="E2612" i="50"/>
  <c r="A2612" i="50"/>
  <c r="N2611" i="50"/>
  <c r="H2611" i="50"/>
  <c r="E2611" i="50"/>
  <c r="A2611" i="50"/>
  <c r="N2610" i="50"/>
  <c r="H2610" i="50"/>
  <c r="E2610" i="50"/>
  <c r="A2610" i="50"/>
  <c r="N2609" i="50"/>
  <c r="H2609" i="50"/>
  <c r="E2609" i="50"/>
  <c r="A2609" i="50"/>
  <c r="N2608" i="50"/>
  <c r="H2608" i="50"/>
  <c r="E2608" i="50"/>
  <c r="A2608" i="50"/>
  <c r="N2607" i="50"/>
  <c r="H2607" i="50"/>
  <c r="E2607" i="50"/>
  <c r="A2607" i="50"/>
  <c r="N2606" i="50"/>
  <c r="H2606" i="50"/>
  <c r="E2606" i="50"/>
  <c r="A2606" i="50"/>
  <c r="N2605" i="50"/>
  <c r="H2605" i="50"/>
  <c r="E2605" i="50"/>
  <c r="A2605" i="50"/>
  <c r="N2604" i="50"/>
  <c r="H2604" i="50"/>
  <c r="E2604" i="50"/>
  <c r="A2604" i="50"/>
  <c r="N2603" i="50"/>
  <c r="H2603" i="50"/>
  <c r="E2603" i="50"/>
  <c r="A2603" i="50"/>
  <c r="N2602" i="50"/>
  <c r="H2602" i="50"/>
  <c r="E2602" i="50"/>
  <c r="A2602" i="50"/>
  <c r="N2601" i="50"/>
  <c r="H2601" i="50"/>
  <c r="E2601" i="50"/>
  <c r="A2601" i="50"/>
  <c r="N2600" i="50"/>
  <c r="H2600" i="50"/>
  <c r="E2600" i="50"/>
  <c r="A2600" i="50"/>
  <c r="N2599" i="50"/>
  <c r="H2599" i="50"/>
  <c r="E2599" i="50"/>
  <c r="A2599" i="50"/>
  <c r="N2598" i="50"/>
  <c r="H2598" i="50"/>
  <c r="E2598" i="50"/>
  <c r="A2598" i="50"/>
  <c r="N2597" i="50"/>
  <c r="H2597" i="50"/>
  <c r="E2597" i="50"/>
  <c r="A2597" i="50"/>
  <c r="N2596" i="50"/>
  <c r="H2596" i="50"/>
  <c r="E2596" i="50"/>
  <c r="A2596" i="50"/>
  <c r="N2595" i="50"/>
  <c r="H2595" i="50"/>
  <c r="E2595" i="50"/>
  <c r="A2595" i="50"/>
  <c r="N2594" i="50"/>
  <c r="H2594" i="50"/>
  <c r="E2594" i="50"/>
  <c r="A2594" i="50"/>
  <c r="N2593" i="50"/>
  <c r="H2593" i="50"/>
  <c r="E2593" i="50"/>
  <c r="A2593" i="50"/>
  <c r="N2592" i="50"/>
  <c r="H2592" i="50"/>
  <c r="E2592" i="50"/>
  <c r="A2592" i="50"/>
  <c r="N2591" i="50"/>
  <c r="H2591" i="50"/>
  <c r="E2591" i="50"/>
  <c r="A2591" i="50"/>
  <c r="N2590" i="50"/>
  <c r="H2590" i="50"/>
  <c r="E2590" i="50"/>
  <c r="A2590" i="50"/>
  <c r="N2589" i="50"/>
  <c r="H2589" i="50"/>
  <c r="E2589" i="50"/>
  <c r="A2589" i="50"/>
  <c r="N2588" i="50"/>
  <c r="H2588" i="50"/>
  <c r="E2588" i="50"/>
  <c r="A2588" i="50"/>
  <c r="N2587" i="50"/>
  <c r="H2587" i="50"/>
  <c r="E2587" i="50"/>
  <c r="A2587" i="50"/>
  <c r="N2586" i="50"/>
  <c r="H2586" i="50"/>
  <c r="E2586" i="50"/>
  <c r="A2586" i="50"/>
  <c r="N2585" i="50"/>
  <c r="H2585" i="50"/>
  <c r="E2585" i="50"/>
  <c r="A2585" i="50"/>
  <c r="N2584" i="50"/>
  <c r="H2584" i="50"/>
  <c r="E2584" i="50"/>
  <c r="A2584" i="50"/>
  <c r="N2583" i="50"/>
  <c r="H2583" i="50"/>
  <c r="E2583" i="50"/>
  <c r="A2583" i="50"/>
  <c r="N2582" i="50"/>
  <c r="H2582" i="50"/>
  <c r="E2582" i="50"/>
  <c r="A2582" i="50"/>
  <c r="N2581" i="50"/>
  <c r="H2581" i="50"/>
  <c r="E2581" i="50"/>
  <c r="A2581" i="50"/>
  <c r="N2580" i="50"/>
  <c r="H2580" i="50"/>
  <c r="E2580" i="50"/>
  <c r="A2580" i="50"/>
  <c r="N2579" i="50"/>
  <c r="H2579" i="50"/>
  <c r="E2579" i="50"/>
  <c r="A2579" i="50"/>
  <c r="N2578" i="50"/>
  <c r="H2578" i="50"/>
  <c r="E2578" i="50"/>
  <c r="A2578" i="50"/>
  <c r="N2577" i="50"/>
  <c r="H2577" i="50"/>
  <c r="E2577" i="50"/>
  <c r="A2577" i="50"/>
  <c r="N2576" i="50"/>
  <c r="H2576" i="50"/>
  <c r="E2576" i="50"/>
  <c r="A2576" i="50"/>
  <c r="N2575" i="50"/>
  <c r="H2575" i="50"/>
  <c r="E2575" i="50"/>
  <c r="A2575" i="50"/>
  <c r="N2574" i="50"/>
  <c r="H2574" i="50"/>
  <c r="E2574" i="50"/>
  <c r="A2574" i="50"/>
  <c r="N2573" i="50"/>
  <c r="H2573" i="50"/>
  <c r="E2573" i="50"/>
  <c r="A2573" i="50"/>
  <c r="N2572" i="50"/>
  <c r="H2572" i="50"/>
  <c r="E2572" i="50"/>
  <c r="A2572" i="50"/>
  <c r="N2571" i="50"/>
  <c r="H2571" i="50"/>
  <c r="E2571" i="50"/>
  <c r="A2571" i="50"/>
  <c r="N2570" i="50"/>
  <c r="H2570" i="50"/>
  <c r="E2570" i="50"/>
  <c r="A2570" i="50"/>
  <c r="N2569" i="50"/>
  <c r="H2569" i="50"/>
  <c r="E2569" i="50"/>
  <c r="A2569" i="50"/>
  <c r="N2568" i="50"/>
  <c r="H2568" i="50"/>
  <c r="E2568" i="50"/>
  <c r="A2568" i="50"/>
  <c r="N2567" i="50"/>
  <c r="H2567" i="50"/>
  <c r="E2567" i="50"/>
  <c r="A2567" i="50"/>
  <c r="N2566" i="50"/>
  <c r="H2566" i="50"/>
  <c r="E2566" i="50"/>
  <c r="A2566" i="50"/>
  <c r="N2565" i="50"/>
  <c r="H2565" i="50"/>
  <c r="E2565" i="50"/>
  <c r="A2565" i="50"/>
  <c r="N2564" i="50"/>
  <c r="H2564" i="50"/>
  <c r="E2564" i="50"/>
  <c r="A2564" i="50"/>
  <c r="N2563" i="50"/>
  <c r="H2563" i="50"/>
  <c r="E2563" i="50"/>
  <c r="A2563" i="50"/>
  <c r="N2562" i="50"/>
  <c r="H2562" i="50"/>
  <c r="E2562" i="50"/>
  <c r="A2562" i="50"/>
  <c r="N2561" i="50"/>
  <c r="H2561" i="50"/>
  <c r="E2561" i="50"/>
  <c r="A2561" i="50"/>
  <c r="N2560" i="50"/>
  <c r="H2560" i="50"/>
  <c r="E2560" i="50"/>
  <c r="A2560" i="50"/>
  <c r="N2559" i="50"/>
  <c r="H2559" i="50"/>
  <c r="E2559" i="50"/>
  <c r="A2559" i="50"/>
  <c r="N2558" i="50"/>
  <c r="H2558" i="50"/>
  <c r="E2558" i="50"/>
  <c r="A2558" i="50"/>
  <c r="N2557" i="50"/>
  <c r="H2557" i="50"/>
  <c r="E2557" i="50"/>
  <c r="A2557" i="50"/>
  <c r="N2556" i="50"/>
  <c r="H2556" i="50"/>
  <c r="E2556" i="50"/>
  <c r="A2556" i="50"/>
  <c r="N2555" i="50"/>
  <c r="H2555" i="50"/>
  <c r="E2555" i="50"/>
  <c r="A2555" i="50"/>
  <c r="N2554" i="50"/>
  <c r="H2554" i="50"/>
  <c r="E2554" i="50"/>
  <c r="A2554" i="50"/>
  <c r="N2553" i="50"/>
  <c r="H2553" i="50"/>
  <c r="E2553" i="50"/>
  <c r="A2553" i="50"/>
  <c r="N2552" i="50"/>
  <c r="H2552" i="50"/>
  <c r="E2552" i="50"/>
  <c r="A2552" i="50"/>
  <c r="N2551" i="50"/>
  <c r="H2551" i="50"/>
  <c r="E2551" i="50"/>
  <c r="A2551" i="50"/>
  <c r="N2550" i="50"/>
  <c r="H2550" i="50"/>
  <c r="E2550" i="50"/>
  <c r="A2550" i="50"/>
  <c r="N2549" i="50"/>
  <c r="H2549" i="50"/>
  <c r="E2549" i="50"/>
  <c r="A2549" i="50"/>
  <c r="N2548" i="50"/>
  <c r="H2548" i="50"/>
  <c r="E2548" i="50"/>
  <c r="A2548" i="50"/>
  <c r="N2547" i="50"/>
  <c r="H2547" i="50"/>
  <c r="E2547" i="50"/>
  <c r="A2547" i="50"/>
  <c r="N2546" i="50"/>
  <c r="H2546" i="50"/>
  <c r="E2546" i="50"/>
  <c r="A2546" i="50"/>
  <c r="N2545" i="50"/>
  <c r="H2545" i="50"/>
  <c r="E2545" i="50"/>
  <c r="A2545" i="50"/>
  <c r="N2544" i="50"/>
  <c r="H2544" i="50"/>
  <c r="E2544" i="50"/>
  <c r="A2544" i="50"/>
  <c r="N2543" i="50"/>
  <c r="H2543" i="50"/>
  <c r="E2543" i="50"/>
  <c r="A2543" i="50"/>
  <c r="N2542" i="50"/>
  <c r="H2542" i="50"/>
  <c r="E2542" i="50"/>
  <c r="A2542" i="50"/>
  <c r="N2541" i="50"/>
  <c r="H2541" i="50"/>
  <c r="E2541" i="50"/>
  <c r="A2541" i="50"/>
  <c r="N2540" i="50"/>
  <c r="H2540" i="50"/>
  <c r="E2540" i="50"/>
  <c r="A2540" i="50"/>
  <c r="N2539" i="50"/>
  <c r="H2539" i="50"/>
  <c r="E2539" i="50"/>
  <c r="A2539" i="50"/>
  <c r="N2538" i="50"/>
  <c r="H2538" i="50"/>
  <c r="E2538" i="50"/>
  <c r="A2538" i="50"/>
  <c r="N2537" i="50"/>
  <c r="H2537" i="50"/>
  <c r="E2537" i="50"/>
  <c r="A2537" i="50"/>
  <c r="N2536" i="50"/>
  <c r="H2536" i="50"/>
  <c r="E2536" i="50"/>
  <c r="A2536" i="50"/>
  <c r="N2535" i="50"/>
  <c r="H2535" i="50"/>
  <c r="E2535" i="50"/>
  <c r="A2535" i="50"/>
  <c r="N2534" i="50"/>
  <c r="H2534" i="50"/>
  <c r="E2534" i="50"/>
  <c r="A2534" i="50"/>
  <c r="N2533" i="50"/>
  <c r="H2533" i="50"/>
  <c r="E2533" i="50"/>
  <c r="A2533" i="50"/>
  <c r="N2532" i="50"/>
  <c r="H2532" i="50"/>
  <c r="E2532" i="50"/>
  <c r="A2532" i="50"/>
  <c r="N2531" i="50"/>
  <c r="H2531" i="50"/>
  <c r="E2531" i="50"/>
  <c r="A2531" i="50"/>
  <c r="N2530" i="50"/>
  <c r="H2530" i="50"/>
  <c r="E2530" i="50"/>
  <c r="A2530" i="50"/>
  <c r="N2529" i="50"/>
  <c r="H2529" i="50"/>
  <c r="E2529" i="50"/>
  <c r="A2529" i="50"/>
  <c r="N2528" i="50"/>
  <c r="H2528" i="50"/>
  <c r="E2528" i="50"/>
  <c r="A2528" i="50"/>
  <c r="N2527" i="50"/>
  <c r="H2527" i="50"/>
  <c r="E2527" i="50"/>
  <c r="A2527" i="50"/>
  <c r="N2526" i="50"/>
  <c r="H2526" i="50"/>
  <c r="E2526" i="50"/>
  <c r="A2526" i="50"/>
  <c r="N2525" i="50"/>
  <c r="H2525" i="50"/>
  <c r="E2525" i="50"/>
  <c r="A2525" i="50"/>
  <c r="N2524" i="50"/>
  <c r="H2524" i="50"/>
  <c r="E2524" i="50"/>
  <c r="A2524" i="50"/>
  <c r="N2523" i="50"/>
  <c r="H2523" i="50"/>
  <c r="E2523" i="50"/>
  <c r="A2523" i="50"/>
  <c r="N2522" i="50"/>
  <c r="H2522" i="50"/>
  <c r="E2522" i="50"/>
  <c r="A2522" i="50"/>
  <c r="N2521" i="50"/>
  <c r="H2521" i="50"/>
  <c r="E2521" i="50"/>
  <c r="A2521" i="50"/>
  <c r="N2520" i="50"/>
  <c r="H2520" i="50"/>
  <c r="E2520" i="50"/>
  <c r="A2520" i="50"/>
  <c r="N2519" i="50"/>
  <c r="H2519" i="50"/>
  <c r="E2519" i="50"/>
  <c r="A2519" i="50"/>
  <c r="N2518" i="50"/>
  <c r="H2518" i="50"/>
  <c r="E2518" i="50"/>
  <c r="A2518" i="50"/>
  <c r="N2517" i="50"/>
  <c r="H2517" i="50"/>
  <c r="E2517" i="50"/>
  <c r="A2517" i="50"/>
  <c r="N2516" i="50"/>
  <c r="H2516" i="50"/>
  <c r="E2516" i="50"/>
  <c r="A2516" i="50"/>
  <c r="N2515" i="50"/>
  <c r="H2515" i="50"/>
  <c r="E2515" i="50"/>
  <c r="A2515" i="50"/>
  <c r="N2514" i="50"/>
  <c r="H2514" i="50"/>
  <c r="E2514" i="50"/>
  <c r="A2514" i="50"/>
  <c r="N2513" i="50"/>
  <c r="H2513" i="50"/>
  <c r="E2513" i="50"/>
  <c r="A2513" i="50"/>
  <c r="N2512" i="50"/>
  <c r="H2512" i="50"/>
  <c r="E2512" i="50"/>
  <c r="A2512" i="50"/>
  <c r="N2511" i="50"/>
  <c r="H2511" i="50"/>
  <c r="E2511" i="50"/>
  <c r="A2511" i="50"/>
  <c r="N2510" i="50"/>
  <c r="H2510" i="50"/>
  <c r="E2510" i="50"/>
  <c r="A2510" i="50"/>
  <c r="N2509" i="50"/>
  <c r="H2509" i="50"/>
  <c r="E2509" i="50"/>
  <c r="A2509" i="50"/>
  <c r="N2508" i="50"/>
  <c r="H2508" i="50"/>
  <c r="E2508" i="50"/>
  <c r="A2508" i="50"/>
  <c r="N2507" i="50"/>
  <c r="H2507" i="50"/>
  <c r="E2507" i="50"/>
  <c r="A2507" i="50"/>
  <c r="N2506" i="50"/>
  <c r="H2506" i="50"/>
  <c r="E2506" i="50"/>
  <c r="A2506" i="50"/>
  <c r="N2505" i="50"/>
  <c r="H2505" i="50"/>
  <c r="E2505" i="50"/>
  <c r="A2505" i="50"/>
  <c r="N2504" i="50"/>
  <c r="H2504" i="50"/>
  <c r="E2504" i="50"/>
  <c r="A2504" i="50"/>
  <c r="N2503" i="50"/>
  <c r="H2503" i="50"/>
  <c r="E2503" i="50"/>
  <c r="A2503" i="50"/>
  <c r="N2502" i="50"/>
  <c r="H2502" i="50"/>
  <c r="E2502" i="50"/>
  <c r="A2502" i="50"/>
  <c r="N2501" i="50"/>
  <c r="H2501" i="50"/>
  <c r="E2501" i="50"/>
  <c r="A2501" i="50"/>
  <c r="N2500" i="50"/>
  <c r="H2500" i="50"/>
  <c r="E2500" i="50"/>
  <c r="A2500" i="50"/>
  <c r="N2499" i="50"/>
  <c r="H2499" i="50"/>
  <c r="E2499" i="50"/>
  <c r="A2499" i="50"/>
  <c r="N2498" i="50"/>
  <c r="H2498" i="50"/>
  <c r="E2498" i="50"/>
  <c r="A2498" i="50"/>
  <c r="N2497" i="50"/>
  <c r="H2497" i="50"/>
  <c r="E2497" i="50"/>
  <c r="A2497" i="50"/>
  <c r="N2496" i="50"/>
  <c r="H2496" i="50"/>
  <c r="E2496" i="50"/>
  <c r="A2496" i="50"/>
  <c r="N2495" i="50"/>
  <c r="H2495" i="50"/>
  <c r="E2495" i="50"/>
  <c r="A2495" i="50"/>
  <c r="N2494" i="50"/>
  <c r="H2494" i="50"/>
  <c r="E2494" i="50"/>
  <c r="A2494" i="50"/>
  <c r="N2493" i="50"/>
  <c r="H2493" i="50"/>
  <c r="E2493" i="50"/>
  <c r="A2493" i="50"/>
  <c r="N2492" i="50"/>
  <c r="H2492" i="50"/>
  <c r="E2492" i="50"/>
  <c r="A2492" i="50"/>
  <c r="N2491" i="50"/>
  <c r="H2491" i="50"/>
  <c r="E2491" i="50"/>
  <c r="A2491" i="50"/>
  <c r="N2490" i="50"/>
  <c r="H2490" i="50"/>
  <c r="E2490" i="50"/>
  <c r="A2490" i="50"/>
  <c r="N2489" i="50"/>
  <c r="H2489" i="50"/>
  <c r="E2489" i="50"/>
  <c r="A2489" i="50"/>
  <c r="N2488" i="50"/>
  <c r="H2488" i="50"/>
  <c r="E2488" i="50"/>
  <c r="A2488" i="50"/>
  <c r="N2487" i="50"/>
  <c r="H2487" i="50"/>
  <c r="E2487" i="50"/>
  <c r="A2487" i="50"/>
  <c r="N2486" i="50"/>
  <c r="H2486" i="50"/>
  <c r="E2486" i="50"/>
  <c r="A2486" i="50"/>
  <c r="N2485" i="50"/>
  <c r="H2485" i="50"/>
  <c r="E2485" i="50"/>
  <c r="A2485" i="50"/>
  <c r="N2484" i="50"/>
  <c r="H2484" i="50"/>
  <c r="E2484" i="50"/>
  <c r="A2484" i="50"/>
  <c r="N2483" i="50"/>
  <c r="H2483" i="50"/>
  <c r="E2483" i="50"/>
  <c r="A2483" i="50"/>
  <c r="N2482" i="50"/>
  <c r="H2482" i="50"/>
  <c r="E2482" i="50"/>
  <c r="A2482" i="50"/>
  <c r="N2481" i="50"/>
  <c r="H2481" i="50"/>
  <c r="E2481" i="50"/>
  <c r="A2481" i="50"/>
  <c r="N2480" i="50"/>
  <c r="H2480" i="50"/>
  <c r="E2480" i="50"/>
  <c r="A2480" i="50"/>
  <c r="N2479" i="50"/>
  <c r="H2479" i="50"/>
  <c r="E2479" i="50"/>
  <c r="A2479" i="50"/>
  <c r="N2478" i="50"/>
  <c r="H2478" i="50"/>
  <c r="E2478" i="50"/>
  <c r="A2478" i="50"/>
  <c r="N2477" i="50"/>
  <c r="H2477" i="50"/>
  <c r="E2477" i="50"/>
  <c r="A2477" i="50"/>
  <c r="N2476" i="50"/>
  <c r="H2476" i="50"/>
  <c r="E2476" i="50"/>
  <c r="A2476" i="50"/>
  <c r="N2475" i="50"/>
  <c r="H2475" i="50"/>
  <c r="E2475" i="50"/>
  <c r="A2475" i="50"/>
  <c r="N2474" i="50"/>
  <c r="H2474" i="50"/>
  <c r="E2474" i="50"/>
  <c r="A2474" i="50"/>
  <c r="N2473" i="50"/>
  <c r="H2473" i="50"/>
  <c r="E2473" i="50"/>
  <c r="A2473" i="50"/>
  <c r="N2472" i="50"/>
  <c r="H2472" i="50"/>
  <c r="E2472" i="50"/>
  <c r="A2472" i="50"/>
  <c r="N2471" i="50"/>
  <c r="H2471" i="50"/>
  <c r="E2471" i="50"/>
  <c r="A2471" i="50"/>
  <c r="N2470" i="50"/>
  <c r="H2470" i="50"/>
  <c r="E2470" i="50"/>
  <c r="A2470" i="50"/>
  <c r="N2469" i="50"/>
  <c r="H2469" i="50"/>
  <c r="E2469" i="50"/>
  <c r="A2469" i="50"/>
  <c r="N2468" i="50"/>
  <c r="H2468" i="50"/>
  <c r="E2468" i="50"/>
  <c r="A2468" i="50"/>
  <c r="N2467" i="50"/>
  <c r="H2467" i="50"/>
  <c r="E2467" i="50"/>
  <c r="A2467" i="50"/>
  <c r="N2466" i="50"/>
  <c r="H2466" i="50"/>
  <c r="E2466" i="50"/>
  <c r="A2466" i="50"/>
  <c r="N2465" i="50"/>
  <c r="H2465" i="50"/>
  <c r="E2465" i="50"/>
  <c r="A2465" i="50"/>
  <c r="N2464" i="50"/>
  <c r="H2464" i="50"/>
  <c r="E2464" i="50"/>
  <c r="A2464" i="50"/>
  <c r="N2463" i="50"/>
  <c r="H2463" i="50"/>
  <c r="E2463" i="50"/>
  <c r="A2463" i="50"/>
  <c r="N2462" i="50"/>
  <c r="H2462" i="50"/>
  <c r="E2462" i="50"/>
  <c r="A2462" i="50"/>
  <c r="N2461" i="50"/>
  <c r="H2461" i="50"/>
  <c r="E2461" i="50"/>
  <c r="A2461" i="50"/>
  <c r="N2460" i="50"/>
  <c r="H2460" i="50"/>
  <c r="E2460" i="50"/>
  <c r="A2460" i="50"/>
  <c r="N2459" i="50"/>
  <c r="H2459" i="50"/>
  <c r="E2459" i="50"/>
  <c r="A2459" i="50"/>
  <c r="N2458" i="50"/>
  <c r="H2458" i="50"/>
  <c r="E2458" i="50"/>
  <c r="A2458" i="50"/>
  <c r="N2457" i="50"/>
  <c r="H2457" i="50"/>
  <c r="E2457" i="50"/>
  <c r="A2457" i="50"/>
  <c r="N2456" i="50"/>
  <c r="H2456" i="50"/>
  <c r="E2456" i="50"/>
  <c r="A2456" i="50"/>
  <c r="N2455" i="50"/>
  <c r="H2455" i="50"/>
  <c r="E2455" i="50"/>
  <c r="A2455" i="50"/>
  <c r="N2454" i="50"/>
  <c r="H2454" i="50"/>
  <c r="E2454" i="50"/>
  <c r="A2454" i="50"/>
  <c r="N2453" i="50"/>
  <c r="H2453" i="50"/>
  <c r="E2453" i="50"/>
  <c r="A2453" i="50"/>
  <c r="N2452" i="50"/>
  <c r="H2452" i="50"/>
  <c r="E2452" i="50"/>
  <c r="A2452" i="50"/>
  <c r="N2451" i="50"/>
  <c r="H2451" i="50"/>
  <c r="E2451" i="50"/>
  <c r="A2451" i="50"/>
  <c r="N2450" i="50"/>
  <c r="H2450" i="50"/>
  <c r="E2450" i="50"/>
  <c r="A2450" i="50"/>
  <c r="N2449" i="50"/>
  <c r="H2449" i="50"/>
  <c r="E2449" i="50"/>
  <c r="A2449" i="50"/>
  <c r="N2448" i="50"/>
  <c r="H2448" i="50"/>
  <c r="E2448" i="50"/>
  <c r="A2448" i="50"/>
  <c r="N2447" i="50"/>
  <c r="H2447" i="50"/>
  <c r="E2447" i="50"/>
  <c r="A2447" i="50"/>
  <c r="N2446" i="50"/>
  <c r="H2446" i="50"/>
  <c r="E2446" i="50"/>
  <c r="A2446" i="50"/>
  <c r="N2445" i="50"/>
  <c r="H2445" i="50"/>
  <c r="E2445" i="50"/>
  <c r="A2445" i="50"/>
  <c r="N2444" i="50"/>
  <c r="H2444" i="50"/>
  <c r="E2444" i="50"/>
  <c r="A2444" i="50"/>
  <c r="N2443" i="50"/>
  <c r="H2443" i="50"/>
  <c r="E2443" i="50"/>
  <c r="A2443" i="50"/>
  <c r="N2442" i="50"/>
  <c r="H2442" i="50"/>
  <c r="E2442" i="50"/>
  <c r="A2442" i="50"/>
  <c r="N2441" i="50"/>
  <c r="H2441" i="50"/>
  <c r="E2441" i="50"/>
  <c r="A2441" i="50"/>
  <c r="N2440" i="50"/>
  <c r="H2440" i="50"/>
  <c r="E2440" i="50"/>
  <c r="A2440" i="50"/>
  <c r="N2439" i="50"/>
  <c r="H2439" i="50"/>
  <c r="E2439" i="50"/>
  <c r="A2439" i="50"/>
  <c r="N2438" i="50"/>
  <c r="H2438" i="50"/>
  <c r="E2438" i="50"/>
  <c r="A2438" i="50"/>
  <c r="N2437" i="50"/>
  <c r="H2437" i="50"/>
  <c r="E2437" i="50"/>
  <c r="A2437" i="50"/>
  <c r="N2436" i="50"/>
  <c r="H2436" i="50"/>
  <c r="E2436" i="50"/>
  <c r="A2436" i="50"/>
  <c r="N2435" i="50"/>
  <c r="H2435" i="50"/>
  <c r="E2435" i="50"/>
  <c r="A2435" i="50"/>
  <c r="N2434" i="50"/>
  <c r="H2434" i="50"/>
  <c r="E2434" i="50"/>
  <c r="A2434" i="50"/>
  <c r="N2433" i="50"/>
  <c r="H2433" i="50"/>
  <c r="E2433" i="50"/>
  <c r="A2433" i="50"/>
  <c r="N2432" i="50"/>
  <c r="H2432" i="50"/>
  <c r="E2432" i="50"/>
  <c r="A2432" i="50"/>
  <c r="N2431" i="50"/>
  <c r="H2431" i="50"/>
  <c r="E2431" i="50"/>
  <c r="A2431" i="50"/>
  <c r="N2430" i="50"/>
  <c r="H2430" i="50"/>
  <c r="E2430" i="50"/>
  <c r="A2430" i="50"/>
  <c r="N2429" i="50"/>
  <c r="H2429" i="50"/>
  <c r="E2429" i="50"/>
  <c r="A2429" i="50"/>
  <c r="N2428" i="50"/>
  <c r="H2428" i="50"/>
  <c r="E2428" i="50"/>
  <c r="A2428" i="50"/>
  <c r="N2427" i="50"/>
  <c r="H2427" i="50"/>
  <c r="E2427" i="50"/>
  <c r="A2427" i="50"/>
  <c r="N2426" i="50"/>
  <c r="H2426" i="50"/>
  <c r="E2426" i="50"/>
  <c r="A2426" i="50"/>
  <c r="N2425" i="50"/>
  <c r="H2425" i="50"/>
  <c r="E2425" i="50"/>
  <c r="A2425" i="50"/>
  <c r="N2424" i="50"/>
  <c r="H2424" i="50"/>
  <c r="E2424" i="50"/>
  <c r="A2424" i="50"/>
  <c r="N2423" i="50"/>
  <c r="H2423" i="50"/>
  <c r="E2423" i="50"/>
  <c r="A2423" i="50"/>
  <c r="N2422" i="50"/>
  <c r="H2422" i="50"/>
  <c r="E2422" i="50"/>
  <c r="A2422" i="50"/>
  <c r="N2421" i="50"/>
  <c r="H2421" i="50"/>
  <c r="E2421" i="50"/>
  <c r="A2421" i="50"/>
  <c r="N2420" i="50"/>
  <c r="H2420" i="50"/>
  <c r="E2420" i="50"/>
  <c r="A2420" i="50"/>
  <c r="N2419" i="50"/>
  <c r="H2419" i="50"/>
  <c r="E2419" i="50"/>
  <c r="A2419" i="50"/>
  <c r="N2418" i="50"/>
  <c r="H2418" i="50"/>
  <c r="E2418" i="50"/>
  <c r="A2418" i="50"/>
  <c r="N2417" i="50"/>
  <c r="H2417" i="50"/>
  <c r="E2417" i="50"/>
  <c r="A2417" i="50"/>
  <c r="N2416" i="50"/>
  <c r="H2416" i="50"/>
  <c r="E2416" i="50"/>
  <c r="A2416" i="50"/>
  <c r="N2415" i="50"/>
  <c r="H2415" i="50"/>
  <c r="E2415" i="50"/>
  <c r="A2415" i="50"/>
  <c r="N2414" i="50"/>
  <c r="H2414" i="50"/>
  <c r="E2414" i="50"/>
  <c r="A2414" i="50"/>
  <c r="N2413" i="50"/>
  <c r="H2413" i="50"/>
  <c r="E2413" i="50"/>
  <c r="A2413" i="50"/>
  <c r="N2412" i="50"/>
  <c r="H2412" i="50"/>
  <c r="E2412" i="50"/>
  <c r="A2412" i="50"/>
  <c r="N2411" i="50"/>
  <c r="H2411" i="50"/>
  <c r="E2411" i="50"/>
  <c r="A2411" i="50"/>
  <c r="N2410" i="50"/>
  <c r="H2410" i="50"/>
  <c r="E2410" i="50"/>
  <c r="A2410" i="50"/>
  <c r="N2409" i="50"/>
  <c r="H2409" i="50"/>
  <c r="E2409" i="50"/>
  <c r="A2409" i="50"/>
  <c r="N2408" i="50"/>
  <c r="H2408" i="50"/>
  <c r="E2408" i="50"/>
  <c r="A2408" i="50"/>
  <c r="N2407" i="50"/>
  <c r="H2407" i="50"/>
  <c r="E2407" i="50"/>
  <c r="A2407" i="50"/>
  <c r="N2406" i="50"/>
  <c r="H2406" i="50"/>
  <c r="E2406" i="50"/>
  <c r="A2406" i="50"/>
  <c r="N2405" i="50"/>
  <c r="H2405" i="50"/>
  <c r="E2405" i="50"/>
  <c r="A2405" i="50"/>
  <c r="N2404" i="50"/>
  <c r="H2404" i="50"/>
  <c r="E2404" i="50"/>
  <c r="A2404" i="50"/>
  <c r="N2403" i="50"/>
  <c r="H2403" i="50"/>
  <c r="E2403" i="50"/>
  <c r="A2403" i="50"/>
  <c r="N2402" i="50"/>
  <c r="H2402" i="50"/>
  <c r="E2402" i="50"/>
  <c r="A2402" i="50"/>
  <c r="N2401" i="50"/>
  <c r="H2401" i="50"/>
  <c r="E2401" i="50"/>
  <c r="A2401" i="50"/>
  <c r="N2400" i="50"/>
  <c r="H2400" i="50"/>
  <c r="E2400" i="50"/>
  <c r="A2400" i="50"/>
  <c r="N2399" i="50"/>
  <c r="H2399" i="50"/>
  <c r="E2399" i="50"/>
  <c r="A2399" i="50"/>
  <c r="N2398" i="50"/>
  <c r="H2398" i="50"/>
  <c r="E2398" i="50"/>
  <c r="A2398" i="50"/>
  <c r="N2397" i="50"/>
  <c r="H2397" i="50"/>
  <c r="E2397" i="50"/>
  <c r="A2397" i="50"/>
  <c r="N2396" i="50"/>
  <c r="H2396" i="50"/>
  <c r="E2396" i="50"/>
  <c r="A2396" i="50"/>
  <c r="N2395" i="50"/>
  <c r="H2395" i="50"/>
  <c r="E2395" i="50"/>
  <c r="A2395" i="50"/>
  <c r="N2394" i="50"/>
  <c r="H2394" i="50"/>
  <c r="E2394" i="50"/>
  <c r="A2394" i="50"/>
  <c r="N2393" i="50"/>
  <c r="H2393" i="50"/>
  <c r="E2393" i="50"/>
  <c r="A2393" i="50"/>
  <c r="N2392" i="50"/>
  <c r="H2392" i="50"/>
  <c r="E2392" i="50"/>
  <c r="A2392" i="50"/>
  <c r="N2391" i="50"/>
  <c r="H2391" i="50"/>
  <c r="E2391" i="50"/>
  <c r="A2391" i="50"/>
  <c r="N2390" i="50"/>
  <c r="H2390" i="50"/>
  <c r="E2390" i="50"/>
  <c r="A2390" i="50"/>
  <c r="N2389" i="50"/>
  <c r="H2389" i="50"/>
  <c r="E2389" i="50"/>
  <c r="A2389" i="50"/>
  <c r="N2388" i="50"/>
  <c r="H2388" i="50"/>
  <c r="E2388" i="50"/>
  <c r="A2388" i="50"/>
  <c r="N2387" i="50"/>
  <c r="H2387" i="50"/>
  <c r="E2387" i="50"/>
  <c r="A2387" i="50"/>
  <c r="N2386" i="50"/>
  <c r="H2386" i="50"/>
  <c r="E2386" i="50"/>
  <c r="A2386" i="50"/>
  <c r="N2385" i="50"/>
  <c r="H2385" i="50"/>
  <c r="E2385" i="50"/>
  <c r="A2385" i="50"/>
  <c r="N2384" i="50"/>
  <c r="H2384" i="50"/>
  <c r="E2384" i="50"/>
  <c r="A2384" i="50"/>
  <c r="N2383" i="50"/>
  <c r="H2383" i="50"/>
  <c r="E2383" i="50"/>
  <c r="A2383" i="50"/>
  <c r="N2382" i="50"/>
  <c r="H2382" i="50"/>
  <c r="E2382" i="50"/>
  <c r="A2382" i="50"/>
  <c r="N2381" i="50"/>
  <c r="H2381" i="50"/>
  <c r="E2381" i="50"/>
  <c r="A2381" i="50"/>
  <c r="N2380" i="50"/>
  <c r="H2380" i="50"/>
  <c r="E2380" i="50"/>
  <c r="A2380" i="50"/>
  <c r="N2379" i="50"/>
  <c r="H2379" i="50"/>
  <c r="E2379" i="50"/>
  <c r="A2379" i="50"/>
  <c r="N2378" i="50"/>
  <c r="H2378" i="50"/>
  <c r="E2378" i="50"/>
  <c r="A2378" i="50"/>
  <c r="N2377" i="50"/>
  <c r="H2377" i="50"/>
  <c r="E2377" i="50"/>
  <c r="A2377" i="50"/>
  <c r="N2376" i="50"/>
  <c r="H2376" i="50"/>
  <c r="E2376" i="50"/>
  <c r="A2376" i="50"/>
  <c r="N2375" i="50"/>
  <c r="H2375" i="50"/>
  <c r="E2375" i="50"/>
  <c r="A2375" i="50"/>
  <c r="N2374" i="50"/>
  <c r="H2374" i="50"/>
  <c r="E2374" i="50"/>
  <c r="A2374" i="50"/>
  <c r="N2373" i="50"/>
  <c r="H2373" i="50"/>
  <c r="E2373" i="50"/>
  <c r="A2373" i="50"/>
  <c r="N2372" i="50"/>
  <c r="H2372" i="50"/>
  <c r="E2372" i="50"/>
  <c r="A2372" i="50"/>
  <c r="N2371" i="50"/>
  <c r="H2371" i="50"/>
  <c r="E2371" i="50"/>
  <c r="A2371" i="50"/>
  <c r="N2370" i="50"/>
  <c r="H2370" i="50"/>
  <c r="E2370" i="50"/>
  <c r="A2370" i="50"/>
  <c r="N2369" i="50"/>
  <c r="H2369" i="50"/>
  <c r="E2369" i="50"/>
  <c r="A2369" i="50"/>
  <c r="N2368" i="50"/>
  <c r="H2368" i="50"/>
  <c r="E2368" i="50"/>
  <c r="A2368" i="50"/>
  <c r="N2367" i="50"/>
  <c r="H2367" i="50"/>
  <c r="E2367" i="50"/>
  <c r="A2367" i="50"/>
  <c r="N2366" i="50"/>
  <c r="H2366" i="50"/>
  <c r="E2366" i="50"/>
  <c r="A2366" i="50"/>
  <c r="N2365" i="50"/>
  <c r="H2365" i="50"/>
  <c r="E2365" i="50"/>
  <c r="A2365" i="50"/>
  <c r="N2364" i="50"/>
  <c r="H2364" i="50"/>
  <c r="E2364" i="50"/>
  <c r="A2364" i="50"/>
  <c r="N2363" i="50"/>
  <c r="H2363" i="50"/>
  <c r="E2363" i="50"/>
  <c r="A2363" i="50"/>
  <c r="N2362" i="50"/>
  <c r="H2362" i="50"/>
  <c r="E2362" i="50"/>
  <c r="A2362" i="50"/>
  <c r="N2361" i="50"/>
  <c r="H2361" i="50"/>
  <c r="E2361" i="50"/>
  <c r="A2361" i="50"/>
  <c r="N2360" i="50"/>
  <c r="H2360" i="50"/>
  <c r="E2360" i="50"/>
  <c r="A2360" i="50"/>
  <c r="N2359" i="50"/>
  <c r="H2359" i="50"/>
  <c r="E2359" i="50"/>
  <c r="A2359" i="50"/>
  <c r="N2358" i="50"/>
  <c r="H2358" i="50"/>
  <c r="E2358" i="50"/>
  <c r="A2358" i="50"/>
  <c r="N2357" i="50"/>
  <c r="H2357" i="50"/>
  <c r="E2357" i="50"/>
  <c r="A2357" i="50"/>
  <c r="N2356" i="50"/>
  <c r="H2356" i="50"/>
  <c r="E2356" i="50"/>
  <c r="A2356" i="50"/>
  <c r="N2355" i="50"/>
  <c r="H2355" i="50"/>
  <c r="E2355" i="50"/>
  <c r="A2355" i="50"/>
  <c r="N2354" i="50"/>
  <c r="H2354" i="50"/>
  <c r="E2354" i="50"/>
  <c r="A2354" i="50"/>
  <c r="N2353" i="50"/>
  <c r="H2353" i="50"/>
  <c r="E2353" i="50"/>
  <c r="A2353" i="50"/>
  <c r="N2352" i="50"/>
  <c r="H2352" i="50"/>
  <c r="E2352" i="50"/>
  <c r="A2352" i="50"/>
  <c r="N2351" i="50"/>
  <c r="H2351" i="50"/>
  <c r="E2351" i="50"/>
  <c r="A2351" i="50"/>
  <c r="N2350" i="50"/>
  <c r="H2350" i="50"/>
  <c r="E2350" i="50"/>
  <c r="A2350" i="50"/>
  <c r="N2349" i="50"/>
  <c r="H2349" i="50"/>
  <c r="E2349" i="50"/>
  <c r="A2349" i="50"/>
  <c r="N2348" i="50"/>
  <c r="H2348" i="50"/>
  <c r="E2348" i="50"/>
  <c r="A2348" i="50"/>
  <c r="N2347" i="50"/>
  <c r="H2347" i="50"/>
  <c r="E2347" i="50"/>
  <c r="A2347" i="50"/>
  <c r="N2346" i="50"/>
  <c r="H2346" i="50"/>
  <c r="E2346" i="50"/>
  <c r="A2346" i="50"/>
  <c r="N2345" i="50"/>
  <c r="H2345" i="50"/>
  <c r="E2345" i="50"/>
  <c r="A2345" i="50"/>
  <c r="N2344" i="50"/>
  <c r="H2344" i="50"/>
  <c r="E2344" i="50"/>
  <c r="A2344" i="50"/>
  <c r="N2343" i="50"/>
  <c r="H2343" i="50"/>
  <c r="E2343" i="50"/>
  <c r="A2343" i="50"/>
  <c r="N2342" i="50"/>
  <c r="H2342" i="50"/>
  <c r="E2342" i="50"/>
  <c r="A2342" i="50"/>
  <c r="N2341" i="50"/>
  <c r="H2341" i="50"/>
  <c r="E2341" i="50"/>
  <c r="A2341" i="50"/>
  <c r="N2340" i="50"/>
  <c r="H2340" i="50"/>
  <c r="E2340" i="50"/>
  <c r="A2340" i="50"/>
  <c r="N2339" i="50"/>
  <c r="H2339" i="50"/>
  <c r="E2339" i="50"/>
  <c r="A2339" i="50"/>
  <c r="N2338" i="50"/>
  <c r="H2338" i="50"/>
  <c r="E2338" i="50"/>
  <c r="A2338" i="50"/>
  <c r="N2337" i="50"/>
  <c r="H2337" i="50"/>
  <c r="E2337" i="50"/>
  <c r="A2337" i="50"/>
  <c r="N2336" i="50"/>
  <c r="H2336" i="50"/>
  <c r="E2336" i="50"/>
  <c r="A2336" i="50"/>
  <c r="N2335" i="50"/>
  <c r="H2335" i="50"/>
  <c r="E2335" i="50"/>
  <c r="A2335" i="50"/>
  <c r="N2334" i="50"/>
  <c r="H2334" i="50"/>
  <c r="E2334" i="50"/>
  <c r="A2334" i="50"/>
  <c r="N2333" i="50"/>
  <c r="H2333" i="50"/>
  <c r="E2333" i="50"/>
  <c r="A2333" i="50"/>
  <c r="N2332" i="50"/>
  <c r="H2332" i="50"/>
  <c r="E2332" i="50"/>
  <c r="A2332" i="50"/>
  <c r="N2331" i="50"/>
  <c r="H2331" i="50"/>
  <c r="E2331" i="50"/>
  <c r="A2331" i="50"/>
  <c r="N2330" i="50"/>
  <c r="H2330" i="50"/>
  <c r="E2330" i="50"/>
  <c r="A2330" i="50"/>
  <c r="N2329" i="50"/>
  <c r="H2329" i="50"/>
  <c r="E2329" i="50"/>
  <c r="A2329" i="50"/>
  <c r="N2328" i="50"/>
  <c r="H2328" i="50"/>
  <c r="E2328" i="50"/>
  <c r="A2328" i="50"/>
  <c r="N2327" i="50"/>
  <c r="H2327" i="50"/>
  <c r="E2327" i="50"/>
  <c r="A2327" i="50"/>
  <c r="N2326" i="50"/>
  <c r="H2326" i="50"/>
  <c r="E2326" i="50"/>
  <c r="A2326" i="50"/>
  <c r="N2325" i="50"/>
  <c r="H2325" i="50"/>
  <c r="E2325" i="50"/>
  <c r="A2325" i="50"/>
  <c r="N2324" i="50"/>
  <c r="H2324" i="50"/>
  <c r="E2324" i="50"/>
  <c r="A2324" i="50"/>
  <c r="N2323" i="50"/>
  <c r="H2323" i="50"/>
  <c r="E2323" i="50"/>
  <c r="A2323" i="50"/>
  <c r="N2322" i="50"/>
  <c r="H2322" i="50"/>
  <c r="E2322" i="50"/>
  <c r="A2322" i="50"/>
  <c r="N2321" i="50"/>
  <c r="H2321" i="50"/>
  <c r="E2321" i="50"/>
  <c r="A2321" i="50"/>
  <c r="N2320" i="50"/>
  <c r="H2320" i="50"/>
  <c r="E2320" i="50"/>
  <c r="A2320" i="50"/>
  <c r="N2319" i="50"/>
  <c r="H2319" i="50"/>
  <c r="E2319" i="50"/>
  <c r="A2319" i="50"/>
  <c r="N2318" i="50"/>
  <c r="H2318" i="50"/>
  <c r="E2318" i="50"/>
  <c r="A2318" i="50"/>
  <c r="N2317" i="50"/>
  <c r="H2317" i="50"/>
  <c r="E2317" i="50"/>
  <c r="A2317" i="50"/>
  <c r="N2316" i="50"/>
  <c r="H2316" i="50"/>
  <c r="E2316" i="50"/>
  <c r="A2316" i="50"/>
  <c r="N2315" i="50"/>
  <c r="H2315" i="50"/>
  <c r="E2315" i="50"/>
  <c r="A2315" i="50"/>
  <c r="N2314" i="50"/>
  <c r="H2314" i="50"/>
  <c r="E2314" i="50"/>
  <c r="A2314" i="50"/>
  <c r="N2313" i="50"/>
  <c r="H2313" i="50"/>
  <c r="E2313" i="50"/>
  <c r="A2313" i="50"/>
  <c r="N2312" i="50"/>
  <c r="H2312" i="50"/>
  <c r="E2312" i="50"/>
  <c r="A2312" i="50"/>
  <c r="N2311" i="50"/>
  <c r="H2311" i="50"/>
  <c r="E2311" i="50"/>
  <c r="A2311" i="50"/>
  <c r="N2310" i="50"/>
  <c r="H2310" i="50"/>
  <c r="E2310" i="50"/>
  <c r="A2310" i="50"/>
  <c r="N2309" i="50"/>
  <c r="H2309" i="50"/>
  <c r="E2309" i="50"/>
  <c r="A2309" i="50"/>
  <c r="N2308" i="50"/>
  <c r="H2308" i="50"/>
  <c r="E2308" i="50"/>
  <c r="A2308" i="50"/>
  <c r="N2307" i="50"/>
  <c r="H2307" i="50"/>
  <c r="E2307" i="50"/>
  <c r="A2307" i="50"/>
  <c r="N2306" i="50"/>
  <c r="H2306" i="50"/>
  <c r="E2306" i="50"/>
  <c r="A2306" i="50"/>
  <c r="N2305" i="50"/>
  <c r="H2305" i="50"/>
  <c r="E2305" i="50"/>
  <c r="A2305" i="50"/>
  <c r="N2304" i="50"/>
  <c r="H2304" i="50"/>
  <c r="E2304" i="50"/>
  <c r="A2304" i="50"/>
  <c r="N2303" i="50"/>
  <c r="H2303" i="50"/>
  <c r="E2303" i="50"/>
  <c r="A2303" i="50"/>
  <c r="N2302" i="50"/>
  <c r="H2302" i="50"/>
  <c r="E2302" i="50"/>
  <c r="A2302" i="50"/>
  <c r="N2301" i="50"/>
  <c r="H2301" i="50"/>
  <c r="E2301" i="50"/>
  <c r="A2301" i="50"/>
  <c r="N2300" i="50"/>
  <c r="H2300" i="50"/>
  <c r="E2300" i="50"/>
  <c r="A2300" i="50"/>
  <c r="N2299" i="50"/>
  <c r="H2299" i="50"/>
  <c r="E2299" i="50"/>
  <c r="A2299" i="50"/>
  <c r="N2298" i="50"/>
  <c r="H2298" i="50"/>
  <c r="E2298" i="50"/>
  <c r="A2298" i="50"/>
  <c r="N2297" i="50"/>
  <c r="H2297" i="50"/>
  <c r="E2297" i="50"/>
  <c r="A2297" i="50"/>
  <c r="N2296" i="50"/>
  <c r="H2296" i="50"/>
  <c r="E2296" i="50"/>
  <c r="A2296" i="50"/>
  <c r="N2295" i="50"/>
  <c r="H2295" i="50"/>
  <c r="E2295" i="50"/>
  <c r="A2295" i="50"/>
  <c r="N2294" i="50"/>
  <c r="H2294" i="50"/>
  <c r="E2294" i="50"/>
  <c r="A2294" i="50"/>
  <c r="N2293" i="50"/>
  <c r="H2293" i="50"/>
  <c r="E2293" i="50"/>
  <c r="A2293" i="50"/>
  <c r="N2292" i="50"/>
  <c r="H2292" i="50"/>
  <c r="E2292" i="50"/>
  <c r="A2292" i="50"/>
  <c r="N2291" i="50"/>
  <c r="H2291" i="50"/>
  <c r="E2291" i="50"/>
  <c r="A2291" i="50"/>
  <c r="N2290" i="50"/>
  <c r="H2290" i="50"/>
  <c r="E2290" i="50"/>
  <c r="A2290" i="50"/>
  <c r="N2289" i="50"/>
  <c r="H2289" i="50"/>
  <c r="E2289" i="50"/>
  <c r="A2289" i="50"/>
  <c r="N2288" i="50"/>
  <c r="H2288" i="50"/>
  <c r="E2288" i="50"/>
  <c r="A2288" i="50"/>
  <c r="N2287" i="50"/>
  <c r="H2287" i="50"/>
  <c r="E2287" i="50"/>
  <c r="A2287" i="50"/>
  <c r="N2286" i="50"/>
  <c r="H2286" i="50"/>
  <c r="E2286" i="50"/>
  <c r="A2286" i="50"/>
  <c r="N2285" i="50"/>
  <c r="H2285" i="50"/>
  <c r="E2285" i="50"/>
  <c r="A2285" i="50"/>
  <c r="N2284" i="50"/>
  <c r="H2284" i="50"/>
  <c r="E2284" i="50"/>
  <c r="A2284" i="50"/>
  <c r="N2283" i="50"/>
  <c r="H2283" i="50"/>
  <c r="E2283" i="50"/>
  <c r="A2283" i="50"/>
  <c r="N2282" i="50"/>
  <c r="H2282" i="50"/>
  <c r="E2282" i="50"/>
  <c r="A2282" i="50"/>
  <c r="N2281" i="50"/>
  <c r="H2281" i="50"/>
  <c r="E2281" i="50"/>
  <c r="A2281" i="50"/>
  <c r="N2280" i="50"/>
  <c r="H2280" i="50"/>
  <c r="E2280" i="50"/>
  <c r="A2280" i="50"/>
  <c r="N2279" i="50"/>
  <c r="H2279" i="50"/>
  <c r="E2279" i="50"/>
  <c r="A2279" i="50"/>
  <c r="N2278" i="50"/>
  <c r="H2278" i="50"/>
  <c r="E2278" i="50"/>
  <c r="A2278" i="50"/>
  <c r="N2277" i="50"/>
  <c r="H2277" i="50"/>
  <c r="E2277" i="50"/>
  <c r="A2277" i="50"/>
  <c r="N2276" i="50"/>
  <c r="H2276" i="50"/>
  <c r="E2276" i="50"/>
  <c r="A2276" i="50"/>
  <c r="N2275" i="50"/>
  <c r="H2275" i="50"/>
  <c r="E2275" i="50"/>
  <c r="A2275" i="50"/>
  <c r="N2274" i="50"/>
  <c r="H2274" i="50"/>
  <c r="E2274" i="50"/>
  <c r="A2274" i="50"/>
  <c r="N2273" i="50"/>
  <c r="H2273" i="50"/>
  <c r="E2273" i="50"/>
  <c r="A2273" i="50"/>
  <c r="N2272" i="50"/>
  <c r="H2272" i="50"/>
  <c r="E2272" i="50"/>
  <c r="A2272" i="50"/>
  <c r="N2271" i="50"/>
  <c r="H2271" i="50"/>
  <c r="E2271" i="50"/>
  <c r="A2271" i="50"/>
  <c r="N2270" i="50"/>
  <c r="H2270" i="50"/>
  <c r="E2270" i="50"/>
  <c r="A2270" i="50"/>
  <c r="N2269" i="50"/>
  <c r="H2269" i="50"/>
  <c r="E2269" i="50"/>
  <c r="A2269" i="50"/>
  <c r="N2268" i="50"/>
  <c r="H2268" i="50"/>
  <c r="E2268" i="50"/>
  <c r="A2268" i="50"/>
  <c r="N2267" i="50"/>
  <c r="H2267" i="50"/>
  <c r="E2267" i="50"/>
  <c r="A2267" i="50"/>
  <c r="N2266" i="50"/>
  <c r="H2266" i="50"/>
  <c r="E2266" i="50"/>
  <c r="A2266" i="50"/>
  <c r="N2265" i="50"/>
  <c r="H2265" i="50"/>
  <c r="E2265" i="50"/>
  <c r="A2265" i="50"/>
  <c r="N2264" i="50"/>
  <c r="H2264" i="50"/>
  <c r="E2264" i="50"/>
  <c r="A2264" i="50"/>
  <c r="N2263" i="50"/>
  <c r="H2263" i="50"/>
  <c r="E2263" i="50"/>
  <c r="A2263" i="50"/>
  <c r="N2262" i="50"/>
  <c r="H2262" i="50"/>
  <c r="E2262" i="50"/>
  <c r="A2262" i="50"/>
  <c r="N2261" i="50"/>
  <c r="H2261" i="50"/>
  <c r="E2261" i="50"/>
  <c r="A2261" i="50"/>
  <c r="N2260" i="50"/>
  <c r="H2260" i="50"/>
  <c r="E2260" i="50"/>
  <c r="A2260" i="50"/>
  <c r="N2259" i="50"/>
  <c r="H2259" i="50"/>
  <c r="E2259" i="50"/>
  <c r="A2259" i="50"/>
  <c r="N2258" i="50"/>
  <c r="H2258" i="50"/>
  <c r="E2258" i="50"/>
  <c r="A2258" i="50"/>
  <c r="N2257" i="50"/>
  <c r="H2257" i="50"/>
  <c r="E2257" i="50"/>
  <c r="A2257" i="50"/>
  <c r="N2256" i="50"/>
  <c r="H2256" i="50"/>
  <c r="E2256" i="50"/>
  <c r="A2256" i="50"/>
  <c r="N2255" i="50"/>
  <c r="H2255" i="50"/>
  <c r="E2255" i="50"/>
  <c r="A2255" i="50"/>
  <c r="N2254" i="50"/>
  <c r="H2254" i="50"/>
  <c r="E2254" i="50"/>
  <c r="A2254" i="50"/>
  <c r="N2253" i="50"/>
  <c r="H2253" i="50"/>
  <c r="E2253" i="50"/>
  <c r="A2253" i="50"/>
  <c r="N2252" i="50"/>
  <c r="H2252" i="50"/>
  <c r="E2252" i="50"/>
  <c r="A2252" i="50"/>
  <c r="N2251" i="50"/>
  <c r="H2251" i="50"/>
  <c r="E2251" i="50"/>
  <c r="A2251" i="50"/>
  <c r="N2250" i="50"/>
  <c r="H2250" i="50"/>
  <c r="E2250" i="50"/>
  <c r="A2250" i="50"/>
  <c r="N2249" i="50"/>
  <c r="H2249" i="50"/>
  <c r="E2249" i="50"/>
  <c r="A2249" i="50"/>
  <c r="N2248" i="50"/>
  <c r="H2248" i="50"/>
  <c r="E2248" i="50"/>
  <c r="A2248" i="50"/>
  <c r="N2247" i="50"/>
  <c r="H2247" i="50"/>
  <c r="E2247" i="50"/>
  <c r="A2247" i="50"/>
  <c r="N2246" i="50"/>
  <c r="H2246" i="50"/>
  <c r="E2246" i="50"/>
  <c r="A2246" i="50"/>
  <c r="N2245" i="50"/>
  <c r="H2245" i="50"/>
  <c r="E2245" i="50"/>
  <c r="A2245" i="50"/>
  <c r="N2244" i="50"/>
  <c r="H2244" i="50"/>
  <c r="E2244" i="50"/>
  <c r="A2244" i="50"/>
  <c r="N2243" i="50"/>
  <c r="H2243" i="50"/>
  <c r="E2243" i="50"/>
  <c r="A2243" i="50"/>
  <c r="N2242" i="50"/>
  <c r="H2242" i="50"/>
  <c r="E2242" i="50"/>
  <c r="A2242" i="50"/>
  <c r="N2241" i="50"/>
  <c r="H2241" i="50"/>
  <c r="E2241" i="50"/>
  <c r="A2241" i="50"/>
  <c r="N2240" i="50"/>
  <c r="H2240" i="50"/>
  <c r="E2240" i="50"/>
  <c r="A2240" i="50"/>
  <c r="N2239" i="50"/>
  <c r="H2239" i="50"/>
  <c r="E2239" i="50"/>
  <c r="A2239" i="50"/>
  <c r="N2238" i="50"/>
  <c r="H2238" i="50"/>
  <c r="E2238" i="50"/>
  <c r="A2238" i="50"/>
  <c r="N2237" i="50"/>
  <c r="H2237" i="50"/>
  <c r="E2237" i="50"/>
  <c r="A2237" i="50"/>
  <c r="N2236" i="50"/>
  <c r="H2236" i="50"/>
  <c r="E2236" i="50"/>
  <c r="A2236" i="50"/>
  <c r="N2235" i="50"/>
  <c r="H2235" i="50"/>
  <c r="E2235" i="50"/>
  <c r="A2235" i="50"/>
  <c r="N2234" i="50"/>
  <c r="H2234" i="50"/>
  <c r="E2234" i="50"/>
  <c r="A2234" i="50"/>
  <c r="N2233" i="50"/>
  <c r="H2233" i="50"/>
  <c r="E2233" i="50"/>
  <c r="A2233" i="50"/>
  <c r="N2232" i="50"/>
  <c r="H2232" i="50"/>
  <c r="E2232" i="50"/>
  <c r="A2232" i="50"/>
  <c r="N2231" i="50"/>
  <c r="H2231" i="50"/>
  <c r="E2231" i="50"/>
  <c r="A2231" i="50"/>
  <c r="N2230" i="50"/>
  <c r="H2230" i="50"/>
  <c r="E2230" i="50"/>
  <c r="A2230" i="50"/>
  <c r="N2229" i="50"/>
  <c r="H2229" i="50"/>
  <c r="E2229" i="50"/>
  <c r="A2229" i="50"/>
  <c r="N2228" i="50"/>
  <c r="H2228" i="50"/>
  <c r="E2228" i="50"/>
  <c r="A2228" i="50"/>
  <c r="N2227" i="50"/>
  <c r="H2227" i="50"/>
  <c r="E2227" i="50"/>
  <c r="A2227" i="50"/>
  <c r="N2226" i="50"/>
  <c r="H2226" i="50"/>
  <c r="E2226" i="50"/>
  <c r="A2226" i="50"/>
  <c r="N2225" i="50"/>
  <c r="H2225" i="50"/>
  <c r="E2225" i="50"/>
  <c r="A2225" i="50"/>
  <c r="N2224" i="50"/>
  <c r="H2224" i="50"/>
  <c r="E2224" i="50"/>
  <c r="A2224" i="50"/>
  <c r="N2223" i="50"/>
  <c r="H2223" i="50"/>
  <c r="E2223" i="50"/>
  <c r="A2223" i="50"/>
  <c r="N2222" i="50"/>
  <c r="H2222" i="50"/>
  <c r="E2222" i="50"/>
  <c r="A2222" i="50"/>
  <c r="N2221" i="50"/>
  <c r="H2221" i="50"/>
  <c r="E2221" i="50"/>
  <c r="A2221" i="50"/>
  <c r="N2220" i="50"/>
  <c r="H2220" i="50"/>
  <c r="E2220" i="50"/>
  <c r="A2220" i="50"/>
  <c r="N2219" i="50"/>
  <c r="H2219" i="50"/>
  <c r="E2219" i="50"/>
  <c r="A2219" i="50"/>
  <c r="N2218" i="50"/>
  <c r="H2218" i="50"/>
  <c r="E2218" i="50"/>
  <c r="A2218" i="50"/>
  <c r="N2217" i="50"/>
  <c r="H2217" i="50"/>
  <c r="E2217" i="50"/>
  <c r="A2217" i="50"/>
  <c r="N2216" i="50"/>
  <c r="H2216" i="50"/>
  <c r="E2216" i="50"/>
  <c r="A2216" i="50"/>
  <c r="N2215" i="50"/>
  <c r="H2215" i="50"/>
  <c r="E2215" i="50"/>
  <c r="A2215" i="50"/>
  <c r="N2214" i="50"/>
  <c r="H2214" i="50"/>
  <c r="E2214" i="50"/>
  <c r="A2214" i="50"/>
  <c r="N2213" i="50"/>
  <c r="H2213" i="50"/>
  <c r="E2213" i="50"/>
  <c r="A2213" i="50"/>
  <c r="N2212" i="50"/>
  <c r="H2212" i="50"/>
  <c r="E2212" i="50"/>
  <c r="A2212" i="50"/>
  <c r="N2211" i="50"/>
  <c r="H2211" i="50"/>
  <c r="E2211" i="50"/>
  <c r="A2211" i="50"/>
  <c r="N2210" i="50"/>
  <c r="H2210" i="50"/>
  <c r="E2210" i="50"/>
  <c r="A2210" i="50"/>
  <c r="N2209" i="50"/>
  <c r="H2209" i="50"/>
  <c r="E2209" i="50"/>
  <c r="A2209" i="50"/>
  <c r="N2208" i="50"/>
  <c r="H2208" i="50"/>
  <c r="E2208" i="50"/>
  <c r="A2208" i="50"/>
  <c r="N2207" i="50"/>
  <c r="H2207" i="50"/>
  <c r="E2207" i="50"/>
  <c r="A2207" i="50"/>
  <c r="N2206" i="50"/>
  <c r="H2206" i="50"/>
  <c r="E2206" i="50"/>
  <c r="A2206" i="50"/>
  <c r="N2205" i="50"/>
  <c r="H2205" i="50"/>
  <c r="E2205" i="50"/>
  <c r="A2205" i="50"/>
  <c r="N2204" i="50"/>
  <c r="H2204" i="50"/>
  <c r="E2204" i="50"/>
  <c r="A2204" i="50"/>
  <c r="N2203" i="50"/>
  <c r="H2203" i="50"/>
  <c r="E2203" i="50"/>
  <c r="A2203" i="50"/>
  <c r="N2202" i="50"/>
  <c r="H2202" i="50"/>
  <c r="E2202" i="50"/>
  <c r="A2202" i="50"/>
  <c r="N2201" i="50"/>
  <c r="H2201" i="50"/>
  <c r="E2201" i="50"/>
  <c r="A2201" i="50"/>
  <c r="N2200" i="50"/>
  <c r="H2200" i="50"/>
  <c r="E2200" i="50"/>
  <c r="A2200" i="50"/>
  <c r="N2199" i="50"/>
  <c r="H2199" i="50"/>
  <c r="E2199" i="50"/>
  <c r="A2199" i="50"/>
  <c r="N2198" i="50"/>
  <c r="H2198" i="50"/>
  <c r="E2198" i="50"/>
  <c r="A2198" i="50"/>
  <c r="N2197" i="50"/>
  <c r="H2197" i="50"/>
  <c r="E2197" i="50"/>
  <c r="A2197" i="50"/>
  <c r="N2196" i="50"/>
  <c r="H2196" i="50"/>
  <c r="E2196" i="50"/>
  <c r="A2196" i="50"/>
  <c r="N2195" i="50"/>
  <c r="H2195" i="50"/>
  <c r="E2195" i="50"/>
  <c r="A2195" i="50"/>
  <c r="N2194" i="50"/>
  <c r="H2194" i="50"/>
  <c r="E2194" i="50"/>
  <c r="A2194" i="50"/>
  <c r="N2193" i="50"/>
  <c r="H2193" i="50"/>
  <c r="E2193" i="50"/>
  <c r="A2193" i="50"/>
  <c r="N2192" i="50"/>
  <c r="H2192" i="50"/>
  <c r="E2192" i="50"/>
  <c r="A2192" i="50"/>
  <c r="N2191" i="50"/>
  <c r="H2191" i="50"/>
  <c r="E2191" i="50"/>
  <c r="A2191" i="50"/>
  <c r="N2190" i="50"/>
  <c r="H2190" i="50"/>
  <c r="E2190" i="50"/>
  <c r="A2190" i="50"/>
  <c r="N2189" i="50"/>
  <c r="H2189" i="50"/>
  <c r="E2189" i="50"/>
  <c r="A2189" i="50"/>
  <c r="N2188" i="50"/>
  <c r="H2188" i="50"/>
  <c r="E2188" i="50"/>
  <c r="A2188" i="50"/>
  <c r="N2187" i="50"/>
  <c r="H2187" i="50"/>
  <c r="E2187" i="50"/>
  <c r="A2187" i="50"/>
  <c r="N2186" i="50"/>
  <c r="H2186" i="50"/>
  <c r="E2186" i="50"/>
  <c r="A2186" i="50"/>
  <c r="N2185" i="50"/>
  <c r="H2185" i="50"/>
  <c r="E2185" i="50"/>
  <c r="A2185" i="50"/>
  <c r="N2184" i="50"/>
  <c r="H2184" i="50"/>
  <c r="E2184" i="50"/>
  <c r="A2184" i="50"/>
  <c r="N2183" i="50"/>
  <c r="H2183" i="50"/>
  <c r="E2183" i="50"/>
  <c r="A2183" i="50"/>
  <c r="N2182" i="50"/>
  <c r="H2182" i="50"/>
  <c r="E2182" i="50"/>
  <c r="A2182" i="50"/>
  <c r="N2181" i="50"/>
  <c r="H2181" i="50"/>
  <c r="E2181" i="50"/>
  <c r="A2181" i="50"/>
  <c r="N2180" i="50"/>
  <c r="H2180" i="50"/>
  <c r="E2180" i="50"/>
  <c r="A2180" i="50"/>
  <c r="N2179" i="50"/>
  <c r="H2179" i="50"/>
  <c r="E2179" i="50"/>
  <c r="A2179" i="50"/>
  <c r="N2178" i="50"/>
  <c r="H2178" i="50"/>
  <c r="E2178" i="50"/>
  <c r="A2178" i="50"/>
  <c r="N2177" i="50"/>
  <c r="H2177" i="50"/>
  <c r="E2177" i="50"/>
  <c r="A2177" i="50"/>
  <c r="N2176" i="50"/>
  <c r="H2176" i="50"/>
  <c r="E2176" i="50"/>
  <c r="A2176" i="50"/>
  <c r="N2175" i="50"/>
  <c r="H2175" i="50"/>
  <c r="E2175" i="50"/>
  <c r="A2175" i="50"/>
  <c r="N2174" i="50"/>
  <c r="H2174" i="50"/>
  <c r="E2174" i="50"/>
  <c r="A2174" i="50"/>
  <c r="N2173" i="50"/>
  <c r="H2173" i="50"/>
  <c r="E2173" i="50"/>
  <c r="A2173" i="50"/>
  <c r="N2172" i="50"/>
  <c r="H2172" i="50"/>
  <c r="E2172" i="50"/>
  <c r="A2172" i="50"/>
  <c r="N2171" i="50"/>
  <c r="H2171" i="50"/>
  <c r="E2171" i="50"/>
  <c r="A2171" i="50"/>
  <c r="N2170" i="50"/>
  <c r="H2170" i="50"/>
  <c r="E2170" i="50"/>
  <c r="A2170" i="50"/>
  <c r="N2169" i="50"/>
  <c r="H2169" i="50"/>
  <c r="E2169" i="50"/>
  <c r="A2169" i="50"/>
  <c r="N2168" i="50"/>
  <c r="H2168" i="50"/>
  <c r="E2168" i="50"/>
  <c r="A2168" i="50"/>
  <c r="N2167" i="50"/>
  <c r="H2167" i="50"/>
  <c r="E2167" i="50"/>
  <c r="A2167" i="50"/>
  <c r="N2166" i="50"/>
  <c r="H2166" i="50"/>
  <c r="E2166" i="50"/>
  <c r="A2166" i="50"/>
  <c r="N2165" i="50"/>
  <c r="H2165" i="50"/>
  <c r="E2165" i="50"/>
  <c r="A2165" i="50"/>
  <c r="N2164" i="50"/>
  <c r="H2164" i="50"/>
  <c r="E2164" i="50"/>
  <c r="A2164" i="50"/>
  <c r="N2163" i="50"/>
  <c r="H2163" i="50"/>
  <c r="E2163" i="50"/>
  <c r="A2163" i="50"/>
  <c r="N2162" i="50"/>
  <c r="H2162" i="50"/>
  <c r="E2162" i="50"/>
  <c r="A2162" i="50"/>
  <c r="N2161" i="50"/>
  <c r="H2161" i="50"/>
  <c r="E2161" i="50"/>
  <c r="A2161" i="50"/>
  <c r="N2160" i="50"/>
  <c r="H2160" i="50"/>
  <c r="E2160" i="50"/>
  <c r="A2160" i="50"/>
  <c r="N2159" i="50"/>
  <c r="H2159" i="50"/>
  <c r="E2159" i="50"/>
  <c r="A2159" i="50"/>
  <c r="N2158" i="50"/>
  <c r="H2158" i="50"/>
  <c r="E2158" i="50"/>
  <c r="A2158" i="50"/>
  <c r="N2157" i="50"/>
  <c r="H2157" i="50"/>
  <c r="E2157" i="50"/>
  <c r="A2157" i="50"/>
  <c r="N2156" i="50"/>
  <c r="H2156" i="50"/>
  <c r="E2156" i="50"/>
  <c r="A2156" i="50"/>
  <c r="N2155" i="50"/>
  <c r="H2155" i="50"/>
  <c r="E2155" i="50"/>
  <c r="A2155" i="50"/>
  <c r="N2154" i="50"/>
  <c r="H2154" i="50"/>
  <c r="E2154" i="50"/>
  <c r="A2154" i="50"/>
  <c r="N2153" i="50"/>
  <c r="H2153" i="50"/>
  <c r="E2153" i="50"/>
  <c r="A2153" i="50"/>
  <c r="N2152" i="50"/>
  <c r="H2152" i="50"/>
  <c r="E2152" i="50"/>
  <c r="A2152" i="50"/>
  <c r="N2151" i="50"/>
  <c r="H2151" i="50"/>
  <c r="E2151" i="50"/>
  <c r="A2151" i="50"/>
  <c r="N2150" i="50"/>
  <c r="H2150" i="50"/>
  <c r="E2150" i="50"/>
  <c r="A2150" i="50"/>
  <c r="N2149" i="50"/>
  <c r="H2149" i="50"/>
  <c r="E2149" i="50"/>
  <c r="A2149" i="50"/>
  <c r="N2148" i="50"/>
  <c r="H2148" i="50"/>
  <c r="E2148" i="50"/>
  <c r="A2148" i="50"/>
  <c r="N2147" i="50"/>
  <c r="H2147" i="50"/>
  <c r="E2147" i="50"/>
  <c r="A2147" i="50"/>
  <c r="N2146" i="50"/>
  <c r="H2146" i="50"/>
  <c r="E2146" i="50"/>
  <c r="A2146" i="50"/>
  <c r="N2145" i="50"/>
  <c r="H2145" i="50"/>
  <c r="E2145" i="50"/>
  <c r="A2145" i="50"/>
  <c r="N2144" i="50"/>
  <c r="H2144" i="50"/>
  <c r="E2144" i="50"/>
  <c r="A2144" i="50"/>
  <c r="N2143" i="50"/>
  <c r="H2143" i="50"/>
  <c r="E2143" i="50"/>
  <c r="A2143" i="50"/>
  <c r="N2142" i="50"/>
  <c r="H2142" i="50"/>
  <c r="E2142" i="50"/>
  <c r="A2142" i="50"/>
  <c r="N2141" i="50"/>
  <c r="H2141" i="50"/>
  <c r="E2141" i="50"/>
  <c r="A2141" i="50"/>
  <c r="N2140" i="50"/>
  <c r="H2140" i="50"/>
  <c r="E2140" i="50"/>
  <c r="A2140" i="50"/>
  <c r="N2139" i="50"/>
  <c r="H2139" i="50"/>
  <c r="E2139" i="50"/>
  <c r="A2139" i="50"/>
  <c r="N2138" i="50"/>
  <c r="H2138" i="50"/>
  <c r="E2138" i="50"/>
  <c r="A2138" i="50"/>
  <c r="N2137" i="50"/>
  <c r="H2137" i="50"/>
  <c r="E2137" i="50"/>
  <c r="A2137" i="50"/>
  <c r="N2136" i="50"/>
  <c r="H2136" i="50"/>
  <c r="E2136" i="50"/>
  <c r="A2136" i="50"/>
  <c r="N2135" i="50"/>
  <c r="H2135" i="50"/>
  <c r="E2135" i="50"/>
  <c r="A2135" i="50"/>
  <c r="N2134" i="50"/>
  <c r="H2134" i="50"/>
  <c r="E2134" i="50"/>
  <c r="A2134" i="50"/>
  <c r="N2133" i="50"/>
  <c r="H2133" i="50"/>
  <c r="E2133" i="50"/>
  <c r="A2133" i="50"/>
  <c r="N2132" i="50"/>
  <c r="H2132" i="50"/>
  <c r="E2132" i="50"/>
  <c r="A2132" i="50"/>
  <c r="N2131" i="50"/>
  <c r="H2131" i="50"/>
  <c r="E2131" i="50"/>
  <c r="A2131" i="50"/>
  <c r="N2130" i="50"/>
  <c r="H2130" i="50"/>
  <c r="E2130" i="50"/>
  <c r="A2130" i="50"/>
  <c r="N2129" i="50"/>
  <c r="H2129" i="50"/>
  <c r="E2129" i="50"/>
  <c r="A2129" i="50"/>
  <c r="N2128" i="50"/>
  <c r="H2128" i="50"/>
  <c r="E2128" i="50"/>
  <c r="A2128" i="50"/>
  <c r="N2127" i="50"/>
  <c r="H2127" i="50"/>
  <c r="E2127" i="50"/>
  <c r="A2127" i="50"/>
  <c r="N2126" i="50"/>
  <c r="H2126" i="50"/>
  <c r="E2126" i="50"/>
  <c r="A2126" i="50"/>
  <c r="N2125" i="50"/>
  <c r="H2125" i="50"/>
  <c r="E2125" i="50"/>
  <c r="A2125" i="50"/>
  <c r="N2124" i="50"/>
  <c r="H2124" i="50"/>
  <c r="E2124" i="50"/>
  <c r="A2124" i="50"/>
  <c r="N2123" i="50"/>
  <c r="H2123" i="50"/>
  <c r="E2123" i="50"/>
  <c r="A2123" i="50"/>
  <c r="N2122" i="50"/>
  <c r="H2122" i="50"/>
  <c r="E2122" i="50"/>
  <c r="A2122" i="50"/>
  <c r="N2121" i="50"/>
  <c r="H2121" i="50"/>
  <c r="E2121" i="50"/>
  <c r="A2121" i="50"/>
  <c r="N2120" i="50"/>
  <c r="H2120" i="50"/>
  <c r="E2120" i="50"/>
  <c r="A2120" i="50"/>
  <c r="N2119" i="50"/>
  <c r="H2119" i="50"/>
  <c r="E2119" i="50"/>
  <c r="A2119" i="50"/>
  <c r="N2118" i="50"/>
  <c r="H2118" i="50"/>
  <c r="E2118" i="50"/>
  <c r="A2118" i="50"/>
  <c r="N2117" i="50"/>
  <c r="H2117" i="50"/>
  <c r="E2117" i="50"/>
  <c r="A2117" i="50"/>
  <c r="N2116" i="50"/>
  <c r="H2116" i="50"/>
  <c r="E2116" i="50"/>
  <c r="A2116" i="50"/>
  <c r="N2115" i="50"/>
  <c r="H2115" i="50"/>
  <c r="E2115" i="50"/>
  <c r="A2115" i="50"/>
  <c r="N2114" i="50"/>
  <c r="H2114" i="50"/>
  <c r="E2114" i="50"/>
  <c r="A2114" i="50"/>
  <c r="N2113" i="50"/>
  <c r="H2113" i="50"/>
  <c r="E2113" i="50"/>
  <c r="A2113" i="50"/>
  <c r="N2112" i="50"/>
  <c r="H2112" i="50"/>
  <c r="E2112" i="50"/>
  <c r="A2112" i="50"/>
  <c r="N2111" i="50"/>
  <c r="H2111" i="50"/>
  <c r="E2111" i="50"/>
  <c r="A2111" i="50"/>
  <c r="N2110" i="50"/>
  <c r="H2110" i="50"/>
  <c r="E2110" i="50"/>
  <c r="A2110" i="50"/>
  <c r="N2109" i="50"/>
  <c r="H2109" i="50"/>
  <c r="E2109" i="50"/>
  <c r="A2109" i="50"/>
  <c r="N2108" i="50"/>
  <c r="H2108" i="50"/>
  <c r="E2108" i="50"/>
  <c r="A2108" i="50"/>
  <c r="N2107" i="50"/>
  <c r="H2107" i="50"/>
  <c r="E2107" i="50"/>
  <c r="A2107" i="50"/>
  <c r="N2106" i="50"/>
  <c r="H2106" i="50"/>
  <c r="E2106" i="50"/>
  <c r="A2106" i="50"/>
  <c r="N2105" i="50"/>
  <c r="H2105" i="50"/>
  <c r="E2105" i="50"/>
  <c r="A2105" i="50"/>
  <c r="N2104" i="50"/>
  <c r="H2104" i="50"/>
  <c r="E2104" i="50"/>
  <c r="A2104" i="50"/>
  <c r="N2103" i="50"/>
  <c r="H2103" i="50"/>
  <c r="E2103" i="50"/>
  <c r="A2103" i="50"/>
  <c r="N2102" i="50"/>
  <c r="H2102" i="50"/>
  <c r="E2102" i="50"/>
  <c r="A2102" i="50"/>
  <c r="N2101" i="50"/>
  <c r="H2101" i="50"/>
  <c r="E2101" i="50"/>
  <c r="A2101" i="50"/>
  <c r="N2100" i="50"/>
  <c r="H2100" i="50"/>
  <c r="E2100" i="50"/>
  <c r="A2100" i="50"/>
  <c r="N2099" i="50"/>
  <c r="H2099" i="50"/>
  <c r="E2099" i="50"/>
  <c r="A2099" i="50"/>
  <c r="N2098" i="50"/>
  <c r="H2098" i="50"/>
  <c r="E2098" i="50"/>
  <c r="A2098" i="50"/>
  <c r="N2097" i="50"/>
  <c r="H2097" i="50"/>
  <c r="E2097" i="50"/>
  <c r="A2097" i="50"/>
  <c r="N2096" i="50"/>
  <c r="H2096" i="50"/>
  <c r="E2096" i="50"/>
  <c r="A2096" i="50"/>
  <c r="N2095" i="50"/>
  <c r="H2095" i="50"/>
  <c r="E2095" i="50"/>
  <c r="A2095" i="50"/>
  <c r="N2094" i="50"/>
  <c r="H2094" i="50"/>
  <c r="E2094" i="50"/>
  <c r="A2094" i="50"/>
  <c r="N2093" i="50"/>
  <c r="H2093" i="50"/>
  <c r="E2093" i="50"/>
  <c r="A2093" i="50"/>
  <c r="N2092" i="50"/>
  <c r="H2092" i="50"/>
  <c r="E2092" i="50"/>
  <c r="A2092" i="50"/>
  <c r="N2091" i="50"/>
  <c r="H2091" i="50"/>
  <c r="E2091" i="50"/>
  <c r="A2091" i="50"/>
  <c r="N2090" i="50"/>
  <c r="H2090" i="50"/>
  <c r="E2090" i="50"/>
  <c r="A2090" i="50"/>
  <c r="N2089" i="50"/>
  <c r="H2089" i="50"/>
  <c r="E2089" i="50"/>
  <c r="A2089" i="50"/>
  <c r="N2088" i="50"/>
  <c r="H2088" i="50"/>
  <c r="E2088" i="50"/>
  <c r="A2088" i="50"/>
  <c r="N2087" i="50"/>
  <c r="H2087" i="50"/>
  <c r="E2087" i="50"/>
  <c r="A2087" i="50"/>
  <c r="N2086" i="50"/>
  <c r="H2086" i="50"/>
  <c r="E2086" i="50"/>
  <c r="A2086" i="50"/>
  <c r="N2085" i="50"/>
  <c r="H2085" i="50"/>
  <c r="E2085" i="50"/>
  <c r="A2085" i="50"/>
  <c r="N2084" i="50"/>
  <c r="H2084" i="50"/>
  <c r="E2084" i="50"/>
  <c r="A2084" i="50"/>
  <c r="N2083" i="50"/>
  <c r="H2083" i="50"/>
  <c r="E2083" i="50"/>
  <c r="A2083" i="50"/>
  <c r="N2082" i="50"/>
  <c r="H2082" i="50"/>
  <c r="E2082" i="50"/>
  <c r="A2082" i="50"/>
  <c r="N2081" i="50"/>
  <c r="H2081" i="50"/>
  <c r="E2081" i="50"/>
  <c r="A2081" i="50"/>
  <c r="N2080" i="50"/>
  <c r="H2080" i="50"/>
  <c r="E2080" i="50"/>
  <c r="A2080" i="50"/>
  <c r="N2079" i="50"/>
  <c r="H2079" i="50"/>
  <c r="E2079" i="50"/>
  <c r="A2079" i="50"/>
  <c r="N2078" i="50"/>
  <c r="H2078" i="50"/>
  <c r="E2078" i="50"/>
  <c r="A2078" i="50"/>
  <c r="N2077" i="50"/>
  <c r="H2077" i="50"/>
  <c r="E2077" i="50"/>
  <c r="A2077" i="50"/>
  <c r="N2076" i="50"/>
  <c r="H2076" i="50"/>
  <c r="E2076" i="50"/>
  <c r="A2076" i="50"/>
  <c r="N2075" i="50"/>
  <c r="H2075" i="50"/>
  <c r="E2075" i="50"/>
  <c r="A2075" i="50"/>
  <c r="N2074" i="50"/>
  <c r="H2074" i="50"/>
  <c r="E2074" i="50"/>
  <c r="A2074" i="50"/>
  <c r="N2073" i="50"/>
  <c r="H2073" i="50"/>
  <c r="E2073" i="50"/>
  <c r="A2073" i="50"/>
  <c r="N2072" i="50"/>
  <c r="H2072" i="50"/>
  <c r="E2072" i="50"/>
  <c r="A2072" i="50"/>
  <c r="N2071" i="50"/>
  <c r="H2071" i="50"/>
  <c r="E2071" i="50"/>
  <c r="A2071" i="50"/>
  <c r="N2070" i="50"/>
  <c r="H2070" i="50"/>
  <c r="E2070" i="50"/>
  <c r="A2070" i="50"/>
  <c r="N2069" i="50"/>
  <c r="H2069" i="50"/>
  <c r="E2069" i="50"/>
  <c r="A2069" i="50"/>
  <c r="N2068" i="50"/>
  <c r="H2068" i="50"/>
  <c r="E2068" i="50"/>
  <c r="A2068" i="50"/>
  <c r="N2067" i="50"/>
  <c r="H2067" i="50"/>
  <c r="E2067" i="50"/>
  <c r="A2067" i="50"/>
  <c r="N2066" i="50"/>
  <c r="H2066" i="50"/>
  <c r="E2066" i="50"/>
  <c r="A2066" i="50"/>
  <c r="N2065" i="50"/>
  <c r="H2065" i="50"/>
  <c r="E2065" i="50"/>
  <c r="A2065" i="50"/>
  <c r="N2064" i="50"/>
  <c r="H2064" i="50"/>
  <c r="E2064" i="50"/>
  <c r="A2064" i="50"/>
  <c r="N2063" i="50"/>
  <c r="H2063" i="50"/>
  <c r="E2063" i="50"/>
  <c r="A2063" i="50"/>
  <c r="N2062" i="50"/>
  <c r="H2062" i="50"/>
  <c r="E2062" i="50"/>
  <c r="A2062" i="50"/>
  <c r="N2061" i="50"/>
  <c r="H2061" i="50"/>
  <c r="E2061" i="50"/>
  <c r="A2061" i="50"/>
  <c r="N2060" i="50"/>
  <c r="H2060" i="50"/>
  <c r="E2060" i="50"/>
  <c r="A2060" i="50"/>
  <c r="N2059" i="50"/>
  <c r="H2059" i="50"/>
  <c r="E2059" i="50"/>
  <c r="A2059" i="50"/>
  <c r="N2058" i="50"/>
  <c r="H2058" i="50"/>
  <c r="E2058" i="50"/>
  <c r="A2058" i="50"/>
  <c r="N2057" i="50"/>
  <c r="H2057" i="50"/>
  <c r="E2057" i="50"/>
  <c r="A2057" i="50"/>
  <c r="N2056" i="50"/>
  <c r="H2056" i="50"/>
  <c r="E2056" i="50"/>
  <c r="A2056" i="50"/>
  <c r="N2055" i="50"/>
  <c r="H2055" i="50"/>
  <c r="E2055" i="50"/>
  <c r="A2055" i="50"/>
  <c r="N2054" i="50"/>
  <c r="H2054" i="50"/>
  <c r="E2054" i="50"/>
  <c r="A2054" i="50"/>
  <c r="N2053" i="50"/>
  <c r="H2053" i="50"/>
  <c r="E2053" i="50"/>
  <c r="A2053" i="50"/>
  <c r="N2052" i="50"/>
  <c r="H2052" i="50"/>
  <c r="E2052" i="50"/>
  <c r="A2052" i="50"/>
  <c r="N2051" i="50"/>
  <c r="H2051" i="50"/>
  <c r="E2051" i="50"/>
  <c r="A2051" i="50"/>
  <c r="N2050" i="50"/>
  <c r="H2050" i="50"/>
  <c r="E2050" i="50"/>
  <c r="A2050" i="50"/>
  <c r="N2049" i="50"/>
  <c r="H2049" i="50"/>
  <c r="E2049" i="50"/>
  <c r="A2049" i="50"/>
  <c r="N2048" i="50"/>
  <c r="H2048" i="50"/>
  <c r="E2048" i="50"/>
  <c r="A2048" i="50"/>
  <c r="N2047" i="50"/>
  <c r="H2047" i="50"/>
  <c r="E2047" i="50"/>
  <c r="A2047" i="50"/>
  <c r="N2046" i="50"/>
  <c r="H2046" i="50"/>
  <c r="E2046" i="50"/>
  <c r="A2046" i="50"/>
  <c r="N2045" i="50"/>
  <c r="H2045" i="50"/>
  <c r="E2045" i="50"/>
  <c r="A2045" i="50"/>
  <c r="N2044" i="50"/>
  <c r="H2044" i="50"/>
  <c r="E2044" i="50"/>
  <c r="A2044" i="50"/>
  <c r="N2043" i="50"/>
  <c r="H2043" i="50"/>
  <c r="E2043" i="50"/>
  <c r="A2043" i="50"/>
  <c r="N2042" i="50"/>
  <c r="H2042" i="50"/>
  <c r="E2042" i="50"/>
  <c r="A2042" i="50"/>
  <c r="N2041" i="50"/>
  <c r="H2041" i="50"/>
  <c r="E2041" i="50"/>
  <c r="A2041" i="50"/>
  <c r="N2040" i="50"/>
  <c r="H2040" i="50"/>
  <c r="E2040" i="50"/>
  <c r="A2040" i="50"/>
  <c r="N2039" i="50"/>
  <c r="H2039" i="50"/>
  <c r="E2039" i="50"/>
  <c r="A2039" i="50"/>
  <c r="N2038" i="50"/>
  <c r="H2038" i="50"/>
  <c r="E2038" i="50"/>
  <c r="A2038" i="50"/>
  <c r="N2037" i="50"/>
  <c r="H2037" i="50"/>
  <c r="E2037" i="50"/>
  <c r="A2037" i="50"/>
  <c r="N2036" i="50"/>
  <c r="H2036" i="50"/>
  <c r="E2036" i="50"/>
  <c r="A2036" i="50"/>
  <c r="N2035" i="50"/>
  <c r="H2035" i="50"/>
  <c r="E2035" i="50"/>
  <c r="A2035" i="50"/>
  <c r="N2034" i="50"/>
  <c r="H2034" i="50"/>
  <c r="E2034" i="50"/>
  <c r="A2034" i="50"/>
  <c r="N2033" i="50"/>
  <c r="H2033" i="50"/>
  <c r="E2033" i="50"/>
  <c r="A2033" i="50"/>
  <c r="N2032" i="50"/>
  <c r="H2032" i="50"/>
  <c r="E2032" i="50"/>
  <c r="A2032" i="50"/>
  <c r="N2031" i="50"/>
  <c r="H2031" i="50"/>
  <c r="E2031" i="50"/>
  <c r="A2031" i="50"/>
  <c r="N2030" i="50"/>
  <c r="H2030" i="50"/>
  <c r="E2030" i="50"/>
  <c r="A2030" i="50"/>
  <c r="N2029" i="50"/>
  <c r="H2029" i="50"/>
  <c r="E2029" i="50"/>
  <c r="A2029" i="50"/>
  <c r="N2028" i="50"/>
  <c r="H2028" i="50"/>
  <c r="E2028" i="50"/>
  <c r="A2028" i="50"/>
  <c r="N2027" i="50"/>
  <c r="H2027" i="50"/>
  <c r="E2027" i="50"/>
  <c r="A2027" i="50"/>
  <c r="N2026" i="50"/>
  <c r="H2026" i="50"/>
  <c r="E2026" i="50"/>
  <c r="A2026" i="50"/>
  <c r="N2025" i="50"/>
  <c r="H2025" i="50"/>
  <c r="E2025" i="50"/>
  <c r="A2025" i="50"/>
  <c r="N2024" i="50"/>
  <c r="H2024" i="50"/>
  <c r="E2024" i="50"/>
  <c r="A2024" i="50"/>
  <c r="N2023" i="50"/>
  <c r="H2023" i="50"/>
  <c r="E2023" i="50"/>
  <c r="A2023" i="50"/>
  <c r="N2022" i="50"/>
  <c r="H2022" i="50"/>
  <c r="E2022" i="50"/>
  <c r="A2022" i="50"/>
  <c r="N2021" i="50"/>
  <c r="H2021" i="50"/>
  <c r="E2021" i="50"/>
  <c r="A2021" i="50"/>
  <c r="N2020" i="50"/>
  <c r="H2020" i="50"/>
  <c r="E2020" i="50"/>
  <c r="A2020" i="50"/>
  <c r="N2019" i="50"/>
  <c r="H2019" i="50"/>
  <c r="E2019" i="50"/>
  <c r="A2019" i="50"/>
  <c r="N2018" i="50"/>
  <c r="H2018" i="50"/>
  <c r="E2018" i="50"/>
  <c r="A2018" i="50"/>
  <c r="N2017" i="50"/>
  <c r="H2017" i="50"/>
  <c r="E2017" i="50"/>
  <c r="A2017" i="50"/>
  <c r="N2016" i="50"/>
  <c r="H2016" i="50"/>
  <c r="E2016" i="50"/>
  <c r="A2016" i="50"/>
  <c r="N2015" i="50"/>
  <c r="H2015" i="50"/>
  <c r="E2015" i="50"/>
  <c r="A2015" i="50"/>
  <c r="N2014" i="50"/>
  <c r="H2014" i="50"/>
  <c r="E2014" i="50"/>
  <c r="A2014" i="50"/>
  <c r="N2013" i="50"/>
  <c r="H2013" i="50"/>
  <c r="E2013" i="50"/>
  <c r="A2013" i="50"/>
  <c r="N2012" i="50"/>
  <c r="H2012" i="50"/>
  <c r="E2012" i="50"/>
  <c r="A2012" i="50"/>
  <c r="N2011" i="50"/>
  <c r="H2011" i="50"/>
  <c r="E2011" i="50"/>
  <c r="A2011" i="50"/>
  <c r="N2010" i="50"/>
  <c r="H2010" i="50"/>
  <c r="E2010" i="50"/>
  <c r="A2010" i="50"/>
  <c r="N2009" i="50"/>
  <c r="H2009" i="50"/>
  <c r="E2009" i="50"/>
  <c r="A2009" i="50"/>
  <c r="N2008" i="50"/>
  <c r="H2008" i="50"/>
  <c r="E2008" i="50"/>
  <c r="A2008" i="50"/>
  <c r="N2007" i="50"/>
  <c r="H2007" i="50"/>
  <c r="E2007" i="50"/>
  <c r="A2007" i="50"/>
  <c r="N2006" i="50"/>
  <c r="H2006" i="50"/>
  <c r="E2006" i="50"/>
  <c r="A2006" i="50"/>
  <c r="N2005" i="50"/>
  <c r="H2005" i="50"/>
  <c r="E2005" i="50"/>
  <c r="A2005" i="50"/>
  <c r="N2004" i="50"/>
  <c r="H2004" i="50"/>
  <c r="E2004" i="50"/>
  <c r="A2004" i="50"/>
  <c r="N2003" i="50"/>
  <c r="H2003" i="50"/>
  <c r="E2003" i="50"/>
  <c r="A2003" i="50"/>
  <c r="N2002" i="50"/>
  <c r="H2002" i="50"/>
  <c r="E2002" i="50"/>
  <c r="A2002" i="50"/>
  <c r="N2001" i="50"/>
  <c r="H2001" i="50"/>
  <c r="E2001" i="50"/>
  <c r="A2001" i="50"/>
  <c r="N2000" i="50"/>
  <c r="H2000" i="50"/>
  <c r="E2000" i="50"/>
  <c r="A2000" i="50"/>
  <c r="N1999" i="50"/>
  <c r="H1999" i="50"/>
  <c r="E1999" i="50"/>
  <c r="A1999" i="50"/>
  <c r="N1998" i="50"/>
  <c r="H1998" i="50"/>
  <c r="E1998" i="50"/>
  <c r="A1998" i="50"/>
  <c r="N1997" i="50"/>
  <c r="H1997" i="50"/>
  <c r="E1997" i="50"/>
  <c r="A1997" i="50"/>
  <c r="N1996" i="50"/>
  <c r="H1996" i="50"/>
  <c r="E1996" i="50"/>
  <c r="A1996" i="50"/>
  <c r="N1995" i="50"/>
  <c r="H1995" i="50"/>
  <c r="E1995" i="50"/>
  <c r="A1995" i="50"/>
  <c r="N1994" i="50"/>
  <c r="H1994" i="50"/>
  <c r="E1994" i="50"/>
  <c r="A1994" i="50"/>
  <c r="N1993" i="50"/>
  <c r="H1993" i="50"/>
  <c r="E1993" i="50"/>
  <c r="A1993" i="50"/>
  <c r="N1992" i="50"/>
  <c r="H1992" i="50"/>
  <c r="E1992" i="50"/>
  <c r="A1992" i="50"/>
  <c r="N1991" i="50"/>
  <c r="H1991" i="50"/>
  <c r="E1991" i="50"/>
  <c r="A1991" i="50"/>
  <c r="N1990" i="50"/>
  <c r="H1990" i="50"/>
  <c r="E1990" i="50"/>
  <c r="A1990" i="50"/>
  <c r="N1989" i="50"/>
  <c r="H1989" i="50"/>
  <c r="E1989" i="50"/>
  <c r="A1989" i="50"/>
  <c r="N1988" i="50"/>
  <c r="H1988" i="50"/>
  <c r="E1988" i="50"/>
  <c r="A1988" i="50"/>
  <c r="N1987" i="50"/>
  <c r="H1987" i="50"/>
  <c r="E1987" i="50"/>
  <c r="A1987" i="50"/>
  <c r="N1986" i="50"/>
  <c r="H1986" i="50"/>
  <c r="E1986" i="50"/>
  <c r="A1986" i="50"/>
  <c r="N1985" i="50"/>
  <c r="H1985" i="50"/>
  <c r="E1985" i="50"/>
  <c r="A1985" i="50"/>
  <c r="N1984" i="50"/>
  <c r="H1984" i="50"/>
  <c r="E1984" i="50"/>
  <c r="A1984" i="50"/>
  <c r="N1983" i="50"/>
  <c r="H1983" i="50"/>
  <c r="E1983" i="50"/>
  <c r="A1983" i="50"/>
  <c r="N1982" i="50"/>
  <c r="H1982" i="50"/>
  <c r="E1982" i="50"/>
  <c r="A1982" i="50"/>
  <c r="N1981" i="50"/>
  <c r="H1981" i="50"/>
  <c r="E1981" i="50"/>
  <c r="A1981" i="50"/>
  <c r="N1980" i="50"/>
  <c r="H1980" i="50"/>
  <c r="E1980" i="50"/>
  <c r="A1980" i="50"/>
  <c r="N1979" i="50"/>
  <c r="H1979" i="50"/>
  <c r="E1979" i="50"/>
  <c r="A1979" i="50"/>
  <c r="N1978" i="50"/>
  <c r="H1978" i="50"/>
  <c r="E1978" i="50"/>
  <c r="A1978" i="50"/>
  <c r="N1977" i="50"/>
  <c r="H1977" i="50"/>
  <c r="E1977" i="50"/>
  <c r="A1977" i="50"/>
  <c r="N1976" i="50"/>
  <c r="H1976" i="50"/>
  <c r="E1976" i="50"/>
  <c r="A1976" i="50"/>
  <c r="N1975" i="50"/>
  <c r="H1975" i="50"/>
  <c r="E1975" i="50"/>
  <c r="A1975" i="50"/>
  <c r="N1974" i="50"/>
  <c r="H1974" i="50"/>
  <c r="E1974" i="50"/>
  <c r="A1974" i="50"/>
  <c r="N1973" i="50"/>
  <c r="H1973" i="50"/>
  <c r="E1973" i="50"/>
  <c r="A1973" i="50"/>
  <c r="N1972" i="50"/>
  <c r="H1972" i="50"/>
  <c r="E1972" i="50"/>
  <c r="A1972" i="50"/>
  <c r="N1971" i="50"/>
  <c r="H1971" i="50"/>
  <c r="E1971" i="50"/>
  <c r="A1971" i="50"/>
  <c r="N1970" i="50"/>
  <c r="H1970" i="50"/>
  <c r="E1970" i="50"/>
  <c r="A1970" i="50"/>
  <c r="N1969" i="50"/>
  <c r="H1969" i="50"/>
  <c r="E1969" i="50"/>
  <c r="A1969" i="50"/>
  <c r="N1968" i="50"/>
  <c r="H1968" i="50"/>
  <c r="E1968" i="50"/>
  <c r="A1968" i="50"/>
  <c r="N1967" i="50"/>
  <c r="H1967" i="50"/>
  <c r="E1967" i="50"/>
  <c r="A1967" i="50"/>
  <c r="N1966" i="50"/>
  <c r="H1966" i="50"/>
  <c r="E1966" i="50"/>
  <c r="A1966" i="50"/>
  <c r="N1965" i="50"/>
  <c r="H1965" i="50"/>
  <c r="E1965" i="50"/>
  <c r="A1965" i="50"/>
  <c r="N1964" i="50"/>
  <c r="H1964" i="50"/>
  <c r="E1964" i="50"/>
  <c r="A1964" i="50"/>
  <c r="N1963" i="50"/>
  <c r="H1963" i="50"/>
  <c r="E1963" i="50"/>
  <c r="A1963" i="50"/>
  <c r="N1962" i="50"/>
  <c r="H1962" i="50"/>
  <c r="E1962" i="50"/>
  <c r="A1962" i="50"/>
  <c r="N1961" i="50"/>
  <c r="H1961" i="50"/>
  <c r="E1961" i="50"/>
  <c r="A1961" i="50"/>
  <c r="N1960" i="50"/>
  <c r="H1960" i="50"/>
  <c r="E1960" i="50"/>
  <c r="A1960" i="50"/>
  <c r="N1959" i="50"/>
  <c r="H1959" i="50"/>
  <c r="E1959" i="50"/>
  <c r="A1959" i="50"/>
  <c r="N1958" i="50"/>
  <c r="H1958" i="50"/>
  <c r="E1958" i="50"/>
  <c r="A1958" i="50"/>
  <c r="N1957" i="50"/>
  <c r="H1957" i="50"/>
  <c r="E1957" i="50"/>
  <c r="A1957" i="50"/>
  <c r="N1956" i="50"/>
  <c r="H1956" i="50"/>
  <c r="E1956" i="50"/>
  <c r="A1956" i="50"/>
  <c r="N1955" i="50"/>
  <c r="H1955" i="50"/>
  <c r="E1955" i="50"/>
  <c r="A1955" i="50"/>
  <c r="N1954" i="50"/>
  <c r="H1954" i="50"/>
  <c r="E1954" i="50"/>
  <c r="A1954" i="50"/>
  <c r="N1953" i="50"/>
  <c r="H1953" i="50"/>
  <c r="E1953" i="50"/>
  <c r="A1953" i="50"/>
  <c r="N1952" i="50"/>
  <c r="H1952" i="50"/>
  <c r="E1952" i="50"/>
  <c r="A1952" i="50"/>
  <c r="N1951" i="50"/>
  <c r="H1951" i="50"/>
  <c r="E1951" i="50"/>
  <c r="A1951" i="50"/>
  <c r="N1950" i="50"/>
  <c r="H1950" i="50"/>
  <c r="E1950" i="50"/>
  <c r="A1950" i="50"/>
  <c r="N1949" i="50"/>
  <c r="H1949" i="50"/>
  <c r="E1949" i="50"/>
  <c r="A1949" i="50"/>
  <c r="N1948" i="50"/>
  <c r="H1948" i="50"/>
  <c r="E1948" i="50"/>
  <c r="A1948" i="50"/>
  <c r="N1947" i="50"/>
  <c r="H1947" i="50"/>
  <c r="E1947" i="50"/>
  <c r="A1947" i="50"/>
  <c r="N1946" i="50"/>
  <c r="H1946" i="50"/>
  <c r="E1946" i="50"/>
  <c r="A1946" i="50"/>
  <c r="N1945" i="50"/>
  <c r="H1945" i="50"/>
  <c r="E1945" i="50"/>
  <c r="A1945" i="50"/>
  <c r="N1944" i="50"/>
  <c r="H1944" i="50"/>
  <c r="E1944" i="50"/>
  <c r="A1944" i="50"/>
  <c r="N1943" i="50"/>
  <c r="H1943" i="50"/>
  <c r="E1943" i="50"/>
  <c r="A1943" i="50"/>
  <c r="N1942" i="50"/>
  <c r="H1942" i="50"/>
  <c r="E1942" i="50"/>
  <c r="A1942" i="50"/>
  <c r="N1941" i="50"/>
  <c r="H1941" i="50"/>
  <c r="E1941" i="50"/>
  <c r="A1941" i="50"/>
  <c r="N1940" i="50"/>
  <c r="H1940" i="50"/>
  <c r="E1940" i="50"/>
  <c r="A1940" i="50"/>
  <c r="N1939" i="50"/>
  <c r="H1939" i="50"/>
  <c r="E1939" i="50"/>
  <c r="A1939" i="50"/>
  <c r="N1938" i="50"/>
  <c r="H1938" i="50"/>
  <c r="E1938" i="50"/>
  <c r="A1938" i="50"/>
  <c r="N1937" i="50"/>
  <c r="H1937" i="50"/>
  <c r="E1937" i="50"/>
  <c r="A1937" i="50"/>
  <c r="N1936" i="50"/>
  <c r="H1936" i="50"/>
  <c r="E1936" i="50"/>
  <c r="A1936" i="50"/>
  <c r="N1935" i="50"/>
  <c r="H1935" i="50"/>
  <c r="E1935" i="50"/>
  <c r="A1935" i="50"/>
  <c r="N1934" i="50"/>
  <c r="H1934" i="50"/>
  <c r="E1934" i="50"/>
  <c r="A1934" i="50"/>
  <c r="N1933" i="50"/>
  <c r="H1933" i="50"/>
  <c r="E1933" i="50"/>
  <c r="A1933" i="50"/>
  <c r="N1932" i="50"/>
  <c r="H1932" i="50"/>
  <c r="E1932" i="50"/>
  <c r="A1932" i="50"/>
  <c r="N1931" i="50"/>
  <c r="H1931" i="50"/>
  <c r="E1931" i="50"/>
  <c r="A1931" i="50"/>
  <c r="N1930" i="50"/>
  <c r="H1930" i="50"/>
  <c r="E1930" i="50"/>
  <c r="A1930" i="50"/>
  <c r="N1929" i="50"/>
  <c r="H1929" i="50"/>
  <c r="E1929" i="50"/>
  <c r="A1929" i="50"/>
  <c r="N1928" i="50"/>
  <c r="H1928" i="50"/>
  <c r="E1928" i="50"/>
  <c r="A1928" i="50"/>
  <c r="N1927" i="50"/>
  <c r="H1927" i="50"/>
  <c r="E1927" i="50"/>
  <c r="A1927" i="50"/>
  <c r="N1926" i="50"/>
  <c r="H1926" i="50"/>
  <c r="E1926" i="50"/>
  <c r="A1926" i="50"/>
  <c r="N1925" i="50"/>
  <c r="H1925" i="50"/>
  <c r="E1925" i="50"/>
  <c r="A1925" i="50"/>
  <c r="N1924" i="50"/>
  <c r="H1924" i="50"/>
  <c r="E1924" i="50"/>
  <c r="A1924" i="50"/>
  <c r="N1923" i="50"/>
  <c r="H1923" i="50"/>
  <c r="E1923" i="50"/>
  <c r="A1923" i="50"/>
  <c r="N1922" i="50"/>
  <c r="H1922" i="50"/>
  <c r="E1922" i="50"/>
  <c r="A1922" i="50"/>
  <c r="N1921" i="50"/>
  <c r="H1921" i="50"/>
  <c r="E1921" i="50"/>
  <c r="A1921" i="50"/>
  <c r="N1920" i="50"/>
  <c r="H1920" i="50"/>
  <c r="E1920" i="50"/>
  <c r="A1920" i="50"/>
  <c r="N1919" i="50"/>
  <c r="H1919" i="50"/>
  <c r="E1919" i="50"/>
  <c r="A1919" i="50"/>
  <c r="N1918" i="50"/>
  <c r="H1918" i="50"/>
  <c r="E1918" i="50"/>
  <c r="A1918" i="50"/>
  <c r="N1917" i="50"/>
  <c r="H1917" i="50"/>
  <c r="E1917" i="50"/>
  <c r="A1917" i="50"/>
  <c r="N1916" i="50"/>
  <c r="H1916" i="50"/>
  <c r="E1916" i="50"/>
  <c r="A1916" i="50"/>
  <c r="N1915" i="50"/>
  <c r="H1915" i="50"/>
  <c r="E1915" i="50"/>
  <c r="A1915" i="50"/>
  <c r="N1914" i="50"/>
  <c r="H1914" i="50"/>
  <c r="E1914" i="50"/>
  <c r="A1914" i="50"/>
  <c r="N1913" i="50"/>
  <c r="H1913" i="50"/>
  <c r="E1913" i="50"/>
  <c r="A1913" i="50"/>
  <c r="N1912" i="50"/>
  <c r="H1912" i="50"/>
  <c r="E1912" i="50"/>
  <c r="A1912" i="50"/>
  <c r="N1911" i="50"/>
  <c r="H1911" i="50"/>
  <c r="E1911" i="50"/>
  <c r="A1911" i="50"/>
  <c r="N1910" i="50"/>
  <c r="H1910" i="50"/>
  <c r="E1910" i="50"/>
  <c r="A1910" i="50"/>
  <c r="N1909" i="50"/>
  <c r="H1909" i="50"/>
  <c r="E1909" i="50"/>
  <c r="A1909" i="50"/>
  <c r="N1908" i="50"/>
  <c r="H1908" i="50"/>
  <c r="E1908" i="50"/>
  <c r="A1908" i="50"/>
  <c r="N1907" i="50"/>
  <c r="H1907" i="50"/>
  <c r="E1907" i="50"/>
  <c r="A1907" i="50"/>
  <c r="N1906" i="50"/>
  <c r="H1906" i="50"/>
  <c r="E1906" i="50"/>
  <c r="A1906" i="50"/>
  <c r="N1905" i="50"/>
  <c r="H1905" i="50"/>
  <c r="E1905" i="50"/>
  <c r="A1905" i="50"/>
  <c r="N1904" i="50"/>
  <c r="H1904" i="50"/>
  <c r="E1904" i="50"/>
  <c r="A1904" i="50"/>
  <c r="N1903" i="50"/>
  <c r="H1903" i="50"/>
  <c r="E1903" i="50"/>
  <c r="A1903" i="50"/>
  <c r="N1902" i="50"/>
  <c r="H1902" i="50"/>
  <c r="E1902" i="50"/>
  <c r="A1902" i="50"/>
  <c r="N1901" i="50"/>
  <c r="H1901" i="50"/>
  <c r="E1901" i="50"/>
  <c r="A1901" i="50"/>
  <c r="N1900" i="50"/>
  <c r="H1900" i="50"/>
  <c r="E1900" i="50"/>
  <c r="A1900" i="50"/>
  <c r="N1899" i="50"/>
  <c r="H1899" i="50"/>
  <c r="E1899" i="50"/>
  <c r="A1899" i="50"/>
  <c r="N1898" i="50"/>
  <c r="H1898" i="50"/>
  <c r="E1898" i="50"/>
  <c r="A1898" i="50"/>
  <c r="N1897" i="50"/>
  <c r="H1897" i="50"/>
  <c r="E1897" i="50"/>
  <c r="A1897" i="50"/>
  <c r="N1896" i="50"/>
  <c r="H1896" i="50"/>
  <c r="E1896" i="50"/>
  <c r="A1896" i="50"/>
  <c r="N1895" i="50"/>
  <c r="H1895" i="50"/>
  <c r="E1895" i="50"/>
  <c r="A1895" i="50"/>
  <c r="N1894" i="50"/>
  <c r="H1894" i="50"/>
  <c r="E1894" i="50"/>
  <c r="A1894" i="50"/>
  <c r="N1893" i="50"/>
  <c r="H1893" i="50"/>
  <c r="E1893" i="50"/>
  <c r="A1893" i="50"/>
  <c r="N1892" i="50"/>
  <c r="H1892" i="50"/>
  <c r="E1892" i="50"/>
  <c r="A1892" i="50"/>
  <c r="N1891" i="50"/>
  <c r="H1891" i="50"/>
  <c r="E1891" i="50"/>
  <c r="A1891" i="50"/>
  <c r="N1890" i="50"/>
  <c r="H1890" i="50"/>
  <c r="E1890" i="50"/>
  <c r="A1890" i="50"/>
  <c r="N1889" i="50"/>
  <c r="H1889" i="50"/>
  <c r="E1889" i="50"/>
  <c r="A1889" i="50"/>
  <c r="N1888" i="50"/>
  <c r="H1888" i="50"/>
  <c r="E1888" i="50"/>
  <c r="A1888" i="50"/>
  <c r="N1887" i="50"/>
  <c r="H1887" i="50"/>
  <c r="E1887" i="50"/>
  <c r="A1887" i="50"/>
  <c r="N1886" i="50"/>
  <c r="H1886" i="50"/>
  <c r="E1886" i="50"/>
  <c r="A1886" i="50"/>
  <c r="N1885" i="50"/>
  <c r="H1885" i="50"/>
  <c r="E1885" i="50"/>
  <c r="A1885" i="50"/>
  <c r="N1884" i="50"/>
  <c r="H1884" i="50"/>
  <c r="E1884" i="50"/>
  <c r="A1884" i="50"/>
  <c r="N1883" i="50"/>
  <c r="H1883" i="50"/>
  <c r="E1883" i="50"/>
  <c r="A1883" i="50"/>
  <c r="N1882" i="50"/>
  <c r="H1882" i="50"/>
  <c r="E1882" i="50"/>
  <c r="A1882" i="50"/>
  <c r="N1881" i="50"/>
  <c r="H1881" i="50"/>
  <c r="E1881" i="50"/>
  <c r="A1881" i="50"/>
  <c r="N1880" i="50"/>
  <c r="H1880" i="50"/>
  <c r="E1880" i="50"/>
  <c r="A1880" i="50"/>
  <c r="N1879" i="50"/>
  <c r="H1879" i="50"/>
  <c r="E1879" i="50"/>
  <c r="A1879" i="50"/>
  <c r="N1878" i="50"/>
  <c r="H1878" i="50"/>
  <c r="E1878" i="50"/>
  <c r="A1878" i="50"/>
  <c r="N1877" i="50"/>
  <c r="H1877" i="50"/>
  <c r="E1877" i="50"/>
  <c r="A1877" i="50"/>
  <c r="N1876" i="50"/>
  <c r="H1876" i="50"/>
  <c r="E1876" i="50"/>
  <c r="A1876" i="50"/>
  <c r="N1875" i="50"/>
  <c r="H1875" i="50"/>
  <c r="E1875" i="50"/>
  <c r="A1875" i="50"/>
  <c r="N1874" i="50"/>
  <c r="H1874" i="50"/>
  <c r="E1874" i="50"/>
  <c r="A1874" i="50"/>
  <c r="N1873" i="50"/>
  <c r="H1873" i="50"/>
  <c r="E1873" i="50"/>
  <c r="A1873" i="50"/>
  <c r="N1872" i="50"/>
  <c r="H1872" i="50"/>
  <c r="E1872" i="50"/>
  <c r="A1872" i="50"/>
  <c r="N1871" i="50"/>
  <c r="H1871" i="50"/>
  <c r="E1871" i="50"/>
  <c r="A1871" i="50"/>
  <c r="N1870" i="50"/>
  <c r="H1870" i="50"/>
  <c r="E1870" i="50"/>
  <c r="A1870" i="50"/>
  <c r="N1869" i="50"/>
  <c r="H1869" i="50"/>
  <c r="E1869" i="50"/>
  <c r="A1869" i="50"/>
  <c r="N1868" i="50"/>
  <c r="H1868" i="50"/>
  <c r="E1868" i="50"/>
  <c r="A1868" i="50"/>
  <c r="N1867" i="50"/>
  <c r="H1867" i="50"/>
  <c r="E1867" i="50"/>
  <c r="A1867" i="50"/>
  <c r="N1866" i="50"/>
  <c r="H1866" i="50"/>
  <c r="E1866" i="50"/>
  <c r="A1866" i="50"/>
  <c r="N1865" i="50"/>
  <c r="H1865" i="50"/>
  <c r="E1865" i="50"/>
  <c r="A1865" i="50"/>
  <c r="N1864" i="50"/>
  <c r="H1864" i="50"/>
  <c r="E1864" i="50"/>
  <c r="A1864" i="50"/>
  <c r="N1863" i="50"/>
  <c r="H1863" i="50"/>
  <c r="E1863" i="50"/>
  <c r="A1863" i="50"/>
  <c r="N1862" i="50"/>
  <c r="H1862" i="50"/>
  <c r="E1862" i="50"/>
  <c r="A1862" i="50"/>
  <c r="N1861" i="50"/>
  <c r="H1861" i="50"/>
  <c r="E1861" i="50"/>
  <c r="A1861" i="50"/>
  <c r="N1860" i="50"/>
  <c r="H1860" i="50"/>
  <c r="E1860" i="50"/>
  <c r="A1860" i="50"/>
  <c r="N1859" i="50"/>
  <c r="H1859" i="50"/>
  <c r="E1859" i="50"/>
  <c r="A1859" i="50"/>
  <c r="N1858" i="50"/>
  <c r="H1858" i="50"/>
  <c r="E1858" i="50"/>
  <c r="A1858" i="50"/>
  <c r="N1857" i="50"/>
  <c r="H1857" i="50"/>
  <c r="E1857" i="50"/>
  <c r="A1857" i="50"/>
  <c r="N1856" i="50"/>
  <c r="H1856" i="50"/>
  <c r="E1856" i="50"/>
  <c r="A1856" i="50"/>
  <c r="N1855" i="50"/>
  <c r="H1855" i="50"/>
  <c r="E1855" i="50"/>
  <c r="A1855" i="50"/>
  <c r="N1854" i="50"/>
  <c r="H1854" i="50"/>
  <c r="E1854" i="50"/>
  <c r="A1854" i="50"/>
  <c r="N1853" i="50"/>
  <c r="H1853" i="50"/>
  <c r="E1853" i="50"/>
  <c r="A1853" i="50"/>
  <c r="N1852" i="50"/>
  <c r="H1852" i="50"/>
  <c r="E1852" i="50"/>
  <c r="A1852" i="50"/>
  <c r="N1851" i="50"/>
  <c r="H1851" i="50"/>
  <c r="E1851" i="50"/>
  <c r="A1851" i="50"/>
  <c r="N1850" i="50"/>
  <c r="H1850" i="50"/>
  <c r="E1850" i="50"/>
  <c r="A1850" i="50"/>
  <c r="N1849" i="50"/>
  <c r="H1849" i="50"/>
  <c r="E1849" i="50"/>
  <c r="A1849" i="50"/>
  <c r="N1848" i="50"/>
  <c r="H1848" i="50"/>
  <c r="E1848" i="50"/>
  <c r="A1848" i="50"/>
  <c r="N1847" i="50"/>
  <c r="H1847" i="50"/>
  <c r="E1847" i="50"/>
  <c r="A1847" i="50"/>
  <c r="N1846" i="50"/>
  <c r="H1846" i="50"/>
  <c r="E1846" i="50"/>
  <c r="A1846" i="50"/>
  <c r="N1845" i="50"/>
  <c r="H1845" i="50"/>
  <c r="E1845" i="50"/>
  <c r="A1845" i="50"/>
  <c r="N1844" i="50"/>
  <c r="H1844" i="50"/>
  <c r="E1844" i="50"/>
  <c r="A1844" i="50"/>
  <c r="N1843" i="50"/>
  <c r="H1843" i="50"/>
  <c r="E1843" i="50"/>
  <c r="A1843" i="50"/>
  <c r="N1842" i="50"/>
  <c r="H1842" i="50"/>
  <c r="E1842" i="50"/>
  <c r="A1842" i="50"/>
  <c r="N1841" i="50"/>
  <c r="H1841" i="50"/>
  <c r="E1841" i="50"/>
  <c r="A1841" i="50"/>
  <c r="N1840" i="50"/>
  <c r="H1840" i="50"/>
  <c r="E1840" i="50"/>
  <c r="A1840" i="50"/>
  <c r="N1839" i="50"/>
  <c r="H1839" i="50"/>
  <c r="E1839" i="50"/>
  <c r="A1839" i="50"/>
  <c r="N1838" i="50"/>
  <c r="H1838" i="50"/>
  <c r="E1838" i="50"/>
  <c r="A1838" i="50"/>
  <c r="N1837" i="50"/>
  <c r="H1837" i="50"/>
  <c r="E1837" i="50"/>
  <c r="A1837" i="50"/>
  <c r="N1836" i="50"/>
  <c r="H1836" i="50"/>
  <c r="E1836" i="50"/>
  <c r="A1836" i="50"/>
  <c r="N1835" i="50"/>
  <c r="H1835" i="50"/>
  <c r="E1835" i="50"/>
  <c r="A1835" i="50"/>
  <c r="N1834" i="50"/>
  <c r="H1834" i="50"/>
  <c r="E1834" i="50"/>
  <c r="A1834" i="50"/>
  <c r="N1833" i="50"/>
  <c r="H1833" i="50"/>
  <c r="E1833" i="50"/>
  <c r="A1833" i="50"/>
  <c r="N1832" i="50"/>
  <c r="H1832" i="50"/>
  <c r="E1832" i="50"/>
  <c r="A1832" i="50"/>
  <c r="N1831" i="50"/>
  <c r="H1831" i="50"/>
  <c r="E1831" i="50"/>
  <c r="A1831" i="50"/>
  <c r="N1830" i="50"/>
  <c r="H1830" i="50"/>
  <c r="E1830" i="50"/>
  <c r="A1830" i="50"/>
  <c r="N1829" i="50"/>
  <c r="H1829" i="50"/>
  <c r="E1829" i="50"/>
  <c r="A1829" i="50"/>
  <c r="N1828" i="50"/>
  <c r="H1828" i="50"/>
  <c r="E1828" i="50"/>
  <c r="A1828" i="50"/>
  <c r="N1827" i="50"/>
  <c r="H1827" i="50"/>
  <c r="E1827" i="50"/>
  <c r="A1827" i="50"/>
  <c r="N1826" i="50"/>
  <c r="H1826" i="50"/>
  <c r="E1826" i="50"/>
  <c r="A1826" i="50"/>
  <c r="N1825" i="50"/>
  <c r="H1825" i="50"/>
  <c r="E1825" i="50"/>
  <c r="A1825" i="50"/>
  <c r="N1824" i="50"/>
  <c r="H1824" i="50"/>
  <c r="E1824" i="50"/>
  <c r="A1824" i="50"/>
  <c r="N1823" i="50"/>
  <c r="H1823" i="50"/>
  <c r="E1823" i="50"/>
  <c r="A1823" i="50"/>
  <c r="N1822" i="50"/>
  <c r="H1822" i="50"/>
  <c r="E1822" i="50"/>
  <c r="A1822" i="50"/>
  <c r="N1821" i="50"/>
  <c r="H1821" i="50"/>
  <c r="E1821" i="50"/>
  <c r="A1821" i="50"/>
  <c r="N1820" i="50"/>
  <c r="H1820" i="50"/>
  <c r="E1820" i="50"/>
  <c r="A1820" i="50"/>
  <c r="N1819" i="50"/>
  <c r="H1819" i="50"/>
  <c r="E1819" i="50"/>
  <c r="A1819" i="50"/>
  <c r="N1818" i="50"/>
  <c r="H1818" i="50"/>
  <c r="E1818" i="50"/>
  <c r="A1818" i="50"/>
  <c r="N1817" i="50"/>
  <c r="H1817" i="50"/>
  <c r="E1817" i="50"/>
  <c r="A1817" i="50"/>
  <c r="N1816" i="50"/>
  <c r="H1816" i="50"/>
  <c r="E1816" i="50"/>
  <c r="A1816" i="50"/>
  <c r="N1815" i="50"/>
  <c r="H1815" i="50"/>
  <c r="E1815" i="50"/>
  <c r="A1815" i="50"/>
  <c r="N1814" i="50"/>
  <c r="H1814" i="50"/>
  <c r="E1814" i="50"/>
  <c r="A1814" i="50"/>
  <c r="N1813" i="50"/>
  <c r="H1813" i="50"/>
  <c r="E1813" i="50"/>
  <c r="A1813" i="50"/>
  <c r="N1812" i="50"/>
  <c r="H1812" i="50"/>
  <c r="E1812" i="50"/>
  <c r="A1812" i="50"/>
  <c r="N1811" i="50"/>
  <c r="H1811" i="50"/>
  <c r="E1811" i="50"/>
  <c r="A1811" i="50"/>
  <c r="N1810" i="50"/>
  <c r="H1810" i="50"/>
  <c r="E1810" i="50"/>
  <c r="A1810" i="50"/>
  <c r="N1809" i="50"/>
  <c r="H1809" i="50"/>
  <c r="E1809" i="50"/>
  <c r="A1809" i="50"/>
  <c r="N1808" i="50"/>
  <c r="H1808" i="50"/>
  <c r="E1808" i="50"/>
  <c r="A1808" i="50"/>
  <c r="N1807" i="50"/>
  <c r="H1807" i="50"/>
  <c r="E1807" i="50"/>
  <c r="A1807" i="50"/>
  <c r="N1806" i="50"/>
  <c r="H1806" i="50"/>
  <c r="E1806" i="50"/>
  <c r="A1806" i="50"/>
  <c r="N1805" i="50"/>
  <c r="H1805" i="50"/>
  <c r="E1805" i="50"/>
  <c r="A1805" i="50"/>
  <c r="N1804" i="50"/>
  <c r="H1804" i="50"/>
  <c r="E1804" i="50"/>
  <c r="A1804" i="50"/>
  <c r="N1803" i="50"/>
  <c r="H1803" i="50"/>
  <c r="E1803" i="50"/>
  <c r="A1803" i="50"/>
  <c r="N1802" i="50"/>
  <c r="H1802" i="50"/>
  <c r="E1802" i="50"/>
  <c r="A1802" i="50"/>
  <c r="N1801" i="50"/>
  <c r="H1801" i="50"/>
  <c r="E1801" i="50"/>
  <c r="A1801" i="50"/>
  <c r="N1800" i="50"/>
  <c r="H1800" i="50"/>
  <c r="E1800" i="50"/>
  <c r="A1800" i="50"/>
  <c r="N1799" i="50"/>
  <c r="H1799" i="50"/>
  <c r="E1799" i="50"/>
  <c r="A1799" i="50"/>
  <c r="N1798" i="50"/>
  <c r="H1798" i="50"/>
  <c r="E1798" i="50"/>
  <c r="A1798" i="50"/>
  <c r="N1797" i="50"/>
  <c r="H1797" i="50"/>
  <c r="E1797" i="50"/>
  <c r="A1797" i="50"/>
  <c r="N1796" i="50"/>
  <c r="H1796" i="50"/>
  <c r="E1796" i="50"/>
  <c r="A1796" i="50"/>
  <c r="N1795" i="50"/>
  <c r="H1795" i="50"/>
  <c r="E1795" i="50"/>
  <c r="A1795" i="50"/>
  <c r="N1794" i="50"/>
  <c r="H1794" i="50"/>
  <c r="E1794" i="50"/>
  <c r="A1794" i="50"/>
  <c r="N1793" i="50"/>
  <c r="H1793" i="50"/>
  <c r="E1793" i="50"/>
  <c r="A1793" i="50"/>
  <c r="N1792" i="50"/>
  <c r="H1792" i="50"/>
  <c r="E1792" i="50"/>
  <c r="A1792" i="50"/>
  <c r="N1791" i="50"/>
  <c r="H1791" i="50"/>
  <c r="E1791" i="50"/>
  <c r="A1791" i="50"/>
  <c r="N1790" i="50"/>
  <c r="H1790" i="50"/>
  <c r="E1790" i="50"/>
  <c r="A1790" i="50"/>
  <c r="N1789" i="50"/>
  <c r="H1789" i="50"/>
  <c r="E1789" i="50"/>
  <c r="A1789" i="50"/>
  <c r="N1788" i="50"/>
  <c r="H1788" i="50"/>
  <c r="E1788" i="50"/>
  <c r="A1788" i="50"/>
  <c r="N1787" i="50"/>
  <c r="H1787" i="50"/>
  <c r="E1787" i="50"/>
  <c r="A1787" i="50"/>
  <c r="N1786" i="50"/>
  <c r="H1786" i="50"/>
  <c r="E1786" i="50"/>
  <c r="A1786" i="50"/>
  <c r="N1785" i="50"/>
  <c r="H1785" i="50"/>
  <c r="E1785" i="50"/>
  <c r="A1785" i="50"/>
  <c r="N1784" i="50"/>
  <c r="H1784" i="50"/>
  <c r="E1784" i="50"/>
  <c r="A1784" i="50"/>
  <c r="N1783" i="50"/>
  <c r="H1783" i="50"/>
  <c r="E1783" i="50"/>
  <c r="A1783" i="50"/>
  <c r="N1782" i="50"/>
  <c r="H1782" i="50"/>
  <c r="E1782" i="50"/>
  <c r="A1782" i="50"/>
  <c r="N1781" i="50"/>
  <c r="H1781" i="50"/>
  <c r="E1781" i="50"/>
  <c r="A1781" i="50"/>
  <c r="N1780" i="50"/>
  <c r="H1780" i="50"/>
  <c r="E1780" i="50"/>
  <c r="A1780" i="50"/>
  <c r="N1779" i="50"/>
  <c r="H1779" i="50"/>
  <c r="E1779" i="50"/>
  <c r="A1779" i="50"/>
  <c r="N1778" i="50"/>
  <c r="H1778" i="50"/>
  <c r="E1778" i="50"/>
  <c r="A1778" i="50"/>
  <c r="N1777" i="50"/>
  <c r="H1777" i="50"/>
  <c r="E1777" i="50"/>
  <c r="A1777" i="50"/>
  <c r="N1776" i="50"/>
  <c r="H1776" i="50"/>
  <c r="E1776" i="50"/>
  <c r="A1776" i="50"/>
  <c r="N1775" i="50"/>
  <c r="H1775" i="50"/>
  <c r="E1775" i="50"/>
  <c r="A1775" i="50"/>
  <c r="N1774" i="50"/>
  <c r="H1774" i="50"/>
  <c r="E1774" i="50"/>
  <c r="A1774" i="50"/>
  <c r="N1773" i="50"/>
  <c r="H1773" i="50"/>
  <c r="E1773" i="50"/>
  <c r="A1773" i="50"/>
  <c r="N1772" i="50"/>
  <c r="H1772" i="50"/>
  <c r="E1772" i="50"/>
  <c r="A1772" i="50"/>
  <c r="N1771" i="50"/>
  <c r="H1771" i="50"/>
  <c r="E1771" i="50"/>
  <c r="A1771" i="50"/>
  <c r="N1770" i="50"/>
  <c r="H1770" i="50"/>
  <c r="E1770" i="50"/>
  <c r="A1770" i="50"/>
  <c r="N1769" i="50"/>
  <c r="H1769" i="50"/>
  <c r="E1769" i="50"/>
  <c r="A1769" i="50"/>
  <c r="N1768" i="50"/>
  <c r="H1768" i="50"/>
  <c r="E1768" i="50"/>
  <c r="A1768" i="50"/>
  <c r="N1767" i="50"/>
  <c r="H1767" i="50"/>
  <c r="E1767" i="50"/>
  <c r="A1767" i="50"/>
  <c r="N1766" i="50"/>
  <c r="H1766" i="50"/>
  <c r="E1766" i="50"/>
  <c r="A1766" i="50"/>
  <c r="N1765" i="50"/>
  <c r="H1765" i="50"/>
  <c r="E1765" i="50"/>
  <c r="A1765" i="50"/>
  <c r="N1764" i="50"/>
  <c r="H1764" i="50"/>
  <c r="E1764" i="50"/>
  <c r="A1764" i="50"/>
  <c r="N1763" i="50"/>
  <c r="H1763" i="50"/>
  <c r="E1763" i="50"/>
  <c r="A1763" i="50"/>
  <c r="N1762" i="50"/>
  <c r="H1762" i="50"/>
  <c r="E1762" i="50"/>
  <c r="A1762" i="50"/>
  <c r="N1761" i="50"/>
  <c r="H1761" i="50"/>
  <c r="E1761" i="50"/>
  <c r="A1761" i="50"/>
  <c r="N1760" i="50"/>
  <c r="H1760" i="50"/>
  <c r="E1760" i="50"/>
  <c r="A1760" i="50"/>
  <c r="N1759" i="50"/>
  <c r="H1759" i="50"/>
  <c r="E1759" i="50"/>
  <c r="A1759" i="50"/>
  <c r="N1758" i="50"/>
  <c r="H1758" i="50"/>
  <c r="E1758" i="50"/>
  <c r="A1758" i="50"/>
  <c r="N1757" i="50"/>
  <c r="H1757" i="50"/>
  <c r="E1757" i="50"/>
  <c r="A1757" i="50"/>
  <c r="N1756" i="50"/>
  <c r="H1756" i="50"/>
  <c r="E1756" i="50"/>
  <c r="A1756" i="50"/>
  <c r="N1755" i="50"/>
  <c r="H1755" i="50"/>
  <c r="E1755" i="50"/>
  <c r="A1755" i="50"/>
  <c r="N1754" i="50"/>
  <c r="H1754" i="50"/>
  <c r="E1754" i="50"/>
  <c r="A1754" i="50"/>
  <c r="N1753" i="50"/>
  <c r="H1753" i="50"/>
  <c r="E1753" i="50"/>
  <c r="A1753" i="50"/>
  <c r="N1752" i="50"/>
  <c r="H1752" i="50"/>
  <c r="E1752" i="50"/>
  <c r="A1752" i="50"/>
  <c r="N1751" i="50"/>
  <c r="H1751" i="50"/>
  <c r="E1751" i="50"/>
  <c r="A1751" i="50"/>
  <c r="N1750" i="50"/>
  <c r="H1750" i="50"/>
  <c r="E1750" i="50"/>
  <c r="A1750" i="50"/>
  <c r="N1749" i="50"/>
  <c r="H1749" i="50"/>
  <c r="E1749" i="50"/>
  <c r="A1749" i="50"/>
  <c r="N1748" i="50"/>
  <c r="H1748" i="50"/>
  <c r="E1748" i="50"/>
  <c r="A1748" i="50"/>
  <c r="N1747" i="50"/>
  <c r="H1747" i="50"/>
  <c r="E1747" i="50"/>
  <c r="A1747" i="50"/>
  <c r="N1746" i="50"/>
  <c r="H1746" i="50"/>
  <c r="E1746" i="50"/>
  <c r="A1746" i="50"/>
  <c r="N1745" i="50"/>
  <c r="H1745" i="50"/>
  <c r="E1745" i="50"/>
  <c r="A1745" i="50"/>
  <c r="N1744" i="50"/>
  <c r="H1744" i="50"/>
  <c r="E1744" i="50"/>
  <c r="A1744" i="50"/>
  <c r="N1743" i="50"/>
  <c r="H1743" i="50"/>
  <c r="E1743" i="50"/>
  <c r="A1743" i="50"/>
  <c r="N1742" i="50"/>
  <c r="H1742" i="50"/>
  <c r="E1742" i="50"/>
  <c r="A1742" i="50"/>
  <c r="N1741" i="50"/>
  <c r="H1741" i="50"/>
  <c r="E1741" i="50"/>
  <c r="A1741" i="50"/>
  <c r="N1740" i="50"/>
  <c r="H1740" i="50"/>
  <c r="E1740" i="50"/>
  <c r="A1740" i="50"/>
  <c r="N1739" i="50"/>
  <c r="H1739" i="50"/>
  <c r="E1739" i="50"/>
  <c r="A1739" i="50"/>
  <c r="N1738" i="50"/>
  <c r="H1738" i="50"/>
  <c r="E1738" i="50"/>
  <c r="A1738" i="50"/>
  <c r="N1737" i="50"/>
  <c r="H1737" i="50"/>
  <c r="E1737" i="50"/>
  <c r="A1737" i="50"/>
  <c r="N1736" i="50"/>
  <c r="H1736" i="50"/>
  <c r="E1736" i="50"/>
  <c r="A1736" i="50"/>
  <c r="N1735" i="50"/>
  <c r="H1735" i="50"/>
  <c r="E1735" i="50"/>
  <c r="A1735" i="50"/>
  <c r="N1734" i="50"/>
  <c r="H1734" i="50"/>
  <c r="E1734" i="50"/>
  <c r="A1734" i="50"/>
  <c r="N1733" i="50"/>
  <c r="H1733" i="50"/>
  <c r="E1733" i="50"/>
  <c r="A1733" i="50"/>
  <c r="N1732" i="50"/>
  <c r="H1732" i="50"/>
  <c r="E1732" i="50"/>
  <c r="A1732" i="50"/>
  <c r="N1731" i="50"/>
  <c r="H1731" i="50"/>
  <c r="E1731" i="50"/>
  <c r="A1731" i="50"/>
  <c r="N1730" i="50"/>
  <c r="H1730" i="50"/>
  <c r="E1730" i="50"/>
  <c r="A1730" i="50"/>
  <c r="N1729" i="50"/>
  <c r="H1729" i="50"/>
  <c r="E1729" i="50"/>
  <c r="A1729" i="50"/>
  <c r="N1728" i="50"/>
  <c r="H1728" i="50"/>
  <c r="E1728" i="50"/>
  <c r="A1728" i="50"/>
  <c r="N1727" i="50"/>
  <c r="H1727" i="50"/>
  <c r="E1727" i="50"/>
  <c r="A1727" i="50"/>
  <c r="N1726" i="50"/>
  <c r="H1726" i="50"/>
  <c r="E1726" i="50"/>
  <c r="A1726" i="50"/>
  <c r="N1725" i="50"/>
  <c r="H1725" i="50"/>
  <c r="E1725" i="50"/>
  <c r="A1725" i="50"/>
  <c r="N1724" i="50"/>
  <c r="H1724" i="50"/>
  <c r="E1724" i="50"/>
  <c r="A1724" i="50"/>
  <c r="N1723" i="50"/>
  <c r="H1723" i="50"/>
  <c r="E1723" i="50"/>
  <c r="A1723" i="50"/>
  <c r="N1722" i="50"/>
  <c r="H1722" i="50"/>
  <c r="E1722" i="50"/>
  <c r="A1722" i="50"/>
  <c r="N1721" i="50"/>
  <c r="H1721" i="50"/>
  <c r="E1721" i="50"/>
  <c r="A1721" i="50"/>
  <c r="N1720" i="50"/>
  <c r="H1720" i="50"/>
  <c r="E1720" i="50"/>
  <c r="A1720" i="50"/>
  <c r="N1719" i="50"/>
  <c r="H1719" i="50"/>
  <c r="E1719" i="50"/>
  <c r="A1719" i="50"/>
  <c r="N1718" i="50"/>
  <c r="H1718" i="50"/>
  <c r="E1718" i="50"/>
  <c r="A1718" i="50"/>
  <c r="N1717" i="50"/>
  <c r="H1717" i="50"/>
  <c r="E1717" i="50"/>
  <c r="A1717" i="50"/>
  <c r="N1716" i="50"/>
  <c r="H1716" i="50"/>
  <c r="E1716" i="50"/>
  <c r="A1716" i="50"/>
  <c r="N1715" i="50"/>
  <c r="H1715" i="50"/>
  <c r="E1715" i="50"/>
  <c r="A1715" i="50"/>
  <c r="N1714" i="50"/>
  <c r="H1714" i="50"/>
  <c r="E1714" i="50"/>
  <c r="A1714" i="50"/>
  <c r="N1713" i="50"/>
  <c r="H1713" i="50"/>
  <c r="E1713" i="50"/>
  <c r="A1713" i="50"/>
  <c r="N1712" i="50"/>
  <c r="H1712" i="50"/>
  <c r="E1712" i="50"/>
  <c r="A1712" i="50"/>
  <c r="N1711" i="50"/>
  <c r="H1711" i="50"/>
  <c r="E1711" i="50"/>
  <c r="A1711" i="50"/>
  <c r="N1710" i="50"/>
  <c r="H1710" i="50"/>
  <c r="E1710" i="50"/>
  <c r="A1710" i="50"/>
  <c r="N1709" i="50"/>
  <c r="H1709" i="50"/>
  <c r="E1709" i="50"/>
  <c r="A1709" i="50"/>
  <c r="N1708" i="50"/>
  <c r="H1708" i="50"/>
  <c r="E1708" i="50"/>
  <c r="A1708" i="50"/>
  <c r="N1707" i="50"/>
  <c r="H1707" i="50"/>
  <c r="E1707" i="50"/>
  <c r="A1707" i="50"/>
  <c r="N1706" i="50"/>
  <c r="H1706" i="50"/>
  <c r="E1706" i="50"/>
  <c r="A1706" i="50"/>
  <c r="N1705" i="50"/>
  <c r="H1705" i="50"/>
  <c r="E1705" i="50"/>
  <c r="A1705" i="50"/>
  <c r="N1704" i="50"/>
  <c r="H1704" i="50"/>
  <c r="E1704" i="50"/>
  <c r="A1704" i="50"/>
  <c r="N1703" i="50"/>
  <c r="H1703" i="50"/>
  <c r="E1703" i="50"/>
  <c r="A1703" i="50"/>
  <c r="N1702" i="50"/>
  <c r="H1702" i="50"/>
  <c r="E1702" i="50"/>
  <c r="A1702" i="50"/>
  <c r="N1701" i="50"/>
  <c r="H1701" i="50"/>
  <c r="E1701" i="50"/>
  <c r="A1701" i="50"/>
  <c r="N1700" i="50"/>
  <c r="H1700" i="50"/>
  <c r="E1700" i="50"/>
  <c r="A1700" i="50"/>
  <c r="N1699" i="50"/>
  <c r="H1699" i="50"/>
  <c r="E1699" i="50"/>
  <c r="A1699" i="50"/>
  <c r="N1698" i="50"/>
  <c r="H1698" i="50"/>
  <c r="E1698" i="50"/>
  <c r="A1698" i="50"/>
  <c r="N1697" i="50"/>
  <c r="H1697" i="50"/>
  <c r="E1697" i="50"/>
  <c r="A1697" i="50"/>
  <c r="N1696" i="50"/>
  <c r="H1696" i="50"/>
  <c r="E1696" i="50"/>
  <c r="A1696" i="50"/>
  <c r="N1695" i="50"/>
  <c r="H1695" i="50"/>
  <c r="E1695" i="50"/>
  <c r="A1695" i="50"/>
  <c r="N1694" i="50"/>
  <c r="H1694" i="50"/>
  <c r="E1694" i="50"/>
  <c r="A1694" i="50"/>
  <c r="N1693" i="50"/>
  <c r="H1693" i="50"/>
  <c r="E1693" i="50"/>
  <c r="A1693" i="50"/>
  <c r="N1692" i="50"/>
  <c r="H1692" i="50"/>
  <c r="E1692" i="50"/>
  <c r="A1692" i="50"/>
  <c r="N1691" i="50"/>
  <c r="H1691" i="50"/>
  <c r="E1691" i="50"/>
  <c r="A1691" i="50"/>
  <c r="N1690" i="50"/>
  <c r="H1690" i="50"/>
  <c r="E1690" i="50"/>
  <c r="A1690" i="50"/>
  <c r="N1689" i="50"/>
  <c r="H1689" i="50"/>
  <c r="E1689" i="50"/>
  <c r="A1689" i="50"/>
  <c r="N1688" i="50"/>
  <c r="H1688" i="50"/>
  <c r="E1688" i="50"/>
  <c r="A1688" i="50"/>
  <c r="N1687" i="50"/>
  <c r="H1687" i="50"/>
  <c r="E1687" i="50"/>
  <c r="A1687" i="50"/>
  <c r="N1686" i="50"/>
  <c r="H1686" i="50"/>
  <c r="E1686" i="50"/>
  <c r="A1686" i="50"/>
  <c r="N1685" i="50"/>
  <c r="H1685" i="50"/>
  <c r="E1685" i="50"/>
  <c r="A1685" i="50"/>
  <c r="N1684" i="50"/>
  <c r="H1684" i="50"/>
  <c r="E1684" i="50"/>
  <c r="A1684" i="50"/>
  <c r="N1683" i="50"/>
  <c r="H1683" i="50"/>
  <c r="E1683" i="50"/>
  <c r="A1683" i="50"/>
  <c r="N1682" i="50"/>
  <c r="H1682" i="50"/>
  <c r="E1682" i="50"/>
  <c r="A1682" i="50"/>
  <c r="N1681" i="50"/>
  <c r="H1681" i="50"/>
  <c r="E1681" i="50"/>
  <c r="A1681" i="50"/>
  <c r="N1680" i="50"/>
  <c r="H1680" i="50"/>
  <c r="E1680" i="50"/>
  <c r="A1680" i="50"/>
  <c r="N1679" i="50"/>
  <c r="H1679" i="50"/>
  <c r="E1679" i="50"/>
  <c r="A1679" i="50"/>
  <c r="N1678" i="50"/>
  <c r="H1678" i="50"/>
  <c r="E1678" i="50"/>
  <c r="A1678" i="50"/>
  <c r="N1677" i="50"/>
  <c r="H1677" i="50"/>
  <c r="E1677" i="50"/>
  <c r="A1677" i="50"/>
  <c r="N1676" i="50"/>
  <c r="H1676" i="50"/>
  <c r="E1676" i="50"/>
  <c r="A1676" i="50"/>
  <c r="N1675" i="50"/>
  <c r="H1675" i="50"/>
  <c r="E1675" i="50"/>
  <c r="A1675" i="50"/>
  <c r="N1674" i="50"/>
  <c r="H1674" i="50"/>
  <c r="E1674" i="50"/>
  <c r="A1674" i="50"/>
  <c r="N1673" i="50"/>
  <c r="H1673" i="50"/>
  <c r="E1673" i="50"/>
  <c r="A1673" i="50"/>
  <c r="N1672" i="50"/>
  <c r="H1672" i="50"/>
  <c r="E1672" i="50"/>
  <c r="A1672" i="50"/>
  <c r="N1671" i="50"/>
  <c r="H1671" i="50"/>
  <c r="E1671" i="50"/>
  <c r="A1671" i="50"/>
  <c r="N1670" i="50"/>
  <c r="H1670" i="50"/>
  <c r="E1670" i="50"/>
  <c r="A1670" i="50"/>
  <c r="N1669" i="50"/>
  <c r="H1669" i="50"/>
  <c r="E1669" i="50"/>
  <c r="A1669" i="50"/>
  <c r="N1668" i="50"/>
  <c r="H1668" i="50"/>
  <c r="E1668" i="50"/>
  <c r="A1668" i="50"/>
  <c r="N1667" i="50"/>
  <c r="H1667" i="50"/>
  <c r="E1667" i="50"/>
  <c r="A1667" i="50"/>
  <c r="N1666" i="50"/>
  <c r="H1666" i="50"/>
  <c r="E1666" i="50"/>
  <c r="A1666" i="50"/>
  <c r="N1665" i="50"/>
  <c r="H1665" i="50"/>
  <c r="E1665" i="50"/>
  <c r="A1665" i="50"/>
  <c r="N1664" i="50"/>
  <c r="H1664" i="50"/>
  <c r="E1664" i="50"/>
  <c r="A1664" i="50"/>
  <c r="N1663" i="50"/>
  <c r="H1663" i="50"/>
  <c r="E1663" i="50"/>
  <c r="A1663" i="50"/>
  <c r="N1662" i="50"/>
  <c r="H1662" i="50"/>
  <c r="E1662" i="50"/>
  <c r="A1662" i="50"/>
  <c r="N1661" i="50"/>
  <c r="H1661" i="50"/>
  <c r="E1661" i="50"/>
  <c r="A1661" i="50"/>
  <c r="N1660" i="50"/>
  <c r="H1660" i="50"/>
  <c r="E1660" i="50"/>
  <c r="A1660" i="50"/>
  <c r="N1659" i="50"/>
  <c r="H1659" i="50"/>
  <c r="E1659" i="50"/>
  <c r="A1659" i="50"/>
  <c r="N1658" i="50"/>
  <c r="H1658" i="50"/>
  <c r="E1658" i="50"/>
  <c r="A1658" i="50"/>
  <c r="N1657" i="50"/>
  <c r="H1657" i="50"/>
  <c r="E1657" i="50"/>
  <c r="A1657" i="50"/>
  <c r="N1656" i="50"/>
  <c r="H1656" i="50"/>
  <c r="E1656" i="50"/>
  <c r="A1656" i="50"/>
  <c r="N1655" i="50"/>
  <c r="H1655" i="50"/>
  <c r="E1655" i="50"/>
  <c r="A1655" i="50"/>
  <c r="N1654" i="50"/>
  <c r="H1654" i="50"/>
  <c r="E1654" i="50"/>
  <c r="A1654" i="50"/>
  <c r="N1653" i="50"/>
  <c r="H1653" i="50"/>
  <c r="E1653" i="50"/>
  <c r="A1653" i="50"/>
  <c r="N1652" i="50"/>
  <c r="H1652" i="50"/>
  <c r="E1652" i="50"/>
  <c r="A1652" i="50"/>
  <c r="N1651" i="50"/>
  <c r="H1651" i="50"/>
  <c r="E1651" i="50"/>
  <c r="A1651" i="50"/>
  <c r="N1650" i="50"/>
  <c r="H1650" i="50"/>
  <c r="E1650" i="50"/>
  <c r="A1650" i="50"/>
  <c r="N1649" i="50"/>
  <c r="H1649" i="50"/>
  <c r="E1649" i="50"/>
  <c r="A1649" i="50"/>
  <c r="N1648" i="50"/>
  <c r="H1648" i="50"/>
  <c r="E1648" i="50"/>
  <c r="A1648" i="50"/>
  <c r="N1647" i="50"/>
  <c r="H1647" i="50"/>
  <c r="E1647" i="50"/>
  <c r="A1647" i="50"/>
  <c r="N1646" i="50"/>
  <c r="H1646" i="50"/>
  <c r="E1646" i="50"/>
  <c r="A1646" i="50"/>
  <c r="N1645" i="50"/>
  <c r="H1645" i="50"/>
  <c r="E1645" i="50"/>
  <c r="A1645" i="50"/>
  <c r="N1644" i="50"/>
  <c r="H1644" i="50"/>
  <c r="E1644" i="50"/>
  <c r="A1644" i="50"/>
  <c r="N1643" i="50"/>
  <c r="H1643" i="50"/>
  <c r="E1643" i="50"/>
  <c r="A1643" i="50"/>
  <c r="N1642" i="50"/>
  <c r="H1642" i="50"/>
  <c r="E1642" i="50"/>
  <c r="A1642" i="50"/>
  <c r="N1641" i="50"/>
  <c r="H1641" i="50"/>
  <c r="E1641" i="50"/>
  <c r="A1641" i="50"/>
  <c r="N1640" i="50"/>
  <c r="H1640" i="50"/>
  <c r="E1640" i="50"/>
  <c r="A1640" i="50"/>
  <c r="N1639" i="50"/>
  <c r="H1639" i="50"/>
  <c r="E1639" i="50"/>
  <c r="A1639" i="50"/>
  <c r="N1638" i="50"/>
  <c r="H1638" i="50"/>
  <c r="E1638" i="50"/>
  <c r="A1638" i="50"/>
  <c r="N1637" i="50"/>
  <c r="H1637" i="50"/>
  <c r="E1637" i="50"/>
  <c r="A1637" i="50"/>
  <c r="N1636" i="50"/>
  <c r="H1636" i="50"/>
  <c r="E1636" i="50"/>
  <c r="A1636" i="50"/>
  <c r="N1635" i="50"/>
  <c r="H1635" i="50"/>
  <c r="E1635" i="50"/>
  <c r="A1635" i="50"/>
  <c r="N1634" i="50"/>
  <c r="H1634" i="50"/>
  <c r="E1634" i="50"/>
  <c r="A1634" i="50"/>
  <c r="N1633" i="50"/>
  <c r="H1633" i="50"/>
  <c r="E1633" i="50"/>
  <c r="A1633" i="50"/>
  <c r="N1632" i="50"/>
  <c r="H1632" i="50"/>
  <c r="E1632" i="50"/>
  <c r="A1632" i="50"/>
  <c r="N1631" i="50"/>
  <c r="H1631" i="50"/>
  <c r="E1631" i="50"/>
  <c r="A1631" i="50"/>
  <c r="N1630" i="50"/>
  <c r="H1630" i="50"/>
  <c r="E1630" i="50"/>
  <c r="A1630" i="50"/>
  <c r="N1629" i="50"/>
  <c r="H1629" i="50"/>
  <c r="E1629" i="50"/>
  <c r="A1629" i="50"/>
  <c r="N1628" i="50"/>
  <c r="H1628" i="50"/>
  <c r="E1628" i="50"/>
  <c r="A1628" i="50"/>
  <c r="N1627" i="50"/>
  <c r="H1627" i="50"/>
  <c r="E1627" i="50"/>
  <c r="A1627" i="50"/>
  <c r="N1626" i="50"/>
  <c r="H1626" i="50"/>
  <c r="E1626" i="50"/>
  <c r="A1626" i="50"/>
  <c r="N1625" i="50"/>
  <c r="H1625" i="50"/>
  <c r="E1625" i="50"/>
  <c r="A1625" i="50"/>
  <c r="N1624" i="50"/>
  <c r="H1624" i="50"/>
  <c r="E1624" i="50"/>
  <c r="A1624" i="50"/>
  <c r="N1623" i="50"/>
  <c r="H1623" i="50"/>
  <c r="E1623" i="50"/>
  <c r="A1623" i="50"/>
  <c r="N1622" i="50"/>
  <c r="H1622" i="50"/>
  <c r="E1622" i="50"/>
  <c r="A1622" i="50"/>
  <c r="N1621" i="50"/>
  <c r="H1621" i="50"/>
  <c r="E1621" i="50"/>
  <c r="A1621" i="50"/>
  <c r="N1620" i="50"/>
  <c r="H1620" i="50"/>
  <c r="E1620" i="50"/>
  <c r="A1620" i="50"/>
  <c r="N1619" i="50"/>
  <c r="H1619" i="50"/>
  <c r="E1619" i="50"/>
  <c r="A1619" i="50"/>
  <c r="N1618" i="50"/>
  <c r="H1618" i="50"/>
  <c r="E1618" i="50"/>
  <c r="A1618" i="50"/>
  <c r="N1617" i="50"/>
  <c r="H1617" i="50"/>
  <c r="E1617" i="50"/>
  <c r="A1617" i="50"/>
  <c r="N1616" i="50"/>
  <c r="H1616" i="50"/>
  <c r="E1616" i="50"/>
  <c r="A1616" i="50"/>
  <c r="N1615" i="50"/>
  <c r="H1615" i="50"/>
  <c r="E1615" i="50"/>
  <c r="A1615" i="50"/>
  <c r="N1614" i="50"/>
  <c r="H1614" i="50"/>
  <c r="E1614" i="50"/>
  <c r="A1614" i="50"/>
  <c r="N1613" i="50"/>
  <c r="H1613" i="50"/>
  <c r="E1613" i="50"/>
  <c r="A1613" i="50"/>
  <c r="N1612" i="50"/>
  <c r="H1612" i="50"/>
  <c r="E1612" i="50"/>
  <c r="A1612" i="50"/>
  <c r="N1611" i="50"/>
  <c r="H1611" i="50"/>
  <c r="E1611" i="50"/>
  <c r="A1611" i="50"/>
  <c r="N1610" i="50"/>
  <c r="H1610" i="50"/>
  <c r="E1610" i="50"/>
  <c r="A1610" i="50"/>
  <c r="N1609" i="50"/>
  <c r="H1609" i="50"/>
  <c r="E1609" i="50"/>
  <c r="A1609" i="50"/>
  <c r="N1608" i="50"/>
  <c r="H1608" i="50"/>
  <c r="E1608" i="50"/>
  <c r="A1608" i="50"/>
  <c r="N1607" i="50"/>
  <c r="H1607" i="50"/>
  <c r="E1607" i="50"/>
  <c r="A1607" i="50"/>
  <c r="N1606" i="50"/>
  <c r="H1606" i="50"/>
  <c r="E1606" i="50"/>
  <c r="A1606" i="50"/>
  <c r="N1605" i="50"/>
  <c r="H1605" i="50"/>
  <c r="E1605" i="50"/>
  <c r="A1605" i="50"/>
  <c r="N1604" i="50"/>
  <c r="H1604" i="50"/>
  <c r="E1604" i="50"/>
  <c r="A1604" i="50"/>
  <c r="N1603" i="50"/>
  <c r="H1603" i="50"/>
  <c r="E1603" i="50"/>
  <c r="A1603" i="50"/>
  <c r="N1602" i="50"/>
  <c r="H1602" i="50"/>
  <c r="E1602" i="50"/>
  <c r="A1602" i="50"/>
  <c r="N1601" i="50"/>
  <c r="H1601" i="50"/>
  <c r="E1601" i="50"/>
  <c r="A1601" i="50"/>
  <c r="N1600" i="50"/>
  <c r="H1600" i="50"/>
  <c r="E1600" i="50"/>
  <c r="A1600" i="50"/>
  <c r="N1599" i="50"/>
  <c r="H1599" i="50"/>
  <c r="E1599" i="50"/>
  <c r="A1599" i="50"/>
  <c r="N1598" i="50"/>
  <c r="H1598" i="50"/>
  <c r="E1598" i="50"/>
  <c r="A1598" i="50"/>
  <c r="N1597" i="50"/>
  <c r="H1597" i="50"/>
  <c r="E1597" i="50"/>
  <c r="A1597" i="50"/>
  <c r="N1596" i="50"/>
  <c r="H1596" i="50"/>
  <c r="E1596" i="50"/>
  <c r="A1596" i="50"/>
  <c r="N1595" i="50"/>
  <c r="H1595" i="50"/>
  <c r="E1595" i="50"/>
  <c r="A1595" i="50"/>
  <c r="N1594" i="50"/>
  <c r="H1594" i="50"/>
  <c r="E1594" i="50"/>
  <c r="A1594" i="50"/>
  <c r="N1593" i="50"/>
  <c r="H1593" i="50"/>
  <c r="E1593" i="50"/>
  <c r="A1593" i="50"/>
  <c r="N1592" i="50"/>
  <c r="H1592" i="50"/>
  <c r="E1592" i="50"/>
  <c r="A1592" i="50"/>
  <c r="N1591" i="50"/>
  <c r="H1591" i="50"/>
  <c r="E1591" i="50"/>
  <c r="A1591" i="50"/>
  <c r="N1590" i="50"/>
  <c r="H1590" i="50"/>
  <c r="E1590" i="50"/>
  <c r="A1590" i="50"/>
  <c r="N1589" i="50"/>
  <c r="H1589" i="50"/>
  <c r="E1589" i="50"/>
  <c r="A1589" i="50"/>
  <c r="N1588" i="50"/>
  <c r="H1588" i="50"/>
  <c r="E1588" i="50"/>
  <c r="A1588" i="50"/>
  <c r="N1587" i="50"/>
  <c r="H1587" i="50"/>
  <c r="E1587" i="50"/>
  <c r="A1587" i="50"/>
  <c r="N1586" i="50"/>
  <c r="H1586" i="50"/>
  <c r="E1586" i="50"/>
  <c r="A1586" i="50"/>
  <c r="N1585" i="50"/>
  <c r="H1585" i="50"/>
  <c r="E1585" i="50"/>
  <c r="A1585" i="50"/>
  <c r="N1584" i="50"/>
  <c r="H1584" i="50"/>
  <c r="E1584" i="50"/>
  <c r="A1584" i="50"/>
  <c r="N1583" i="50"/>
  <c r="H1583" i="50"/>
  <c r="E1583" i="50"/>
  <c r="A1583" i="50"/>
  <c r="N1582" i="50"/>
  <c r="H1582" i="50"/>
  <c r="E1582" i="50"/>
  <c r="A1582" i="50"/>
  <c r="N1581" i="50"/>
  <c r="H1581" i="50"/>
  <c r="E1581" i="50"/>
  <c r="A1581" i="50"/>
  <c r="N1580" i="50"/>
  <c r="H1580" i="50"/>
  <c r="E1580" i="50"/>
  <c r="A1580" i="50"/>
  <c r="N1579" i="50"/>
  <c r="H1579" i="50"/>
  <c r="E1579" i="50"/>
  <c r="A1579" i="50"/>
  <c r="N1578" i="50"/>
  <c r="H1578" i="50"/>
  <c r="E1578" i="50"/>
  <c r="A1578" i="50"/>
  <c r="N1577" i="50"/>
  <c r="H1577" i="50"/>
  <c r="E1577" i="50"/>
  <c r="A1577" i="50"/>
  <c r="N1576" i="50"/>
  <c r="H1576" i="50"/>
  <c r="E1576" i="50"/>
  <c r="A1576" i="50"/>
  <c r="N1575" i="50"/>
  <c r="H1575" i="50"/>
  <c r="E1575" i="50"/>
  <c r="A1575" i="50"/>
  <c r="N1574" i="50"/>
  <c r="H1574" i="50"/>
  <c r="E1574" i="50"/>
  <c r="A1574" i="50"/>
  <c r="N1573" i="50"/>
  <c r="H1573" i="50"/>
  <c r="E1573" i="50"/>
  <c r="A1573" i="50"/>
  <c r="N1572" i="50"/>
  <c r="H1572" i="50"/>
  <c r="E1572" i="50"/>
  <c r="A1572" i="50"/>
  <c r="N1571" i="50"/>
  <c r="H1571" i="50"/>
  <c r="E1571" i="50"/>
  <c r="A1571" i="50"/>
  <c r="N1570" i="50"/>
  <c r="H1570" i="50"/>
  <c r="E1570" i="50"/>
  <c r="A1570" i="50"/>
  <c r="N1569" i="50"/>
  <c r="H1569" i="50"/>
  <c r="E1569" i="50"/>
  <c r="A1569" i="50"/>
  <c r="N1568" i="50"/>
  <c r="H1568" i="50"/>
  <c r="E1568" i="50"/>
  <c r="A1568" i="50"/>
  <c r="N1567" i="50"/>
  <c r="H1567" i="50"/>
  <c r="E1567" i="50"/>
  <c r="A1567" i="50"/>
  <c r="N1566" i="50"/>
  <c r="H1566" i="50"/>
  <c r="E1566" i="50"/>
  <c r="A1566" i="50"/>
  <c r="N1565" i="50"/>
  <c r="H1565" i="50"/>
  <c r="E1565" i="50"/>
  <c r="A1565" i="50"/>
  <c r="N1564" i="50"/>
  <c r="H1564" i="50"/>
  <c r="E1564" i="50"/>
  <c r="A1564" i="50"/>
  <c r="N1563" i="50"/>
  <c r="H1563" i="50"/>
  <c r="E1563" i="50"/>
  <c r="A1563" i="50"/>
  <c r="N1562" i="50"/>
  <c r="H1562" i="50"/>
  <c r="E1562" i="50"/>
  <c r="A1562" i="50"/>
  <c r="N1561" i="50"/>
  <c r="H1561" i="50"/>
  <c r="E1561" i="50"/>
  <c r="A1561" i="50"/>
  <c r="N1560" i="50"/>
  <c r="H1560" i="50"/>
  <c r="E1560" i="50"/>
  <c r="A1560" i="50"/>
  <c r="N1559" i="50"/>
  <c r="H1559" i="50"/>
  <c r="E1559" i="50"/>
  <c r="A1559" i="50"/>
  <c r="N1558" i="50"/>
  <c r="H1558" i="50"/>
  <c r="E1558" i="50"/>
  <c r="A1558" i="50"/>
  <c r="N1557" i="50"/>
  <c r="H1557" i="50"/>
  <c r="E1557" i="50"/>
  <c r="A1557" i="50"/>
  <c r="N1556" i="50"/>
  <c r="H1556" i="50"/>
  <c r="E1556" i="50"/>
  <c r="A1556" i="50"/>
  <c r="N1555" i="50"/>
  <c r="H1555" i="50"/>
  <c r="E1555" i="50"/>
  <c r="A1555" i="50"/>
  <c r="N1554" i="50"/>
  <c r="H1554" i="50"/>
  <c r="E1554" i="50"/>
  <c r="A1554" i="50"/>
  <c r="N1553" i="50"/>
  <c r="H1553" i="50"/>
  <c r="E1553" i="50"/>
  <c r="A1553" i="50"/>
  <c r="N1552" i="50"/>
  <c r="H1552" i="50"/>
  <c r="E1552" i="50"/>
  <c r="A1552" i="50"/>
  <c r="N1551" i="50"/>
  <c r="H1551" i="50"/>
  <c r="E1551" i="50"/>
  <c r="A1551" i="50"/>
  <c r="N1550" i="50"/>
  <c r="H1550" i="50"/>
  <c r="E1550" i="50"/>
  <c r="A1550" i="50"/>
  <c r="N1549" i="50"/>
  <c r="H1549" i="50"/>
  <c r="E1549" i="50"/>
  <c r="A1549" i="50"/>
  <c r="N1548" i="50"/>
  <c r="H1548" i="50"/>
  <c r="E1548" i="50"/>
  <c r="A1548" i="50"/>
  <c r="N1547" i="50"/>
  <c r="H1547" i="50"/>
  <c r="E1547" i="50"/>
  <c r="A1547" i="50"/>
  <c r="N1546" i="50"/>
  <c r="H1546" i="50"/>
  <c r="E1546" i="50"/>
  <c r="A1546" i="50"/>
  <c r="N1545" i="50"/>
  <c r="H1545" i="50"/>
  <c r="E1545" i="50"/>
  <c r="A1545" i="50"/>
  <c r="N1544" i="50"/>
  <c r="H1544" i="50"/>
  <c r="E1544" i="50"/>
  <c r="A1544" i="50"/>
  <c r="N1543" i="50"/>
  <c r="H1543" i="50"/>
  <c r="E1543" i="50"/>
  <c r="A1543" i="50"/>
  <c r="N1542" i="50"/>
  <c r="H1542" i="50"/>
  <c r="E1542" i="50"/>
  <c r="A1542" i="50"/>
  <c r="N1541" i="50"/>
  <c r="H1541" i="50"/>
  <c r="E1541" i="50"/>
  <c r="A1541" i="50"/>
  <c r="N1540" i="50"/>
  <c r="H1540" i="50"/>
  <c r="E1540" i="50"/>
  <c r="A1540" i="50"/>
  <c r="N1539" i="50"/>
  <c r="H1539" i="50"/>
  <c r="E1539" i="50"/>
  <c r="A1539" i="50"/>
  <c r="N1538" i="50"/>
  <c r="H1538" i="50"/>
  <c r="E1538" i="50"/>
  <c r="A1538" i="50"/>
  <c r="N1537" i="50"/>
  <c r="H1537" i="50"/>
  <c r="E1537" i="50"/>
  <c r="A1537" i="50"/>
  <c r="N1536" i="50"/>
  <c r="H1536" i="50"/>
  <c r="E1536" i="50"/>
  <c r="A1536" i="50"/>
  <c r="N1535" i="50"/>
  <c r="H1535" i="50"/>
  <c r="E1535" i="50"/>
  <c r="A1535" i="50"/>
  <c r="N1534" i="50"/>
  <c r="H1534" i="50"/>
  <c r="E1534" i="50"/>
  <c r="A1534" i="50"/>
  <c r="N1533" i="50"/>
  <c r="H1533" i="50"/>
  <c r="E1533" i="50"/>
  <c r="A1533" i="50"/>
  <c r="N1532" i="50"/>
  <c r="H1532" i="50"/>
  <c r="E1532" i="50"/>
  <c r="A1532" i="50"/>
  <c r="N1531" i="50"/>
  <c r="H1531" i="50"/>
  <c r="E1531" i="50"/>
  <c r="A1531" i="50"/>
  <c r="N1530" i="50"/>
  <c r="H1530" i="50"/>
  <c r="E1530" i="50"/>
  <c r="A1530" i="50"/>
  <c r="N1529" i="50"/>
  <c r="H1529" i="50"/>
  <c r="E1529" i="50"/>
  <c r="A1529" i="50"/>
  <c r="N1528" i="50"/>
  <c r="H1528" i="50"/>
  <c r="E1528" i="50"/>
  <c r="A1528" i="50"/>
  <c r="N1527" i="50"/>
  <c r="H1527" i="50"/>
  <c r="E1527" i="50"/>
  <c r="A1527" i="50"/>
  <c r="N1526" i="50"/>
  <c r="H1526" i="50"/>
  <c r="E1526" i="50"/>
  <c r="A1526" i="50"/>
  <c r="N1525" i="50"/>
  <c r="H1525" i="50"/>
  <c r="E1525" i="50"/>
  <c r="A1525" i="50"/>
  <c r="N1524" i="50"/>
  <c r="H1524" i="50"/>
  <c r="E1524" i="50"/>
  <c r="A1524" i="50"/>
  <c r="N1523" i="50"/>
  <c r="H1523" i="50"/>
  <c r="E1523" i="50"/>
  <c r="A1523" i="50"/>
  <c r="N1522" i="50"/>
  <c r="H1522" i="50"/>
  <c r="E1522" i="50"/>
  <c r="A1522" i="50"/>
  <c r="N1521" i="50"/>
  <c r="H1521" i="50"/>
  <c r="E1521" i="50"/>
  <c r="A1521" i="50"/>
  <c r="N1520" i="50"/>
  <c r="H1520" i="50"/>
  <c r="E1520" i="50"/>
  <c r="A1520" i="50"/>
  <c r="N1519" i="50"/>
  <c r="H1519" i="50"/>
  <c r="E1519" i="50"/>
  <c r="A1519" i="50"/>
  <c r="N1518" i="50"/>
  <c r="H1518" i="50"/>
  <c r="E1518" i="50"/>
  <c r="A1518" i="50"/>
  <c r="N1517" i="50"/>
  <c r="H1517" i="50"/>
  <c r="E1517" i="50"/>
  <c r="A1517" i="50"/>
  <c r="N1516" i="50"/>
  <c r="H1516" i="50"/>
  <c r="E1516" i="50"/>
  <c r="A1516" i="50"/>
  <c r="N1515" i="50"/>
  <c r="H1515" i="50"/>
  <c r="E1515" i="50"/>
  <c r="A1515" i="50"/>
  <c r="N1514" i="50"/>
  <c r="H1514" i="50"/>
  <c r="E1514" i="50"/>
  <c r="A1514" i="50"/>
  <c r="N1513" i="50"/>
  <c r="H1513" i="50"/>
  <c r="E1513" i="50"/>
  <c r="A1513" i="50"/>
  <c r="N1512" i="50"/>
  <c r="H1512" i="50"/>
  <c r="E1512" i="50"/>
  <c r="A1512" i="50"/>
  <c r="N1511" i="50"/>
  <c r="H1511" i="50"/>
  <c r="E1511" i="50"/>
  <c r="A1511" i="50"/>
  <c r="N1510" i="50"/>
  <c r="H1510" i="50"/>
  <c r="E1510" i="50"/>
  <c r="A1510" i="50"/>
  <c r="N1509" i="50"/>
  <c r="H1509" i="50"/>
  <c r="E1509" i="50"/>
  <c r="A1509" i="50"/>
  <c r="N1508" i="50"/>
  <c r="H1508" i="50"/>
  <c r="E1508" i="50"/>
  <c r="A1508" i="50"/>
  <c r="N1507" i="50"/>
  <c r="H1507" i="50"/>
  <c r="E1507" i="50"/>
  <c r="A1507" i="50"/>
  <c r="N1506" i="50"/>
  <c r="H1506" i="50"/>
  <c r="E1506" i="50"/>
  <c r="A1506" i="50"/>
  <c r="N1505" i="50"/>
  <c r="H1505" i="50"/>
  <c r="E1505" i="50"/>
  <c r="A1505" i="50"/>
  <c r="N1504" i="50"/>
  <c r="H1504" i="50"/>
  <c r="E1504" i="50"/>
  <c r="A1504" i="50"/>
  <c r="N1503" i="50"/>
  <c r="H1503" i="50"/>
  <c r="E1503" i="50"/>
  <c r="A1503" i="50"/>
  <c r="N1502" i="50"/>
  <c r="H1502" i="50"/>
  <c r="E1502" i="50"/>
  <c r="A1502" i="50"/>
  <c r="N1501" i="50"/>
  <c r="H1501" i="50"/>
  <c r="E1501" i="50"/>
  <c r="A1501" i="50"/>
  <c r="N1500" i="50"/>
  <c r="H1500" i="50"/>
  <c r="E1500" i="50"/>
  <c r="A1500" i="50"/>
  <c r="N1499" i="50"/>
  <c r="H1499" i="50"/>
  <c r="E1499" i="50"/>
  <c r="A1499" i="50"/>
  <c r="N1498" i="50"/>
  <c r="H1498" i="50"/>
  <c r="E1498" i="50"/>
  <c r="A1498" i="50"/>
  <c r="N1497" i="50"/>
  <c r="H1497" i="50"/>
  <c r="E1497" i="50"/>
  <c r="A1497" i="50"/>
  <c r="N1496" i="50"/>
  <c r="H1496" i="50"/>
  <c r="E1496" i="50"/>
  <c r="A1496" i="50"/>
  <c r="N1495" i="50"/>
  <c r="H1495" i="50"/>
  <c r="E1495" i="50"/>
  <c r="A1495" i="50"/>
  <c r="N1494" i="50"/>
  <c r="H1494" i="50"/>
  <c r="E1494" i="50"/>
  <c r="A1494" i="50"/>
  <c r="N1493" i="50"/>
  <c r="H1493" i="50"/>
  <c r="E1493" i="50"/>
  <c r="A1493" i="50"/>
  <c r="N1492" i="50"/>
  <c r="H1492" i="50"/>
  <c r="E1492" i="50"/>
  <c r="A1492" i="50"/>
  <c r="N1491" i="50"/>
  <c r="H1491" i="50"/>
  <c r="E1491" i="50"/>
  <c r="A1491" i="50"/>
  <c r="N1490" i="50"/>
  <c r="H1490" i="50"/>
  <c r="E1490" i="50"/>
  <c r="A1490" i="50"/>
  <c r="N1489" i="50"/>
  <c r="H1489" i="50"/>
  <c r="E1489" i="50"/>
  <c r="A1489" i="50"/>
  <c r="N1488" i="50"/>
  <c r="H1488" i="50"/>
  <c r="E1488" i="50"/>
  <c r="A1488" i="50"/>
  <c r="N1487" i="50"/>
  <c r="H1487" i="50"/>
  <c r="E1487" i="50"/>
  <c r="A1487" i="50"/>
  <c r="N1486" i="50"/>
  <c r="H1486" i="50"/>
  <c r="E1486" i="50"/>
  <c r="A1486" i="50"/>
  <c r="N1485" i="50"/>
  <c r="H1485" i="50"/>
  <c r="E1485" i="50"/>
  <c r="A1485" i="50"/>
  <c r="N1484" i="50"/>
  <c r="H1484" i="50"/>
  <c r="E1484" i="50"/>
  <c r="A1484" i="50"/>
  <c r="N1483" i="50"/>
  <c r="H1483" i="50"/>
  <c r="E1483" i="50"/>
  <c r="A1483" i="50"/>
  <c r="N1482" i="50"/>
  <c r="H1482" i="50"/>
  <c r="E1482" i="50"/>
  <c r="A1482" i="50"/>
  <c r="N1481" i="50"/>
  <c r="H1481" i="50"/>
  <c r="E1481" i="50"/>
  <c r="A1481" i="50"/>
  <c r="N1480" i="50"/>
  <c r="H1480" i="50"/>
  <c r="E1480" i="50"/>
  <c r="A1480" i="50"/>
  <c r="N1479" i="50"/>
  <c r="H1479" i="50"/>
  <c r="E1479" i="50"/>
  <c r="A1479" i="50"/>
  <c r="N1478" i="50"/>
  <c r="H1478" i="50"/>
  <c r="E1478" i="50"/>
  <c r="A1478" i="50"/>
  <c r="N1477" i="50"/>
  <c r="H1477" i="50"/>
  <c r="E1477" i="50"/>
  <c r="A1477" i="50"/>
  <c r="N1476" i="50"/>
  <c r="H1476" i="50"/>
  <c r="E1476" i="50"/>
  <c r="A1476" i="50"/>
  <c r="N1475" i="50"/>
  <c r="H1475" i="50"/>
  <c r="E1475" i="50"/>
  <c r="A1475" i="50"/>
  <c r="N1474" i="50"/>
  <c r="H1474" i="50"/>
  <c r="E1474" i="50"/>
  <c r="A1474" i="50"/>
  <c r="N1473" i="50"/>
  <c r="H1473" i="50"/>
  <c r="E1473" i="50"/>
  <c r="A1473" i="50"/>
  <c r="N1472" i="50"/>
  <c r="H1472" i="50"/>
  <c r="E1472" i="50"/>
  <c r="A1472" i="50"/>
  <c r="N1471" i="50"/>
  <c r="H1471" i="50"/>
  <c r="E1471" i="50"/>
  <c r="A1471" i="50"/>
  <c r="N1470" i="50"/>
  <c r="H1470" i="50"/>
  <c r="E1470" i="50"/>
  <c r="A1470" i="50"/>
  <c r="N1469" i="50"/>
  <c r="H1469" i="50"/>
  <c r="E1469" i="50"/>
  <c r="A1469" i="50"/>
  <c r="N1468" i="50"/>
  <c r="H1468" i="50"/>
  <c r="E1468" i="50"/>
  <c r="A1468" i="50"/>
  <c r="N1467" i="50"/>
  <c r="H1467" i="50"/>
  <c r="E1467" i="50"/>
  <c r="A1467" i="50"/>
  <c r="N1466" i="50"/>
  <c r="H1466" i="50"/>
  <c r="E1466" i="50"/>
  <c r="A1466" i="50"/>
  <c r="N1465" i="50"/>
  <c r="H1465" i="50"/>
  <c r="E1465" i="50"/>
  <c r="A1465" i="50"/>
  <c r="N1464" i="50"/>
  <c r="H1464" i="50"/>
  <c r="E1464" i="50"/>
  <c r="A1464" i="50"/>
  <c r="N1463" i="50"/>
  <c r="H1463" i="50"/>
  <c r="E1463" i="50"/>
  <c r="A1463" i="50"/>
  <c r="N1462" i="50"/>
  <c r="H1462" i="50"/>
  <c r="E1462" i="50"/>
  <c r="A1462" i="50"/>
  <c r="N1461" i="50"/>
  <c r="H1461" i="50"/>
  <c r="E1461" i="50"/>
  <c r="A1461" i="50"/>
  <c r="N1460" i="50"/>
  <c r="H1460" i="50"/>
  <c r="E1460" i="50"/>
  <c r="A1460" i="50"/>
  <c r="N1459" i="50"/>
  <c r="H1459" i="50"/>
  <c r="E1459" i="50"/>
  <c r="A1459" i="50"/>
  <c r="N1458" i="50"/>
  <c r="H1458" i="50"/>
  <c r="E1458" i="50"/>
  <c r="A1458" i="50"/>
  <c r="N1457" i="50"/>
  <c r="H1457" i="50"/>
  <c r="E1457" i="50"/>
  <c r="A1457" i="50"/>
  <c r="N1456" i="50"/>
  <c r="H1456" i="50"/>
  <c r="E1456" i="50"/>
  <c r="A1456" i="50"/>
  <c r="N1455" i="50"/>
  <c r="H1455" i="50"/>
  <c r="E1455" i="50"/>
  <c r="A1455" i="50"/>
  <c r="N1454" i="50"/>
  <c r="H1454" i="50"/>
  <c r="E1454" i="50"/>
  <c r="A1454" i="50"/>
  <c r="N1453" i="50"/>
  <c r="H1453" i="50"/>
  <c r="E1453" i="50"/>
  <c r="A1453" i="50"/>
  <c r="N1452" i="50"/>
  <c r="H1452" i="50"/>
  <c r="E1452" i="50"/>
  <c r="A1452" i="50"/>
  <c r="N1451" i="50"/>
  <c r="H1451" i="50"/>
  <c r="E1451" i="50"/>
  <c r="A1451" i="50"/>
  <c r="N1450" i="50"/>
  <c r="H1450" i="50"/>
  <c r="E1450" i="50"/>
  <c r="A1450" i="50"/>
  <c r="N1449" i="50"/>
  <c r="H1449" i="50"/>
  <c r="E1449" i="50"/>
  <c r="A1449" i="50"/>
  <c r="N1448" i="50"/>
  <c r="H1448" i="50"/>
  <c r="E1448" i="50"/>
  <c r="A1448" i="50"/>
  <c r="N1447" i="50"/>
  <c r="H1447" i="50"/>
  <c r="E1447" i="50"/>
  <c r="A1447" i="50"/>
  <c r="N1446" i="50"/>
  <c r="H1446" i="50"/>
  <c r="E1446" i="50"/>
  <c r="A1446" i="50"/>
  <c r="N1445" i="50"/>
  <c r="H1445" i="50"/>
  <c r="E1445" i="50"/>
  <c r="A1445" i="50"/>
  <c r="N1444" i="50"/>
  <c r="H1444" i="50"/>
  <c r="E1444" i="50"/>
  <c r="A1444" i="50"/>
  <c r="N1443" i="50"/>
  <c r="H1443" i="50"/>
  <c r="E1443" i="50"/>
  <c r="A1443" i="50"/>
  <c r="N1442" i="50"/>
  <c r="H1442" i="50"/>
  <c r="E1442" i="50"/>
  <c r="A1442" i="50"/>
  <c r="N1441" i="50"/>
  <c r="H1441" i="50"/>
  <c r="E1441" i="50"/>
  <c r="A1441" i="50"/>
  <c r="N1440" i="50"/>
  <c r="H1440" i="50"/>
  <c r="E1440" i="50"/>
  <c r="A1440" i="50"/>
  <c r="N1439" i="50"/>
  <c r="H1439" i="50"/>
  <c r="E1439" i="50"/>
  <c r="A1439" i="50"/>
  <c r="N1438" i="50"/>
  <c r="H1438" i="50"/>
  <c r="E1438" i="50"/>
  <c r="A1438" i="50"/>
  <c r="N1437" i="50"/>
  <c r="H1437" i="50"/>
  <c r="E1437" i="50"/>
  <c r="A1437" i="50"/>
  <c r="N1436" i="50"/>
  <c r="H1436" i="50"/>
  <c r="E1436" i="50"/>
  <c r="A1436" i="50"/>
  <c r="N1435" i="50"/>
  <c r="H1435" i="50"/>
  <c r="E1435" i="50"/>
  <c r="A1435" i="50"/>
  <c r="N1434" i="50"/>
  <c r="H1434" i="50"/>
  <c r="E1434" i="50"/>
  <c r="A1434" i="50"/>
  <c r="N1433" i="50"/>
  <c r="H1433" i="50"/>
  <c r="E1433" i="50"/>
  <c r="A1433" i="50"/>
  <c r="N1432" i="50"/>
  <c r="H1432" i="50"/>
  <c r="E1432" i="50"/>
  <c r="A1432" i="50"/>
  <c r="N1431" i="50"/>
  <c r="H1431" i="50"/>
  <c r="E1431" i="50"/>
  <c r="A1431" i="50"/>
  <c r="N1430" i="50"/>
  <c r="H1430" i="50"/>
  <c r="E1430" i="50"/>
  <c r="A1430" i="50"/>
  <c r="N1429" i="50"/>
  <c r="H1429" i="50"/>
  <c r="E1429" i="50"/>
  <c r="A1429" i="50"/>
  <c r="N1428" i="50"/>
  <c r="H1428" i="50"/>
  <c r="E1428" i="50"/>
  <c r="A1428" i="50"/>
  <c r="N1427" i="50"/>
  <c r="H1427" i="50"/>
  <c r="E1427" i="50"/>
  <c r="A1427" i="50"/>
  <c r="N1426" i="50"/>
  <c r="H1426" i="50"/>
  <c r="E1426" i="50"/>
  <c r="A1426" i="50"/>
  <c r="N1425" i="50"/>
  <c r="H1425" i="50"/>
  <c r="E1425" i="50"/>
  <c r="A1425" i="50"/>
  <c r="N1424" i="50"/>
  <c r="H1424" i="50"/>
  <c r="E1424" i="50"/>
  <c r="A1424" i="50"/>
  <c r="N1423" i="50"/>
  <c r="H1423" i="50"/>
  <c r="E1423" i="50"/>
  <c r="A1423" i="50"/>
  <c r="N1422" i="50"/>
  <c r="H1422" i="50"/>
  <c r="E1422" i="50"/>
  <c r="A1422" i="50"/>
  <c r="N1421" i="50"/>
  <c r="H1421" i="50"/>
  <c r="E1421" i="50"/>
  <c r="A1421" i="50"/>
  <c r="N1420" i="50"/>
  <c r="H1420" i="50"/>
  <c r="E1420" i="50"/>
  <c r="A1420" i="50"/>
  <c r="N1419" i="50"/>
  <c r="H1419" i="50"/>
  <c r="E1419" i="50"/>
  <c r="A1419" i="50"/>
  <c r="N1418" i="50"/>
  <c r="H1418" i="50"/>
  <c r="E1418" i="50"/>
  <c r="A1418" i="50"/>
  <c r="N1417" i="50"/>
  <c r="H1417" i="50"/>
  <c r="E1417" i="50"/>
  <c r="A1417" i="50"/>
  <c r="N1416" i="50"/>
  <c r="H1416" i="50"/>
  <c r="E1416" i="50"/>
  <c r="A1416" i="50"/>
  <c r="N1415" i="50"/>
  <c r="H1415" i="50"/>
  <c r="E1415" i="50"/>
  <c r="A1415" i="50"/>
  <c r="N1414" i="50"/>
  <c r="H1414" i="50"/>
  <c r="E1414" i="50"/>
  <c r="A1414" i="50"/>
  <c r="N1413" i="50"/>
  <c r="H1413" i="50"/>
  <c r="E1413" i="50"/>
  <c r="A1413" i="50"/>
  <c r="N1412" i="50"/>
  <c r="H1412" i="50"/>
  <c r="E1412" i="50"/>
  <c r="A1412" i="50"/>
  <c r="N1411" i="50"/>
  <c r="H1411" i="50"/>
  <c r="E1411" i="50"/>
  <c r="A1411" i="50"/>
  <c r="N1410" i="50"/>
  <c r="H1410" i="50"/>
  <c r="E1410" i="50"/>
  <c r="A1410" i="50"/>
  <c r="N1409" i="50"/>
  <c r="H1409" i="50"/>
  <c r="E1409" i="50"/>
  <c r="A1409" i="50"/>
  <c r="N1408" i="50"/>
  <c r="H1408" i="50"/>
  <c r="E1408" i="50"/>
  <c r="A1408" i="50"/>
  <c r="N1407" i="50"/>
  <c r="H1407" i="50"/>
  <c r="E1407" i="50"/>
  <c r="A1407" i="50"/>
  <c r="N1406" i="50"/>
  <c r="H1406" i="50"/>
  <c r="E1406" i="50"/>
  <c r="A1406" i="50"/>
  <c r="N1405" i="50"/>
  <c r="H1405" i="50"/>
  <c r="E1405" i="50"/>
  <c r="A1405" i="50"/>
  <c r="N1404" i="50"/>
  <c r="H1404" i="50"/>
  <c r="E1404" i="50"/>
  <c r="A1404" i="50"/>
  <c r="N1403" i="50"/>
  <c r="H1403" i="50"/>
  <c r="E1403" i="50"/>
  <c r="A1403" i="50"/>
  <c r="N1402" i="50"/>
  <c r="H1402" i="50"/>
  <c r="E1402" i="50"/>
  <c r="A1402" i="50"/>
  <c r="N1401" i="50"/>
  <c r="H1401" i="50"/>
  <c r="E1401" i="50"/>
  <c r="A1401" i="50"/>
  <c r="N1400" i="50"/>
  <c r="H1400" i="50"/>
  <c r="E1400" i="50"/>
  <c r="A1400" i="50"/>
  <c r="N1399" i="50"/>
  <c r="H1399" i="50"/>
  <c r="E1399" i="50"/>
  <c r="A1399" i="50"/>
  <c r="N1398" i="50"/>
  <c r="H1398" i="50"/>
  <c r="E1398" i="50"/>
  <c r="A1398" i="50"/>
  <c r="N1397" i="50"/>
  <c r="H1397" i="50"/>
  <c r="E1397" i="50"/>
  <c r="A1397" i="50"/>
  <c r="N1396" i="50"/>
  <c r="H1396" i="50"/>
  <c r="E1396" i="50"/>
  <c r="A1396" i="50"/>
  <c r="N1395" i="50"/>
  <c r="H1395" i="50"/>
  <c r="E1395" i="50"/>
  <c r="A1395" i="50"/>
  <c r="N1394" i="50"/>
  <c r="H1394" i="50"/>
  <c r="E1394" i="50"/>
  <c r="A1394" i="50"/>
  <c r="N1393" i="50"/>
  <c r="H1393" i="50"/>
  <c r="E1393" i="50"/>
  <c r="A1393" i="50"/>
  <c r="N1392" i="50"/>
  <c r="H1392" i="50"/>
  <c r="E1392" i="50"/>
  <c r="A1392" i="50"/>
  <c r="N1391" i="50"/>
  <c r="H1391" i="50"/>
  <c r="E1391" i="50"/>
  <c r="A1391" i="50"/>
  <c r="N1390" i="50"/>
  <c r="H1390" i="50"/>
  <c r="E1390" i="50"/>
  <c r="A1390" i="50"/>
  <c r="N1389" i="50"/>
  <c r="H1389" i="50"/>
  <c r="E1389" i="50"/>
  <c r="A1389" i="50"/>
  <c r="N1388" i="50"/>
  <c r="H1388" i="50"/>
  <c r="E1388" i="50"/>
  <c r="A1388" i="50"/>
  <c r="N1387" i="50"/>
  <c r="H1387" i="50"/>
  <c r="E1387" i="50"/>
  <c r="A1387" i="50"/>
  <c r="N1386" i="50"/>
  <c r="H1386" i="50"/>
  <c r="E1386" i="50"/>
  <c r="A1386" i="50"/>
  <c r="N1385" i="50"/>
  <c r="H1385" i="50"/>
  <c r="E1385" i="50"/>
  <c r="A1385" i="50"/>
  <c r="N1384" i="50"/>
  <c r="H1384" i="50"/>
  <c r="E1384" i="50"/>
  <c r="A1384" i="50"/>
  <c r="N1383" i="50"/>
  <c r="H1383" i="50"/>
  <c r="E1383" i="50"/>
  <c r="A1383" i="50"/>
  <c r="N1382" i="50"/>
  <c r="H1382" i="50"/>
  <c r="E1382" i="50"/>
  <c r="A1382" i="50"/>
  <c r="N1381" i="50"/>
  <c r="H1381" i="50"/>
  <c r="E1381" i="50"/>
  <c r="A1381" i="50"/>
  <c r="N1380" i="50"/>
  <c r="H1380" i="50"/>
  <c r="E1380" i="50"/>
  <c r="A1380" i="50"/>
  <c r="N1379" i="50"/>
  <c r="H1379" i="50"/>
  <c r="E1379" i="50"/>
  <c r="A1379" i="50"/>
  <c r="N1378" i="50"/>
  <c r="H1378" i="50"/>
  <c r="E1378" i="50"/>
  <c r="A1378" i="50"/>
  <c r="N1377" i="50"/>
  <c r="H1377" i="50"/>
  <c r="E1377" i="50"/>
  <c r="A1377" i="50"/>
  <c r="N1376" i="50"/>
  <c r="H1376" i="50"/>
  <c r="E1376" i="50"/>
  <c r="A1376" i="50"/>
  <c r="N1375" i="50"/>
  <c r="H1375" i="50"/>
  <c r="E1375" i="50"/>
  <c r="A1375" i="50"/>
  <c r="N1374" i="50"/>
  <c r="H1374" i="50"/>
  <c r="E1374" i="50"/>
  <c r="A1374" i="50"/>
  <c r="N1373" i="50"/>
  <c r="H1373" i="50"/>
  <c r="E1373" i="50"/>
  <c r="A1373" i="50"/>
  <c r="N1372" i="50"/>
  <c r="H1372" i="50"/>
  <c r="E1372" i="50"/>
  <c r="A1372" i="50"/>
  <c r="N1371" i="50"/>
  <c r="H1371" i="50"/>
  <c r="E1371" i="50"/>
  <c r="A1371" i="50"/>
  <c r="N1370" i="50"/>
  <c r="H1370" i="50"/>
  <c r="E1370" i="50"/>
  <c r="A1370" i="50"/>
  <c r="N1369" i="50"/>
  <c r="H1369" i="50"/>
  <c r="E1369" i="50"/>
  <c r="A1369" i="50"/>
  <c r="N1368" i="50"/>
  <c r="H1368" i="50"/>
  <c r="E1368" i="50"/>
  <c r="A1368" i="50"/>
  <c r="N1367" i="50"/>
  <c r="H1367" i="50"/>
  <c r="E1367" i="50"/>
  <c r="A1367" i="50"/>
  <c r="N1366" i="50"/>
  <c r="H1366" i="50"/>
  <c r="E1366" i="50"/>
  <c r="A1366" i="50"/>
  <c r="N1365" i="50"/>
  <c r="H1365" i="50"/>
  <c r="E1365" i="50"/>
  <c r="A1365" i="50"/>
  <c r="N1364" i="50"/>
  <c r="H1364" i="50"/>
  <c r="E1364" i="50"/>
  <c r="A1364" i="50"/>
  <c r="N1363" i="50"/>
  <c r="H1363" i="50"/>
  <c r="E1363" i="50"/>
  <c r="A1363" i="50"/>
  <c r="N1362" i="50"/>
  <c r="H1362" i="50"/>
  <c r="E1362" i="50"/>
  <c r="A1362" i="50"/>
  <c r="N1361" i="50"/>
  <c r="H1361" i="50"/>
  <c r="E1361" i="50"/>
  <c r="A1361" i="50"/>
  <c r="N1360" i="50"/>
  <c r="H1360" i="50"/>
  <c r="E1360" i="50"/>
  <c r="A1360" i="50"/>
  <c r="N1359" i="50"/>
  <c r="H1359" i="50"/>
  <c r="E1359" i="50"/>
  <c r="A1359" i="50"/>
  <c r="N1358" i="50"/>
  <c r="H1358" i="50"/>
  <c r="E1358" i="50"/>
  <c r="A1358" i="50"/>
  <c r="N1357" i="50"/>
  <c r="H1357" i="50"/>
  <c r="E1357" i="50"/>
  <c r="A1357" i="50"/>
  <c r="N1356" i="50"/>
  <c r="H1356" i="50"/>
  <c r="E1356" i="50"/>
  <c r="A1356" i="50"/>
  <c r="N1355" i="50"/>
  <c r="H1355" i="50"/>
  <c r="E1355" i="50"/>
  <c r="A1355" i="50"/>
  <c r="N1354" i="50"/>
  <c r="H1354" i="50"/>
  <c r="E1354" i="50"/>
  <c r="A1354" i="50"/>
  <c r="N1353" i="50"/>
  <c r="H1353" i="50"/>
  <c r="E1353" i="50"/>
  <c r="A1353" i="50"/>
  <c r="N1352" i="50"/>
  <c r="H1352" i="50"/>
  <c r="E1352" i="50"/>
  <c r="A1352" i="50"/>
  <c r="N1351" i="50"/>
  <c r="H1351" i="50"/>
  <c r="E1351" i="50"/>
  <c r="A1351" i="50"/>
  <c r="N1350" i="50"/>
  <c r="H1350" i="50"/>
  <c r="E1350" i="50"/>
  <c r="A1350" i="50"/>
  <c r="N1349" i="50"/>
  <c r="H1349" i="50"/>
  <c r="E1349" i="50"/>
  <c r="A1349" i="50"/>
  <c r="N1348" i="50"/>
  <c r="H1348" i="50"/>
  <c r="E1348" i="50"/>
  <c r="A1348" i="50"/>
  <c r="N1347" i="50"/>
  <c r="H1347" i="50"/>
  <c r="E1347" i="50"/>
  <c r="A1347" i="50"/>
  <c r="N1346" i="50"/>
  <c r="H1346" i="50"/>
  <c r="E1346" i="50"/>
  <c r="A1346" i="50"/>
  <c r="N1345" i="50"/>
  <c r="H1345" i="50"/>
  <c r="E1345" i="50"/>
  <c r="A1345" i="50"/>
  <c r="N1344" i="50"/>
  <c r="H1344" i="50"/>
  <c r="E1344" i="50"/>
  <c r="A1344" i="50"/>
  <c r="N1343" i="50"/>
  <c r="H1343" i="50"/>
  <c r="E1343" i="50"/>
  <c r="A1343" i="50"/>
  <c r="N1342" i="50"/>
  <c r="H1342" i="50"/>
  <c r="E1342" i="50"/>
  <c r="A1342" i="50"/>
  <c r="N1341" i="50"/>
  <c r="H1341" i="50"/>
  <c r="E1341" i="50"/>
  <c r="A1341" i="50"/>
  <c r="N1340" i="50"/>
  <c r="H1340" i="50"/>
  <c r="E1340" i="50"/>
  <c r="A1340" i="50"/>
  <c r="N1339" i="50"/>
  <c r="H1339" i="50"/>
  <c r="E1339" i="50"/>
  <c r="A1339" i="50"/>
  <c r="N1338" i="50"/>
  <c r="H1338" i="50"/>
  <c r="E1338" i="50"/>
  <c r="A1338" i="50"/>
  <c r="N1337" i="50"/>
  <c r="H1337" i="50"/>
  <c r="E1337" i="50"/>
  <c r="A1337" i="50"/>
  <c r="N1336" i="50"/>
  <c r="H1336" i="50"/>
  <c r="E1336" i="50"/>
  <c r="A1336" i="50"/>
  <c r="N1335" i="50"/>
  <c r="H1335" i="50"/>
  <c r="E1335" i="50"/>
  <c r="A1335" i="50"/>
  <c r="N1334" i="50"/>
  <c r="H1334" i="50"/>
  <c r="E1334" i="50"/>
  <c r="A1334" i="50"/>
  <c r="N1333" i="50"/>
  <c r="H1333" i="50"/>
  <c r="E1333" i="50"/>
  <c r="A1333" i="50"/>
  <c r="N1332" i="50"/>
  <c r="H1332" i="50"/>
  <c r="E1332" i="50"/>
  <c r="A1332" i="50"/>
  <c r="N1331" i="50"/>
  <c r="H1331" i="50"/>
  <c r="E1331" i="50"/>
  <c r="A1331" i="50"/>
  <c r="N1330" i="50"/>
  <c r="H1330" i="50"/>
  <c r="E1330" i="50"/>
  <c r="A1330" i="50"/>
  <c r="N1329" i="50"/>
  <c r="H1329" i="50"/>
  <c r="E1329" i="50"/>
  <c r="A1329" i="50"/>
  <c r="N1328" i="50"/>
  <c r="H1328" i="50"/>
  <c r="E1328" i="50"/>
  <c r="A1328" i="50"/>
  <c r="N1327" i="50"/>
  <c r="H1327" i="50"/>
  <c r="E1327" i="50"/>
  <c r="A1327" i="50"/>
  <c r="N1326" i="50"/>
  <c r="H1326" i="50"/>
  <c r="E1326" i="50"/>
  <c r="A1326" i="50"/>
  <c r="N1325" i="50"/>
  <c r="H1325" i="50"/>
  <c r="E1325" i="50"/>
  <c r="A1325" i="50"/>
  <c r="N1324" i="50"/>
  <c r="H1324" i="50"/>
  <c r="E1324" i="50"/>
  <c r="A1324" i="50"/>
  <c r="N1323" i="50"/>
  <c r="H1323" i="50"/>
  <c r="E1323" i="50"/>
  <c r="A1323" i="50"/>
  <c r="N1322" i="50"/>
  <c r="H1322" i="50"/>
  <c r="E1322" i="50"/>
  <c r="A1322" i="50"/>
  <c r="N1321" i="50"/>
  <c r="H1321" i="50"/>
  <c r="E1321" i="50"/>
  <c r="A1321" i="50"/>
  <c r="N1320" i="50"/>
  <c r="H1320" i="50"/>
  <c r="E1320" i="50"/>
  <c r="A1320" i="50"/>
  <c r="N1319" i="50"/>
  <c r="H1319" i="50"/>
  <c r="E1319" i="50"/>
  <c r="A1319" i="50"/>
  <c r="N1318" i="50"/>
  <c r="H1318" i="50"/>
  <c r="E1318" i="50"/>
  <c r="A1318" i="50"/>
  <c r="N1317" i="50"/>
  <c r="H1317" i="50"/>
  <c r="E1317" i="50"/>
  <c r="A1317" i="50"/>
  <c r="N1316" i="50"/>
  <c r="H1316" i="50"/>
  <c r="E1316" i="50"/>
  <c r="A1316" i="50"/>
  <c r="N1315" i="50"/>
  <c r="H1315" i="50"/>
  <c r="E1315" i="50"/>
  <c r="A1315" i="50"/>
  <c r="N1314" i="50"/>
  <c r="H1314" i="50"/>
  <c r="E1314" i="50"/>
  <c r="A1314" i="50"/>
  <c r="N1313" i="50"/>
  <c r="H1313" i="50"/>
  <c r="E1313" i="50"/>
  <c r="A1313" i="50"/>
  <c r="N1312" i="50"/>
  <c r="H1312" i="50"/>
  <c r="E1312" i="50"/>
  <c r="A1312" i="50"/>
  <c r="N1311" i="50"/>
  <c r="H1311" i="50"/>
  <c r="E1311" i="50"/>
  <c r="A1311" i="50"/>
  <c r="N1310" i="50"/>
  <c r="H1310" i="50"/>
  <c r="E1310" i="50"/>
  <c r="A1310" i="50"/>
  <c r="N1309" i="50"/>
  <c r="H1309" i="50"/>
  <c r="E1309" i="50"/>
  <c r="A1309" i="50"/>
  <c r="N1308" i="50"/>
  <c r="H1308" i="50"/>
  <c r="E1308" i="50"/>
  <c r="A1308" i="50"/>
  <c r="N1307" i="50"/>
  <c r="H1307" i="50"/>
  <c r="E1307" i="50"/>
  <c r="A1307" i="50"/>
  <c r="N1306" i="50"/>
  <c r="H1306" i="50"/>
  <c r="E1306" i="50"/>
  <c r="A1306" i="50"/>
  <c r="N1305" i="50"/>
  <c r="H1305" i="50"/>
  <c r="E1305" i="50"/>
  <c r="A1305" i="50"/>
  <c r="N1304" i="50"/>
  <c r="H1304" i="50"/>
  <c r="E1304" i="50"/>
  <c r="A1304" i="50"/>
  <c r="N1303" i="50"/>
  <c r="H1303" i="50"/>
  <c r="E1303" i="50"/>
  <c r="A1303" i="50"/>
  <c r="N1302" i="50"/>
  <c r="H1302" i="50"/>
  <c r="E1302" i="50"/>
  <c r="A1302" i="50"/>
  <c r="N1301" i="50"/>
  <c r="H1301" i="50"/>
  <c r="E1301" i="50"/>
  <c r="A1301" i="50"/>
  <c r="N1300" i="50"/>
  <c r="H1300" i="50"/>
  <c r="E1300" i="50"/>
  <c r="A1300" i="50"/>
  <c r="N1299" i="50"/>
  <c r="H1299" i="50"/>
  <c r="E1299" i="50"/>
  <c r="A1299" i="50"/>
  <c r="N1298" i="50"/>
  <c r="H1298" i="50"/>
  <c r="E1298" i="50"/>
  <c r="A1298" i="50"/>
  <c r="N1297" i="50"/>
  <c r="H1297" i="50"/>
  <c r="E1297" i="50"/>
  <c r="A1297" i="50"/>
  <c r="N1296" i="50"/>
  <c r="H1296" i="50"/>
  <c r="E1296" i="50"/>
  <c r="A1296" i="50"/>
  <c r="N1295" i="50"/>
  <c r="H1295" i="50"/>
  <c r="E1295" i="50"/>
  <c r="A1295" i="50"/>
  <c r="N1294" i="50"/>
  <c r="H1294" i="50"/>
  <c r="E1294" i="50"/>
  <c r="A1294" i="50"/>
  <c r="N1293" i="50"/>
  <c r="H1293" i="50"/>
  <c r="E1293" i="50"/>
  <c r="A1293" i="50"/>
  <c r="N1292" i="50"/>
  <c r="H1292" i="50"/>
  <c r="E1292" i="50"/>
  <c r="A1292" i="50"/>
  <c r="N1291" i="50"/>
  <c r="H1291" i="50"/>
  <c r="E1291" i="50"/>
  <c r="A1291" i="50"/>
  <c r="N1290" i="50"/>
  <c r="H1290" i="50"/>
  <c r="E1290" i="50"/>
  <c r="A1290" i="50"/>
  <c r="N1289" i="50"/>
  <c r="H1289" i="50"/>
  <c r="E1289" i="50"/>
  <c r="A1289" i="50"/>
  <c r="N1288" i="50"/>
  <c r="H1288" i="50"/>
  <c r="E1288" i="50"/>
  <c r="A1288" i="50"/>
  <c r="N1287" i="50"/>
  <c r="H1287" i="50"/>
  <c r="E1287" i="50"/>
  <c r="A1287" i="50"/>
  <c r="N1286" i="50"/>
  <c r="H1286" i="50"/>
  <c r="E1286" i="50"/>
  <c r="A1286" i="50"/>
  <c r="N1285" i="50"/>
  <c r="H1285" i="50"/>
  <c r="E1285" i="50"/>
  <c r="A1285" i="50"/>
  <c r="N1284" i="50"/>
  <c r="H1284" i="50"/>
  <c r="E1284" i="50"/>
  <c r="A1284" i="50"/>
  <c r="N1283" i="50"/>
  <c r="H1283" i="50"/>
  <c r="E1283" i="50"/>
  <c r="A1283" i="50"/>
  <c r="N1282" i="50"/>
  <c r="H1282" i="50"/>
  <c r="E1282" i="50"/>
  <c r="A1282" i="50"/>
  <c r="N1281" i="50"/>
  <c r="H1281" i="50"/>
  <c r="E1281" i="50"/>
  <c r="A1281" i="50"/>
  <c r="N1280" i="50"/>
  <c r="H1280" i="50"/>
  <c r="E1280" i="50"/>
  <c r="A1280" i="50"/>
  <c r="N1279" i="50"/>
  <c r="H1279" i="50"/>
  <c r="E1279" i="50"/>
  <c r="A1279" i="50"/>
  <c r="N1278" i="50"/>
  <c r="H1278" i="50"/>
  <c r="E1278" i="50"/>
  <c r="A1278" i="50"/>
  <c r="N1277" i="50"/>
  <c r="H1277" i="50"/>
  <c r="E1277" i="50"/>
  <c r="A1277" i="50"/>
  <c r="N1276" i="50"/>
  <c r="H1276" i="50"/>
  <c r="E1276" i="50"/>
  <c r="A1276" i="50"/>
  <c r="N1275" i="50"/>
  <c r="H1275" i="50"/>
  <c r="E1275" i="50"/>
  <c r="A1275" i="50"/>
  <c r="N1274" i="50"/>
  <c r="H1274" i="50"/>
  <c r="E1274" i="50"/>
  <c r="A1274" i="50"/>
  <c r="N1273" i="50"/>
  <c r="H1273" i="50"/>
  <c r="E1273" i="50"/>
  <c r="A1273" i="50"/>
  <c r="N1272" i="50"/>
  <c r="H1272" i="50"/>
  <c r="E1272" i="50"/>
  <c r="A1272" i="50"/>
  <c r="N1271" i="50"/>
  <c r="H1271" i="50"/>
  <c r="E1271" i="50"/>
  <c r="A1271" i="50"/>
  <c r="N1270" i="50"/>
  <c r="H1270" i="50"/>
  <c r="E1270" i="50"/>
  <c r="A1270" i="50"/>
  <c r="N1269" i="50"/>
  <c r="H1269" i="50"/>
  <c r="E1269" i="50"/>
  <c r="A1269" i="50"/>
  <c r="N1268" i="50"/>
  <c r="H1268" i="50"/>
  <c r="E1268" i="50"/>
  <c r="A1268" i="50"/>
  <c r="N1267" i="50"/>
  <c r="H1267" i="50"/>
  <c r="E1267" i="50"/>
  <c r="A1267" i="50"/>
  <c r="N1266" i="50"/>
  <c r="H1266" i="50"/>
  <c r="E1266" i="50"/>
  <c r="A1266" i="50"/>
  <c r="N1265" i="50"/>
  <c r="H1265" i="50"/>
  <c r="E1265" i="50"/>
  <c r="A1265" i="50"/>
  <c r="N1264" i="50"/>
  <c r="H1264" i="50"/>
  <c r="E1264" i="50"/>
  <c r="A1264" i="50"/>
  <c r="N1263" i="50"/>
  <c r="H1263" i="50"/>
  <c r="E1263" i="50"/>
  <c r="A1263" i="50"/>
  <c r="N1262" i="50"/>
  <c r="H1262" i="50"/>
  <c r="E1262" i="50"/>
  <c r="A1262" i="50"/>
  <c r="N1261" i="50"/>
  <c r="H1261" i="50"/>
  <c r="E1261" i="50"/>
  <c r="A1261" i="50"/>
  <c r="N1260" i="50"/>
  <c r="H1260" i="50"/>
  <c r="E1260" i="50"/>
  <c r="A1260" i="50"/>
  <c r="N1259" i="50"/>
  <c r="H1259" i="50"/>
  <c r="E1259" i="50"/>
  <c r="A1259" i="50"/>
  <c r="N1258" i="50"/>
  <c r="H1258" i="50"/>
  <c r="E1258" i="50"/>
  <c r="A1258" i="50"/>
  <c r="N1257" i="50"/>
  <c r="H1257" i="50"/>
  <c r="E1257" i="50"/>
  <c r="A1257" i="50"/>
  <c r="N1256" i="50"/>
  <c r="H1256" i="50"/>
  <c r="E1256" i="50"/>
  <c r="A1256" i="50"/>
  <c r="N1255" i="50"/>
  <c r="H1255" i="50"/>
  <c r="E1255" i="50"/>
  <c r="A1255" i="50"/>
  <c r="N1254" i="50"/>
  <c r="H1254" i="50"/>
  <c r="E1254" i="50"/>
  <c r="A1254" i="50"/>
  <c r="N1253" i="50"/>
  <c r="H1253" i="50"/>
  <c r="E1253" i="50"/>
  <c r="A1253" i="50"/>
  <c r="N1252" i="50"/>
  <c r="H1252" i="50"/>
  <c r="E1252" i="50"/>
  <c r="A1252" i="50"/>
  <c r="N1251" i="50"/>
  <c r="H1251" i="50"/>
  <c r="E1251" i="50"/>
  <c r="A1251" i="50"/>
  <c r="N1250" i="50"/>
  <c r="H1250" i="50"/>
  <c r="E1250" i="50"/>
  <c r="A1250" i="50"/>
  <c r="N1249" i="50"/>
  <c r="H1249" i="50"/>
  <c r="E1249" i="50"/>
  <c r="A1249" i="50"/>
  <c r="N1248" i="50"/>
  <c r="H1248" i="50"/>
  <c r="E1248" i="50"/>
  <c r="A1248" i="50"/>
  <c r="N1247" i="50"/>
  <c r="H1247" i="50"/>
  <c r="E1247" i="50"/>
  <c r="A1247" i="50"/>
  <c r="N1246" i="50"/>
  <c r="H1246" i="50"/>
  <c r="E1246" i="50"/>
  <c r="A1246" i="50"/>
  <c r="N1245" i="50"/>
  <c r="H1245" i="50"/>
  <c r="E1245" i="50"/>
  <c r="A1245" i="50"/>
  <c r="N1244" i="50"/>
  <c r="H1244" i="50"/>
  <c r="E1244" i="50"/>
  <c r="A1244" i="50"/>
  <c r="N1243" i="50"/>
  <c r="H1243" i="50"/>
  <c r="E1243" i="50"/>
  <c r="A1243" i="50"/>
  <c r="N1242" i="50"/>
  <c r="H1242" i="50"/>
  <c r="E1242" i="50"/>
  <c r="A1242" i="50"/>
  <c r="N1241" i="50"/>
  <c r="H1241" i="50"/>
  <c r="E1241" i="50"/>
  <c r="A1241" i="50"/>
  <c r="N1240" i="50"/>
  <c r="H1240" i="50"/>
  <c r="E1240" i="50"/>
  <c r="A1240" i="50"/>
  <c r="N1239" i="50"/>
  <c r="H1239" i="50"/>
  <c r="E1239" i="50"/>
  <c r="A1239" i="50"/>
  <c r="N1238" i="50"/>
  <c r="H1238" i="50"/>
  <c r="E1238" i="50"/>
  <c r="A1238" i="50"/>
  <c r="N1237" i="50"/>
  <c r="H1237" i="50"/>
  <c r="E1237" i="50"/>
  <c r="A1237" i="50"/>
  <c r="N1236" i="50"/>
  <c r="H1236" i="50"/>
  <c r="E1236" i="50"/>
  <c r="A1236" i="50"/>
  <c r="N1235" i="50"/>
  <c r="H1235" i="50"/>
  <c r="E1235" i="50"/>
  <c r="A1235" i="50"/>
  <c r="N1234" i="50"/>
  <c r="H1234" i="50"/>
  <c r="E1234" i="50"/>
  <c r="A1234" i="50"/>
  <c r="N1233" i="50"/>
  <c r="H1233" i="50"/>
  <c r="E1233" i="50"/>
  <c r="A1233" i="50"/>
  <c r="N1232" i="50"/>
  <c r="H1232" i="50"/>
  <c r="E1232" i="50"/>
  <c r="A1232" i="50"/>
  <c r="N1231" i="50"/>
  <c r="H1231" i="50"/>
  <c r="E1231" i="50"/>
  <c r="A1231" i="50"/>
  <c r="N1230" i="50"/>
  <c r="H1230" i="50"/>
  <c r="E1230" i="50"/>
  <c r="A1230" i="50"/>
  <c r="N1229" i="50"/>
  <c r="H1229" i="50"/>
  <c r="E1229" i="50"/>
  <c r="A1229" i="50"/>
  <c r="N1228" i="50"/>
  <c r="H1228" i="50"/>
  <c r="E1228" i="50"/>
  <c r="A1228" i="50"/>
  <c r="N1227" i="50"/>
  <c r="H1227" i="50"/>
  <c r="E1227" i="50"/>
  <c r="A1227" i="50"/>
  <c r="N1226" i="50"/>
  <c r="H1226" i="50"/>
  <c r="E1226" i="50"/>
  <c r="A1226" i="50"/>
  <c r="N1225" i="50"/>
  <c r="H1225" i="50"/>
  <c r="E1225" i="50"/>
  <c r="A1225" i="50"/>
  <c r="N1224" i="50"/>
  <c r="H1224" i="50"/>
  <c r="E1224" i="50"/>
  <c r="A1224" i="50"/>
  <c r="N1223" i="50"/>
  <c r="H1223" i="50"/>
  <c r="E1223" i="50"/>
  <c r="A1223" i="50"/>
  <c r="N1222" i="50"/>
  <c r="H1222" i="50"/>
  <c r="E1222" i="50"/>
  <c r="A1222" i="50"/>
  <c r="N1221" i="50"/>
  <c r="H1221" i="50"/>
  <c r="E1221" i="50"/>
  <c r="A1221" i="50"/>
  <c r="N1220" i="50"/>
  <c r="H1220" i="50"/>
  <c r="E1220" i="50"/>
  <c r="A1220" i="50"/>
  <c r="N1219" i="50"/>
  <c r="H1219" i="50"/>
  <c r="E1219" i="50"/>
  <c r="A1219" i="50"/>
  <c r="N1218" i="50"/>
  <c r="H1218" i="50"/>
  <c r="E1218" i="50"/>
  <c r="A1218" i="50"/>
  <c r="N1217" i="50"/>
  <c r="H1217" i="50"/>
  <c r="E1217" i="50"/>
  <c r="A1217" i="50"/>
  <c r="N1216" i="50"/>
  <c r="H1216" i="50"/>
  <c r="E1216" i="50"/>
  <c r="A1216" i="50"/>
  <c r="N1215" i="50"/>
  <c r="H1215" i="50"/>
  <c r="E1215" i="50"/>
  <c r="A1215" i="50"/>
  <c r="N1214" i="50"/>
  <c r="H1214" i="50"/>
  <c r="E1214" i="50"/>
  <c r="A1214" i="50"/>
  <c r="N1213" i="50"/>
  <c r="H1213" i="50"/>
  <c r="E1213" i="50"/>
  <c r="A1213" i="50"/>
  <c r="N1212" i="50"/>
  <c r="H1212" i="50"/>
  <c r="E1212" i="50"/>
  <c r="A1212" i="50"/>
  <c r="N1211" i="50"/>
  <c r="H1211" i="50"/>
  <c r="E1211" i="50"/>
  <c r="A1211" i="50"/>
  <c r="N1210" i="50"/>
  <c r="H1210" i="50"/>
  <c r="E1210" i="50"/>
  <c r="A1210" i="50"/>
  <c r="N1209" i="50"/>
  <c r="H1209" i="50"/>
  <c r="E1209" i="50"/>
  <c r="A1209" i="50"/>
  <c r="N1208" i="50"/>
  <c r="H1208" i="50"/>
  <c r="E1208" i="50"/>
  <c r="A1208" i="50"/>
  <c r="N1207" i="50"/>
  <c r="H1207" i="50"/>
  <c r="E1207" i="50"/>
  <c r="A1207" i="50"/>
  <c r="N1206" i="50"/>
  <c r="H1206" i="50"/>
  <c r="E1206" i="50"/>
  <c r="A1206" i="50"/>
  <c r="N1205" i="50"/>
  <c r="H1205" i="50"/>
  <c r="E1205" i="50"/>
  <c r="A1205" i="50"/>
  <c r="N1204" i="50"/>
  <c r="H1204" i="50"/>
  <c r="E1204" i="50"/>
  <c r="A1204" i="50"/>
  <c r="N1203" i="50"/>
  <c r="H1203" i="50"/>
  <c r="E1203" i="50"/>
  <c r="A1203" i="50"/>
  <c r="N1202" i="50"/>
  <c r="H1202" i="50"/>
  <c r="E1202" i="50"/>
  <c r="A1202" i="50"/>
  <c r="N1201" i="50"/>
  <c r="H1201" i="50"/>
  <c r="E1201" i="50"/>
  <c r="A1201" i="50"/>
  <c r="N1200" i="50"/>
  <c r="H1200" i="50"/>
  <c r="E1200" i="50"/>
  <c r="A1200" i="50"/>
  <c r="N1199" i="50"/>
  <c r="H1199" i="50"/>
  <c r="E1199" i="50"/>
  <c r="A1199" i="50"/>
  <c r="N1198" i="50"/>
  <c r="H1198" i="50"/>
  <c r="E1198" i="50"/>
  <c r="A1198" i="50"/>
  <c r="N1197" i="50"/>
  <c r="H1197" i="50"/>
  <c r="E1197" i="50"/>
  <c r="A1197" i="50"/>
  <c r="N1196" i="50"/>
  <c r="H1196" i="50"/>
  <c r="E1196" i="50"/>
  <c r="A1196" i="50"/>
  <c r="N1195" i="50"/>
  <c r="H1195" i="50"/>
  <c r="E1195" i="50"/>
  <c r="A1195" i="50"/>
  <c r="N1194" i="50"/>
  <c r="H1194" i="50"/>
  <c r="E1194" i="50"/>
  <c r="A1194" i="50"/>
  <c r="N1193" i="50"/>
  <c r="H1193" i="50"/>
  <c r="E1193" i="50"/>
  <c r="A1193" i="50"/>
  <c r="N1192" i="50"/>
  <c r="H1192" i="50"/>
  <c r="E1192" i="50"/>
  <c r="A1192" i="50"/>
  <c r="N1191" i="50"/>
  <c r="H1191" i="50"/>
  <c r="E1191" i="50"/>
  <c r="A1191" i="50"/>
  <c r="N1190" i="50"/>
  <c r="H1190" i="50"/>
  <c r="E1190" i="50"/>
  <c r="A1190" i="50"/>
  <c r="N1189" i="50"/>
  <c r="H1189" i="50"/>
  <c r="E1189" i="50"/>
  <c r="A1189" i="50"/>
  <c r="N1188" i="50"/>
  <c r="H1188" i="50"/>
  <c r="E1188" i="50"/>
  <c r="A1188" i="50"/>
  <c r="N1187" i="50"/>
  <c r="H1187" i="50"/>
  <c r="E1187" i="50"/>
  <c r="A1187" i="50"/>
  <c r="N1186" i="50"/>
  <c r="H1186" i="50"/>
  <c r="E1186" i="50"/>
  <c r="A1186" i="50"/>
  <c r="N1185" i="50"/>
  <c r="H1185" i="50"/>
  <c r="E1185" i="50"/>
  <c r="A1185" i="50"/>
  <c r="N1184" i="50"/>
  <c r="H1184" i="50"/>
  <c r="E1184" i="50"/>
  <c r="A1184" i="50"/>
  <c r="N1183" i="50"/>
  <c r="H1183" i="50"/>
  <c r="E1183" i="50"/>
  <c r="A1183" i="50"/>
  <c r="N1182" i="50"/>
  <c r="H1182" i="50"/>
  <c r="E1182" i="50"/>
  <c r="A1182" i="50"/>
  <c r="N1181" i="50"/>
  <c r="H1181" i="50"/>
  <c r="E1181" i="50"/>
  <c r="A1181" i="50"/>
  <c r="N1180" i="50"/>
  <c r="H1180" i="50"/>
  <c r="E1180" i="50"/>
  <c r="A1180" i="50"/>
  <c r="N1179" i="50"/>
  <c r="H1179" i="50"/>
  <c r="E1179" i="50"/>
  <c r="A1179" i="50"/>
  <c r="N1178" i="50"/>
  <c r="H1178" i="50"/>
  <c r="E1178" i="50"/>
  <c r="A1178" i="50"/>
  <c r="N1177" i="50"/>
  <c r="H1177" i="50"/>
  <c r="E1177" i="50"/>
  <c r="A1177" i="50"/>
  <c r="N1176" i="50"/>
  <c r="H1176" i="50"/>
  <c r="E1176" i="50"/>
  <c r="A1176" i="50"/>
  <c r="N1175" i="50"/>
  <c r="H1175" i="50"/>
  <c r="E1175" i="50"/>
  <c r="A1175" i="50"/>
  <c r="N1174" i="50"/>
  <c r="H1174" i="50"/>
  <c r="E1174" i="50"/>
  <c r="A1174" i="50"/>
  <c r="N1173" i="50"/>
  <c r="H1173" i="50"/>
  <c r="E1173" i="50"/>
  <c r="A1173" i="50"/>
  <c r="N1172" i="50"/>
  <c r="H1172" i="50"/>
  <c r="E1172" i="50"/>
  <c r="A1172" i="50"/>
  <c r="N1171" i="50"/>
  <c r="H1171" i="50"/>
  <c r="E1171" i="50"/>
  <c r="A1171" i="50"/>
  <c r="N1170" i="50"/>
  <c r="H1170" i="50"/>
  <c r="E1170" i="50"/>
  <c r="A1170" i="50"/>
  <c r="N1169" i="50"/>
  <c r="H1169" i="50"/>
  <c r="E1169" i="50"/>
  <c r="A1169" i="50"/>
  <c r="N1168" i="50"/>
  <c r="H1168" i="50"/>
  <c r="E1168" i="50"/>
  <c r="A1168" i="50"/>
  <c r="N1167" i="50"/>
  <c r="H1167" i="50"/>
  <c r="E1167" i="50"/>
  <c r="A1167" i="50"/>
  <c r="N1166" i="50"/>
  <c r="H1166" i="50"/>
  <c r="E1166" i="50"/>
  <c r="A1166" i="50"/>
  <c r="N1165" i="50"/>
  <c r="H1165" i="50"/>
  <c r="E1165" i="50"/>
  <c r="A1165" i="50"/>
  <c r="N1164" i="50"/>
  <c r="H1164" i="50"/>
  <c r="E1164" i="50"/>
  <c r="A1164" i="50"/>
  <c r="N1163" i="50"/>
  <c r="H1163" i="50"/>
  <c r="E1163" i="50"/>
  <c r="A1163" i="50"/>
  <c r="N1162" i="50"/>
  <c r="H1162" i="50"/>
  <c r="E1162" i="50"/>
  <c r="A1162" i="50"/>
  <c r="N1161" i="50"/>
  <c r="H1161" i="50"/>
  <c r="E1161" i="50"/>
  <c r="A1161" i="50"/>
  <c r="N1160" i="50"/>
  <c r="H1160" i="50"/>
  <c r="E1160" i="50"/>
  <c r="A1160" i="50"/>
  <c r="N1159" i="50"/>
  <c r="H1159" i="50"/>
  <c r="E1159" i="50"/>
  <c r="A1159" i="50"/>
  <c r="N1158" i="50"/>
  <c r="H1158" i="50"/>
  <c r="E1158" i="50"/>
  <c r="A1158" i="50"/>
  <c r="N1157" i="50"/>
  <c r="H1157" i="50"/>
  <c r="E1157" i="50"/>
  <c r="A1157" i="50"/>
  <c r="N1156" i="50"/>
  <c r="H1156" i="50"/>
  <c r="E1156" i="50"/>
  <c r="A1156" i="50"/>
  <c r="N1155" i="50"/>
  <c r="H1155" i="50"/>
  <c r="E1155" i="50"/>
  <c r="A1155" i="50"/>
  <c r="N1154" i="50"/>
  <c r="H1154" i="50"/>
  <c r="E1154" i="50"/>
  <c r="A1154" i="50"/>
  <c r="N1153" i="50"/>
  <c r="H1153" i="50"/>
  <c r="E1153" i="50"/>
  <c r="A1153" i="50"/>
  <c r="N1152" i="50"/>
  <c r="H1152" i="50"/>
  <c r="E1152" i="50"/>
  <c r="A1152" i="50"/>
  <c r="N1151" i="50"/>
  <c r="H1151" i="50"/>
  <c r="E1151" i="50"/>
  <c r="A1151" i="50"/>
  <c r="N1150" i="50"/>
  <c r="H1150" i="50"/>
  <c r="E1150" i="50"/>
  <c r="A1150" i="50"/>
  <c r="N1149" i="50"/>
  <c r="H1149" i="50"/>
  <c r="E1149" i="50"/>
  <c r="A1149" i="50"/>
  <c r="N1148" i="50"/>
  <c r="H1148" i="50"/>
  <c r="E1148" i="50"/>
  <c r="A1148" i="50"/>
  <c r="N1147" i="50"/>
  <c r="H1147" i="50"/>
  <c r="E1147" i="50"/>
  <c r="A1147" i="50"/>
  <c r="N1146" i="50"/>
  <c r="H1146" i="50"/>
  <c r="E1146" i="50"/>
  <c r="A1146" i="50"/>
  <c r="N1145" i="50"/>
  <c r="H1145" i="50"/>
  <c r="E1145" i="50"/>
  <c r="A1145" i="50"/>
  <c r="N1144" i="50"/>
  <c r="H1144" i="50"/>
  <c r="E1144" i="50"/>
  <c r="A1144" i="50"/>
  <c r="N1143" i="50"/>
  <c r="H1143" i="50"/>
  <c r="E1143" i="50"/>
  <c r="A1143" i="50"/>
  <c r="N1142" i="50"/>
  <c r="H1142" i="50"/>
  <c r="E1142" i="50"/>
  <c r="A1142" i="50"/>
  <c r="N1141" i="50"/>
  <c r="H1141" i="50"/>
  <c r="E1141" i="50"/>
  <c r="A1141" i="50"/>
  <c r="N1140" i="50"/>
  <c r="H1140" i="50"/>
  <c r="E1140" i="50"/>
  <c r="A1140" i="50"/>
  <c r="N1139" i="50"/>
  <c r="H1139" i="50"/>
  <c r="E1139" i="50"/>
  <c r="A1139" i="50"/>
  <c r="N1138" i="50"/>
  <c r="H1138" i="50"/>
  <c r="E1138" i="50"/>
  <c r="A1138" i="50"/>
  <c r="N1137" i="50"/>
  <c r="H1137" i="50"/>
  <c r="E1137" i="50"/>
  <c r="A1137" i="50"/>
  <c r="N1136" i="50"/>
  <c r="H1136" i="50"/>
  <c r="E1136" i="50"/>
  <c r="A1136" i="50"/>
  <c r="N1135" i="50"/>
  <c r="H1135" i="50"/>
  <c r="E1135" i="50"/>
  <c r="A1135" i="50"/>
  <c r="N1134" i="50"/>
  <c r="H1134" i="50"/>
  <c r="E1134" i="50"/>
  <c r="A1134" i="50"/>
  <c r="N1133" i="50"/>
  <c r="H1133" i="50"/>
  <c r="E1133" i="50"/>
  <c r="A1133" i="50"/>
  <c r="N1132" i="50"/>
  <c r="H1132" i="50"/>
  <c r="E1132" i="50"/>
  <c r="A1132" i="50"/>
  <c r="N1131" i="50"/>
  <c r="H1131" i="50"/>
  <c r="E1131" i="50"/>
  <c r="A1131" i="50"/>
  <c r="N1130" i="50"/>
  <c r="H1130" i="50"/>
  <c r="E1130" i="50"/>
  <c r="A1130" i="50"/>
  <c r="N1129" i="50"/>
  <c r="H1129" i="50"/>
  <c r="E1129" i="50"/>
  <c r="A1129" i="50"/>
  <c r="N1128" i="50"/>
  <c r="H1128" i="50"/>
  <c r="E1128" i="50"/>
  <c r="A1128" i="50"/>
  <c r="N1127" i="50"/>
  <c r="H1127" i="50"/>
  <c r="E1127" i="50"/>
  <c r="A1127" i="50"/>
  <c r="N1126" i="50"/>
  <c r="H1126" i="50"/>
  <c r="E1126" i="50"/>
  <c r="A1126" i="50"/>
  <c r="N1125" i="50"/>
  <c r="H1125" i="50"/>
  <c r="E1125" i="50"/>
  <c r="A1125" i="50"/>
  <c r="N1124" i="50"/>
  <c r="H1124" i="50"/>
  <c r="E1124" i="50"/>
  <c r="A1124" i="50"/>
  <c r="N1123" i="50"/>
  <c r="H1123" i="50"/>
  <c r="E1123" i="50"/>
  <c r="A1123" i="50"/>
  <c r="N1122" i="50"/>
  <c r="H1122" i="50"/>
  <c r="E1122" i="50"/>
  <c r="A1122" i="50"/>
  <c r="N1121" i="50"/>
  <c r="H1121" i="50"/>
  <c r="E1121" i="50"/>
  <c r="A1121" i="50"/>
  <c r="N1120" i="50"/>
  <c r="H1120" i="50"/>
  <c r="E1120" i="50"/>
  <c r="A1120" i="50"/>
  <c r="N1119" i="50"/>
  <c r="H1119" i="50"/>
  <c r="E1119" i="50"/>
  <c r="A1119" i="50"/>
  <c r="N1118" i="50"/>
  <c r="H1118" i="50"/>
  <c r="E1118" i="50"/>
  <c r="A1118" i="50"/>
  <c r="N1117" i="50"/>
  <c r="H1117" i="50"/>
  <c r="E1117" i="50"/>
  <c r="A1117" i="50"/>
  <c r="N1116" i="50"/>
  <c r="H1116" i="50"/>
  <c r="E1116" i="50"/>
  <c r="A1116" i="50"/>
  <c r="N1115" i="50"/>
  <c r="H1115" i="50"/>
  <c r="E1115" i="50"/>
  <c r="A1115" i="50"/>
  <c r="N1114" i="50"/>
  <c r="H1114" i="50"/>
  <c r="E1114" i="50"/>
  <c r="A1114" i="50"/>
  <c r="N1113" i="50"/>
  <c r="H1113" i="50"/>
  <c r="E1113" i="50"/>
  <c r="A1113" i="50"/>
  <c r="N1112" i="50"/>
  <c r="H1112" i="50"/>
  <c r="E1112" i="50"/>
  <c r="A1112" i="50"/>
  <c r="N1111" i="50"/>
  <c r="H1111" i="50"/>
  <c r="E1111" i="50"/>
  <c r="A1111" i="50"/>
  <c r="N1110" i="50"/>
  <c r="H1110" i="50"/>
  <c r="E1110" i="50"/>
  <c r="A1110" i="50"/>
  <c r="N1109" i="50"/>
  <c r="H1109" i="50"/>
  <c r="E1109" i="50"/>
  <c r="A1109" i="50"/>
  <c r="N1108" i="50"/>
  <c r="H1108" i="50"/>
  <c r="E1108" i="50"/>
  <c r="A1108" i="50"/>
  <c r="N1107" i="50"/>
  <c r="H1107" i="50"/>
  <c r="E1107" i="50"/>
  <c r="A1107" i="50"/>
  <c r="N1106" i="50"/>
  <c r="H1106" i="50"/>
  <c r="E1106" i="50"/>
  <c r="A1106" i="50"/>
  <c r="N1105" i="50"/>
  <c r="H1105" i="50"/>
  <c r="E1105" i="50"/>
  <c r="A1105" i="50"/>
  <c r="N1104" i="50"/>
  <c r="H1104" i="50"/>
  <c r="E1104" i="50"/>
  <c r="A1104" i="50"/>
  <c r="N1103" i="50"/>
  <c r="H1103" i="50"/>
  <c r="E1103" i="50"/>
  <c r="A1103" i="50"/>
  <c r="N1102" i="50"/>
  <c r="H1102" i="50"/>
  <c r="E1102" i="50"/>
  <c r="A1102" i="50"/>
  <c r="N1101" i="50"/>
  <c r="H1101" i="50"/>
  <c r="E1101" i="50"/>
  <c r="A1101" i="50"/>
  <c r="N1100" i="50"/>
  <c r="H1100" i="50"/>
  <c r="E1100" i="50"/>
  <c r="A1100" i="50"/>
  <c r="N1099" i="50"/>
  <c r="H1099" i="50"/>
  <c r="E1099" i="50"/>
  <c r="A1099" i="50"/>
  <c r="N1098" i="50"/>
  <c r="H1098" i="50"/>
  <c r="E1098" i="50"/>
  <c r="A1098" i="50"/>
  <c r="N1097" i="50"/>
  <c r="H1097" i="50"/>
  <c r="E1097" i="50"/>
  <c r="A1097" i="50"/>
  <c r="N1096" i="50"/>
  <c r="H1096" i="50"/>
  <c r="E1096" i="50"/>
  <c r="A1096" i="50"/>
  <c r="N1095" i="50"/>
  <c r="H1095" i="50"/>
  <c r="E1095" i="50"/>
  <c r="A1095" i="50"/>
  <c r="N1094" i="50"/>
  <c r="H1094" i="50"/>
  <c r="E1094" i="50"/>
  <c r="A1094" i="50"/>
  <c r="N1093" i="50"/>
  <c r="H1093" i="50"/>
  <c r="E1093" i="50"/>
  <c r="A1093" i="50"/>
  <c r="N1092" i="50"/>
  <c r="H1092" i="50"/>
  <c r="E1092" i="50"/>
  <c r="A1092" i="50"/>
  <c r="N1091" i="50"/>
  <c r="H1091" i="50"/>
  <c r="E1091" i="50"/>
  <c r="A1091" i="50"/>
  <c r="N1090" i="50"/>
  <c r="H1090" i="50"/>
  <c r="E1090" i="50"/>
  <c r="A1090" i="50"/>
  <c r="N1089" i="50"/>
  <c r="H1089" i="50"/>
  <c r="E1089" i="50"/>
  <c r="A1089" i="50"/>
  <c r="N1088" i="50"/>
  <c r="H1088" i="50"/>
  <c r="E1088" i="50"/>
  <c r="A1088" i="50"/>
  <c r="N1087" i="50"/>
  <c r="H1087" i="50"/>
  <c r="E1087" i="50"/>
  <c r="A1087" i="50"/>
  <c r="N1086" i="50"/>
  <c r="H1086" i="50"/>
  <c r="E1086" i="50"/>
  <c r="A1086" i="50"/>
  <c r="N1085" i="50"/>
  <c r="H1085" i="50"/>
  <c r="E1085" i="50"/>
  <c r="A1085" i="50"/>
  <c r="N1084" i="50"/>
  <c r="H1084" i="50"/>
  <c r="E1084" i="50"/>
  <c r="A1084" i="50"/>
  <c r="N1083" i="50"/>
  <c r="H1083" i="50"/>
  <c r="E1083" i="50"/>
  <c r="A1083" i="50"/>
  <c r="N1082" i="50"/>
  <c r="H1082" i="50"/>
  <c r="E1082" i="50"/>
  <c r="A1082" i="50"/>
  <c r="N1081" i="50"/>
  <c r="H1081" i="50"/>
  <c r="E1081" i="50"/>
  <c r="A1081" i="50"/>
  <c r="N1080" i="50"/>
  <c r="H1080" i="50"/>
  <c r="E1080" i="50"/>
  <c r="A1080" i="50"/>
  <c r="N1079" i="50"/>
  <c r="H1079" i="50"/>
  <c r="E1079" i="50"/>
  <c r="A1079" i="50"/>
  <c r="N1078" i="50"/>
  <c r="H1078" i="50"/>
  <c r="E1078" i="50"/>
  <c r="A1078" i="50"/>
  <c r="N1077" i="50"/>
  <c r="H1077" i="50"/>
  <c r="E1077" i="50"/>
  <c r="A1077" i="50"/>
  <c r="N1076" i="50"/>
  <c r="H1076" i="50"/>
  <c r="E1076" i="50"/>
  <c r="A1076" i="50"/>
  <c r="N1075" i="50"/>
  <c r="H1075" i="50"/>
  <c r="E1075" i="50"/>
  <c r="A1075" i="50"/>
  <c r="N1074" i="50"/>
  <c r="H1074" i="50"/>
  <c r="E1074" i="50"/>
  <c r="A1074" i="50"/>
  <c r="N1073" i="50"/>
  <c r="H1073" i="50"/>
  <c r="E1073" i="50"/>
  <c r="A1073" i="50"/>
  <c r="N1072" i="50"/>
  <c r="H1072" i="50"/>
  <c r="E1072" i="50"/>
  <c r="A1072" i="50"/>
  <c r="N1071" i="50"/>
  <c r="H1071" i="50"/>
  <c r="E1071" i="50"/>
  <c r="A1071" i="50"/>
  <c r="N1070" i="50"/>
  <c r="H1070" i="50"/>
  <c r="E1070" i="50"/>
  <c r="A1070" i="50"/>
  <c r="N1069" i="50"/>
  <c r="H1069" i="50"/>
  <c r="E1069" i="50"/>
  <c r="A1069" i="50"/>
  <c r="N1068" i="50"/>
  <c r="H1068" i="50"/>
  <c r="E1068" i="50"/>
  <c r="A1068" i="50"/>
  <c r="N1067" i="50"/>
  <c r="H1067" i="50"/>
  <c r="E1067" i="50"/>
  <c r="A1067" i="50"/>
  <c r="N1066" i="50"/>
  <c r="H1066" i="50"/>
  <c r="E1066" i="50"/>
  <c r="A1066" i="50"/>
  <c r="N1065" i="50"/>
  <c r="H1065" i="50"/>
  <c r="E1065" i="50"/>
  <c r="A1065" i="50"/>
  <c r="N1064" i="50"/>
  <c r="H1064" i="50"/>
  <c r="E1064" i="50"/>
  <c r="A1064" i="50"/>
  <c r="N1063" i="50"/>
  <c r="H1063" i="50"/>
  <c r="E1063" i="50"/>
  <c r="A1063" i="50"/>
  <c r="N1062" i="50"/>
  <c r="H1062" i="50"/>
  <c r="E1062" i="50"/>
  <c r="A1062" i="50"/>
  <c r="N1061" i="50"/>
  <c r="H1061" i="50"/>
  <c r="E1061" i="50"/>
  <c r="A1061" i="50"/>
  <c r="N1060" i="50"/>
  <c r="H1060" i="50"/>
  <c r="E1060" i="50"/>
  <c r="A1060" i="50"/>
  <c r="N1059" i="50"/>
  <c r="H1059" i="50"/>
  <c r="E1059" i="50"/>
  <c r="A1059" i="50"/>
  <c r="N1058" i="50"/>
  <c r="H1058" i="50"/>
  <c r="E1058" i="50"/>
  <c r="A1058" i="50"/>
  <c r="N1057" i="50"/>
  <c r="H1057" i="50"/>
  <c r="E1057" i="50"/>
  <c r="A1057" i="50"/>
  <c r="N1056" i="50"/>
  <c r="H1056" i="50"/>
  <c r="E1056" i="50"/>
  <c r="A1056" i="50"/>
  <c r="N1055" i="50"/>
  <c r="H1055" i="50"/>
  <c r="E1055" i="50"/>
  <c r="A1055" i="50"/>
  <c r="N1054" i="50"/>
  <c r="H1054" i="50"/>
  <c r="E1054" i="50"/>
  <c r="A1054" i="50"/>
  <c r="N1053" i="50"/>
  <c r="H1053" i="50"/>
  <c r="E1053" i="50"/>
  <c r="A1053" i="50"/>
  <c r="N1052" i="50"/>
  <c r="H1052" i="50"/>
  <c r="E1052" i="50"/>
  <c r="A1052" i="50"/>
  <c r="N1051" i="50"/>
  <c r="H1051" i="50"/>
  <c r="E1051" i="50"/>
  <c r="A1051" i="50"/>
  <c r="N1050" i="50"/>
  <c r="H1050" i="50"/>
  <c r="E1050" i="50"/>
  <c r="A1050" i="50"/>
  <c r="N1049" i="50"/>
  <c r="H1049" i="50"/>
  <c r="E1049" i="50"/>
  <c r="A1049" i="50"/>
  <c r="N1048" i="50"/>
  <c r="H1048" i="50"/>
  <c r="E1048" i="50"/>
  <c r="A1048" i="50"/>
  <c r="N1047" i="50"/>
  <c r="H1047" i="50"/>
  <c r="E1047" i="50"/>
  <c r="A1047" i="50"/>
  <c r="N1046" i="50"/>
  <c r="H1046" i="50"/>
  <c r="E1046" i="50"/>
  <c r="A1046" i="50"/>
  <c r="N1045" i="50"/>
  <c r="H1045" i="50"/>
  <c r="E1045" i="50"/>
  <c r="A1045" i="50"/>
  <c r="N1044" i="50"/>
  <c r="H1044" i="50"/>
  <c r="E1044" i="50"/>
  <c r="A1044" i="50"/>
  <c r="N1043" i="50"/>
  <c r="H1043" i="50"/>
  <c r="E1043" i="50"/>
  <c r="A1043" i="50"/>
  <c r="N1042" i="50"/>
  <c r="H1042" i="50"/>
  <c r="E1042" i="50"/>
  <c r="A1042" i="50"/>
  <c r="N1041" i="50"/>
  <c r="H1041" i="50"/>
  <c r="E1041" i="50"/>
  <c r="A1041" i="50"/>
  <c r="N1040" i="50"/>
  <c r="H1040" i="50"/>
  <c r="E1040" i="50"/>
  <c r="A1040" i="50"/>
  <c r="N1039" i="50"/>
  <c r="H1039" i="50"/>
  <c r="E1039" i="50"/>
  <c r="A1039" i="50"/>
  <c r="N1038" i="50"/>
  <c r="H1038" i="50"/>
  <c r="E1038" i="50"/>
  <c r="A1038" i="50"/>
  <c r="N1037" i="50"/>
  <c r="H1037" i="50"/>
  <c r="E1037" i="50"/>
  <c r="A1037" i="50"/>
  <c r="N1036" i="50"/>
  <c r="H1036" i="50"/>
  <c r="E1036" i="50"/>
  <c r="A1036" i="50"/>
  <c r="N1035" i="50"/>
  <c r="H1035" i="50"/>
  <c r="E1035" i="50"/>
  <c r="A1035" i="50"/>
  <c r="N1034" i="50"/>
  <c r="H1034" i="50"/>
  <c r="E1034" i="50"/>
  <c r="A1034" i="50"/>
  <c r="N1033" i="50"/>
  <c r="H1033" i="50"/>
  <c r="E1033" i="50"/>
  <c r="A1033" i="50"/>
  <c r="N1032" i="50"/>
  <c r="H1032" i="50"/>
  <c r="E1032" i="50"/>
  <c r="A1032" i="50"/>
  <c r="N1031" i="50"/>
  <c r="H1031" i="50"/>
  <c r="E1031" i="50"/>
  <c r="A1031" i="50"/>
  <c r="N1030" i="50"/>
  <c r="H1030" i="50"/>
  <c r="E1030" i="50"/>
  <c r="A1030" i="50"/>
  <c r="N1029" i="50"/>
  <c r="H1029" i="50"/>
  <c r="E1029" i="50"/>
  <c r="A1029" i="50"/>
  <c r="N1028" i="50"/>
  <c r="H1028" i="50"/>
  <c r="E1028" i="50"/>
  <c r="A1028" i="50"/>
  <c r="N1027" i="50"/>
  <c r="H1027" i="50"/>
  <c r="E1027" i="50"/>
  <c r="A1027" i="50"/>
  <c r="N1026" i="50"/>
  <c r="H1026" i="50"/>
  <c r="E1026" i="50"/>
  <c r="A1026" i="50"/>
  <c r="N1025" i="50"/>
  <c r="H1025" i="50"/>
  <c r="E1025" i="50"/>
  <c r="A1025" i="50"/>
  <c r="N1024" i="50"/>
  <c r="H1024" i="50"/>
  <c r="E1024" i="50"/>
  <c r="A1024" i="50"/>
  <c r="N1023" i="50"/>
  <c r="H1023" i="50"/>
  <c r="E1023" i="50"/>
  <c r="A1023" i="50"/>
  <c r="N1022" i="50"/>
  <c r="H1022" i="50"/>
  <c r="E1022" i="50"/>
  <c r="A1022" i="50"/>
  <c r="N1021" i="50"/>
  <c r="H1021" i="50"/>
  <c r="E1021" i="50"/>
  <c r="A1021" i="50"/>
  <c r="N1020" i="50"/>
  <c r="H1020" i="50"/>
  <c r="E1020" i="50"/>
  <c r="A1020" i="50"/>
  <c r="N1019" i="50"/>
  <c r="H1019" i="50"/>
  <c r="E1019" i="50"/>
  <c r="A1019" i="50"/>
  <c r="N1018" i="50"/>
  <c r="H1018" i="50"/>
  <c r="E1018" i="50"/>
  <c r="A1018" i="50"/>
  <c r="N1017" i="50"/>
  <c r="H1017" i="50"/>
  <c r="E1017" i="50"/>
  <c r="A1017" i="50"/>
  <c r="N1016" i="50"/>
  <c r="H1016" i="50"/>
  <c r="E1016" i="50"/>
  <c r="A1016" i="50"/>
  <c r="N1015" i="50"/>
  <c r="H1015" i="50"/>
  <c r="E1015" i="50"/>
  <c r="A1015" i="50"/>
  <c r="N1014" i="50"/>
  <c r="H1014" i="50"/>
  <c r="E1014" i="50"/>
  <c r="A1014" i="50"/>
  <c r="N1013" i="50"/>
  <c r="H1013" i="50"/>
  <c r="E1013" i="50"/>
  <c r="A1013" i="50"/>
  <c r="N1012" i="50"/>
  <c r="H1012" i="50"/>
  <c r="E1012" i="50"/>
  <c r="A1012" i="50"/>
  <c r="N1011" i="50"/>
  <c r="H1011" i="50"/>
  <c r="E1011" i="50"/>
  <c r="A1011" i="50"/>
  <c r="N1010" i="50"/>
  <c r="H1010" i="50"/>
  <c r="E1010" i="50"/>
  <c r="A1010" i="50"/>
  <c r="N1009" i="50"/>
  <c r="H1009" i="50"/>
  <c r="E1009" i="50"/>
  <c r="A1009" i="50"/>
  <c r="N1008" i="50"/>
  <c r="H1008" i="50"/>
  <c r="E1008" i="50"/>
  <c r="A1008" i="50"/>
  <c r="N1007" i="50"/>
  <c r="H1007" i="50"/>
  <c r="E1007" i="50"/>
  <c r="A1007" i="50"/>
  <c r="N1006" i="50"/>
  <c r="H1006" i="50"/>
  <c r="E1006" i="50"/>
  <c r="A1006" i="50"/>
  <c r="N1005" i="50"/>
  <c r="H1005" i="50"/>
  <c r="E1005" i="50"/>
  <c r="A1005" i="50"/>
  <c r="N1004" i="50"/>
  <c r="H1004" i="50"/>
  <c r="E1004" i="50"/>
  <c r="A1004" i="50"/>
  <c r="N1003" i="50"/>
  <c r="H1003" i="50"/>
  <c r="E1003" i="50"/>
  <c r="A1003" i="50"/>
  <c r="N1002" i="50"/>
  <c r="H1002" i="50"/>
  <c r="E1002" i="50"/>
  <c r="A1002" i="50"/>
  <c r="N1001" i="50"/>
  <c r="H1001" i="50"/>
  <c r="E1001" i="50"/>
  <c r="A1001" i="50"/>
  <c r="N1000" i="50"/>
  <c r="H1000" i="50"/>
  <c r="E1000" i="50"/>
  <c r="A1000" i="50"/>
  <c r="N999" i="50"/>
  <c r="H999" i="50"/>
  <c r="E999" i="50"/>
  <c r="A999" i="50"/>
  <c r="N998" i="50"/>
  <c r="H998" i="50"/>
  <c r="E998" i="50"/>
  <c r="A998" i="50"/>
  <c r="N997" i="50"/>
  <c r="H997" i="50"/>
  <c r="E997" i="50"/>
  <c r="A997" i="50"/>
  <c r="N996" i="50"/>
  <c r="H996" i="50"/>
  <c r="E996" i="50"/>
  <c r="A996" i="50"/>
  <c r="N995" i="50"/>
  <c r="H995" i="50"/>
  <c r="E995" i="50"/>
  <c r="A995" i="50"/>
  <c r="N994" i="50"/>
  <c r="H994" i="50"/>
  <c r="E994" i="50"/>
  <c r="A994" i="50"/>
  <c r="N993" i="50"/>
  <c r="H993" i="50"/>
  <c r="E993" i="50"/>
  <c r="A993" i="50"/>
  <c r="N992" i="50"/>
  <c r="H992" i="50"/>
  <c r="E992" i="50"/>
  <c r="A992" i="50"/>
  <c r="N991" i="50"/>
  <c r="H991" i="50"/>
  <c r="E991" i="50"/>
  <c r="A991" i="50"/>
  <c r="N990" i="50"/>
  <c r="H990" i="50"/>
  <c r="E990" i="50"/>
  <c r="A990" i="50"/>
  <c r="N989" i="50"/>
  <c r="H989" i="50"/>
  <c r="E989" i="50"/>
  <c r="A989" i="50"/>
  <c r="N988" i="50"/>
  <c r="H988" i="50"/>
  <c r="E988" i="50"/>
  <c r="A988" i="50"/>
  <c r="N987" i="50"/>
  <c r="H987" i="50"/>
  <c r="E987" i="50"/>
  <c r="A987" i="50"/>
  <c r="N986" i="50"/>
  <c r="H986" i="50"/>
  <c r="E986" i="50"/>
  <c r="A986" i="50"/>
  <c r="N985" i="50"/>
  <c r="H985" i="50"/>
  <c r="E985" i="50"/>
  <c r="A985" i="50"/>
  <c r="N984" i="50"/>
  <c r="H984" i="50"/>
  <c r="E984" i="50"/>
  <c r="A984" i="50"/>
  <c r="N983" i="50"/>
  <c r="H983" i="50"/>
  <c r="E983" i="50"/>
  <c r="A983" i="50"/>
  <c r="N982" i="50"/>
  <c r="H982" i="50"/>
  <c r="E982" i="50"/>
  <c r="A982" i="50"/>
  <c r="N981" i="50"/>
  <c r="H981" i="50"/>
  <c r="E981" i="50"/>
  <c r="A981" i="50"/>
  <c r="N980" i="50"/>
  <c r="H980" i="50"/>
  <c r="E980" i="50"/>
  <c r="A980" i="50"/>
  <c r="N979" i="50"/>
  <c r="H979" i="50"/>
  <c r="E979" i="50"/>
  <c r="A979" i="50"/>
  <c r="N978" i="50"/>
  <c r="H978" i="50"/>
  <c r="E978" i="50"/>
  <c r="A978" i="50"/>
  <c r="N977" i="50"/>
  <c r="H977" i="50"/>
  <c r="E977" i="50"/>
  <c r="A977" i="50"/>
  <c r="N976" i="50"/>
  <c r="H976" i="50"/>
  <c r="E976" i="50"/>
  <c r="A976" i="50"/>
  <c r="N975" i="50"/>
  <c r="H975" i="50"/>
  <c r="E975" i="50"/>
  <c r="A975" i="50"/>
  <c r="N974" i="50"/>
  <c r="H974" i="50"/>
  <c r="E974" i="50"/>
  <c r="A974" i="50"/>
  <c r="N973" i="50"/>
  <c r="H973" i="50"/>
  <c r="E973" i="50"/>
  <c r="A973" i="50"/>
  <c r="N972" i="50"/>
  <c r="H972" i="50"/>
  <c r="E972" i="50"/>
  <c r="A972" i="50"/>
  <c r="N971" i="50"/>
  <c r="H971" i="50"/>
  <c r="E971" i="50"/>
  <c r="A971" i="50"/>
  <c r="N970" i="50"/>
  <c r="H970" i="50"/>
  <c r="E970" i="50"/>
  <c r="A970" i="50"/>
  <c r="N969" i="50"/>
  <c r="H969" i="50"/>
  <c r="E969" i="50"/>
  <c r="A969" i="50"/>
  <c r="N968" i="50"/>
  <c r="H968" i="50"/>
  <c r="E968" i="50"/>
  <c r="A968" i="50"/>
  <c r="N967" i="50"/>
  <c r="H967" i="50"/>
  <c r="E967" i="50"/>
  <c r="A967" i="50"/>
  <c r="N966" i="50"/>
  <c r="H966" i="50"/>
  <c r="E966" i="50"/>
  <c r="A966" i="50"/>
  <c r="N965" i="50"/>
  <c r="H965" i="50"/>
  <c r="E965" i="50"/>
  <c r="A965" i="50"/>
  <c r="N964" i="50"/>
  <c r="H964" i="50"/>
  <c r="E964" i="50"/>
  <c r="A964" i="50"/>
  <c r="N963" i="50"/>
  <c r="H963" i="50"/>
  <c r="E963" i="50"/>
  <c r="A963" i="50"/>
  <c r="N962" i="50"/>
  <c r="H962" i="50"/>
  <c r="E962" i="50"/>
  <c r="A962" i="50"/>
  <c r="N961" i="50"/>
  <c r="H961" i="50"/>
  <c r="E961" i="50"/>
  <c r="A961" i="50"/>
  <c r="N960" i="50"/>
  <c r="H960" i="50"/>
  <c r="E960" i="50"/>
  <c r="A960" i="50"/>
  <c r="N959" i="50"/>
  <c r="H959" i="50"/>
  <c r="E959" i="50"/>
  <c r="A959" i="50"/>
  <c r="N958" i="50"/>
  <c r="H958" i="50"/>
  <c r="E958" i="50"/>
  <c r="A958" i="50"/>
  <c r="N957" i="50"/>
  <c r="H957" i="50"/>
  <c r="E957" i="50"/>
  <c r="A957" i="50"/>
  <c r="N956" i="50"/>
  <c r="H956" i="50"/>
  <c r="E956" i="50"/>
  <c r="A956" i="50"/>
  <c r="N955" i="50"/>
  <c r="H955" i="50"/>
  <c r="E955" i="50"/>
  <c r="A955" i="50"/>
  <c r="N954" i="50"/>
  <c r="H954" i="50"/>
  <c r="E954" i="50"/>
  <c r="A954" i="50"/>
  <c r="N953" i="50"/>
  <c r="H953" i="50"/>
  <c r="E953" i="50"/>
  <c r="A953" i="50"/>
  <c r="N952" i="50"/>
  <c r="H952" i="50"/>
  <c r="E952" i="50"/>
  <c r="A952" i="50"/>
  <c r="N951" i="50"/>
  <c r="H951" i="50"/>
  <c r="E951" i="50"/>
  <c r="A951" i="50"/>
  <c r="N950" i="50"/>
  <c r="H950" i="50"/>
  <c r="E950" i="50"/>
  <c r="A950" i="50"/>
  <c r="N949" i="50"/>
  <c r="H949" i="50"/>
  <c r="E949" i="50"/>
  <c r="A949" i="50"/>
  <c r="N948" i="50"/>
  <c r="H948" i="50"/>
  <c r="E948" i="50"/>
  <c r="A948" i="50"/>
  <c r="N947" i="50"/>
  <c r="H947" i="50"/>
  <c r="E947" i="50"/>
  <c r="A947" i="50"/>
  <c r="N946" i="50"/>
  <c r="H946" i="50"/>
  <c r="E946" i="50"/>
  <c r="A946" i="50"/>
  <c r="N945" i="50"/>
  <c r="H945" i="50"/>
  <c r="E945" i="50"/>
  <c r="A945" i="50"/>
  <c r="N944" i="50"/>
  <c r="H944" i="50"/>
  <c r="E944" i="50"/>
  <c r="A944" i="50"/>
  <c r="N943" i="50"/>
  <c r="H943" i="50"/>
  <c r="E943" i="50"/>
  <c r="A943" i="50"/>
  <c r="N942" i="50"/>
  <c r="H942" i="50"/>
  <c r="E942" i="50"/>
  <c r="A942" i="50"/>
  <c r="N941" i="50"/>
  <c r="H941" i="50"/>
  <c r="E941" i="50"/>
  <c r="A941" i="50"/>
  <c r="N940" i="50"/>
  <c r="H940" i="50"/>
  <c r="E940" i="50"/>
  <c r="A940" i="50"/>
  <c r="N939" i="50"/>
  <c r="H939" i="50"/>
  <c r="E939" i="50"/>
  <c r="A939" i="50"/>
  <c r="N938" i="50"/>
  <c r="H938" i="50"/>
  <c r="E938" i="50"/>
  <c r="A938" i="50"/>
  <c r="N937" i="50"/>
  <c r="H937" i="50"/>
  <c r="E937" i="50"/>
  <c r="A937" i="50"/>
  <c r="N936" i="50"/>
  <c r="H936" i="50"/>
  <c r="E936" i="50"/>
  <c r="A936" i="50"/>
  <c r="N935" i="50"/>
  <c r="H935" i="50"/>
  <c r="E935" i="50"/>
  <c r="A935" i="50"/>
  <c r="N934" i="50"/>
  <c r="H934" i="50"/>
  <c r="E934" i="50"/>
  <c r="A934" i="50"/>
  <c r="N933" i="50"/>
  <c r="H933" i="50"/>
  <c r="E933" i="50"/>
  <c r="A933" i="50"/>
  <c r="N932" i="50"/>
  <c r="H932" i="50"/>
  <c r="E932" i="50"/>
  <c r="A932" i="50"/>
  <c r="N931" i="50"/>
  <c r="H931" i="50"/>
  <c r="E931" i="50"/>
  <c r="A931" i="50"/>
  <c r="N930" i="50"/>
  <c r="H930" i="50"/>
  <c r="E930" i="50"/>
  <c r="A930" i="50"/>
  <c r="N929" i="50"/>
  <c r="H929" i="50"/>
  <c r="E929" i="50"/>
  <c r="A929" i="50"/>
  <c r="N928" i="50"/>
  <c r="H928" i="50"/>
  <c r="E928" i="50"/>
  <c r="A928" i="50"/>
  <c r="N927" i="50"/>
  <c r="H927" i="50"/>
  <c r="E927" i="50"/>
  <c r="A927" i="50"/>
  <c r="N926" i="50"/>
  <c r="H926" i="50"/>
  <c r="E926" i="50"/>
  <c r="A926" i="50"/>
  <c r="N925" i="50"/>
  <c r="H925" i="50"/>
  <c r="E925" i="50"/>
  <c r="A925" i="50"/>
  <c r="N924" i="50"/>
  <c r="H924" i="50"/>
  <c r="E924" i="50"/>
  <c r="A924" i="50"/>
  <c r="N923" i="50"/>
  <c r="H923" i="50"/>
  <c r="E923" i="50"/>
  <c r="A923" i="50"/>
  <c r="N922" i="50"/>
  <c r="H922" i="50"/>
  <c r="E922" i="50"/>
  <c r="A922" i="50"/>
  <c r="N921" i="50"/>
  <c r="H921" i="50"/>
  <c r="E921" i="50"/>
  <c r="A921" i="50"/>
  <c r="N920" i="50"/>
  <c r="H920" i="50"/>
  <c r="E920" i="50"/>
  <c r="A920" i="50"/>
  <c r="N919" i="50"/>
  <c r="H919" i="50"/>
  <c r="E919" i="50"/>
  <c r="A919" i="50"/>
  <c r="N918" i="50"/>
  <c r="H918" i="50"/>
  <c r="E918" i="50"/>
  <c r="A918" i="50"/>
  <c r="N917" i="50"/>
  <c r="H917" i="50"/>
  <c r="E917" i="50"/>
  <c r="A917" i="50"/>
  <c r="N916" i="50"/>
  <c r="H916" i="50"/>
  <c r="E916" i="50"/>
  <c r="A916" i="50"/>
  <c r="N915" i="50"/>
  <c r="H915" i="50"/>
  <c r="E915" i="50"/>
  <c r="A915" i="50"/>
  <c r="N914" i="50"/>
  <c r="H914" i="50"/>
  <c r="E914" i="50"/>
  <c r="A914" i="50"/>
  <c r="N913" i="50"/>
  <c r="H913" i="50"/>
  <c r="E913" i="50"/>
  <c r="A913" i="50"/>
  <c r="N912" i="50"/>
  <c r="H912" i="50"/>
  <c r="E912" i="50"/>
  <c r="A912" i="50"/>
  <c r="N911" i="50"/>
  <c r="H911" i="50"/>
  <c r="E911" i="50"/>
  <c r="A911" i="50"/>
  <c r="N910" i="50"/>
  <c r="H910" i="50"/>
  <c r="E910" i="50"/>
  <c r="A910" i="50"/>
  <c r="N909" i="50"/>
  <c r="H909" i="50"/>
  <c r="E909" i="50"/>
  <c r="A909" i="50"/>
  <c r="N908" i="50"/>
  <c r="H908" i="50"/>
  <c r="E908" i="50"/>
  <c r="A908" i="50"/>
  <c r="N907" i="50"/>
  <c r="H907" i="50"/>
  <c r="E907" i="50"/>
  <c r="A907" i="50"/>
  <c r="N906" i="50"/>
  <c r="H906" i="50"/>
  <c r="E906" i="50"/>
  <c r="A906" i="50"/>
  <c r="N905" i="50"/>
  <c r="H905" i="50"/>
  <c r="E905" i="50"/>
  <c r="A905" i="50"/>
  <c r="N904" i="50"/>
  <c r="H904" i="50"/>
  <c r="E904" i="50"/>
  <c r="A904" i="50"/>
  <c r="N903" i="50"/>
  <c r="H903" i="50"/>
  <c r="E903" i="50"/>
  <c r="A903" i="50"/>
  <c r="N902" i="50"/>
  <c r="H902" i="50"/>
  <c r="E902" i="50"/>
  <c r="A902" i="50"/>
  <c r="N901" i="50"/>
  <c r="H901" i="50"/>
  <c r="E901" i="50"/>
  <c r="A901" i="50"/>
  <c r="N900" i="50"/>
  <c r="H900" i="50"/>
  <c r="E900" i="50"/>
  <c r="A900" i="50"/>
  <c r="N899" i="50"/>
  <c r="H899" i="50"/>
  <c r="E899" i="50"/>
  <c r="A899" i="50"/>
  <c r="N898" i="50"/>
  <c r="H898" i="50"/>
  <c r="E898" i="50"/>
  <c r="A898" i="50"/>
  <c r="N897" i="50"/>
  <c r="H897" i="50"/>
  <c r="E897" i="50"/>
  <c r="A897" i="50"/>
  <c r="N896" i="50"/>
  <c r="H896" i="50"/>
  <c r="E896" i="50"/>
  <c r="A896" i="50"/>
  <c r="N895" i="50"/>
  <c r="H895" i="50"/>
  <c r="E895" i="50"/>
  <c r="A895" i="50"/>
  <c r="N894" i="50"/>
  <c r="H894" i="50"/>
  <c r="E894" i="50"/>
  <c r="A894" i="50"/>
  <c r="N893" i="50"/>
  <c r="H893" i="50"/>
  <c r="E893" i="50"/>
  <c r="A893" i="50"/>
  <c r="N892" i="50"/>
  <c r="H892" i="50"/>
  <c r="E892" i="50"/>
  <c r="A892" i="50"/>
  <c r="N891" i="50"/>
  <c r="H891" i="50"/>
  <c r="E891" i="50"/>
  <c r="A891" i="50"/>
  <c r="N890" i="50"/>
  <c r="H890" i="50"/>
  <c r="E890" i="50"/>
  <c r="A890" i="50"/>
  <c r="N889" i="50"/>
  <c r="H889" i="50"/>
  <c r="E889" i="50"/>
  <c r="A889" i="50"/>
  <c r="N888" i="50"/>
  <c r="H888" i="50"/>
  <c r="E888" i="50"/>
  <c r="A888" i="50"/>
  <c r="N887" i="50"/>
  <c r="H887" i="50"/>
  <c r="E887" i="50"/>
  <c r="A887" i="50"/>
  <c r="N886" i="50"/>
  <c r="H886" i="50"/>
  <c r="E886" i="50"/>
  <c r="A886" i="50"/>
  <c r="N885" i="50"/>
  <c r="H885" i="50"/>
  <c r="E885" i="50"/>
  <c r="A885" i="50"/>
  <c r="N884" i="50"/>
  <c r="H884" i="50"/>
  <c r="E884" i="50"/>
  <c r="A884" i="50"/>
  <c r="N883" i="50"/>
  <c r="H883" i="50"/>
  <c r="E883" i="50"/>
  <c r="A883" i="50"/>
  <c r="N882" i="50"/>
  <c r="H882" i="50"/>
  <c r="E882" i="50"/>
  <c r="A882" i="50"/>
  <c r="N881" i="50"/>
  <c r="H881" i="50"/>
  <c r="E881" i="50"/>
  <c r="A881" i="50"/>
  <c r="N880" i="50"/>
  <c r="H880" i="50"/>
  <c r="E880" i="50"/>
  <c r="A880" i="50"/>
  <c r="N879" i="50"/>
  <c r="H879" i="50"/>
  <c r="E879" i="50"/>
  <c r="A879" i="50"/>
  <c r="N878" i="50"/>
  <c r="H878" i="50"/>
  <c r="E878" i="50"/>
  <c r="A878" i="50"/>
  <c r="N877" i="50"/>
  <c r="H877" i="50"/>
  <c r="E877" i="50"/>
  <c r="A877" i="50"/>
  <c r="N876" i="50"/>
  <c r="H876" i="50"/>
  <c r="E876" i="50"/>
  <c r="A876" i="50"/>
  <c r="N875" i="50"/>
  <c r="H875" i="50"/>
  <c r="E875" i="50"/>
  <c r="A875" i="50"/>
  <c r="N874" i="50"/>
  <c r="H874" i="50"/>
  <c r="E874" i="50"/>
  <c r="A874" i="50"/>
  <c r="N873" i="50"/>
  <c r="H873" i="50"/>
  <c r="E873" i="50"/>
  <c r="A873" i="50"/>
  <c r="N872" i="50"/>
  <c r="H872" i="50"/>
  <c r="E872" i="50"/>
  <c r="A872" i="50"/>
  <c r="N871" i="50"/>
  <c r="H871" i="50"/>
  <c r="E871" i="50"/>
  <c r="A871" i="50"/>
  <c r="N870" i="50"/>
  <c r="H870" i="50"/>
  <c r="E870" i="50"/>
  <c r="A870" i="50"/>
  <c r="N869" i="50"/>
  <c r="H869" i="50"/>
  <c r="E869" i="50"/>
  <c r="A869" i="50"/>
  <c r="N868" i="50"/>
  <c r="H868" i="50"/>
  <c r="E868" i="50"/>
  <c r="A868" i="50"/>
  <c r="N867" i="50"/>
  <c r="H867" i="50"/>
  <c r="E867" i="50"/>
  <c r="A867" i="50"/>
  <c r="N866" i="50"/>
  <c r="H866" i="50"/>
  <c r="E866" i="50"/>
  <c r="A866" i="50"/>
  <c r="N865" i="50"/>
  <c r="H865" i="50"/>
  <c r="E865" i="50"/>
  <c r="A865" i="50"/>
  <c r="N864" i="50"/>
  <c r="H864" i="50"/>
  <c r="E864" i="50"/>
  <c r="A864" i="50"/>
  <c r="N863" i="50"/>
  <c r="H863" i="50"/>
  <c r="E863" i="50"/>
  <c r="A863" i="50"/>
  <c r="N862" i="50"/>
  <c r="H862" i="50"/>
  <c r="E862" i="50"/>
  <c r="A862" i="50"/>
  <c r="N861" i="50"/>
  <c r="H861" i="50"/>
  <c r="E861" i="50"/>
  <c r="A861" i="50"/>
  <c r="N860" i="50"/>
  <c r="H860" i="50"/>
  <c r="E860" i="50"/>
  <c r="A860" i="50"/>
  <c r="N859" i="50"/>
  <c r="H859" i="50"/>
  <c r="E859" i="50"/>
  <c r="A859" i="50"/>
  <c r="N858" i="50"/>
  <c r="H858" i="50"/>
  <c r="E858" i="50"/>
  <c r="A858" i="50"/>
  <c r="N857" i="50"/>
  <c r="H857" i="50"/>
  <c r="E857" i="50"/>
  <c r="A857" i="50"/>
  <c r="N856" i="50"/>
  <c r="H856" i="50"/>
  <c r="E856" i="50"/>
  <c r="A856" i="50"/>
  <c r="N855" i="50"/>
  <c r="H855" i="50"/>
  <c r="E855" i="50"/>
  <c r="A855" i="50"/>
  <c r="N854" i="50"/>
  <c r="H854" i="50"/>
  <c r="E854" i="50"/>
  <c r="A854" i="50"/>
  <c r="N853" i="50"/>
  <c r="H853" i="50"/>
  <c r="E853" i="50"/>
  <c r="A853" i="50"/>
  <c r="N852" i="50"/>
  <c r="H852" i="50"/>
  <c r="E852" i="50"/>
  <c r="A852" i="50"/>
  <c r="N851" i="50"/>
  <c r="H851" i="50"/>
  <c r="E851" i="50"/>
  <c r="A851" i="50"/>
  <c r="N850" i="50"/>
  <c r="H850" i="50"/>
  <c r="E850" i="50"/>
  <c r="A850" i="50"/>
  <c r="N849" i="50"/>
  <c r="H849" i="50"/>
  <c r="E849" i="50"/>
  <c r="A849" i="50"/>
  <c r="N848" i="50"/>
  <c r="H848" i="50"/>
  <c r="E848" i="50"/>
  <c r="A848" i="50"/>
  <c r="N847" i="50"/>
  <c r="H847" i="50"/>
  <c r="E847" i="50"/>
  <c r="A847" i="50"/>
  <c r="N846" i="50"/>
  <c r="H846" i="50"/>
  <c r="E846" i="50"/>
  <c r="A846" i="50"/>
  <c r="N845" i="50"/>
  <c r="H845" i="50"/>
  <c r="E845" i="50"/>
  <c r="A845" i="50"/>
  <c r="N844" i="50"/>
  <c r="H844" i="50"/>
  <c r="E844" i="50"/>
  <c r="A844" i="50"/>
  <c r="N843" i="50"/>
  <c r="H843" i="50"/>
  <c r="E843" i="50"/>
  <c r="A843" i="50"/>
  <c r="N842" i="50"/>
  <c r="H842" i="50"/>
  <c r="E842" i="50"/>
  <c r="A842" i="50"/>
  <c r="N841" i="50"/>
  <c r="H841" i="50"/>
  <c r="E841" i="50"/>
  <c r="A841" i="50"/>
  <c r="N840" i="50"/>
  <c r="H840" i="50"/>
  <c r="E840" i="50"/>
  <c r="A840" i="50"/>
  <c r="N839" i="50"/>
  <c r="H839" i="50"/>
  <c r="E839" i="50"/>
  <c r="A839" i="50"/>
  <c r="N838" i="50"/>
  <c r="H838" i="50"/>
  <c r="E838" i="50"/>
  <c r="A838" i="50"/>
  <c r="N837" i="50"/>
  <c r="H837" i="50"/>
  <c r="E837" i="50"/>
  <c r="A837" i="50"/>
  <c r="N836" i="50"/>
  <c r="H836" i="50"/>
  <c r="E836" i="50"/>
  <c r="A836" i="50"/>
  <c r="N835" i="50"/>
  <c r="H835" i="50"/>
  <c r="E835" i="50"/>
  <c r="A835" i="50"/>
  <c r="N834" i="50"/>
  <c r="H834" i="50"/>
  <c r="E834" i="50"/>
  <c r="A834" i="50"/>
  <c r="N833" i="50"/>
  <c r="H833" i="50"/>
  <c r="E833" i="50"/>
  <c r="A833" i="50"/>
  <c r="N832" i="50"/>
  <c r="H832" i="50"/>
  <c r="E832" i="50"/>
  <c r="A832" i="50"/>
  <c r="N831" i="50"/>
  <c r="H831" i="50"/>
  <c r="E831" i="50"/>
  <c r="A831" i="50"/>
  <c r="N830" i="50"/>
  <c r="H830" i="50"/>
  <c r="E830" i="50"/>
  <c r="A830" i="50"/>
  <c r="N829" i="50"/>
  <c r="H829" i="50"/>
  <c r="E829" i="50"/>
  <c r="A829" i="50"/>
  <c r="N828" i="50"/>
  <c r="H828" i="50"/>
  <c r="E828" i="50"/>
  <c r="A828" i="50"/>
  <c r="N827" i="50"/>
  <c r="H827" i="50"/>
  <c r="E827" i="50"/>
  <c r="A827" i="50"/>
  <c r="N826" i="50"/>
  <c r="H826" i="50"/>
  <c r="E826" i="50"/>
  <c r="A826" i="50"/>
  <c r="N825" i="50"/>
  <c r="H825" i="50"/>
  <c r="E825" i="50"/>
  <c r="A825" i="50"/>
  <c r="N824" i="50"/>
  <c r="H824" i="50"/>
  <c r="E824" i="50"/>
  <c r="A824" i="50"/>
  <c r="N823" i="50"/>
  <c r="H823" i="50"/>
  <c r="E823" i="50"/>
  <c r="A823" i="50"/>
  <c r="N822" i="50"/>
  <c r="H822" i="50"/>
  <c r="E822" i="50"/>
  <c r="A822" i="50"/>
  <c r="N821" i="50"/>
  <c r="H821" i="50"/>
  <c r="E821" i="50"/>
  <c r="A821" i="50"/>
  <c r="N820" i="50"/>
  <c r="H820" i="50"/>
  <c r="E820" i="50"/>
  <c r="A820" i="50"/>
  <c r="N819" i="50"/>
  <c r="H819" i="50"/>
  <c r="E819" i="50"/>
  <c r="A819" i="50"/>
  <c r="N818" i="50"/>
  <c r="H818" i="50"/>
  <c r="E818" i="50"/>
  <c r="A818" i="50"/>
  <c r="N817" i="50"/>
  <c r="H817" i="50"/>
  <c r="E817" i="50"/>
  <c r="A817" i="50"/>
  <c r="N816" i="50"/>
  <c r="H816" i="50"/>
  <c r="E816" i="50"/>
  <c r="A816" i="50"/>
  <c r="N815" i="50"/>
  <c r="H815" i="50"/>
  <c r="E815" i="50"/>
  <c r="A815" i="50"/>
  <c r="N814" i="50"/>
  <c r="H814" i="50"/>
  <c r="E814" i="50"/>
  <c r="A814" i="50"/>
  <c r="N813" i="50"/>
  <c r="H813" i="50"/>
  <c r="E813" i="50"/>
  <c r="A813" i="50"/>
  <c r="N812" i="50"/>
  <c r="H812" i="50"/>
  <c r="E812" i="50"/>
  <c r="A812" i="50"/>
  <c r="N811" i="50"/>
  <c r="H811" i="50"/>
  <c r="E811" i="50"/>
  <c r="A811" i="50"/>
  <c r="N810" i="50"/>
  <c r="H810" i="50"/>
  <c r="E810" i="50"/>
  <c r="A810" i="50"/>
  <c r="N809" i="50"/>
  <c r="H809" i="50"/>
  <c r="E809" i="50"/>
  <c r="A809" i="50"/>
  <c r="N808" i="50"/>
  <c r="H808" i="50"/>
  <c r="E808" i="50"/>
  <c r="A808" i="50"/>
  <c r="N807" i="50"/>
  <c r="H807" i="50"/>
  <c r="E807" i="50"/>
  <c r="A807" i="50"/>
  <c r="N806" i="50"/>
  <c r="H806" i="50"/>
  <c r="E806" i="50"/>
  <c r="A806" i="50"/>
  <c r="N805" i="50"/>
  <c r="H805" i="50"/>
  <c r="E805" i="50"/>
  <c r="A805" i="50"/>
  <c r="N804" i="50"/>
  <c r="H804" i="50"/>
  <c r="E804" i="50"/>
  <c r="A804" i="50"/>
  <c r="N803" i="50"/>
  <c r="H803" i="50"/>
  <c r="E803" i="50"/>
  <c r="A803" i="50"/>
  <c r="N802" i="50"/>
  <c r="H802" i="50"/>
  <c r="E802" i="50"/>
  <c r="A802" i="50"/>
  <c r="N801" i="50"/>
  <c r="H801" i="50"/>
  <c r="E801" i="50"/>
  <c r="A801" i="50"/>
  <c r="N800" i="50"/>
  <c r="H800" i="50"/>
  <c r="E800" i="50"/>
  <c r="A800" i="50"/>
  <c r="N799" i="50"/>
  <c r="H799" i="50"/>
  <c r="E799" i="50"/>
  <c r="A799" i="50"/>
  <c r="N798" i="50"/>
  <c r="H798" i="50"/>
  <c r="E798" i="50"/>
  <c r="A798" i="50"/>
  <c r="N797" i="50"/>
  <c r="H797" i="50"/>
  <c r="E797" i="50"/>
  <c r="A797" i="50"/>
  <c r="N796" i="50"/>
  <c r="H796" i="50"/>
  <c r="E796" i="50"/>
  <c r="A796" i="50"/>
  <c r="N795" i="50"/>
  <c r="H795" i="50"/>
  <c r="E795" i="50"/>
  <c r="A795" i="50"/>
  <c r="N794" i="50"/>
  <c r="H794" i="50"/>
  <c r="E794" i="50"/>
  <c r="A794" i="50"/>
  <c r="N793" i="50"/>
  <c r="H793" i="50"/>
  <c r="E793" i="50"/>
  <c r="A793" i="50"/>
  <c r="N792" i="50"/>
  <c r="H792" i="50"/>
  <c r="E792" i="50"/>
  <c r="A792" i="50"/>
  <c r="N791" i="50"/>
  <c r="H791" i="50"/>
  <c r="E791" i="50"/>
  <c r="A791" i="50"/>
  <c r="N790" i="50"/>
  <c r="H790" i="50"/>
  <c r="E790" i="50"/>
  <c r="A790" i="50"/>
  <c r="N789" i="50"/>
  <c r="H789" i="50"/>
  <c r="E789" i="50"/>
  <c r="A789" i="50"/>
  <c r="N788" i="50"/>
  <c r="H788" i="50"/>
  <c r="E788" i="50"/>
  <c r="A788" i="50"/>
  <c r="N787" i="50"/>
  <c r="H787" i="50"/>
  <c r="E787" i="50"/>
  <c r="A787" i="50"/>
  <c r="N786" i="50"/>
  <c r="H786" i="50"/>
  <c r="E786" i="50"/>
  <c r="A786" i="50"/>
  <c r="N785" i="50"/>
  <c r="H785" i="50"/>
  <c r="E785" i="50"/>
  <c r="A785" i="50"/>
  <c r="N784" i="50"/>
  <c r="H784" i="50"/>
  <c r="E784" i="50"/>
  <c r="A784" i="50"/>
  <c r="N783" i="50"/>
  <c r="H783" i="50"/>
  <c r="E783" i="50"/>
  <c r="A783" i="50"/>
  <c r="N782" i="50"/>
  <c r="H782" i="50"/>
  <c r="E782" i="50"/>
  <c r="A782" i="50"/>
  <c r="N781" i="50"/>
  <c r="H781" i="50"/>
  <c r="E781" i="50"/>
  <c r="A781" i="50"/>
  <c r="N780" i="50"/>
  <c r="H780" i="50"/>
  <c r="E780" i="50"/>
  <c r="A780" i="50"/>
  <c r="N779" i="50"/>
  <c r="H779" i="50"/>
  <c r="E779" i="50"/>
  <c r="A779" i="50"/>
  <c r="N778" i="50"/>
  <c r="H778" i="50"/>
  <c r="E778" i="50"/>
  <c r="A778" i="50"/>
  <c r="N777" i="50"/>
  <c r="H777" i="50"/>
  <c r="E777" i="50"/>
  <c r="A777" i="50"/>
  <c r="N776" i="50"/>
  <c r="H776" i="50"/>
  <c r="E776" i="50"/>
  <c r="A776" i="50"/>
  <c r="N775" i="50"/>
  <c r="H775" i="50"/>
  <c r="E775" i="50"/>
  <c r="A775" i="50"/>
  <c r="N774" i="50"/>
  <c r="H774" i="50"/>
  <c r="E774" i="50"/>
  <c r="A774" i="50"/>
  <c r="N773" i="50"/>
  <c r="H773" i="50"/>
  <c r="E773" i="50"/>
  <c r="A773" i="50"/>
  <c r="N772" i="50"/>
  <c r="H772" i="50"/>
  <c r="E772" i="50"/>
  <c r="A772" i="50"/>
  <c r="N771" i="50"/>
  <c r="H771" i="50"/>
  <c r="E771" i="50"/>
  <c r="A771" i="50"/>
  <c r="N770" i="50"/>
  <c r="H770" i="50"/>
  <c r="E770" i="50"/>
  <c r="A770" i="50"/>
  <c r="N769" i="50"/>
  <c r="H769" i="50"/>
  <c r="E769" i="50"/>
  <c r="A769" i="50"/>
  <c r="N768" i="50"/>
  <c r="H768" i="50"/>
  <c r="E768" i="50"/>
  <c r="A768" i="50"/>
  <c r="N767" i="50"/>
  <c r="H767" i="50"/>
  <c r="E767" i="50"/>
  <c r="A767" i="50"/>
  <c r="N766" i="50"/>
  <c r="H766" i="50"/>
  <c r="E766" i="50"/>
  <c r="A766" i="50"/>
  <c r="N765" i="50"/>
  <c r="H765" i="50"/>
  <c r="E765" i="50"/>
  <c r="A765" i="50"/>
  <c r="N764" i="50"/>
  <c r="H764" i="50"/>
  <c r="E764" i="50"/>
  <c r="A764" i="50"/>
  <c r="N763" i="50"/>
  <c r="H763" i="50"/>
  <c r="E763" i="50"/>
  <c r="A763" i="50"/>
  <c r="N762" i="50"/>
  <c r="H762" i="50"/>
  <c r="E762" i="50"/>
  <c r="A762" i="50"/>
  <c r="N761" i="50"/>
  <c r="H761" i="50"/>
  <c r="E761" i="50"/>
  <c r="A761" i="50"/>
  <c r="N760" i="50"/>
  <c r="H760" i="50"/>
  <c r="E760" i="50"/>
  <c r="A760" i="50"/>
  <c r="N759" i="50"/>
  <c r="H759" i="50"/>
  <c r="E759" i="50"/>
  <c r="A759" i="50"/>
  <c r="N758" i="50"/>
  <c r="H758" i="50"/>
  <c r="E758" i="50"/>
  <c r="A758" i="50"/>
  <c r="N757" i="50"/>
  <c r="H757" i="50"/>
  <c r="E757" i="50"/>
  <c r="A757" i="50"/>
  <c r="N756" i="50"/>
  <c r="H756" i="50"/>
  <c r="E756" i="50"/>
  <c r="A756" i="50"/>
  <c r="N755" i="50"/>
  <c r="H755" i="50"/>
  <c r="E755" i="50"/>
  <c r="A755" i="50"/>
  <c r="N754" i="50"/>
  <c r="H754" i="50"/>
  <c r="E754" i="50"/>
  <c r="A754" i="50"/>
  <c r="N753" i="50"/>
  <c r="H753" i="50"/>
  <c r="E753" i="50"/>
  <c r="A753" i="50"/>
  <c r="N752" i="50"/>
  <c r="H752" i="50"/>
  <c r="E752" i="50"/>
  <c r="A752" i="50"/>
  <c r="N751" i="50"/>
  <c r="H751" i="50"/>
  <c r="E751" i="50"/>
  <c r="A751" i="50"/>
  <c r="N750" i="50"/>
  <c r="H750" i="50"/>
  <c r="E750" i="50"/>
  <c r="A750" i="50"/>
  <c r="N749" i="50"/>
  <c r="H749" i="50"/>
  <c r="E749" i="50"/>
  <c r="A749" i="50"/>
  <c r="N748" i="50"/>
  <c r="H748" i="50"/>
  <c r="E748" i="50"/>
  <c r="A748" i="50"/>
  <c r="N747" i="50"/>
  <c r="H747" i="50"/>
  <c r="E747" i="50"/>
  <c r="A747" i="50"/>
  <c r="N746" i="50"/>
  <c r="H746" i="50"/>
  <c r="E746" i="50"/>
  <c r="A746" i="50"/>
  <c r="N745" i="50"/>
  <c r="H745" i="50"/>
  <c r="E745" i="50"/>
  <c r="A745" i="50"/>
  <c r="N744" i="50"/>
  <c r="H744" i="50"/>
  <c r="E744" i="50"/>
  <c r="A744" i="50"/>
  <c r="N743" i="50"/>
  <c r="H743" i="50"/>
  <c r="E743" i="50"/>
  <c r="A743" i="50"/>
  <c r="N742" i="50"/>
  <c r="H742" i="50"/>
  <c r="E742" i="50"/>
  <c r="A742" i="50"/>
  <c r="N741" i="50"/>
  <c r="H741" i="50"/>
  <c r="E741" i="50"/>
  <c r="A741" i="50"/>
  <c r="N740" i="50"/>
  <c r="H740" i="50"/>
  <c r="E740" i="50"/>
  <c r="A740" i="50"/>
  <c r="N739" i="50"/>
  <c r="H739" i="50"/>
  <c r="E739" i="50"/>
  <c r="A739" i="50"/>
  <c r="N738" i="50"/>
  <c r="H738" i="50"/>
  <c r="E738" i="50"/>
  <c r="A738" i="50"/>
  <c r="N737" i="50"/>
  <c r="H737" i="50"/>
  <c r="E737" i="50"/>
  <c r="A737" i="50"/>
  <c r="N736" i="50"/>
  <c r="H736" i="50"/>
  <c r="E736" i="50"/>
  <c r="A736" i="50"/>
  <c r="N735" i="50"/>
  <c r="H735" i="50"/>
  <c r="E735" i="50"/>
  <c r="A735" i="50"/>
  <c r="N734" i="50"/>
  <c r="H734" i="50"/>
  <c r="E734" i="50"/>
  <c r="A734" i="50"/>
  <c r="N733" i="50"/>
  <c r="H733" i="50"/>
  <c r="E733" i="50"/>
  <c r="A733" i="50"/>
  <c r="N732" i="50"/>
  <c r="H732" i="50"/>
  <c r="E732" i="50"/>
  <c r="A732" i="50"/>
  <c r="N731" i="50"/>
  <c r="H731" i="50"/>
  <c r="E731" i="50"/>
  <c r="A731" i="50"/>
  <c r="N730" i="50"/>
  <c r="H730" i="50"/>
  <c r="E730" i="50"/>
  <c r="A730" i="50"/>
  <c r="N729" i="50"/>
  <c r="H729" i="50"/>
  <c r="E729" i="50"/>
  <c r="A729" i="50"/>
  <c r="N728" i="50"/>
  <c r="H728" i="50"/>
  <c r="E728" i="50"/>
  <c r="A728" i="50"/>
  <c r="N727" i="50"/>
  <c r="H727" i="50"/>
  <c r="E727" i="50"/>
  <c r="A727" i="50"/>
  <c r="N726" i="50"/>
  <c r="H726" i="50"/>
  <c r="E726" i="50"/>
  <c r="A726" i="50"/>
  <c r="N725" i="50"/>
  <c r="H725" i="50"/>
  <c r="E725" i="50"/>
  <c r="A725" i="50"/>
  <c r="N724" i="50"/>
  <c r="H724" i="50"/>
  <c r="E724" i="50"/>
  <c r="A724" i="50"/>
  <c r="N723" i="50"/>
  <c r="H723" i="50"/>
  <c r="E723" i="50"/>
  <c r="A723" i="50"/>
  <c r="N722" i="50"/>
  <c r="H722" i="50"/>
  <c r="E722" i="50"/>
  <c r="A722" i="50"/>
  <c r="N721" i="50"/>
  <c r="H721" i="50"/>
  <c r="E721" i="50"/>
  <c r="A721" i="50"/>
  <c r="N720" i="50"/>
  <c r="H720" i="50"/>
  <c r="E720" i="50"/>
  <c r="A720" i="50"/>
  <c r="N719" i="50"/>
  <c r="H719" i="50"/>
  <c r="E719" i="50"/>
  <c r="A719" i="50"/>
  <c r="N718" i="50"/>
  <c r="H718" i="50"/>
  <c r="E718" i="50"/>
  <c r="A718" i="50"/>
  <c r="N717" i="50"/>
  <c r="H717" i="50"/>
  <c r="E717" i="50"/>
  <c r="A717" i="50"/>
  <c r="N716" i="50"/>
  <c r="H716" i="50"/>
  <c r="E716" i="50"/>
  <c r="A716" i="50"/>
  <c r="N715" i="50"/>
  <c r="H715" i="50"/>
  <c r="E715" i="50"/>
  <c r="A715" i="50"/>
  <c r="N714" i="50"/>
  <c r="H714" i="50"/>
  <c r="E714" i="50"/>
  <c r="A714" i="50"/>
  <c r="N713" i="50"/>
  <c r="H713" i="50"/>
  <c r="E713" i="50"/>
  <c r="A713" i="50"/>
  <c r="N712" i="50"/>
  <c r="H712" i="50"/>
  <c r="E712" i="50"/>
  <c r="A712" i="50"/>
  <c r="N711" i="50"/>
  <c r="H711" i="50"/>
  <c r="E711" i="50"/>
  <c r="A711" i="50"/>
  <c r="N710" i="50"/>
  <c r="H710" i="50"/>
  <c r="E710" i="50"/>
  <c r="A710" i="50"/>
  <c r="N709" i="50"/>
  <c r="H709" i="50"/>
  <c r="E709" i="50"/>
  <c r="A709" i="50"/>
  <c r="N708" i="50"/>
  <c r="H708" i="50"/>
  <c r="E708" i="50"/>
  <c r="A708" i="50"/>
  <c r="N707" i="50"/>
  <c r="H707" i="50"/>
  <c r="E707" i="50"/>
  <c r="A707" i="50"/>
  <c r="N706" i="50"/>
  <c r="H706" i="50"/>
  <c r="E706" i="50"/>
  <c r="A706" i="50"/>
  <c r="N705" i="50"/>
  <c r="H705" i="50"/>
  <c r="E705" i="50"/>
  <c r="A705" i="50"/>
  <c r="N704" i="50"/>
  <c r="H704" i="50"/>
  <c r="E704" i="50"/>
  <c r="A704" i="50"/>
  <c r="N703" i="50"/>
  <c r="H703" i="50"/>
  <c r="E703" i="50"/>
  <c r="A703" i="50"/>
  <c r="N702" i="50"/>
  <c r="H702" i="50"/>
  <c r="E702" i="50"/>
  <c r="A702" i="50"/>
  <c r="N701" i="50"/>
  <c r="H701" i="50"/>
  <c r="E701" i="50"/>
  <c r="A701" i="50"/>
  <c r="N700" i="50"/>
  <c r="H700" i="50"/>
  <c r="E700" i="50"/>
  <c r="A700" i="50"/>
  <c r="N699" i="50"/>
  <c r="H699" i="50"/>
  <c r="E699" i="50"/>
  <c r="A699" i="50"/>
  <c r="N698" i="50"/>
  <c r="H698" i="50"/>
  <c r="E698" i="50"/>
  <c r="A698" i="50"/>
  <c r="N697" i="50"/>
  <c r="H697" i="50"/>
  <c r="E697" i="50"/>
  <c r="A697" i="50"/>
  <c r="N696" i="50"/>
  <c r="H696" i="50"/>
  <c r="E696" i="50"/>
  <c r="A696" i="50"/>
  <c r="N695" i="50"/>
  <c r="H695" i="50"/>
  <c r="E695" i="50"/>
  <c r="A695" i="50"/>
  <c r="N694" i="50"/>
  <c r="H694" i="50"/>
  <c r="E694" i="50"/>
  <c r="A694" i="50"/>
  <c r="N693" i="50"/>
  <c r="H693" i="50"/>
  <c r="E693" i="50"/>
  <c r="A693" i="50"/>
  <c r="N692" i="50"/>
  <c r="H692" i="50"/>
  <c r="E692" i="50"/>
  <c r="A692" i="50"/>
  <c r="N691" i="50"/>
  <c r="H691" i="50"/>
  <c r="E691" i="50"/>
  <c r="A691" i="50"/>
  <c r="N690" i="50"/>
  <c r="H690" i="50"/>
  <c r="E690" i="50"/>
  <c r="A690" i="50"/>
  <c r="N689" i="50"/>
  <c r="H689" i="50"/>
  <c r="E689" i="50"/>
  <c r="A689" i="50"/>
  <c r="N688" i="50"/>
  <c r="H688" i="50"/>
  <c r="E688" i="50"/>
  <c r="A688" i="50"/>
  <c r="N687" i="50"/>
  <c r="H687" i="50"/>
  <c r="E687" i="50"/>
  <c r="A687" i="50"/>
  <c r="N686" i="50"/>
  <c r="H686" i="50"/>
  <c r="E686" i="50"/>
  <c r="A686" i="50"/>
  <c r="N685" i="50"/>
  <c r="H685" i="50"/>
  <c r="E685" i="50"/>
  <c r="A685" i="50"/>
  <c r="N684" i="50"/>
  <c r="H684" i="50"/>
  <c r="E684" i="50"/>
  <c r="A684" i="50"/>
  <c r="N683" i="50"/>
  <c r="H683" i="50"/>
  <c r="E683" i="50"/>
  <c r="A683" i="50"/>
  <c r="N682" i="50"/>
  <c r="H682" i="50"/>
  <c r="E682" i="50"/>
  <c r="A682" i="50"/>
  <c r="N681" i="50"/>
  <c r="H681" i="50"/>
  <c r="E681" i="50"/>
  <c r="A681" i="50"/>
  <c r="N680" i="50"/>
  <c r="H680" i="50"/>
  <c r="E680" i="50"/>
  <c r="A680" i="50"/>
  <c r="N679" i="50"/>
  <c r="H679" i="50"/>
  <c r="E679" i="50"/>
  <c r="A679" i="50"/>
  <c r="N678" i="50"/>
  <c r="H678" i="50"/>
  <c r="E678" i="50"/>
  <c r="A678" i="50"/>
  <c r="N677" i="50"/>
  <c r="H677" i="50"/>
  <c r="E677" i="50"/>
  <c r="A677" i="50"/>
  <c r="N676" i="50"/>
  <c r="H676" i="50"/>
  <c r="E676" i="50"/>
  <c r="A676" i="50"/>
  <c r="N675" i="50"/>
  <c r="H675" i="50"/>
  <c r="E675" i="50"/>
  <c r="A675" i="50"/>
  <c r="N674" i="50"/>
  <c r="H674" i="50"/>
  <c r="E674" i="50"/>
  <c r="A674" i="50"/>
  <c r="N673" i="50"/>
  <c r="H673" i="50"/>
  <c r="E673" i="50"/>
  <c r="A673" i="50"/>
  <c r="N672" i="50"/>
  <c r="H672" i="50"/>
  <c r="E672" i="50"/>
  <c r="A672" i="50"/>
  <c r="N671" i="50"/>
  <c r="H671" i="50"/>
  <c r="E671" i="50"/>
  <c r="A671" i="50"/>
  <c r="N670" i="50"/>
  <c r="H670" i="50"/>
  <c r="E670" i="50"/>
  <c r="A670" i="50"/>
  <c r="N669" i="50"/>
  <c r="H669" i="50"/>
  <c r="E669" i="50"/>
  <c r="A669" i="50"/>
  <c r="N668" i="50"/>
  <c r="H668" i="50"/>
  <c r="E668" i="50"/>
  <c r="A668" i="50"/>
  <c r="N667" i="50"/>
  <c r="H667" i="50"/>
  <c r="E667" i="50"/>
  <c r="A667" i="50"/>
  <c r="N666" i="50"/>
  <c r="H666" i="50"/>
  <c r="E666" i="50"/>
  <c r="A666" i="50"/>
  <c r="N665" i="50"/>
  <c r="H665" i="50"/>
  <c r="E665" i="50"/>
  <c r="A665" i="50"/>
  <c r="N664" i="50"/>
  <c r="H664" i="50"/>
  <c r="E664" i="50"/>
  <c r="A664" i="50"/>
  <c r="N663" i="50"/>
  <c r="H663" i="50"/>
  <c r="E663" i="50"/>
  <c r="A663" i="50"/>
  <c r="N662" i="50"/>
  <c r="H662" i="50"/>
  <c r="E662" i="50"/>
  <c r="A662" i="50"/>
  <c r="N661" i="50"/>
  <c r="H661" i="50"/>
  <c r="E661" i="50"/>
  <c r="A661" i="50"/>
  <c r="N660" i="50"/>
  <c r="H660" i="50"/>
  <c r="E660" i="50"/>
  <c r="A660" i="50"/>
  <c r="N659" i="50"/>
  <c r="H659" i="50"/>
  <c r="E659" i="50"/>
  <c r="A659" i="50"/>
  <c r="N658" i="50"/>
  <c r="H658" i="50"/>
  <c r="E658" i="50"/>
  <c r="A658" i="50"/>
  <c r="N657" i="50"/>
  <c r="H657" i="50"/>
  <c r="E657" i="50"/>
  <c r="A657" i="50"/>
  <c r="N656" i="50"/>
  <c r="H656" i="50"/>
  <c r="E656" i="50"/>
  <c r="A656" i="50"/>
  <c r="N655" i="50"/>
  <c r="H655" i="50"/>
  <c r="E655" i="50"/>
  <c r="A655" i="50"/>
  <c r="N654" i="50"/>
  <c r="H654" i="50"/>
  <c r="E654" i="50"/>
  <c r="A654" i="50"/>
  <c r="N653" i="50"/>
  <c r="H653" i="50"/>
  <c r="E653" i="50"/>
  <c r="A653" i="50"/>
  <c r="N652" i="50"/>
  <c r="H652" i="50"/>
  <c r="E652" i="50"/>
  <c r="A652" i="50"/>
  <c r="N651" i="50"/>
  <c r="H651" i="50"/>
  <c r="E651" i="50"/>
  <c r="A651" i="50"/>
  <c r="N650" i="50"/>
  <c r="H650" i="50"/>
  <c r="E650" i="50"/>
  <c r="A650" i="50"/>
  <c r="N649" i="50"/>
  <c r="H649" i="50"/>
  <c r="E649" i="50"/>
  <c r="A649" i="50"/>
  <c r="N648" i="50"/>
  <c r="H648" i="50"/>
  <c r="E648" i="50"/>
  <c r="A648" i="50"/>
  <c r="N647" i="50"/>
  <c r="H647" i="50"/>
  <c r="E647" i="50"/>
  <c r="A647" i="50"/>
  <c r="N646" i="50"/>
  <c r="H646" i="50"/>
  <c r="E646" i="50"/>
  <c r="A646" i="50"/>
  <c r="N645" i="50"/>
  <c r="H645" i="50"/>
  <c r="E645" i="50"/>
  <c r="A645" i="50"/>
  <c r="N644" i="50"/>
  <c r="H644" i="50"/>
  <c r="E644" i="50"/>
  <c r="A644" i="50"/>
  <c r="N643" i="50"/>
  <c r="H643" i="50"/>
  <c r="E643" i="50"/>
  <c r="A643" i="50"/>
  <c r="N642" i="50"/>
  <c r="H642" i="50"/>
  <c r="E642" i="50"/>
  <c r="A642" i="50"/>
  <c r="N641" i="50"/>
  <c r="H641" i="50"/>
  <c r="E641" i="50"/>
  <c r="A641" i="50"/>
  <c r="N640" i="50"/>
  <c r="H640" i="50"/>
  <c r="E640" i="50"/>
  <c r="A640" i="50"/>
  <c r="N639" i="50"/>
  <c r="H639" i="50"/>
  <c r="E639" i="50"/>
  <c r="A639" i="50"/>
  <c r="N638" i="50"/>
  <c r="H638" i="50"/>
  <c r="E638" i="50"/>
  <c r="A638" i="50"/>
  <c r="N637" i="50"/>
  <c r="H637" i="50"/>
  <c r="E637" i="50"/>
  <c r="A637" i="50"/>
  <c r="N636" i="50"/>
  <c r="H636" i="50"/>
  <c r="E636" i="50"/>
  <c r="A636" i="50"/>
  <c r="N635" i="50"/>
  <c r="H635" i="50"/>
  <c r="E635" i="50"/>
  <c r="A635" i="50"/>
  <c r="N634" i="50"/>
  <c r="H634" i="50"/>
  <c r="E634" i="50"/>
  <c r="A634" i="50"/>
  <c r="N633" i="50"/>
  <c r="H633" i="50"/>
  <c r="E633" i="50"/>
  <c r="A633" i="50"/>
  <c r="N632" i="50"/>
  <c r="H632" i="50"/>
  <c r="E632" i="50"/>
  <c r="A632" i="50"/>
  <c r="N631" i="50"/>
  <c r="H631" i="50"/>
  <c r="E631" i="50"/>
  <c r="A631" i="50"/>
  <c r="N630" i="50"/>
  <c r="H630" i="50"/>
  <c r="E630" i="50"/>
  <c r="A630" i="50"/>
  <c r="N629" i="50"/>
  <c r="H629" i="50"/>
  <c r="E629" i="50"/>
  <c r="A629" i="50"/>
  <c r="N628" i="50"/>
  <c r="H628" i="50"/>
  <c r="E628" i="50"/>
  <c r="A628" i="50"/>
  <c r="N627" i="50"/>
  <c r="H627" i="50"/>
  <c r="E627" i="50"/>
  <c r="A627" i="50"/>
  <c r="N626" i="50"/>
  <c r="H626" i="50"/>
  <c r="E626" i="50"/>
  <c r="A626" i="50"/>
  <c r="N625" i="50"/>
  <c r="H625" i="50"/>
  <c r="E625" i="50"/>
  <c r="A625" i="50"/>
  <c r="N624" i="50"/>
  <c r="H624" i="50"/>
  <c r="E624" i="50"/>
  <c r="A624" i="50"/>
  <c r="N623" i="50"/>
  <c r="H623" i="50"/>
  <c r="E623" i="50"/>
  <c r="A623" i="50"/>
  <c r="N622" i="50"/>
  <c r="H622" i="50"/>
  <c r="E622" i="50"/>
  <c r="A622" i="50"/>
  <c r="N621" i="50"/>
  <c r="H621" i="50"/>
  <c r="E621" i="50"/>
  <c r="A621" i="50"/>
  <c r="N620" i="50"/>
  <c r="H620" i="50"/>
  <c r="E620" i="50"/>
  <c r="A620" i="50"/>
  <c r="N619" i="50"/>
  <c r="H619" i="50"/>
  <c r="E619" i="50"/>
  <c r="A619" i="50"/>
  <c r="N618" i="50"/>
  <c r="H618" i="50"/>
  <c r="E618" i="50"/>
  <c r="A618" i="50"/>
  <c r="N617" i="50"/>
  <c r="H617" i="50"/>
  <c r="E617" i="50"/>
  <c r="A617" i="50"/>
  <c r="N616" i="50"/>
  <c r="H616" i="50"/>
  <c r="E616" i="50"/>
  <c r="A616" i="50"/>
  <c r="N615" i="50"/>
  <c r="H615" i="50"/>
  <c r="E615" i="50"/>
  <c r="A615" i="50"/>
  <c r="N614" i="50"/>
  <c r="H614" i="50"/>
  <c r="E614" i="50"/>
  <c r="A614" i="50"/>
  <c r="N613" i="50"/>
  <c r="H613" i="50"/>
  <c r="E613" i="50"/>
  <c r="A613" i="50"/>
  <c r="N612" i="50"/>
  <c r="H612" i="50"/>
  <c r="E612" i="50"/>
  <c r="A612" i="50"/>
  <c r="N611" i="50"/>
  <c r="H611" i="50"/>
  <c r="E611" i="50"/>
  <c r="A611" i="50"/>
  <c r="N610" i="50"/>
  <c r="H610" i="50"/>
  <c r="E610" i="50"/>
  <c r="A610" i="50"/>
  <c r="N609" i="50"/>
  <c r="H609" i="50"/>
  <c r="E609" i="50"/>
  <c r="A609" i="50"/>
  <c r="N608" i="50"/>
  <c r="H608" i="50"/>
  <c r="E608" i="50"/>
  <c r="A608" i="50"/>
  <c r="N607" i="50"/>
  <c r="H607" i="50"/>
  <c r="E607" i="50"/>
  <c r="A607" i="50"/>
  <c r="N606" i="50"/>
  <c r="H606" i="50"/>
  <c r="E606" i="50"/>
  <c r="A606" i="50"/>
  <c r="N605" i="50"/>
  <c r="H605" i="50"/>
  <c r="E605" i="50"/>
  <c r="A605" i="50"/>
  <c r="N604" i="50"/>
  <c r="H604" i="50"/>
  <c r="E604" i="50"/>
  <c r="A604" i="50"/>
  <c r="N603" i="50"/>
  <c r="H603" i="50"/>
  <c r="E603" i="50"/>
  <c r="A603" i="50"/>
  <c r="N602" i="50"/>
  <c r="H602" i="50"/>
  <c r="E602" i="50"/>
  <c r="A602" i="50"/>
  <c r="N601" i="50"/>
  <c r="H601" i="50"/>
  <c r="E601" i="50"/>
  <c r="A601" i="50"/>
  <c r="N600" i="50"/>
  <c r="H600" i="50"/>
  <c r="E600" i="50"/>
  <c r="A600" i="50"/>
  <c r="N599" i="50"/>
  <c r="H599" i="50"/>
  <c r="E599" i="50"/>
  <c r="A599" i="50"/>
  <c r="N598" i="50"/>
  <c r="H598" i="50"/>
  <c r="E598" i="50"/>
  <c r="A598" i="50"/>
  <c r="N597" i="50"/>
  <c r="H597" i="50"/>
  <c r="E597" i="50"/>
  <c r="A597" i="50"/>
  <c r="N596" i="50"/>
  <c r="H596" i="50"/>
  <c r="E596" i="50"/>
  <c r="A596" i="50"/>
  <c r="N595" i="50"/>
  <c r="H595" i="50"/>
  <c r="E595" i="50"/>
  <c r="A595" i="50"/>
  <c r="N594" i="50"/>
  <c r="H594" i="50"/>
  <c r="E594" i="50"/>
  <c r="A594" i="50"/>
  <c r="N593" i="50"/>
  <c r="H593" i="50"/>
  <c r="E593" i="50"/>
  <c r="A593" i="50"/>
  <c r="N592" i="50"/>
  <c r="H592" i="50"/>
  <c r="E592" i="50"/>
  <c r="A592" i="50"/>
  <c r="N591" i="50"/>
  <c r="H591" i="50"/>
  <c r="E591" i="50"/>
  <c r="A591" i="50"/>
  <c r="N590" i="50"/>
  <c r="H590" i="50"/>
  <c r="E590" i="50"/>
  <c r="A590" i="50"/>
  <c r="N589" i="50"/>
  <c r="H589" i="50"/>
  <c r="E589" i="50"/>
  <c r="A589" i="50"/>
  <c r="N588" i="50"/>
  <c r="H588" i="50"/>
  <c r="E588" i="50"/>
  <c r="A588" i="50"/>
  <c r="N587" i="50"/>
  <c r="H587" i="50"/>
  <c r="E587" i="50"/>
  <c r="A587" i="50"/>
  <c r="N586" i="50"/>
  <c r="H586" i="50"/>
  <c r="E586" i="50"/>
  <c r="A586" i="50"/>
  <c r="N585" i="50"/>
  <c r="H585" i="50"/>
  <c r="E585" i="50"/>
  <c r="A585" i="50"/>
  <c r="N584" i="50"/>
  <c r="H584" i="50"/>
  <c r="E584" i="50"/>
  <c r="A584" i="50"/>
  <c r="N583" i="50"/>
  <c r="H583" i="50"/>
  <c r="E583" i="50"/>
  <c r="A583" i="50"/>
  <c r="N582" i="50"/>
  <c r="H582" i="50"/>
  <c r="E582" i="50"/>
  <c r="A582" i="50"/>
  <c r="N581" i="50"/>
  <c r="H581" i="50"/>
  <c r="E581" i="50"/>
  <c r="A581" i="50"/>
  <c r="N580" i="50"/>
  <c r="H580" i="50"/>
  <c r="E580" i="50"/>
  <c r="A580" i="50"/>
  <c r="N579" i="50"/>
  <c r="H579" i="50"/>
  <c r="E579" i="50"/>
  <c r="A579" i="50"/>
  <c r="N578" i="50"/>
  <c r="H578" i="50"/>
  <c r="E578" i="50"/>
  <c r="A578" i="50"/>
  <c r="N577" i="50"/>
  <c r="H577" i="50"/>
  <c r="E577" i="50"/>
  <c r="A577" i="50"/>
  <c r="N576" i="50"/>
  <c r="H576" i="50"/>
  <c r="E576" i="50"/>
  <c r="A576" i="50"/>
  <c r="N575" i="50"/>
  <c r="H575" i="50"/>
  <c r="E575" i="50"/>
  <c r="A575" i="50"/>
  <c r="N574" i="50"/>
  <c r="H574" i="50"/>
  <c r="E574" i="50"/>
  <c r="A574" i="50"/>
  <c r="N573" i="50"/>
  <c r="H573" i="50"/>
  <c r="E573" i="50"/>
  <c r="A573" i="50"/>
  <c r="N572" i="50"/>
  <c r="H572" i="50"/>
  <c r="E572" i="50"/>
  <c r="A572" i="50"/>
  <c r="N571" i="50"/>
  <c r="H571" i="50"/>
  <c r="E571" i="50"/>
  <c r="A571" i="50"/>
  <c r="N570" i="50"/>
  <c r="H570" i="50"/>
  <c r="E570" i="50"/>
  <c r="A570" i="50"/>
  <c r="N569" i="50"/>
  <c r="H569" i="50"/>
  <c r="E569" i="50"/>
  <c r="A569" i="50"/>
  <c r="N568" i="50"/>
  <c r="H568" i="50"/>
  <c r="E568" i="50"/>
  <c r="A568" i="50"/>
  <c r="N567" i="50"/>
  <c r="H567" i="50"/>
  <c r="E567" i="50"/>
  <c r="A567" i="50"/>
  <c r="N566" i="50"/>
  <c r="H566" i="50"/>
  <c r="E566" i="50"/>
  <c r="A566" i="50"/>
  <c r="N565" i="50"/>
  <c r="H565" i="50"/>
  <c r="E565" i="50"/>
  <c r="A565" i="50"/>
  <c r="N564" i="50"/>
  <c r="H564" i="50"/>
  <c r="E564" i="50"/>
  <c r="A564" i="50"/>
  <c r="N563" i="50"/>
  <c r="H563" i="50"/>
  <c r="E563" i="50"/>
  <c r="A563" i="50"/>
  <c r="N562" i="50"/>
  <c r="H562" i="50"/>
  <c r="E562" i="50"/>
  <c r="A562" i="50"/>
  <c r="N561" i="50"/>
  <c r="H561" i="50"/>
  <c r="E561" i="50"/>
  <c r="A561" i="50"/>
  <c r="N560" i="50"/>
  <c r="H560" i="50"/>
  <c r="E560" i="50"/>
  <c r="A560" i="50"/>
  <c r="N559" i="50"/>
  <c r="H559" i="50"/>
  <c r="E559" i="50"/>
  <c r="A559" i="50"/>
  <c r="N558" i="50"/>
  <c r="H558" i="50"/>
  <c r="E558" i="50"/>
  <c r="A558" i="50"/>
  <c r="N557" i="50"/>
  <c r="H557" i="50"/>
  <c r="E557" i="50"/>
  <c r="A557" i="50"/>
  <c r="N556" i="50"/>
  <c r="H556" i="50"/>
  <c r="E556" i="50"/>
  <c r="A556" i="50"/>
  <c r="N555" i="50"/>
  <c r="H555" i="50"/>
  <c r="E555" i="50"/>
  <c r="A555" i="50"/>
  <c r="N554" i="50"/>
  <c r="H554" i="50"/>
  <c r="E554" i="50"/>
  <c r="A554" i="50"/>
  <c r="N553" i="50"/>
  <c r="H553" i="50"/>
  <c r="E553" i="50"/>
  <c r="A553" i="50"/>
  <c r="N552" i="50"/>
  <c r="H552" i="50"/>
  <c r="E552" i="50"/>
  <c r="A552" i="50"/>
  <c r="N551" i="50"/>
  <c r="H551" i="50"/>
  <c r="E551" i="50"/>
  <c r="A551" i="50"/>
  <c r="N550" i="50"/>
  <c r="H550" i="50"/>
  <c r="E550" i="50"/>
  <c r="A550" i="50"/>
  <c r="N549" i="50"/>
  <c r="H549" i="50"/>
  <c r="E549" i="50"/>
  <c r="A549" i="50"/>
  <c r="N548" i="50"/>
  <c r="H548" i="50"/>
  <c r="E548" i="50"/>
  <c r="A548" i="50"/>
  <c r="N547" i="50"/>
  <c r="H547" i="50"/>
  <c r="E547" i="50"/>
  <c r="A547" i="50"/>
  <c r="N546" i="50"/>
  <c r="H546" i="50"/>
  <c r="E546" i="50"/>
  <c r="A546" i="50"/>
  <c r="N545" i="50"/>
  <c r="H545" i="50"/>
  <c r="E545" i="50"/>
  <c r="A545" i="50"/>
  <c r="N544" i="50"/>
  <c r="H544" i="50"/>
  <c r="E544" i="50"/>
  <c r="A544" i="50"/>
  <c r="N543" i="50"/>
  <c r="H543" i="50"/>
  <c r="E543" i="50"/>
  <c r="A543" i="50"/>
  <c r="N542" i="50"/>
  <c r="H542" i="50"/>
  <c r="E542" i="50"/>
  <c r="A542" i="50"/>
  <c r="N541" i="50"/>
  <c r="H541" i="50"/>
  <c r="E541" i="50"/>
  <c r="A541" i="50"/>
  <c r="N540" i="50"/>
  <c r="H540" i="50"/>
  <c r="E540" i="50"/>
  <c r="A540" i="50"/>
  <c r="N539" i="50"/>
  <c r="H539" i="50"/>
  <c r="E539" i="50"/>
  <c r="A539" i="50"/>
  <c r="N538" i="50"/>
  <c r="H538" i="50"/>
  <c r="E538" i="50"/>
  <c r="A538" i="50"/>
  <c r="N537" i="50"/>
  <c r="H537" i="50"/>
  <c r="E537" i="50"/>
  <c r="A537" i="50"/>
  <c r="N536" i="50"/>
  <c r="H536" i="50"/>
  <c r="E536" i="50"/>
  <c r="A536" i="50"/>
  <c r="N535" i="50"/>
  <c r="H535" i="50"/>
  <c r="E535" i="50"/>
  <c r="A535" i="50"/>
  <c r="N534" i="50"/>
  <c r="H534" i="50"/>
  <c r="E534" i="50"/>
  <c r="A534" i="50"/>
  <c r="N533" i="50"/>
  <c r="H533" i="50"/>
  <c r="E533" i="50"/>
  <c r="A533" i="50"/>
  <c r="N532" i="50"/>
  <c r="H532" i="50"/>
  <c r="E532" i="50"/>
  <c r="A532" i="50"/>
  <c r="N531" i="50"/>
  <c r="H531" i="50"/>
  <c r="E531" i="50"/>
  <c r="A531" i="50"/>
  <c r="N530" i="50"/>
  <c r="H530" i="50"/>
  <c r="E530" i="50"/>
  <c r="A530" i="50"/>
  <c r="N529" i="50"/>
  <c r="H529" i="50"/>
  <c r="E529" i="50"/>
  <c r="A529" i="50"/>
  <c r="N528" i="50"/>
  <c r="H528" i="50"/>
  <c r="E528" i="50"/>
  <c r="A528" i="50"/>
  <c r="N527" i="50"/>
  <c r="H527" i="50"/>
  <c r="E527" i="50"/>
  <c r="A527" i="50"/>
  <c r="N526" i="50"/>
  <c r="H526" i="50"/>
  <c r="E526" i="50"/>
  <c r="A526" i="50"/>
  <c r="N525" i="50"/>
  <c r="H525" i="50"/>
  <c r="E525" i="50"/>
  <c r="A525" i="50"/>
  <c r="N524" i="50"/>
  <c r="H524" i="50"/>
  <c r="E524" i="50"/>
  <c r="A524" i="50"/>
  <c r="N523" i="50"/>
  <c r="H523" i="50"/>
  <c r="E523" i="50"/>
  <c r="A523" i="50"/>
  <c r="N522" i="50"/>
  <c r="H522" i="50"/>
  <c r="E522" i="50"/>
  <c r="A522" i="50"/>
  <c r="N521" i="50"/>
  <c r="H521" i="50"/>
  <c r="E521" i="50"/>
  <c r="A521" i="50"/>
  <c r="N520" i="50"/>
  <c r="H520" i="50"/>
  <c r="E520" i="50"/>
  <c r="A520" i="50"/>
  <c r="N519" i="50"/>
  <c r="H519" i="50"/>
  <c r="E519" i="50"/>
  <c r="A519" i="50"/>
  <c r="N518" i="50"/>
  <c r="H518" i="50"/>
  <c r="E518" i="50"/>
  <c r="A518" i="50"/>
  <c r="N517" i="50"/>
  <c r="H517" i="50"/>
  <c r="E517" i="50"/>
  <c r="A517" i="50"/>
  <c r="N516" i="50"/>
  <c r="H516" i="50"/>
  <c r="E516" i="50"/>
  <c r="A516" i="50"/>
  <c r="N515" i="50"/>
  <c r="H515" i="50"/>
  <c r="E515" i="50"/>
  <c r="A515" i="50"/>
  <c r="N514" i="50"/>
  <c r="H514" i="50"/>
  <c r="E514" i="50"/>
  <c r="A514" i="50"/>
  <c r="N513" i="50"/>
  <c r="H513" i="50"/>
  <c r="E513" i="50"/>
  <c r="A513" i="50"/>
  <c r="N512" i="50"/>
  <c r="H512" i="50"/>
  <c r="E512" i="50"/>
  <c r="A512" i="50"/>
  <c r="N511" i="50"/>
  <c r="H511" i="50"/>
  <c r="E511" i="50"/>
  <c r="A511" i="50"/>
  <c r="N510" i="50"/>
  <c r="H510" i="50"/>
  <c r="E510" i="50"/>
  <c r="A510" i="50"/>
  <c r="N509" i="50"/>
  <c r="H509" i="50"/>
  <c r="E509" i="50"/>
  <c r="A509" i="50"/>
  <c r="N508" i="50"/>
  <c r="H508" i="50"/>
  <c r="E508" i="50"/>
  <c r="A508" i="50"/>
  <c r="N507" i="50"/>
  <c r="H507" i="50"/>
  <c r="E507" i="50"/>
  <c r="A507" i="50"/>
  <c r="N506" i="50"/>
  <c r="H506" i="50"/>
  <c r="E506" i="50"/>
  <c r="A506" i="50"/>
  <c r="N505" i="50"/>
  <c r="H505" i="50"/>
  <c r="E505" i="50"/>
  <c r="A505" i="50"/>
  <c r="N504" i="50"/>
  <c r="H504" i="50"/>
  <c r="E504" i="50"/>
  <c r="A504" i="50"/>
  <c r="N503" i="50"/>
  <c r="H503" i="50"/>
  <c r="E503" i="50"/>
  <c r="A503" i="50"/>
  <c r="N502" i="50"/>
  <c r="H502" i="50"/>
  <c r="E502" i="50"/>
  <c r="A502" i="50"/>
  <c r="N501" i="50"/>
  <c r="H501" i="50"/>
  <c r="E501" i="50"/>
  <c r="A501" i="50"/>
  <c r="N500" i="50"/>
  <c r="H500" i="50"/>
  <c r="E500" i="50"/>
  <c r="A500" i="50"/>
  <c r="N499" i="50"/>
  <c r="H499" i="50"/>
  <c r="E499" i="50"/>
  <c r="A499" i="50"/>
  <c r="N498" i="50"/>
  <c r="H498" i="50"/>
  <c r="E498" i="50"/>
  <c r="A498" i="50"/>
  <c r="N497" i="50"/>
  <c r="H497" i="50"/>
  <c r="E497" i="50"/>
  <c r="A497" i="50"/>
  <c r="N496" i="50"/>
  <c r="H496" i="50"/>
  <c r="E496" i="50"/>
  <c r="A496" i="50"/>
  <c r="N495" i="50"/>
  <c r="H495" i="50"/>
  <c r="E495" i="50"/>
  <c r="A495" i="50"/>
  <c r="N494" i="50"/>
  <c r="H494" i="50"/>
  <c r="E494" i="50"/>
  <c r="A494" i="50"/>
  <c r="N493" i="50"/>
  <c r="H493" i="50"/>
  <c r="E493" i="50"/>
  <c r="A493" i="50"/>
  <c r="N492" i="50"/>
  <c r="H492" i="50"/>
  <c r="E492" i="50"/>
  <c r="A492" i="50"/>
  <c r="N491" i="50"/>
  <c r="H491" i="50"/>
  <c r="E491" i="50"/>
  <c r="A491" i="50"/>
  <c r="N490" i="50"/>
  <c r="H490" i="50"/>
  <c r="E490" i="50"/>
  <c r="A490" i="50"/>
  <c r="N489" i="50"/>
  <c r="H489" i="50"/>
  <c r="E489" i="50"/>
  <c r="A489" i="50"/>
  <c r="N488" i="50"/>
  <c r="H488" i="50"/>
  <c r="E488" i="50"/>
  <c r="A488" i="50"/>
  <c r="N487" i="50"/>
  <c r="H487" i="50"/>
  <c r="E487" i="50"/>
  <c r="A487" i="50"/>
  <c r="N486" i="50"/>
  <c r="H486" i="50"/>
  <c r="E486" i="50"/>
  <c r="A486" i="50"/>
  <c r="N485" i="50"/>
  <c r="H485" i="50"/>
  <c r="E485" i="50"/>
  <c r="A485" i="50"/>
  <c r="N484" i="50"/>
  <c r="H484" i="50"/>
  <c r="E484" i="50"/>
  <c r="A484" i="50"/>
  <c r="N483" i="50"/>
  <c r="H483" i="50"/>
  <c r="E483" i="50"/>
  <c r="A483" i="50"/>
  <c r="N482" i="50"/>
  <c r="H482" i="50"/>
  <c r="E482" i="50"/>
  <c r="A482" i="50"/>
  <c r="N481" i="50"/>
  <c r="H481" i="50"/>
  <c r="E481" i="50"/>
  <c r="A481" i="50"/>
  <c r="N480" i="50"/>
  <c r="H480" i="50"/>
  <c r="E480" i="50"/>
  <c r="A480" i="50"/>
  <c r="N479" i="50"/>
  <c r="H479" i="50"/>
  <c r="E479" i="50"/>
  <c r="A479" i="50"/>
  <c r="N478" i="50"/>
  <c r="H478" i="50"/>
  <c r="E478" i="50"/>
  <c r="A478" i="50"/>
  <c r="N477" i="50"/>
  <c r="H477" i="50"/>
  <c r="E477" i="50"/>
  <c r="A477" i="50"/>
  <c r="N476" i="50"/>
  <c r="H476" i="50"/>
  <c r="E476" i="50"/>
  <c r="A476" i="50"/>
  <c r="N475" i="50"/>
  <c r="H475" i="50"/>
  <c r="E475" i="50"/>
  <c r="A475" i="50"/>
  <c r="N474" i="50"/>
  <c r="H474" i="50"/>
  <c r="E474" i="50"/>
  <c r="A474" i="50"/>
  <c r="N473" i="50"/>
  <c r="H473" i="50"/>
  <c r="E473" i="50"/>
  <c r="A473" i="50"/>
  <c r="N472" i="50"/>
  <c r="H472" i="50"/>
  <c r="E472" i="50"/>
  <c r="A472" i="50"/>
  <c r="N471" i="50"/>
  <c r="H471" i="50"/>
  <c r="E471" i="50"/>
  <c r="A471" i="50"/>
  <c r="N470" i="50"/>
  <c r="H470" i="50"/>
  <c r="E470" i="50"/>
  <c r="A470" i="50"/>
  <c r="N469" i="50"/>
  <c r="H469" i="50"/>
  <c r="E469" i="50"/>
  <c r="A469" i="50"/>
  <c r="N468" i="50"/>
  <c r="H468" i="50"/>
  <c r="E468" i="50"/>
  <c r="A468" i="50"/>
  <c r="N467" i="50"/>
  <c r="H467" i="50"/>
  <c r="E467" i="50"/>
  <c r="A467" i="50"/>
  <c r="N466" i="50"/>
  <c r="H466" i="50"/>
  <c r="E466" i="50"/>
  <c r="A466" i="50"/>
  <c r="N465" i="50"/>
  <c r="H465" i="50"/>
  <c r="E465" i="50"/>
  <c r="A465" i="50"/>
  <c r="N464" i="50"/>
  <c r="H464" i="50"/>
  <c r="E464" i="50"/>
  <c r="A464" i="50"/>
  <c r="N463" i="50"/>
  <c r="H463" i="50"/>
  <c r="E463" i="50"/>
  <c r="A463" i="50"/>
  <c r="N462" i="50"/>
  <c r="H462" i="50"/>
  <c r="E462" i="50"/>
  <c r="A462" i="50"/>
  <c r="N461" i="50"/>
  <c r="H461" i="50"/>
  <c r="E461" i="50"/>
  <c r="A461" i="50"/>
  <c r="N460" i="50"/>
  <c r="H460" i="50"/>
  <c r="E460" i="50"/>
  <c r="A460" i="50"/>
  <c r="N459" i="50"/>
  <c r="H459" i="50"/>
  <c r="E459" i="50"/>
  <c r="A459" i="50"/>
  <c r="N458" i="50"/>
  <c r="H458" i="50"/>
  <c r="E458" i="50"/>
  <c r="A458" i="50"/>
  <c r="N457" i="50"/>
  <c r="H457" i="50"/>
  <c r="E457" i="50"/>
  <c r="A457" i="50"/>
  <c r="N456" i="50"/>
  <c r="H456" i="50"/>
  <c r="E456" i="50"/>
  <c r="A456" i="50"/>
  <c r="N455" i="50"/>
  <c r="H455" i="50"/>
  <c r="E455" i="50"/>
  <c r="A455" i="50"/>
  <c r="N454" i="50"/>
  <c r="H454" i="50"/>
  <c r="E454" i="50"/>
  <c r="A454" i="50"/>
  <c r="N453" i="50"/>
  <c r="H453" i="50"/>
  <c r="E453" i="50"/>
  <c r="A453" i="50"/>
  <c r="N452" i="50"/>
  <c r="H452" i="50"/>
  <c r="E452" i="50"/>
  <c r="A452" i="50"/>
  <c r="N451" i="50"/>
  <c r="H451" i="50"/>
  <c r="E451" i="50"/>
  <c r="A451" i="50"/>
  <c r="N450" i="50"/>
  <c r="H450" i="50"/>
  <c r="E450" i="50"/>
  <c r="A450" i="50"/>
  <c r="N449" i="50"/>
  <c r="H449" i="50"/>
  <c r="E449" i="50"/>
  <c r="A449" i="50"/>
  <c r="N448" i="50"/>
  <c r="H448" i="50"/>
  <c r="E448" i="50"/>
  <c r="A448" i="50"/>
  <c r="N447" i="50"/>
  <c r="H447" i="50"/>
  <c r="E447" i="50"/>
  <c r="A447" i="50"/>
  <c r="N446" i="50"/>
  <c r="H446" i="50"/>
  <c r="E446" i="50"/>
  <c r="A446" i="50"/>
  <c r="N445" i="50"/>
  <c r="H445" i="50"/>
  <c r="E445" i="50"/>
  <c r="A445" i="50"/>
  <c r="N444" i="50"/>
  <c r="H444" i="50"/>
  <c r="E444" i="50"/>
  <c r="A444" i="50"/>
  <c r="N443" i="50"/>
  <c r="H443" i="50"/>
  <c r="E443" i="50"/>
  <c r="A443" i="50"/>
  <c r="N442" i="50"/>
  <c r="H442" i="50"/>
  <c r="E442" i="50"/>
  <c r="A442" i="50"/>
  <c r="N441" i="50"/>
  <c r="H441" i="50"/>
  <c r="E441" i="50"/>
  <c r="A441" i="50"/>
  <c r="N440" i="50"/>
  <c r="H440" i="50"/>
  <c r="E440" i="50"/>
  <c r="A440" i="50"/>
  <c r="N439" i="50"/>
  <c r="H439" i="50"/>
  <c r="E439" i="50"/>
  <c r="A439" i="50"/>
  <c r="N438" i="50"/>
  <c r="H438" i="50"/>
  <c r="E438" i="50"/>
  <c r="A438" i="50"/>
  <c r="N437" i="50"/>
  <c r="H437" i="50"/>
  <c r="E437" i="50"/>
  <c r="A437" i="50"/>
  <c r="N436" i="50"/>
  <c r="H436" i="50"/>
  <c r="E436" i="50"/>
  <c r="A436" i="50"/>
  <c r="N435" i="50"/>
  <c r="H435" i="50"/>
  <c r="E435" i="50"/>
  <c r="A435" i="50"/>
  <c r="N434" i="50"/>
  <c r="H434" i="50"/>
  <c r="E434" i="50"/>
  <c r="A434" i="50"/>
  <c r="N433" i="50"/>
  <c r="H433" i="50"/>
  <c r="E433" i="50"/>
  <c r="A433" i="50"/>
  <c r="N432" i="50"/>
  <c r="H432" i="50"/>
  <c r="E432" i="50"/>
  <c r="A432" i="50"/>
  <c r="N431" i="50"/>
  <c r="H431" i="50"/>
  <c r="E431" i="50"/>
  <c r="A431" i="50"/>
  <c r="N430" i="50"/>
  <c r="H430" i="50"/>
  <c r="E430" i="50"/>
  <c r="A430" i="50"/>
  <c r="N429" i="50"/>
  <c r="H429" i="50"/>
  <c r="E429" i="50"/>
  <c r="A429" i="50"/>
  <c r="N428" i="50"/>
  <c r="H428" i="50"/>
  <c r="E428" i="50"/>
  <c r="A428" i="50"/>
  <c r="N427" i="50"/>
  <c r="H427" i="50"/>
  <c r="E427" i="50"/>
  <c r="A427" i="50"/>
  <c r="N426" i="50"/>
  <c r="H426" i="50"/>
  <c r="E426" i="50"/>
  <c r="A426" i="50"/>
  <c r="N425" i="50"/>
  <c r="H425" i="50"/>
  <c r="E425" i="50"/>
  <c r="A425" i="50"/>
  <c r="N424" i="50"/>
  <c r="H424" i="50"/>
  <c r="E424" i="50"/>
  <c r="A424" i="50"/>
  <c r="N423" i="50"/>
  <c r="H423" i="50"/>
  <c r="E423" i="50"/>
  <c r="A423" i="50"/>
  <c r="N422" i="50"/>
  <c r="H422" i="50"/>
  <c r="E422" i="50"/>
  <c r="A422" i="50"/>
  <c r="N421" i="50"/>
  <c r="H421" i="50"/>
  <c r="E421" i="50"/>
  <c r="A421" i="50"/>
  <c r="N420" i="50"/>
  <c r="H420" i="50"/>
  <c r="E420" i="50"/>
  <c r="A420" i="50"/>
  <c r="N419" i="50"/>
  <c r="H419" i="50"/>
  <c r="E419" i="50"/>
  <c r="A419" i="50"/>
  <c r="N418" i="50"/>
  <c r="H418" i="50"/>
  <c r="E418" i="50"/>
  <c r="A418" i="50"/>
  <c r="N417" i="50"/>
  <c r="H417" i="50"/>
  <c r="E417" i="50"/>
  <c r="A417" i="50"/>
  <c r="N416" i="50"/>
  <c r="H416" i="50"/>
  <c r="E416" i="50"/>
  <c r="A416" i="50"/>
  <c r="N415" i="50"/>
  <c r="H415" i="50"/>
  <c r="E415" i="50"/>
  <c r="A415" i="50"/>
  <c r="N414" i="50"/>
  <c r="H414" i="50"/>
  <c r="E414" i="50"/>
  <c r="A414" i="50"/>
  <c r="N413" i="50"/>
  <c r="H413" i="50"/>
  <c r="E413" i="50"/>
  <c r="A413" i="50"/>
  <c r="N412" i="50"/>
  <c r="H412" i="50"/>
  <c r="E412" i="50"/>
  <c r="A412" i="50"/>
  <c r="N411" i="50"/>
  <c r="H411" i="50"/>
  <c r="E411" i="50"/>
  <c r="A411" i="50"/>
  <c r="N410" i="50"/>
  <c r="H410" i="50"/>
  <c r="E410" i="50"/>
  <c r="A410" i="50"/>
  <c r="N409" i="50"/>
  <c r="H409" i="50"/>
  <c r="E409" i="50"/>
  <c r="A409" i="50"/>
  <c r="N408" i="50"/>
  <c r="H408" i="50"/>
  <c r="E408" i="50"/>
  <c r="A408" i="50"/>
  <c r="N407" i="50"/>
  <c r="H407" i="50"/>
  <c r="E407" i="50"/>
  <c r="A407" i="50"/>
  <c r="N406" i="50"/>
  <c r="H406" i="50"/>
  <c r="E406" i="50"/>
  <c r="A406" i="50"/>
  <c r="N405" i="50"/>
  <c r="H405" i="50"/>
  <c r="E405" i="50"/>
  <c r="A405" i="50"/>
  <c r="N404" i="50"/>
  <c r="H404" i="50"/>
  <c r="E404" i="50"/>
  <c r="A404" i="50"/>
  <c r="N403" i="50"/>
  <c r="H403" i="50"/>
  <c r="E403" i="50"/>
  <c r="A403" i="50"/>
  <c r="N402" i="50"/>
  <c r="H402" i="50"/>
  <c r="E402" i="50"/>
  <c r="A402" i="50"/>
  <c r="N401" i="50"/>
  <c r="H401" i="50"/>
  <c r="E401" i="50"/>
  <c r="A401" i="50"/>
  <c r="N400" i="50"/>
  <c r="H400" i="50"/>
  <c r="E400" i="50"/>
  <c r="A400" i="50"/>
  <c r="N399" i="50"/>
  <c r="H399" i="50"/>
  <c r="E399" i="50"/>
  <c r="A399" i="50"/>
  <c r="N398" i="50"/>
  <c r="H398" i="50"/>
  <c r="E398" i="50"/>
  <c r="A398" i="50"/>
  <c r="N397" i="50"/>
  <c r="H397" i="50"/>
  <c r="E397" i="50"/>
  <c r="A397" i="50"/>
  <c r="N396" i="50"/>
  <c r="H396" i="50"/>
  <c r="E396" i="50"/>
  <c r="A396" i="50"/>
  <c r="N395" i="50"/>
  <c r="H395" i="50"/>
  <c r="E395" i="50"/>
  <c r="A395" i="50"/>
  <c r="N394" i="50"/>
  <c r="H394" i="50"/>
  <c r="E394" i="50"/>
  <c r="A394" i="50"/>
  <c r="N393" i="50"/>
  <c r="H393" i="50"/>
  <c r="E393" i="50"/>
  <c r="A393" i="50"/>
  <c r="N392" i="50"/>
  <c r="H392" i="50"/>
  <c r="E392" i="50"/>
  <c r="A392" i="50"/>
  <c r="N391" i="50"/>
  <c r="H391" i="50"/>
  <c r="E391" i="50"/>
  <c r="A391" i="50"/>
  <c r="N390" i="50"/>
  <c r="H390" i="50"/>
  <c r="E390" i="50"/>
  <c r="A390" i="50"/>
  <c r="N389" i="50"/>
  <c r="H389" i="50"/>
  <c r="E389" i="50"/>
  <c r="A389" i="50"/>
  <c r="N388" i="50"/>
  <c r="H388" i="50"/>
  <c r="E388" i="50"/>
  <c r="A388" i="50"/>
  <c r="N387" i="50"/>
  <c r="H387" i="50"/>
  <c r="E387" i="50"/>
  <c r="A387" i="50"/>
  <c r="N386" i="50"/>
  <c r="H386" i="50"/>
  <c r="E386" i="50"/>
  <c r="A386" i="50"/>
  <c r="N385" i="50"/>
  <c r="H385" i="50"/>
  <c r="E385" i="50"/>
  <c r="A385" i="50"/>
  <c r="N384" i="50"/>
  <c r="H384" i="50"/>
  <c r="E384" i="50"/>
  <c r="A384" i="50"/>
  <c r="N383" i="50"/>
  <c r="H383" i="50"/>
  <c r="E383" i="50"/>
  <c r="A383" i="50"/>
  <c r="N382" i="50"/>
  <c r="H382" i="50"/>
  <c r="E382" i="50"/>
  <c r="A382" i="50"/>
  <c r="N381" i="50"/>
  <c r="H381" i="50"/>
  <c r="E381" i="50"/>
  <c r="A381" i="50"/>
  <c r="N380" i="50"/>
  <c r="H380" i="50"/>
  <c r="E380" i="50"/>
  <c r="A380" i="50"/>
  <c r="N379" i="50"/>
  <c r="H379" i="50"/>
  <c r="E379" i="50"/>
  <c r="A379" i="50"/>
  <c r="N378" i="50"/>
  <c r="H378" i="50"/>
  <c r="E378" i="50"/>
  <c r="A378" i="50"/>
  <c r="N377" i="50"/>
  <c r="H377" i="50"/>
  <c r="E377" i="50"/>
  <c r="A377" i="50"/>
  <c r="N376" i="50"/>
  <c r="H376" i="50"/>
  <c r="E376" i="50"/>
  <c r="A376" i="50"/>
  <c r="N375" i="50"/>
  <c r="H375" i="50"/>
  <c r="E375" i="50"/>
  <c r="A375" i="50"/>
  <c r="N374" i="50"/>
  <c r="H374" i="50"/>
  <c r="E374" i="50"/>
  <c r="A374" i="50"/>
  <c r="N373" i="50"/>
  <c r="H373" i="50"/>
  <c r="E373" i="50"/>
  <c r="A373" i="50"/>
  <c r="N372" i="50"/>
  <c r="H372" i="50"/>
  <c r="E372" i="50"/>
  <c r="A372" i="50"/>
  <c r="N371" i="50"/>
  <c r="H371" i="50"/>
  <c r="E371" i="50"/>
  <c r="A371" i="50"/>
  <c r="N370" i="50"/>
  <c r="H370" i="50"/>
  <c r="E370" i="50"/>
  <c r="A370" i="50"/>
  <c r="N369" i="50"/>
  <c r="H369" i="50"/>
  <c r="E369" i="50"/>
  <c r="A369" i="50"/>
  <c r="N368" i="50"/>
  <c r="H368" i="50"/>
  <c r="E368" i="50"/>
  <c r="A368" i="50"/>
  <c r="N367" i="50"/>
  <c r="H367" i="50"/>
  <c r="E367" i="50"/>
  <c r="A367" i="50"/>
  <c r="N366" i="50"/>
  <c r="H366" i="50"/>
  <c r="E366" i="50"/>
  <c r="A366" i="50"/>
  <c r="N365" i="50"/>
  <c r="H365" i="50"/>
  <c r="E365" i="50"/>
  <c r="A365" i="50"/>
  <c r="N364" i="50"/>
  <c r="H364" i="50"/>
  <c r="E364" i="50"/>
  <c r="A364" i="50"/>
  <c r="N363" i="50"/>
  <c r="H363" i="50"/>
  <c r="E363" i="50"/>
  <c r="A363" i="50"/>
  <c r="N362" i="50"/>
  <c r="H362" i="50"/>
  <c r="E362" i="50"/>
  <c r="A362" i="50"/>
  <c r="N361" i="50"/>
  <c r="H361" i="50"/>
  <c r="E361" i="50"/>
  <c r="A361" i="50"/>
  <c r="N360" i="50"/>
  <c r="H360" i="50"/>
  <c r="E360" i="50"/>
  <c r="A360" i="50"/>
  <c r="N359" i="50"/>
  <c r="H359" i="50"/>
  <c r="E359" i="50"/>
  <c r="A359" i="50"/>
  <c r="N358" i="50"/>
  <c r="H358" i="50"/>
  <c r="E358" i="50"/>
  <c r="A358" i="50"/>
  <c r="N357" i="50"/>
  <c r="H357" i="50"/>
  <c r="E357" i="50"/>
  <c r="A357" i="50"/>
  <c r="N356" i="50"/>
  <c r="H356" i="50"/>
  <c r="E356" i="50"/>
  <c r="A356" i="50"/>
  <c r="N355" i="50"/>
  <c r="H355" i="50"/>
  <c r="E355" i="50"/>
  <c r="A355" i="50"/>
  <c r="N354" i="50"/>
  <c r="H354" i="50"/>
  <c r="E354" i="50"/>
  <c r="A354" i="50"/>
  <c r="N353" i="50"/>
  <c r="H353" i="50"/>
  <c r="E353" i="50"/>
  <c r="A353" i="50"/>
  <c r="N352" i="50"/>
  <c r="H352" i="50"/>
  <c r="E352" i="50"/>
  <c r="A352" i="50"/>
  <c r="N351" i="50"/>
  <c r="H351" i="50"/>
  <c r="E351" i="50"/>
  <c r="A351" i="50"/>
  <c r="N350" i="50"/>
  <c r="H350" i="50"/>
  <c r="E350" i="50"/>
  <c r="A350" i="50"/>
  <c r="N349" i="50"/>
  <c r="H349" i="50"/>
  <c r="E349" i="50"/>
  <c r="A349" i="50"/>
  <c r="N348" i="50"/>
  <c r="H348" i="50"/>
  <c r="E348" i="50"/>
  <c r="A348" i="50"/>
  <c r="N347" i="50"/>
  <c r="H347" i="50"/>
  <c r="E347" i="50"/>
  <c r="A347" i="50"/>
  <c r="N346" i="50"/>
  <c r="H346" i="50"/>
  <c r="E346" i="50"/>
  <c r="A346" i="50"/>
  <c r="N345" i="50"/>
  <c r="H345" i="50"/>
  <c r="E345" i="50"/>
  <c r="A345" i="50"/>
  <c r="N344" i="50"/>
  <c r="H344" i="50"/>
  <c r="E344" i="50"/>
  <c r="A344" i="50"/>
  <c r="N343" i="50"/>
  <c r="H343" i="50"/>
  <c r="E343" i="50"/>
  <c r="A343" i="50"/>
  <c r="N342" i="50"/>
  <c r="H342" i="50"/>
  <c r="E342" i="50"/>
  <c r="A342" i="50"/>
  <c r="N341" i="50"/>
  <c r="H341" i="50"/>
  <c r="E341" i="50"/>
  <c r="A341" i="50"/>
  <c r="N340" i="50"/>
  <c r="H340" i="50"/>
  <c r="E340" i="50"/>
  <c r="A340" i="50"/>
  <c r="N339" i="50"/>
  <c r="H339" i="50"/>
  <c r="E339" i="50"/>
  <c r="A339" i="50"/>
  <c r="N338" i="50"/>
  <c r="H338" i="50"/>
  <c r="E338" i="50"/>
  <c r="A338" i="50"/>
  <c r="N337" i="50"/>
  <c r="H337" i="50"/>
  <c r="E337" i="50"/>
  <c r="A337" i="50"/>
  <c r="N336" i="50"/>
  <c r="H336" i="50"/>
  <c r="E336" i="50"/>
  <c r="A336" i="50"/>
  <c r="N335" i="50"/>
  <c r="H335" i="50"/>
  <c r="E335" i="50"/>
  <c r="A335" i="50"/>
  <c r="N334" i="50"/>
  <c r="H334" i="50"/>
  <c r="E334" i="50"/>
  <c r="A334" i="50"/>
  <c r="N333" i="50"/>
  <c r="H333" i="50"/>
  <c r="E333" i="50"/>
  <c r="A333" i="50"/>
  <c r="N332" i="50"/>
  <c r="H332" i="50"/>
  <c r="E332" i="50"/>
  <c r="A332" i="50"/>
  <c r="N331" i="50"/>
  <c r="H331" i="50"/>
  <c r="E331" i="50"/>
  <c r="A331" i="50"/>
  <c r="N330" i="50"/>
  <c r="H330" i="50"/>
  <c r="E330" i="50"/>
  <c r="A330" i="50"/>
  <c r="N329" i="50"/>
  <c r="H329" i="50"/>
  <c r="E329" i="50"/>
  <c r="A329" i="50"/>
  <c r="N328" i="50"/>
  <c r="H328" i="50"/>
  <c r="E328" i="50"/>
  <c r="A328" i="50"/>
  <c r="N327" i="50"/>
  <c r="H327" i="50"/>
  <c r="E327" i="50"/>
  <c r="A327" i="50"/>
  <c r="N326" i="50"/>
  <c r="H326" i="50"/>
  <c r="E326" i="50"/>
  <c r="A326" i="50"/>
  <c r="N325" i="50"/>
  <c r="H325" i="50"/>
  <c r="E325" i="50"/>
  <c r="A325" i="50"/>
  <c r="N324" i="50"/>
  <c r="H324" i="50"/>
  <c r="E324" i="50"/>
  <c r="A324" i="50"/>
  <c r="N323" i="50"/>
  <c r="H323" i="50"/>
  <c r="E323" i="50"/>
  <c r="A323" i="50"/>
  <c r="N322" i="50"/>
  <c r="H322" i="50"/>
  <c r="E322" i="50"/>
  <c r="A322" i="50"/>
  <c r="N321" i="50"/>
  <c r="H321" i="50"/>
  <c r="E321" i="50"/>
  <c r="A321" i="50"/>
  <c r="N320" i="50"/>
  <c r="H320" i="50"/>
  <c r="E320" i="50"/>
  <c r="A320" i="50"/>
  <c r="N319" i="50"/>
  <c r="H319" i="50"/>
  <c r="E319" i="50"/>
  <c r="A319" i="50"/>
  <c r="N318" i="50"/>
  <c r="H318" i="50"/>
  <c r="E318" i="50"/>
  <c r="A318" i="50"/>
  <c r="N317" i="50"/>
  <c r="H317" i="50"/>
  <c r="E317" i="50"/>
  <c r="A317" i="50"/>
  <c r="N316" i="50"/>
  <c r="H316" i="50"/>
  <c r="E316" i="50"/>
  <c r="A316" i="50"/>
  <c r="N315" i="50"/>
  <c r="H315" i="50"/>
  <c r="E315" i="50"/>
  <c r="A315" i="50"/>
  <c r="N314" i="50"/>
  <c r="H314" i="50"/>
  <c r="E314" i="50"/>
  <c r="A314" i="50"/>
  <c r="N313" i="50"/>
  <c r="H313" i="50"/>
  <c r="E313" i="50"/>
  <c r="A313" i="50"/>
  <c r="N312" i="50"/>
  <c r="H312" i="50"/>
  <c r="E312" i="50"/>
  <c r="A312" i="50"/>
  <c r="N311" i="50"/>
  <c r="H311" i="50"/>
  <c r="E311" i="50"/>
  <c r="A311" i="50"/>
  <c r="N310" i="50"/>
  <c r="H310" i="50"/>
  <c r="E310" i="50"/>
  <c r="A310" i="50"/>
  <c r="N309" i="50"/>
  <c r="H309" i="50"/>
  <c r="E309" i="50"/>
  <c r="A309" i="50"/>
  <c r="N308" i="50"/>
  <c r="H308" i="50"/>
  <c r="E308" i="50"/>
  <c r="A308" i="50"/>
  <c r="N307" i="50"/>
  <c r="H307" i="50"/>
  <c r="E307" i="50"/>
  <c r="A307" i="50"/>
  <c r="N306" i="50"/>
  <c r="H306" i="50"/>
  <c r="E306" i="50"/>
  <c r="A306" i="50"/>
  <c r="N305" i="50"/>
  <c r="H305" i="50"/>
  <c r="E305" i="50"/>
  <c r="A305" i="50"/>
  <c r="N304" i="50"/>
  <c r="H304" i="50"/>
  <c r="E304" i="50"/>
  <c r="A304" i="50"/>
  <c r="N303" i="50"/>
  <c r="H303" i="50"/>
  <c r="E303" i="50"/>
  <c r="A303" i="50"/>
  <c r="N302" i="50"/>
  <c r="H302" i="50"/>
  <c r="E302" i="50"/>
  <c r="A302" i="50"/>
  <c r="N301" i="50"/>
  <c r="H301" i="50"/>
  <c r="E301" i="50"/>
  <c r="A301" i="50"/>
  <c r="N300" i="50"/>
  <c r="H300" i="50"/>
  <c r="E300" i="50"/>
  <c r="A300" i="50"/>
  <c r="N299" i="50"/>
  <c r="H299" i="50"/>
  <c r="E299" i="50"/>
  <c r="A299" i="50"/>
  <c r="N298" i="50"/>
  <c r="H298" i="50"/>
  <c r="E298" i="50"/>
  <c r="A298" i="50"/>
  <c r="N297" i="50"/>
  <c r="H297" i="50"/>
  <c r="E297" i="50"/>
  <c r="A297" i="50"/>
  <c r="N296" i="50"/>
  <c r="H296" i="50"/>
  <c r="E296" i="50"/>
  <c r="A296" i="50"/>
  <c r="N295" i="50"/>
  <c r="H295" i="50"/>
  <c r="E295" i="50"/>
  <c r="A295" i="50"/>
  <c r="N294" i="50"/>
  <c r="H294" i="50"/>
  <c r="E294" i="50"/>
  <c r="A294" i="50"/>
  <c r="N293" i="50"/>
  <c r="H293" i="50"/>
  <c r="E293" i="50"/>
  <c r="A293" i="50"/>
  <c r="N292" i="50"/>
  <c r="H292" i="50"/>
  <c r="E292" i="50"/>
  <c r="A292" i="50"/>
  <c r="N291" i="50"/>
  <c r="H291" i="50"/>
  <c r="E291" i="50"/>
  <c r="A291" i="50"/>
  <c r="N290" i="50"/>
  <c r="H290" i="50"/>
  <c r="E290" i="50"/>
  <c r="A290" i="50"/>
  <c r="N289" i="50"/>
  <c r="H289" i="50"/>
  <c r="E289" i="50"/>
  <c r="A289" i="50"/>
  <c r="N288" i="50"/>
  <c r="H288" i="50"/>
  <c r="E288" i="50"/>
  <c r="A288" i="50"/>
  <c r="N287" i="50"/>
  <c r="H287" i="50"/>
  <c r="E287" i="50"/>
  <c r="A287" i="50"/>
  <c r="N286" i="50"/>
  <c r="H286" i="50"/>
  <c r="E286" i="50"/>
  <c r="A286" i="50"/>
  <c r="N285" i="50"/>
  <c r="H285" i="50"/>
  <c r="E285" i="50"/>
  <c r="A285" i="50"/>
  <c r="N284" i="50"/>
  <c r="H284" i="50"/>
  <c r="E284" i="50"/>
  <c r="A284" i="50"/>
  <c r="N283" i="50"/>
  <c r="H283" i="50"/>
  <c r="E283" i="50"/>
  <c r="A283" i="50"/>
  <c r="N282" i="50"/>
  <c r="H282" i="50"/>
  <c r="E282" i="50"/>
  <c r="A282" i="50"/>
  <c r="N281" i="50"/>
  <c r="H281" i="50"/>
  <c r="E281" i="50"/>
  <c r="A281" i="50"/>
  <c r="N280" i="50"/>
  <c r="H280" i="50"/>
  <c r="E280" i="50"/>
  <c r="A280" i="50"/>
  <c r="N279" i="50"/>
  <c r="H279" i="50"/>
  <c r="E279" i="50"/>
  <c r="A279" i="50"/>
  <c r="N278" i="50"/>
  <c r="H278" i="50"/>
  <c r="E278" i="50"/>
  <c r="A278" i="50"/>
  <c r="N277" i="50"/>
  <c r="H277" i="50"/>
  <c r="E277" i="50"/>
  <c r="A277" i="50"/>
  <c r="N276" i="50"/>
  <c r="H276" i="50"/>
  <c r="E276" i="50"/>
  <c r="A276" i="50"/>
  <c r="N275" i="50"/>
  <c r="H275" i="50"/>
  <c r="E275" i="50"/>
  <c r="A275" i="50"/>
  <c r="N274" i="50"/>
  <c r="H274" i="50"/>
  <c r="E274" i="50"/>
  <c r="A274" i="50"/>
  <c r="N273" i="50"/>
  <c r="H273" i="50"/>
  <c r="E273" i="50"/>
  <c r="A273" i="50"/>
  <c r="N272" i="50"/>
  <c r="H272" i="50"/>
  <c r="E272" i="50"/>
  <c r="A272" i="50"/>
  <c r="N271" i="50"/>
  <c r="H271" i="50"/>
  <c r="E271" i="50"/>
  <c r="A271" i="50"/>
  <c r="N270" i="50"/>
  <c r="H270" i="50"/>
  <c r="E270" i="50"/>
  <c r="A270" i="50"/>
  <c r="N269" i="50"/>
  <c r="H269" i="50"/>
  <c r="E269" i="50"/>
  <c r="A269" i="50"/>
  <c r="N268" i="50"/>
  <c r="H268" i="50"/>
  <c r="E268" i="50"/>
  <c r="A268" i="50"/>
  <c r="N267" i="50"/>
  <c r="H267" i="50"/>
  <c r="E267" i="50"/>
  <c r="A267" i="50"/>
  <c r="N266" i="50"/>
  <c r="H266" i="50"/>
  <c r="E266" i="50"/>
  <c r="A266" i="50"/>
  <c r="N265" i="50"/>
  <c r="H265" i="50"/>
  <c r="E265" i="50"/>
  <c r="A265" i="50"/>
  <c r="N264" i="50"/>
  <c r="H264" i="50"/>
  <c r="E264" i="50"/>
  <c r="A264" i="50"/>
  <c r="N263" i="50"/>
  <c r="H263" i="50"/>
  <c r="E263" i="50"/>
  <c r="A263" i="50"/>
  <c r="N262" i="50"/>
  <c r="H262" i="50"/>
  <c r="E262" i="50"/>
  <c r="A262" i="50"/>
  <c r="N261" i="50"/>
  <c r="H261" i="50"/>
  <c r="E261" i="50"/>
  <c r="A261" i="50"/>
  <c r="N260" i="50"/>
  <c r="H260" i="50"/>
  <c r="E260" i="50"/>
  <c r="A260" i="50"/>
  <c r="N259" i="50"/>
  <c r="H259" i="50"/>
  <c r="E259" i="50"/>
  <c r="A259" i="50"/>
  <c r="N258" i="50"/>
  <c r="H258" i="50"/>
  <c r="E258" i="50"/>
  <c r="A258" i="50"/>
  <c r="N257" i="50"/>
  <c r="H257" i="50"/>
  <c r="E257" i="50"/>
  <c r="A257" i="50"/>
  <c r="N256" i="50"/>
  <c r="H256" i="50"/>
  <c r="E256" i="50"/>
  <c r="A256" i="50"/>
  <c r="N255" i="50"/>
  <c r="H255" i="50"/>
  <c r="E255" i="50"/>
  <c r="A255" i="50"/>
  <c r="N254" i="50"/>
  <c r="H254" i="50"/>
  <c r="E254" i="50"/>
  <c r="A254" i="50"/>
  <c r="N253" i="50"/>
  <c r="H253" i="50"/>
  <c r="E253" i="50"/>
  <c r="A253" i="50"/>
  <c r="N252" i="50"/>
  <c r="H252" i="50"/>
  <c r="E252" i="50"/>
  <c r="A252" i="50"/>
  <c r="N251" i="50"/>
  <c r="H251" i="50"/>
  <c r="E251" i="50"/>
  <c r="A251" i="50"/>
  <c r="N250" i="50"/>
  <c r="H250" i="50"/>
  <c r="E250" i="50"/>
  <c r="A250" i="50"/>
  <c r="N249" i="50"/>
  <c r="H249" i="50"/>
  <c r="E249" i="50"/>
  <c r="A249" i="50"/>
  <c r="N248" i="50"/>
  <c r="H248" i="50"/>
  <c r="E248" i="50"/>
  <c r="A248" i="50"/>
  <c r="N247" i="50"/>
  <c r="H247" i="50"/>
  <c r="E247" i="50"/>
  <c r="A247" i="50"/>
  <c r="N246" i="50"/>
  <c r="H246" i="50"/>
  <c r="E246" i="50"/>
  <c r="A246" i="50"/>
  <c r="N245" i="50"/>
  <c r="H245" i="50"/>
  <c r="E245" i="50"/>
  <c r="A245" i="50"/>
  <c r="N244" i="50"/>
  <c r="H244" i="50"/>
  <c r="E244" i="50"/>
  <c r="A244" i="50"/>
  <c r="N243" i="50"/>
  <c r="H243" i="50"/>
  <c r="E243" i="50"/>
  <c r="A243" i="50"/>
  <c r="N242" i="50"/>
  <c r="H242" i="50"/>
  <c r="E242" i="50"/>
  <c r="A242" i="50"/>
  <c r="N241" i="50"/>
  <c r="H241" i="50"/>
  <c r="E241" i="50"/>
  <c r="A241" i="50"/>
  <c r="N240" i="50"/>
  <c r="H240" i="50"/>
  <c r="E240" i="50"/>
  <c r="A240" i="50"/>
  <c r="N239" i="50"/>
  <c r="H239" i="50"/>
  <c r="E239" i="50"/>
  <c r="A239" i="50"/>
  <c r="N238" i="50"/>
  <c r="H238" i="50"/>
  <c r="E238" i="50"/>
  <c r="A238" i="50"/>
  <c r="N237" i="50"/>
  <c r="H237" i="50"/>
  <c r="E237" i="50"/>
  <c r="A237" i="50"/>
  <c r="N236" i="50"/>
  <c r="H236" i="50"/>
  <c r="E236" i="50"/>
  <c r="A236" i="50"/>
  <c r="N235" i="50"/>
  <c r="H235" i="50"/>
  <c r="E235" i="50"/>
  <c r="A235" i="50"/>
  <c r="N234" i="50"/>
  <c r="H234" i="50"/>
  <c r="E234" i="50"/>
  <c r="A234" i="50"/>
  <c r="N233" i="50"/>
  <c r="H233" i="50"/>
  <c r="E233" i="50"/>
  <c r="A233" i="50"/>
  <c r="N232" i="50"/>
  <c r="H232" i="50"/>
  <c r="E232" i="50"/>
  <c r="A232" i="50"/>
  <c r="N231" i="50"/>
  <c r="H231" i="50"/>
  <c r="E231" i="50"/>
  <c r="A231" i="50"/>
  <c r="N230" i="50"/>
  <c r="H230" i="50"/>
  <c r="E230" i="50"/>
  <c r="A230" i="50"/>
  <c r="N229" i="50"/>
  <c r="H229" i="50"/>
  <c r="E229" i="50"/>
  <c r="A229" i="50"/>
  <c r="N228" i="50"/>
  <c r="H228" i="50"/>
  <c r="E228" i="50"/>
  <c r="A228" i="50"/>
  <c r="N227" i="50"/>
  <c r="H227" i="50"/>
  <c r="E227" i="50"/>
  <c r="A227" i="50"/>
  <c r="N226" i="50"/>
  <c r="H226" i="50"/>
  <c r="E226" i="50"/>
  <c r="A226" i="50"/>
  <c r="N225" i="50"/>
  <c r="H225" i="50"/>
  <c r="E225" i="50"/>
  <c r="A225" i="50"/>
  <c r="N224" i="50"/>
  <c r="H224" i="50"/>
  <c r="E224" i="50"/>
  <c r="A224" i="50"/>
  <c r="N223" i="50"/>
  <c r="H223" i="50"/>
  <c r="E223" i="50"/>
  <c r="A223" i="50"/>
  <c r="N222" i="50"/>
  <c r="H222" i="50"/>
  <c r="E222" i="50"/>
  <c r="A222" i="50"/>
  <c r="N221" i="50"/>
  <c r="H221" i="50"/>
  <c r="E221" i="50"/>
  <c r="A221" i="50"/>
  <c r="N220" i="50"/>
  <c r="H220" i="50"/>
  <c r="E220" i="50"/>
  <c r="A220" i="50"/>
  <c r="N219" i="50"/>
  <c r="H219" i="50"/>
  <c r="E219" i="50"/>
  <c r="A219" i="50"/>
  <c r="N218" i="50"/>
  <c r="H218" i="50"/>
  <c r="E218" i="50"/>
  <c r="A218" i="50"/>
  <c r="N217" i="50"/>
  <c r="H217" i="50"/>
  <c r="E217" i="50"/>
  <c r="A217" i="50"/>
  <c r="N216" i="50"/>
  <c r="H216" i="50"/>
  <c r="E216" i="50"/>
  <c r="A216" i="50"/>
  <c r="N215" i="50"/>
  <c r="H215" i="50"/>
  <c r="E215" i="50"/>
  <c r="A215" i="50"/>
  <c r="N214" i="50"/>
  <c r="H214" i="50"/>
  <c r="E214" i="50"/>
  <c r="A214" i="50"/>
  <c r="N213" i="50"/>
  <c r="H213" i="50"/>
  <c r="E213" i="50"/>
  <c r="A213" i="50"/>
  <c r="N212" i="50"/>
  <c r="H212" i="50"/>
  <c r="E212" i="50"/>
  <c r="A212" i="50"/>
  <c r="N211" i="50"/>
  <c r="H211" i="50"/>
  <c r="E211" i="50"/>
  <c r="A211" i="50"/>
  <c r="N210" i="50"/>
  <c r="H210" i="50"/>
  <c r="E210" i="50"/>
  <c r="A210" i="50"/>
  <c r="N209" i="50"/>
  <c r="H209" i="50"/>
  <c r="E209" i="50"/>
  <c r="A209" i="50"/>
  <c r="N208" i="50"/>
  <c r="H208" i="50"/>
  <c r="E208" i="50"/>
  <c r="A208" i="50"/>
  <c r="N207" i="50"/>
  <c r="H207" i="50"/>
  <c r="E207" i="50"/>
  <c r="A207" i="50"/>
  <c r="N206" i="50"/>
  <c r="H206" i="50"/>
  <c r="E206" i="50"/>
  <c r="A206" i="50"/>
  <c r="N205" i="50"/>
  <c r="H205" i="50"/>
  <c r="E205" i="50"/>
  <c r="A205" i="50"/>
  <c r="N204" i="50"/>
  <c r="H204" i="50"/>
  <c r="E204" i="50"/>
  <c r="A204" i="50"/>
  <c r="N203" i="50"/>
  <c r="H203" i="50"/>
  <c r="E203" i="50"/>
  <c r="A203" i="50"/>
  <c r="N202" i="50"/>
  <c r="H202" i="50"/>
  <c r="E202" i="50"/>
  <c r="A202" i="50"/>
  <c r="N201" i="50"/>
  <c r="H201" i="50"/>
  <c r="E201" i="50"/>
  <c r="A201" i="50"/>
  <c r="N200" i="50"/>
  <c r="H200" i="50"/>
  <c r="E200" i="50"/>
  <c r="A200" i="50"/>
  <c r="N199" i="50"/>
  <c r="H199" i="50"/>
  <c r="E199" i="50"/>
  <c r="A199" i="50"/>
  <c r="N198" i="50"/>
  <c r="H198" i="50"/>
  <c r="E198" i="50"/>
  <c r="A198" i="50"/>
  <c r="N197" i="50"/>
  <c r="H197" i="50"/>
  <c r="E197" i="50"/>
  <c r="A197" i="50"/>
  <c r="N196" i="50"/>
  <c r="H196" i="50"/>
  <c r="E196" i="50"/>
  <c r="A196" i="50"/>
  <c r="N195" i="50"/>
  <c r="H195" i="50"/>
  <c r="E195" i="50"/>
  <c r="A195" i="50"/>
  <c r="N194" i="50"/>
  <c r="H194" i="50"/>
  <c r="E194" i="50"/>
  <c r="A194" i="50"/>
  <c r="N193" i="50"/>
  <c r="H193" i="50"/>
  <c r="E193" i="50"/>
  <c r="A193" i="50"/>
  <c r="N192" i="50"/>
  <c r="H192" i="50"/>
  <c r="E192" i="50"/>
  <c r="A192" i="50"/>
  <c r="N191" i="50"/>
  <c r="H191" i="50"/>
  <c r="E191" i="50"/>
  <c r="A191" i="50"/>
  <c r="N190" i="50"/>
  <c r="H190" i="50"/>
  <c r="E190" i="50"/>
  <c r="A190" i="50"/>
  <c r="N189" i="50"/>
  <c r="H189" i="50"/>
  <c r="E189" i="50"/>
  <c r="A189" i="50"/>
  <c r="N188" i="50"/>
  <c r="H188" i="50"/>
  <c r="E188" i="50"/>
  <c r="A188" i="50"/>
  <c r="N187" i="50"/>
  <c r="H187" i="50"/>
  <c r="E187" i="50"/>
  <c r="A187" i="50"/>
  <c r="N186" i="50"/>
  <c r="H186" i="50"/>
  <c r="E186" i="50"/>
  <c r="A186" i="50"/>
  <c r="N185" i="50"/>
  <c r="H185" i="50"/>
  <c r="E185" i="50"/>
  <c r="A185" i="50"/>
  <c r="N184" i="50"/>
  <c r="H184" i="50"/>
  <c r="E184" i="50"/>
  <c r="A184" i="50"/>
  <c r="N183" i="50"/>
  <c r="H183" i="50"/>
  <c r="E183" i="50"/>
  <c r="A183" i="50"/>
  <c r="N182" i="50"/>
  <c r="H182" i="50"/>
  <c r="E182" i="50"/>
  <c r="A182" i="50"/>
  <c r="N181" i="50"/>
  <c r="H181" i="50"/>
  <c r="E181" i="50"/>
  <c r="A181" i="50"/>
  <c r="N180" i="50"/>
  <c r="H180" i="50"/>
  <c r="E180" i="50"/>
  <c r="A180" i="50"/>
  <c r="N179" i="50"/>
  <c r="H179" i="50"/>
  <c r="E179" i="50"/>
  <c r="A179" i="50"/>
  <c r="N178" i="50"/>
  <c r="H178" i="50"/>
  <c r="E178" i="50"/>
  <c r="A178" i="50"/>
  <c r="N177" i="50"/>
  <c r="H177" i="50"/>
  <c r="E177" i="50"/>
  <c r="A177" i="50"/>
  <c r="N176" i="50"/>
  <c r="H176" i="50"/>
  <c r="E176" i="50"/>
  <c r="A176" i="50"/>
  <c r="N175" i="50"/>
  <c r="H175" i="50"/>
  <c r="E175" i="50"/>
  <c r="A175" i="50"/>
  <c r="N174" i="50"/>
  <c r="H174" i="50"/>
  <c r="E174" i="50"/>
  <c r="A174" i="50"/>
  <c r="N173" i="50"/>
  <c r="H173" i="50"/>
  <c r="E173" i="50"/>
  <c r="A173" i="50"/>
  <c r="N172" i="50"/>
  <c r="H172" i="50"/>
  <c r="E172" i="50"/>
  <c r="A172" i="50"/>
  <c r="N171" i="50"/>
  <c r="H171" i="50"/>
  <c r="E171" i="50"/>
  <c r="A171" i="50"/>
  <c r="N170" i="50"/>
  <c r="H170" i="50"/>
  <c r="E170" i="50"/>
  <c r="A170" i="50"/>
  <c r="N169" i="50"/>
  <c r="H169" i="50"/>
  <c r="E169" i="50"/>
  <c r="A169" i="50"/>
  <c r="N168" i="50"/>
  <c r="H168" i="50"/>
  <c r="E168" i="50"/>
  <c r="A168" i="50"/>
  <c r="N167" i="50"/>
  <c r="H167" i="50"/>
  <c r="E167" i="50"/>
  <c r="A167" i="50"/>
  <c r="N166" i="50"/>
  <c r="H166" i="50"/>
  <c r="E166" i="50"/>
  <c r="A166" i="50"/>
  <c r="N165" i="50"/>
  <c r="H165" i="50"/>
  <c r="E165" i="50"/>
  <c r="A165" i="50"/>
  <c r="N164" i="50"/>
  <c r="H164" i="50"/>
  <c r="E164" i="50"/>
  <c r="A164" i="50"/>
  <c r="N163" i="50"/>
  <c r="H163" i="50"/>
  <c r="E163" i="50"/>
  <c r="A163" i="50"/>
  <c r="N162" i="50"/>
  <c r="H162" i="50"/>
  <c r="E162" i="50"/>
  <c r="A162" i="50"/>
  <c r="N161" i="50"/>
  <c r="H161" i="50"/>
  <c r="E161" i="50"/>
  <c r="A161" i="50"/>
  <c r="N160" i="50"/>
  <c r="H160" i="50"/>
  <c r="E160" i="50"/>
  <c r="A160" i="50"/>
  <c r="N159" i="50"/>
  <c r="H159" i="50"/>
  <c r="E159" i="50"/>
  <c r="A159" i="50"/>
  <c r="N158" i="50"/>
  <c r="H158" i="50"/>
  <c r="E158" i="50"/>
  <c r="A158" i="50"/>
  <c r="N157" i="50"/>
  <c r="H157" i="50"/>
  <c r="E157" i="50"/>
  <c r="A157" i="50"/>
  <c r="N156" i="50"/>
  <c r="H156" i="50"/>
  <c r="E156" i="50"/>
  <c r="A156" i="50"/>
  <c r="N155" i="50"/>
  <c r="H155" i="50"/>
  <c r="E155" i="50"/>
  <c r="A155" i="50"/>
  <c r="N154" i="50"/>
  <c r="H154" i="50"/>
  <c r="E154" i="50"/>
  <c r="A154" i="50"/>
  <c r="N153" i="50"/>
  <c r="H153" i="50"/>
  <c r="E153" i="50"/>
  <c r="A153" i="50"/>
  <c r="N152" i="50"/>
  <c r="H152" i="50"/>
  <c r="E152" i="50"/>
  <c r="A152" i="50"/>
  <c r="N151" i="50"/>
  <c r="H151" i="50"/>
  <c r="E151" i="50"/>
  <c r="A151" i="50"/>
  <c r="N150" i="50"/>
  <c r="H150" i="50"/>
  <c r="E150" i="50"/>
  <c r="A150" i="50"/>
  <c r="N149" i="50"/>
  <c r="H149" i="50"/>
  <c r="E149" i="50"/>
  <c r="A149" i="50"/>
  <c r="N148" i="50"/>
  <c r="H148" i="50"/>
  <c r="E148" i="50"/>
  <c r="A148" i="50"/>
  <c r="N147" i="50"/>
  <c r="H147" i="50"/>
  <c r="E147" i="50"/>
  <c r="A147" i="50"/>
  <c r="N146" i="50"/>
  <c r="H146" i="50"/>
  <c r="E146" i="50"/>
  <c r="A146" i="50"/>
  <c r="N145" i="50"/>
  <c r="H145" i="50"/>
  <c r="E145" i="50"/>
  <c r="A145" i="50"/>
  <c r="N144" i="50"/>
  <c r="H144" i="50"/>
  <c r="E144" i="50"/>
  <c r="A144" i="50"/>
  <c r="N143" i="50"/>
  <c r="H143" i="50"/>
  <c r="E143" i="50"/>
  <c r="A143" i="50"/>
  <c r="N142" i="50"/>
  <c r="H142" i="50"/>
  <c r="E142" i="50"/>
  <c r="A142" i="50"/>
  <c r="N141" i="50"/>
  <c r="H141" i="50"/>
  <c r="E141" i="50"/>
  <c r="A141" i="50"/>
  <c r="N140" i="50"/>
  <c r="H140" i="50"/>
  <c r="E140" i="50"/>
  <c r="A140" i="50"/>
  <c r="N139" i="50"/>
  <c r="H139" i="50"/>
  <c r="E139" i="50"/>
  <c r="A139" i="50"/>
  <c r="N138" i="50"/>
  <c r="H138" i="50"/>
  <c r="E138" i="50"/>
  <c r="A138" i="50"/>
  <c r="N137" i="50"/>
  <c r="H137" i="50"/>
  <c r="E137" i="50"/>
  <c r="A137" i="50"/>
  <c r="N136" i="50"/>
  <c r="H136" i="50"/>
  <c r="E136" i="50"/>
  <c r="A136" i="50"/>
  <c r="N135" i="50"/>
  <c r="H135" i="50"/>
  <c r="E135" i="50"/>
  <c r="A135" i="50"/>
  <c r="N134" i="50"/>
  <c r="H134" i="50"/>
  <c r="E134" i="50"/>
  <c r="A134" i="50"/>
  <c r="N133" i="50"/>
  <c r="H133" i="50"/>
  <c r="E133" i="50"/>
  <c r="A133" i="50"/>
  <c r="N132" i="50"/>
  <c r="H132" i="50"/>
  <c r="E132" i="50"/>
  <c r="A132" i="50"/>
  <c r="N131" i="50"/>
  <c r="H131" i="50"/>
  <c r="E131" i="50"/>
  <c r="A131" i="50"/>
  <c r="N130" i="50"/>
  <c r="H130" i="50"/>
  <c r="E130" i="50"/>
  <c r="A130" i="50"/>
  <c r="N129" i="50"/>
  <c r="H129" i="50"/>
  <c r="E129" i="50"/>
  <c r="A129" i="50"/>
  <c r="N128" i="50"/>
  <c r="H128" i="50"/>
  <c r="E128" i="50"/>
  <c r="A128" i="50"/>
  <c r="N127" i="50"/>
  <c r="H127" i="50"/>
  <c r="E127" i="50"/>
  <c r="A127" i="50"/>
  <c r="N126" i="50"/>
  <c r="H126" i="50"/>
  <c r="E126" i="50"/>
  <c r="A126" i="50"/>
  <c r="N125" i="50"/>
  <c r="H125" i="50"/>
  <c r="E125" i="50"/>
  <c r="A125" i="50"/>
  <c r="N124" i="50"/>
  <c r="H124" i="50"/>
  <c r="E124" i="50"/>
  <c r="A124" i="50"/>
  <c r="N123" i="50"/>
  <c r="H123" i="50"/>
  <c r="E123" i="50"/>
  <c r="A123" i="50"/>
  <c r="N122" i="50"/>
  <c r="H122" i="50"/>
  <c r="E122" i="50"/>
  <c r="A122" i="50"/>
  <c r="N121" i="50"/>
  <c r="H121" i="50"/>
  <c r="E121" i="50"/>
  <c r="A121" i="50"/>
  <c r="N120" i="50"/>
  <c r="H120" i="50"/>
  <c r="E120" i="50"/>
  <c r="A120" i="50"/>
  <c r="N119" i="50"/>
  <c r="H119" i="50"/>
  <c r="E119" i="50"/>
  <c r="A119" i="50"/>
  <c r="N118" i="50"/>
  <c r="H118" i="50"/>
  <c r="E118" i="50"/>
  <c r="A118" i="50"/>
  <c r="N117" i="50"/>
  <c r="H117" i="50"/>
  <c r="E117" i="50"/>
  <c r="A117" i="50"/>
  <c r="N116" i="50"/>
  <c r="H116" i="50"/>
  <c r="E116" i="50"/>
  <c r="A116" i="50"/>
  <c r="N115" i="50"/>
  <c r="H115" i="50"/>
  <c r="E115" i="50"/>
  <c r="A115" i="50"/>
  <c r="N114" i="50"/>
  <c r="H114" i="50"/>
  <c r="E114" i="50"/>
  <c r="A114" i="50"/>
  <c r="N113" i="50"/>
  <c r="H113" i="50"/>
  <c r="E113" i="50"/>
  <c r="A113" i="50"/>
  <c r="N112" i="50"/>
  <c r="H112" i="50"/>
  <c r="E112" i="50"/>
  <c r="A112" i="50"/>
  <c r="N111" i="50"/>
  <c r="H111" i="50"/>
  <c r="E111" i="50"/>
  <c r="A111" i="50"/>
  <c r="N110" i="50"/>
  <c r="H110" i="50"/>
  <c r="E110" i="50"/>
  <c r="A110" i="50"/>
  <c r="N109" i="50"/>
  <c r="H109" i="50"/>
  <c r="E109" i="50"/>
  <c r="A109" i="50"/>
  <c r="N108" i="50"/>
  <c r="H108" i="50"/>
  <c r="E108" i="50"/>
  <c r="A108" i="50"/>
  <c r="N107" i="50"/>
  <c r="H107" i="50"/>
  <c r="E107" i="50"/>
  <c r="A107" i="50"/>
  <c r="N106" i="50"/>
  <c r="H106" i="50"/>
  <c r="E106" i="50"/>
  <c r="A106" i="50"/>
  <c r="N105" i="50"/>
  <c r="H105" i="50"/>
  <c r="E105" i="50"/>
  <c r="A105" i="50"/>
  <c r="N104" i="50"/>
  <c r="H104" i="50"/>
  <c r="E104" i="50"/>
  <c r="A104" i="50"/>
  <c r="N103" i="50"/>
  <c r="H103" i="50"/>
  <c r="E103" i="50"/>
  <c r="A103" i="50"/>
  <c r="N102" i="50"/>
  <c r="H102" i="50"/>
  <c r="E102" i="50"/>
  <c r="A102" i="50"/>
  <c r="N101" i="50"/>
  <c r="H101" i="50"/>
  <c r="E101" i="50"/>
  <c r="A101" i="50"/>
  <c r="N100" i="50"/>
  <c r="H100" i="50"/>
  <c r="E100" i="50"/>
  <c r="A100" i="50"/>
  <c r="N99" i="50"/>
  <c r="H99" i="50"/>
  <c r="E99" i="50"/>
  <c r="A99" i="50"/>
  <c r="N98" i="50"/>
  <c r="H98" i="50"/>
  <c r="E98" i="50"/>
  <c r="A98" i="50"/>
  <c r="N97" i="50"/>
  <c r="H97" i="50"/>
  <c r="E97" i="50"/>
  <c r="A97" i="50"/>
  <c r="N96" i="50"/>
  <c r="H96" i="50"/>
  <c r="E96" i="50"/>
  <c r="A96" i="50"/>
  <c r="N95" i="50"/>
  <c r="H95" i="50"/>
  <c r="E95" i="50"/>
  <c r="A95" i="50"/>
  <c r="N94" i="50"/>
  <c r="H94" i="50"/>
  <c r="E94" i="50"/>
  <c r="A94" i="50"/>
  <c r="N93" i="50"/>
  <c r="H93" i="50"/>
  <c r="E93" i="50"/>
  <c r="A93" i="50"/>
  <c r="N92" i="50"/>
  <c r="H92" i="50"/>
  <c r="E92" i="50"/>
  <c r="A92" i="50"/>
  <c r="N91" i="50"/>
  <c r="H91" i="50"/>
  <c r="E91" i="50"/>
  <c r="A91" i="50"/>
  <c r="N90" i="50"/>
  <c r="H90" i="50"/>
  <c r="E90" i="50"/>
  <c r="A90" i="50"/>
  <c r="N89" i="50"/>
  <c r="H89" i="50"/>
  <c r="E89" i="50"/>
  <c r="A89" i="50"/>
  <c r="N88" i="50"/>
  <c r="H88" i="50"/>
  <c r="E88" i="50"/>
  <c r="A88" i="50"/>
  <c r="N87" i="50"/>
  <c r="H87" i="50"/>
  <c r="E87" i="50"/>
  <c r="A87" i="50"/>
  <c r="N86" i="50"/>
  <c r="H86" i="50"/>
  <c r="E86" i="50"/>
  <c r="A86" i="50"/>
  <c r="N85" i="50"/>
  <c r="H85" i="50"/>
  <c r="E85" i="50"/>
  <c r="A85" i="50"/>
  <c r="N84" i="50"/>
  <c r="H84" i="50"/>
  <c r="E84" i="50"/>
  <c r="A84" i="50"/>
  <c r="N83" i="50"/>
  <c r="H83" i="50"/>
  <c r="E83" i="50"/>
  <c r="A83" i="50"/>
  <c r="N82" i="50"/>
  <c r="H82" i="50"/>
  <c r="E82" i="50"/>
  <c r="A82" i="50"/>
  <c r="N81" i="50"/>
  <c r="H81" i="50"/>
  <c r="E81" i="50"/>
  <c r="A81" i="50"/>
  <c r="N80" i="50"/>
  <c r="H80" i="50"/>
  <c r="E80" i="50"/>
  <c r="A80" i="50"/>
  <c r="N79" i="50"/>
  <c r="H79" i="50"/>
  <c r="E79" i="50"/>
  <c r="A79" i="50"/>
  <c r="N78" i="50"/>
  <c r="H78" i="50"/>
  <c r="E78" i="50"/>
  <c r="A78" i="50"/>
  <c r="N77" i="50"/>
  <c r="H77" i="50"/>
  <c r="E77" i="50"/>
  <c r="A77" i="50"/>
  <c r="N76" i="50"/>
  <c r="H76" i="50"/>
  <c r="E76" i="50"/>
  <c r="A76" i="50"/>
  <c r="N75" i="50"/>
  <c r="H75" i="50"/>
  <c r="E75" i="50"/>
  <c r="A75" i="50"/>
  <c r="N74" i="50"/>
  <c r="H74" i="50"/>
  <c r="E74" i="50"/>
  <c r="A74" i="50"/>
  <c r="N73" i="50"/>
  <c r="H73" i="50"/>
  <c r="E73" i="50"/>
  <c r="A73" i="50"/>
  <c r="N72" i="50"/>
  <c r="H72" i="50"/>
  <c r="E72" i="50"/>
  <c r="A72" i="50"/>
  <c r="N71" i="50"/>
  <c r="H71" i="50"/>
  <c r="E71" i="50"/>
  <c r="A71" i="50"/>
  <c r="N70" i="50"/>
  <c r="H70" i="50"/>
  <c r="E70" i="50"/>
  <c r="A70" i="50"/>
  <c r="N69" i="50"/>
  <c r="H69" i="50"/>
  <c r="E69" i="50"/>
  <c r="A69" i="50"/>
  <c r="N68" i="50"/>
  <c r="H68" i="50"/>
  <c r="E68" i="50"/>
  <c r="A68" i="50"/>
  <c r="N67" i="50"/>
  <c r="H67" i="50"/>
  <c r="E67" i="50"/>
  <c r="A67" i="50"/>
  <c r="N66" i="50"/>
  <c r="H66" i="50"/>
  <c r="E66" i="50"/>
  <c r="A66" i="50"/>
  <c r="N65" i="50"/>
  <c r="H65" i="50"/>
  <c r="E65" i="50"/>
  <c r="A65" i="50"/>
  <c r="N64" i="50"/>
  <c r="H64" i="50"/>
  <c r="E64" i="50"/>
  <c r="A64" i="50"/>
  <c r="N63" i="50"/>
  <c r="H63" i="50"/>
  <c r="E63" i="50"/>
  <c r="A63" i="50"/>
  <c r="N62" i="50"/>
  <c r="H62" i="50"/>
  <c r="E62" i="50"/>
  <c r="A62" i="50"/>
  <c r="N61" i="50"/>
  <c r="H61" i="50"/>
  <c r="E61" i="50"/>
  <c r="A61" i="50"/>
  <c r="N60" i="50"/>
  <c r="H60" i="50"/>
  <c r="E60" i="50"/>
  <c r="A60" i="50"/>
  <c r="N59" i="50"/>
  <c r="H59" i="50"/>
  <c r="E59" i="50"/>
  <c r="A59" i="50"/>
  <c r="N58" i="50"/>
  <c r="H58" i="50"/>
  <c r="E58" i="50"/>
  <c r="A58" i="50"/>
  <c r="N57" i="50"/>
  <c r="H57" i="50"/>
  <c r="E57" i="50"/>
  <c r="A57" i="50"/>
  <c r="N56" i="50"/>
  <c r="H56" i="50"/>
  <c r="E56" i="50"/>
  <c r="A56" i="50"/>
  <c r="N55" i="50"/>
  <c r="H55" i="50"/>
  <c r="E55" i="50"/>
  <c r="A55" i="50"/>
  <c r="N54" i="50"/>
  <c r="H54" i="50"/>
  <c r="E54" i="50"/>
  <c r="A54" i="50"/>
  <c r="N53" i="50"/>
  <c r="H53" i="50"/>
  <c r="E53" i="50"/>
  <c r="A53" i="50"/>
  <c r="N52" i="50"/>
  <c r="H52" i="50"/>
  <c r="E52" i="50"/>
  <c r="A52" i="50"/>
  <c r="N51" i="50"/>
  <c r="H51" i="50"/>
  <c r="E51" i="50"/>
  <c r="A51" i="50"/>
  <c r="N50" i="50"/>
  <c r="H50" i="50"/>
  <c r="E50" i="50"/>
  <c r="A50" i="50"/>
  <c r="N49" i="50"/>
  <c r="H49" i="50"/>
  <c r="E49" i="50"/>
  <c r="A49" i="50"/>
  <c r="N48" i="50"/>
  <c r="H48" i="50"/>
  <c r="E48" i="50"/>
  <c r="A48" i="50"/>
  <c r="N47" i="50"/>
  <c r="H47" i="50"/>
  <c r="E47" i="50"/>
  <c r="A47" i="50"/>
  <c r="N46" i="50"/>
  <c r="H46" i="50"/>
  <c r="E46" i="50"/>
  <c r="A46" i="50"/>
  <c r="N45" i="50"/>
  <c r="H45" i="50"/>
  <c r="E45" i="50"/>
  <c r="A45" i="50"/>
  <c r="N44" i="50"/>
  <c r="H44" i="50"/>
  <c r="E44" i="50"/>
  <c r="A44" i="50"/>
  <c r="N43" i="50"/>
  <c r="H43" i="50"/>
  <c r="E43" i="50"/>
  <c r="A43" i="50"/>
  <c r="N42" i="50"/>
  <c r="H42" i="50"/>
  <c r="E42" i="50"/>
  <c r="A42" i="50"/>
  <c r="N41" i="50"/>
  <c r="H41" i="50"/>
  <c r="E41" i="50"/>
  <c r="A41" i="50"/>
  <c r="N40" i="50"/>
  <c r="H40" i="50"/>
  <c r="E40" i="50"/>
  <c r="A40" i="50"/>
  <c r="N39" i="50"/>
  <c r="H39" i="50"/>
  <c r="E39" i="50"/>
  <c r="A39" i="50"/>
  <c r="N38" i="50"/>
  <c r="H38" i="50"/>
  <c r="E38" i="50"/>
  <c r="A38" i="50"/>
  <c r="N37" i="50"/>
  <c r="H37" i="50"/>
  <c r="E37" i="50"/>
  <c r="A37" i="50"/>
  <c r="N36" i="50"/>
  <c r="H36" i="50"/>
  <c r="E36" i="50"/>
  <c r="A36" i="50"/>
  <c r="N35" i="50"/>
  <c r="H35" i="50"/>
  <c r="E35" i="50"/>
  <c r="A35" i="50"/>
  <c r="N34" i="50"/>
  <c r="H34" i="50"/>
  <c r="E34" i="50"/>
  <c r="A34" i="50"/>
  <c r="N33" i="50"/>
  <c r="H33" i="50"/>
  <c r="E33" i="50"/>
  <c r="A33" i="50"/>
  <c r="N32" i="50"/>
  <c r="H32" i="50"/>
  <c r="E32" i="50"/>
  <c r="A32" i="50"/>
  <c r="N31" i="50"/>
  <c r="H31" i="50"/>
  <c r="E31" i="50"/>
  <c r="A31" i="50"/>
  <c r="N30" i="50"/>
  <c r="H30" i="50"/>
  <c r="E30" i="50"/>
  <c r="A30" i="50"/>
  <c r="N29" i="50"/>
  <c r="H29" i="50"/>
  <c r="E29" i="50"/>
  <c r="A29" i="50"/>
  <c r="N28" i="50"/>
  <c r="H28" i="50"/>
  <c r="E28" i="50"/>
  <c r="A28" i="50"/>
  <c r="N27" i="50"/>
  <c r="H27" i="50"/>
  <c r="E27" i="50"/>
  <c r="A27" i="50"/>
  <c r="N26" i="50"/>
  <c r="H26" i="50"/>
  <c r="E26" i="50"/>
  <c r="A26" i="50"/>
  <c r="N25" i="50"/>
  <c r="H25" i="50"/>
  <c r="E25" i="50"/>
  <c r="A25" i="50"/>
  <c r="N24" i="50"/>
  <c r="H24" i="50"/>
  <c r="E24" i="50"/>
  <c r="A24" i="50"/>
  <c r="N23" i="50"/>
  <c r="H23" i="50"/>
  <c r="E23" i="50"/>
  <c r="A23" i="50"/>
  <c r="N22" i="50"/>
  <c r="H22" i="50"/>
  <c r="E22" i="50"/>
  <c r="A22" i="50"/>
  <c r="N21" i="50"/>
  <c r="H21" i="50"/>
  <c r="E21" i="50"/>
  <c r="A21" i="50"/>
  <c r="N20" i="50"/>
  <c r="H20" i="50"/>
  <c r="E20" i="50"/>
  <c r="A20" i="50"/>
  <c r="N19" i="50"/>
  <c r="H19" i="50"/>
  <c r="E19" i="50"/>
  <c r="A19" i="50"/>
  <c r="N18" i="50"/>
  <c r="H18" i="50"/>
  <c r="E18" i="50"/>
  <c r="A18" i="50"/>
  <c r="N17" i="50"/>
  <c r="H17" i="50"/>
  <c r="E17" i="50"/>
  <c r="A17" i="50"/>
  <c r="N16" i="50"/>
  <c r="H16" i="50"/>
  <c r="E16" i="50"/>
  <c r="A16" i="50"/>
  <c r="N15" i="50"/>
  <c r="H15" i="50"/>
  <c r="E15" i="50"/>
  <c r="A15" i="50"/>
  <c r="N14" i="50"/>
  <c r="H14" i="50"/>
  <c r="E14" i="50"/>
  <c r="A14" i="50"/>
  <c r="N13" i="50"/>
  <c r="H13" i="50"/>
  <c r="E13" i="50"/>
  <c r="A13" i="50"/>
  <c r="N12" i="50"/>
  <c r="H12" i="50"/>
  <c r="E12" i="50"/>
  <c r="A12" i="50"/>
  <c r="N11" i="50"/>
  <c r="H11" i="50"/>
  <c r="E11" i="50"/>
  <c r="A11" i="50"/>
  <c r="N10" i="50"/>
  <c r="H10" i="50"/>
  <c r="E10" i="50"/>
  <c r="A10" i="50"/>
  <c r="N9" i="50"/>
  <c r="H9" i="50"/>
  <c r="E9" i="50"/>
  <c r="A9" i="50"/>
  <c r="N8" i="50"/>
  <c r="H8" i="50"/>
  <c r="E8" i="50"/>
  <c r="A8" i="50"/>
  <c r="N7" i="50"/>
  <c r="H7" i="50"/>
  <c r="E7" i="50"/>
  <c r="A7" i="50"/>
  <c r="N6" i="50"/>
  <c r="H6" i="50"/>
  <c r="E6" i="50"/>
  <c r="A6" i="50"/>
  <c r="N5" i="50"/>
  <c r="H5" i="50"/>
  <c r="E5" i="50"/>
  <c r="A5" i="50"/>
  <c r="N4" i="50"/>
  <c r="H4" i="50"/>
  <c r="E4" i="50"/>
  <c r="A4" i="50"/>
  <c r="N3" i="50"/>
  <c r="H3" i="50"/>
  <c r="E3" i="50"/>
  <c r="A3" i="50"/>
  <c r="N2" i="50"/>
  <c r="H2" i="50"/>
  <c r="E2" i="50"/>
  <c r="D2" i="50"/>
  <c r="A2" i="50"/>
  <c r="C5" i="63"/>
  <c r="C4" i="63"/>
  <c r="C3" i="63"/>
  <c r="C2" i="63"/>
  <c r="I4" i="60" l="1"/>
  <c r="AC4" i="60" s="1"/>
  <c r="C3" i="60"/>
  <c r="K4" i="60"/>
  <c r="AE4" i="60" s="1"/>
  <c r="E4" i="60"/>
  <c r="Y4" i="60" s="1"/>
  <c r="M4" i="60"/>
  <c r="G4" i="60"/>
  <c r="O4" i="60"/>
  <c r="F4" i="61"/>
  <c r="N5" i="58"/>
  <c r="AD5" i="58" s="1"/>
  <c r="I4" i="61"/>
  <c r="N3" i="58"/>
  <c r="AD3" i="58" s="1"/>
  <c r="Q3" i="60"/>
  <c r="N2" i="58"/>
  <c r="AD2" i="58" s="1"/>
  <c r="Q3" i="58"/>
  <c r="N4" i="58"/>
  <c r="AD4" i="58" s="1"/>
  <c r="C4" i="61"/>
  <c r="F21" i="64" s="1"/>
  <c r="J4" i="61"/>
  <c r="Q5" i="58"/>
  <c r="N6" i="58"/>
  <c r="AD6" i="58" s="1"/>
  <c r="Q2" i="60"/>
  <c r="G4" i="61"/>
  <c r="Q4" i="60"/>
  <c r="Q5" i="60"/>
  <c r="D4" i="61"/>
  <c r="H4" i="61"/>
  <c r="E4" i="61"/>
  <c r="E4390" i="50"/>
  <c r="E4405" i="50"/>
  <c r="E4409" i="50"/>
  <c r="E4430" i="50"/>
  <c r="E4457" i="50"/>
  <c r="E4395" i="50"/>
  <c r="E4407" i="50"/>
  <c r="E4449" i="50"/>
  <c r="E4391" i="50"/>
  <c r="E4406" i="50"/>
  <c r="E4387" i="50"/>
  <c r="E4461" i="50"/>
  <c r="E4444" i="50"/>
  <c r="E4448" i="50"/>
  <c r="E4452" i="50"/>
  <c r="F3" i="58"/>
  <c r="V3" i="58" s="1"/>
  <c r="L5" i="58"/>
  <c r="AB5" i="58" s="1"/>
  <c r="J2" i="58"/>
  <c r="Z2" i="58" s="1"/>
  <c r="J4" i="58"/>
  <c r="Z4" i="58" s="1"/>
  <c r="F6" i="58"/>
  <c r="V6" i="58" s="1"/>
  <c r="F3" i="61"/>
  <c r="L2" i="58"/>
  <c r="AB2" i="58" s="1"/>
  <c r="L6" i="58"/>
  <c r="AB6" i="58" s="1"/>
  <c r="F4" i="58"/>
  <c r="V4" i="58" s="1"/>
  <c r="R4" i="58"/>
  <c r="L4" i="58"/>
  <c r="AB4" i="58" s="1"/>
  <c r="D5" i="58"/>
  <c r="T5" i="58" s="1"/>
  <c r="D6" i="58"/>
  <c r="T6" i="58" s="1"/>
  <c r="J6" i="58"/>
  <c r="Z6" i="58" s="1"/>
  <c r="J3" i="61"/>
  <c r="H4" i="58"/>
  <c r="X4" i="58" s="1"/>
  <c r="M4" i="58"/>
  <c r="AC4" i="58" s="1"/>
  <c r="C3" i="61"/>
  <c r="E3" i="61"/>
  <c r="D4" i="58"/>
  <c r="T4" i="58" s="1"/>
  <c r="I3" i="61"/>
  <c r="D2" i="58"/>
  <c r="T2" i="58" s="1"/>
  <c r="J5" i="58"/>
  <c r="Z5" i="58" s="1"/>
  <c r="F5" i="58"/>
  <c r="V5" i="58" s="1"/>
  <c r="H5" i="58"/>
  <c r="X5" i="58" s="1"/>
  <c r="M5" i="58"/>
  <c r="AC5" i="58" s="1"/>
  <c r="R5" i="58"/>
  <c r="R6" i="58"/>
  <c r="M6" i="58"/>
  <c r="AC6" i="58" s="1"/>
  <c r="H6" i="58"/>
  <c r="X6" i="58" s="1"/>
  <c r="L3" i="58"/>
  <c r="AB3" i="58" s="1"/>
  <c r="H3" i="58"/>
  <c r="X3" i="58" s="1"/>
  <c r="D3" i="58"/>
  <c r="T3" i="58" s="1"/>
  <c r="R2" i="58"/>
  <c r="M2" i="58"/>
  <c r="AC2" i="58" s="1"/>
  <c r="H2" i="58"/>
  <c r="X2" i="58" s="1"/>
  <c r="J3" i="58"/>
  <c r="Z3" i="58" s="1"/>
  <c r="F2" i="58"/>
  <c r="V2" i="58" s="1"/>
  <c r="M3" i="58"/>
  <c r="AC3" i="58" s="1"/>
  <c r="R3" i="58"/>
  <c r="H3" i="61"/>
  <c r="G3" i="61"/>
  <c r="P4" i="60" l="1"/>
  <c r="AJ4" i="60" s="1"/>
  <c r="AI4" i="60"/>
  <c r="H4" i="60"/>
  <c r="AB4" i="60" s="1"/>
  <c r="AA4" i="60"/>
  <c r="D3" i="60"/>
  <c r="X3" i="60" s="1"/>
  <c r="W3" i="60"/>
  <c r="N4" i="60"/>
  <c r="AH4" i="60" s="1"/>
  <c r="AG4" i="60"/>
  <c r="L4" i="60"/>
  <c r="AF4" i="60" s="1"/>
  <c r="J4" i="60"/>
  <c r="AD4" i="60" s="1"/>
  <c r="F4" i="60"/>
  <c r="Z4" i="60" s="1"/>
  <c r="R2" i="60"/>
  <c r="AL2" i="60" s="1"/>
  <c r="N7" i="58"/>
  <c r="AD7" i="58" s="1"/>
  <c r="G6" i="58"/>
  <c r="W6" i="58" s="1"/>
  <c r="K2" i="58"/>
  <c r="AA2" i="58" s="1"/>
  <c r="E5" i="58"/>
  <c r="U5" i="58" s="1"/>
  <c r="D2" i="61"/>
  <c r="E2" i="61" s="1"/>
  <c r="F2" i="61" s="1"/>
  <c r="G2" i="61" s="1"/>
  <c r="H2" i="61" s="1"/>
  <c r="I2" i="61" s="1"/>
  <c r="C6" i="61"/>
  <c r="L21" i="64" s="1"/>
  <c r="E6" i="58"/>
  <c r="U6" i="58" s="1"/>
  <c r="E4" i="58"/>
  <c r="U4" i="58" s="1"/>
  <c r="O4" i="58"/>
  <c r="AE4" i="58" s="1"/>
  <c r="K4" i="58"/>
  <c r="AA4" i="58" s="1"/>
  <c r="K6" i="58"/>
  <c r="AA6" i="58" s="1"/>
  <c r="G4" i="58"/>
  <c r="W4" i="58" s="1"/>
  <c r="J6" i="61"/>
  <c r="G6" i="61"/>
  <c r="F6" i="61"/>
  <c r="D6" i="61"/>
  <c r="I6" i="61"/>
  <c r="E6" i="61"/>
  <c r="H6" i="61"/>
  <c r="I4" i="58"/>
  <c r="Y4" i="58" s="1"/>
  <c r="M7" i="58"/>
  <c r="O2" i="58"/>
  <c r="AE2" i="58" s="1"/>
  <c r="E3" i="58"/>
  <c r="U3" i="58" s="1"/>
  <c r="O5" i="58"/>
  <c r="AE5" i="58" s="1"/>
  <c r="I3" i="58"/>
  <c r="Y3" i="58" s="1"/>
  <c r="O6" i="58"/>
  <c r="AE6" i="58" s="1"/>
  <c r="I5" i="58"/>
  <c r="Y5" i="58" s="1"/>
  <c r="E2" i="58"/>
  <c r="U2" i="58" s="1"/>
  <c r="D7" i="58"/>
  <c r="T7" i="58" s="1"/>
  <c r="F7" i="58"/>
  <c r="V7" i="58" s="1"/>
  <c r="G2" i="58"/>
  <c r="W2" i="58" s="1"/>
  <c r="K3" i="58"/>
  <c r="AA3" i="58" s="1"/>
  <c r="R4" i="60"/>
  <c r="AL4" i="60" s="1"/>
  <c r="R5" i="60"/>
  <c r="AL5" i="60" s="1"/>
  <c r="R3" i="60"/>
  <c r="AL3" i="60" s="1"/>
  <c r="G5" i="58"/>
  <c r="W5" i="58" s="1"/>
  <c r="G3" i="58"/>
  <c r="W3" i="58" s="1"/>
  <c r="H5" i="61"/>
  <c r="D5" i="61"/>
  <c r="F5" i="61"/>
  <c r="J5" i="61"/>
  <c r="E5" i="61"/>
  <c r="I5" i="61"/>
  <c r="C5" i="61"/>
  <c r="I21" i="64" s="1"/>
  <c r="G5" i="61"/>
  <c r="O3" i="58"/>
  <c r="AE3" i="58" s="1"/>
  <c r="I2" i="58"/>
  <c r="Y2" i="58" s="1"/>
  <c r="H7" i="58"/>
  <c r="X7" i="58" s="1"/>
  <c r="L7" i="58"/>
  <c r="AB7" i="58" s="1"/>
  <c r="K5" i="58"/>
  <c r="AA5" i="58" s="1"/>
  <c r="J7" i="58"/>
  <c r="Z7" i="58" s="1"/>
  <c r="I6" i="58"/>
  <c r="Y6" i="58" s="1"/>
  <c r="I7" i="58" l="1"/>
  <c r="Y7" i="58" s="1"/>
  <c r="AC7" i="58"/>
  <c r="O7" i="58"/>
  <c r="AE7" i="58" s="1"/>
  <c r="K7" i="58"/>
  <c r="AA7" i="58" s="1"/>
  <c r="E7" i="58"/>
  <c r="U7" i="58" s="1"/>
  <c r="G7" i="58"/>
  <c r="W7" i="58" s="1"/>
</calcChain>
</file>

<file path=xl/comments1.xml><?xml version="1.0" encoding="utf-8"?>
<comments xmlns="http://schemas.openxmlformats.org/spreadsheetml/2006/main">
  <authors>
    <author>Автор</author>
    <author>Подкопаева Дарья Максимовна</author>
  </authors>
  <commentList>
    <comment ref="G794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Клейменов А.А. и Верещак Ю.М. поменялись ид S</t>
        </r>
      </text>
    </comment>
    <comment ref="G795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Клейменов А.А. и Верещак Ю.М. поменялись ид S</t>
        </r>
      </text>
    </comment>
    <comment ref="G796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Клейменов А.А. и Верещак Ю.М. поменялись ид S</t>
        </r>
      </text>
    </comment>
    <comment ref="G79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Клейменов А.А. и Верещак Ю.М. поменялись ид S</t>
        </r>
      </text>
    </comment>
    <comment ref="G798" authorId="1" shapeId="0">
      <text>
        <r>
          <rPr>
            <b/>
            <sz val="9"/>
            <color indexed="81"/>
            <rFont val="Tahoma"/>
            <family val="2"/>
            <charset val="204"/>
          </rPr>
          <t>Подкопаева Дарья Максимовна:</t>
        </r>
        <r>
          <rPr>
            <sz val="9"/>
            <color indexed="81"/>
            <rFont val="Tahoma"/>
            <family val="2"/>
            <charset val="204"/>
          </rPr>
          <t xml:space="preserve">
перевели мастера с другого участка </t>
        </r>
      </text>
    </comment>
    <comment ref="G912" authorId="1" shapeId="0">
      <text>
        <r>
          <rPr>
            <b/>
            <sz val="9"/>
            <color indexed="81"/>
            <rFont val="Tahoma"/>
            <family val="2"/>
            <charset val="204"/>
          </rPr>
          <t>Подкопаева Дарья Максимовна:</t>
        </r>
        <r>
          <rPr>
            <sz val="9"/>
            <color indexed="81"/>
            <rFont val="Tahoma"/>
            <family val="2"/>
            <charset val="204"/>
          </rPr>
          <t xml:space="preserve">
перевели мастера с другого участка </t>
        </r>
      </text>
    </comment>
    <comment ref="G913" authorId="1" shapeId="0">
      <text>
        <r>
          <rPr>
            <b/>
            <sz val="9"/>
            <color indexed="81"/>
            <rFont val="Tahoma"/>
            <family val="2"/>
            <charset val="204"/>
          </rPr>
          <t>Подкопаева Дарья Максимовна:</t>
        </r>
        <r>
          <rPr>
            <sz val="9"/>
            <color indexed="81"/>
            <rFont val="Tahoma"/>
            <family val="2"/>
            <charset val="204"/>
          </rPr>
          <t xml:space="preserve">
перевели мастера с другого участка </t>
        </r>
      </text>
    </comment>
    <comment ref="G916" authorId="1" shapeId="0">
      <text>
        <r>
          <rPr>
            <b/>
            <sz val="9"/>
            <color indexed="81"/>
            <rFont val="Tahoma"/>
            <family val="2"/>
            <charset val="204"/>
          </rPr>
          <t>Подкопаева Дарья Максимовна:</t>
        </r>
        <r>
          <rPr>
            <sz val="9"/>
            <color indexed="81"/>
            <rFont val="Tahoma"/>
            <family val="2"/>
            <charset val="204"/>
          </rPr>
          <t xml:space="preserve">
изменилась ИД, держатель остался?</t>
        </r>
      </text>
    </comment>
    <comment ref="G917" authorId="1" shapeId="0">
      <text>
        <r>
          <rPr>
            <b/>
            <sz val="9"/>
            <color indexed="81"/>
            <rFont val="Tahoma"/>
            <family val="2"/>
            <charset val="204"/>
          </rPr>
          <t>Подкопаева Дарья Максимовна:</t>
        </r>
        <r>
          <rPr>
            <sz val="9"/>
            <color indexed="81"/>
            <rFont val="Tahoma"/>
            <family val="2"/>
            <charset val="204"/>
          </rPr>
          <t xml:space="preserve">
изменилась ИД, держатель остался?</t>
        </r>
      </text>
    </comment>
  </commentList>
</comments>
</file>

<file path=xl/sharedStrings.xml><?xml version="1.0" encoding="utf-8"?>
<sst xmlns="http://schemas.openxmlformats.org/spreadsheetml/2006/main" count="90931" uniqueCount="3308">
  <si>
    <t>ФН резервируемой должности</t>
  </si>
  <si>
    <t>Уровень защищенности должности</t>
  </si>
  <si>
    <t>Резервируемая должность становилась вакантной (да/нет)</t>
  </si>
  <si>
    <t>табельный номер держателя должности</t>
  </si>
  <si>
    <t>Таб.номер резервиста</t>
  </si>
  <si>
    <t>ФИО резервиста</t>
  </si>
  <si>
    <t>Текущий статус готовности</t>
  </si>
  <si>
    <t>Статус в резерве</t>
  </si>
  <si>
    <t>Исключен из КР (с указанием причины)</t>
  </si>
  <si>
    <t>Изменение статуса готовности при повторном КК?</t>
  </si>
  <si>
    <t>Должность резервиста</t>
  </si>
  <si>
    <t>Структурное подразделение</t>
  </si>
  <si>
    <t>состоит в резерве</t>
  </si>
  <si>
    <t>без изменений</t>
  </si>
  <si>
    <t>назначен на целевую должность</t>
  </si>
  <si>
    <t>не рассматривали</t>
  </si>
  <si>
    <t>Специалист</t>
  </si>
  <si>
    <t>повышение</t>
  </si>
  <si>
    <t>исключен из резерва</t>
  </si>
  <si>
    <t>увольнение</t>
  </si>
  <si>
    <t>самоотвод</t>
  </si>
  <si>
    <t>-</t>
  </si>
  <si>
    <t>понижение</t>
  </si>
  <si>
    <t>вакансия</t>
  </si>
  <si>
    <t>назначение на целевую должность</t>
  </si>
  <si>
    <t>ИД рабочего места (A)</t>
  </si>
  <si>
    <t>ИД штатной должности (S)</t>
  </si>
  <si>
    <t>Дата, когда должность стала вакантна</t>
  </si>
  <si>
    <t>Дата закрытия вакансии (Дата назначения)</t>
  </si>
  <si>
    <t>Кол-во резервистов на уникальных должностях</t>
  </si>
  <si>
    <t>Назначен на целевую должность (1 - назначен, 0 - не назначен)</t>
  </si>
  <si>
    <t>исключение</t>
  </si>
  <si>
    <t>ФИО держателя резервной позиции</t>
  </si>
  <si>
    <t>прочее (перевод в другое СП / на другое предприятие)</t>
  </si>
  <si>
    <t>назначение на должность более высокого уровня</t>
  </si>
  <si>
    <t>3</t>
  </si>
  <si>
    <t>2</t>
  </si>
  <si>
    <t>назначение на равнозначную должность</t>
  </si>
  <si>
    <t>инициатива комитета / руководителя</t>
  </si>
  <si>
    <t>Код СП</t>
  </si>
  <si>
    <t>Тип назначения</t>
  </si>
  <si>
    <t>прочее (смена направления развития)</t>
  </si>
  <si>
    <t>прочее (наличие рисков по ПФО)</t>
  </si>
  <si>
    <t>прочее (смерть работника)</t>
  </si>
  <si>
    <t>прочее (по состоянию здоровья)</t>
  </si>
  <si>
    <t>прочее ()</t>
  </si>
  <si>
    <t>Названия строк</t>
  </si>
  <si>
    <t>Названия столбцов</t>
  </si>
  <si>
    <t>внешний найм (не учитываем)</t>
  </si>
  <si>
    <t>внешний найм (учитываем)</t>
  </si>
  <si>
    <t>реструктуризация (не учитываем)</t>
  </si>
  <si>
    <t>ротация (не учитываем)</t>
  </si>
  <si>
    <t>Количество по полю Таб.номер резервиста</t>
  </si>
  <si>
    <t>уровень защищенности</t>
  </si>
  <si>
    <r>
      <rPr>
        <b/>
        <sz val="11"/>
        <color theme="1"/>
        <rFont val="Calibri"/>
        <family val="2"/>
        <charset val="204"/>
        <scheme val="minor"/>
      </rPr>
      <t xml:space="preserve">ТАБЛИЦА ДЛЯ ОПРЕДЕЛЕНИЯ УРОВНЯ ЗАЩИЩЕННОСТИ ДОЛЖНОСТИ. </t>
    </r>
    <r>
      <rPr>
        <sz val="11"/>
        <color theme="1"/>
        <rFont val="Calibri"/>
        <family val="2"/>
        <charset val="204"/>
        <scheme val="minor"/>
      </rPr>
      <t xml:space="preserve">
При изменении статусов готовности, включении или исключении резервистов необходимо обновить сводную (ПКМ - обновить), протянуть или убрать формулу определения уровня защищенности (оранжевый столбец).</t>
    </r>
  </si>
  <si>
    <t>СП резервиста</t>
  </si>
  <si>
    <t>Кол-во резервируемых должностей</t>
  </si>
  <si>
    <t>внутр. сотр. (учитываем)</t>
  </si>
  <si>
    <t>внутр. сотр. (не учитываем)</t>
  </si>
  <si>
    <t>Причина исключения из КР</t>
  </si>
  <si>
    <t>Дата исключения из КР</t>
  </si>
  <si>
    <t>Дата включения в резерв</t>
  </si>
  <si>
    <t>Подразделение 2 уровня</t>
  </si>
  <si>
    <t>Подразделение 3 уровня</t>
  </si>
  <si>
    <t xml:space="preserve">Резервируемая должность </t>
  </si>
  <si>
    <t>внутр. сотр. из списка КР (учитываем)</t>
  </si>
  <si>
    <t>из резерва (учитываем)</t>
  </si>
  <si>
    <t>Год</t>
  </si>
  <si>
    <t>ФН</t>
  </si>
  <si>
    <t>УУ</t>
  </si>
  <si>
    <t>Высокая защищенность</t>
  </si>
  <si>
    <t>Средняя защищенность</t>
  </si>
  <si>
    <t>Низкая защищенность</t>
  </si>
  <si>
    <t>Незащищенные должности</t>
  </si>
  <si>
    <t>Должностей рассмотрено (всего)</t>
  </si>
  <si>
    <t>Должностей защищено (всего)</t>
  </si>
  <si>
    <t>Плановая защищенность</t>
  </si>
  <si>
    <t>Фактическая защищенность</t>
  </si>
  <si>
    <t>3 УУ</t>
  </si>
  <si>
    <t>4 УУ</t>
  </si>
  <si>
    <t>5 УУ</t>
  </si>
  <si>
    <t>6 УУ</t>
  </si>
  <si>
    <t>7 УУ</t>
  </si>
  <si>
    <t>ВСЕ УУ</t>
  </si>
  <si>
    <t>Кол-во вакансий</t>
  </si>
  <si>
    <t>Назначено внутренних сотрудников из списка КР</t>
  </si>
  <si>
    <t>Назначено внутренних сотрудников не из списка КР</t>
  </si>
  <si>
    <t>Назначено внешних кандидатов</t>
  </si>
  <si>
    <t>Плановая назначаемость</t>
  </si>
  <si>
    <t>Фактическая назначаемость</t>
  </si>
  <si>
    <t>Резервистов на начало года</t>
  </si>
  <si>
    <t>Исключены решением комитета</t>
  </si>
  <si>
    <t>Уволены</t>
  </si>
  <si>
    <t>Самоотвод</t>
  </si>
  <si>
    <t>Прочие исключения из КР</t>
  </si>
  <si>
    <t>Назначены (не только на целевую должность)</t>
  </si>
  <si>
    <t>Доп. утвержденные резервисты</t>
  </si>
  <si>
    <t>Резервистов на конец года</t>
  </si>
  <si>
    <t>Плановая текучесть резервистов</t>
  </si>
  <si>
    <t>Фактическая текучесть резервистов (все исключения)</t>
  </si>
  <si>
    <t>Фактическая текучесть резервистов (увольнения)</t>
  </si>
  <si>
    <t xml:space="preserve">Плановое повышение статуса готовности </t>
  </si>
  <si>
    <t>У.У.</t>
  </si>
  <si>
    <t>год</t>
  </si>
  <si>
    <t>все уровни</t>
  </si>
  <si>
    <t>все ФН</t>
  </si>
  <si>
    <t>Показатель</t>
  </si>
  <si>
    <t>Технический столбец</t>
  </si>
  <si>
    <t>Значение плана</t>
  </si>
  <si>
    <t>вакансии</t>
  </si>
  <si>
    <t>назначения</t>
  </si>
  <si>
    <t>Высокая защищенность1</t>
  </si>
  <si>
    <t>Средняя защищенность1</t>
  </si>
  <si>
    <t>Низкая защищенность1</t>
  </si>
  <si>
    <t>Незащищенные должности1</t>
  </si>
  <si>
    <t>невидимый столбик</t>
  </si>
  <si>
    <t>Основание (документ)</t>
  </si>
  <si>
    <t>Текучесть план:</t>
  </si>
  <si>
    <t>Текучесть факт (все исключения):</t>
  </si>
  <si>
    <t>Текучесть факт (увольнения):</t>
  </si>
  <si>
    <t>Уровень КК</t>
  </si>
  <si>
    <t>Подразделение61</t>
  </si>
  <si>
    <t>Подразделение18</t>
  </si>
  <si>
    <t>Подразделение52</t>
  </si>
  <si>
    <t>Подразделение243</t>
  </si>
  <si>
    <t>Подразделение216</t>
  </si>
  <si>
    <t>Подразделение409</t>
  </si>
  <si>
    <t>Подразделение202</t>
  </si>
  <si>
    <t>Подразделение219</t>
  </si>
  <si>
    <t>Подразделение217</t>
  </si>
  <si>
    <t>Подразделение110</t>
  </si>
  <si>
    <t>Подразделение262</t>
  </si>
  <si>
    <t>Подразделение1</t>
  </si>
  <si>
    <t>Подразделение2</t>
  </si>
  <si>
    <t>Подразделение51</t>
  </si>
  <si>
    <t>Подразделение22</t>
  </si>
  <si>
    <t>Подразделение6</t>
  </si>
  <si>
    <t>Подразделение7</t>
  </si>
  <si>
    <t>Подразделение21</t>
  </si>
  <si>
    <t>Подразделение379</t>
  </si>
  <si>
    <t>Подразделение47</t>
  </si>
  <si>
    <t>Подразделение36</t>
  </si>
  <si>
    <t>Подразделение81</t>
  </si>
  <si>
    <t>Подразделение20</t>
  </si>
  <si>
    <t>Подразделение33</t>
  </si>
  <si>
    <t>Подразделение94</t>
  </si>
  <si>
    <t>Подразделение32</t>
  </si>
  <si>
    <t>Подразделение49</t>
  </si>
  <si>
    <t>Подразделение317</t>
  </si>
  <si>
    <t>Подразделение60</t>
  </si>
  <si>
    <t>Подразделение253</t>
  </si>
  <si>
    <t>Подразделение358</t>
  </si>
  <si>
    <t>Подразделение380</t>
  </si>
  <si>
    <t>Подразделение417</t>
  </si>
  <si>
    <t>Подразделение399</t>
  </si>
  <si>
    <t>Подразделение381</t>
  </si>
  <si>
    <t>Подразделение31</t>
  </si>
  <si>
    <t>Подразделение4</t>
  </si>
  <si>
    <t>Подразделение72</t>
  </si>
  <si>
    <t>Подразделение50</t>
  </si>
  <si>
    <t>Подразделение12</t>
  </si>
  <si>
    <t>Подразделение15</t>
  </si>
  <si>
    <t>Подразделение337</t>
  </si>
  <si>
    <t>Подразделение34</t>
  </si>
  <si>
    <t>Подразделение28</t>
  </si>
  <si>
    <t>Подразделение213</t>
  </si>
  <si>
    <t>Подразделение214</t>
  </si>
  <si>
    <t>Подразделение218</t>
  </si>
  <si>
    <t>Подразделение48</t>
  </si>
  <si>
    <t>Подразделение11</t>
  </si>
  <si>
    <t>Подразделение238</t>
  </si>
  <si>
    <t>Подразделение221</t>
  </si>
  <si>
    <t>Подразделение384</t>
  </si>
  <si>
    <t>Подразделение13</t>
  </si>
  <si>
    <t>Подразделение252</t>
  </si>
  <si>
    <t>Подразделение63</t>
  </si>
  <si>
    <t>Подразделение421</t>
  </si>
  <si>
    <t>Подразделение41</t>
  </si>
  <si>
    <t>подразделение_2_уровня243</t>
  </si>
  <si>
    <t>ТОП_руководитель_3</t>
  </si>
  <si>
    <t>руководитель_среднего_уровня_1</t>
  </si>
  <si>
    <t>ТОП_руководитель_1</t>
  </si>
  <si>
    <t>подразделение_2_уровня61</t>
  </si>
  <si>
    <t>ТОП_руководитель_2</t>
  </si>
  <si>
    <t>подразделение_3_уровня61</t>
  </si>
  <si>
    <t>линейный_руководитель_5</t>
  </si>
  <si>
    <t>руководитель_среднего_уровня_2</t>
  </si>
  <si>
    <t>линейный_руководитель_3</t>
  </si>
  <si>
    <t>подразделение_2_уровня18</t>
  </si>
  <si>
    <t>функциональный_руководитель_1</t>
  </si>
  <si>
    <t>подразделение_3_уровня18</t>
  </si>
  <si>
    <t>линейный_руководитель_1</t>
  </si>
  <si>
    <t>линейный_руководитель_2</t>
  </si>
  <si>
    <t>функциональный_руководитель_3</t>
  </si>
  <si>
    <t>руководитель_среднего_уровня_3</t>
  </si>
  <si>
    <t>подразделение_2_уровня1</t>
  </si>
  <si>
    <t>подразделение_3_уровня1</t>
  </si>
  <si>
    <t>подразделение_2_уровня2</t>
  </si>
  <si>
    <t>руководитель_среднего_уровня_4</t>
  </si>
  <si>
    <t>подразделение_3_уровня2</t>
  </si>
  <si>
    <t>функциональный_руководитель_2</t>
  </si>
  <si>
    <t>руководитель_среднего_уровня_5</t>
  </si>
  <si>
    <t>подразделение_2_уровня22</t>
  </si>
  <si>
    <t>подразделение_3_уровня22</t>
  </si>
  <si>
    <t>подразделение_2_уровня216</t>
  </si>
  <si>
    <t>подразделение_2_уровня202</t>
  </si>
  <si>
    <t>подразделение_3_уровня202</t>
  </si>
  <si>
    <t>подразделение_2_уровня28</t>
  </si>
  <si>
    <t>подразделение_3_уровня28</t>
  </si>
  <si>
    <t>подразделение_2_уровня337</t>
  </si>
  <si>
    <t>подразделение_2_уровня421</t>
  </si>
  <si>
    <t>подразделение_3_уровня421</t>
  </si>
  <si>
    <t>подразделение_2_уровня13</t>
  </si>
  <si>
    <t>подразделение_3_уровня13</t>
  </si>
  <si>
    <t>подразделение_2_уровня15</t>
  </si>
  <si>
    <t>подразделение_3_уровня15</t>
  </si>
  <si>
    <t>подразделение_2_уровня238</t>
  </si>
  <si>
    <t>подразделение_2_уровня12</t>
  </si>
  <si>
    <t>подразделение_3_уровня12</t>
  </si>
  <si>
    <t>подразделение_2_уровня219</t>
  </si>
  <si>
    <t>подразделение_2_уровня11</t>
  </si>
  <si>
    <t>подразделение_3_уровня11</t>
  </si>
  <si>
    <t>подразделение_2_уровня41</t>
  </si>
  <si>
    <t>подразделение_2_уровня31</t>
  </si>
  <si>
    <t>подразделение_2_уровня33</t>
  </si>
  <si>
    <t>подразделение_2_уровня32</t>
  </si>
  <si>
    <t>подразделение_2_уровня34</t>
  </si>
  <si>
    <t>подразделение_2_уровня213</t>
  </si>
  <si>
    <t>подразделение_2_уровня218</t>
  </si>
  <si>
    <t>подразделение_2_уровня214</t>
  </si>
  <si>
    <t>подразделение_2_уровня36</t>
  </si>
  <si>
    <t>подразделение_2_уровня47</t>
  </si>
  <si>
    <t>подразделение_2_уровня262</t>
  </si>
  <si>
    <t>подразделение_2_уровня94</t>
  </si>
  <si>
    <t>подразделение_3_уровня94</t>
  </si>
  <si>
    <t>подразделение_3_уровня31</t>
  </si>
  <si>
    <t>подразделение_3_уровня33</t>
  </si>
  <si>
    <t>подразделение_2_уровня358</t>
  </si>
  <si>
    <t>подразделение_2_уровня380</t>
  </si>
  <si>
    <t>подразделение_2_уровня379</t>
  </si>
  <si>
    <t>подразделение_2_уровня381</t>
  </si>
  <si>
    <t>подразделение_2_уровня81</t>
  </si>
  <si>
    <t>подразделение_2_уровня20</t>
  </si>
  <si>
    <t>подразделение_2_уровня21</t>
  </si>
  <si>
    <t>подразделение_2_уровня4</t>
  </si>
  <si>
    <t>подразделение_3_уровня20</t>
  </si>
  <si>
    <t>подразделение_2_уровня6</t>
  </si>
  <si>
    <t>подразделение_3_уровня6</t>
  </si>
  <si>
    <t>подразделение_2_уровня7</t>
  </si>
  <si>
    <t>подразделение_3_уровня7</t>
  </si>
  <si>
    <t>подразделение_2_уровня217</t>
  </si>
  <si>
    <t>линейный_руководитель_4</t>
  </si>
  <si>
    <t>подразделение_2_уровня60</t>
  </si>
  <si>
    <t>подразделение_3_уровня60</t>
  </si>
  <si>
    <t>подразделение_2_уровня52</t>
  </si>
  <si>
    <t>подразделение_2_уровня50</t>
  </si>
  <si>
    <t>подразделение_2_уровня49</t>
  </si>
  <si>
    <t>подразделение_2_уровня51</t>
  </si>
  <si>
    <t>подразделение_3_уровня49</t>
  </si>
  <si>
    <t>подразделение_3_уровня52</t>
  </si>
  <si>
    <t>подразделение_3_уровня51</t>
  </si>
  <si>
    <t>подразделение_2_уровня63</t>
  </si>
  <si>
    <t>подразделение_3_уровня63</t>
  </si>
  <si>
    <t>подразделение_3_уровня50</t>
  </si>
  <si>
    <t>подразделение_2_уровня48</t>
  </si>
  <si>
    <t>подразделение_3_уровня48</t>
  </si>
  <si>
    <t>подразделение_2_уровня221</t>
  </si>
  <si>
    <t>подразделение_3_уровня221</t>
  </si>
  <si>
    <t>подразделение_2_уровня110</t>
  </si>
  <si>
    <t>подразделение_3_уровня110</t>
  </si>
  <si>
    <t>подразделение_2_уровня384</t>
  </si>
  <si>
    <t xml:space="preserve">Уровень резерв. должности </t>
  </si>
  <si>
    <t>Рабочий</t>
  </si>
  <si>
    <t>Подразделение_др1</t>
  </si>
  <si>
    <t>Подразделение_др2</t>
  </si>
  <si>
    <t>Подразделение_др3</t>
  </si>
  <si>
    <t>Подразделение_др4</t>
  </si>
  <si>
    <t>Подразделение_др5</t>
  </si>
  <si>
    <t>Подразделение_др6</t>
  </si>
  <si>
    <t>Подразделение_др7</t>
  </si>
  <si>
    <t>Подразделение_др8</t>
  </si>
  <si>
    <t>Подразделение_др9</t>
  </si>
  <si>
    <t>Подразделение_др10</t>
  </si>
  <si>
    <t>Подразделение_др11</t>
  </si>
  <si>
    <t>Подразделение_др12</t>
  </si>
  <si>
    <t>Подразделение_др13</t>
  </si>
  <si>
    <t>Подразделение_др14</t>
  </si>
  <si>
    <t>Подразделение_др15</t>
  </si>
  <si>
    <t>Подразделение_др16</t>
  </si>
  <si>
    <t>Подразделение_др17</t>
  </si>
  <si>
    <t>Подразделение_др18</t>
  </si>
  <si>
    <t>Подразделение_др20</t>
  </si>
  <si>
    <t>Подразделение_др21</t>
  </si>
  <si>
    <t>Подразделение_др22</t>
  </si>
  <si>
    <t>Подразделение_др23</t>
  </si>
  <si>
    <t>Готов к назначению</t>
  </si>
  <si>
    <t>Готов среднесрочно</t>
  </si>
  <si>
    <t>Готов краткосрочно</t>
  </si>
  <si>
    <t>Назначено резервистов, готовых к назначению</t>
  </si>
  <si>
    <t>Назначено резервистов, готовых краткосрочно</t>
  </si>
  <si>
    <t>Назначено резервистов, готовых среднесрочно</t>
  </si>
  <si>
    <t>прочее (наличие рисков)</t>
  </si>
  <si>
    <t>протокол-№-23.06.2020</t>
  </si>
  <si>
    <t>протокол-№-24.05.2021</t>
  </si>
  <si>
    <t>протокол-№-17.01.2023</t>
  </si>
  <si>
    <t>протокол-№-02.04.2019</t>
  </si>
  <si>
    <t>протокол-№-27.06.2022</t>
  </si>
  <si>
    <t>протокол-№-07.11.2019</t>
  </si>
  <si>
    <t>протокол-№-27.06.2022_ДОП</t>
  </si>
  <si>
    <t>протокол-№-22.11.2018</t>
  </si>
  <si>
    <t>протокол-№-22.11.2022</t>
  </si>
  <si>
    <t>протокол-№-26.09.2019</t>
  </si>
  <si>
    <t>протокол-№-09.10.2020</t>
  </si>
  <si>
    <t>протокол-№-02.07.2020</t>
  </si>
  <si>
    <t>протокол-№-02.12.2022</t>
  </si>
  <si>
    <t>протокол-№-28.10.2020</t>
  </si>
  <si>
    <t>протокол-№-27.10.2021</t>
  </si>
  <si>
    <t>протокол-№-22.11.2019</t>
  </si>
  <si>
    <t>протокол-№-21.10.2020</t>
  </si>
  <si>
    <t>протокол-№-26.10.2021</t>
  </si>
  <si>
    <t>протокол-№-29.04.2022</t>
  </si>
  <si>
    <t>протокол-№-28.06.2021</t>
  </si>
  <si>
    <t>протокол-№-14.11.2022</t>
  </si>
  <si>
    <t>протокол-№-29.09.2020</t>
  </si>
  <si>
    <t>протокол-№-18.10.2021</t>
  </si>
  <si>
    <t>протокол-№-03.08.2020</t>
  </si>
  <si>
    <t>протокол-№-25.09.2019</t>
  </si>
  <si>
    <t>протокол-№-23.06.2022</t>
  </si>
  <si>
    <t>протокол-№-21.07.2021</t>
  </si>
  <si>
    <t>протокол-№-22.12.2021</t>
  </si>
  <si>
    <t>протокол-№-19.12.2018</t>
  </si>
  <si>
    <t>протокол-№-23.08.2022</t>
  </si>
  <si>
    <t>протокол-№-27.07.2020</t>
  </si>
  <si>
    <t>протокол-№-08.11.2022</t>
  </si>
  <si>
    <t>протокол-№-04.10.2021</t>
  </si>
  <si>
    <t>протокол-№-08.11.2022-ДОП</t>
  </si>
  <si>
    <t>протокол-№-05.04.2021</t>
  </si>
  <si>
    <t>протокол-№-16.11.2022</t>
  </si>
  <si>
    <t>протокол-№-25.10.2021</t>
  </si>
  <si>
    <t>протокол-№-03.03.2022</t>
  </si>
  <si>
    <t>протокол-№-01.11.2022</t>
  </si>
  <si>
    <t>протокол-№-23.08.2022-ДОП</t>
  </si>
  <si>
    <t>протокол-№-22.06.2021</t>
  </si>
  <si>
    <t>протокол-№-17.08.2021</t>
  </si>
  <si>
    <t>протокол-№-25.11.2022</t>
  </si>
  <si>
    <t>протокол-№-26.05.2022</t>
  </si>
  <si>
    <t>протокол-№-27.05.2021</t>
  </si>
  <si>
    <t>протокол-№-16.08.2021</t>
  </si>
  <si>
    <t>протокол-№-16.06.2020</t>
  </si>
  <si>
    <t>протокол-№-21.11.2018</t>
  </si>
  <si>
    <t>протокол-№-23.08.2021</t>
  </si>
  <si>
    <t>протокол-№-24.11.2022</t>
  </si>
  <si>
    <t>протокол-№-29.11.2022</t>
  </si>
  <si>
    <t>протокол-№-08.09.2021</t>
  </si>
  <si>
    <t>протокол-№-30.04.2019</t>
  </si>
  <si>
    <t>протокол-№-18.08.2021</t>
  </si>
  <si>
    <t>протокол-№-23.11.2022</t>
  </si>
  <si>
    <t>протокол-№-21.09.2022</t>
  </si>
  <si>
    <t>протокол-№-31.12.2022</t>
  </si>
  <si>
    <t>протокол-№-08.08.2022</t>
  </si>
  <si>
    <t>протокол-№-27.01.2022</t>
  </si>
  <si>
    <t>протокол-№-27.12.2021</t>
  </si>
  <si>
    <t>протокол-№-27.12.2022</t>
  </si>
  <si>
    <t>протокол-№-08.10.2020</t>
  </si>
  <si>
    <t>протокол-№-21.06.2022</t>
  </si>
  <si>
    <t>протокол-№-11.12.2019</t>
  </si>
  <si>
    <t>протокол-№-21.12.2022</t>
  </si>
  <si>
    <t>протокол-№-20.12.2021</t>
  </si>
  <si>
    <t>протокол-№-26.01.2022</t>
  </si>
  <si>
    <t>протокол-№-01.07.2022</t>
  </si>
  <si>
    <t>протокол-№-28.06.2022</t>
  </si>
  <si>
    <t>протокол-№-21.10.2022</t>
  </si>
  <si>
    <t>протокол-№-28.10.2022</t>
  </si>
  <si>
    <t>протокол-№-12.10.2020</t>
  </si>
  <si>
    <t>протокол-№-08.12.2021</t>
  </si>
  <si>
    <t>протокол-№-24.12.2018</t>
  </si>
  <si>
    <t>протокол-№-25.10.2022</t>
  </si>
  <si>
    <t>протокол-№-05.10.2020</t>
  </si>
  <si>
    <t>протокол-№-24.10.2022</t>
  </si>
  <si>
    <t>протокол-№-14.10.2020</t>
  </si>
  <si>
    <t>протокол-№-30.09.2021</t>
  </si>
  <si>
    <t>протокол-№-31.10.2019</t>
  </si>
  <si>
    <t>протокол-№-11.04.2022</t>
  </si>
  <si>
    <t>протокол-№-13.04.2021</t>
  </si>
  <si>
    <t>протокол-№-03.06.2022</t>
  </si>
  <si>
    <t>протокол-№-25.06.2020</t>
  </si>
  <si>
    <t>протокол-№-01.08.2022</t>
  </si>
  <si>
    <t>протокол-№-08.12.2020</t>
  </si>
  <si>
    <t>протокол-№-23.12.2022</t>
  </si>
  <si>
    <t>протокол-№-05.07.2022</t>
  </si>
  <si>
    <t>протокол-№-01.12.2022</t>
  </si>
  <si>
    <t>протокол-№-25.11.2021</t>
  </si>
  <si>
    <t>протокол-№-21.12.2018</t>
  </si>
  <si>
    <t>протокол-№-09.12.2020</t>
  </si>
  <si>
    <t>протокол-№-25.12.2020</t>
  </si>
  <si>
    <t>протокол-№-12.11.2021</t>
  </si>
  <si>
    <t>протокол-№-15.03.2022</t>
  </si>
  <si>
    <t>протокол-№-30.11.2022</t>
  </si>
  <si>
    <t>протокол-№-15.11.2021</t>
  </si>
  <si>
    <t>протокол-№-10.11.2021</t>
  </si>
  <si>
    <t>протокол-№-20.12.2022</t>
  </si>
  <si>
    <t>протокол-№-09.04.2018</t>
  </si>
  <si>
    <t>протокол-№-25.05.2023</t>
  </si>
  <si>
    <t>протокол-№-01.06.2023</t>
  </si>
  <si>
    <t>протокол-№-27.06.2023</t>
  </si>
  <si>
    <t>протокол-№-18.05.2023</t>
  </si>
  <si>
    <t>протокол-№-23.06.2023</t>
  </si>
  <si>
    <t>протокол-№-17.12.2023</t>
  </si>
  <si>
    <t>протокол-№-19.12.2023</t>
  </si>
  <si>
    <t>протокол-№-22.11.2023</t>
  </si>
  <si>
    <t>протокол-№-02.12.2023</t>
  </si>
  <si>
    <t>протокол-№-15.11.2023</t>
  </si>
  <si>
    <t>протокол-№-15.11.2023-ДОП</t>
  </si>
  <si>
    <t>протокол-№-14.11.2023</t>
  </si>
  <si>
    <t>протокол-№-25.12.2023</t>
  </si>
  <si>
    <t>Андреев Андрей Андреевич</t>
  </si>
  <si>
    <t>Александров Александр Александрович</t>
  </si>
  <si>
    <t>Алексеев Алексей Алексеевич</t>
  </si>
  <si>
    <t>Антонов Антон Антонович</t>
  </si>
  <si>
    <t>Артемов Артем Артемович</t>
  </si>
  <si>
    <t>Анатольев Анатолий Анатольевич</t>
  </si>
  <si>
    <t>Арсеньев Арсений Арсеньевич</t>
  </si>
  <si>
    <t>Афанасьев Афанасий Афанасьевич</t>
  </si>
  <si>
    <t>Борисов Борис Борисович</t>
  </si>
  <si>
    <t>Богданов Богдан Богданович</t>
  </si>
  <si>
    <t>Вадимов Вадим Вадимович</t>
  </si>
  <si>
    <t>Валерьев Валерий Валерьевич</t>
  </si>
  <si>
    <t>Васильев Василий Васильевич</t>
  </si>
  <si>
    <t>Венедиктов Венедикт Венедиктович</t>
  </si>
  <si>
    <t>Вениаминов Вениамин Вениаминович</t>
  </si>
  <si>
    <t>Викторов Виктор Викторович</t>
  </si>
  <si>
    <t>Витальев Виталий Витальевич</t>
  </si>
  <si>
    <t>Владиславов Владислав Владиславович</t>
  </si>
  <si>
    <t>Владимиров Владимир Владимирович</t>
  </si>
  <si>
    <t>Всеволодов Всеволод Всеволодович</t>
  </si>
  <si>
    <t>Вячеславов Вячеслав Вячеславович</t>
  </si>
  <si>
    <t>Геннадьев Геннадий Геннадьевич</t>
  </si>
  <si>
    <t>Георгиев Георгий Георгиевич</t>
  </si>
  <si>
    <t>Герасимов Герасим Герасимович</t>
  </si>
  <si>
    <t>Глебов Глеб Глебович</t>
  </si>
  <si>
    <t>Григорьев Григорий Григорьевич</t>
  </si>
  <si>
    <t>Данилов Данил Данилович</t>
  </si>
  <si>
    <t>Денисов Денис Денисович</t>
  </si>
  <si>
    <t>Дмитриев Дмитрий Дмитриевич</t>
  </si>
  <si>
    <t>Егоров Егор Егорович</t>
  </si>
  <si>
    <t>Емельянов Емельян Емельянович</t>
  </si>
  <si>
    <t>Еремеев Еремей Еремеевич</t>
  </si>
  <si>
    <t>Ефремов Ефрем Ефремович</t>
  </si>
  <si>
    <t>Захаров Захар Захарович</t>
  </si>
  <si>
    <t>Иванов Иван Иванович</t>
  </si>
  <si>
    <t>Игнатьев Игнат Игнатович</t>
  </si>
  <si>
    <t>Игорев Игорь Игоревич</t>
  </si>
  <si>
    <t>Ильин Илья Ильич</t>
  </si>
  <si>
    <t>Кириллов Кирилл Кириллович</t>
  </si>
  <si>
    <t>Климов Клим Климович</t>
  </si>
  <si>
    <t>Кондратов Кондрат Кондратьевич</t>
  </si>
  <si>
    <t>Константинов Константин Константинович</t>
  </si>
  <si>
    <t>Конеев Корней Корнеевич</t>
  </si>
  <si>
    <t>Кузьмин Кузьма Кузьмич</t>
  </si>
  <si>
    <t>Лавров Лавр Лаврович</t>
  </si>
  <si>
    <t>Львов Лев Львович</t>
  </si>
  <si>
    <t>Леонидов Леонид Леонидович</t>
  </si>
  <si>
    <t>Макаров Макар Макарович</t>
  </si>
  <si>
    <t>Максимов Максим Максимович</t>
  </si>
  <si>
    <t>Марков Марк Маркович</t>
  </si>
  <si>
    <t>Матвеев Матвей Матвеевич</t>
  </si>
  <si>
    <t>Михайлов Михаил Михайлович</t>
  </si>
  <si>
    <t>Николаев Николай Николаевич</t>
  </si>
  <si>
    <t>Петров Петр Петрович</t>
  </si>
  <si>
    <t>Потапов Потап Потапович</t>
  </si>
  <si>
    <t>Прохоров Прохор Прохорович</t>
  </si>
  <si>
    <t>Родионов Родион Родионович</t>
  </si>
  <si>
    <t>Русланов Руслан Русланович</t>
  </si>
  <si>
    <t>Романов Роман Романович</t>
  </si>
  <si>
    <t>Савельев Савелий Савельевич</t>
  </si>
  <si>
    <t>Семенов Семен Семенович</t>
  </si>
  <si>
    <t>Сергеев Сергей Сергеевич</t>
  </si>
  <si>
    <t>Степанов Степан Степанович</t>
  </si>
  <si>
    <t>Сидоров Сидор Сидорович</t>
  </si>
  <si>
    <t>Тарасов Тарас Тарасович</t>
  </si>
  <si>
    <t>Тимофеев Тимофей Тимофеевич</t>
  </si>
  <si>
    <t>Тихонов Тихон Тихонович</t>
  </si>
  <si>
    <t>Трофимов Трофим Трофимович</t>
  </si>
  <si>
    <t>Федоров Федор Федорович</t>
  </si>
  <si>
    <t>Федотов Федот Федотович</t>
  </si>
  <si>
    <t>Филатов Филат Филатович</t>
  </si>
  <si>
    <t>Филиппов Филипп Филиппович</t>
  </si>
  <si>
    <t>Эдуардов Эдуард Эдуардович</t>
  </si>
  <si>
    <t>Юрьев Юрий Юрьевич</t>
  </si>
  <si>
    <t>Ярославов Ярослав Ярославович</t>
  </si>
  <si>
    <t>Дорофеев Андрей Андреевич</t>
  </si>
  <si>
    <t>Фирсов Александр Александрович</t>
  </si>
  <si>
    <t>Сиротин Алексей Алексеевич</t>
  </si>
  <si>
    <t>Корнев Антон Антонович</t>
  </si>
  <si>
    <t>Кирюхин Артем Артемович</t>
  </si>
  <si>
    <t>Сорокин Анатолий Анатольевич</t>
  </si>
  <si>
    <t>Поминов Арсений Арсеньевич</t>
  </si>
  <si>
    <t>Голубых Афанасий Афанасьевич</t>
  </si>
  <si>
    <t>Красных Борис Борисович</t>
  </si>
  <si>
    <t>Бураков Богдан Богданович</t>
  </si>
  <si>
    <t>Ветров Вадим Вадимович</t>
  </si>
  <si>
    <t>Брежнев Валерий Валерьевич</t>
  </si>
  <si>
    <t>Жбанов Василий Васильевич</t>
  </si>
  <si>
    <t>Кулешов Венедикт Венедиктович</t>
  </si>
  <si>
    <t>Зверев Вениамин Вениаминович</t>
  </si>
  <si>
    <t>Сысоев Виктор Викторович</t>
  </si>
  <si>
    <t>Сорокин Виталий Витальевич</t>
  </si>
  <si>
    <t>Цветков Владислав Владиславович</t>
  </si>
  <si>
    <t>Коровкин Владимир Владимирович</t>
  </si>
  <si>
    <t>Кочетов Всеволод Всеволодович</t>
  </si>
  <si>
    <t>Попов Вячеслав Вячеславович</t>
  </si>
  <si>
    <t>Веревкин Геннадий Геннадьевич</t>
  </si>
  <si>
    <t>Цаплин Георгий Георгиевич</t>
  </si>
  <si>
    <t>Синицин Герасим Герасимович</t>
  </si>
  <si>
    <t>Журавлев Глеб Глебович</t>
  </si>
  <si>
    <t>Пальчиков Григорий Григорьевич</t>
  </si>
  <si>
    <t>Коростелев Данил Данилович</t>
  </si>
  <si>
    <t>Незнамов Денис Денисович</t>
  </si>
  <si>
    <t>Гуськов Дмитрий Дмитриевич</t>
  </si>
  <si>
    <t>Самойлов Егор Егорович</t>
  </si>
  <si>
    <t>Потрясаев Емельян Емельянович</t>
  </si>
  <si>
    <t>Исаев Еремей Еремеевич</t>
  </si>
  <si>
    <t>Вобликов Ефрем Ефремович</t>
  </si>
  <si>
    <t>Ивашкин Захар Захарович</t>
  </si>
  <si>
    <t>Чистяков Иван Иванович</t>
  </si>
  <si>
    <t>Аксенов Игнат Игнатович</t>
  </si>
  <si>
    <t>Трухачев Игорь Игоревич</t>
  </si>
  <si>
    <t>Волков Илья Ильич</t>
  </si>
  <si>
    <t>Зайцев Кирилл Кириллович</t>
  </si>
  <si>
    <t>Баранов Клим Климович</t>
  </si>
  <si>
    <t>Баранкин Кондрат Кондратьевич</t>
  </si>
  <si>
    <t>Булкин Константин Константинович</t>
  </si>
  <si>
    <t>Окунев Корней Корнеевич</t>
  </si>
  <si>
    <t>Карасев Кузьма Кузьмич</t>
  </si>
  <si>
    <t>Нырков Лавр Лаврович</t>
  </si>
  <si>
    <t>Ярославов Кузьма Ефремович</t>
  </si>
  <si>
    <t>Григорьев Лавр Арсеньевич</t>
  </si>
  <si>
    <t>Марков Константин Георгиевич</t>
  </si>
  <si>
    <t>Конеев Вадим Анатольевич</t>
  </si>
  <si>
    <t>Сысоев Василий Федотович</t>
  </si>
  <si>
    <t>Вениаминов Денис Федотович</t>
  </si>
  <si>
    <t>Исаев Еремей Константинович</t>
  </si>
  <si>
    <t>Михайлов Клим Борисович</t>
  </si>
  <si>
    <t>Глебов Потап Егорович</t>
  </si>
  <si>
    <t>Игнатьев Данил Петрович</t>
  </si>
  <si>
    <t>Баранкин Игорь Ильич</t>
  </si>
  <si>
    <t>Конеев Федот Семенович</t>
  </si>
  <si>
    <t>Владиславов Семен Прохорович</t>
  </si>
  <si>
    <t>Конеев Владислав Иванович</t>
  </si>
  <si>
    <t>Тихонов Федот Корнеевич</t>
  </si>
  <si>
    <t>Дмитриев Илья Романович</t>
  </si>
  <si>
    <t>Брежнев Владимир Кириллович</t>
  </si>
  <si>
    <t>Григорьев Григорий Лаврович</t>
  </si>
  <si>
    <t>Михайлов Григорий Арсеньевич</t>
  </si>
  <si>
    <t>Игнатьев Степан Корнеевич</t>
  </si>
  <si>
    <t>Исаев Михаил Артемович</t>
  </si>
  <si>
    <t>Романов Александр Геннадьевич</t>
  </si>
  <si>
    <t>Аксенов Матвей Захарович</t>
  </si>
  <si>
    <t>Русланов Петр Герасимович</t>
  </si>
  <si>
    <t>Аксенов Данил Сидорович</t>
  </si>
  <si>
    <t>Чистяков Леонид Петрович</t>
  </si>
  <si>
    <t>Ефремов Тихон Максимович</t>
  </si>
  <si>
    <t>Баранкин Сергей Тимофеевич</t>
  </si>
  <si>
    <t>Цаплин Корней Игоревич</t>
  </si>
  <si>
    <t>Окунев Дмитрий Иванович</t>
  </si>
  <si>
    <t>Макаров Геннадий Лаврович</t>
  </si>
  <si>
    <t>Марков Андрей Матвеевич</t>
  </si>
  <si>
    <t>Исаев Григорий Иванович</t>
  </si>
  <si>
    <t>Бураков Федот Лаврович</t>
  </si>
  <si>
    <t>Зверев Алексей Артемович</t>
  </si>
  <si>
    <t>Коровкин Афанасий Кузьмич</t>
  </si>
  <si>
    <t>Поминов Илья Степанович</t>
  </si>
  <si>
    <t>Зайцев Владимир Юрьевич</t>
  </si>
  <si>
    <t>Родионов Николай Владимирович</t>
  </si>
  <si>
    <t>Семенов Тихон Афанасьевич</t>
  </si>
  <si>
    <t>Игнатьев Игорь Алексеевич</t>
  </si>
  <si>
    <t>Павлов Геннадий Максимович</t>
  </si>
  <si>
    <t>Поминов Михаил Лаврович</t>
  </si>
  <si>
    <t>Сорокин Игорь Филатович</t>
  </si>
  <si>
    <t>Бураков Константин Александрович</t>
  </si>
  <si>
    <t>Никитин Григорий Павлович</t>
  </si>
  <si>
    <t>Ярославов Савелий Михайлович</t>
  </si>
  <si>
    <t>Конеев Никита Филатович</t>
  </si>
  <si>
    <t>Русланов Савелий Игоревич</t>
  </si>
  <si>
    <t>Аксенов Руслан Еремеевич</t>
  </si>
  <si>
    <t>Волков Емельян Кириллович</t>
  </si>
  <si>
    <t>Поминов Афанасий Григорьевич</t>
  </si>
  <si>
    <t>Синицин Василий Сидорович</t>
  </si>
  <si>
    <t>Поминов Сергей Артемович</t>
  </si>
  <si>
    <t>Романов Степан Прохорович</t>
  </si>
  <si>
    <t>Петров Прохор Кондратьевич</t>
  </si>
  <si>
    <t>Русланов Владислав Борисович</t>
  </si>
  <si>
    <t>Баранкин Игнат Ильич</t>
  </si>
  <si>
    <t>Семенов Лавр Константинович</t>
  </si>
  <si>
    <t>Сидоров Савелий Глебович</t>
  </si>
  <si>
    <t>Незнамов Тихон Денисович</t>
  </si>
  <si>
    <t>Филатов Герасим Семенович</t>
  </si>
  <si>
    <t>Бураков Вячеслав Анатольевич</t>
  </si>
  <si>
    <t>Сорокин Венедикт Юрьевич</t>
  </si>
  <si>
    <t>Пальчиков Валерий Емельянович</t>
  </si>
  <si>
    <t>Зверев Венедикт Васильевич</t>
  </si>
  <si>
    <t>Ярославов Семен Тимофеевич</t>
  </si>
  <si>
    <t>Исаев Афанасий Александрович</t>
  </si>
  <si>
    <t>Аксенов Валерий Юрьевич</t>
  </si>
  <si>
    <t>Аксенов Борис Вениаминович</t>
  </si>
  <si>
    <t>Вобликов Игорь Егорович</t>
  </si>
  <si>
    <t>Поминов Геннадий Александрович</t>
  </si>
  <si>
    <t>Чистяков Виталий Денисович</t>
  </si>
  <si>
    <t>Конеев Матвей Александрович</t>
  </si>
  <si>
    <t>Цветков Кирилл Кондратьевич</t>
  </si>
  <si>
    <t>Михайлов Алексей Сидорович</t>
  </si>
  <si>
    <t>Аксенов Алексей Денисович</t>
  </si>
  <si>
    <t>Баранкин Руслан Борисович</t>
  </si>
  <si>
    <t>Поминов Владимир Егорович</t>
  </si>
  <si>
    <t>Пальчиков Тихон Тимофеевич</t>
  </si>
  <si>
    <t>Поминов Потап Кондратьевич</t>
  </si>
  <si>
    <t>Игнатьев Еремей Григорьевич</t>
  </si>
  <si>
    <t>Коростелев Борис Федотович</t>
  </si>
  <si>
    <t>Красных Тихон Кондратьевич</t>
  </si>
  <si>
    <t>Ярославов Тихон Анатольевич</t>
  </si>
  <si>
    <t>Аксенов Лавр Денисович</t>
  </si>
  <si>
    <t>Поминов Константин Денисович</t>
  </si>
  <si>
    <t>Баранкин Василий Максимович</t>
  </si>
  <si>
    <t>Пальчиков Семен Константинович</t>
  </si>
  <si>
    <t>Григорьев Геннадий Кириллович</t>
  </si>
  <si>
    <t>Чистяков Корней Михайлович</t>
  </si>
  <si>
    <t>Тихонов Михаил Владиславович</t>
  </si>
  <si>
    <t>Поминов Сергей Егорович</t>
  </si>
  <si>
    <t>Цаплин Степан Лаврович</t>
  </si>
  <si>
    <t>Волков Петр Григорьевич</t>
  </si>
  <si>
    <t>Пальчиков Емельян Ефремович</t>
  </si>
  <si>
    <t>Семенов Илья Александрович</t>
  </si>
  <si>
    <t>Баранкин Владислав Герасимович</t>
  </si>
  <si>
    <t>Баранкин Потап Васильевич</t>
  </si>
  <si>
    <t>Журавлев Валерий Романович</t>
  </si>
  <si>
    <t>Конеев Григорий Александрович</t>
  </si>
  <si>
    <t>Конеев Константин Корнеевич</t>
  </si>
  <si>
    <t>Михайлов Емельян Кондратьевич</t>
  </si>
  <si>
    <t>Цаплин Корней Данилович</t>
  </si>
  <si>
    <t>Аксенов Григорий Юрьевич</t>
  </si>
  <si>
    <t>Романов Никита Егорович</t>
  </si>
  <si>
    <t>Баранкин Степан Матвеевич</t>
  </si>
  <si>
    <t>Карасев Виталий Корнеевич</t>
  </si>
  <si>
    <t>Романов Корней Денисович</t>
  </si>
  <si>
    <t>Зверев Петр Ильич</t>
  </si>
  <si>
    <t>Сысоев Петр Иванович</t>
  </si>
  <si>
    <t>Нырков Данил Романович</t>
  </si>
  <si>
    <t>Бураков Степан Кириллович</t>
  </si>
  <si>
    <t>Волков Потап Денисович</t>
  </si>
  <si>
    <t>Макаров Корней Лаврович</t>
  </si>
  <si>
    <t>Ярославов Корней Юрьевич</t>
  </si>
  <si>
    <t>Баранкин Емельян Константинович</t>
  </si>
  <si>
    <t>Аксенов Степан Егорович</t>
  </si>
  <si>
    <t>Баранкин Емельян Кондратьевич</t>
  </si>
  <si>
    <t>Никитин Данил Федотович</t>
  </si>
  <si>
    <t>Бураков Еремей Кириллович</t>
  </si>
  <si>
    <t>Макаров Вадим Иванович</t>
  </si>
  <si>
    <t>Зверев Емельян Егорович</t>
  </si>
  <si>
    <t>Михайлов Григорий Корнеевич</t>
  </si>
  <si>
    <t>Пальчиков Корней Кондратьевич</t>
  </si>
  <si>
    <t>Аксенов Емельян Артемович</t>
  </si>
  <si>
    <t>Поминов Александр Тимофеевич</t>
  </si>
  <si>
    <t>Ярославов Венедикт Кондратьевич</t>
  </si>
  <si>
    <t>Баранкин Федот Юрьевич</t>
  </si>
  <si>
    <t>Баранкин Константин Романович</t>
  </si>
  <si>
    <t>Зверев Матвей Лаврович</t>
  </si>
  <si>
    <t>Тихонов Григорий Александрович</t>
  </si>
  <si>
    <t>Конеев Афанасий Егорович</t>
  </si>
  <si>
    <t>Карасев Николай Федотович</t>
  </si>
  <si>
    <t>Чистяков Григорий Денисович</t>
  </si>
  <si>
    <t>Русланов Вячеслав Юрьевич</t>
  </si>
  <si>
    <t>Волков Тихон Юрьевич</t>
  </si>
  <si>
    <t>Русланов Лавр Юрьевич</t>
  </si>
  <si>
    <t>Вобликов Емельян Романович</t>
  </si>
  <si>
    <t>Пальчиков Потап Григорьевич</t>
  </si>
  <si>
    <t>Баранкин Тихон Семенович</t>
  </si>
  <si>
    <t>Аксенов Григорий Матвеевич</t>
  </si>
  <si>
    <t>Аксенов Федот Лаврович</t>
  </si>
  <si>
    <t>Пальчиков Корней Егорович</t>
  </si>
  <si>
    <t>Поминов Потап Романович</t>
  </si>
  <si>
    <t>Пальчиков Константин Васильевич</t>
  </si>
  <si>
    <t>Вобликов Руслан Александрович</t>
  </si>
  <si>
    <t>Поминов Константин Кириллович</t>
  </si>
  <si>
    <t>Ефремов Дмитрий Кондратьевич</t>
  </si>
  <si>
    <t>Чистяков Василий Денисович</t>
  </si>
  <si>
    <t>Русланов Потап Михайлович</t>
  </si>
  <si>
    <t>Бураков Григорий Александрович</t>
  </si>
  <si>
    <t>Карасев Еремей Юрьевич</t>
  </si>
  <si>
    <t>Сорокин Тихон Владимирович</t>
  </si>
  <si>
    <t>Зверев Григорий Афанасьевич</t>
  </si>
  <si>
    <t>Волков Николай Алексеевич</t>
  </si>
  <si>
    <t>Баранкин Григорий Юрьевич</t>
  </si>
  <si>
    <t>Аксенов Афанасий Семенович</t>
  </si>
  <si>
    <t>Красных Еремей Филатович</t>
  </si>
  <si>
    <t>Чистяков Виталий Лаврович</t>
  </si>
  <si>
    <t>Чистяков Корней Анатольевич</t>
  </si>
  <si>
    <t>Баранкин Прохор Кириллович</t>
  </si>
  <si>
    <t>Поминов Корней Александрович</t>
  </si>
  <si>
    <t>Чистяков Герасим Константинович</t>
  </si>
  <si>
    <t>Чистяков Алексей Александрович</t>
  </si>
  <si>
    <t>Тихонов Лавр Сидорович</t>
  </si>
  <si>
    <t>Поминов Данил Егорович</t>
  </si>
  <si>
    <t>Карасев Никита Филатович</t>
  </si>
  <si>
    <t>Чистяков Тихон Александрович</t>
  </si>
  <si>
    <t>Цветков Алексей Федотович</t>
  </si>
  <si>
    <t>Волков Матвей Кондратьевич</t>
  </si>
  <si>
    <t>Волков Петр Денисович</t>
  </si>
  <si>
    <t>Зверев Потап Денисович</t>
  </si>
  <si>
    <t>Нырков Петр Юрьевич</t>
  </si>
  <si>
    <t>Баранкин Тихон Борисович</t>
  </si>
  <si>
    <t>Конеев Федот Анатольевич</t>
  </si>
  <si>
    <t>Зверев Кирилл Денисович</t>
  </si>
  <si>
    <t>Зверев Александр Михайлович</t>
  </si>
  <si>
    <t>Михайлов Венедикт Корнеевич</t>
  </si>
  <si>
    <t>Бураков Петр Максимович</t>
  </si>
  <si>
    <t>Михайлов Кирилл Тимофеевич</t>
  </si>
  <si>
    <t>Пальчиков Валерий Юрьевич</t>
  </si>
  <si>
    <t>Баранкин Потап Юрьевич</t>
  </si>
  <si>
    <t>Баранкин Валерий Лаврович</t>
  </si>
  <si>
    <t>Конеев Венедикт Корнеевич</t>
  </si>
  <si>
    <t>Ярославов Степан Егорович</t>
  </si>
  <si>
    <t>Бураков Кирилл Романович</t>
  </si>
  <si>
    <t>Журавлев Емельян Максимович</t>
  </si>
  <si>
    <t>Тихонов Валерий Михайлович</t>
  </si>
  <si>
    <t>Семенов Петр Юрьевич</t>
  </si>
  <si>
    <t>Цветков Тихон Тимофеевич</t>
  </si>
  <si>
    <t>Поминов Алексей Денисович</t>
  </si>
  <si>
    <t>Баранкин Тихон Александрович</t>
  </si>
  <si>
    <t>Поминов Тихон Федотович</t>
  </si>
  <si>
    <t>Пальчиков Алексей Кондратьевич</t>
  </si>
  <si>
    <t>Поминов Константин Федотович</t>
  </si>
  <si>
    <t>Поминов Алексей Юрьевич</t>
  </si>
  <si>
    <t>Нырков Илья Ефремович</t>
  </si>
  <si>
    <t>Чистяков Лавр Михайлович</t>
  </si>
  <si>
    <t>Поминов Владислав Денисович</t>
  </si>
  <si>
    <t>Вобликов Геннадий Филатович</t>
  </si>
  <si>
    <t>Пальчиков Тихон Егорович</t>
  </si>
  <si>
    <t>Красных Дмитрий Максимович</t>
  </si>
  <si>
    <t>Тихонов Тихон Кондратьевич</t>
  </si>
  <si>
    <t>Русланов Еремей Иванович</t>
  </si>
  <si>
    <t>Поминов Алексей Владиславович</t>
  </si>
  <si>
    <t>Аксенов Григорий Тимофеевич</t>
  </si>
  <si>
    <t>Семенов Николай Матвеевич</t>
  </si>
  <si>
    <t>Цветков Потап Васильевич</t>
  </si>
  <si>
    <t>Баранкин Алексей Иванович</t>
  </si>
  <si>
    <t>Чистяков Григорий Егорович</t>
  </si>
  <si>
    <t>Аксенов Потап Алексеевич</t>
  </si>
  <si>
    <t>Поминов Потап Александрович</t>
  </si>
  <si>
    <t>Сысоев Алексей Иванович</t>
  </si>
  <si>
    <t>Аксенов Лавр Романович</t>
  </si>
  <si>
    <t>Волков Матвей Михайлович</t>
  </si>
  <si>
    <t>Поминов Степан Юрьевич</t>
  </si>
  <si>
    <t>Вобликов Валерий Максимович</t>
  </si>
  <si>
    <t>Нырков Григорий Иванович</t>
  </si>
  <si>
    <t>Романов Григорий Александрович</t>
  </si>
  <si>
    <t>Баранкин Кирилл Максимович</t>
  </si>
  <si>
    <t>Аксенов Тихон Денисович</t>
  </si>
  <si>
    <t>Баранкин Тихон Романович</t>
  </si>
  <si>
    <t>Аксенов Лавр Кириллович</t>
  </si>
  <si>
    <t>Баранкин Емельян Корнеевич</t>
  </si>
  <si>
    <t>Поминов Еремей Кириллович</t>
  </si>
  <si>
    <t>Волков Григорий Егорович</t>
  </si>
  <si>
    <t>Баранкин Степан Александрович</t>
  </si>
  <si>
    <t>Поминов Алексей Константинович</t>
  </si>
  <si>
    <t>Русланов Григорий Иванович</t>
  </si>
  <si>
    <t>Волков Корней Романович</t>
  </si>
  <si>
    <t>Баранкин Александр Иванович</t>
  </si>
  <si>
    <t>Аксенов Еремей Александрович</t>
  </si>
  <si>
    <t>Баранкин Венедикт Константинович</t>
  </si>
  <si>
    <t>Баранкин Николай Иванович</t>
  </si>
  <si>
    <t>Баранкин Алексей Александрович</t>
  </si>
  <si>
    <t>Бураков Валерий Денисович</t>
  </si>
  <si>
    <t>Баранкин Тихон Юрьевич</t>
  </si>
  <si>
    <t>Зверев Виталий Денисович</t>
  </si>
  <si>
    <t>Ефремов Григорий Кондратьевич</t>
  </si>
  <si>
    <t>Михайлов Венедикт Иванович</t>
  </si>
  <si>
    <t>Сысоев Еремей Иванович</t>
  </si>
  <si>
    <t>Поминов Григорий Романович</t>
  </si>
  <si>
    <t>Баранкин Кирилл Юрьевич</t>
  </si>
  <si>
    <t>Нырков Константин Юрьевич</t>
  </si>
  <si>
    <t>Вобликов Александр Юрьевич</t>
  </si>
  <si>
    <t>Баранкин Потап Кондратьевич</t>
  </si>
  <si>
    <t>Пальчиков Венедикт Денисович</t>
  </si>
  <si>
    <t>Баранкин Григорий Григорьевич</t>
  </si>
  <si>
    <t>Михайлов Тихон Борисович</t>
  </si>
  <si>
    <t>Поминов Николай Юрьевич</t>
  </si>
  <si>
    <t>Поминов Тихон Иванович</t>
  </si>
  <si>
    <t>Пальчиков Лавр Юрьевич</t>
  </si>
  <si>
    <t>Романов Кирилл Егорович</t>
  </si>
  <si>
    <t>Ефремов Данил Максимович</t>
  </si>
  <si>
    <t>Карасев Афанасий Юрьевич</t>
  </si>
  <si>
    <t>Баранкин Николай Лаврович</t>
  </si>
  <si>
    <t>Волков Николай Денисович</t>
  </si>
  <si>
    <t>Аксенов Потап Максимович</t>
  </si>
  <si>
    <t>Чистяков Венедикт Семенович</t>
  </si>
  <si>
    <t>Аксенов Валерий Денисович</t>
  </si>
  <si>
    <t>Поминов Тихон Александрович</t>
  </si>
  <si>
    <t>Аксенов Григорий Владимирович</t>
  </si>
  <si>
    <t>Вобликов Федот Максимович</t>
  </si>
  <si>
    <t>Нырков Тихон Григорьевич</t>
  </si>
  <si>
    <t>Зверев Константин Иванович</t>
  </si>
  <si>
    <t>Журавлев Григорий Юрьевич</t>
  </si>
  <si>
    <t>Аксенов Алексей Кириллович</t>
  </si>
  <si>
    <t>Бураков Николай Иванович</t>
  </si>
  <si>
    <t>Бураков Степан Иванович</t>
  </si>
  <si>
    <t>Волков Тихон Александрович</t>
  </si>
  <si>
    <t>Конеев Потап Юрьевич</t>
  </si>
  <si>
    <t>Вобликов Венедикт Денисович</t>
  </si>
  <si>
    <t>Нырков Николай Кириллович</t>
  </si>
  <si>
    <t>Конеев Кирилл Кириллович</t>
  </si>
  <si>
    <t>Баранкин Петр Романович</t>
  </si>
  <si>
    <t>Нырков Емельян Кириллович</t>
  </si>
  <si>
    <t>Ефремов Федот Анатольевич</t>
  </si>
  <si>
    <t>Баранкин Кирилл Иванович</t>
  </si>
  <si>
    <t>Русланов Валерий Филатович</t>
  </si>
  <si>
    <t>Волков Степан Тимофеевич</t>
  </si>
  <si>
    <t>Романов Федот Денисович</t>
  </si>
  <si>
    <t>Баранкин Лавр Юрьевич</t>
  </si>
  <si>
    <t>Поминов Венедикт Тимофеевич</t>
  </si>
  <si>
    <t>Чистяков Корней Иванович</t>
  </si>
  <si>
    <t>Нырков Алексей Романович</t>
  </si>
  <si>
    <t>Нырков Тихон Денисович</t>
  </si>
  <si>
    <t>Русланов Венедикт Владиславович</t>
  </si>
  <si>
    <t>Пальчиков Алексей Филатович</t>
  </si>
  <si>
    <t>Романов Венедикт Романович</t>
  </si>
  <si>
    <t>Волков Потап Егорович</t>
  </si>
  <si>
    <t>Ефремов Венедикт Максимович</t>
  </si>
  <si>
    <t>Аксенов Александр Романович</t>
  </si>
  <si>
    <t>Поминов Алексей Александрович</t>
  </si>
  <si>
    <t>Поминов Александр Александрович</t>
  </si>
  <si>
    <t>Вобликов Петр Борисович</t>
  </si>
  <si>
    <t>Ефремов Потап Романович</t>
  </si>
  <si>
    <t>Поминов Валерий Тимофеевич</t>
  </si>
  <si>
    <t>Баранкин Венедикт Михайлович</t>
  </si>
  <si>
    <t>Русланов Потап Иванович</t>
  </si>
  <si>
    <t>Аксенов Степан Юрьевич</t>
  </si>
  <si>
    <t>Зверев Тихон Максимович</t>
  </si>
  <si>
    <t>Романов Степан Кондратьевич</t>
  </si>
  <si>
    <t>Русланов Григорий Егорович</t>
  </si>
  <si>
    <t>Красных Венедикт Григорьевич</t>
  </si>
  <si>
    <t>Волков Константин Денисович</t>
  </si>
  <si>
    <t>Бураков Алексей Юрьевич</t>
  </si>
  <si>
    <t>Баранкин Федот Владиславович</t>
  </si>
  <si>
    <t>Аксенов Потап Александрович</t>
  </si>
  <si>
    <t>Поминов Константин Юрьевич</t>
  </si>
  <si>
    <t>Романов Федот Владимирович</t>
  </si>
  <si>
    <t>Аксенов Потап Романович</t>
  </si>
  <si>
    <t>Волков Николай Борисович</t>
  </si>
  <si>
    <t>Конеев Венедикт Денисович</t>
  </si>
  <si>
    <t>Пальчиков Александр Федотович</t>
  </si>
  <si>
    <t>Цветков Тихон Денисович</t>
  </si>
  <si>
    <t>Журавлев Григорий Иванович</t>
  </si>
  <si>
    <t>Поминов Тихон Романович</t>
  </si>
  <si>
    <t>Баранкин Геннадий Константинович</t>
  </si>
  <si>
    <t>Вобликов Николай Борисович</t>
  </si>
  <si>
    <t>Михайлов Николай Лаврович</t>
  </si>
  <si>
    <t>Волков Тихон Денисович</t>
  </si>
  <si>
    <t>Поминов Григорий Михайлович</t>
  </si>
  <si>
    <t>Бураков Тихон Владиславович</t>
  </si>
  <si>
    <t>Волков Григорий Иванович</t>
  </si>
  <si>
    <t>Русланов Еремей Анатольевич</t>
  </si>
  <si>
    <t>Волков Тихон Борисович</t>
  </si>
  <si>
    <t>Волков Константин Максимович</t>
  </si>
  <si>
    <t>Баранкин Венедикт Романович</t>
  </si>
  <si>
    <t>Конеев Венедикт Максимович</t>
  </si>
  <si>
    <t>Журавлев Валерий Александрович</t>
  </si>
  <si>
    <t>Волков Кирилл Юрьевич</t>
  </si>
  <si>
    <t>Нырков Степан Денисович</t>
  </si>
  <si>
    <t>Баранкин Николай Романович</t>
  </si>
  <si>
    <t>Волков Еремей Максимович</t>
  </si>
  <si>
    <t>Михайлов Тихон Юрьевич</t>
  </si>
  <si>
    <t>Поминов Венедикт Егорович</t>
  </si>
  <si>
    <t>Бураков Тихон Романович</t>
  </si>
  <si>
    <t>Баранкин Федот Максимович</t>
  </si>
  <si>
    <t>Зверев Константин Александрович</t>
  </si>
  <si>
    <t>Цветков Николай Константинович</t>
  </si>
  <si>
    <t>Поминов Алексей Романович</t>
  </si>
  <si>
    <t>Зверев Венедикт Константинович</t>
  </si>
  <si>
    <t>Русланов Валерий Александрович</t>
  </si>
  <si>
    <t>Поминов Потап Иванович</t>
  </si>
  <si>
    <t>Нырков Федот Максимович</t>
  </si>
  <si>
    <t>Чистяков Тихон Иванович</t>
  </si>
  <si>
    <t>Волков Федот Романович</t>
  </si>
  <si>
    <t>Русланов Тихон Денисович</t>
  </si>
  <si>
    <t>Баранкин Венедикт Григорьевич</t>
  </si>
  <si>
    <t>Баранкин Потап Григорьевич</t>
  </si>
  <si>
    <t>Баранкин Тихон Иванович</t>
  </si>
  <si>
    <t>Зверев Тихон Борисович</t>
  </si>
  <si>
    <t>Конеев Потап Романович</t>
  </si>
  <si>
    <t>Чистяков Кирилл Иванович</t>
  </si>
  <si>
    <t>Волков Тихон Романович</t>
  </si>
  <si>
    <t>Романов Кирилл Владимирович</t>
  </si>
  <si>
    <t>Русланов Тихон Константинович</t>
  </si>
  <si>
    <t>Бураков Валерий Юрьевич</t>
  </si>
  <si>
    <t>Нырков Николай Григорьевич</t>
  </si>
  <si>
    <t>Бураков Валерий Анатольевич</t>
  </si>
  <si>
    <t>Баранкин Валерий Кондратьевич</t>
  </si>
  <si>
    <t>Романов Венедикт Юрьевич</t>
  </si>
  <si>
    <t>Конеев Николай Анатольевич</t>
  </si>
  <si>
    <t>Цветков Николай Иванович</t>
  </si>
  <si>
    <t>Аксенов Кирилл Денисович</t>
  </si>
  <si>
    <t>Волков Лавр Тимофеевич</t>
  </si>
  <si>
    <t>Баранкин Венедикт Лаврович</t>
  </si>
  <si>
    <t>Волков Валерий Романович</t>
  </si>
  <si>
    <t>Бураков Тихон Денисович</t>
  </si>
  <si>
    <t>Баранкин Кирилл Григорьевич</t>
  </si>
  <si>
    <t>Аксенов Кирилл Романович</t>
  </si>
  <si>
    <t>Баранкин Федот Владимирович</t>
  </si>
  <si>
    <t>Вобликов Валерий Иванович</t>
  </si>
  <si>
    <t>Вобликов Константин Денисович</t>
  </si>
  <si>
    <t>Аксенов Тихон Иванович</t>
  </si>
  <si>
    <t>Баранкин Емельян Иванович</t>
  </si>
  <si>
    <t>Цветков Валерий Григорьевич</t>
  </si>
  <si>
    <t>Нырков Кирилл Анатольевич</t>
  </si>
  <si>
    <t>Конеев Григорий Михайлович</t>
  </si>
  <si>
    <t>Пальчиков Григорий Денисович</t>
  </si>
  <si>
    <t>Нырков Александр Кириллович</t>
  </si>
  <si>
    <t>Баранкин Валерий Григорьевич</t>
  </si>
  <si>
    <t>Поминов Валерий Денисович</t>
  </si>
  <si>
    <t>Вобликов Еремей Максимович</t>
  </si>
  <si>
    <t>Вобликов Константин Александрович</t>
  </si>
  <si>
    <t>Баранкин Федот Денисович</t>
  </si>
  <si>
    <t>Баранкин Кирилл Кондратьевич</t>
  </si>
  <si>
    <t>Зверев Федот Григорьевич</t>
  </si>
  <si>
    <t>Нырков Константин Романович</t>
  </si>
  <si>
    <t>Ефремов Николай Константинович</t>
  </si>
  <si>
    <t>Аксенов Венедикт Тимофеевич</t>
  </si>
  <si>
    <t>Русланов Еремей Романович</t>
  </si>
  <si>
    <t>Аксенов Федот Александрович</t>
  </si>
  <si>
    <t>Аксенов Александр Максимович</t>
  </si>
  <si>
    <t>Баранкин Константин Денисович</t>
  </si>
  <si>
    <t>Романов Тихон Романович</t>
  </si>
  <si>
    <t>Баранкин Алексей Юрьевич</t>
  </si>
  <si>
    <t>Поминов Федот Федотович</t>
  </si>
  <si>
    <t>Волков Венедикт Иванович</t>
  </si>
  <si>
    <t>Баранкин Федот Тимофеевич</t>
  </si>
  <si>
    <t>Русланов Венедикт Денисович</t>
  </si>
  <si>
    <t>Цветков Тихон Романович</t>
  </si>
  <si>
    <t>Баранкин Венедикт Кириллович</t>
  </si>
  <si>
    <t>Зверев Тихон Кондратьевич</t>
  </si>
  <si>
    <t>Русланов Тихон Григорьевич</t>
  </si>
  <si>
    <t>Романов Тихон Александрович</t>
  </si>
  <si>
    <t>Русланов Николай Михайлович</t>
  </si>
  <si>
    <t>Волков Тихон Владиславович</t>
  </si>
  <si>
    <t>Конеев Алексей Денисович</t>
  </si>
  <si>
    <t>Поминов Еремей Романович</t>
  </si>
  <si>
    <t>Русланов Тихон Иванович</t>
  </si>
  <si>
    <t>Русланов Тихон Максимович</t>
  </si>
  <si>
    <t>Волков Николай Михайлович</t>
  </si>
  <si>
    <t>Цветков Николай Тимофеевич</t>
  </si>
  <si>
    <t>Волков Алексей Денисович</t>
  </si>
  <si>
    <t>Чистяков Григорий Юрьевич</t>
  </si>
  <si>
    <t>Русланов Кирилл Егорович</t>
  </si>
  <si>
    <t>Поминов Николай Романович</t>
  </si>
  <si>
    <t>Русланов Емельян Максимович</t>
  </si>
  <si>
    <t>Волков Алексей Михайлович</t>
  </si>
  <si>
    <t>Баранкин Кирилл Денисович</t>
  </si>
  <si>
    <t>Баранкин Тихон Григорьевич</t>
  </si>
  <si>
    <t>Волков Федот Денисович</t>
  </si>
  <si>
    <t>Волков Кирилл Романович</t>
  </si>
  <si>
    <t>Романов Григорий Михайлович</t>
  </si>
  <si>
    <t>Вобликов Тихон Максимович</t>
  </si>
  <si>
    <t>Волков Константин Владиславович</t>
  </si>
  <si>
    <t>Русланов Венедикт Романович</t>
  </si>
  <si>
    <t>Поминов Тихон Кириллович</t>
  </si>
  <si>
    <t>Нырков Валерий Григорьевич</t>
  </si>
  <si>
    <t>Русланов Емельян Григорьевич</t>
  </si>
  <si>
    <t>Русланов Венедикт Иванович</t>
  </si>
  <si>
    <t>Волков Алексей Анатольевич</t>
  </si>
  <si>
    <t>Зверев Кирилл Александрович</t>
  </si>
  <si>
    <t>Баранкин Тихон Владимирович</t>
  </si>
  <si>
    <t>Вобликов Тихон Юрьевич</t>
  </si>
  <si>
    <t>Зверев Валерий Григорьевич</t>
  </si>
  <si>
    <t>Конеев Константин Романович</t>
  </si>
  <si>
    <t>Поминов Кирилл Григорьевич</t>
  </si>
  <si>
    <t>Зверев Венедикт Александрович</t>
  </si>
  <si>
    <t>Русланов Николай Романович</t>
  </si>
  <si>
    <t>Баранкин Валерий Денисович</t>
  </si>
  <si>
    <t>Поминов Тихон Анатольевич</t>
  </si>
  <si>
    <t>Конеев Тихон Владимирович</t>
  </si>
  <si>
    <t>Цветков Константин Григорьевич</t>
  </si>
  <si>
    <t>Романов Тихон Тимофеевич</t>
  </si>
  <si>
    <t>Русланов Тихон Кондратьевич</t>
  </si>
  <si>
    <t>Вобликов Валерий Григорьевич</t>
  </si>
  <si>
    <t>Русланов Алексей Тимофеевич</t>
  </si>
  <si>
    <t>Русланов Тихон Юрьевич</t>
  </si>
  <si>
    <t>Вобликов Кирилл Денисович</t>
  </si>
  <si>
    <t>Бураков Валерий Григорьевич</t>
  </si>
  <si>
    <t>Зверев Кирилл Анатольевич</t>
  </si>
  <si>
    <t>Конеев Алексей Владиславович</t>
  </si>
  <si>
    <t>Пальчиков Федот Александрович</t>
  </si>
  <si>
    <t>Баранкин Кирилл Романович</t>
  </si>
  <si>
    <t>Волков Алексей Юрьевич</t>
  </si>
  <si>
    <t>Нырков Валерий Александрович</t>
  </si>
  <si>
    <t>Русланов Николай Денисович</t>
  </si>
  <si>
    <t>Поминов Тихон Григорьевич</t>
  </si>
  <si>
    <t>Волков Григорий Юрьевич</t>
  </si>
  <si>
    <t>Пальчиков Еремей Юрьевич</t>
  </si>
  <si>
    <t>Цветков Тихон Владимирович</t>
  </si>
  <si>
    <t>Волков Федот Иванович</t>
  </si>
  <si>
    <t>Вобликов Кирилл Юрьевич</t>
  </si>
  <si>
    <t>Романов Тихон Григорьевич</t>
  </si>
  <si>
    <t>Чистяков Кирилл Денисович</t>
  </si>
  <si>
    <t>Вобликов Константин Григорьевич</t>
  </si>
  <si>
    <t>Баранкин Федот Григорьевич</t>
  </si>
  <si>
    <t>Русланов Алексей Григорьевич</t>
  </si>
  <si>
    <t>Цветков Константин Романович</t>
  </si>
  <si>
    <t>Вобликов Емельян Константинович</t>
  </si>
  <si>
    <t>Цветков Федот Григорьевич</t>
  </si>
  <si>
    <t>Волков Тихон Григорьевич</t>
  </si>
  <si>
    <t>Ефремов Федот Романович</t>
  </si>
  <si>
    <t>Поминов Федот Денисович</t>
  </si>
  <si>
    <t>Русланов Федот Денисович</t>
  </si>
  <si>
    <t>Поминов Венедикт Кириллович</t>
  </si>
  <si>
    <t>Вобликов Тихон Денисович</t>
  </si>
  <si>
    <t>Баранкин Алексей Денисович</t>
  </si>
  <si>
    <t>Конеев Еремей Григорьевич</t>
  </si>
  <si>
    <t>Русланов Николай Тимофеевич</t>
  </si>
  <si>
    <t>Вобликов Венедикт Григорьевич</t>
  </si>
  <si>
    <t>Волков Венедикт Максимович</t>
  </si>
  <si>
    <t>Вобликов Тихон Александрович</t>
  </si>
  <si>
    <t>Волков Алексей Тимофеевич</t>
  </si>
  <si>
    <t>Вобликов Алексей Иванович</t>
  </si>
  <si>
    <t>Баранкин Тихон Анатольевич</t>
  </si>
  <si>
    <t>Бураков Венедикт Иванович</t>
  </si>
  <si>
    <t>Русланов Степан Денисович</t>
  </si>
  <si>
    <t>Волков Константин Романович</t>
  </si>
  <si>
    <t>Баранкин Федот Романович</t>
  </si>
  <si>
    <t>Русланов Григорий Григорьевич</t>
  </si>
  <si>
    <t>Баранкин Алексей Кириллович</t>
  </si>
  <si>
    <t>Волков Кирилл Александрович</t>
  </si>
  <si>
    <t>Волков Валерий Кириллович</t>
  </si>
  <si>
    <t>Конеев Венедикт Григорьевич</t>
  </si>
  <si>
    <t>Конеев Кирилл Григорьевич</t>
  </si>
  <si>
    <t>Романов Кирилл Кириллович</t>
  </si>
  <si>
    <t>Романов Константин Михайлович</t>
  </si>
  <si>
    <t>Вобликов Константин Романович</t>
  </si>
  <si>
    <t>Вобликов Константин Егорович</t>
  </si>
  <si>
    <t>Волков Константин Егорович</t>
  </si>
  <si>
    <t>Конеев Валерий Александрович</t>
  </si>
  <si>
    <t>Романов Алексей Константинович</t>
  </si>
  <si>
    <t>Романов Венедикт Владиславович</t>
  </si>
  <si>
    <t>Волков Кирилл Тимофеевич</t>
  </si>
  <si>
    <t>Романов Григорий Денисович</t>
  </si>
  <si>
    <t>Зверев Венедикт Тимофеевич</t>
  </si>
  <si>
    <t>Романов Валерий Григорьевич</t>
  </si>
  <si>
    <t>Баранкин Тихон Владиславович</t>
  </si>
  <si>
    <t>Волков Кирилл Григорьевич</t>
  </si>
  <si>
    <t>Волков Николай Владимирович</t>
  </si>
  <si>
    <t>Русланов Константин Тимофеевич</t>
  </si>
  <si>
    <t>Романов Тихон Денисович</t>
  </si>
  <si>
    <t>Вобликов Венедикт Кириллович</t>
  </si>
  <si>
    <t>Нырков Венедикт Юрьевич</t>
  </si>
  <si>
    <t>Русланов Валерий Юрьевич</t>
  </si>
  <si>
    <t>Вобликов Григорий Денисович</t>
  </si>
  <si>
    <t>Вобликов Кирилл Александрович</t>
  </si>
  <si>
    <t>Бураков Венедикт Романович</t>
  </si>
  <si>
    <t>Зверев Федот Михайлович</t>
  </si>
  <si>
    <t>Вобликов Федот Григорьевич</t>
  </si>
  <si>
    <t>Волков Тихон Егорович</t>
  </si>
  <si>
    <t>Русланов Венедикт Юрьевич</t>
  </si>
  <si>
    <t>Русланов Тихон Владимирович</t>
  </si>
  <si>
    <t>Вобликов Федот Романович</t>
  </si>
  <si>
    <t>Бураков Николай Романович</t>
  </si>
  <si>
    <t>Баранкин Емельян Александрович</t>
  </si>
  <si>
    <t>Русланов Кирилл Григорьевич</t>
  </si>
  <si>
    <t>Пальчиков Николай Константинович</t>
  </si>
  <si>
    <t>Зверев Тихон Александрович</t>
  </si>
  <si>
    <t>Вобликов Еремей Денисович</t>
  </si>
  <si>
    <t>Пальчиков Федот Юрьевич</t>
  </si>
  <si>
    <t>Цветков Алексей Григорьевич</t>
  </si>
  <si>
    <t>Русланов Константин Иванович</t>
  </si>
  <si>
    <t>Цветков Константин Максимович</t>
  </si>
  <si>
    <t>Русланов Николай Григорьевич</t>
  </si>
  <si>
    <t>Волков Николай Кириллович</t>
  </si>
  <si>
    <t>Волков Николай Григорьевич</t>
  </si>
  <si>
    <t>Русланов Венедикт Григорьевич</t>
  </si>
  <si>
    <t>Бураков Федот Денисович</t>
  </si>
  <si>
    <t>Вобликов Тихон Григорьевич</t>
  </si>
  <si>
    <t>Вобликов Кирилл Тимофеевич</t>
  </si>
  <si>
    <t>Русланов Николай Егорович</t>
  </si>
  <si>
    <t>Волков Кирилл Денисович</t>
  </si>
  <si>
    <t>Пальчиков Алексей Григорьевич</t>
  </si>
  <si>
    <t>Пальчиков Кирилл Юрьевич</t>
  </si>
  <si>
    <t>Вобликов Николай Денисович</t>
  </si>
  <si>
    <t>Баранкин Емельян Григорьевич</t>
  </si>
  <si>
    <t>Романов Кирилл Денисович</t>
  </si>
  <si>
    <t>Цветков Григорий Григорьевич</t>
  </si>
  <si>
    <t>Русланов Константин Юрьевич</t>
  </si>
  <si>
    <t>Русланов Федот Григорьевич</t>
  </si>
  <si>
    <t>Зверев Степан Романович</t>
  </si>
  <si>
    <t>Ефремов Николай Тимофеевич</t>
  </si>
  <si>
    <t>Волков Федот Кириллович</t>
  </si>
  <si>
    <t>Русланов Федот Романович</t>
  </si>
  <si>
    <t>Баранкин Николай Григорьевич</t>
  </si>
  <si>
    <t>Вобликов Кирилл Григорьевич</t>
  </si>
  <si>
    <t>Волков Константин Кириллович</t>
  </si>
  <si>
    <t>Баранкин Тихон Кириллович</t>
  </si>
  <si>
    <t>Цветков Кирилл Александрович</t>
  </si>
  <si>
    <t>Бураков Константин Романович</t>
  </si>
  <si>
    <t>Волков Николай Иванович</t>
  </si>
  <si>
    <t>Поминов Николай Иванович</t>
  </si>
  <si>
    <t>Романов Алексей Тимофеевич</t>
  </si>
  <si>
    <t>Бураков Тихон Григорьевич</t>
  </si>
  <si>
    <t>Волков Алексей Иванович</t>
  </si>
  <si>
    <t>Цветков Кирилл Романович</t>
  </si>
  <si>
    <t>Баранкин Кирилл Тимофеевич</t>
  </si>
  <si>
    <t>Романов Венедикт Александрович</t>
  </si>
  <si>
    <t>Романов Константин Иванович</t>
  </si>
  <si>
    <t>Романов Валерий Александрович</t>
  </si>
  <si>
    <t>Баранкин Алексей Тимофеевич</t>
  </si>
  <si>
    <t>Волков Николай Тимофеевич</t>
  </si>
  <si>
    <t>Конеев Венедикт Владимирович</t>
  </si>
  <si>
    <t>Волков Николай Романович</t>
  </si>
  <si>
    <t>Романов Венедикт Денисович</t>
  </si>
  <si>
    <t>Романов Николай Юрьевич</t>
  </si>
  <si>
    <t>Вобликов Венедикт Юрьевич</t>
  </si>
  <si>
    <t>Конеев Кирилл Егорович</t>
  </si>
  <si>
    <t>Русланов Венедикт Максимович</t>
  </si>
  <si>
    <t>Ефремов Степан Денисович</t>
  </si>
  <si>
    <t>Бураков Алексей Кириллович</t>
  </si>
  <si>
    <t>Цветков Константин Денисович</t>
  </si>
  <si>
    <t>Романов Алексей Денисович</t>
  </si>
  <si>
    <t>Волков Алексей Александрович</t>
  </si>
  <si>
    <t>Вобликов Григорий Тимофеевич</t>
  </si>
  <si>
    <t>Романов Алексей Александрович</t>
  </si>
  <si>
    <t>Русланов Алексей Максимович</t>
  </si>
  <si>
    <t>Бураков Кирилл Владиславович</t>
  </si>
  <si>
    <t>Бураков Константин Егорович</t>
  </si>
  <si>
    <t>Нырков Федот Юрьевич</t>
  </si>
  <si>
    <t>Русланов Николай Максимович</t>
  </si>
  <si>
    <t>Русланов Алексей Михайлович</t>
  </si>
  <si>
    <t>Русланов Федот Кириллович</t>
  </si>
  <si>
    <t>Вобликов Алексей Тимофеевич</t>
  </si>
  <si>
    <t>Баранкин Федот Михайлович</t>
  </si>
  <si>
    <t>Русланов Кирилл Романович</t>
  </si>
  <si>
    <t>Цветков Константин Кириллович</t>
  </si>
  <si>
    <t>Ефремов Федот Юрьевич</t>
  </si>
  <si>
    <t>Романов Кирилл Тимофеевич</t>
  </si>
  <si>
    <t>Вобликов Алексей Григорьевич</t>
  </si>
  <si>
    <t>Романов Валерий Денисович</t>
  </si>
  <si>
    <t>Зверев Валерий Денисович</t>
  </si>
  <si>
    <t>Баранкин Степан Владиславович</t>
  </si>
  <si>
    <t>Баранкин Валерий Романович</t>
  </si>
  <si>
    <t>Вобликов Кирилл Иванович</t>
  </si>
  <si>
    <t>Баранкин Валерий Тимофеевич</t>
  </si>
  <si>
    <t>Романов Кирилл Григорьевич</t>
  </si>
  <si>
    <t>Русланов Венедикт Егорович</t>
  </si>
  <si>
    <t>Зверев Григорий Александрович</t>
  </si>
  <si>
    <t>Волков Константин Александрович</t>
  </si>
  <si>
    <t>Бураков Николай Григорьевич</t>
  </si>
  <si>
    <t>Баранкин Емельян Тимофеевич</t>
  </si>
  <si>
    <t>Вобликов Степан Егорович</t>
  </si>
  <si>
    <t>Волков Алексей Кириллович</t>
  </si>
  <si>
    <t>Баранкин Федот Иванович</t>
  </si>
  <si>
    <t>Вобликов Федот Юрьевич</t>
  </si>
  <si>
    <t>Романов Тихон Юрьевич</t>
  </si>
  <si>
    <t>Вобликов Алексей Денисович</t>
  </si>
  <si>
    <t>Баранкин Алексей Романович</t>
  </si>
  <si>
    <t>Пальчиков Николай Григорьевич</t>
  </si>
  <si>
    <t>Пальчиков Константин Романович</t>
  </si>
  <si>
    <t>Волков Венедикт Денисович</t>
  </si>
  <si>
    <t>Русланов Григорий Владимирович</t>
  </si>
  <si>
    <t>Баранкин Валерий Юрьевич</t>
  </si>
  <si>
    <t>Волков Федот Тимофеевич</t>
  </si>
  <si>
    <t>Поминов Венедикт Романович</t>
  </si>
  <si>
    <t>Пальчиков Валерий Тимофеевич</t>
  </si>
  <si>
    <t>Ефремов Кирилл Юрьевич</t>
  </si>
  <si>
    <t>Русланов Кирилл Денисович</t>
  </si>
  <si>
    <t>Поминов Константин Тимофеевич</t>
  </si>
  <si>
    <t>Русланов Константин Александрович</t>
  </si>
  <si>
    <t>Русланов Константин Григорьевич</t>
  </si>
  <si>
    <t>Романов Венедикт Иванович</t>
  </si>
  <si>
    <t>Пальчиков Алексей Владимирович</t>
  </si>
  <si>
    <t>Русланов Кирилл Кириллович</t>
  </si>
  <si>
    <t>Баранкин Алексей Владимирович</t>
  </si>
  <si>
    <t>Пальчиков Степан Александрович</t>
  </si>
  <si>
    <t>Бураков Кирилл Григорьевич</t>
  </si>
  <si>
    <t>Пальчиков Алексей Егорович</t>
  </si>
  <si>
    <t>Волков Константин Тимофеевич</t>
  </si>
  <si>
    <t>Волков Федот Григорьевич</t>
  </si>
  <si>
    <t>Вобликов Кирилл Владимирович</t>
  </si>
  <si>
    <t>Цветков Федот Тимофеевич</t>
  </si>
  <si>
    <t>Пальчиков Федот Романович</t>
  </si>
  <si>
    <t>Русланов Николай Александрович</t>
  </si>
  <si>
    <t>Вобликов Тихон Кириллович</t>
  </si>
  <si>
    <t>Баранкин Кирилл Александрович</t>
  </si>
  <si>
    <t>Волков Валерий Егорович</t>
  </si>
  <si>
    <t>Нырков Валерий Владиславович</t>
  </si>
  <si>
    <t>Русланов Степан Владимирович</t>
  </si>
  <si>
    <t>Баранкин Валерий Егорович</t>
  </si>
  <si>
    <t>Романов Кирилл Романович</t>
  </si>
  <si>
    <t>Вобликов Константин Тимофеевич</t>
  </si>
  <si>
    <t>Бураков Федот Юрьевич</t>
  </si>
  <si>
    <t>Нырков Валерий Тимофеевич</t>
  </si>
  <si>
    <t>Баранкин Константин Александрович</t>
  </si>
  <si>
    <t>Волков Григорий Кириллович</t>
  </si>
  <si>
    <t>Цветков Алексей Тимофеевич</t>
  </si>
  <si>
    <t>Вобликов Кирилл Романович</t>
  </si>
  <si>
    <t>Русланов Тихон Романович</t>
  </si>
  <si>
    <t>Русланов Константин Егорович</t>
  </si>
  <si>
    <t>Романов Венедикт Кириллович</t>
  </si>
  <si>
    <t>Бураков Кирилл Кириллович</t>
  </si>
  <si>
    <t>Волков Алексей Владимирович</t>
  </si>
  <si>
    <t>Волков Григорий Григорьевич</t>
  </si>
  <si>
    <t>Баранкин Венедикт Тимофеевич</t>
  </si>
  <si>
    <t>Пальчиков Валерий Романович</t>
  </si>
  <si>
    <t>Русланов Алексей Александрович</t>
  </si>
  <si>
    <t>Волков Федот Юрьевич</t>
  </si>
  <si>
    <t>Волков Кирилл Егорович</t>
  </si>
  <si>
    <t>Русланов Николай Иванович</t>
  </si>
  <si>
    <t>Баранкин Степан Тимофеевич</t>
  </si>
  <si>
    <t>Баранкин Федот Александрович</t>
  </si>
  <si>
    <t>Пальчиков Григорий Романович</t>
  </si>
  <si>
    <t>Пальчиков Венедикт Григорьевич</t>
  </si>
  <si>
    <t>Русланов Николай Юрьевич</t>
  </si>
  <si>
    <t>Романов Николай Романович</t>
  </si>
  <si>
    <t>Волков Венедикт Александрович</t>
  </si>
  <si>
    <t>Вобликов Валерий Егорович</t>
  </si>
  <si>
    <t>Волков Константин Юрьевич</t>
  </si>
  <si>
    <t>Цветков Венедикт Григорьевич</t>
  </si>
  <si>
    <t>Баранкин Валерий Александрович</t>
  </si>
  <si>
    <t>Баранкин Венедикт Александрович</t>
  </si>
  <si>
    <t>Вобликов Венедикт Иванович</t>
  </si>
  <si>
    <t>Нырков Тихон Романович</t>
  </si>
  <si>
    <t>Ефремов Николай Юрьевич</t>
  </si>
  <si>
    <t>Волков Валерий Тимофеевич</t>
  </si>
  <si>
    <t>Волков Григорий Романович</t>
  </si>
  <si>
    <t>Русланов Константин Денисович</t>
  </si>
  <si>
    <t>Волков Валерий Денисович</t>
  </si>
  <si>
    <t>Пальчиков Николай Егорович</t>
  </si>
  <si>
    <t>Бураков Федот Тимофеевич</t>
  </si>
  <si>
    <t>Волков Венедикт Юрьевич</t>
  </si>
  <si>
    <t>Романов Степан Владиславович</t>
  </si>
  <si>
    <t>Романов Федот Тимофеевич</t>
  </si>
  <si>
    <t>Бураков Алексей Иванович</t>
  </si>
  <si>
    <t>Романов Алексей Григорьевич</t>
  </si>
  <si>
    <t>Пальчиков Федот Егорович</t>
  </si>
  <si>
    <t>Ефремов Константин Иванович</t>
  </si>
  <si>
    <t>Пальчиков Федот Денисович</t>
  </si>
  <si>
    <t>Волков Григорий Денисович</t>
  </si>
  <si>
    <t>Цветков Кирилл Владиславович</t>
  </si>
  <si>
    <t>Пальчиков Алексей Кириллович</t>
  </si>
  <si>
    <t>Романов Федот Романович</t>
  </si>
  <si>
    <t>Вобликов Степан Иванович</t>
  </si>
  <si>
    <t>Бураков Алексей Александрович</t>
  </si>
  <si>
    <t>Волков Константин Иванович</t>
  </si>
  <si>
    <t>Баранкин Кирилл Егорович</t>
  </si>
  <si>
    <t>Пальчиков Константин Григорьевич</t>
  </si>
  <si>
    <t>Цветков Тихон Егорович</t>
  </si>
  <si>
    <t>Волков Алексей Григорьевич</t>
  </si>
  <si>
    <t>Романов Николай Иванович</t>
  </si>
  <si>
    <t>Волков Федот Егорович</t>
  </si>
  <si>
    <t>Русланов Федот Егорович</t>
  </si>
  <si>
    <t>Пальчиков Федот Владимирович</t>
  </si>
  <si>
    <t>Пальчиков Николай Александрович</t>
  </si>
  <si>
    <t>Русланов Валерий Владиславович</t>
  </si>
  <si>
    <t>Русланов Кирилл Александрович</t>
  </si>
  <si>
    <t>Русланов Федот Тимофеевич</t>
  </si>
  <si>
    <t>Русланов Кирилл Владимирович</t>
  </si>
  <si>
    <t>Баранкин Константин Тимофеевич</t>
  </si>
  <si>
    <t>Вобликов Валерий Романович</t>
  </si>
  <si>
    <t>Баранкин Константин Владимирович</t>
  </si>
  <si>
    <t>Вобликов Федот Денисович</t>
  </si>
  <si>
    <t>Русланов Кирилл Тимофеевич</t>
  </si>
  <si>
    <t>Русланов Григорий Тимофеевич</t>
  </si>
  <si>
    <t>Вобликов Валерий Александрович</t>
  </si>
  <si>
    <t>Романов Константин Тимофеевич</t>
  </si>
  <si>
    <t>Пальчиков Григорий Тимофеевич</t>
  </si>
  <si>
    <t>Волков Алексей Егорович</t>
  </si>
  <si>
    <t>Пальчиков Алексей Тимофеевич</t>
  </si>
  <si>
    <t>Вобликов Валерий Денисович</t>
  </si>
  <si>
    <t>Цветков Кирилл Владимирович</t>
  </si>
  <si>
    <t>Волков Алексей Романович</t>
  </si>
  <si>
    <t>Пальчиков Кирилл Александрович</t>
  </si>
  <si>
    <t>Баранкин Григорий Иванович</t>
  </si>
  <si>
    <t>Вобликов Венедикт Романович</t>
  </si>
  <si>
    <t>Романов Константин Александрович</t>
  </si>
  <si>
    <t>Ефремов Венедикт Юрьевич</t>
  </si>
  <si>
    <t>Баранкин Константин Юрьевич</t>
  </si>
  <si>
    <t>Романов Николай Денисович</t>
  </si>
  <si>
    <t>Романов Григорий Юрьевич</t>
  </si>
  <si>
    <t>Пальчиков Кирилл Егорович</t>
  </si>
  <si>
    <t>Вобликов Алексей Юрьевич</t>
  </si>
  <si>
    <t>Нырков Николай Владиславович</t>
  </si>
  <si>
    <t>Пальчиков Валерий Григорьевич</t>
  </si>
  <si>
    <t>Русланов Федот Владимирович</t>
  </si>
  <si>
    <t>Романов Николай Егорович</t>
  </si>
  <si>
    <t>Русланов Кирилл Иванович</t>
  </si>
  <si>
    <t>Романов Николай Александрович</t>
  </si>
  <si>
    <t>Волков Константин Григорьевич</t>
  </si>
  <si>
    <t>Волков Венедикт Владимирович</t>
  </si>
  <si>
    <t>Вобликов Григорий Егорович</t>
  </si>
  <si>
    <t>Русланов Тихон Александрович</t>
  </si>
  <si>
    <t>Баранкин Николай Тимофеевич</t>
  </si>
  <si>
    <t>Русланов Валерий Романович</t>
  </si>
  <si>
    <t>Романов Алексей Романович</t>
  </si>
  <si>
    <t>Вобликов Николай Владимирович</t>
  </si>
  <si>
    <t>Пальчиков Константин Кириллович</t>
  </si>
  <si>
    <t>Романов Алексей Юрьевич</t>
  </si>
  <si>
    <t>Вобликов Николай Александрович</t>
  </si>
  <si>
    <t>Баранкин Константин Владиславович</t>
  </si>
  <si>
    <t>Пальчиков Константин Денисович</t>
  </si>
  <si>
    <t>Русланов Валерий Денисович</t>
  </si>
  <si>
    <t>Пальчиков Венедикт Егорович</t>
  </si>
  <si>
    <t>Вобликов Николай Владиславович</t>
  </si>
  <si>
    <t>Романов Николай Тимофеевич</t>
  </si>
  <si>
    <t>Волков Тихон Тимофеевич</t>
  </si>
  <si>
    <t>Волков Федот Александрович</t>
  </si>
  <si>
    <t>Вобликов Григорий Александрович</t>
  </si>
  <si>
    <t>Романов Николай Григорьевич</t>
  </si>
  <si>
    <t>Русланов Алексей Егорович</t>
  </si>
  <si>
    <t>Волков Кирилл Владиславович</t>
  </si>
  <si>
    <t>Волков Николай Владиславович</t>
  </si>
  <si>
    <t>Вобликов Кирилл Егорович</t>
  </si>
  <si>
    <t>Романов Григорий Романович</t>
  </si>
  <si>
    <t>Волков Степан Денисович</t>
  </si>
  <si>
    <t>Русланов Федот Александрович</t>
  </si>
  <si>
    <t>Волков Григорий Тимофеевич</t>
  </si>
  <si>
    <t>Романов Константин Денисович</t>
  </si>
  <si>
    <t>Волков Николай Егорович</t>
  </si>
  <si>
    <t>Цветков Николай Александрович</t>
  </si>
  <si>
    <t>Русланов Григорий Юрьевич</t>
  </si>
  <si>
    <t>Баранкин Григорий Александрович</t>
  </si>
  <si>
    <t>Цветков Федот Александрович</t>
  </si>
  <si>
    <t>Русланов Алексей Денисович</t>
  </si>
  <si>
    <t>Пальчиков Константин Тимофеевич</t>
  </si>
  <si>
    <t>Цветков Алексей Александрович</t>
  </si>
  <si>
    <t>Русланов Степан Юрьевич</t>
  </si>
  <si>
    <t>Пальчиков Федот Тимофеевич</t>
  </si>
  <si>
    <t>Русланов Кирилл Юрьевич</t>
  </si>
  <si>
    <t>Баранкин Николай Владиславович</t>
  </si>
  <si>
    <t>Вобликов Алексей Александрович</t>
  </si>
  <si>
    <t>Волков Григорий Александрович</t>
  </si>
  <si>
    <t>Пальчиков Валерий Александрович</t>
  </si>
  <si>
    <t>Вобликов Константин Юрьевич</t>
  </si>
  <si>
    <t>Вобликов Николай Егорович</t>
  </si>
  <si>
    <t>Русланов Тихон Владиславович</t>
  </si>
  <si>
    <t>Баранкин Тихон Тимофеевич</t>
  </si>
  <si>
    <t>Вобликов Тихон Егорович</t>
  </si>
  <si>
    <t>Пальчиков Николай Владиславович</t>
  </si>
  <si>
    <t>Вобликов Николай Романович</t>
  </si>
  <si>
    <t>Пальчиков Алексей Романович</t>
  </si>
  <si>
    <t>Волков Николай Александрович</t>
  </si>
  <si>
    <t>Русланов Алексей Юрьевич</t>
  </si>
  <si>
    <t>Вобликов Алексей Егорович</t>
  </si>
  <si>
    <t>Пальчиков Кирилл Иванович</t>
  </si>
  <si>
    <t>Волков Григорий Владиславович</t>
  </si>
  <si>
    <t>Русланов Константин Романович</t>
  </si>
  <si>
    <t>Цветков Константин Тимофеевич</t>
  </si>
  <si>
    <t>Баранкин Алексей Егорович</t>
  </si>
  <si>
    <t>Пальчиков Константин Александрович</t>
  </si>
  <si>
    <t>Пальчиков Константин Егорович</t>
  </si>
  <si>
    <t>Русланов Валерий Григорьевич</t>
  </si>
  <si>
    <t>Цветков Константин Александрович</t>
  </si>
  <si>
    <t>Вобликов Николай Григорьевич</t>
  </si>
  <si>
    <t>Баранкин Кирилл Владиславович</t>
  </si>
  <si>
    <t>Русланов Алексей Владиславович</t>
  </si>
  <si>
    <t>Пальчиков Кирилл Романович</t>
  </si>
  <si>
    <t>Вобликов Алексей Романович</t>
  </si>
  <si>
    <t>Вобликов Федот Егорович</t>
  </si>
  <si>
    <t>Русланов Валерий Егорович</t>
  </si>
  <si>
    <t>Волков Кирилл Иванович</t>
  </si>
  <si>
    <t>Пальчиков Алексей Владиславович</t>
  </si>
  <si>
    <t>Вобликов Николай Юрьевич</t>
  </si>
  <si>
    <t>Пальчиков Алексей Александрович</t>
  </si>
  <si>
    <t>Вобликов Кирилл Владиславович</t>
  </si>
  <si>
    <t>Вобликов Валерий Владиславович</t>
  </si>
  <si>
    <t>Русланов Федот Владиславович</t>
  </si>
  <si>
    <t>Вобликов Григорий Иванович</t>
  </si>
  <si>
    <t>Вобликов Николай Тимофеевич</t>
  </si>
  <si>
    <t>Русланов Константин Владиславович</t>
  </si>
  <si>
    <t>Цветков Николай Егорович</t>
  </si>
  <si>
    <t>Цветков Алексей Романович</t>
  </si>
  <si>
    <t>Цветков Константин Владиславович</t>
  </si>
  <si>
    <t>Пальчиков Валерий Денисович</t>
  </si>
  <si>
    <t>Баранкин Федот Егорович</t>
  </si>
  <si>
    <t>Цветков Федот Романович</t>
  </si>
  <si>
    <t>Баранкин Константин Иванович</t>
  </si>
  <si>
    <t>Цветков Григорий Александрович</t>
  </si>
  <si>
    <t>Русланов Алексей Иванович</t>
  </si>
  <si>
    <t>Баранкин Алексей Владиславович</t>
  </si>
  <si>
    <t>Вобликов Константин Владиславович</t>
  </si>
  <si>
    <t>Русланов Валерий Тимофеевич</t>
  </si>
  <si>
    <t>Вобликов Алексей Владиславович</t>
  </si>
  <si>
    <t>Русланов Николай Владиславович</t>
  </si>
  <si>
    <t>Цветков Кирилл Тимофеевич</t>
  </si>
  <si>
    <t>Цветков Валерий Тимофеевич</t>
  </si>
  <si>
    <t>Волков Федот Владиславович</t>
  </si>
  <si>
    <t>Цветков Валерий Александрович</t>
  </si>
  <si>
    <t>Вобликов Федот Александрович</t>
  </si>
  <si>
    <t>Вобликов Григорий Романович</t>
  </si>
  <si>
    <t>Цветков Николай Романович</t>
  </si>
  <si>
    <t>Волков Валерий Иванович</t>
  </si>
  <si>
    <t>Цветков Федот Егорович</t>
  </si>
  <si>
    <t>Баранкин Константин Егорович</t>
  </si>
  <si>
    <t>Вобликов Константин Иванович</t>
  </si>
  <si>
    <t>Цветков Константин Егорович</t>
  </si>
  <si>
    <t>Вобликов Валерий Тимофеевич</t>
  </si>
  <si>
    <t>Вобликов Федот Владиславович</t>
  </si>
  <si>
    <t>Цветков Кирилл Егорович</t>
  </si>
  <si>
    <t>Волков Алексей Владиславович</t>
  </si>
  <si>
    <t>Цветков Валерий Романович</t>
  </si>
  <si>
    <t>Цветков Алексей Егорович</t>
  </si>
  <si>
    <t>Цветков Валерий Владиславович</t>
  </si>
  <si>
    <t>Цветков Николай Владиславович</t>
  </si>
  <si>
    <t>Цветков Федот Владиславович</t>
  </si>
  <si>
    <t>Баранкин Валерий Владиславович</t>
  </si>
  <si>
    <t>Цветков Валерий Егорович</t>
  </si>
  <si>
    <t>Волков Валерий Александрович</t>
  </si>
  <si>
    <t>Русланов Кирилл Владиславович</t>
  </si>
  <si>
    <t>Волков Валерий Владиславович</t>
  </si>
  <si>
    <t>Гуськов Еремей Маркович</t>
  </si>
  <si>
    <t>Александров Борис Федорович</t>
  </si>
  <si>
    <t>Филиппов Юрий Семенович</t>
  </si>
  <si>
    <t>Брежнев Емельян Александрович</t>
  </si>
  <si>
    <t>Незнамов Емельян Борисович</t>
  </si>
  <si>
    <t>Владимиров Ефрем Антонович</t>
  </si>
  <si>
    <t>Родионов Роман Романович</t>
  </si>
  <si>
    <t>Дорофеев Данил Александрович</t>
  </si>
  <si>
    <t>Веревкин Виктор Герасимович</t>
  </si>
  <si>
    <t>Константинов Анатолий Савельевич</t>
  </si>
  <si>
    <t>Игнатьев Виктор Вадимович</t>
  </si>
  <si>
    <t>Юрьев Захар Владимирович</t>
  </si>
  <si>
    <t>Семенов Савелий Русланович</t>
  </si>
  <si>
    <t>Игорев Юрий Ярославович</t>
  </si>
  <si>
    <t>Гуськов Семен Михайлович</t>
  </si>
  <si>
    <t>Кириллов Вениамин Геннадьевич</t>
  </si>
  <si>
    <t>Ефремов Валерий Владимирович</t>
  </si>
  <si>
    <t>Игнатьев Геннадий Кондратьевич</t>
  </si>
  <si>
    <t>Брежнев Виктор Емельянович</t>
  </si>
  <si>
    <t>Русланов Родион Михайлович</t>
  </si>
  <si>
    <t>Кузьмин Афанасий Потапович</t>
  </si>
  <si>
    <t>Русланов Вадим Тимофеевич</t>
  </si>
  <si>
    <t>Данилов Вениамин Ильич</t>
  </si>
  <si>
    <t>Коростелев Матвей Игнатович</t>
  </si>
  <si>
    <t>Степанов Роман Кондратьевич</t>
  </si>
  <si>
    <t>Павлов Арсений Ефремович</t>
  </si>
  <si>
    <t>Дмитриев Геннадий Николаевич</t>
  </si>
  <si>
    <t>Коровкин Денис Ефремович</t>
  </si>
  <si>
    <t>Романов Савелий Кириллович</t>
  </si>
  <si>
    <t>Тимофеев Петр Герасимович</t>
  </si>
  <si>
    <t>Ярославов Илья Тимофеевич</t>
  </si>
  <si>
    <t>Трофимов Матвей Геннадьевич</t>
  </si>
  <si>
    <t>Романов Илья Тарасович</t>
  </si>
  <si>
    <t>Трофимов Лавр Константинович</t>
  </si>
  <si>
    <t>Прохоров Константин Иванович</t>
  </si>
  <si>
    <t>Сорокин Тимофей Тихонович</t>
  </si>
  <si>
    <t>Зверев Матвей Кондратьевич</t>
  </si>
  <si>
    <t>Баранов Семен Богданович</t>
  </si>
  <si>
    <t>Карасев Данил Георгиевич</t>
  </si>
  <si>
    <t>Ветров Арсений Григорьевич</t>
  </si>
  <si>
    <t>Цаплин Савелий Борисович</t>
  </si>
  <si>
    <t>Тимофеев Родион Никитинич</t>
  </si>
  <si>
    <t>Потапов Трофим Еремеевич</t>
  </si>
  <si>
    <t>Трофимов Еремей Васильевич</t>
  </si>
  <si>
    <t>Потапов Антон Тарасович</t>
  </si>
  <si>
    <t>Тимофеев Виталий Александрович</t>
  </si>
  <si>
    <t>Незнамов Дмитрий Владиславович</t>
  </si>
  <si>
    <t>Романов Борис Климович</t>
  </si>
  <si>
    <t>Булкин Виталий Корнеевич</t>
  </si>
  <si>
    <t>Волков Андрей Родионович</t>
  </si>
  <si>
    <t>Семенов Андрей Геннадьевич</t>
  </si>
  <si>
    <t>Федотов Геннадий Игнатович</t>
  </si>
  <si>
    <t>Коростелев Сидор Александрович</t>
  </si>
  <si>
    <t>Самойлов Арсений Богданович</t>
  </si>
  <si>
    <t>Филиппов Потап Александрович</t>
  </si>
  <si>
    <t>Потапов Борис Михайлович</t>
  </si>
  <si>
    <t>Сорокин Дмитрий Венедиктович</t>
  </si>
  <si>
    <t>Синицин Данил Венедиктович</t>
  </si>
  <si>
    <t>Брежнев Сергей Борисович</t>
  </si>
  <si>
    <t>Русланов Герасим Константинович</t>
  </si>
  <si>
    <t>Жбанов Виктор Иванович</t>
  </si>
  <si>
    <t>Коровкин Валерий Александрович</t>
  </si>
  <si>
    <t>Владимиров Константин Савельевич</t>
  </si>
  <si>
    <t>Игнатьев Борис Денисович</t>
  </si>
  <si>
    <t>Семенов Александр Романович</t>
  </si>
  <si>
    <t>Ветров Денис Иванович</t>
  </si>
  <si>
    <t>Ветров Савелий Игнатович</t>
  </si>
  <si>
    <t>Дорофеев Андрей Ильич</t>
  </si>
  <si>
    <t>Кирюхин Тимофей Денисович</t>
  </si>
  <si>
    <t>Зверев Герасим Александрович</t>
  </si>
  <si>
    <t>Игнатьев Игнат Владиславович</t>
  </si>
  <si>
    <t>Гуськов Антон Геннадьевич</t>
  </si>
  <si>
    <t>Корнев Родион Григорьевич</t>
  </si>
  <si>
    <t>Романов Виталий Вадимович</t>
  </si>
  <si>
    <t>Карасев Родион Эдуардович</t>
  </si>
  <si>
    <t>Фирсов Клим Ильич</t>
  </si>
  <si>
    <t>Потапов Захар Захарович</t>
  </si>
  <si>
    <t>Трофимов Владимир Ильич</t>
  </si>
  <si>
    <t>Семенов Ефрем Иванович</t>
  </si>
  <si>
    <t>Гуськов Вениамин Федорович</t>
  </si>
  <si>
    <t>Журавлев Богдан Климович</t>
  </si>
  <si>
    <t>Игнатьев Ефрем Игнатович</t>
  </si>
  <si>
    <t>Семенов Лавр Никитинич</t>
  </si>
  <si>
    <t>Кириллов Савелий Викторович</t>
  </si>
  <si>
    <t>Филиппов Виталий Ильич</t>
  </si>
  <si>
    <t>Брежнев Глеб Савельевич</t>
  </si>
  <si>
    <t>Игнатьев Кирилл Корнеевич</t>
  </si>
  <si>
    <t>Трофимов Лавр Александрович</t>
  </si>
  <si>
    <t>Игнатьев Константин Климович</t>
  </si>
  <si>
    <t>Зайцев Афанасий Георгиевич</t>
  </si>
  <si>
    <t>Ветров Андрей Кондратьевич</t>
  </si>
  <si>
    <t>Филиппов Афанасий Кондратьевич</t>
  </si>
  <si>
    <t>Коровкин Виталий Иванович</t>
  </si>
  <si>
    <t>Кирюхин Юрий Никитинич</t>
  </si>
  <si>
    <t>Дорофеев Савелий Ефремович</t>
  </si>
  <si>
    <t>Тимофеев Роман Климович</t>
  </si>
  <si>
    <t>Незнамов Родион Кондратьевич</t>
  </si>
  <si>
    <t>Дорофеев Ефрем Кузьмич</t>
  </si>
  <si>
    <t>Коростелев Дмитрий Михайлович</t>
  </si>
  <si>
    <t>Исаев Борис Тарасович</t>
  </si>
  <si>
    <t>Трухачев Герасим Геннадьевич</t>
  </si>
  <si>
    <t>Дорофеев Иван Дмитриевич</t>
  </si>
  <si>
    <t>Игнатьев Матвей Захарович</t>
  </si>
  <si>
    <t>Карасев Матвей Кондратьевич</t>
  </si>
  <si>
    <t>Исаев Трофим Александрович</t>
  </si>
  <si>
    <t>Семенов Виталий Михайлович</t>
  </si>
  <si>
    <t>Прохоров Арсений Викторович</t>
  </si>
  <si>
    <t>Брежнев Ефрем Никитинич</t>
  </si>
  <si>
    <t>Русланов Савелий Герасимович</t>
  </si>
  <si>
    <t>Трофимов Ефрем Ильич</t>
  </si>
  <si>
    <t>Игнатьев Трофим Константинович</t>
  </si>
  <si>
    <t>Ветров Дмитрий Ильич</t>
  </si>
  <si>
    <t>Карасев Трофим Романович</t>
  </si>
  <si>
    <t>Владимиров Ефрем Кириллович</t>
  </si>
  <si>
    <t>Ветров Роман Вадимович</t>
  </si>
  <si>
    <t>Владимиров Савелий Ильич</t>
  </si>
  <si>
    <t>Брежнев Роман Семенович</t>
  </si>
  <si>
    <t>Брежнев Андрей Вадимович</t>
  </si>
  <si>
    <t>Семенов Константин Венедиктович</t>
  </si>
  <si>
    <t>Брежнев Кирилл Ефремович</t>
  </si>
  <si>
    <t>Дмитриев Савелий Тихонович</t>
  </si>
  <si>
    <t>Игорев Юрий Маркович</t>
  </si>
  <si>
    <t>Семенов Захар Ильич</t>
  </si>
  <si>
    <t>Романов Ефрем Семенович</t>
  </si>
  <si>
    <t>Прохоров Савелий Тимофеевич</t>
  </si>
  <si>
    <t>Потапов Виталий Потапович</t>
  </si>
  <si>
    <t>Игнатьев Трофим Корнеевич</t>
  </si>
  <si>
    <t>Гуськов Лавр Геннадьевич</t>
  </si>
  <si>
    <t>Коровкин Афанасий Геннадьевич</t>
  </si>
  <si>
    <t>Дорофеев Юрий Ефремович</t>
  </si>
  <si>
    <t>Исаев Юрий Иванович</t>
  </si>
  <si>
    <t>Ефремов Афанасий Тарасович</t>
  </si>
  <si>
    <t>Степанов Илья Константинович</t>
  </si>
  <si>
    <t>Ветров Виталий Кондратьевич</t>
  </si>
  <si>
    <t>Филиппов Юрий Игнатович</t>
  </si>
  <si>
    <t>Брежнев Илья Никитинич</t>
  </si>
  <si>
    <t>Коростелев Андрей Кондратьевич</t>
  </si>
  <si>
    <t>Игнатьев Роман Богданович</t>
  </si>
  <si>
    <t>Коростелев Константин Александрович</t>
  </si>
  <si>
    <t>Прохоров Савелий Александрович</t>
  </si>
  <si>
    <t>Брежнев Ефрем Тарасович</t>
  </si>
  <si>
    <t>Степанов Лавр Кондратьевич</t>
  </si>
  <si>
    <t>Коростелев Антон Геннадьевич</t>
  </si>
  <si>
    <t>Дорофеев Арсений Александрович</t>
  </si>
  <si>
    <t>Синицин Потап Никитинич</t>
  </si>
  <si>
    <t>Коровкин Савелий Вадимович</t>
  </si>
  <si>
    <t>Трофимов Юрий Вадимович</t>
  </si>
  <si>
    <t>Филиппов Геннадий Климович</t>
  </si>
  <si>
    <t>Степанов Захар Ефремович</t>
  </si>
  <si>
    <t>Степанов Константин Тарасович</t>
  </si>
  <si>
    <t>Зверев Савелий Игнатович</t>
  </si>
  <si>
    <t>Потапов Кирилл Семенович</t>
  </si>
  <si>
    <t>Потапов Арсений Георгиевич</t>
  </si>
  <si>
    <t>Степанов Матвей Александрович</t>
  </si>
  <si>
    <t>Федотов Глеб Ефремович</t>
  </si>
  <si>
    <t>Коровкин Борис Кондратьевич</t>
  </si>
  <si>
    <t>Булкин Глеб Климович</t>
  </si>
  <si>
    <t>Игнатьев Арсений Александрович</t>
  </si>
  <si>
    <t>Кириллов Иван Тарасович</t>
  </si>
  <si>
    <t>Трофимов Савелий Ильич</t>
  </si>
  <si>
    <t>Тимофеев Богдан Александрович</t>
  </si>
  <si>
    <t>Прохоров Константин Климович</t>
  </si>
  <si>
    <t>Филиппов Глеб Михайлович</t>
  </si>
  <si>
    <t>Коростелев Геннадий Михайлович</t>
  </si>
  <si>
    <t>Семенов Афанасий Тихонович</t>
  </si>
  <si>
    <t>Игнатьев Афанасий Александрович</t>
  </si>
  <si>
    <t>Потапов Герасим Геннадьевич</t>
  </si>
  <si>
    <t>Потапов Геннадий Иванович</t>
  </si>
  <si>
    <t>Потапов Лавр Ефремович</t>
  </si>
  <si>
    <t>Карасев Лавр Геннадьевич</t>
  </si>
  <si>
    <t>Ветров Савелий Ефремович</t>
  </si>
  <si>
    <t>Ветров Захар Владиславович</t>
  </si>
  <si>
    <t>Ветров Трофим Маркович</t>
  </si>
  <si>
    <t>Гуськов Арсений Кондратьевич</t>
  </si>
  <si>
    <t>Игнатьев Ефрем Климович</t>
  </si>
  <si>
    <t>Фирсов Савелий Геннадьевич</t>
  </si>
  <si>
    <t>Семенов Игнат Геннадьевич</t>
  </si>
  <si>
    <t>Дмитриев Матвей Никитинич</t>
  </si>
  <si>
    <t>Тимофеев Константин Геннадьевич</t>
  </si>
  <si>
    <t>Игнатьев Савелий Кондратьевич</t>
  </si>
  <si>
    <t>Кирюхин Афанасий Геннадьевич</t>
  </si>
  <si>
    <t>Игнатьев Кирилл Тарасович</t>
  </si>
  <si>
    <t>Семенов Матвей Ильич</t>
  </si>
  <si>
    <t>Карасев Матвей Михайлович</t>
  </si>
  <si>
    <t>Исаев Трофим Маркович</t>
  </si>
  <si>
    <t>Игнатьев Арсений Владиславович</t>
  </si>
  <si>
    <t>Трофимов Савелий Геннадьевич</t>
  </si>
  <si>
    <t>Ветров Трофим Георгиевич</t>
  </si>
  <si>
    <t>Семенов Юрий Кондратьевич</t>
  </si>
  <si>
    <t>Игнатьев Юрий Ефремович</t>
  </si>
  <si>
    <t>Игнатьев Арсений Семенович</t>
  </si>
  <si>
    <t>Дмитриев Арсений Кузьмич</t>
  </si>
  <si>
    <t>Федотов Матвей Кондратьевич</t>
  </si>
  <si>
    <t>Семенов Савелий Александрович</t>
  </si>
  <si>
    <t>Брежнев Савелий Кондратьевич</t>
  </si>
  <si>
    <t>Ветров Трофим Никитинич</t>
  </si>
  <si>
    <t>Игнатьев Трофим Кондратьевич</t>
  </si>
  <si>
    <t>Прохоров Роман Кондратьевич</t>
  </si>
  <si>
    <t>Коровкин Ефрем Кондратьевич</t>
  </si>
  <si>
    <t>Игорев Геннадий Кондратьевич</t>
  </si>
  <si>
    <t>Коровкин Савелий Тарасович</t>
  </si>
  <si>
    <t>Коровкин Геннадий Константинович</t>
  </si>
  <si>
    <t>Тимофеев Андрей Михайлович</t>
  </si>
  <si>
    <t>Гуськов Илья Ильич</t>
  </si>
  <si>
    <t>Коростелев Роман Александрович</t>
  </si>
  <si>
    <t>Коровкин Константин Михайлович</t>
  </si>
  <si>
    <t>Прохоров Арсений Игнатович</t>
  </si>
  <si>
    <t>Ветров Трофим Богданович</t>
  </si>
  <si>
    <t>Семенов Ефрем Семенович</t>
  </si>
  <si>
    <t>Брежнев Трофим Никитинич</t>
  </si>
  <si>
    <t>Коростелев Роман Кузьмич</t>
  </si>
  <si>
    <t>Филиппов Савелий Тарасович</t>
  </si>
  <si>
    <t>Прохоров Савелий Кондратьевич</t>
  </si>
  <si>
    <t>Незнамов Константин Геннадьевич</t>
  </si>
  <si>
    <t>Дорофеев Виталий Александрович</t>
  </si>
  <si>
    <t>Кирюхин Трофим Игнатович</t>
  </si>
  <si>
    <t>Гуськов Виталий Александрович</t>
  </si>
  <si>
    <t>Карасев Юрий Кондратьевич</t>
  </si>
  <si>
    <t>Тимофеев Афанасий Геннадьевич</t>
  </si>
  <si>
    <t>Семенов Арсений Александрович</t>
  </si>
  <si>
    <t>Прохоров Арсений Ильич</t>
  </si>
  <si>
    <t>Игнатьев Арсений Кондратьевич</t>
  </si>
  <si>
    <t>Кириллов Виталий Герасимович</t>
  </si>
  <si>
    <t>Коростелев Лавр Кондратьевич</t>
  </si>
  <si>
    <t>Игнатьев Юрий Никитинич</t>
  </si>
  <si>
    <t>Коростелев Константин Михайлович</t>
  </si>
  <si>
    <t>Потапов Константин Владиславович</t>
  </si>
  <si>
    <t>Тимофеев Матвей Тарасович</t>
  </si>
  <si>
    <t>Брежнев Захар Никитинич</t>
  </si>
  <si>
    <t>Тимофеев Захар Тимофеевич</t>
  </si>
  <si>
    <t>Коровкин Андрей Кондратьевич</t>
  </si>
  <si>
    <t>Гуськов Иван Маркович</t>
  </si>
  <si>
    <t>Ветров Виталий Кузьмич</t>
  </si>
  <si>
    <t>Коровкин Виталий Тимофеевич</t>
  </si>
  <si>
    <t>Семенов Афанасий Кондратьевич</t>
  </si>
  <si>
    <t>Исаев Савелий Ефремович</t>
  </si>
  <si>
    <t>Игнатьев Глеб Владиславович</t>
  </si>
  <si>
    <t>Семенов Геннадий Александрович</t>
  </si>
  <si>
    <t>Игорев Савелий Игнатович</t>
  </si>
  <si>
    <t>Дорофеев Трофим Кондратьевич</t>
  </si>
  <si>
    <t>Коровкин Юрий Богданович</t>
  </si>
  <si>
    <t>Ефремов Савелий Александрович</t>
  </si>
  <si>
    <t>Дмитриев Герасим Игнатович</t>
  </si>
  <si>
    <t>Степанов Афанасий Климович</t>
  </si>
  <si>
    <t>Семенов Лавр Ефремович</t>
  </si>
  <si>
    <t>Коровкин Константин Александрович</t>
  </si>
  <si>
    <t>Гуськов Савелий Геннадьевич</t>
  </si>
  <si>
    <t>Незнамов Арсений Александрович</t>
  </si>
  <si>
    <t>Брежнев Геннадий Александрович</t>
  </si>
  <si>
    <t>Прохоров Кирилл Александрович</t>
  </si>
  <si>
    <t>Брежнев Савелий Маркович</t>
  </si>
  <si>
    <t>Карасев Константин Тарасович</t>
  </si>
  <si>
    <t>Коровкин Иван Кондратьевич</t>
  </si>
  <si>
    <t>Ветров Глеб Геннадьевич</t>
  </si>
  <si>
    <t>Гуськов Матвей Александрович</t>
  </si>
  <si>
    <t>Степанов Глеб Кондратьевич</t>
  </si>
  <si>
    <t>Дорофеев Константин Кузьмич</t>
  </si>
  <si>
    <t>Дорофеев Савелий Игнатович</t>
  </si>
  <si>
    <t>Игнатьев Афанасий Кондратьевич</t>
  </si>
  <si>
    <t>Игнатьев Роман Владиславович</t>
  </si>
  <si>
    <t>Брежнев Богдан Тарасович</t>
  </si>
  <si>
    <t>Потапов Савелий Герасимович</t>
  </si>
  <si>
    <t>Коростелев Виталий Кондратьевич</t>
  </si>
  <si>
    <t>Прохоров Ефрем Ильич</t>
  </si>
  <si>
    <t>Игнатьев Константин Кондратьевич</t>
  </si>
  <si>
    <t>Потапов Константин Кондратьевич</t>
  </si>
  <si>
    <t>Игнатьев Андрей Александрович</t>
  </si>
  <si>
    <t>Игнатьев Савелий Михайлович</t>
  </si>
  <si>
    <t>Ветров Трофим Ефремович</t>
  </si>
  <si>
    <t>Федотов Захар Владиславович</t>
  </si>
  <si>
    <t>Игнатьев Афанасий Ильич</t>
  </si>
  <si>
    <t>Игнатьев Виталий Семенович</t>
  </si>
  <si>
    <t>Игнатьев Ефрем Константинович</t>
  </si>
  <si>
    <t>Исаев Арсений Семенович</t>
  </si>
  <si>
    <t>Кирюхин Геннадий Александрович</t>
  </si>
  <si>
    <t>Тимофеев Ефрем Кондратьевич</t>
  </si>
  <si>
    <t>Семенов Савелий Кондратьевич</t>
  </si>
  <si>
    <t>Гуськов Кирилл Климович</t>
  </si>
  <si>
    <t>Степанов Афанасий Тарасович</t>
  </si>
  <si>
    <t>Степанов Арсений Игнатович</t>
  </si>
  <si>
    <t>Игнатьев Ефрем Кондратьевич</t>
  </si>
  <si>
    <t>Игорев Савелий Кузьмич</t>
  </si>
  <si>
    <t>Федотов Ефрем Кондратьевич</t>
  </si>
  <si>
    <t>Ветров Арсений Кондратьевич</t>
  </si>
  <si>
    <t>Потапов Савелий Александрович</t>
  </si>
  <si>
    <t>Игнатьев Кирилл Константинович</t>
  </si>
  <si>
    <t>Исаев Арсений Никитинич</t>
  </si>
  <si>
    <t>Коровкин Ефрем Кузьмич</t>
  </si>
  <si>
    <t>Ветров Константин Кондратьевич</t>
  </si>
  <si>
    <t>Дмитриев Виталий Богданович</t>
  </si>
  <si>
    <t>Дорофеев Юрий Кондратьевич</t>
  </si>
  <si>
    <t>Федотов Афанасий Геннадьевич</t>
  </si>
  <si>
    <t>Потапов Афанасий Ефремович</t>
  </si>
  <si>
    <t>Игнатьев Трофим Геннадьевич</t>
  </si>
  <si>
    <t>Брежнев Арсений Александрович</t>
  </si>
  <si>
    <t>Прохоров Захар Михайлович</t>
  </si>
  <si>
    <t>Дорофеев Арсений Игнатович</t>
  </si>
  <si>
    <t>Семенов Юрий Михайлович</t>
  </si>
  <si>
    <t>Брежнев Савелий Александрович</t>
  </si>
  <si>
    <t>Дорофеев Трофим Александрович</t>
  </si>
  <si>
    <t>Игнатьев Кирилл Богданович</t>
  </si>
  <si>
    <t>Гуськов Роман Герасимович</t>
  </si>
  <si>
    <t>Коровкин Виталий Владиславович</t>
  </si>
  <si>
    <t>Дмитриев Геннадий Герасимович</t>
  </si>
  <si>
    <t>Незнамов Константин Михайлович</t>
  </si>
  <si>
    <t>Дорофеев Глеб Константинович</t>
  </si>
  <si>
    <t>Кириллов Роман Тарасович</t>
  </si>
  <si>
    <t>Игнатьев Виталий Михайлович</t>
  </si>
  <si>
    <t>Карасев Роман Герасимович</t>
  </si>
  <si>
    <t>Незнамов Глеб Кузьмич</t>
  </si>
  <si>
    <t>Дорофеев Кирилл Климович</t>
  </si>
  <si>
    <t>Игорев Арсений Богданович</t>
  </si>
  <si>
    <t>Игнатьев Юрий Климович</t>
  </si>
  <si>
    <t>Федотов Трофим Семенович</t>
  </si>
  <si>
    <t>Коростелев Роман Ефремович</t>
  </si>
  <si>
    <t>Тимофеев Виталий Кондратьевич</t>
  </si>
  <si>
    <t>Степанов Виталий Богданович</t>
  </si>
  <si>
    <t>Кирюхин Виталий Владиславович</t>
  </si>
  <si>
    <t>Тимофеев Афанасий Климович</t>
  </si>
  <si>
    <t>Степанов Виталий Александрович</t>
  </si>
  <si>
    <t>Степанов Ефрем Михайлович</t>
  </si>
  <si>
    <t>Брежнев Иван Герасимович</t>
  </si>
  <si>
    <t>Незнамов Афанасий Никитинич</t>
  </si>
  <si>
    <t>Игнатьев Савелий Геннадьевич</t>
  </si>
  <si>
    <t>Незнамов Савелий Кондратьевич</t>
  </si>
  <si>
    <t>Игнатьев Юрий Кондратьевич</t>
  </si>
  <si>
    <t>Дорофеев Константин Ефремович</t>
  </si>
  <si>
    <t>Незнамов Савелий Михайлович</t>
  </si>
  <si>
    <t>Дорофеев Кирилл Кондратьевич</t>
  </si>
  <si>
    <t>Степанов Глеб Ильич</t>
  </si>
  <si>
    <t>Брежнев Савелий Климович</t>
  </si>
  <si>
    <t>Дорофеев Афанасий Кондратьевич</t>
  </si>
  <si>
    <t>Степанов Ефрем Игнатович</t>
  </si>
  <si>
    <t>Дорофеев Юрий Геннадьевич</t>
  </si>
  <si>
    <t>Прохоров Кирилл Климович</t>
  </si>
  <si>
    <t>Дорофеев Лавр Геннадьевич</t>
  </si>
  <si>
    <t>Исаев Кирилл Михайлович</t>
  </si>
  <si>
    <t>Исаев Глеб Маркович</t>
  </si>
  <si>
    <t>Незнамов Юрий Геннадьевич</t>
  </si>
  <si>
    <t>Игнатьев Матвей Михайлович</t>
  </si>
  <si>
    <t>Семенов Кирилл Игнатович</t>
  </si>
  <si>
    <t>Брежнев Виталий Климович</t>
  </si>
  <si>
    <t>Дорофеев Лавр Семенович</t>
  </si>
  <si>
    <t>Коровкин Юрий Александрович</t>
  </si>
  <si>
    <t>Игнатьев Роман Михайлович</t>
  </si>
  <si>
    <t>Коростелев Савелий Герасимович</t>
  </si>
  <si>
    <t>Гуськов Матвей Владиславович</t>
  </si>
  <si>
    <t>Ветров Савелий Михайлович</t>
  </si>
  <si>
    <t>Брежнев Савелий Владиславович</t>
  </si>
  <si>
    <t>Незнамов Арсений Геннадьевич</t>
  </si>
  <si>
    <t>Брежнев Глеб Семенович</t>
  </si>
  <si>
    <t>Игорев Арсений Ефремович</t>
  </si>
  <si>
    <t>Степанов Иван Кондратьевич</t>
  </si>
  <si>
    <t>Гуськов Роман Кондратьевич</t>
  </si>
  <si>
    <t>Гуськов Юрий Кузьмич</t>
  </si>
  <si>
    <t>Прохоров Константин Богданович</t>
  </si>
  <si>
    <t>Игнатьев Кирилл Климович</t>
  </si>
  <si>
    <t>Коровкин Юрий Игнатович</t>
  </si>
  <si>
    <t>Степанов Афанасий Геннадьевич</t>
  </si>
  <si>
    <t>Ветров Глеб Михайлович</t>
  </si>
  <si>
    <t>Игорев Глеб Герасимович</t>
  </si>
  <si>
    <t>Незнамов Роман Семенович</t>
  </si>
  <si>
    <t>Игнатьев Афанасий Геннадьевич</t>
  </si>
  <si>
    <t>Потапов Савелий Ефремович</t>
  </si>
  <si>
    <t>Степанов Юрий Маркович</t>
  </si>
  <si>
    <t>Дмитриев Афанасий Геннадьевич</t>
  </si>
  <si>
    <t>Степанов Арсений Кондратьевич</t>
  </si>
  <si>
    <t>Гуськов Савелий Михайлович</t>
  </si>
  <si>
    <t>Степанов Геннадий Богданович</t>
  </si>
  <si>
    <t>Дорофеев Савелий Ильич</t>
  </si>
  <si>
    <t>Ветров Арсений Михайлович</t>
  </si>
  <si>
    <t>Степанов Кирилл Кондратьевич</t>
  </si>
  <si>
    <t>Игнатьев Ефрем Семенович</t>
  </si>
  <si>
    <t>Дорофеев Афанасий Владиславович</t>
  </si>
  <si>
    <t>Степанов Савелий Александрович</t>
  </si>
  <si>
    <t>Степанов Константин Кондратьевич</t>
  </si>
  <si>
    <t>Степанов Захар Богданович</t>
  </si>
  <si>
    <t>Дорофеев Афанасий Михайлович</t>
  </si>
  <si>
    <t>Брежнев Арсений Кондратьевич</t>
  </si>
  <si>
    <t>Степанов Виталий Никитинич</t>
  </si>
  <si>
    <t>Игорев Кирилл Геннадьевич</t>
  </si>
  <si>
    <t>Брежнев Виталий Кондратьевич</t>
  </si>
  <si>
    <t>Степанов Виталий Владиславович</t>
  </si>
  <si>
    <t>Игнатьев Афанасий Герасимович</t>
  </si>
  <si>
    <t>Игнатьев Матвей Геннадьевич</t>
  </si>
  <si>
    <t>Брежнев Арсений Михайлович</t>
  </si>
  <si>
    <t>Потапов Виталий Геннадьевич</t>
  </si>
  <si>
    <t>Коростелев Геннадий Геннадьевич</t>
  </si>
  <si>
    <t>Брежнев Геннадий Семенович</t>
  </si>
  <si>
    <t>Игнатьев Афанасий Семенович</t>
  </si>
  <si>
    <t>Тимофеев Арсений Геннадьевич</t>
  </si>
  <si>
    <t>Незнамов Глеб Кондратьевич</t>
  </si>
  <si>
    <t>Исаев Виталий Геннадьевич</t>
  </si>
  <si>
    <t>Степанов Геннадий Кондратьевич</t>
  </si>
  <si>
    <t>Дорофеев Захар Александрович</t>
  </si>
  <si>
    <t>Дмитриев Кирилл Михайлович</t>
  </si>
  <si>
    <t>Незнамов Иван Ефремович</t>
  </si>
  <si>
    <t>Тимофеев Кирилл Александрович</t>
  </si>
  <si>
    <t>Брежнев Кирилл Михайлович</t>
  </si>
  <si>
    <t>Федотов Захар Геннадьевич</t>
  </si>
  <si>
    <t>Брежнев Савелий Геннадьевич</t>
  </si>
  <si>
    <t>Дорофеев Юрий Богданович</t>
  </si>
  <si>
    <t>Степанов Роман Ильич</t>
  </si>
  <si>
    <t>Дорофеев Кирилл Геннадьевич</t>
  </si>
  <si>
    <t>Кириллов Роман Александрович</t>
  </si>
  <si>
    <t>Ветров Константин Герасимович</t>
  </si>
  <si>
    <t>Игнатьев Виталий Геннадьевич</t>
  </si>
  <si>
    <t>Незнамов Виталий Кондратьевич</t>
  </si>
  <si>
    <t>Игнатьев Юрий Герасимович</t>
  </si>
  <si>
    <t>Степанов Глеб Владиславович</t>
  </si>
  <si>
    <t>Дорофеев Виталий Геннадьевич</t>
  </si>
  <si>
    <t>Игнатьев Геннадий Геннадьевич</t>
  </si>
  <si>
    <t>Игорев Афанасий Владиславович</t>
  </si>
  <si>
    <t>Степанов Глеб Геннадьевич</t>
  </si>
  <si>
    <t>Игнатьев Савелий Александрович</t>
  </si>
  <si>
    <t>Коростелев Савелий Никитинич</t>
  </si>
  <si>
    <t>Брежнев Афанасий Геннадьевич</t>
  </si>
  <si>
    <t>Незнамов Геннадий Геннадьевич</t>
  </si>
  <si>
    <t>Игнатьев Глеб Семенович</t>
  </si>
  <si>
    <t>Дорофеев Матвей Михайлович</t>
  </si>
  <si>
    <t>Ветров Афанасий Герасимович</t>
  </si>
  <si>
    <t>Незнамов Виталий Александрович</t>
  </si>
  <si>
    <t>Игнатьев Лавр Александрович</t>
  </si>
  <si>
    <t>Игнатьев Афанасий Богданович</t>
  </si>
  <si>
    <t>Дорофеев Афанасий Геннадьевич</t>
  </si>
  <si>
    <t>Брежнев Матвей Ефремович</t>
  </si>
  <si>
    <t>Степанов Юрий Климович</t>
  </si>
  <si>
    <t>Кириллов Савелий Ефремович</t>
  </si>
  <si>
    <t>Гуськов Виталий Кондратьевич</t>
  </si>
  <si>
    <t>Игорев Афанасий Кондратьевич</t>
  </si>
  <si>
    <t>Ветров Афанасий Геннадьевич</t>
  </si>
  <si>
    <t>Игнатьев Кирилл Кондратьевич</t>
  </si>
  <si>
    <t>Ветров Кирилл Геннадьевич</t>
  </si>
  <si>
    <t>Дмитриев Виталий Геннадьевич</t>
  </si>
  <si>
    <t>Дорофеев Роман Геннадьевич</t>
  </si>
  <si>
    <t>Игнатьев Арсений Богданович</t>
  </si>
  <si>
    <t>Незнамов Афанасий Ефремович</t>
  </si>
  <si>
    <t>Кириллов Юрий Богданович</t>
  </si>
  <si>
    <t>Брежнев Савелий Семенович</t>
  </si>
  <si>
    <t>Ветров Геннадий Богданович</t>
  </si>
  <si>
    <t>Игнатьев Кирилл Геннадьевич</t>
  </si>
  <si>
    <t>Брежнев Виталий Богданович</t>
  </si>
  <si>
    <t>Брежнев Афанасий Кондратьевич</t>
  </si>
  <si>
    <t>Степанов Савелий Геннадьевич</t>
  </si>
  <si>
    <t>Исаев Глеб Ефремович</t>
  </si>
  <si>
    <t>Гуськов Кирилл Геннадьевич</t>
  </si>
  <si>
    <t>Дорофеев Кирилл Герасимович</t>
  </si>
  <si>
    <t>Ветров Савелий Семенович</t>
  </si>
  <si>
    <t>Тимофеев Роман Ефремович</t>
  </si>
  <si>
    <t>Степанов Савелий Климович</t>
  </si>
  <si>
    <t>Игорев Виталий Маркович</t>
  </si>
  <si>
    <t>Степанов Константин Богданович</t>
  </si>
  <si>
    <t>Дорофеев Виталий Кондратьевич</t>
  </si>
  <si>
    <t>Брежнев Роман Геннадьевич</t>
  </si>
  <si>
    <t>Брежнев Савелий Ефремович</t>
  </si>
  <si>
    <t>Брежнев Кирилл Геннадьевич</t>
  </si>
  <si>
    <t>Ветров Виталий Ефремович</t>
  </si>
  <si>
    <t>Незнамов Афанасий Александрович</t>
  </si>
  <si>
    <t>Степанов Савелий Герасимович</t>
  </si>
  <si>
    <t>Ветров Виталий Герасимович</t>
  </si>
  <si>
    <t>Коровкин Савелий Александрович</t>
  </si>
  <si>
    <t>Коростелев Юрий Ефремович</t>
  </si>
  <si>
    <t>Ветров Кирилл Михайлович</t>
  </si>
  <si>
    <t>Дмитриев Геннадий Кондратьевич</t>
  </si>
  <si>
    <t>Степанов Геннадий Михайлович</t>
  </si>
  <si>
    <t>Брежнев Арсений Геннадьевич</t>
  </si>
  <si>
    <t>Коростелев Геннадий Ефремович</t>
  </si>
  <si>
    <t>Потапов Афанасий Александрович</t>
  </si>
  <si>
    <t>Коростелев Кирилл Никитинич</t>
  </si>
  <si>
    <t>Брежнев Константин Геннадьевич</t>
  </si>
  <si>
    <t>Степанов Роман Геннадьевич</t>
  </si>
  <si>
    <t>Дмитриев Юрий Михайлович</t>
  </si>
  <si>
    <t>Коростелев Савелий Геннадьевич</t>
  </si>
  <si>
    <t>Дмитриев Геннадий Ефремович</t>
  </si>
  <si>
    <t>Ветров Геннадий Семенович</t>
  </si>
  <si>
    <t>Незнамов Афанасий Кондратьевич</t>
  </si>
  <si>
    <t>Ветров Иван Александрович</t>
  </si>
  <si>
    <t>Незнамов Кирилл Михайлович</t>
  </si>
  <si>
    <t>Степанов Матвей Богданович</t>
  </si>
  <si>
    <t>Игнатьев Виталий Кондратьевич</t>
  </si>
  <si>
    <t>Игнатьев Виталий Александрович</t>
  </si>
  <si>
    <t>Степанов Афанасий Кондратьевич</t>
  </si>
  <si>
    <t>Тимофеев Виталий Геннадьевич</t>
  </si>
  <si>
    <t>Ветров Афанасий Михайлович</t>
  </si>
  <si>
    <t>Исаев Савелий Геннадьевич</t>
  </si>
  <si>
    <t>Игнатьев Савелий Герасимович</t>
  </si>
  <si>
    <t>Дорофеев Савелий Геннадьевич</t>
  </si>
  <si>
    <t>Дмитриев Виталий Герасимович</t>
  </si>
  <si>
    <t>Дмитриев Геннадий Геннадьевич</t>
  </si>
  <si>
    <t>Коростелев Арсений Кондратьевич</t>
  </si>
  <si>
    <t>Брежнев Юрий Михайлович</t>
  </si>
  <si>
    <t>Брежнев Матвей Геннадьевич</t>
  </si>
  <si>
    <t>Дмитриев Роман Александрович</t>
  </si>
  <si>
    <t>Брежнев Юрий Владиславович</t>
  </si>
  <si>
    <t>Игнатьев Афанасий Ефремович</t>
  </si>
  <si>
    <t>Брежнев Глеб Александрович</t>
  </si>
  <si>
    <t>Игнатьев Юрий Александрович</t>
  </si>
  <si>
    <t>Дмитриев Виталий Александрович</t>
  </si>
  <si>
    <t>Незнамов Виталий Ефремович</t>
  </si>
  <si>
    <t>Брежнев Лавр Александрович</t>
  </si>
  <si>
    <t>Брежнев Виталий Михайлович</t>
  </si>
  <si>
    <t>Ветров Савелий Геннадьевич</t>
  </si>
  <si>
    <t>Дорофеев Савелий Богданович</t>
  </si>
  <si>
    <t>Игнатьев Афанасий Никитинич</t>
  </si>
  <si>
    <t>Степанов Глеб Ефремович</t>
  </si>
  <si>
    <t>Незнамов Савелий Климович</t>
  </si>
  <si>
    <t>Тимофеев Савелий Богданович</t>
  </si>
  <si>
    <t>Игнатьев Виталий Богданович</t>
  </si>
  <si>
    <t>Степанов Юрий Геннадьевич</t>
  </si>
  <si>
    <t>Игнатьев Матвей Александрович</t>
  </si>
  <si>
    <t>Степанов Юрий Ефремович</t>
  </si>
  <si>
    <t>Брежнев Кирилл Богданович</t>
  </si>
  <si>
    <t>Брежнев Виталий Семенович</t>
  </si>
  <si>
    <t>Ветров Виталий Александрович</t>
  </si>
  <si>
    <t>Ветров Афанасий Кондратьевич</t>
  </si>
  <si>
    <t>Ветров Афанасий Семенович</t>
  </si>
  <si>
    <t>Брежнев Геннадий Геннадьевич</t>
  </si>
  <si>
    <t>Кириллов Лавр Богданович</t>
  </si>
  <si>
    <t>Дорофеев Виталий Климович</t>
  </si>
  <si>
    <t>Незнамов Арсений Кондратьевич</t>
  </si>
  <si>
    <t>Кириллов Роман Геннадьевич</t>
  </si>
  <si>
    <t>Кириллов Юрий Геннадьевич</t>
  </si>
  <si>
    <t>Ветров Константин Ефремович</t>
  </si>
  <si>
    <t>Ветров Юрий Герасимович</t>
  </si>
  <si>
    <t>Кириллов Виталий Кондратьевич</t>
  </si>
  <si>
    <t>Степанов Роман Семенович</t>
  </si>
  <si>
    <t>Ветров Виталий Геннадьевич</t>
  </si>
  <si>
    <t>Степанов Юрий Кондратьевич</t>
  </si>
  <si>
    <t>Тимофеев Виталий Маркович</t>
  </si>
  <si>
    <t>Брежнев Геннадий Герасимович</t>
  </si>
  <si>
    <t>Тимофеев Константин Ефремович</t>
  </si>
  <si>
    <t>Дорофеев Виталий Семенович</t>
  </si>
  <si>
    <t>Незнамов Виталий Геннадьевич</t>
  </si>
  <si>
    <t>Игнатьев Савелий Ефремович</t>
  </si>
  <si>
    <t>Брежнев Виталий Герасимович</t>
  </si>
  <si>
    <t>Ветров Глеб Александрович</t>
  </si>
  <si>
    <t>Ветров Роман Александрович</t>
  </si>
  <si>
    <t>Дмитриев Савелий Ефремович</t>
  </si>
  <si>
    <t>Степанов Афанасий Александрович</t>
  </si>
  <si>
    <t>Дорофеев Лавр Кондратьевич</t>
  </si>
  <si>
    <t>Незнамов Геннадий Михайлович</t>
  </si>
  <si>
    <t>Дмитриев Афанасий Михайлович</t>
  </si>
  <si>
    <t>Дорофеев Арсений Михайлович</t>
  </si>
  <si>
    <t>Брежнев Константин Александрович</t>
  </si>
  <si>
    <t>Тимофеев Матвей Ефремович</t>
  </si>
  <si>
    <t>Игнатьев Юрий Михайлович</t>
  </si>
  <si>
    <t>Ветров Арсений Геннадьевич</t>
  </si>
  <si>
    <t>Ветров Афанасий Ефремович</t>
  </si>
  <si>
    <t>Дорофеев Лавр Богданович</t>
  </si>
  <si>
    <t>Коростелев Юрий Геннадьевич</t>
  </si>
  <si>
    <t>Степанов Лавр Богданович</t>
  </si>
  <si>
    <t>Брежнев Виталий Ефремович</t>
  </si>
  <si>
    <t>Тимофеев Геннадий Семенович</t>
  </si>
  <si>
    <t>Ветров Геннадий Ефремович</t>
  </si>
  <si>
    <t>Незнамов Геннадий Александрович</t>
  </si>
  <si>
    <t>Тимофеев Виталий Ефремович</t>
  </si>
  <si>
    <t>Степанов Лавр Ефремович</t>
  </si>
  <si>
    <t>Исаев Юрий Геннадьевич</t>
  </si>
  <si>
    <t>Ветров Виталий Богданович</t>
  </si>
  <si>
    <t>Дмитриев Кирилл Александрович</t>
  </si>
  <si>
    <t>Исаев Афанасий Семенович</t>
  </si>
  <si>
    <t>Ветров Геннадий Геннадьевич</t>
  </si>
  <si>
    <t>Тимофеев Роман Александрович</t>
  </si>
  <si>
    <t>Дмитриев Афанасий Александрович</t>
  </si>
  <si>
    <t>Ветров Виталий Маркович</t>
  </si>
  <si>
    <t>Игнатьев Геннадий Богданович</t>
  </si>
  <si>
    <t>Степанов Виталий Кондратьевич</t>
  </si>
  <si>
    <t>Ветров Юрий Михайлович</t>
  </si>
  <si>
    <t>Тимофеев Глеб Ефремович</t>
  </si>
  <si>
    <t>Степанов Матвей Ефремович</t>
  </si>
  <si>
    <t>Незнамов Афанасий Климович</t>
  </si>
  <si>
    <t>Незнамов Юрий Александрович</t>
  </si>
  <si>
    <t>Игнатьев Виталий Герасимович</t>
  </si>
  <si>
    <t>Тимофеев Геннадий Александрович</t>
  </si>
  <si>
    <t>Ветров Савелий Богданович</t>
  </si>
  <si>
    <t>Дмитриев Савелий Александрович</t>
  </si>
  <si>
    <t>Степанов Константин Александрович</t>
  </si>
  <si>
    <t>Ветров Афанасий Климович</t>
  </si>
  <si>
    <t>Ветров Виталий Семенович</t>
  </si>
  <si>
    <t>Тимофеев Юрий Кондратьевич</t>
  </si>
  <si>
    <t>Незнамов Глеб Богданович</t>
  </si>
  <si>
    <t>Дмитриев Савелий Геннадьевич</t>
  </si>
  <si>
    <t>Тимофеев Савелий Семенович</t>
  </si>
  <si>
    <t>Тимофеев Виталий Герасимович</t>
  </si>
  <si>
    <t>Ветров Матвей Геннадьевич</t>
  </si>
  <si>
    <t>Незнамов Юрий Ефремович</t>
  </si>
  <si>
    <t>Брежнев Глеб Ефремович</t>
  </si>
  <si>
    <t>Брежнев Кирилл Александрович</t>
  </si>
  <si>
    <t>Брежнев Геннадий Богданович</t>
  </si>
  <si>
    <t>Тимофеев Савелий Александрович</t>
  </si>
  <si>
    <t>Исаев Виталий Александрович</t>
  </si>
  <si>
    <t>Кириллов Геннадий Кондратьевич</t>
  </si>
  <si>
    <t>Ветров Роман Геннадьевич</t>
  </si>
  <si>
    <t>Незнамов Лавр Ефремович</t>
  </si>
  <si>
    <t>Ветров Геннадий Герасимович</t>
  </si>
  <si>
    <t>Дорофеев Виталий Богданович</t>
  </si>
  <si>
    <t>Ветров Виталий Михайлович</t>
  </si>
  <si>
    <t>Кириллов Юрий Кондратьевич</t>
  </si>
  <si>
    <t>Тимофеев Виталий Семенович</t>
  </si>
  <si>
    <t>Тимофеев Афанасий Ефремович</t>
  </si>
  <si>
    <t>Игнатьев Геннадий Александрович</t>
  </si>
  <si>
    <t>Ветров Геннадий Александрович</t>
  </si>
  <si>
    <t>Ветров Матвей Ефремович</t>
  </si>
  <si>
    <t>Незнамов Савелий Геннадьевич</t>
  </si>
  <si>
    <t>Игнатьев Глеб Ефремович</t>
  </si>
  <si>
    <t>Дмитриев Савелий Михайлович</t>
  </si>
  <si>
    <t>Исаев Виталий Михайлович</t>
  </si>
  <si>
    <t>Дмитриев Геннадий Маркович</t>
  </si>
  <si>
    <t>Степанов Юрий Александрович</t>
  </si>
  <si>
    <t>Степанов Константин Ефремович</t>
  </si>
  <si>
    <t>Незнамов Глеб Александрович</t>
  </si>
  <si>
    <t>Ветров Афанасий Александрович</t>
  </si>
  <si>
    <t>Ветров Савелий Кондратьевич</t>
  </si>
  <si>
    <t>Ветров Константин Александрович</t>
  </si>
  <si>
    <t>Степанов Афанасий Семенович</t>
  </si>
  <si>
    <t>Тимофеев Юрий Александрович</t>
  </si>
  <si>
    <t>Кириллов Юрий Ефремович</t>
  </si>
  <si>
    <t>Исаев Савелий Михайлович</t>
  </si>
  <si>
    <t>Ветров Юрий Александрович</t>
  </si>
  <si>
    <t>Дорофеев Виталий Ефремович</t>
  </si>
  <si>
    <t>Исаев Константин Семенович</t>
  </si>
  <si>
    <t>Тимофеев Афанасий Александрович</t>
  </si>
  <si>
    <t>Кириллов Виталий Александрович</t>
  </si>
  <si>
    <t>Ветров Константин Михайлович</t>
  </si>
  <si>
    <t>Степанов Виталий Геннадьевич</t>
  </si>
  <si>
    <t>Тимофеев Виталий Богданович</t>
  </si>
  <si>
    <t>Дмитриев Роман Семенович</t>
  </si>
  <si>
    <t>Незнамов Афанасий Богданович</t>
  </si>
  <si>
    <t>Тимофеев Геннадий Ефремович</t>
  </si>
  <si>
    <t>Тимофеев Савелий Геннадьевич</t>
  </si>
  <si>
    <t>Незнамов Роман Михайлович</t>
  </si>
  <si>
    <t>Исаев Константин Александрович</t>
  </si>
  <si>
    <t>Степанов Матвей Маркович</t>
  </si>
  <si>
    <t>Тимофеев Матвей Семенович</t>
  </si>
  <si>
    <t>Ветров Юрий Ефремович</t>
  </si>
  <si>
    <t>Кириллов Геннадий Ефремович</t>
  </si>
  <si>
    <t>Тимофеев Матвей Герасимович</t>
  </si>
  <si>
    <t>Незнамов Матвей Ефремович</t>
  </si>
  <si>
    <t>Тимофеев Глеб Михайлович</t>
  </si>
  <si>
    <t>Тимофеев Глеб Геннадьевич</t>
  </si>
  <si>
    <t>Игнатьев Геннадий Семенович</t>
  </si>
  <si>
    <t>Незнамов Константин Александрович</t>
  </si>
  <si>
    <t>Степанов Виталий Ефремович</t>
  </si>
  <si>
    <t>Ветров Матвей Герасимович</t>
  </si>
  <si>
    <t>Незнамов Константин Богданович</t>
  </si>
  <si>
    <t>Дмитриев Савелий Кондратьевич</t>
  </si>
  <si>
    <t>Тимофеев Геннадий Маркович</t>
  </si>
  <si>
    <t>Незнамов Савелий Ефремович</t>
  </si>
  <si>
    <t>Степанов Савелий Ефремович</t>
  </si>
  <si>
    <t>Игнатьев Матвей Семенович</t>
  </si>
  <si>
    <t>Тимофеев Константин Михайлович</t>
  </si>
  <si>
    <t>Степанов Юрий Михайлович</t>
  </si>
  <si>
    <t>Незнамов Афанасий Маркович</t>
  </si>
  <si>
    <t>Ветров Юрий Геннадьевич</t>
  </si>
  <si>
    <t>Незнамов Афанасий Семенович</t>
  </si>
  <si>
    <t>Ветров Константин Семенович</t>
  </si>
  <si>
    <t>Незнамов Матвей Александрович</t>
  </si>
  <si>
    <t>Незнамов Юрий Семенович</t>
  </si>
  <si>
    <t>Игнатьев Геннадий Михайлович</t>
  </si>
  <si>
    <t>Игнатьев Матвей Ефремович</t>
  </si>
  <si>
    <t>Ветров Савелий Александрович</t>
  </si>
  <si>
    <t>Тимофеев Роман Герасимович</t>
  </si>
  <si>
    <t>Кириллов Савелий Семенович</t>
  </si>
  <si>
    <t>Кириллов Виталий Ефремович</t>
  </si>
  <si>
    <t>Незнамов Константин Ефремович</t>
  </si>
  <si>
    <t>Тимофеев Константин Семенович</t>
  </si>
  <si>
    <t>Тимофеев Савелий Михайлович</t>
  </si>
  <si>
    <t>Степанов Афанасий Михайлович</t>
  </si>
  <si>
    <t>Ветров Матвей Александрович</t>
  </si>
  <si>
    <t>Исаев Виталий Герасимович</t>
  </si>
  <si>
    <t>Кириллов Матвей Ефремович</t>
  </si>
  <si>
    <t>Степанов Глеб Александрович</t>
  </si>
  <si>
    <t>Степанов Геннадий Семенович</t>
  </si>
  <si>
    <t>Незнамов Геннадий Семенович</t>
  </si>
  <si>
    <t>Кириллов Савелий Михайлович</t>
  </si>
  <si>
    <t>Кириллов Савелий Геннадьевич</t>
  </si>
  <si>
    <t>Тимофеев Геннадий Герасимович</t>
  </si>
  <si>
    <t>Тимофеев Савелий Ефремович</t>
  </si>
  <si>
    <t>Незнамов Савелий Семенович</t>
  </si>
  <si>
    <t>Незнамов Савелий Александрович</t>
  </si>
  <si>
    <t>Тимофеев Юрий Семенович</t>
  </si>
  <si>
    <t>Незнамов Глеб Ефремович</t>
  </si>
  <si>
    <t>Тимофеев Константин Александрович</t>
  </si>
  <si>
    <t>Тимофеев Глеб Александрович</t>
  </si>
  <si>
    <t>Тимофеев Матвей Александрович</t>
  </si>
  <si>
    <t>Дмитриев Матвей Александрович</t>
  </si>
  <si>
    <t>Ветров Глеб Богданович</t>
  </si>
  <si>
    <t>Незнамов Матвей Семенович</t>
  </si>
  <si>
    <t>Степанов Геннадий Александрович</t>
  </si>
  <si>
    <t>Степанов Савелий Михайлович</t>
  </si>
  <si>
    <t>Кириллов Савелий Богданович</t>
  </si>
  <si>
    <t>Кириллов Матвей Михайлович</t>
  </si>
  <si>
    <t>Брежнев Савелий Богданович</t>
  </si>
  <si>
    <t>Ветров Юрий Семенович</t>
  </si>
  <si>
    <t>Дмитриев Савелий Богданович</t>
  </si>
  <si>
    <t>Ветров Матвей Михайлович</t>
  </si>
  <si>
    <t>Ветров Константин Богданович</t>
  </si>
  <si>
    <t>Незнамов Матвей Геннадьевич</t>
  </si>
  <si>
    <t>Кириллов Савелий Александрович</t>
  </si>
  <si>
    <t>Незнамов Геннадий Ефремович</t>
  </si>
  <si>
    <t>Тимофеев Матвей Геннадьевич</t>
  </si>
  <si>
    <t>Исаев Константин Ефремович</t>
  </si>
  <si>
    <t>Брежнев Матвей Александрович</t>
  </si>
  <si>
    <t>Исаев Савелий Александрович</t>
  </si>
  <si>
    <t>Ветров Савелий Герасимович</t>
  </si>
  <si>
    <t>Незнамов Савелий Богданович</t>
  </si>
  <si>
    <t>Брежнев Геннадий Ефремович</t>
  </si>
  <si>
    <t>Кириллов Виталий Михайлович</t>
  </si>
  <si>
    <t>Тимофеев Юрий Ефремович</t>
  </si>
  <si>
    <t>Ветров Матвей Семенович</t>
  </si>
  <si>
    <t>Тимофеев Роман Богданович</t>
  </si>
  <si>
    <t>Тимофеев Геннадий Геннадьевич</t>
  </si>
  <si>
    <t>Степанов Виталий Семенович</t>
  </si>
  <si>
    <t>Ветров Матвей Богданович</t>
  </si>
  <si>
    <t>Ветров Роман Семенович</t>
  </si>
  <si>
    <t>Незнамов Матвей Богданович</t>
  </si>
  <si>
    <t>Исаев Савелий Богданович</t>
  </si>
  <si>
    <t>Исаев Матвей Александрович</t>
  </si>
  <si>
    <t>Ветров Глеб Ефремович</t>
  </si>
  <si>
    <t>Тимофеев Глеб Семенович</t>
  </si>
  <si>
    <t>Кириллов Глеб Семенович</t>
  </si>
  <si>
    <t>Тимофеев Геннадий Михайлович</t>
  </si>
  <si>
    <t>Исаев Виталий Ефремович</t>
  </si>
  <si>
    <t>Тимофеев Виталий Михайлович</t>
  </si>
  <si>
    <t>Незнамов Юрий Богданович</t>
  </si>
  <si>
    <t>Исаев Юрий Александрович</t>
  </si>
  <si>
    <t>Кириллов Геннадий Михайлович</t>
  </si>
  <si>
    <t>Исаев Виталий Богданович</t>
  </si>
  <si>
    <t>Исаев Юрий Ефремович</t>
  </si>
  <si>
    <t>Дмитриев Виталий Семенович</t>
  </si>
  <si>
    <t>Исаев Матвей Ефремович</t>
  </si>
  <si>
    <t>Степанов Савелий Богданович</t>
  </si>
  <si>
    <t>Исаев Савелий Семенович</t>
  </si>
  <si>
    <t>Незнамов Виталий Семенович</t>
  </si>
  <si>
    <t>Функциональное направление 2</t>
  </si>
  <si>
    <t>Функциональное направление 3</t>
  </si>
  <si>
    <t>Функциональное направление 13</t>
  </si>
  <si>
    <t>Функциональное направление 1</t>
  </si>
  <si>
    <t>Функциональное направление 5</t>
  </si>
  <si>
    <t>Функциональное направление 4</t>
  </si>
  <si>
    <t>Функциональное направление 6</t>
  </si>
  <si>
    <t>Функциональное направление 10</t>
  </si>
  <si>
    <t>Функциональное направление 7</t>
  </si>
  <si>
    <t>Функциональное направление 8</t>
  </si>
  <si>
    <t>Функциональное направление 11</t>
  </si>
  <si>
    <t>Функциональное направление 12</t>
  </si>
  <si>
    <t>500045-1</t>
  </si>
  <si>
    <t>500527-1</t>
  </si>
  <si>
    <t>500528-1</t>
  </si>
  <si>
    <t>500529-1</t>
  </si>
  <si>
    <t>500530-1</t>
  </si>
  <si>
    <t>500548-1</t>
  </si>
  <si>
    <t>500078-1</t>
  </si>
  <si>
    <t>500079-1</t>
  </si>
  <si>
    <t>500715-1</t>
  </si>
  <si>
    <t>500714-1</t>
  </si>
  <si>
    <t>500296-1</t>
  </si>
  <si>
    <t>500297-1</t>
  </si>
  <si>
    <t>500300-1</t>
  </si>
  <si>
    <t>500308-1</t>
  </si>
  <si>
    <t>500327-1</t>
  </si>
  <si>
    <t>500328-1</t>
  </si>
  <si>
    <t>500310-1</t>
  </si>
  <si>
    <t>500620-1</t>
  </si>
  <si>
    <t>500619-1</t>
  </si>
  <si>
    <t>500617-1</t>
  </si>
  <si>
    <t>500618-1</t>
  </si>
  <si>
    <t>500630-1</t>
  </si>
  <si>
    <t>500637-1</t>
  </si>
  <si>
    <t>500012-1</t>
  </si>
  <si>
    <t>500014-1</t>
  </si>
  <si>
    <t>500329-1</t>
  </si>
  <si>
    <t>500330-1</t>
  </si>
  <si>
    <t>500331-1</t>
  </si>
  <si>
    <t>500332-1</t>
  </si>
  <si>
    <t>500333-1</t>
  </si>
  <si>
    <t>500334-1</t>
  </si>
  <si>
    <t>500335-1</t>
  </si>
  <si>
    <t>500335-2</t>
  </si>
  <si>
    <t>500335-3</t>
  </si>
  <si>
    <t>500336-1</t>
  </si>
  <si>
    <t>500337-1</t>
  </si>
  <si>
    <t>500337-2</t>
  </si>
  <si>
    <t>500337-3</t>
  </si>
  <si>
    <t>500337-4</t>
  </si>
  <si>
    <t>500338-1</t>
  </si>
  <si>
    <t>500338-2</t>
  </si>
  <si>
    <t>500338-3</t>
  </si>
  <si>
    <t>500338-4</t>
  </si>
  <si>
    <t>500339-1</t>
  </si>
  <si>
    <t>500340-1</t>
  </si>
  <si>
    <t>500341-1</t>
  </si>
  <si>
    <t>500342-1</t>
  </si>
  <si>
    <t>500342-2</t>
  </si>
  <si>
    <t>500342-3</t>
  </si>
  <si>
    <t>500343-1</t>
  </si>
  <si>
    <t>500344-1</t>
  </si>
  <si>
    <t>500345-1</t>
  </si>
  <si>
    <t>500346-1</t>
  </si>
  <si>
    <t>500347-1</t>
  </si>
  <si>
    <t>500347-2</t>
  </si>
  <si>
    <t>500347-3</t>
  </si>
  <si>
    <t>500347-4</t>
  </si>
  <si>
    <t>500354-1</t>
  </si>
  <si>
    <t>500355-1</t>
  </si>
  <si>
    <t>500366-1</t>
  </si>
  <si>
    <t>500367-1</t>
  </si>
  <si>
    <t>500367-2</t>
  </si>
  <si>
    <t>500367-3</t>
  </si>
  <si>
    <t>500368-1</t>
  </si>
  <si>
    <t>500372-1</t>
  </si>
  <si>
    <t>500373-1</t>
  </si>
  <si>
    <t>500373-2</t>
  </si>
  <si>
    <t>500373-3</t>
  </si>
  <si>
    <t>500374-2</t>
  </si>
  <si>
    <t>500374-3</t>
  </si>
  <si>
    <t>500375-1</t>
  </si>
  <si>
    <t>500375-2</t>
  </si>
  <si>
    <t>500375-3</t>
  </si>
  <si>
    <t>500376-1</t>
  </si>
  <si>
    <t>500377-1</t>
  </si>
  <si>
    <t>500377-2</t>
  </si>
  <si>
    <t>500377-3</t>
  </si>
  <si>
    <t>500377-4</t>
  </si>
  <si>
    <t>500379-1</t>
  </si>
  <si>
    <t>500380-1</t>
  </si>
  <si>
    <t>500380-2</t>
  </si>
  <si>
    <t>500380-3</t>
  </si>
  <si>
    <t>500380-4</t>
  </si>
  <si>
    <t>500381-1</t>
  </si>
  <si>
    <t>500382-1</t>
  </si>
  <si>
    <t>500383-1</t>
  </si>
  <si>
    <t>500384-1</t>
  </si>
  <si>
    <t>500044-1</t>
  </si>
  <si>
    <t>500517-1</t>
  </si>
  <si>
    <t>500517-2</t>
  </si>
  <si>
    <t>500517-3</t>
  </si>
  <si>
    <t>500517-4</t>
  </si>
  <si>
    <t>500052-1</t>
  </si>
  <si>
    <t>500053-1</t>
  </si>
  <si>
    <t>500054-1</t>
  </si>
  <si>
    <t>500055-1</t>
  </si>
  <si>
    <t>500056-1</t>
  </si>
  <si>
    <t>500057-1</t>
  </si>
  <si>
    <t>500058-1</t>
  </si>
  <si>
    <t>500059-1</t>
  </si>
  <si>
    <t>500060-1</t>
  </si>
  <si>
    <t>500061-1</t>
  </si>
  <si>
    <t>500544-1</t>
  </si>
  <si>
    <t>500547-1</t>
  </si>
  <si>
    <t>500367-4</t>
  </si>
  <si>
    <t>500374-4</t>
  </si>
  <si>
    <t>500373-4</t>
  </si>
  <si>
    <t>500378-1</t>
  </si>
  <si>
    <t>500239-1</t>
  </si>
  <si>
    <t>500238-1</t>
  </si>
  <si>
    <t>500239-2</t>
  </si>
  <si>
    <t>500239-3</t>
  </si>
  <si>
    <t>500239-4</t>
  </si>
  <si>
    <t>500335-4</t>
  </si>
  <si>
    <t>500342-4</t>
  </si>
  <si>
    <t>500240-1</t>
  </si>
  <si>
    <t>500241-1</t>
  </si>
  <si>
    <t>500242-1</t>
  </si>
  <si>
    <t>500242-2</t>
  </si>
  <si>
    <t>500242-3</t>
  </si>
  <si>
    <t>500242-4</t>
  </si>
  <si>
    <t>500243-1</t>
  </si>
  <si>
    <t>500244-1</t>
  </si>
  <si>
    <t>500245-1</t>
  </si>
  <si>
    <t>500246-1</t>
  </si>
  <si>
    <t>500247-1</t>
  </si>
  <si>
    <t>500248-1</t>
  </si>
  <si>
    <t>500249-1</t>
  </si>
  <si>
    <t>500572-1</t>
  </si>
  <si>
    <t>500373-5</t>
  </si>
  <si>
    <t>500373-6</t>
  </si>
  <si>
    <t>500573-1</t>
  </si>
  <si>
    <t>500602-1</t>
  </si>
  <si>
    <t>500612-1</t>
  </si>
  <si>
    <t>500613-1</t>
  </si>
  <si>
    <t>500623-1</t>
  </si>
  <si>
    <t>500716-1</t>
  </si>
  <si>
    <t>500626-1</t>
  </si>
  <si>
    <t>500656-1</t>
  </si>
  <si>
    <t>500667-1</t>
  </si>
  <si>
    <t>500668-1</t>
  </si>
  <si>
    <t>500658-1</t>
  </si>
  <si>
    <t>500657-1</t>
  </si>
  <si>
    <t>500657-2</t>
  </si>
  <si>
    <t>500657-3</t>
  </si>
  <si>
    <t>500657-4</t>
  </si>
  <si>
    <t>500669-1</t>
  </si>
  <si>
    <t>500664-1</t>
  </si>
  <si>
    <t>500665-1</t>
  </si>
  <si>
    <t>500648-1</t>
  </si>
  <si>
    <t>500649-1</t>
  </si>
  <si>
    <t>500650-1</t>
  </si>
  <si>
    <t>500650-2</t>
  </si>
  <si>
    <t>500650-3</t>
  </si>
  <si>
    <t>500650-4</t>
  </si>
  <si>
    <t>500645-1</t>
  </si>
  <si>
    <t>500646-1</t>
  </si>
  <si>
    <t>500663-1</t>
  </si>
  <si>
    <t>500663-2</t>
  </si>
  <si>
    <t>500663-3</t>
  </si>
  <si>
    <t>500663-4</t>
  </si>
  <si>
    <t>500671-1</t>
  </si>
  <si>
    <t>500670-1</t>
  </si>
  <si>
    <t>500666-1</t>
  </si>
  <si>
    <t>500661-1</t>
  </si>
  <si>
    <t>500662-1</t>
  </si>
  <si>
    <t>500662-2</t>
  </si>
  <si>
    <t>500662-3</t>
  </si>
  <si>
    <t>500662-4</t>
  </si>
  <si>
    <t>500662-5</t>
  </si>
  <si>
    <t>500662-6</t>
  </si>
  <si>
    <t>500662-7</t>
  </si>
  <si>
    <t>500662-8</t>
  </si>
  <si>
    <t>500672-1</t>
  </si>
  <si>
    <t>500673-1</t>
  </si>
  <si>
    <t>500676-1</t>
  </si>
  <si>
    <t>500677-1</t>
  </si>
  <si>
    <t>500678-1</t>
  </si>
  <si>
    <t>500660-1</t>
  </si>
  <si>
    <t>500674-1</t>
  </si>
  <si>
    <t>500675-1</t>
  </si>
  <si>
    <t>500675-2</t>
  </si>
  <si>
    <t>500675-3</t>
  </si>
  <si>
    <t>500675-4</t>
  </si>
  <si>
    <t>500679-1</t>
  </si>
  <si>
    <t>500659-1</t>
  </si>
  <si>
    <t>500651-1</t>
  </si>
  <si>
    <t>500652-1</t>
  </si>
  <si>
    <t>500652-2</t>
  </si>
  <si>
    <t>500652-3</t>
  </si>
  <si>
    <t>500652-4</t>
  </si>
  <si>
    <t>500647-1</t>
  </si>
  <si>
    <t>500653-1</t>
  </si>
  <si>
    <t>500653-2</t>
  </si>
  <si>
    <t>500653-3</t>
  </si>
  <si>
    <t>500653-4</t>
  </si>
  <si>
    <t>500654-1</t>
  </si>
  <si>
    <t>500655-1</t>
  </si>
  <si>
    <t>500655-2</t>
  </si>
  <si>
    <t>500655-3</t>
  </si>
  <si>
    <t>500655-4</t>
  </si>
  <si>
    <t>500680-1</t>
  </si>
  <si>
    <t>500727-1</t>
  </si>
  <si>
    <t>500728-1</t>
  </si>
  <si>
    <t>500729-1</t>
  </si>
  <si>
    <t>500730-1</t>
  </si>
  <si>
    <t>500731-1</t>
  </si>
  <si>
    <t>500732-1</t>
  </si>
  <si>
    <t>500733-1</t>
  </si>
  <si>
    <t>500734-1</t>
  </si>
  <si>
    <t>500036-1</t>
  </si>
  <si>
    <t>500575-1</t>
  </si>
  <si>
    <t>500035-1</t>
  </si>
  <si>
    <t>500574-1</t>
  </si>
  <si>
    <t>500037-1</t>
  </si>
  <si>
    <t>500039-1</t>
  </si>
  <si>
    <t>500038-1</t>
  </si>
  <si>
    <t>500586-1</t>
  </si>
  <si>
    <t>500588-1</t>
  </si>
  <si>
    <t>500589-1</t>
  </si>
  <si>
    <t>500590-1</t>
  </si>
  <si>
    <t>500633-1</t>
  </si>
  <si>
    <t>500634-1</t>
  </si>
  <si>
    <t>500635-1</t>
  </si>
  <si>
    <t>500638-1</t>
  </si>
  <si>
    <t>500643-1</t>
  </si>
  <si>
    <t>500006-1</t>
  </si>
  <si>
    <t>500010-1</t>
  </si>
  <si>
    <t>500011-1</t>
  </si>
  <si>
    <t>500023-1</t>
  </si>
  <si>
    <t>500023-2</t>
  </si>
  <si>
    <t>500023-3</t>
  </si>
  <si>
    <t>500040-1</t>
  </si>
  <si>
    <t>500160-1</t>
  </si>
  <si>
    <t>500186-1</t>
  </si>
  <si>
    <t>500186-2</t>
  </si>
  <si>
    <t>500186-3</t>
  </si>
  <si>
    <t>500213-1</t>
  </si>
  <si>
    <t>500213-2</t>
  </si>
  <si>
    <t>500213-3</t>
  </si>
  <si>
    <t>500213-4</t>
  </si>
  <si>
    <t>500216-1</t>
  </si>
  <si>
    <t>500217-1</t>
  </si>
  <si>
    <t>500222-1</t>
  </si>
  <si>
    <t>500222-2</t>
  </si>
  <si>
    <t>500023-4</t>
  </si>
  <si>
    <t>500186-4</t>
  </si>
  <si>
    <t>500222-3</t>
  </si>
  <si>
    <t>500222-4</t>
  </si>
  <si>
    <t>500570-1</t>
  </si>
  <si>
    <t>500570-2</t>
  </si>
  <si>
    <t>500570-3</t>
  </si>
  <si>
    <t>500570-4</t>
  </si>
  <si>
    <t>500578-1</t>
  </si>
  <si>
    <t>500579-1</t>
  </si>
  <si>
    <t>500580-1</t>
  </si>
  <si>
    <t>500580-2</t>
  </si>
  <si>
    <t>500580-3</t>
  </si>
  <si>
    <t>500580-4</t>
  </si>
  <si>
    <t>500631-1</t>
  </si>
  <si>
    <t>500682-1</t>
  </si>
  <si>
    <t>500694-1</t>
  </si>
  <si>
    <t>500688-1</t>
  </si>
  <si>
    <t>500688-2</t>
  </si>
  <si>
    <t>500688-3</t>
  </si>
  <si>
    <t>500688-4</t>
  </si>
  <si>
    <t>500689-1</t>
  </si>
  <si>
    <t>500689-2</t>
  </si>
  <si>
    <t>500690-1</t>
  </si>
  <si>
    <t>500690-2</t>
  </si>
  <si>
    <t>500691-1</t>
  </si>
  <si>
    <t>500687-1</t>
  </si>
  <si>
    <t>500686-1</t>
  </si>
  <si>
    <t>500692-1</t>
  </si>
  <si>
    <t>500693-1</t>
  </si>
  <si>
    <t>500683-1</t>
  </si>
  <si>
    <t>500684-1</t>
  </si>
  <si>
    <t>500685-1</t>
  </si>
  <si>
    <t>500169-1</t>
  </si>
  <si>
    <t>500695-1</t>
  </si>
  <si>
    <t>500696-1</t>
  </si>
  <si>
    <t>500697-1</t>
  </si>
  <si>
    <t>500698-1</t>
  </si>
  <si>
    <t>500280-1</t>
  </si>
  <si>
    <t>500281-1</t>
  </si>
  <si>
    <t>500282-1</t>
  </si>
  <si>
    <t>500283-1</t>
  </si>
  <si>
    <t>500284-1</t>
  </si>
  <si>
    <t>500284-2</t>
  </si>
  <si>
    <t>500284-3</t>
  </si>
  <si>
    <t>500285-1</t>
  </si>
  <si>
    <t>500286-1</t>
  </si>
  <si>
    <t>500287-1</t>
  </si>
  <si>
    <t>500288-1</t>
  </si>
  <si>
    <t>500288-2</t>
  </si>
  <si>
    <t>500288-3</t>
  </si>
  <si>
    <t>500288-4</t>
  </si>
  <si>
    <t>500289-1</t>
  </si>
  <si>
    <t>500290-1</t>
  </si>
  <si>
    <t>500291-1</t>
  </si>
  <si>
    <t>500291-2</t>
  </si>
  <si>
    <t>500291-3</t>
  </si>
  <si>
    <t>500291-4</t>
  </si>
  <si>
    <t>500439-1</t>
  </si>
  <si>
    <t>500440-1</t>
  </si>
  <si>
    <t>500441-1</t>
  </si>
  <si>
    <t>500441-2</t>
  </si>
  <si>
    <t>500441-3</t>
  </si>
  <si>
    <t>500441-4</t>
  </si>
  <si>
    <t>500442-1</t>
  </si>
  <si>
    <t>500443-1</t>
  </si>
  <si>
    <t>500444-1</t>
  </si>
  <si>
    <t>500444-2</t>
  </si>
  <si>
    <t>500444-3</t>
  </si>
  <si>
    <t>500444-4</t>
  </si>
  <si>
    <t>500445-1</t>
  </si>
  <si>
    <t>500446-1</t>
  </si>
  <si>
    <t>500447-1</t>
  </si>
  <si>
    <t>500448-1</t>
  </si>
  <si>
    <t>500448-2</t>
  </si>
  <si>
    <t>500448-3</t>
  </si>
  <si>
    <t>500448-4</t>
  </si>
  <si>
    <t>500449-1</t>
  </si>
  <si>
    <t>500450-1</t>
  </si>
  <si>
    <t>500041-1</t>
  </si>
  <si>
    <t>500451-1</t>
  </si>
  <si>
    <t>500452-1</t>
  </si>
  <si>
    <t>500453-1</t>
  </si>
  <si>
    <t>500453-2</t>
  </si>
  <si>
    <t>500453-3</t>
  </si>
  <si>
    <t>500454-1</t>
  </si>
  <si>
    <t>500455-1</t>
  </si>
  <si>
    <t>500455-2</t>
  </si>
  <si>
    <t>500455-3</t>
  </si>
  <si>
    <t>500455-4</t>
  </si>
  <si>
    <t>500456-1</t>
  </si>
  <si>
    <t>500457-1</t>
  </si>
  <si>
    <t>500457-2</t>
  </si>
  <si>
    <t>500457-3</t>
  </si>
  <si>
    <t>500458-1</t>
  </si>
  <si>
    <t>500459-1</t>
  </si>
  <si>
    <t>500460-1</t>
  </si>
  <si>
    <t>500461-1</t>
  </si>
  <si>
    <t>500461-2</t>
  </si>
  <si>
    <t>500461-3</t>
  </si>
  <si>
    <t>500461-4</t>
  </si>
  <si>
    <t>500462-1</t>
  </si>
  <si>
    <t>500463-1</t>
  </si>
  <si>
    <t>500464-1</t>
  </si>
  <si>
    <t>500465-1</t>
  </si>
  <si>
    <t>500466-1</t>
  </si>
  <si>
    <t>500467-1</t>
  </si>
  <si>
    <t>500192-1</t>
  </si>
  <si>
    <t>500193-1</t>
  </si>
  <si>
    <t>500194-1</t>
  </si>
  <si>
    <t>500195-1</t>
  </si>
  <si>
    <t>500196-1</t>
  </si>
  <si>
    <t>500196-2</t>
  </si>
  <si>
    <t>500196-3</t>
  </si>
  <si>
    <t>500196-4</t>
  </si>
  <si>
    <t>500197-1</t>
  </si>
  <si>
    <t>500198-1</t>
  </si>
  <si>
    <t>500199-1</t>
  </si>
  <si>
    <t>500200-1</t>
  </si>
  <si>
    <t>500201-1</t>
  </si>
  <si>
    <t>500201-2</t>
  </si>
  <si>
    <t>500201-3</t>
  </si>
  <si>
    <t>500201-4</t>
  </si>
  <si>
    <t>500202-1</t>
  </si>
  <si>
    <t>500202-2</t>
  </si>
  <si>
    <t>500202-3</t>
  </si>
  <si>
    <t>500202-4</t>
  </si>
  <si>
    <t>500203-1</t>
  </si>
  <si>
    <t>500204-1</t>
  </si>
  <si>
    <t>500205-1</t>
  </si>
  <si>
    <t>500206-1</t>
  </si>
  <si>
    <t>500206-2</t>
  </si>
  <si>
    <t>500206-3</t>
  </si>
  <si>
    <t>500206-4</t>
  </si>
  <si>
    <t>500207-1</t>
  </si>
  <si>
    <t>500208-1</t>
  </si>
  <si>
    <t>500218-1</t>
  </si>
  <si>
    <t>500219-1</t>
  </si>
  <si>
    <t>500221-1</t>
  </si>
  <si>
    <t>500046-1</t>
  </si>
  <si>
    <t>500223-1</t>
  </si>
  <si>
    <t>500224-1</t>
  </si>
  <si>
    <t>500225-1</t>
  </si>
  <si>
    <t>500226-1</t>
  </si>
  <si>
    <t>500227-1</t>
  </si>
  <si>
    <t>500227-2</t>
  </si>
  <si>
    <t>500227-3</t>
  </si>
  <si>
    <t>500227-4</t>
  </si>
  <si>
    <t>500228-1</t>
  </si>
  <si>
    <t>500229-1</t>
  </si>
  <si>
    <t>500230-1</t>
  </si>
  <si>
    <t>500230-2</t>
  </si>
  <si>
    <t>500230-3</t>
  </si>
  <si>
    <t>500230-4</t>
  </si>
  <si>
    <t>500531-1</t>
  </si>
  <si>
    <t>500532-1</t>
  </si>
  <si>
    <t>500232-1</t>
  </si>
  <si>
    <t>500232-2</t>
  </si>
  <si>
    <t>500232-3</t>
  </si>
  <si>
    <t>500232-4</t>
  </si>
  <si>
    <t>500233-1</t>
  </si>
  <si>
    <t>500234-1</t>
  </si>
  <si>
    <t>500235-1</t>
  </si>
  <si>
    <t>500235-4</t>
  </si>
  <si>
    <t>500235-3</t>
  </si>
  <si>
    <t>500235-2</t>
  </si>
  <si>
    <t>500236-1</t>
  </si>
  <si>
    <t>500237-1</t>
  </si>
  <si>
    <t>500237-2</t>
  </si>
  <si>
    <t>500237-3</t>
  </si>
  <si>
    <t>500237-4</t>
  </si>
  <si>
    <t>500231-1</t>
  </si>
  <si>
    <t>500260-1</t>
  </si>
  <si>
    <t>500269-1</t>
  </si>
  <si>
    <t>500284-4</t>
  </si>
  <si>
    <t>500453-4</t>
  </si>
  <si>
    <t>500457-4</t>
  </si>
  <si>
    <t>500255-1</t>
  </si>
  <si>
    <t>500256-1</t>
  </si>
  <si>
    <t>500257-1</t>
  </si>
  <si>
    <t>500257-2</t>
  </si>
  <si>
    <t>500257-3</t>
  </si>
  <si>
    <t>500257-4</t>
  </si>
  <si>
    <t>500258-1</t>
  </si>
  <si>
    <t>500259-1</t>
  </si>
  <si>
    <t>500260-2</t>
  </si>
  <si>
    <t>500260-3</t>
  </si>
  <si>
    <t>500260-4</t>
  </si>
  <si>
    <t>500261-1</t>
  </si>
  <si>
    <t>500262-1</t>
  </si>
  <si>
    <t>500263-1</t>
  </si>
  <si>
    <t>500263-2</t>
  </si>
  <si>
    <t>500263-3</t>
  </si>
  <si>
    <t>500263-4</t>
  </si>
  <si>
    <t>500264-1</t>
  </si>
  <si>
    <t>500265-1</t>
  </si>
  <si>
    <t>500266-1</t>
  </si>
  <si>
    <t>500266-2</t>
  </si>
  <si>
    <t>500266-3</t>
  </si>
  <si>
    <t>500266-4</t>
  </si>
  <si>
    <t>500267-1</t>
  </si>
  <si>
    <t>500268-1</t>
  </si>
  <si>
    <t>500270-1</t>
  </si>
  <si>
    <t>500271-1</t>
  </si>
  <si>
    <t>500272-1</t>
  </si>
  <si>
    <t>500272-2</t>
  </si>
  <si>
    <t>500273-1</t>
  </si>
  <si>
    <t>500273-2</t>
  </si>
  <si>
    <t>500273-3</t>
  </si>
  <si>
    <t>500273-4</t>
  </si>
  <si>
    <t>500274-1</t>
  </si>
  <si>
    <t>500274-2</t>
  </si>
  <si>
    <t>500274-3</t>
  </si>
  <si>
    <t>500275-1</t>
  </si>
  <si>
    <t>500276-1</t>
  </si>
  <si>
    <t>500277-1</t>
  </si>
  <si>
    <t>500278-1</t>
  </si>
  <si>
    <t>500279-1</t>
  </si>
  <si>
    <t>500279-2</t>
  </si>
  <si>
    <t>500279-3</t>
  </si>
  <si>
    <t>500551-1</t>
  </si>
  <si>
    <t>500274-4</t>
  </si>
  <si>
    <t>500279-4</t>
  </si>
  <si>
    <t>500581-1</t>
  </si>
  <si>
    <t>500583-1</t>
  </si>
  <si>
    <t>500582-1</t>
  </si>
  <si>
    <t>500614-1</t>
  </si>
  <si>
    <t>500614-2</t>
  </si>
  <si>
    <t>500614-3</t>
  </si>
  <si>
    <t>500614-4</t>
  </si>
  <si>
    <t>500636-1</t>
  </si>
  <si>
    <t>500712-1</t>
  </si>
  <si>
    <t>500713-1</t>
  </si>
  <si>
    <t>500722-1</t>
  </si>
  <si>
    <t>500724-1</t>
  </si>
  <si>
    <t>500725-1</t>
  </si>
  <si>
    <t>500726-1</t>
  </si>
  <si>
    <t>500004-1</t>
  </si>
  <si>
    <t>500122-1</t>
  </si>
  <si>
    <t>500138-1</t>
  </si>
  <si>
    <t>500139-1</t>
  </si>
  <si>
    <t>500140-1</t>
  </si>
  <si>
    <t>500141-1</t>
  </si>
  <si>
    <t>500144-1</t>
  </si>
  <si>
    <t>500144-2</t>
  </si>
  <si>
    <t>500145-1</t>
  </si>
  <si>
    <t>500025-1</t>
  </si>
  <si>
    <t>500026-1</t>
  </si>
  <si>
    <t>500147-1</t>
  </si>
  <si>
    <t>500029-1</t>
  </si>
  <si>
    <t>500030-1</t>
  </si>
  <si>
    <t>500031-1</t>
  </si>
  <si>
    <t>500032-1</t>
  </si>
  <si>
    <t>500148-1</t>
  </si>
  <si>
    <t>500033-1</t>
  </si>
  <si>
    <t>500034-1</t>
  </si>
  <si>
    <t>500149-1</t>
  </si>
  <si>
    <t>500150-1</t>
  </si>
  <si>
    <t>500546-1</t>
  </si>
  <si>
    <t>500024-1</t>
  </si>
  <si>
    <t>500087-1</t>
  </si>
  <si>
    <t>500735-1</t>
  </si>
  <si>
    <t>500736-1</t>
  </si>
  <si>
    <t>500748-1</t>
  </si>
  <si>
    <t>500749-1</t>
  </si>
  <si>
    <t>500750-1</t>
  </si>
  <si>
    <t>500741-1</t>
  </si>
  <si>
    <t>500751-1</t>
  </si>
  <si>
    <t>500752-1</t>
  </si>
  <si>
    <t>500753-1</t>
  </si>
  <si>
    <t>500754-1</t>
  </si>
  <si>
    <t>500755-1</t>
  </si>
  <si>
    <t>500756-1</t>
  </si>
  <si>
    <t>500742-1</t>
  </si>
  <si>
    <t>500745-1</t>
  </si>
  <si>
    <t>500743-1</t>
  </si>
  <si>
    <t>500737-1</t>
  </si>
  <si>
    <t>500738-1</t>
  </si>
  <si>
    <t>500739-1</t>
  </si>
  <si>
    <t>500757-1</t>
  </si>
  <si>
    <t>500760-1</t>
  </si>
  <si>
    <t>500759-1</t>
  </si>
  <si>
    <t>500761-1</t>
  </si>
  <si>
    <t>500758-1</t>
  </si>
  <si>
    <t>500088-1</t>
  </si>
  <si>
    <t>500089-1</t>
  </si>
  <si>
    <t>500090-1</t>
  </si>
  <si>
    <t>500091-1</t>
  </si>
  <si>
    <t>500092-1</t>
  </si>
  <si>
    <t>500093-1</t>
  </si>
  <si>
    <t>500094-1</t>
  </si>
  <si>
    <t>500095-1</t>
  </si>
  <si>
    <t>500095-2</t>
  </si>
  <si>
    <t>500096-1</t>
  </si>
  <si>
    <t>500096-2</t>
  </si>
  <si>
    <t>500096-3</t>
  </si>
  <si>
    <t>500096-4</t>
  </si>
  <si>
    <t>500097-1</t>
  </si>
  <si>
    <t>500098-1</t>
  </si>
  <si>
    <t>500098-2</t>
  </si>
  <si>
    <t>500099-1</t>
  </si>
  <si>
    <t>500099-2</t>
  </si>
  <si>
    <t>500099-3</t>
  </si>
  <si>
    <t>500099-4</t>
  </si>
  <si>
    <t>500100-1</t>
  </si>
  <si>
    <t>500101-1</t>
  </si>
  <si>
    <t>500102-1</t>
  </si>
  <si>
    <t>500103-1</t>
  </si>
  <si>
    <t>500104-1</t>
  </si>
  <si>
    <t>500105-1</t>
  </si>
  <si>
    <t>500105-2</t>
  </si>
  <si>
    <t>500106-1</t>
  </si>
  <si>
    <t>500107-1</t>
  </si>
  <si>
    <t>500108-1</t>
  </si>
  <si>
    <t>500109-1</t>
  </si>
  <si>
    <t>500110-1</t>
  </si>
  <si>
    <t>500110-2</t>
  </si>
  <si>
    <t>500111-1</t>
  </si>
  <si>
    <t>500112-1</t>
  </si>
  <si>
    <t>500113-1</t>
  </si>
  <si>
    <t>500113-2</t>
  </si>
  <si>
    <t>500113-3</t>
  </si>
  <si>
    <t>500113-4</t>
  </si>
  <si>
    <t>500114-1</t>
  </si>
  <si>
    <t>500115-1</t>
  </si>
  <si>
    <t>500116-1</t>
  </si>
  <si>
    <t>500117-1</t>
  </si>
  <si>
    <t>500118-1</t>
  </si>
  <si>
    <t>500119-1</t>
  </si>
  <si>
    <t>500121-1</t>
  </si>
  <si>
    <t>500558-1</t>
  </si>
  <si>
    <t>500552-1</t>
  </si>
  <si>
    <t>500553-1</t>
  </si>
  <si>
    <t>500553-2</t>
  </si>
  <si>
    <t>500554-1</t>
  </si>
  <si>
    <t>500609-1</t>
  </si>
  <si>
    <t>500556-1</t>
  </si>
  <si>
    <t>500557-1</t>
  </si>
  <si>
    <t>500559-1</t>
  </si>
  <si>
    <t>500561-1</t>
  </si>
  <si>
    <t>500560-1</t>
  </si>
  <si>
    <t>500562-1</t>
  </si>
  <si>
    <t>500571-1</t>
  </si>
  <si>
    <t>500563-1</t>
  </si>
  <si>
    <t>500564-1</t>
  </si>
  <si>
    <t>500565-1</t>
  </si>
  <si>
    <t>500566-1</t>
  </si>
  <si>
    <t>500567-1</t>
  </si>
  <si>
    <t>500568-1</t>
  </si>
  <si>
    <t>500569-1</t>
  </si>
  <si>
    <t>500584-1</t>
  </si>
  <si>
    <t>500584-2</t>
  </si>
  <si>
    <t>500584-3</t>
  </si>
  <si>
    <t>500584-4</t>
  </si>
  <si>
    <t>500585-1</t>
  </si>
  <si>
    <t>500585-2</t>
  </si>
  <si>
    <t>500746-1</t>
  </si>
  <si>
    <t>500587-1</t>
  </si>
  <si>
    <t>500744-1</t>
  </si>
  <si>
    <t>500595-1</t>
  </si>
  <si>
    <t>500596-1</t>
  </si>
  <si>
    <t>500597-1</t>
  </si>
  <si>
    <t>500594-1</t>
  </si>
  <si>
    <t>500553-3</t>
  </si>
  <si>
    <t>500553-4</t>
  </si>
  <si>
    <t>500603-1</t>
  </si>
  <si>
    <t>500604-1</t>
  </si>
  <si>
    <t>500605-1</t>
  </si>
  <si>
    <t>500605-2</t>
  </si>
  <si>
    <t>500599-1</t>
  </si>
  <si>
    <t>500555-1</t>
  </si>
  <si>
    <t>500555-2</t>
  </si>
  <si>
    <t>500606-1</t>
  </si>
  <si>
    <t>500607-1</t>
  </si>
  <si>
    <t>500142-1</t>
  </si>
  <si>
    <t>500608-1</t>
  </si>
  <si>
    <t>500143-1</t>
  </si>
  <si>
    <t>500600-1</t>
  </si>
  <si>
    <t>500598-1</t>
  </si>
  <si>
    <t>500601-1</t>
  </si>
  <si>
    <t>500615-1</t>
  </si>
  <si>
    <t>500628-1</t>
  </si>
  <si>
    <t>500629-1</t>
  </si>
  <si>
    <t>500629-2</t>
  </si>
  <si>
    <t>500681-1</t>
  </si>
  <si>
    <t>500740-1</t>
  </si>
  <si>
    <t>500120-1</t>
  </si>
  <si>
    <t>500120-2</t>
  </si>
  <si>
    <t>500120-3</t>
  </si>
  <si>
    <t>500120-4</t>
  </si>
  <si>
    <t>500711-1</t>
  </si>
  <si>
    <t>500553-5</t>
  </si>
  <si>
    <t>500553-6</t>
  </si>
  <si>
    <t>500553-7</t>
  </si>
  <si>
    <t>500553-8</t>
  </si>
  <si>
    <t>500747-1</t>
  </si>
  <si>
    <t>500717-1</t>
  </si>
  <si>
    <t>500718-1</t>
  </si>
  <si>
    <t>500723-1</t>
  </si>
  <si>
    <t>500629-3</t>
  </si>
  <si>
    <t>500001-1</t>
  </si>
  <si>
    <t>500007-1</t>
  </si>
  <si>
    <t>500009-1</t>
  </si>
  <si>
    <t>500013-1</t>
  </si>
  <si>
    <t>500015-1</t>
  </si>
  <si>
    <t>500123-1</t>
  </si>
  <si>
    <t>500124-1</t>
  </si>
  <si>
    <t>500125-1</t>
  </si>
  <si>
    <t>500126-1</t>
  </si>
  <si>
    <t>500127-1</t>
  </si>
  <si>
    <t>500128-1</t>
  </si>
  <si>
    <t>500128-2</t>
  </si>
  <si>
    <t>500128-3</t>
  </si>
  <si>
    <t>500128-4</t>
  </si>
  <si>
    <t>500129-1</t>
  </si>
  <si>
    <t>500130-1</t>
  </si>
  <si>
    <t>500130-2</t>
  </si>
  <si>
    <t>500130-3</t>
  </si>
  <si>
    <t>500130-4</t>
  </si>
  <si>
    <t>500131-1</t>
  </si>
  <si>
    <t>500132-1</t>
  </si>
  <si>
    <t>500133-1</t>
  </si>
  <si>
    <t>500134-1</t>
  </si>
  <si>
    <t>500134-2</t>
  </si>
  <si>
    <t>500134-3</t>
  </si>
  <si>
    <t>500134-4</t>
  </si>
  <si>
    <t>500017-1</t>
  </si>
  <si>
    <t>500135-1</t>
  </si>
  <si>
    <t>500135-2</t>
  </si>
  <si>
    <t>500135-3</t>
  </si>
  <si>
    <t>500135-4</t>
  </si>
  <si>
    <t>500136-1</t>
  </si>
  <si>
    <t>500137-1</t>
  </si>
  <si>
    <t>500298-1</t>
  </si>
  <si>
    <t>500299-1</t>
  </si>
  <si>
    <t>500299-2</t>
  </si>
  <si>
    <t>500299-3</t>
  </si>
  <si>
    <t>500299-4</t>
  </si>
  <si>
    <t>500301-1</t>
  </si>
  <si>
    <t>500302-1</t>
  </si>
  <si>
    <t>500303-1</t>
  </si>
  <si>
    <t>500304-1</t>
  </si>
  <si>
    <t>500305-1</t>
  </si>
  <si>
    <t>500306-1</t>
  </si>
  <si>
    <t>500307-1</t>
  </si>
  <si>
    <t>500309-1</t>
  </si>
  <si>
    <t>500018-1</t>
  </si>
  <si>
    <t>500019-1</t>
  </si>
  <si>
    <t>500311-1</t>
  </si>
  <si>
    <t>500311-2</t>
  </si>
  <si>
    <t>500311-3</t>
  </si>
  <si>
    <t>500311-4</t>
  </si>
  <si>
    <t>500312-1</t>
  </si>
  <si>
    <t>500313-1</t>
  </si>
  <si>
    <t>500314-1</t>
  </si>
  <si>
    <t>500314-4</t>
  </si>
  <si>
    <t>500314-3</t>
  </si>
  <si>
    <t>500314-2</t>
  </si>
  <si>
    <t>500315-1</t>
  </si>
  <si>
    <t>500315-4</t>
  </si>
  <si>
    <t>500315-2</t>
  </si>
  <si>
    <t>500315-3</t>
  </si>
  <si>
    <t>500316-1</t>
  </si>
  <si>
    <t>500317-1</t>
  </si>
  <si>
    <t>500318-1</t>
  </si>
  <si>
    <t>500319-3</t>
  </si>
  <si>
    <t>500319-1</t>
  </si>
  <si>
    <t>500319-2</t>
  </si>
  <si>
    <t>500319-4</t>
  </si>
  <si>
    <t>500320-1</t>
  </si>
  <si>
    <t>500321-1</t>
  </si>
  <si>
    <t>500321-2</t>
  </si>
  <si>
    <t>500321-3</t>
  </si>
  <si>
    <t>500321-4</t>
  </si>
  <si>
    <t>500322-1</t>
  </si>
  <si>
    <t>500323-3</t>
  </si>
  <si>
    <t>500323-1</t>
  </si>
  <si>
    <t>500323-2</t>
  </si>
  <si>
    <t>500324-1</t>
  </si>
  <si>
    <t>500020-1</t>
  </si>
  <si>
    <t>500325-1</t>
  </si>
  <si>
    <t>500325-2</t>
  </si>
  <si>
    <t>500325-3</t>
  </si>
  <si>
    <t>500325-4</t>
  </si>
  <si>
    <t>500326-1</t>
  </si>
  <si>
    <t>500326-2</t>
  </si>
  <si>
    <t>500326-3</t>
  </si>
  <si>
    <t>500326-4</t>
  </si>
  <si>
    <t>500021-1</t>
  </si>
  <si>
    <t>500022-1</t>
  </si>
  <si>
    <t>500042-1</t>
  </si>
  <si>
    <t>500043-1</t>
  </si>
  <si>
    <t>500151-1</t>
  </si>
  <si>
    <t>500151-2</t>
  </si>
  <si>
    <t>500151-3</t>
  </si>
  <si>
    <t>500151-4</t>
  </si>
  <si>
    <t>500152-1</t>
  </si>
  <si>
    <t>500152-2</t>
  </si>
  <si>
    <t>500152-3</t>
  </si>
  <si>
    <t>500152-4</t>
  </si>
  <si>
    <t>500153-1</t>
  </si>
  <si>
    <t>500153-2</t>
  </si>
  <si>
    <t>500153-3</t>
  </si>
  <si>
    <t>500153-4</t>
  </si>
  <si>
    <t>500154-1</t>
  </si>
  <si>
    <t>500154-2</t>
  </si>
  <si>
    <t>500155-1</t>
  </si>
  <si>
    <t>500156-1</t>
  </si>
  <si>
    <t>500157-1</t>
  </si>
  <si>
    <t>500158-1</t>
  </si>
  <si>
    <t>500159-1</t>
  </si>
  <si>
    <t>500161-1</t>
  </si>
  <si>
    <t>500162-1</t>
  </si>
  <si>
    <t>500162-2</t>
  </si>
  <si>
    <t>500162-3</t>
  </si>
  <si>
    <t>500162-4</t>
  </si>
  <si>
    <t>500163-1</t>
  </si>
  <si>
    <t>500164-1</t>
  </si>
  <si>
    <t>500165-1</t>
  </si>
  <si>
    <t>500166-1</t>
  </si>
  <si>
    <t>500167-1</t>
  </si>
  <si>
    <t>500168-1</t>
  </si>
  <si>
    <t>500170-1</t>
  </si>
  <si>
    <t>500170-2</t>
  </si>
  <si>
    <t>500170-3</t>
  </si>
  <si>
    <t>500170-4</t>
  </si>
  <si>
    <t>500171-1</t>
  </si>
  <si>
    <t>500172-1</t>
  </si>
  <si>
    <t>500172-2</t>
  </si>
  <si>
    <t>500173-1</t>
  </si>
  <si>
    <t>500173-2</t>
  </si>
  <si>
    <t>500173-3</t>
  </si>
  <si>
    <t>500173-4</t>
  </si>
  <si>
    <t>500174-1</t>
  </si>
  <si>
    <t>500175-1</t>
  </si>
  <si>
    <t>500175-2</t>
  </si>
  <si>
    <t>500175-3</t>
  </si>
  <si>
    <t>500176-1</t>
  </si>
  <si>
    <t>500177-1</t>
  </si>
  <si>
    <t>500177-2</t>
  </si>
  <si>
    <t>500177-3</t>
  </si>
  <si>
    <t>500177-4</t>
  </si>
  <si>
    <t>500178-1</t>
  </si>
  <si>
    <t>500178-2</t>
  </si>
  <si>
    <t>500178-3</t>
  </si>
  <si>
    <t>500178-4</t>
  </si>
  <si>
    <t>500179-1</t>
  </si>
  <si>
    <t>500180-1</t>
  </si>
  <si>
    <t>500180-2</t>
  </si>
  <si>
    <t>500180-3</t>
  </si>
  <si>
    <t>500180-4</t>
  </si>
  <si>
    <t>500181-1</t>
  </si>
  <si>
    <t>500182-1</t>
  </si>
  <si>
    <t>500182-2</t>
  </si>
  <si>
    <t>500182-3</t>
  </si>
  <si>
    <t>500182-4</t>
  </si>
  <si>
    <t>500183-1</t>
  </si>
  <si>
    <t>500183-2</t>
  </si>
  <si>
    <t>500183-3</t>
  </si>
  <si>
    <t>500183-4</t>
  </si>
  <si>
    <t>500184-1</t>
  </si>
  <si>
    <t>500185-1</t>
  </si>
  <si>
    <t>500187-1</t>
  </si>
  <si>
    <t>500188-1</t>
  </si>
  <si>
    <t>500188-2</t>
  </si>
  <si>
    <t>500188-3</t>
  </si>
  <si>
    <t>500188-4</t>
  </si>
  <si>
    <t>500189-1</t>
  </si>
  <si>
    <t>500190-1</t>
  </si>
  <si>
    <t>500191-1</t>
  </si>
  <si>
    <t>500191-2</t>
  </si>
  <si>
    <t>500191-3</t>
  </si>
  <si>
    <t>500191-4</t>
  </si>
  <si>
    <t>500515-1</t>
  </si>
  <si>
    <t>500516-1</t>
  </si>
  <si>
    <t>500049-1</t>
  </si>
  <si>
    <t>500050-1</t>
  </si>
  <si>
    <t>500051-1</t>
  </si>
  <si>
    <t>500535-1</t>
  </si>
  <si>
    <t>500535-2</t>
  </si>
  <si>
    <t>500539-1</t>
  </si>
  <si>
    <t>500540-1</t>
  </si>
  <si>
    <t>500540-2</t>
  </si>
  <si>
    <t>500540-3</t>
  </si>
  <si>
    <t>500540-4</t>
  </si>
  <si>
    <t>500541-1</t>
  </si>
  <si>
    <t>500541-2</t>
  </si>
  <si>
    <t>500541-3</t>
  </si>
  <si>
    <t>500541-4</t>
  </si>
  <si>
    <t>500543-1</t>
  </si>
  <si>
    <t>500062-1</t>
  </si>
  <si>
    <t>500063-1</t>
  </si>
  <si>
    <t>500323-4</t>
  </si>
  <si>
    <t>500175-4</t>
  </si>
  <si>
    <t>500064-1</t>
  </si>
  <si>
    <t>500065-1</t>
  </si>
  <si>
    <t>500066-1</t>
  </si>
  <si>
    <t>500067-1</t>
  </si>
  <si>
    <t>500068-1</t>
  </si>
  <si>
    <t>500069-1</t>
  </si>
  <si>
    <t>500070-1</t>
  </si>
  <si>
    <t>500071-1</t>
  </si>
  <si>
    <t>500072-1</t>
  </si>
  <si>
    <t>500073-1</t>
  </si>
  <si>
    <t>500074-1</t>
  </si>
  <si>
    <t>500075-1</t>
  </si>
  <si>
    <t>500076-1</t>
  </si>
  <si>
    <t>500077-1</t>
  </si>
  <si>
    <t>500549-1</t>
  </si>
  <si>
    <t>500624-1</t>
  </si>
  <si>
    <t>500146-1</t>
  </si>
  <si>
    <t>500086-1</t>
  </si>
  <si>
    <t>500550-1</t>
  </si>
  <si>
    <t>500625-1</t>
  </si>
  <si>
    <t>500627-1</t>
  </si>
  <si>
    <t>500632-1</t>
  </si>
  <si>
    <t>500008-1</t>
  </si>
  <si>
    <t>500292-1</t>
  </si>
  <si>
    <t>500293-1</t>
  </si>
  <si>
    <t>500294-1</t>
  </si>
  <si>
    <t>500295-1</t>
  </si>
  <si>
    <t>500220-1</t>
  </si>
  <si>
    <t>500047-1</t>
  </si>
  <si>
    <t>500048-1</t>
  </si>
  <si>
    <t>500542-1</t>
  </si>
  <si>
    <t>500250-1</t>
  </si>
  <si>
    <t>500251-1</t>
  </si>
  <si>
    <t>500252-1</t>
  </si>
  <si>
    <t>500253-1</t>
  </si>
  <si>
    <t>500254-1</t>
  </si>
  <si>
    <t>500701-1</t>
  </si>
  <si>
    <t>500699-1</t>
  </si>
  <si>
    <t>500703-1</t>
  </si>
  <si>
    <t>500710-1</t>
  </si>
  <si>
    <t>500700-1</t>
  </si>
  <si>
    <t>500702-1</t>
  </si>
  <si>
    <t>500704-1</t>
  </si>
  <si>
    <t>500705-1</t>
  </si>
  <si>
    <t>500706-1</t>
  </si>
  <si>
    <t>500707-1</t>
  </si>
  <si>
    <t>500708-1</t>
  </si>
  <si>
    <t>500709-1</t>
  </si>
  <si>
    <t>500002-1</t>
  </si>
  <si>
    <t>500003-1</t>
  </si>
  <si>
    <t>500005-1</t>
  </si>
  <si>
    <t>500016-1</t>
  </si>
  <si>
    <t>500027-1</t>
  </si>
  <si>
    <t>500028-1</t>
  </si>
  <si>
    <t>500348-1</t>
  </si>
  <si>
    <t>500349-1</t>
  </si>
  <si>
    <t>500349-2</t>
  </si>
  <si>
    <t>500349-3</t>
  </si>
  <si>
    <t>500349-4</t>
  </si>
  <si>
    <t>500350-1</t>
  </si>
  <si>
    <t>500351-1</t>
  </si>
  <si>
    <t>500352-1</t>
  </si>
  <si>
    <t>500353-1</t>
  </si>
  <si>
    <t>500356-1</t>
  </si>
  <si>
    <t>500357-1</t>
  </si>
  <si>
    <t>500358-1</t>
  </si>
  <si>
    <t>500359-1</t>
  </si>
  <si>
    <t>500360-1</t>
  </si>
  <si>
    <t>500361-1</t>
  </si>
  <si>
    <t>500362-1</t>
  </si>
  <si>
    <t>500363-1</t>
  </si>
  <si>
    <t>500363-2</t>
  </si>
  <si>
    <t>500363-3</t>
  </si>
  <si>
    <t>500364-1</t>
  </si>
  <si>
    <t>500365-1</t>
  </si>
  <si>
    <t>500369-1</t>
  </si>
  <si>
    <t>500370-1</t>
  </si>
  <si>
    <t>500371-1</t>
  </si>
  <si>
    <t>500371-2</t>
  </si>
  <si>
    <t>500371-3</t>
  </si>
  <si>
    <t>500371-4</t>
  </si>
  <si>
    <t>500385-1</t>
  </si>
  <si>
    <t>500385-2</t>
  </si>
  <si>
    <t>500385-3</t>
  </si>
  <si>
    <t>500385-4</t>
  </si>
  <si>
    <t>500386-1</t>
  </si>
  <si>
    <t>500387-1</t>
  </si>
  <si>
    <t>500388-1</t>
  </si>
  <si>
    <t>500389-1</t>
  </si>
  <si>
    <t>500390-1</t>
  </si>
  <si>
    <t>500391-1</t>
  </si>
  <si>
    <t>500392-1</t>
  </si>
  <si>
    <t>500393-1</t>
  </si>
  <si>
    <t>500394-1</t>
  </si>
  <si>
    <t>500395-1</t>
  </si>
  <si>
    <t>500396-1</t>
  </si>
  <si>
    <t>500397-1</t>
  </si>
  <si>
    <t>500398-1</t>
  </si>
  <si>
    <t>500399-1</t>
  </si>
  <si>
    <t>500400-1</t>
  </si>
  <si>
    <t>500401-1</t>
  </si>
  <si>
    <t>500402-1</t>
  </si>
  <si>
    <t>500403-1</t>
  </si>
  <si>
    <t>500404-1</t>
  </si>
  <si>
    <t>500405-1</t>
  </si>
  <si>
    <t>500406-1</t>
  </si>
  <si>
    <t>500407-1</t>
  </si>
  <si>
    <t>500408-1</t>
  </si>
  <si>
    <t>500409-1</t>
  </si>
  <si>
    <t>500409-2</t>
  </si>
  <si>
    <t>500409-3</t>
  </si>
  <si>
    <t>500409-4</t>
  </si>
  <si>
    <t>500410-1</t>
  </si>
  <si>
    <t>500410-2</t>
  </si>
  <si>
    <t>500410-3</t>
  </si>
  <si>
    <t>500411-1</t>
  </si>
  <si>
    <t>500412-1</t>
  </si>
  <si>
    <t>500412-2</t>
  </si>
  <si>
    <t>500413-1</t>
  </si>
  <si>
    <t>500414-1</t>
  </si>
  <si>
    <t>500414-2</t>
  </si>
  <si>
    <t>500415-1</t>
  </si>
  <si>
    <t>500416-1</t>
  </si>
  <si>
    <t>500417-1</t>
  </si>
  <si>
    <t>500417-2</t>
  </si>
  <si>
    <t>500417-3</t>
  </si>
  <si>
    <t>500418-1</t>
  </si>
  <si>
    <t>500419-1</t>
  </si>
  <si>
    <t>500420-1</t>
  </si>
  <si>
    <t>500421-1</t>
  </si>
  <si>
    <t>500422-1</t>
  </si>
  <si>
    <t>500423-1</t>
  </si>
  <si>
    <t>500424-1</t>
  </si>
  <si>
    <t>500425-1</t>
  </si>
  <si>
    <t>500426-1</t>
  </si>
  <si>
    <t>500426-2</t>
  </si>
  <si>
    <t>500426-3</t>
  </si>
  <si>
    <t>500426-4</t>
  </si>
  <si>
    <t>500426-5</t>
  </si>
  <si>
    <t>500427-1</t>
  </si>
  <si>
    <t>500428-1</t>
  </si>
  <si>
    <t>500429-1</t>
  </si>
  <si>
    <t>500430-1</t>
  </si>
  <si>
    <t>500431-1</t>
  </si>
  <si>
    <t>500432-1</t>
  </si>
  <si>
    <t>500433-1</t>
  </si>
  <si>
    <t>500434-1</t>
  </si>
  <si>
    <t>500435-1</t>
  </si>
  <si>
    <t>500436-1</t>
  </si>
  <si>
    <t>500437-1</t>
  </si>
  <si>
    <t>500437-2</t>
  </si>
  <si>
    <t>500437-3</t>
  </si>
  <si>
    <t>500437-4</t>
  </si>
  <si>
    <t>500438-1</t>
  </si>
  <si>
    <t>500438-2</t>
  </si>
  <si>
    <t>500438-3</t>
  </si>
  <si>
    <t>500438-4</t>
  </si>
  <si>
    <t>500438-5</t>
  </si>
  <si>
    <t>500468-1</t>
  </si>
  <si>
    <t>500469-1</t>
  </si>
  <si>
    <t>500470-1</t>
  </si>
  <si>
    <t>500471-1</t>
  </si>
  <si>
    <t>500471-2</t>
  </si>
  <si>
    <t>500471-3</t>
  </si>
  <si>
    <t>500472-1</t>
  </si>
  <si>
    <t>500473-1</t>
  </si>
  <si>
    <t>500474-1</t>
  </si>
  <si>
    <t>500475-1</t>
  </si>
  <si>
    <t>500476-1</t>
  </si>
  <si>
    <t>500476-2</t>
  </si>
  <si>
    <t>500477-1</t>
  </si>
  <si>
    <t>500478-1</t>
  </si>
  <si>
    <t>500479-1</t>
  </si>
  <si>
    <t>500479-2</t>
  </si>
  <si>
    <t>500479-3</t>
  </si>
  <si>
    <t>500479-4</t>
  </si>
  <si>
    <t>500479-5</t>
  </si>
  <si>
    <t>500479-6</t>
  </si>
  <si>
    <t>500479-7</t>
  </si>
  <si>
    <t>500480-1</t>
  </si>
  <si>
    <t>500481-1</t>
  </si>
  <si>
    <t>500481-2</t>
  </si>
  <si>
    <t>500481-3</t>
  </si>
  <si>
    <t>500481-4</t>
  </si>
  <si>
    <t>500482-1</t>
  </si>
  <si>
    <t>500483-1</t>
  </si>
  <si>
    <t>500484-1</t>
  </si>
  <si>
    <t>500485-1</t>
  </si>
  <si>
    <t>500486-1</t>
  </si>
  <si>
    <t>500487-1</t>
  </si>
  <si>
    <t>500488-1</t>
  </si>
  <si>
    <t>500488-2</t>
  </si>
  <si>
    <t>500488-3</t>
  </si>
  <si>
    <t>500488-4</t>
  </si>
  <si>
    <t>500488-5</t>
  </si>
  <si>
    <t>500489-1</t>
  </si>
  <si>
    <t>500490-1</t>
  </si>
  <si>
    <t>500491-1</t>
  </si>
  <si>
    <t>500492-1</t>
  </si>
  <si>
    <t>500492-2</t>
  </si>
  <si>
    <t>500492-3</t>
  </si>
  <si>
    <t>500492-4</t>
  </si>
  <si>
    <t>500493-1</t>
  </si>
  <si>
    <t>500494-1</t>
  </si>
  <si>
    <t>500495-1</t>
  </si>
  <si>
    <t>500496-1</t>
  </si>
  <si>
    <t>500496-2</t>
  </si>
  <si>
    <t>500496-3</t>
  </si>
  <si>
    <t>500496-4</t>
  </si>
  <si>
    <t>500497-1</t>
  </si>
  <si>
    <t>500498-1</t>
  </si>
  <si>
    <t>500499-1</t>
  </si>
  <si>
    <t>500499-2</t>
  </si>
  <si>
    <t>500499-3</t>
  </si>
  <si>
    <t>500499-4</t>
  </si>
  <si>
    <t>500500-1</t>
  </si>
  <si>
    <t>500501-1</t>
  </si>
  <si>
    <t>500502-1</t>
  </si>
  <si>
    <t>500502-2</t>
  </si>
  <si>
    <t>500502-3</t>
  </si>
  <si>
    <t>500502-4</t>
  </si>
  <si>
    <t>500503-1</t>
  </si>
  <si>
    <t>500504-1</t>
  </si>
  <si>
    <t>500505-1</t>
  </si>
  <si>
    <t>500506-1</t>
  </si>
  <si>
    <t>500507-1</t>
  </si>
  <si>
    <t>500508-1</t>
  </si>
  <si>
    <t>500509-1</t>
  </si>
  <si>
    <t>500510-1</t>
  </si>
  <si>
    <t>500511-1</t>
  </si>
  <si>
    <t>500512-1</t>
  </si>
  <si>
    <t>500512-2</t>
  </si>
  <si>
    <t>500512-3</t>
  </si>
  <si>
    <t>500513-1</t>
  </si>
  <si>
    <t>500514-1</t>
  </si>
  <si>
    <t>500518-1</t>
  </si>
  <si>
    <t>500519-1</t>
  </si>
  <si>
    <t>500519-2</t>
  </si>
  <si>
    <t>500519-3</t>
  </si>
  <si>
    <t>500519-4</t>
  </si>
  <si>
    <t>500520-1</t>
  </si>
  <si>
    <t>500521-1</t>
  </si>
  <si>
    <t>500522-1</t>
  </si>
  <si>
    <t>500523-1</t>
  </si>
  <si>
    <t>500524-1</t>
  </si>
  <si>
    <t>500524-2</t>
  </si>
  <si>
    <t>500524-3</t>
  </si>
  <si>
    <t>500524-4</t>
  </si>
  <si>
    <t>500525-1</t>
  </si>
  <si>
    <t>500526-1</t>
  </si>
  <si>
    <t>500526-2</t>
  </si>
  <si>
    <t>500526-3</t>
  </si>
  <si>
    <t>500526-4</t>
  </si>
  <si>
    <t>500526-5</t>
  </si>
  <si>
    <t>500209-1</t>
  </si>
  <si>
    <t>500210-1</t>
  </si>
  <si>
    <t>500211-1</t>
  </si>
  <si>
    <t>500211-2</t>
  </si>
  <si>
    <t>500211-3</t>
  </si>
  <si>
    <t>500211-4</t>
  </si>
  <si>
    <t>500211-5</t>
  </si>
  <si>
    <t>500212-1</t>
  </si>
  <si>
    <t>500214-1</t>
  </si>
  <si>
    <t>500215-1</t>
  </si>
  <si>
    <t>500215-2</t>
  </si>
  <si>
    <t>500215-3</t>
  </si>
  <si>
    <t>500215-4</t>
  </si>
  <si>
    <t>500533-1</t>
  </si>
  <si>
    <t>500534-1</t>
  </si>
  <si>
    <t>500536-1</t>
  </si>
  <si>
    <t>500537-1</t>
  </si>
  <si>
    <t>500538-1</t>
  </si>
  <si>
    <t>500545-1</t>
  </si>
  <si>
    <t>500469-2</t>
  </si>
  <si>
    <t>500363-4</t>
  </si>
  <si>
    <t>500080-1</t>
  </si>
  <si>
    <t>500081-1</t>
  </si>
  <si>
    <t>500082-1</t>
  </si>
  <si>
    <t>500083-1</t>
  </si>
  <si>
    <t>500084-1</t>
  </si>
  <si>
    <t>500085-1</t>
  </si>
  <si>
    <t>500576-1</t>
  </si>
  <si>
    <t>500577-1</t>
  </si>
  <si>
    <t>500591-1</t>
  </si>
  <si>
    <t>500592-1</t>
  </si>
  <si>
    <t>500593-1</t>
  </si>
  <si>
    <t>500610-1</t>
  </si>
  <si>
    <t>500611-1</t>
  </si>
  <si>
    <t>500616-1</t>
  </si>
  <si>
    <t>500621-1</t>
  </si>
  <si>
    <t>500622-1</t>
  </si>
  <si>
    <t>500641-1</t>
  </si>
  <si>
    <t>500639-1</t>
  </si>
  <si>
    <t>500640-1</t>
  </si>
  <si>
    <t>500642-1</t>
  </si>
  <si>
    <t>500644-1</t>
  </si>
  <si>
    <t>500719-1</t>
  </si>
  <si>
    <t>500720-1</t>
  </si>
  <si>
    <t>500721-1</t>
  </si>
  <si>
    <t>Предыстория:</t>
  </si>
  <si>
    <t>База КР</t>
  </si>
  <si>
    <t>Чтобы формулы и условное форматирование автоматически протягивались в новые строки, использована функция "форматировать как таблицу"</t>
  </si>
  <si>
    <t>ВЫБЕРИТЕ ФН:</t>
  </si>
  <si>
    <t>КПЭ</t>
  </si>
  <si>
    <t xml:space="preserve">Уровень должности </t>
  </si>
  <si>
    <t>таб. держателя должности</t>
  </si>
  <si>
    <r>
      <t xml:space="preserve">До создания данного файла база кадрового резерва (база КР) велась в ручном режиме: решения о резерве принимались на картерных комитетах, фиксировались в протоколах, вручную переносились из протоколов в базу в Excel.  
КПЭ кадрового резерва, отслеживаемые каждые полгода, также считались вручную. Чтобы определить уровень показателя, сотрудник ставил фильтры на соответствующие столбцы, подсчитывал количество ячеек в этих столбцах путем их выделения, вписывал полученную цифру в формулу и т.п. Причем в процессе подсчета часто выявлялись ошибки, допущенные при заполнении базы. 
Трудозатратный процесс ведения базы, расчета показателей и частые ошибки, привели к возникновению двух задач:
</t>
    </r>
    <r>
      <rPr>
        <b/>
        <sz val="11"/>
        <color theme="1"/>
        <rFont val="Calibri"/>
        <family val="2"/>
        <charset val="204"/>
        <scheme val="minor"/>
      </rPr>
      <t>1 задача</t>
    </r>
    <r>
      <rPr>
        <sz val="11"/>
        <color theme="1"/>
        <rFont val="Calibri"/>
        <family val="2"/>
        <charset val="204"/>
        <scheme val="minor"/>
      </rPr>
      <t xml:space="preserve"> - автоматизация процесса заполнения базы КР;
</t>
    </r>
    <r>
      <rPr>
        <b/>
        <sz val="11"/>
        <color theme="1"/>
        <rFont val="Calibri"/>
        <family val="2"/>
        <charset val="204"/>
        <scheme val="minor"/>
      </rPr>
      <t xml:space="preserve">2 задача </t>
    </r>
    <r>
      <rPr>
        <sz val="11"/>
        <color theme="1"/>
        <rFont val="Calibri"/>
        <family val="2"/>
        <charset val="204"/>
        <scheme val="minor"/>
      </rPr>
      <t xml:space="preserve">- автоматизация расчета КПЭ.
В результате выполнения этих задач появился данный файл. </t>
    </r>
  </si>
  <si>
    <t xml:space="preserve">Настроено условное форматирование, подсвечивающее красной заливкой ошибки в заполнении базы. Например:
- указана дата открытия вакансии, в столбцах "таб. держателя должности" и "ФИО держателя должности" нет отметки "вакансия", и наоборот, сть отметка "вакансия" в любом из этих столбцов, не указана дата открытия вакансии;
- указана дата закрытия вакансии, не указан тип назначения;
- указана дата закрытия вакансии, в столбцах "таб. держателя должности" и "ФИО держателя должности" стоит отметка "вакансия", не добавлены данные назначенного сотрудника;
- статус резервиста "исключен из резерва", не указана дата исключения и причина исключения их резерва. 
- другие.
Для проверки работы условного форматирования можете вносить и удалять данные в столбцах O, Q, P, R, S, AB и AC. Часть данных в базе намеренно заполнена неправильно, чтобы показать, как работает форматирование. </t>
  </si>
  <si>
    <t xml:space="preserve">Диаграммы отображают текущую ситуацию по КПЭ - если в базу вносятся изменения (например, появляется отметка о новом назначении из резерва), данные на диаграммах обновляются.  Поскольку каждый специалист отдела по кадровому резерву курирует определенное функциональное направление и отвечает за достижение КПЭ в нем, можно посмотреть диаграммы как по ситуации в целом, так и по отдельным ФН. Для этого необходимо выбрать нужное направление в ячейке с оранжевой заливкой. </t>
  </si>
  <si>
    <r>
      <t>Столбцы, имеющие в шапке серую заливку, заполняются по формулам, часть формул ссылается на данные из этой же базы, часть ссылается на данные на скрытых листах "Списки данных" и "Уровень защищенности"
Столбцы, имеющие оранжевую заливку, заполняются через макросы. В рабочей версии макросы ссылаются на отдельный файл, выгружаемый из SAP и содержащий информацию о всех должностях и сотрудниках компании. В данном варианте, чтобы не увеличивать количество разных фалов, переделала макросы так, чтобы они ссылались на лист "Отчет по сотрудникам", который содержит данные только по выдуманным должностям и лицам, присутствующим в базе.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
Столбцы с белой и синей заливкой заполняются вручную, при этом в столбцах с синей заливкой настроена проверка данных на внесение данных в определенном формате или их выбор из выпадающего списка. Данные для выпадающих списков расположены на скрытом листе "Списки данных".</t>
    </r>
  </si>
  <si>
    <r>
      <rPr>
        <b/>
        <sz val="11"/>
        <color theme="1"/>
        <rFont val="Calibri"/>
        <family val="2"/>
        <charset val="204"/>
        <scheme val="minor"/>
      </rPr>
      <t xml:space="preserve">Скрытые листы </t>
    </r>
    <r>
      <rPr>
        <sz val="11"/>
        <color theme="1"/>
        <rFont val="Calibri"/>
        <family val="2"/>
        <charset val="204"/>
        <scheme val="minor"/>
      </rPr>
      <t>"Защищенность (расчет)", "Назначаемость (расчет)", "Текучесть (расчет)" используются для построения таблиц, на основании которых строятся графики с КПЭ. Данные о целевом уровне КПЭ тянутся в эти таблицы со скрытого листа "Целевые показатели".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</si>
</sst>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000"/>
    <numFmt numFmtId="165" formatCode="0.0%"/>
  </numFmts>
  <fonts count="3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0"/>
      <name val="Arial"/>
      <family val="2"/>
      <charset val="204"/>
    </font>
    <font>
      <sz val="9"/>
      <color theme="1"/>
      <name val="Calibri"/>
      <family val="2"/>
      <charset val="204"/>
    </font>
    <font>
      <sz val="9"/>
      <color rgb="FFFF0000"/>
      <name val="Calibri"/>
      <family val="2"/>
      <charset val="204"/>
      <scheme val="minor"/>
    </font>
    <font>
      <sz val="9"/>
      <name val="Calibri"/>
      <family val="2"/>
      <charset val="204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4" tint="-0.249977111117893"/>
      <name val="Calibri"/>
      <family val="2"/>
      <charset val="204"/>
      <scheme val="minor"/>
    </font>
    <font>
      <sz val="9"/>
      <name val="Arial"/>
      <family val="2"/>
      <charset val="204"/>
    </font>
    <font>
      <b/>
      <sz val="9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charset val="204"/>
    </font>
    <font>
      <b/>
      <sz val="9"/>
      <color theme="1"/>
      <name val="Calibri"/>
      <family val="2"/>
      <charset val="204"/>
    </font>
    <font>
      <b/>
      <sz val="1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FE4F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</borders>
  <cellStyleXfs count="7">
    <xf numFmtId="0" fontId="0" fillId="0" borderId="0"/>
    <xf numFmtId="0" fontId="6" fillId="0" borderId="0"/>
    <xf numFmtId="0" fontId="10" fillId="0" borderId="0"/>
    <xf numFmtId="0" fontId="1" fillId="0" borderId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28" fillId="0" borderId="0" applyNumberFormat="0" applyFill="0" applyBorder="0" applyAlignment="0" applyProtection="0"/>
  </cellStyleXfs>
  <cellXfs count="223">
    <xf numFmtId="0" fontId="0" fillId="0" borderId="0" xfId="0"/>
    <xf numFmtId="0" fontId="10" fillId="0" borderId="0" xfId="2"/>
    <xf numFmtId="0" fontId="3" fillId="0" borderId="0" xfId="2" applyFont="1"/>
    <xf numFmtId="0" fontId="7" fillId="0" borderId="6" xfId="2" applyFont="1" applyFill="1" applyBorder="1" applyAlignment="1">
      <alignment vertical="center"/>
    </xf>
    <xf numFmtId="0" fontId="2" fillId="0" borderId="6" xfId="2" applyFont="1" applyFill="1" applyBorder="1" applyAlignment="1">
      <alignment horizontal="left" vertical="center"/>
    </xf>
    <xf numFmtId="0" fontId="3" fillId="0" borderId="6" xfId="2" applyFont="1" applyBorder="1"/>
    <xf numFmtId="0" fontId="3" fillId="0" borderId="6" xfId="2" applyFont="1" applyFill="1" applyBorder="1"/>
    <xf numFmtId="0" fontId="3" fillId="0" borderId="6" xfId="2" applyFont="1" applyBorder="1" applyAlignment="1">
      <alignment horizontal="center"/>
    </xf>
    <xf numFmtId="0" fontId="3" fillId="0" borderId="6" xfId="2" applyFont="1" applyFill="1" applyBorder="1" applyAlignment="1">
      <alignment horizontal="center"/>
    </xf>
    <xf numFmtId="0" fontId="11" fillId="0" borderId="6" xfId="2" applyFont="1" applyBorder="1"/>
    <xf numFmtId="0" fontId="9" fillId="0" borderId="6" xfId="2" applyFont="1" applyFill="1" applyBorder="1" applyAlignment="1">
      <alignment vertical="center"/>
    </xf>
    <xf numFmtId="0" fontId="2" fillId="0" borderId="6" xfId="2" applyFont="1" applyBorder="1"/>
    <xf numFmtId="0" fontId="2" fillId="0" borderId="6" xfId="2" applyFont="1" applyBorder="1" applyAlignment="1">
      <alignment horizontal="center"/>
    </xf>
    <xf numFmtId="0" fontId="2" fillId="2" borderId="6" xfId="2" applyFont="1" applyFill="1" applyBorder="1" applyAlignment="1">
      <alignment horizontal="center" vertical="center" wrapText="1"/>
    </xf>
    <xf numFmtId="0" fontId="12" fillId="2" borderId="6" xfId="2" applyFont="1" applyFill="1" applyBorder="1" applyAlignment="1">
      <alignment horizontal="center" vertical="center" wrapText="1"/>
    </xf>
    <xf numFmtId="0" fontId="7" fillId="0" borderId="2" xfId="2" applyFont="1" applyFill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center" vertical="center"/>
    </xf>
    <xf numFmtId="0" fontId="0" fillId="0" borderId="9" xfId="0" applyBorder="1"/>
    <xf numFmtId="0" fontId="0" fillId="4" borderId="9" xfId="0" applyFill="1" applyBorder="1" applyAlignment="1">
      <alignment horizontal="center" vertical="center" wrapText="1"/>
    </xf>
    <xf numFmtId="0" fontId="0" fillId="0" borderId="0" xfId="0" applyFill="1" applyAlignment="1">
      <alignment horizontal="left" wrapText="1"/>
    </xf>
    <xf numFmtId="0" fontId="2" fillId="2" borderId="4" xfId="2" applyFont="1" applyFill="1" applyBorder="1" applyAlignment="1" applyProtection="1">
      <alignment horizontal="center" vertical="center" wrapText="1"/>
      <protection locked="0"/>
    </xf>
    <xf numFmtId="0" fontId="2" fillId="0" borderId="6" xfId="2" applyNumberFormat="1" applyFont="1" applyFill="1" applyBorder="1" applyAlignment="1" applyProtection="1">
      <alignment horizontal="center" vertical="center"/>
      <protection locked="0"/>
    </xf>
    <xf numFmtId="14" fontId="2" fillId="0" borderId="6" xfId="2" applyNumberFormat="1" applyFont="1" applyFill="1" applyBorder="1" applyAlignment="1" applyProtection="1">
      <alignment horizontal="center" vertical="center"/>
      <protection locked="0"/>
    </xf>
    <xf numFmtId="0" fontId="2" fillId="0" borderId="6" xfId="2" applyFont="1" applyFill="1" applyBorder="1" applyAlignment="1" applyProtection="1">
      <alignment horizontal="center" vertical="center"/>
      <protection locked="0"/>
    </xf>
    <xf numFmtId="14" fontId="3" fillId="0" borderId="6" xfId="2" applyNumberFormat="1" applyFont="1" applyFill="1" applyBorder="1" applyAlignment="1" applyProtection="1">
      <alignment horizontal="center" vertical="center"/>
      <protection locked="0"/>
    </xf>
    <xf numFmtId="14" fontId="13" fillId="0" borderId="6" xfId="2" applyNumberFormat="1" applyFont="1" applyFill="1" applyBorder="1" applyAlignment="1" applyProtection="1">
      <alignment horizontal="center" vertical="center"/>
      <protection locked="0"/>
    </xf>
    <xf numFmtId="14" fontId="11" fillId="0" borderId="6" xfId="2" applyNumberFormat="1" applyFont="1" applyFill="1" applyBorder="1" applyAlignment="1" applyProtection="1">
      <alignment vertical="center"/>
      <protection locked="0"/>
    </xf>
    <xf numFmtId="14" fontId="2" fillId="0" borderId="3" xfId="2" applyNumberFormat="1" applyFont="1" applyFill="1" applyBorder="1" applyAlignment="1" applyProtection="1">
      <alignment horizontal="center" vertical="center"/>
      <protection locked="0"/>
    </xf>
    <xf numFmtId="0" fontId="11" fillId="0" borderId="0" xfId="2" applyFont="1" applyAlignment="1" applyProtection="1">
      <alignment vertical="center"/>
      <protection locked="0"/>
    </xf>
    <xf numFmtId="0" fontId="2" fillId="0" borderId="6" xfId="2" applyFont="1" applyFill="1" applyBorder="1" applyAlignment="1" applyProtection="1">
      <alignment vertical="center"/>
      <protection locked="0"/>
    </xf>
    <xf numFmtId="0" fontId="2" fillId="0" borderId="6" xfId="2" applyFont="1" applyFill="1" applyBorder="1" applyAlignment="1" applyProtection="1">
      <alignment vertical="center" wrapText="1"/>
      <protection locked="0"/>
    </xf>
    <xf numFmtId="0" fontId="2" fillId="0" borderId="3" xfId="2" applyFont="1" applyFill="1" applyBorder="1" applyAlignment="1" applyProtection="1">
      <alignment vertical="center"/>
      <protection locked="0"/>
    </xf>
    <xf numFmtId="0" fontId="3" fillId="0" borderId="6" xfId="2" applyFont="1" applyFill="1" applyBorder="1" applyAlignment="1" applyProtection="1">
      <alignment vertical="center"/>
      <protection locked="0"/>
    </xf>
    <xf numFmtId="0" fontId="11" fillId="0" borderId="0" xfId="2" applyFont="1" applyAlignment="1" applyProtection="1">
      <alignment horizontal="center" vertical="center"/>
      <protection locked="0"/>
    </xf>
    <xf numFmtId="0" fontId="3" fillId="0" borderId="0" xfId="2" applyFont="1" applyAlignment="1" applyProtection="1">
      <alignment vertical="center"/>
      <protection locked="0"/>
    </xf>
    <xf numFmtId="0" fontId="3" fillId="0" borderId="0" xfId="2" applyFont="1" applyAlignment="1" applyProtection="1">
      <alignment horizontal="center" vertical="center"/>
      <protection locked="0"/>
    </xf>
    <xf numFmtId="164" fontId="2" fillId="0" borderId="6" xfId="2" applyNumberFormat="1" applyFont="1" applyFill="1" applyBorder="1" applyAlignment="1" applyProtection="1">
      <alignment horizontal="left" vertical="center"/>
      <protection locked="0"/>
    </xf>
    <xf numFmtId="0" fontId="2" fillId="0" borderId="6" xfId="2" applyFont="1" applyFill="1" applyBorder="1" applyAlignment="1" applyProtection="1">
      <alignment horizontal="left" vertical="center"/>
      <protection locked="0"/>
    </xf>
    <xf numFmtId="0" fontId="3" fillId="0" borderId="6" xfId="2" applyFont="1" applyFill="1" applyBorder="1" applyAlignment="1" applyProtection="1">
      <alignment horizontal="left" vertical="center"/>
      <protection locked="0"/>
    </xf>
    <xf numFmtId="14" fontId="2" fillId="0" borderId="6" xfId="2" applyNumberFormat="1" applyFont="1" applyFill="1" applyBorder="1" applyAlignment="1" applyProtection="1">
      <alignment horizontal="left" vertical="center"/>
      <protection locked="0"/>
    </xf>
    <xf numFmtId="0" fontId="2" fillId="0" borderId="6" xfId="2" applyFont="1" applyFill="1" applyBorder="1" applyAlignment="1" applyProtection="1">
      <alignment horizontal="left" vertical="center" wrapText="1"/>
      <protection locked="0"/>
    </xf>
    <xf numFmtId="0" fontId="8" fillId="0" borderId="6" xfId="2" applyFont="1" applyFill="1" applyBorder="1" applyAlignment="1" applyProtection="1">
      <alignment horizontal="left" vertical="center"/>
      <protection locked="0"/>
    </xf>
    <xf numFmtId="49" fontId="9" fillId="0" borderId="6" xfId="2" applyNumberFormat="1" applyFont="1" applyFill="1" applyBorder="1" applyAlignment="1" applyProtection="1">
      <alignment horizontal="center" vertical="center" wrapText="1"/>
      <protection locked="0"/>
    </xf>
    <xf numFmtId="164" fontId="3" fillId="0" borderId="6" xfId="2" applyNumberFormat="1" applyFont="1" applyFill="1" applyBorder="1" applyAlignment="1" applyProtection="1">
      <alignment horizontal="left" vertical="center"/>
      <protection locked="0"/>
    </xf>
    <xf numFmtId="164" fontId="2" fillId="0" borderId="9" xfId="2" applyNumberFormat="1" applyFont="1" applyFill="1" applyBorder="1" applyAlignment="1" applyProtection="1">
      <alignment horizontal="left" vertical="center"/>
      <protection locked="0"/>
    </xf>
    <xf numFmtId="14" fontId="15" fillId="0" borderId="6" xfId="2" applyNumberFormat="1" applyFont="1" applyFill="1" applyBorder="1" applyAlignment="1" applyProtection="1">
      <alignment horizontal="center" vertical="center"/>
      <protection locked="0"/>
    </xf>
    <xf numFmtId="0" fontId="2" fillId="0" borderId="3" xfId="2" applyFont="1" applyFill="1" applyBorder="1" applyAlignment="1" applyProtection="1">
      <alignment horizontal="left" vertical="center"/>
      <protection locked="0"/>
    </xf>
    <xf numFmtId="164" fontId="2" fillId="0" borderId="3" xfId="2" applyNumberFormat="1" applyFont="1" applyFill="1" applyBorder="1" applyAlignment="1" applyProtection="1">
      <alignment horizontal="left" vertical="center"/>
      <protection locked="0"/>
    </xf>
    <xf numFmtId="0" fontId="3" fillId="0" borderId="3" xfId="2" applyFont="1" applyFill="1" applyBorder="1" applyAlignment="1" applyProtection="1">
      <alignment horizontal="left" vertical="center"/>
      <protection locked="0"/>
    </xf>
    <xf numFmtId="0" fontId="11" fillId="0" borderId="0" xfId="2" applyFont="1" applyAlignment="1" applyProtection="1">
      <alignment horizontal="left" vertical="center"/>
      <protection locked="0"/>
    </xf>
    <xf numFmtId="14" fontId="11" fillId="0" borderId="6" xfId="2" applyNumberFormat="1" applyFont="1" applyFill="1" applyBorder="1" applyAlignment="1" applyProtection="1">
      <alignment horizontal="center" vertical="center"/>
      <protection locked="0"/>
    </xf>
    <xf numFmtId="14" fontId="14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0" xfId="3" applyFont="1" applyAlignment="1" applyProtection="1">
      <alignment horizontal="center" vertical="center" wrapText="1"/>
      <protection locked="0"/>
    </xf>
    <xf numFmtId="0" fontId="3" fillId="0" borderId="0" xfId="3" applyFont="1" applyAlignment="1" applyProtection="1">
      <alignment vertical="center"/>
      <protection locked="0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0" fontId="0" fillId="0" borderId="0" xfId="0" applyFill="1" applyAlignment="1">
      <alignment horizontal="center" wrapText="1"/>
    </xf>
    <xf numFmtId="14" fontId="2" fillId="0" borderId="9" xfId="2" applyNumberFormat="1" applyFont="1" applyFill="1" applyBorder="1" applyAlignment="1" applyProtection="1">
      <alignment horizontal="center" vertical="center"/>
      <protection locked="0"/>
    </xf>
    <xf numFmtId="0" fontId="2" fillId="0" borderId="9" xfId="2" applyFont="1" applyFill="1" applyBorder="1" applyAlignment="1" applyProtection="1">
      <alignment vertical="center"/>
      <protection locked="0"/>
    </xf>
    <xf numFmtId="0" fontId="3" fillId="0" borderId="9" xfId="2" applyFont="1" applyFill="1" applyBorder="1" applyAlignment="1" applyProtection="1">
      <alignment horizontal="left" vertical="center"/>
      <protection locked="0"/>
    </xf>
    <xf numFmtId="0" fontId="2" fillId="0" borderId="9" xfId="2" applyFont="1" applyFill="1" applyBorder="1" applyAlignment="1" applyProtection="1">
      <alignment horizontal="left" vertical="center"/>
      <protection locked="0"/>
    </xf>
    <xf numFmtId="14" fontId="2" fillId="0" borderId="9" xfId="2" applyNumberFormat="1" applyFont="1" applyFill="1" applyBorder="1" applyAlignment="1" applyProtection="1">
      <alignment horizontal="left" vertical="center"/>
      <protection locked="0"/>
    </xf>
    <xf numFmtId="0" fontId="11" fillId="0" borderId="3" xfId="2" applyFont="1" applyFill="1" applyBorder="1" applyAlignment="1" applyProtection="1">
      <alignment vertical="center"/>
      <protection locked="0"/>
    </xf>
    <xf numFmtId="0" fontId="3" fillId="3" borderId="9" xfId="2" applyFont="1" applyFill="1" applyBorder="1" applyAlignment="1" applyProtection="1">
      <alignment horizontal="center" vertical="center"/>
      <protection locked="0"/>
    </xf>
    <xf numFmtId="1" fontId="3" fillId="0" borderId="6" xfId="2" applyNumberFormat="1" applyFont="1" applyFill="1" applyBorder="1" applyAlignment="1" applyProtection="1">
      <alignment horizontal="center" vertical="center"/>
      <protection locked="0"/>
    </xf>
    <xf numFmtId="0" fontId="2" fillId="0" borderId="6" xfId="2" applyNumberFormat="1" applyFont="1" applyFill="1" applyBorder="1" applyAlignment="1" applyProtection="1">
      <alignment horizontal="left" vertical="center"/>
      <protection locked="0"/>
    </xf>
    <xf numFmtId="0" fontId="2" fillId="0" borderId="0" xfId="2" applyFont="1" applyFill="1" applyBorder="1" applyAlignment="1">
      <alignment horizontal="left" vertical="center"/>
    </xf>
    <xf numFmtId="0" fontId="11" fillId="0" borderId="0" xfId="2" applyFont="1" applyBorder="1"/>
    <xf numFmtId="0" fontId="12" fillId="0" borderId="0" xfId="2" applyFont="1" applyFill="1" applyBorder="1" applyAlignment="1">
      <alignment horizontal="center" vertical="center" wrapText="1"/>
    </xf>
    <xf numFmtId="1" fontId="2" fillId="0" borderId="9" xfId="2" applyNumberFormat="1" applyFont="1" applyFill="1" applyBorder="1" applyAlignment="1" applyProtection="1">
      <alignment horizontal="center" vertical="center"/>
      <protection locked="0"/>
    </xf>
    <xf numFmtId="1" fontId="3" fillId="0" borderId="9" xfId="2" applyNumberFormat="1" applyFont="1" applyFill="1" applyBorder="1" applyAlignment="1" applyProtection="1">
      <alignment horizontal="center" vertical="center"/>
      <protection locked="0"/>
    </xf>
    <xf numFmtId="14" fontId="3" fillId="0" borderId="9" xfId="2" applyNumberFormat="1" applyFont="1" applyFill="1" applyBorder="1" applyAlignment="1" applyProtection="1">
      <alignment horizontal="center" vertical="center"/>
      <protection locked="0"/>
    </xf>
    <xf numFmtId="1" fontId="2" fillId="0" borderId="3" xfId="2" applyNumberFormat="1" applyFont="1" applyFill="1" applyBorder="1" applyAlignment="1" applyProtection="1">
      <alignment horizontal="center" vertical="center"/>
      <protection locked="0"/>
    </xf>
    <xf numFmtId="1" fontId="3" fillId="0" borderId="3" xfId="2" applyNumberFormat="1" applyFont="1" applyFill="1" applyBorder="1" applyAlignment="1" applyProtection="1">
      <alignment horizontal="center" vertical="center"/>
      <protection locked="0"/>
    </xf>
    <xf numFmtId="14" fontId="3" fillId="0" borderId="3" xfId="2" applyNumberFormat="1" applyFont="1" applyFill="1" applyBorder="1" applyAlignment="1" applyProtection="1">
      <alignment horizontal="center" vertical="center"/>
      <protection locked="0"/>
    </xf>
    <xf numFmtId="1" fontId="2" fillId="0" borderId="6" xfId="2" applyNumberFormat="1" applyFont="1" applyFill="1" applyBorder="1" applyAlignment="1" applyProtection="1">
      <alignment horizontal="center" vertical="center"/>
      <protection locked="0"/>
    </xf>
    <xf numFmtId="0" fontId="3" fillId="0" borderId="6" xfId="2" applyNumberFormat="1" applyFont="1" applyFill="1" applyBorder="1" applyAlignment="1" applyProtection="1">
      <alignment vertical="center"/>
      <protection locked="0"/>
    </xf>
    <xf numFmtId="0" fontId="9" fillId="0" borderId="6" xfId="2" applyNumberFormat="1" applyFont="1" applyFill="1" applyBorder="1" applyAlignment="1" applyProtection="1">
      <alignment vertical="center" wrapText="1"/>
      <protection locked="0"/>
    </xf>
    <xf numFmtId="0" fontId="2" fillId="0" borderId="6" xfId="2" applyNumberFormat="1" applyFont="1" applyFill="1" applyBorder="1" applyAlignment="1" applyProtection="1">
      <alignment vertical="center"/>
      <protection locked="0"/>
    </xf>
    <xf numFmtId="0" fontId="9" fillId="0" borderId="6" xfId="2" applyNumberFormat="1" applyFont="1" applyFill="1" applyBorder="1" applyAlignment="1" applyProtection="1">
      <alignment vertical="center"/>
      <protection locked="0"/>
    </xf>
    <xf numFmtId="0" fontId="3" fillId="0" borderId="3" xfId="2" applyNumberFormat="1" applyFont="1" applyFill="1" applyBorder="1" applyAlignment="1" applyProtection="1">
      <alignment vertical="center"/>
      <protection locked="0"/>
    </xf>
    <xf numFmtId="0" fontId="3" fillId="0" borderId="9" xfId="2" applyNumberFormat="1" applyFont="1" applyFill="1" applyBorder="1" applyAlignment="1" applyProtection="1">
      <alignment vertical="center"/>
      <protection locked="0"/>
    </xf>
    <xf numFmtId="0" fontId="11" fillId="0" borderId="6" xfId="2" applyNumberFormat="1" applyFont="1" applyFill="1" applyBorder="1" applyAlignment="1" applyProtection="1">
      <alignment vertical="center"/>
      <protection locked="0"/>
    </xf>
    <xf numFmtId="0" fontId="7" fillId="0" borderId="9" xfId="2" applyNumberFormat="1" applyFont="1" applyFill="1" applyBorder="1" applyAlignment="1" applyProtection="1">
      <alignment vertical="center"/>
      <protection locked="0"/>
    </xf>
    <xf numFmtId="0" fontId="3" fillId="0" borderId="9" xfId="2" applyNumberFormat="1" applyFont="1" applyFill="1" applyBorder="1" applyAlignment="1" applyProtection="1">
      <alignment horizontal="left" vertical="center"/>
      <protection locked="0"/>
    </xf>
    <xf numFmtId="0" fontId="3" fillId="0" borderId="6" xfId="2" applyNumberFormat="1" applyFont="1" applyFill="1" applyBorder="1" applyAlignment="1" applyProtection="1">
      <alignment horizontal="left" vertical="center"/>
      <protection locked="0"/>
    </xf>
    <xf numFmtId="0" fontId="7" fillId="0" borderId="6" xfId="2" applyNumberFormat="1" applyFont="1" applyFill="1" applyBorder="1" applyAlignment="1" applyProtection="1">
      <alignment vertical="center"/>
      <protection locked="0"/>
    </xf>
    <xf numFmtId="0" fontId="3" fillId="0" borderId="3" xfId="2" applyNumberFormat="1" applyFont="1" applyFill="1" applyBorder="1" applyAlignment="1" applyProtection="1">
      <alignment horizontal="left" vertical="center"/>
      <protection locked="0"/>
    </xf>
    <xf numFmtId="0" fontId="11" fillId="0" borderId="9" xfId="2" applyNumberFormat="1" applyFont="1" applyFill="1" applyBorder="1" applyAlignment="1" applyProtection="1">
      <alignment horizontal="left" vertical="center"/>
      <protection locked="0"/>
    </xf>
    <xf numFmtId="0" fontId="2" fillId="0" borderId="9" xfId="2" applyNumberFormat="1" applyFont="1" applyFill="1" applyBorder="1" applyAlignment="1" applyProtection="1">
      <alignment horizontal="left" vertical="center"/>
      <protection locked="0"/>
    </xf>
    <xf numFmtId="0" fontId="3" fillId="0" borderId="6" xfId="2" applyNumberFormat="1" applyFont="1" applyFill="1" applyBorder="1" applyAlignment="1" applyProtection="1">
      <alignment horizontal="left" vertical="center" wrapText="1"/>
      <protection locked="0"/>
    </xf>
    <xf numFmtId="0" fontId="11" fillId="0" borderId="9" xfId="2" applyNumberFormat="1" applyFont="1" applyFill="1" applyBorder="1" applyAlignment="1" applyProtection="1">
      <alignment vertical="center"/>
      <protection locked="0"/>
    </xf>
    <xf numFmtId="0" fontId="2" fillId="0" borderId="3" xfId="2" applyNumberFormat="1" applyFont="1" applyFill="1" applyBorder="1" applyAlignment="1" applyProtection="1">
      <alignment horizontal="left" vertical="center"/>
      <protection locked="0"/>
    </xf>
    <xf numFmtId="0" fontId="19" fillId="0" borderId="9" xfId="0" applyFont="1" applyBorder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9" xfId="2" applyFont="1" applyFill="1" applyBorder="1" applyAlignment="1" applyProtection="1">
      <alignment horizontal="center" vertical="center"/>
      <protection locked="0"/>
    </xf>
    <xf numFmtId="0" fontId="2" fillId="2" borderId="9" xfId="2" applyFont="1" applyFill="1" applyBorder="1" applyAlignment="1" applyProtection="1">
      <alignment horizontal="center" vertical="center" wrapText="1"/>
      <protection locked="0"/>
    </xf>
    <xf numFmtId="0" fontId="3" fillId="0" borderId="9" xfId="2" applyFont="1" applyFill="1" applyBorder="1" applyAlignment="1" applyProtection="1">
      <alignment vertical="center"/>
      <protection locked="0"/>
    </xf>
    <xf numFmtId="0" fontId="3" fillId="0" borderId="3" xfId="2" applyFont="1" applyFill="1" applyBorder="1" applyAlignment="1" applyProtection="1">
      <alignment vertical="center"/>
      <protection locked="0"/>
    </xf>
    <xf numFmtId="0" fontId="2" fillId="0" borderId="3" xfId="2" applyNumberFormat="1" applyFont="1" applyFill="1" applyBorder="1" applyAlignment="1" applyProtection="1">
      <alignment vertical="center"/>
      <protection locked="0"/>
    </xf>
    <xf numFmtId="0" fontId="2" fillId="0" borderId="9" xfId="2" applyNumberFormat="1" applyFont="1" applyFill="1" applyBorder="1" applyAlignment="1" applyProtection="1">
      <alignment vertical="center"/>
      <protection locked="0"/>
    </xf>
    <xf numFmtId="0" fontId="7" fillId="0" borderId="7" xfId="2" applyFont="1" applyFill="1" applyBorder="1" applyAlignment="1">
      <alignment vertical="center"/>
    </xf>
    <xf numFmtId="0" fontId="11" fillId="0" borderId="6" xfId="2" applyFont="1" applyFill="1" applyBorder="1" applyAlignment="1" applyProtection="1">
      <alignment vertical="center"/>
      <protection locked="0"/>
    </xf>
    <xf numFmtId="0" fontId="11" fillId="0" borderId="6" xfId="2" applyFont="1" applyFill="1" applyBorder="1" applyAlignment="1" applyProtection="1">
      <alignment horizontal="left" vertical="center"/>
      <protection locked="0"/>
    </xf>
    <xf numFmtId="0" fontId="3" fillId="0" borderId="0" xfId="3" applyFont="1" applyFill="1" applyAlignment="1" applyProtection="1">
      <alignment vertical="center"/>
      <protection locked="0"/>
    </xf>
    <xf numFmtId="0" fontId="20" fillId="5" borderId="8" xfId="0" applyFont="1" applyFill="1" applyBorder="1" applyAlignment="1">
      <alignment horizontal="center" vertical="center"/>
    </xf>
    <xf numFmtId="0" fontId="20" fillId="5" borderId="4" xfId="0" applyFont="1" applyFill="1" applyBorder="1" applyAlignment="1">
      <alignment horizontal="center" vertical="center"/>
    </xf>
    <xf numFmtId="0" fontId="20" fillId="5" borderId="4" xfId="0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0" fontId="21" fillId="0" borderId="0" xfId="0" applyFont="1"/>
    <xf numFmtId="0" fontId="20" fillId="0" borderId="7" xfId="0" applyFont="1" applyBorder="1" applyAlignment="1">
      <alignment horizontal="center"/>
    </xf>
    <xf numFmtId="0" fontId="20" fillId="0" borderId="9" xfId="0" applyFont="1" applyBorder="1"/>
    <xf numFmtId="0" fontId="22" fillId="0" borderId="9" xfId="2" applyFont="1" applyFill="1" applyBorder="1" applyAlignment="1">
      <alignment horizontal="center" vertical="center"/>
    </xf>
    <xf numFmtId="0" fontId="20" fillId="0" borderId="9" xfId="0" applyFont="1" applyBorder="1" applyAlignment="1">
      <alignment horizontal="center"/>
    </xf>
    <xf numFmtId="9" fontId="20" fillId="0" borderId="5" xfId="4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9" xfId="0" applyFont="1" applyBorder="1"/>
    <xf numFmtId="0" fontId="23" fillId="0" borderId="9" xfId="2" applyFont="1" applyFill="1" applyBorder="1" applyAlignment="1">
      <alignment horizontal="center" vertical="center"/>
    </xf>
    <xf numFmtId="0" fontId="17" fillId="0" borderId="9" xfId="0" applyFont="1" applyBorder="1" applyAlignment="1">
      <alignment horizontal="center"/>
    </xf>
    <xf numFmtId="0" fontId="17" fillId="0" borderId="9" xfId="0" applyNumberFormat="1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17" fillId="0" borderId="3" xfId="0" applyFont="1" applyBorder="1"/>
    <xf numFmtId="0" fontId="23" fillId="0" borderId="3" xfId="0" applyNumberFormat="1" applyFont="1" applyFill="1" applyBorder="1" applyAlignment="1" applyProtection="1">
      <alignment horizontal="center" vertical="center"/>
    </xf>
    <xf numFmtId="0" fontId="17" fillId="0" borderId="3" xfId="0" applyFont="1" applyBorder="1" applyAlignment="1">
      <alignment horizontal="center"/>
    </xf>
    <xf numFmtId="9" fontId="17" fillId="0" borderId="3" xfId="0" applyNumberFormat="1" applyFont="1" applyBorder="1" applyAlignment="1">
      <alignment horizontal="center"/>
    </xf>
    <xf numFmtId="9" fontId="21" fillId="0" borderId="0" xfId="4" applyFont="1"/>
    <xf numFmtId="0" fontId="21" fillId="0" borderId="0" xfId="2" applyFont="1"/>
    <xf numFmtId="0" fontId="18" fillId="0" borderId="0" xfId="2" applyFont="1"/>
    <xf numFmtId="0" fontId="7" fillId="0" borderId="9" xfId="2" applyFont="1" applyFill="1" applyBorder="1" applyAlignment="1">
      <alignment horizontal="left" vertical="center"/>
    </xf>
    <xf numFmtId="0" fontId="24" fillId="0" borderId="9" xfId="2" applyFont="1" applyFill="1" applyBorder="1" applyAlignment="1">
      <alignment horizontal="left" vertical="center"/>
    </xf>
    <xf numFmtId="0" fontId="24" fillId="0" borderId="7" xfId="2" applyFont="1" applyFill="1" applyBorder="1" applyAlignment="1">
      <alignment vertical="center"/>
    </xf>
    <xf numFmtId="0" fontId="20" fillId="5" borderId="0" xfId="2" applyFont="1" applyFill="1" applyAlignment="1">
      <alignment horizontal="center" vertical="center" wrapText="1"/>
    </xf>
    <xf numFmtId="0" fontId="21" fillId="0" borderId="0" xfId="2" applyFont="1" applyFill="1" applyAlignment="1">
      <alignment horizontal="center" vertical="center" wrapText="1"/>
    </xf>
    <xf numFmtId="0" fontId="21" fillId="0" borderId="0" xfId="2" applyFont="1" applyAlignment="1">
      <alignment horizontal="center"/>
    </xf>
    <xf numFmtId="0" fontId="21" fillId="6" borderId="0" xfId="2" applyFont="1" applyFill="1"/>
    <xf numFmtId="9" fontId="21" fillId="0" borderId="0" xfId="2" applyNumberFormat="1" applyFont="1" applyAlignment="1">
      <alignment horizontal="center"/>
    </xf>
    <xf numFmtId="0" fontId="21" fillId="0" borderId="0" xfId="2" applyFont="1" applyFill="1"/>
    <xf numFmtId="0" fontId="21" fillId="2" borderId="9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21" fillId="0" borderId="9" xfId="0" applyFont="1" applyBorder="1"/>
    <xf numFmtId="0" fontId="21" fillId="0" borderId="9" xfId="0" applyFont="1" applyBorder="1" applyAlignment="1">
      <alignment horizontal="center"/>
    </xf>
    <xf numFmtId="9" fontId="21" fillId="0" borderId="9" xfId="4" applyFont="1" applyBorder="1" applyAlignment="1">
      <alignment horizontal="center"/>
    </xf>
    <xf numFmtId="0" fontId="19" fillId="0" borderId="9" xfId="0" applyFont="1" applyBorder="1"/>
    <xf numFmtId="9" fontId="19" fillId="0" borderId="9" xfId="4" applyFont="1" applyBorder="1" applyAlignment="1">
      <alignment horizontal="center"/>
    </xf>
    <xf numFmtId="0" fontId="16" fillId="2" borderId="9" xfId="0" applyFont="1" applyFill="1" applyBorder="1" applyAlignment="1">
      <alignment horizontal="center" vertical="center" wrapText="1"/>
    </xf>
    <xf numFmtId="0" fontId="10" fillId="0" borderId="9" xfId="2" applyBorder="1"/>
    <xf numFmtId="0" fontId="10" fillId="0" borderId="9" xfId="2" applyBorder="1" applyAlignment="1">
      <alignment vertical="center"/>
    </xf>
    <xf numFmtId="0" fontId="10" fillId="0" borderId="9" xfId="2" applyBorder="1" applyAlignment="1">
      <alignment horizontal="center" vertical="center"/>
    </xf>
    <xf numFmtId="9" fontId="10" fillId="0" borderId="9" xfId="4" applyFont="1" applyBorder="1" applyAlignment="1">
      <alignment horizontal="center" vertical="center"/>
    </xf>
    <xf numFmtId="9" fontId="0" fillId="0" borderId="9" xfId="4" applyFont="1" applyBorder="1" applyAlignment="1">
      <alignment horizontal="center"/>
    </xf>
    <xf numFmtId="0" fontId="18" fillId="0" borderId="0" xfId="2" applyFont="1" applyFill="1"/>
    <xf numFmtId="0" fontId="19" fillId="2" borderId="9" xfId="2" applyFont="1" applyFill="1" applyBorder="1" applyAlignment="1">
      <alignment horizontal="center" vertical="center" wrapText="1"/>
    </xf>
    <xf numFmtId="0" fontId="18" fillId="0" borderId="9" xfId="2" applyFont="1" applyBorder="1" applyAlignment="1">
      <alignment horizontal="center" vertical="center"/>
    </xf>
    <xf numFmtId="165" fontId="18" fillId="0" borderId="9" xfId="4" applyNumberFormat="1" applyFont="1" applyBorder="1" applyAlignment="1">
      <alignment horizontal="center" vertical="center"/>
    </xf>
    <xf numFmtId="0" fontId="18" fillId="0" borderId="9" xfId="2" applyFont="1" applyFill="1" applyBorder="1" applyAlignment="1">
      <alignment horizontal="center" vertical="center"/>
    </xf>
    <xf numFmtId="0" fontId="18" fillId="0" borderId="9" xfId="2" applyFont="1" applyBorder="1"/>
    <xf numFmtId="0" fontId="0" fillId="7" borderId="0" xfId="0" applyFill="1"/>
    <xf numFmtId="0" fontId="26" fillId="8" borderId="0" xfId="0" applyFont="1" applyFill="1" applyAlignment="1">
      <alignment horizontal="center" vertical="center"/>
    </xf>
    <xf numFmtId="14" fontId="11" fillId="0" borderId="3" xfId="2" applyNumberFormat="1" applyFont="1" applyFill="1" applyBorder="1" applyAlignment="1" applyProtection="1">
      <alignment horizontal="center" vertical="center"/>
      <protection locked="0"/>
    </xf>
    <xf numFmtId="14" fontId="11" fillId="0" borderId="9" xfId="2" applyNumberFormat="1" applyFont="1" applyFill="1" applyBorder="1" applyAlignment="1" applyProtection="1">
      <alignment horizontal="center" vertical="center"/>
      <protection locked="0"/>
    </xf>
    <xf numFmtId="0" fontId="2" fillId="0" borderId="6" xfId="2" applyNumberFormat="1" applyFont="1" applyFill="1" applyBorder="1" applyAlignment="1" applyProtection="1">
      <alignment vertical="center" wrapText="1"/>
      <protection locked="0"/>
    </xf>
    <xf numFmtId="0" fontId="2" fillId="0" borderId="9" xfId="2" applyNumberFormat="1" applyFont="1" applyFill="1" applyBorder="1" applyAlignment="1" applyProtection="1">
      <alignment vertical="center" wrapText="1"/>
      <protection locked="0"/>
    </xf>
    <xf numFmtId="0" fontId="0" fillId="9" borderId="0" xfId="0" applyFill="1"/>
    <xf numFmtId="0" fontId="16" fillId="9" borderId="0" xfId="0" applyFont="1" applyFill="1"/>
    <xf numFmtId="0" fontId="16" fillId="9" borderId="0" xfId="0" applyFont="1" applyFill="1" applyAlignment="1">
      <alignment horizontal="left" wrapText="1"/>
    </xf>
    <xf numFmtId="0" fontId="16" fillId="9" borderId="0" xfId="0" applyFont="1" applyFill="1" applyAlignment="1">
      <alignment wrapText="1"/>
    </xf>
    <xf numFmtId="0" fontId="16" fillId="9" borderId="0" xfId="0" applyFont="1" applyFill="1" applyAlignment="1"/>
    <xf numFmtId="0" fontId="26" fillId="9" borderId="0" xfId="0" applyFont="1" applyFill="1" applyAlignment="1">
      <alignment vertical="center" wrapText="1"/>
    </xf>
    <xf numFmtId="165" fontId="26" fillId="9" borderId="0" xfId="4" applyNumberFormat="1" applyFont="1" applyFill="1" applyAlignment="1">
      <alignment horizontal="center" vertical="center"/>
    </xf>
    <xf numFmtId="0" fontId="27" fillId="7" borderId="0" xfId="0" applyFont="1" applyFill="1"/>
    <xf numFmtId="9" fontId="26" fillId="9" borderId="0" xfId="4" applyFont="1" applyFill="1" applyAlignment="1">
      <alignment horizontal="left" vertical="center"/>
    </xf>
    <xf numFmtId="0" fontId="26" fillId="5" borderId="0" xfId="0" applyFont="1" applyFill="1" applyAlignment="1">
      <alignment horizontal="centerContinuous"/>
    </xf>
    <xf numFmtId="0" fontId="0" fillId="5" borderId="0" xfId="0" applyFill="1" applyAlignment="1">
      <alignment horizontal="centerContinuous"/>
    </xf>
    <xf numFmtId="1" fontId="2" fillId="3" borderId="3" xfId="2" applyNumberFormat="1" applyFont="1" applyFill="1" applyBorder="1" applyAlignment="1" applyProtection="1">
      <alignment horizontal="center" vertical="center"/>
      <protection locked="0"/>
    </xf>
    <xf numFmtId="14" fontId="11" fillId="0" borderId="0" xfId="2" applyNumberFormat="1" applyFont="1" applyAlignment="1" applyProtection="1">
      <alignment horizontal="center" vertical="center"/>
      <protection locked="0"/>
    </xf>
    <xf numFmtId="0" fontId="3" fillId="3" borderId="9" xfId="2" applyNumberFormat="1" applyFont="1" applyFill="1" applyBorder="1" applyAlignment="1" applyProtection="1">
      <alignment horizontal="center" vertical="center"/>
      <protection locked="0"/>
    </xf>
    <xf numFmtId="0" fontId="7" fillId="3" borderId="7" xfId="2" applyFont="1" applyFill="1" applyBorder="1" applyAlignment="1" applyProtection="1">
      <alignment vertical="center"/>
      <protection locked="0"/>
    </xf>
    <xf numFmtId="0" fontId="2" fillId="3" borderId="6" xfId="2" applyFont="1" applyFill="1" applyBorder="1" applyAlignment="1" applyProtection="1">
      <alignment horizontal="center" vertical="center"/>
      <protection locked="0"/>
    </xf>
    <xf numFmtId="0" fontId="3" fillId="3" borderId="3" xfId="2" applyFont="1" applyFill="1" applyBorder="1" applyAlignment="1" applyProtection="1">
      <alignment horizontal="center" vertical="center"/>
      <protection locked="0"/>
    </xf>
    <xf numFmtId="0" fontId="2" fillId="3" borderId="9" xfId="2" applyFont="1" applyFill="1" applyBorder="1" applyAlignment="1" applyProtection="1">
      <alignment horizontal="center" vertical="center"/>
      <protection locked="0"/>
    </xf>
    <xf numFmtId="0" fontId="2" fillId="3" borderId="3" xfId="2" applyFont="1" applyFill="1" applyBorder="1" applyAlignment="1" applyProtection="1">
      <alignment horizontal="center"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3" fillId="3" borderId="3" xfId="2" applyNumberFormat="1" applyFont="1" applyFill="1" applyBorder="1" applyAlignment="1" applyProtection="1">
      <alignment horizontal="center" vertical="center"/>
      <protection locked="0"/>
    </xf>
    <xf numFmtId="14" fontId="3" fillId="0" borderId="6" xfId="2" applyNumberFormat="1" applyFont="1" applyFill="1" applyBorder="1" applyAlignment="1" applyProtection="1">
      <alignment vertical="center"/>
      <protection locked="0"/>
    </xf>
    <xf numFmtId="0" fontId="11" fillId="0" borderId="9" xfId="2" applyFont="1" applyFill="1" applyBorder="1" applyAlignment="1" applyProtection="1">
      <alignment vertical="center"/>
      <protection locked="0"/>
    </xf>
    <xf numFmtId="14" fontId="8" fillId="0" borderId="6" xfId="2" applyNumberFormat="1" applyFont="1" applyFill="1" applyBorder="1" applyAlignment="1" applyProtection="1">
      <alignment horizontal="center" vertical="center"/>
      <protection locked="0"/>
    </xf>
    <xf numFmtId="0" fontId="8" fillId="0" borderId="6" xfId="2" applyNumberFormat="1" applyFont="1" applyFill="1" applyBorder="1" applyAlignment="1" applyProtection="1">
      <alignment horizontal="left" vertical="center"/>
      <protection locked="0"/>
    </xf>
    <xf numFmtId="0" fontId="11" fillId="0" borderId="3" xfId="2" applyFont="1" applyFill="1" applyBorder="1" applyAlignment="1" applyProtection="1">
      <alignment horizontal="left" vertical="center"/>
      <protection locked="0"/>
    </xf>
    <xf numFmtId="0" fontId="11" fillId="0" borderId="9" xfId="2" applyFont="1" applyFill="1" applyBorder="1" applyAlignment="1" applyProtection="1">
      <alignment horizontal="left" vertical="center"/>
      <protection locked="0"/>
    </xf>
    <xf numFmtId="0" fontId="2" fillId="0" borderId="9" xfId="0" applyFont="1" applyFill="1" applyBorder="1" applyAlignment="1" applyProtection="1">
      <alignment horizontal="left" vertical="center"/>
      <protection locked="0"/>
    </xf>
    <xf numFmtId="0" fontId="3" fillId="0" borderId="0" xfId="0" applyFont="1" applyFill="1" applyProtection="1">
      <protection locked="0"/>
    </xf>
    <xf numFmtId="0" fontId="3" fillId="0" borderId="9" xfId="0" applyFont="1" applyFill="1" applyBorder="1" applyProtection="1">
      <protection locked="0"/>
    </xf>
    <xf numFmtId="0" fontId="14" fillId="0" borderId="6" xfId="2" applyNumberFormat="1" applyFont="1" applyFill="1" applyBorder="1" applyAlignment="1" applyProtection="1">
      <alignment horizontal="left" vertical="center"/>
      <protection locked="0"/>
    </xf>
    <xf numFmtId="0" fontId="2" fillId="3" borderId="4" xfId="2" applyFont="1" applyFill="1" applyBorder="1" applyAlignment="1" applyProtection="1">
      <alignment horizontal="center" vertical="center" wrapText="1"/>
      <protection locked="0"/>
    </xf>
    <xf numFmtId="0" fontId="2" fillId="3" borderId="8" xfId="2" applyFont="1" applyFill="1" applyBorder="1" applyAlignment="1" applyProtection="1">
      <alignment horizontal="center" vertical="center" wrapText="1"/>
      <protection locked="0"/>
    </xf>
    <xf numFmtId="0" fontId="2" fillId="7" borderId="4" xfId="2" applyFont="1" applyFill="1" applyBorder="1" applyAlignment="1" applyProtection="1">
      <alignment horizontal="center" vertical="center" wrapText="1"/>
      <protection locked="0"/>
    </xf>
    <xf numFmtId="0" fontId="2" fillId="10" borderId="4" xfId="2" applyFont="1" applyFill="1" applyBorder="1" applyAlignment="1" applyProtection="1">
      <alignment horizontal="center" vertical="center" wrapText="1"/>
      <protection locked="0"/>
    </xf>
    <xf numFmtId="0" fontId="2" fillId="10" borderId="4" xfId="2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wrapText="1"/>
    </xf>
    <xf numFmtId="0" fontId="16" fillId="0" borderId="0" xfId="0" applyFont="1"/>
    <xf numFmtId="0" fontId="29" fillId="0" borderId="0" xfId="6" quotePrefix="1" applyFont="1"/>
    <xf numFmtId="0" fontId="0" fillId="0" borderId="0" xfId="0" applyFont="1" applyAlignment="1">
      <alignment wrapText="1"/>
    </xf>
    <xf numFmtId="0" fontId="25" fillId="5" borderId="0" xfId="0" applyFont="1" applyFill="1" applyAlignment="1">
      <alignment horizontal="center" vertical="center"/>
    </xf>
    <xf numFmtId="0" fontId="29" fillId="0" borderId="0" xfId="6" applyFont="1" applyAlignment="1">
      <alignment wrapText="1"/>
    </xf>
    <xf numFmtId="0" fontId="3" fillId="0" borderId="9" xfId="2" applyNumberFormat="1" applyFont="1" applyBorder="1" applyAlignment="1">
      <alignment vertical="center"/>
    </xf>
    <xf numFmtId="0" fontId="2" fillId="0" borderId="9" xfId="2" applyNumberFormat="1" applyFont="1" applyBorder="1" applyAlignment="1">
      <alignment vertical="center"/>
    </xf>
    <xf numFmtId="1" fontId="3" fillId="0" borderId="9" xfId="2" applyNumberFormat="1" applyFont="1" applyBorder="1" applyAlignment="1">
      <alignment horizontal="center" vertical="center"/>
    </xf>
    <xf numFmtId="1" fontId="2" fillId="0" borderId="9" xfId="2" applyNumberFormat="1" applyFont="1" applyBorder="1" applyAlignment="1">
      <alignment horizontal="center" vertical="center"/>
    </xf>
    <xf numFmtId="0" fontId="2" fillId="0" borderId="9" xfId="2" applyNumberFormat="1" applyFont="1" applyBorder="1" applyAlignment="1">
      <alignment vertical="center" wrapText="1"/>
    </xf>
    <xf numFmtId="0" fontId="9" fillId="0" borderId="9" xfId="2" applyNumberFormat="1" applyFont="1" applyBorder="1" applyAlignment="1">
      <alignment vertical="center" wrapText="1"/>
    </xf>
    <xf numFmtId="0" fontId="15" fillId="6" borderId="9" xfId="2" applyNumberFormat="1" applyFont="1" applyFill="1" applyBorder="1" applyAlignment="1">
      <alignment horizontal="center" vertical="center" wrapText="1"/>
    </xf>
    <xf numFmtId="0" fontId="14" fillId="0" borderId="9" xfId="2" applyNumberFormat="1" applyFont="1" applyFill="1" applyBorder="1" applyAlignment="1" applyProtection="1">
      <alignment horizontal="left" vertical="center"/>
      <protection locked="0"/>
    </xf>
    <xf numFmtId="49" fontId="9" fillId="0" borderId="9" xfId="2" applyNumberFormat="1" applyFont="1" applyFill="1" applyBorder="1" applyAlignment="1" applyProtection="1">
      <alignment horizontal="center" vertical="center" wrapText="1"/>
      <protection locked="0"/>
    </xf>
    <xf numFmtId="164" fontId="3" fillId="0" borderId="9" xfId="2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vertical="top" wrapText="1"/>
    </xf>
    <xf numFmtId="9" fontId="20" fillId="0" borderId="9" xfId="4" applyNumberFormat="1" applyFont="1" applyBorder="1" applyAlignment="1">
      <alignment horizontal="center"/>
    </xf>
    <xf numFmtId="9" fontId="32" fillId="0" borderId="9" xfId="4" applyNumberFormat="1" applyFont="1" applyBorder="1" applyAlignment="1">
      <alignment horizontal="center"/>
    </xf>
    <xf numFmtId="0" fontId="26" fillId="8" borderId="0" xfId="0" applyFont="1" applyFill="1" applyAlignment="1">
      <alignment horizontal="center" vertical="center" wrapText="1"/>
    </xf>
    <xf numFmtId="0" fontId="0" fillId="0" borderId="9" xfId="0" applyFill="1" applyBorder="1" applyAlignment="1">
      <alignment horizontal="left" vertical="top" wrapText="1"/>
    </xf>
  </cellXfs>
  <cellStyles count="7">
    <cellStyle name="Гиперссылка" xfId="6" builtinId="8"/>
    <cellStyle name="Обычный" xfId="0" builtinId="0"/>
    <cellStyle name="Обычный 2" xfId="1"/>
    <cellStyle name="Обычный 2 2" xfId="3"/>
    <cellStyle name="Обычный 3" xfId="2"/>
    <cellStyle name="Процентный" xfId="4" builtinId="5"/>
    <cellStyle name="Процентный 2" xfId="5"/>
  </cellStyles>
  <dxfs count="139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bottom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Grid">
          <fgColor rgb="FFFF6D6D"/>
        </patternFill>
      </fill>
    </dxf>
    <dxf>
      <fill>
        <patternFill patternType="darkGrid">
          <fgColor rgb="FFFF6D6D"/>
        </patternFill>
      </fill>
    </dxf>
    <dxf>
      <fill>
        <patternFill patternType="darkGrid">
          <fgColor rgb="FFFF6D6D"/>
        </patternFill>
      </fill>
    </dxf>
    <dxf>
      <fill>
        <patternFill patternType="darkGrid">
          <fgColor rgb="FFFF6D6D"/>
        </patternFill>
      </fill>
    </dxf>
    <dxf>
      <font>
        <color rgb="FFC00000"/>
      </font>
      <fill>
        <patternFill>
          <bgColor rgb="FFFFC1CD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C1CD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00000000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00000000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" formatCode="0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</font>
      <alignment vertical="center" textRotation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ill>
        <patternFill patternType="darkGrid">
          <fgColor rgb="FFFF6D6D"/>
        </patternFill>
      </fill>
    </dxf>
    <dxf>
      <fill>
        <patternFill patternType="darkGrid">
          <fgColor rgb="FFFF6D6D"/>
        </patternFill>
      </fill>
    </dxf>
    <dxf>
      <fill>
        <patternFill patternType="darkGrid">
          <fgColor rgb="FFFF6D6D"/>
        </patternFill>
      </fill>
    </dxf>
    <dxf>
      <font>
        <strike val="0"/>
      </font>
      <fill>
        <patternFill patternType="darkGrid">
          <fgColor rgb="FFFF6D6D"/>
        </patternFill>
      </fill>
    </dxf>
    <dxf>
      <fill>
        <patternFill patternType="darkGrid">
          <fgColor rgb="FFFF6D6D"/>
        </patternFill>
      </fill>
    </dxf>
    <dxf>
      <fill>
        <patternFill patternType="darkGrid">
          <fgColor rgb="FFFF6D6D"/>
        </patternFill>
      </fill>
    </dxf>
    <dxf>
      <fill>
        <patternFill patternType="darkGrid">
          <fgColor rgb="FFFF6D6D"/>
        </patternFill>
      </fill>
    </dxf>
    <dxf>
      <fill>
        <patternFill patternType="darkGrid">
          <fgColor rgb="FFFF6D6D"/>
          <bgColor auto="1"/>
        </patternFill>
      </fill>
    </dxf>
    <dxf>
      <fill>
        <patternFill patternType="darkGrid">
          <fgColor rgb="FFFF6D6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top style="thin">
          <color theme="4" tint="0.39997558519241921"/>
        </top>
      </border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StyleLight16 2" table="0" count="12">
      <tableStyleElement type="wholeTable" dxfId="138"/>
      <tableStyleElement type="headerRow" dxfId="137"/>
      <tableStyleElement type="totalRow" dxfId="136"/>
      <tableStyleElement type="firstRowStripe" dxfId="135"/>
      <tableStyleElement type="firstColumnStripe" dxfId="134"/>
      <tableStyleElement type="firstSubtotalColumn" dxfId="133"/>
      <tableStyleElement type="firstSubtotalRow" dxfId="132"/>
      <tableStyleElement type="secondSubtotalRow" dxfId="131"/>
      <tableStyleElement type="firstRowSubheading" dxfId="130"/>
      <tableStyleElement type="secondRowSubheading" dxfId="129"/>
      <tableStyleElement type="pageFieldLabels" dxfId="128"/>
      <tableStyleElement type="pageFieldValues" dxfId="127"/>
    </tableStyle>
  </tableStyles>
  <colors>
    <mruColors>
      <color rgb="FFFFA7A7"/>
      <color rgb="FFFFFFCC"/>
      <color rgb="FFFF6D6D"/>
      <color rgb="FF83C937"/>
      <color rgb="FFFFCCCC"/>
      <color rgb="FFFFD5D5"/>
      <color rgb="FFEDF1F9"/>
      <color rgb="FFFFC1CD"/>
      <color rgb="FFDFE4F5"/>
      <color rgb="FFF3F5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/>
              <a:t>Текучесть</a:t>
            </a:r>
            <a:r>
              <a:rPr lang="ru-RU" sz="1200" b="1" baseline="0"/>
              <a:t> резервистов</a:t>
            </a:r>
            <a:endParaRPr lang="ru-RU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6D-40F0-AA7B-F1AFE7C86CE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6D-40F0-AA7B-F1AFE7C86CE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6D-40F0-AA7B-F1AFE7C86CE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6D-40F0-AA7B-F1AFE7C86CE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6D-40F0-AA7B-F1AFE7C86CE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6D-40F0-AA7B-F1AFE7C86C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'текучесть (расчет)'!$C$1:$J$1</c:f>
              <c:strCache>
                <c:ptCount val="8"/>
                <c:pt idx="0">
                  <c:v>Резервистов на начало года</c:v>
                </c:pt>
                <c:pt idx="1">
                  <c:v>Исключены решением комитета</c:v>
                </c:pt>
                <c:pt idx="2">
                  <c:v>Уволены</c:v>
                </c:pt>
                <c:pt idx="3">
                  <c:v>Самоотвод</c:v>
                </c:pt>
                <c:pt idx="4">
                  <c:v>Прочие исключения из КР</c:v>
                </c:pt>
                <c:pt idx="5">
                  <c:v>Назначены (не только на целевую должность)</c:v>
                </c:pt>
                <c:pt idx="6">
                  <c:v>Доп. утвержденные резервисты</c:v>
                </c:pt>
                <c:pt idx="7">
                  <c:v>Резервистов на конец года</c:v>
                </c:pt>
              </c:strCache>
            </c:strRef>
          </c:cat>
          <c:val>
            <c:numRef>
              <c:f>'текучесть (расчет)'!$C$2:$J$2</c:f>
              <c:numCache>
                <c:formatCode>General</c:formatCode>
                <c:ptCount val="8"/>
                <c:pt idx="1">
                  <c:v>1369</c:v>
                </c:pt>
                <c:pt idx="2">
                  <c:v>1356</c:v>
                </c:pt>
                <c:pt idx="3">
                  <c:v>1352</c:v>
                </c:pt>
                <c:pt idx="4">
                  <c:v>1336</c:v>
                </c:pt>
                <c:pt idx="5">
                  <c:v>1283</c:v>
                </c:pt>
                <c:pt idx="6">
                  <c:v>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6D-40F0-AA7B-F1AFE7C86CE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16D-40F0-AA7B-F1AFE7C86CE7}"/>
              </c:ext>
            </c:extLst>
          </c:dPt>
          <c:dPt>
            <c:idx val="1"/>
            <c:invertIfNegative val="0"/>
            <c:bubble3D val="0"/>
            <c:spPr>
              <a:solidFill>
                <a:srgbClr val="FFA7A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C16D-40F0-AA7B-F1AFE7C86CE7}"/>
              </c:ext>
            </c:extLst>
          </c:dPt>
          <c:dPt>
            <c:idx val="2"/>
            <c:invertIfNegative val="0"/>
            <c:bubble3D val="0"/>
            <c:spPr>
              <a:solidFill>
                <a:srgbClr val="FFA7A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C16D-40F0-AA7B-F1AFE7C86CE7}"/>
              </c:ext>
            </c:extLst>
          </c:dPt>
          <c:dPt>
            <c:idx val="3"/>
            <c:invertIfNegative val="0"/>
            <c:bubble3D val="0"/>
            <c:spPr>
              <a:solidFill>
                <a:srgbClr val="FFA7A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C16D-40F0-AA7B-F1AFE7C86CE7}"/>
              </c:ext>
            </c:extLst>
          </c:dPt>
          <c:dPt>
            <c:idx val="4"/>
            <c:invertIfNegative val="0"/>
            <c:bubble3D val="0"/>
            <c:spPr>
              <a:solidFill>
                <a:srgbClr val="FFA7A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C16D-40F0-AA7B-F1AFE7C86CE7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C16D-40F0-AA7B-F1AFE7C86CE7}"/>
              </c:ext>
            </c:extLst>
          </c:dPt>
          <c:dPt>
            <c:idx val="6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C16D-40F0-AA7B-F1AFE7C86CE7}"/>
              </c:ext>
            </c:extLst>
          </c:dPt>
          <c:dPt>
            <c:idx val="7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C16D-40F0-AA7B-F1AFE7C86CE7}"/>
              </c:ext>
            </c:extLst>
          </c:dPt>
          <c:dLbls>
            <c:numFmt formatCode="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'текучесть (расчет)'!$C$1:$J$1</c:f>
              <c:strCache>
                <c:ptCount val="8"/>
                <c:pt idx="0">
                  <c:v>Резервистов на начало года</c:v>
                </c:pt>
                <c:pt idx="1">
                  <c:v>Исключены решением комитета</c:v>
                </c:pt>
                <c:pt idx="2">
                  <c:v>Уволены</c:v>
                </c:pt>
                <c:pt idx="3">
                  <c:v>Самоотвод</c:v>
                </c:pt>
                <c:pt idx="4">
                  <c:v>Прочие исключения из КР</c:v>
                </c:pt>
                <c:pt idx="5">
                  <c:v>Назначены (не только на целевую должность)</c:v>
                </c:pt>
                <c:pt idx="6">
                  <c:v>Доп. утвержденные резервисты</c:v>
                </c:pt>
                <c:pt idx="7">
                  <c:v>Резервистов на конец года</c:v>
                </c:pt>
              </c:strCache>
            </c:strRef>
          </c:cat>
          <c:val>
            <c:numRef>
              <c:f>'текучесть (расчет)'!$C$3:$J$3</c:f>
              <c:numCache>
                <c:formatCode>General</c:formatCode>
                <c:ptCount val="8"/>
                <c:pt idx="0">
                  <c:v>1386</c:v>
                </c:pt>
                <c:pt idx="1">
                  <c:v>17</c:v>
                </c:pt>
                <c:pt idx="2">
                  <c:v>13</c:v>
                </c:pt>
                <c:pt idx="3">
                  <c:v>4</c:v>
                </c:pt>
                <c:pt idx="4">
                  <c:v>16</c:v>
                </c:pt>
                <c:pt idx="5">
                  <c:v>53</c:v>
                </c:pt>
                <c:pt idx="6">
                  <c:v>9</c:v>
                </c:pt>
                <c:pt idx="7">
                  <c:v>1290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16D-40F0-AA7B-F1AFE7C86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23301944"/>
        <c:axId val="523304896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045984"/>
        <c:axId val="65009223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'текучесть (расчет)'!$C$1:$J$1</c15:sqref>
                        </c15:formulaRef>
                      </c:ext>
                    </c:extLst>
                    <c:strCache>
                      <c:ptCount val="8"/>
                      <c:pt idx="0">
                        <c:v>Резервистов на начало года</c:v>
                      </c:pt>
                      <c:pt idx="1">
                        <c:v>Исключены решением комитета</c:v>
                      </c:pt>
                      <c:pt idx="2">
                        <c:v>Уволены</c:v>
                      </c:pt>
                      <c:pt idx="3">
                        <c:v>Самоотвод</c:v>
                      </c:pt>
                      <c:pt idx="4">
                        <c:v>Прочие исключения из КР</c:v>
                      </c:pt>
                      <c:pt idx="5">
                        <c:v>Назначены (не только на целевую должность)</c:v>
                      </c:pt>
                      <c:pt idx="6">
                        <c:v>Доп. утвержденные резервисты</c:v>
                      </c:pt>
                      <c:pt idx="7">
                        <c:v>Резервистов на конец года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'текучесть (расчет)'!$C$4:$J$4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7.0000000000000007E-2</c:v>
                      </c:pt>
                      <c:pt idx="1">
                        <c:v>7.0000000000000007E-2</c:v>
                      </c:pt>
                      <c:pt idx="2">
                        <c:v>7.0000000000000007E-2</c:v>
                      </c:pt>
                      <c:pt idx="3">
                        <c:v>7.0000000000000007E-2</c:v>
                      </c:pt>
                      <c:pt idx="4">
                        <c:v>7.0000000000000007E-2</c:v>
                      </c:pt>
                      <c:pt idx="5">
                        <c:v>7.0000000000000007E-2</c:v>
                      </c:pt>
                      <c:pt idx="6">
                        <c:v>7.0000000000000007E-2</c:v>
                      </c:pt>
                      <c:pt idx="7">
                        <c:v>7.0000000000000007E-2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8-C16D-40F0-AA7B-F1AFE7C86CE7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'текучесть (расчет)'!$C$1:$J$1</c15:sqref>
                        </c15:formulaRef>
                      </c:ext>
                    </c:extLst>
                    <c:strCache>
                      <c:ptCount val="8"/>
                      <c:pt idx="0">
                        <c:v>Резервистов на начало года</c:v>
                      </c:pt>
                      <c:pt idx="1">
                        <c:v>Исключены решением комитета</c:v>
                      </c:pt>
                      <c:pt idx="2">
                        <c:v>Уволены</c:v>
                      </c:pt>
                      <c:pt idx="3">
                        <c:v>Самоотвод</c:v>
                      </c:pt>
                      <c:pt idx="4">
                        <c:v>Прочие исключения из КР</c:v>
                      </c:pt>
                      <c:pt idx="5">
                        <c:v>Назначены (не только на целевую должность)</c:v>
                      </c:pt>
                      <c:pt idx="6">
                        <c:v>Доп. утвержденные резервисты</c:v>
                      </c:pt>
                      <c:pt idx="7">
                        <c:v>Резервистов на конец года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'текучесть (расчет)'!$C$5:$J$5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3.7369207772795218E-2</c:v>
                      </c:pt>
                      <c:pt idx="1">
                        <c:v>3.7369207772795218E-2</c:v>
                      </c:pt>
                      <c:pt idx="2">
                        <c:v>3.7369207772795218E-2</c:v>
                      </c:pt>
                      <c:pt idx="3">
                        <c:v>3.7369207772795218E-2</c:v>
                      </c:pt>
                      <c:pt idx="4">
                        <c:v>3.7369207772795218E-2</c:v>
                      </c:pt>
                      <c:pt idx="5">
                        <c:v>3.7369207772795218E-2</c:v>
                      </c:pt>
                      <c:pt idx="6">
                        <c:v>3.7369207772795218E-2</c:v>
                      </c:pt>
                      <c:pt idx="7">
                        <c:v>3.7369207772795218E-2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16D-40F0-AA7B-F1AFE7C86CE7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'текучесть (расчет)'!$C$1:$J$1</c15:sqref>
                        </c15:formulaRef>
                      </c:ext>
                    </c:extLst>
                    <c:strCache>
                      <c:ptCount val="8"/>
                      <c:pt idx="0">
                        <c:v>Резервистов на начало года</c:v>
                      </c:pt>
                      <c:pt idx="1">
                        <c:v>Исключены решением комитета</c:v>
                      </c:pt>
                      <c:pt idx="2">
                        <c:v>Уволены</c:v>
                      </c:pt>
                      <c:pt idx="3">
                        <c:v>Самоотвод</c:v>
                      </c:pt>
                      <c:pt idx="4">
                        <c:v>Прочие исключения из КР</c:v>
                      </c:pt>
                      <c:pt idx="5">
                        <c:v>Назначены (не только на целевую должность)</c:v>
                      </c:pt>
                      <c:pt idx="6">
                        <c:v>Доп. утвержденные резервисты</c:v>
                      </c:pt>
                      <c:pt idx="7">
                        <c:v>Резервистов на конец года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'текучесть (расчет)'!$C$6:$J$6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9.7159940209267555E-3</c:v>
                      </c:pt>
                      <c:pt idx="1">
                        <c:v>9.7159940209267555E-3</c:v>
                      </c:pt>
                      <c:pt idx="2">
                        <c:v>9.7159940209267555E-3</c:v>
                      </c:pt>
                      <c:pt idx="3">
                        <c:v>9.7159940209267555E-3</c:v>
                      </c:pt>
                      <c:pt idx="4">
                        <c:v>9.7159940209267555E-3</c:v>
                      </c:pt>
                      <c:pt idx="5">
                        <c:v>9.7159940209267555E-3</c:v>
                      </c:pt>
                      <c:pt idx="6">
                        <c:v>9.7159940209267555E-3</c:v>
                      </c:pt>
                      <c:pt idx="7">
                        <c:v>9.7159940209267555E-3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16D-40F0-AA7B-F1AFE7C86CE7}"/>
                  </c:ext>
                </c:extLst>
              </c15:ser>
            </c15:filteredLineSeries>
          </c:ext>
        </c:extLst>
      </c:lineChart>
      <c:catAx>
        <c:axId val="52330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3304896"/>
        <c:crosses val="autoZero"/>
        <c:auto val="1"/>
        <c:lblAlgn val="ctr"/>
        <c:lblOffset val="100"/>
        <c:noMultiLvlLbl val="0"/>
      </c:catAx>
      <c:valAx>
        <c:axId val="5233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3301944"/>
        <c:crosses val="autoZero"/>
        <c:crossBetween val="between"/>
      </c:valAx>
      <c:valAx>
        <c:axId val="65009223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045984"/>
        <c:crosses val="max"/>
        <c:crossBetween val="between"/>
      </c:valAx>
      <c:catAx>
        <c:axId val="633045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00922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57150" cap="flat" cmpd="sng" algn="ctr">
      <a:solidFill>
        <a:srgbClr val="DFE4F5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/>
              <a:t>Защищенность должностей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'защищенность (расчет)'!$U$1</c:f>
              <c:strCache>
                <c:ptCount val="1"/>
                <c:pt idx="0">
                  <c:v>Высокая защищенность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0972CFA-1287-452C-82EB-A3356DF198C7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5772F2B1-0A54-4AEB-A142-00DF4332097E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3-484B-9ED9-459F5F16AB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A276CDB-FCE5-4783-8A8E-D01841C6F788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554C9475-4997-4D3E-8B0E-A6FC8A76783F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E63-484B-9ED9-459F5F16AB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37EAF3-2638-4B2F-90D0-C0794A43AE92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06BAD334-D5B0-487E-9F15-0F64C8C14CAB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E63-484B-9ED9-459F5F16AB3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D75D080-28B1-401A-B4B9-1BF4D8FA2AD8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C8085FE6-8B82-4BA0-A960-48FAC240F393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E63-484B-9ED9-459F5F16AB3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E64EDA2-86EA-487C-A2BB-A6C935251987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8328204B-A999-40EE-BEE6-C40F49899275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E63-484B-9ED9-459F5F16AB3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B17BBA0-BC1E-4A81-827C-410438A1DE25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A75FD0DF-0406-4261-9FB9-4B04E6027B7A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63-484B-9ED9-459F5F16AB34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'защищенность (расчет)'!$S$2:$S$7</c:f>
              <c:strCache>
                <c:ptCount val="6"/>
                <c:pt idx="0">
                  <c:v>3 УУ</c:v>
                </c:pt>
                <c:pt idx="1">
                  <c:v>4 УУ</c:v>
                </c:pt>
                <c:pt idx="2">
                  <c:v>5 УУ</c:v>
                </c:pt>
                <c:pt idx="3">
                  <c:v>6 УУ</c:v>
                </c:pt>
                <c:pt idx="4">
                  <c:v>7 УУ</c:v>
                </c:pt>
                <c:pt idx="5">
                  <c:v>ВСЕ УУ</c:v>
                </c:pt>
              </c:strCache>
            </c:strRef>
          </c:cat>
          <c:val>
            <c:numRef>
              <c:f>'защищенность (расчет)'!$U$2:$U$7</c:f>
              <c:numCache>
                <c:formatCode>0%</c:formatCode>
                <c:ptCount val="6"/>
                <c:pt idx="0">
                  <c:v>0.25</c:v>
                </c:pt>
                <c:pt idx="1">
                  <c:v>0.53125</c:v>
                </c:pt>
                <c:pt idx="2">
                  <c:v>0.55128205128205132</c:v>
                </c:pt>
                <c:pt idx="3">
                  <c:v>0.60381355932203384</c:v>
                </c:pt>
                <c:pt idx="4">
                  <c:v>0.37446808510638296</c:v>
                </c:pt>
                <c:pt idx="5">
                  <c:v>0.49736379613356768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'защищенность (расчет)'!$T$2:$T$7</c15:f>
                <c15:dlblRangeCache>
                  <c:ptCount val="6"/>
                  <c:pt idx="0">
                    <c:v>2</c:v>
                  </c:pt>
                  <c:pt idx="1">
                    <c:v>17</c:v>
                  </c:pt>
                  <c:pt idx="2">
                    <c:v>86</c:v>
                  </c:pt>
                  <c:pt idx="3">
                    <c:v>285</c:v>
                  </c:pt>
                  <c:pt idx="4">
                    <c:v>176</c:v>
                  </c:pt>
                  <c:pt idx="5">
                    <c:v>566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EE63-484B-9ED9-459F5F16AB34}"/>
            </c:ext>
          </c:extLst>
        </c:ser>
        <c:ser>
          <c:idx val="3"/>
          <c:order val="3"/>
          <c:tx>
            <c:strRef>
              <c:f>'защищенность (расчет)'!$W$1</c:f>
              <c:strCache>
                <c:ptCount val="1"/>
                <c:pt idx="0">
                  <c:v>Средняя защищенность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D6BEBEE-F256-432B-8254-7C4E01006DF1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B896FEED-A12F-472B-9CFA-C880E1A3B3C4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E63-484B-9ED9-459F5F16AB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0D8C37B-FAF3-4979-9A2B-F86912C88CF4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6FEC71CC-F373-4ADC-881C-AAC960E340B0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E63-484B-9ED9-459F5F16AB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8FA64CE-246A-4439-8F0E-06848BDCC468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18F61824-7C67-49C2-9392-469DFD5BCD5A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63-484B-9ED9-459F5F16AB3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A8C180F-EDDA-4F83-9E94-2EC27B260463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5F8822D3-94F6-4390-8DAA-A76D6135C189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63-484B-9ED9-459F5F16AB3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65937E0-62FB-4DC5-97D0-392099CF2030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E3473E6A-19F5-4D71-BB85-0CA68ED0B528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E63-484B-9ED9-459F5F16AB3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D5AC441-8CB8-4BEB-ACB8-286226E4532F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6DAA0333-0C96-40BB-8427-352FB22131A2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EE63-484B-9ED9-459F5F16AB34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'защищенность (расчет)'!$S$2:$S$7</c:f>
              <c:strCache>
                <c:ptCount val="6"/>
                <c:pt idx="0">
                  <c:v>3 УУ</c:v>
                </c:pt>
                <c:pt idx="1">
                  <c:v>4 УУ</c:v>
                </c:pt>
                <c:pt idx="2">
                  <c:v>5 УУ</c:v>
                </c:pt>
                <c:pt idx="3">
                  <c:v>6 УУ</c:v>
                </c:pt>
                <c:pt idx="4">
                  <c:v>7 УУ</c:v>
                </c:pt>
                <c:pt idx="5">
                  <c:v>ВСЕ УУ</c:v>
                </c:pt>
              </c:strCache>
            </c:strRef>
          </c:cat>
          <c:val>
            <c:numRef>
              <c:f>'защищенность (расчет)'!$W$2:$W$7</c:f>
              <c:numCache>
                <c:formatCode>0%</c:formatCode>
                <c:ptCount val="6"/>
                <c:pt idx="0">
                  <c:v>0.625</c:v>
                </c:pt>
                <c:pt idx="1">
                  <c:v>0.28125</c:v>
                </c:pt>
                <c:pt idx="2">
                  <c:v>0.26282051282051283</c:v>
                </c:pt>
                <c:pt idx="3">
                  <c:v>0.21610169491525424</c:v>
                </c:pt>
                <c:pt idx="4">
                  <c:v>0.3595744680851064</c:v>
                </c:pt>
                <c:pt idx="5">
                  <c:v>0.28646748681898065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'защищенность (расчет)'!$V$2:$V$7</c15:f>
                <c15:dlblRangeCache>
                  <c:ptCount val="6"/>
                  <c:pt idx="0">
                    <c:v>5</c:v>
                  </c:pt>
                  <c:pt idx="1">
                    <c:v>9</c:v>
                  </c:pt>
                  <c:pt idx="2">
                    <c:v>41</c:v>
                  </c:pt>
                  <c:pt idx="3">
                    <c:v>102</c:v>
                  </c:pt>
                  <c:pt idx="4">
                    <c:v>169</c:v>
                  </c:pt>
                  <c:pt idx="5">
                    <c:v>326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EE63-484B-9ED9-459F5F16AB34}"/>
            </c:ext>
          </c:extLst>
        </c:ser>
        <c:ser>
          <c:idx val="5"/>
          <c:order val="5"/>
          <c:tx>
            <c:strRef>
              <c:f>'защищенность (расчет)'!$Y$1</c:f>
              <c:strCache>
                <c:ptCount val="1"/>
                <c:pt idx="0">
                  <c:v>Низкая защищенность</c:v>
                </c:pt>
              </c:strCache>
            </c:strRef>
          </c:tx>
          <c:spPr>
            <a:solidFill>
              <a:srgbClr val="FFFFCC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B3EF14A-72F7-4398-8DB0-354D9D50BB48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B5B91408-5028-405D-9BE0-EE9330CC8BB9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EE63-484B-9ED9-459F5F16AB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A45C90-ADA3-452B-B255-F342F7A94721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2A2FBF99-A3E7-4D66-9315-BE95A4F658AC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EE63-484B-9ED9-459F5F16AB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E518641-D9A1-46F8-BEF9-AAB58FA74817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E085F8C4-F94F-4F2F-8EF7-7F3007A4FECE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EE63-484B-9ED9-459F5F16AB3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4A59E31-CBEF-4153-83A0-600BA60184C5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A8533DDD-3BD9-4F32-BF8A-FEF067F7CCD8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EE63-484B-9ED9-459F5F16AB3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08C1077-A801-4980-8840-1A5829A954DC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DB0D695C-2CB9-472C-8EFB-67AA3DCB8820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EE63-484B-9ED9-459F5F16AB3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D3D288E-602D-4642-89AF-6DA8C43F658E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7F171493-3AC6-44C7-8D76-97571EB0ECA6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EE63-484B-9ED9-459F5F16AB34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'защищенность (расчет)'!$S$2:$S$7</c:f>
              <c:strCache>
                <c:ptCount val="6"/>
                <c:pt idx="0">
                  <c:v>3 УУ</c:v>
                </c:pt>
                <c:pt idx="1">
                  <c:v>4 УУ</c:v>
                </c:pt>
                <c:pt idx="2">
                  <c:v>5 УУ</c:v>
                </c:pt>
                <c:pt idx="3">
                  <c:v>6 УУ</c:v>
                </c:pt>
                <c:pt idx="4">
                  <c:v>7 УУ</c:v>
                </c:pt>
                <c:pt idx="5">
                  <c:v>ВСЕ УУ</c:v>
                </c:pt>
              </c:strCache>
            </c:strRef>
          </c:cat>
          <c:val>
            <c:numRef>
              <c:f>'защищенность (расчет)'!$Y$2:$Y$7</c:f>
              <c:numCache>
                <c:formatCode>0%</c:formatCode>
                <c:ptCount val="6"/>
                <c:pt idx="0">
                  <c:v>0.125</c:v>
                </c:pt>
                <c:pt idx="1">
                  <c:v>9.375E-2</c:v>
                </c:pt>
                <c:pt idx="2">
                  <c:v>0.11538461538461539</c:v>
                </c:pt>
                <c:pt idx="3">
                  <c:v>0.1461864406779661</c:v>
                </c:pt>
                <c:pt idx="4">
                  <c:v>0.21276595744680851</c:v>
                </c:pt>
                <c:pt idx="5">
                  <c:v>0.16783831282952549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'защищенность (расчет)'!$X$2:$X$7</c15:f>
                <c15:dlblRangeCache>
                  <c:ptCount val="6"/>
                  <c:pt idx="0">
                    <c:v>1</c:v>
                  </c:pt>
                  <c:pt idx="1">
                    <c:v>3</c:v>
                  </c:pt>
                  <c:pt idx="2">
                    <c:v>18</c:v>
                  </c:pt>
                  <c:pt idx="3">
                    <c:v>69</c:v>
                  </c:pt>
                  <c:pt idx="4">
                    <c:v>100</c:v>
                  </c:pt>
                  <c:pt idx="5">
                    <c:v>191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EE63-484B-9ED9-459F5F16AB34}"/>
            </c:ext>
          </c:extLst>
        </c:ser>
        <c:ser>
          <c:idx val="7"/>
          <c:order val="7"/>
          <c:tx>
            <c:strRef>
              <c:f>'защищенность (расчет)'!$AA$1</c:f>
              <c:strCache>
                <c:ptCount val="1"/>
                <c:pt idx="0">
                  <c:v>Незащищенные должности</c:v>
                </c:pt>
              </c:strCache>
            </c:strRef>
          </c:tx>
          <c:spPr>
            <a:solidFill>
              <a:srgbClr val="FFA7A7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B1B901F-1D9C-44A8-8CC0-F95CC1DC21DC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7E304331-B9D5-4E0D-BDF1-8A577E9F116C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EE63-484B-9ED9-459F5F16AB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1D520D4-62C9-4FA9-AAFD-01CE61257DE2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46A9890B-FEA2-4D2B-833E-1DB477394C6F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EE63-484B-9ED9-459F5F16AB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9A4540E-7A6C-4DA2-B4FD-851C8367093F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85B4CE1E-19E5-45D6-97A5-7F1C20DC3BF5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EE63-484B-9ED9-459F5F16AB3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8FD84DE-9BAF-40FE-B2DE-C63D876D8371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EE62CF95-C88A-4C1E-807B-2508FEE13826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EE63-484B-9ED9-459F5F16AB3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E1298BD-FE9E-4620-B4FE-5D6D74175A84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6977E8FE-CD95-4AFE-A953-A859EFD0176A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EE63-484B-9ED9-459F5F16AB3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260353E-BF99-43E4-B3E7-FC565ED51FD4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9DE520E2-4F78-4F10-8FB3-F494C842867C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EE63-484B-9ED9-459F5F16AB34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'защищенность (расчет)'!$S$2:$S$7</c:f>
              <c:strCache>
                <c:ptCount val="6"/>
                <c:pt idx="0">
                  <c:v>3 УУ</c:v>
                </c:pt>
                <c:pt idx="1">
                  <c:v>4 УУ</c:v>
                </c:pt>
                <c:pt idx="2">
                  <c:v>5 УУ</c:v>
                </c:pt>
                <c:pt idx="3">
                  <c:v>6 УУ</c:v>
                </c:pt>
                <c:pt idx="4">
                  <c:v>7 УУ</c:v>
                </c:pt>
                <c:pt idx="5">
                  <c:v>ВСЕ УУ</c:v>
                </c:pt>
              </c:strCache>
            </c:strRef>
          </c:cat>
          <c:val>
            <c:numRef>
              <c:f>'защищенность (расчет)'!$AA$2:$AA$7</c:f>
              <c:numCache>
                <c:formatCode>0%</c:formatCode>
                <c:ptCount val="6"/>
                <c:pt idx="0">
                  <c:v>0</c:v>
                </c:pt>
                <c:pt idx="1">
                  <c:v>9.375E-2</c:v>
                </c:pt>
                <c:pt idx="2">
                  <c:v>7.0512820512820512E-2</c:v>
                </c:pt>
                <c:pt idx="3">
                  <c:v>3.3898305084745763E-2</c:v>
                </c:pt>
                <c:pt idx="4">
                  <c:v>5.3191489361702128E-2</c:v>
                </c:pt>
                <c:pt idx="5">
                  <c:v>4.8330404217926184E-2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'защищенность (расчет)'!$Z$2:$Z$7</c15:f>
                <c15:dlblRangeCache>
                  <c:ptCount val="6"/>
                  <c:pt idx="1">
                    <c:v>3</c:v>
                  </c:pt>
                  <c:pt idx="2">
                    <c:v>11</c:v>
                  </c:pt>
                  <c:pt idx="3">
                    <c:v>16</c:v>
                  </c:pt>
                  <c:pt idx="4">
                    <c:v>25</c:v>
                  </c:pt>
                  <c:pt idx="5">
                    <c:v>55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EE63-484B-9ED9-459F5F16AB34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95"/>
        <c:axId val="392651312"/>
        <c:axId val="3926516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'защищенность (расчет)'!$T$1</c15:sqref>
                        </c15:formulaRef>
                      </c:ext>
                    </c:extLst>
                    <c:strCache>
                      <c:ptCount val="1"/>
                      <c:pt idx="0">
                        <c:v>Высокая защищенность1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'защищенность (расчет)'!$S$2:$S$7</c15:sqref>
                        </c15:formulaRef>
                      </c:ext>
                    </c:extLst>
                    <c:strCache>
                      <c:ptCount val="6"/>
                      <c:pt idx="0">
                        <c:v>3 УУ</c:v>
                      </c:pt>
                      <c:pt idx="1">
                        <c:v>4 УУ</c:v>
                      </c:pt>
                      <c:pt idx="2">
                        <c:v>5 УУ</c:v>
                      </c:pt>
                      <c:pt idx="3">
                        <c:v>6 УУ</c:v>
                      </c:pt>
                      <c:pt idx="4">
                        <c:v>7 УУ</c:v>
                      </c:pt>
                      <c:pt idx="5">
                        <c:v>ВСЕ УУ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'защищенность (расчет)'!$T$2:$T$7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</c:v>
                      </c:pt>
                      <c:pt idx="1">
                        <c:v>17</c:v>
                      </c:pt>
                      <c:pt idx="2">
                        <c:v>86</c:v>
                      </c:pt>
                      <c:pt idx="3">
                        <c:v>285</c:v>
                      </c:pt>
                      <c:pt idx="4">
                        <c:v>176</c:v>
                      </c:pt>
                      <c:pt idx="5">
                        <c:v>566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3-EE63-484B-9ED9-459F5F16AB3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(расчет)'!$V$1</c15:sqref>
                        </c15:formulaRef>
                      </c:ext>
                    </c:extLst>
                    <c:strCache>
                      <c:ptCount val="1"/>
                      <c:pt idx="0">
                        <c:v>Средняя защищенность1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(расчет)'!$S$2:$S$7</c15:sqref>
                        </c15:formulaRef>
                      </c:ext>
                    </c:extLst>
                    <c:strCache>
                      <c:ptCount val="6"/>
                      <c:pt idx="0">
                        <c:v>3 УУ</c:v>
                      </c:pt>
                      <c:pt idx="1">
                        <c:v>4 УУ</c:v>
                      </c:pt>
                      <c:pt idx="2">
                        <c:v>5 УУ</c:v>
                      </c:pt>
                      <c:pt idx="3">
                        <c:v>6 УУ</c:v>
                      </c:pt>
                      <c:pt idx="4">
                        <c:v>7 УУ</c:v>
                      </c:pt>
                      <c:pt idx="5">
                        <c:v>ВСЕ УУ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(расчет)'!$V$2:$V$7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5</c:v>
                      </c:pt>
                      <c:pt idx="1">
                        <c:v>9</c:v>
                      </c:pt>
                      <c:pt idx="2">
                        <c:v>41</c:v>
                      </c:pt>
                      <c:pt idx="3">
                        <c:v>102</c:v>
                      </c:pt>
                      <c:pt idx="4">
                        <c:v>169</c:v>
                      </c:pt>
                      <c:pt idx="5">
                        <c:v>326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E63-484B-9ED9-459F5F16AB3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(расчет)'!$X$1</c15:sqref>
                        </c15:formulaRef>
                      </c:ext>
                    </c:extLst>
                    <c:strCache>
                      <c:ptCount val="1"/>
                      <c:pt idx="0">
                        <c:v>Низкая защищенность1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(расчет)'!$S$2:$S$7</c15:sqref>
                        </c15:formulaRef>
                      </c:ext>
                    </c:extLst>
                    <c:strCache>
                      <c:ptCount val="6"/>
                      <c:pt idx="0">
                        <c:v>3 УУ</c:v>
                      </c:pt>
                      <c:pt idx="1">
                        <c:v>4 УУ</c:v>
                      </c:pt>
                      <c:pt idx="2">
                        <c:v>5 УУ</c:v>
                      </c:pt>
                      <c:pt idx="3">
                        <c:v>6 УУ</c:v>
                      </c:pt>
                      <c:pt idx="4">
                        <c:v>7 УУ</c:v>
                      </c:pt>
                      <c:pt idx="5">
                        <c:v>ВСЕ УУ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(расчет)'!$X$2:$X$7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</c:v>
                      </c:pt>
                      <c:pt idx="1">
                        <c:v>3</c:v>
                      </c:pt>
                      <c:pt idx="2">
                        <c:v>18</c:v>
                      </c:pt>
                      <c:pt idx="3">
                        <c:v>69</c:v>
                      </c:pt>
                      <c:pt idx="4">
                        <c:v>100</c:v>
                      </c:pt>
                      <c:pt idx="5">
                        <c:v>191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EE63-484B-9ED9-459F5F16AB3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(расчет)'!$Z$1</c15:sqref>
                        </c15:formulaRef>
                      </c:ext>
                    </c:extLst>
                    <c:strCache>
                      <c:ptCount val="1"/>
                      <c:pt idx="0">
                        <c:v>Незащищенные должности1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(расчет)'!$S$2:$S$7</c15:sqref>
                        </c15:formulaRef>
                      </c:ext>
                    </c:extLst>
                    <c:strCache>
                      <c:ptCount val="6"/>
                      <c:pt idx="0">
                        <c:v>3 УУ</c:v>
                      </c:pt>
                      <c:pt idx="1">
                        <c:v>4 УУ</c:v>
                      </c:pt>
                      <c:pt idx="2">
                        <c:v>5 УУ</c:v>
                      </c:pt>
                      <c:pt idx="3">
                        <c:v>6 УУ</c:v>
                      </c:pt>
                      <c:pt idx="4">
                        <c:v>7 УУ</c:v>
                      </c:pt>
                      <c:pt idx="5">
                        <c:v>ВСЕ УУ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(расчет)'!$Z$2:$Z$7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3</c:v>
                      </c:pt>
                      <c:pt idx="2">
                        <c:v>11</c:v>
                      </c:pt>
                      <c:pt idx="3">
                        <c:v>16</c:v>
                      </c:pt>
                      <c:pt idx="4">
                        <c:v>25</c:v>
                      </c:pt>
                      <c:pt idx="5">
                        <c:v>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EE63-484B-9ED9-459F5F16AB34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(расчет)'!$AB$1</c15:sqref>
                        </c15:formulaRef>
                      </c:ext>
                    </c:extLst>
                    <c:strCache>
                      <c:ptCount val="1"/>
                      <c:pt idx="0">
                        <c:v>Должностей рассмотрено (всего)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(расчет)'!$S$2:$S$7</c15:sqref>
                        </c15:formulaRef>
                      </c:ext>
                    </c:extLst>
                    <c:strCache>
                      <c:ptCount val="6"/>
                      <c:pt idx="0">
                        <c:v>3 УУ</c:v>
                      </c:pt>
                      <c:pt idx="1">
                        <c:v>4 УУ</c:v>
                      </c:pt>
                      <c:pt idx="2">
                        <c:v>5 УУ</c:v>
                      </c:pt>
                      <c:pt idx="3">
                        <c:v>6 УУ</c:v>
                      </c:pt>
                      <c:pt idx="4">
                        <c:v>7 УУ</c:v>
                      </c:pt>
                      <c:pt idx="5">
                        <c:v>ВСЕ УУ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(расчет)'!$AB$2:$AB$7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8</c:v>
                      </c:pt>
                      <c:pt idx="1">
                        <c:v>32</c:v>
                      </c:pt>
                      <c:pt idx="2">
                        <c:v>156</c:v>
                      </c:pt>
                      <c:pt idx="3">
                        <c:v>472</c:v>
                      </c:pt>
                      <c:pt idx="4">
                        <c:v>470</c:v>
                      </c:pt>
                      <c:pt idx="5">
                        <c:v>1138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EE63-484B-9ED9-459F5F16AB34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(расчет)'!$AC$1</c15:sqref>
                        </c15:formulaRef>
                      </c:ext>
                    </c:extLst>
                    <c:strCache>
                      <c:ptCount val="1"/>
                      <c:pt idx="0">
                        <c:v>Должностей защищено (всего)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(расчет)'!$S$2:$S$7</c15:sqref>
                        </c15:formulaRef>
                      </c:ext>
                    </c:extLst>
                    <c:strCache>
                      <c:ptCount val="6"/>
                      <c:pt idx="0">
                        <c:v>3 УУ</c:v>
                      </c:pt>
                      <c:pt idx="1">
                        <c:v>4 УУ</c:v>
                      </c:pt>
                      <c:pt idx="2">
                        <c:v>5 УУ</c:v>
                      </c:pt>
                      <c:pt idx="3">
                        <c:v>6 УУ</c:v>
                      </c:pt>
                      <c:pt idx="4">
                        <c:v>7 УУ</c:v>
                      </c:pt>
                      <c:pt idx="5">
                        <c:v>ВСЕ УУ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'защищенность (расчет)'!$AC$2:$AC$7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8</c:v>
                      </c:pt>
                      <c:pt idx="1">
                        <c:v>29</c:v>
                      </c:pt>
                      <c:pt idx="2">
                        <c:v>145</c:v>
                      </c:pt>
                      <c:pt idx="3">
                        <c:v>456</c:v>
                      </c:pt>
                      <c:pt idx="4">
                        <c:v>445</c:v>
                      </c:pt>
                      <c:pt idx="5">
                        <c:v>1083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EE63-484B-9ED9-459F5F16AB34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0"/>
          <c:order val="10"/>
          <c:tx>
            <c:strRef>
              <c:f>'защищенность (расчет)'!$AD$1</c:f>
              <c:strCache>
                <c:ptCount val="1"/>
                <c:pt idx="0">
                  <c:v>Плановая защищенность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E63-484B-9ED9-459F5F16AB3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E63-484B-9ED9-459F5F16AB3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E63-484B-9ED9-459F5F16AB3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E63-484B-9ED9-459F5F16AB3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E63-484B-9ED9-459F5F16AB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'защищенность (расчет)'!$S$2:$S$7</c:f>
              <c:strCache>
                <c:ptCount val="6"/>
                <c:pt idx="0">
                  <c:v>3 УУ</c:v>
                </c:pt>
                <c:pt idx="1">
                  <c:v>4 УУ</c:v>
                </c:pt>
                <c:pt idx="2">
                  <c:v>5 УУ</c:v>
                </c:pt>
                <c:pt idx="3">
                  <c:v>6 УУ</c:v>
                </c:pt>
                <c:pt idx="4">
                  <c:v>7 УУ</c:v>
                </c:pt>
                <c:pt idx="5">
                  <c:v>ВСЕ УУ</c:v>
                </c:pt>
              </c:strCache>
            </c:strRef>
          </c:cat>
          <c:val>
            <c:numRef>
              <c:f>'защищенность (расчет)'!$AD$2:$AD$7</c:f>
              <c:numCache>
                <c:formatCode>0%</c:formatCode>
                <c:ptCount val="6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E63-484B-9ED9-459F5F16AB34}"/>
            </c:ext>
          </c:extLst>
        </c:ser>
        <c:ser>
          <c:idx val="11"/>
          <c:order val="11"/>
          <c:tx>
            <c:strRef>
              <c:f>'защищенность (расчет)'!$AE$1</c:f>
              <c:strCache>
                <c:ptCount val="1"/>
                <c:pt idx="0">
                  <c:v>Фактическая защищенность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'защищенность (расчет)'!$S$2:$S$7</c:f>
              <c:strCache>
                <c:ptCount val="6"/>
                <c:pt idx="0">
                  <c:v>3 УУ</c:v>
                </c:pt>
                <c:pt idx="1">
                  <c:v>4 УУ</c:v>
                </c:pt>
                <c:pt idx="2">
                  <c:v>5 УУ</c:v>
                </c:pt>
                <c:pt idx="3">
                  <c:v>6 УУ</c:v>
                </c:pt>
                <c:pt idx="4">
                  <c:v>7 УУ</c:v>
                </c:pt>
                <c:pt idx="5">
                  <c:v>ВСЕ УУ</c:v>
                </c:pt>
              </c:strCache>
            </c:strRef>
          </c:cat>
          <c:val>
            <c:numRef>
              <c:f>'защищенность (расчет)'!$AE$2:$AE$7</c:f>
              <c:numCache>
                <c:formatCode>0%</c:formatCode>
                <c:ptCount val="6"/>
                <c:pt idx="0">
                  <c:v>1</c:v>
                </c:pt>
                <c:pt idx="1">
                  <c:v>0.90625</c:v>
                </c:pt>
                <c:pt idx="2">
                  <c:v>0.92948717948717952</c:v>
                </c:pt>
                <c:pt idx="3">
                  <c:v>0.96610169491525422</c:v>
                </c:pt>
                <c:pt idx="4">
                  <c:v>0.94680851063829785</c:v>
                </c:pt>
                <c:pt idx="5">
                  <c:v>0.95166959578207377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E63-484B-9ED9-459F5F16AB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3926640"/>
        <c:axId val="953926312"/>
      </c:lineChart>
      <c:catAx>
        <c:axId val="39265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2651640"/>
        <c:crosses val="autoZero"/>
        <c:auto val="1"/>
        <c:lblAlgn val="ctr"/>
        <c:lblOffset val="100"/>
        <c:noMultiLvlLbl val="0"/>
      </c:catAx>
      <c:valAx>
        <c:axId val="392651640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2651312"/>
        <c:crosses val="autoZero"/>
        <c:crossBetween val="between"/>
      </c:valAx>
      <c:valAx>
        <c:axId val="953926312"/>
        <c:scaling>
          <c:orientation val="minMax"/>
          <c:max val="1.1000000000000001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926640"/>
        <c:crosses val="max"/>
        <c:crossBetween val="between"/>
      </c:valAx>
      <c:catAx>
        <c:axId val="953926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3926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9749821341543567"/>
          <c:w val="1"/>
          <c:h val="8.28215923240010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57150" cap="flat" cmpd="sng" algn="ctr">
      <a:solidFill>
        <a:srgbClr val="DFE4F5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 i="0" baseline="0">
                <a:effectLst/>
              </a:rPr>
              <a:t>Назначаемость резервистов</a:t>
            </a:r>
            <a:endParaRPr lang="ru-RU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3360799216646843E-2"/>
          <c:y val="0.11993529686750473"/>
          <c:w val="0.94302318150513098"/>
          <c:h val="0.6110323780463585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'назначаемость (расчет)'!$X$1</c:f>
              <c:strCache>
                <c:ptCount val="1"/>
                <c:pt idx="0">
                  <c:v>Кол-во вакансий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F003E0D-BB30-439C-BAA9-DF034960FE45}" type="CELLRANGE">
                      <a:rPr lang="en-US"/>
                      <a:pPr>
                        <a:defRPr sz="1000"/>
                      </a:pPr>
                      <a:t>[ДИАПАЗОН ЯЧЕЕК]</a:t>
                    </a:fld>
                    <a:endParaRPr lang="en-US" baseline="0"/>
                  </a:p>
                  <a:p>
                    <a:pPr>
                      <a:defRPr sz="1000"/>
                    </a:pPr>
                    <a:fld id="{CFAC8EBB-0A69-4C2F-B1F7-234FAC743C90}" type="VALUE">
                      <a:rPr lang="en-US"/>
                      <a:pPr>
                        <a:defRPr sz="1000"/>
                      </a:pPr>
                      <a:t>[ЗНАЧЕНИЕ]</a:t>
                    </a:fld>
                    <a:endParaRPr lang="ru-RU"/>
                  </a:p>
                </c:rich>
              </c:tx>
              <c:numFmt formatCode="0%;;;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7A74-4EF1-91F7-54000956D9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74-4EF1-91F7-54000956D9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'назначаемость (расчет)'!$AM$2:$AM$5</c15:sqref>
                  </c15:fullRef>
                </c:ext>
              </c:extLst>
              <c:f>'назначаемость (расчет)'!$AM$3:$AM$4</c:f>
              <c:strCache>
                <c:ptCount val="2"/>
                <c:pt idx="0">
                  <c:v>вакансии</c:v>
                </c:pt>
                <c:pt idx="1">
                  <c:v>назначения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'назначаемость (расчет)'!$X$2:$X$5</c15:sqref>
                  </c15:fullRef>
                </c:ext>
              </c:extLst>
              <c:f>'назначаемость (расчет)'!$X$3:$X$4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'назначаемость (расчет)'!$W$2:$W$5</c15:f>
                <c15:dlblRangeCache>
                  <c:ptCount val="4"/>
                  <c:pt idx="1">
                    <c:v>47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A74-4EF1-91F7-54000956D98F}"/>
            </c:ext>
          </c:extLst>
        </c:ser>
        <c:ser>
          <c:idx val="3"/>
          <c:order val="3"/>
          <c:tx>
            <c:strRef>
              <c:f>'назначаемость (расчет)'!$Z$1</c:f>
              <c:strCache>
                <c:ptCount val="1"/>
                <c:pt idx="0">
                  <c:v>Назначено резервистов, готовых к назначению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A74-4EF1-91F7-54000956D9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97888DF-9A9F-4B6C-ACB8-DE975D688680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2B6D3340-DC00-499C-B74A-606B2FF797DA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7A74-4EF1-91F7-54000956D98F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'назначаемость (расчет)'!$AM$2:$AM$5</c15:sqref>
                  </c15:fullRef>
                </c:ext>
              </c:extLst>
              <c:f>'назначаемость (расчет)'!$AM$3:$AM$4</c:f>
              <c:strCache>
                <c:ptCount val="2"/>
                <c:pt idx="0">
                  <c:v>вакансии</c:v>
                </c:pt>
                <c:pt idx="1">
                  <c:v>назначения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'назначаемость (расчет)'!$Z$2:$Z$5</c15:sqref>
                  </c15:fullRef>
                </c:ext>
              </c:extLst>
              <c:f>'назначаемость (расчет)'!$Z$3:$Z$4</c:f>
              <c:numCache>
                <c:formatCode>General</c:formatCode>
                <c:ptCount val="2"/>
                <c:pt idx="1" formatCode="0%">
                  <c:v>0.48936170212765956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'назначаемость (расчет)'!$Y$2:$Y$5</c15:f>
                <c15:dlblRangeCache>
                  <c:ptCount val="4"/>
                  <c:pt idx="2">
                    <c:v>23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A74-4EF1-91F7-54000956D98F}"/>
            </c:ext>
          </c:extLst>
        </c:ser>
        <c:ser>
          <c:idx val="5"/>
          <c:order val="5"/>
          <c:tx>
            <c:strRef>
              <c:f>'назначаемость (расчет)'!$AB$1</c:f>
              <c:strCache>
                <c:ptCount val="1"/>
                <c:pt idx="0">
                  <c:v>Назначено резервистов, готовых краткосрочно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7A74-4EF1-91F7-54000956D9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13C4BE-9FE3-4635-B84E-DAF26146F5E8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EDECA600-B2CA-4F47-A034-27485BECDBC7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7A74-4EF1-91F7-54000956D98F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'назначаемость (расчет)'!$AM$2:$AM$5</c15:sqref>
                  </c15:fullRef>
                </c:ext>
              </c:extLst>
              <c:f>'назначаемость (расчет)'!$AM$3:$AM$4</c:f>
              <c:strCache>
                <c:ptCount val="2"/>
                <c:pt idx="0">
                  <c:v>вакансии</c:v>
                </c:pt>
                <c:pt idx="1">
                  <c:v>назначения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'назначаемость (расчет)'!$AB$2:$AB$5</c15:sqref>
                  </c15:fullRef>
                </c:ext>
              </c:extLst>
              <c:f>'назначаемость (расчет)'!$AB$3:$AB$4</c:f>
              <c:numCache>
                <c:formatCode>General</c:formatCode>
                <c:ptCount val="2"/>
                <c:pt idx="1" formatCode="0%">
                  <c:v>0.21276595744680851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'назначаемость (расчет)'!$AA$2:$AA$5</c15:f>
                <c15:dlblRangeCache>
                  <c:ptCount val="4"/>
                  <c:pt idx="2">
                    <c:v>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7A74-4EF1-91F7-54000956D98F}"/>
            </c:ext>
          </c:extLst>
        </c:ser>
        <c:ser>
          <c:idx val="7"/>
          <c:order val="7"/>
          <c:tx>
            <c:strRef>
              <c:f>'назначаемость (расчет)'!$AD$1</c:f>
              <c:strCache>
                <c:ptCount val="1"/>
                <c:pt idx="0">
                  <c:v>Назначено резервистов, готовых среднесрочно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A74-4EF1-91F7-54000956D9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F3BE453-CE42-491F-946E-910FBA7B5171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7551F1D3-6CAF-4C02-8A08-B7E2551B56F7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7A74-4EF1-91F7-54000956D98F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'назначаемость (расчет)'!$AM$2:$AM$5</c15:sqref>
                  </c15:fullRef>
                </c:ext>
              </c:extLst>
              <c:f>'назначаемость (расчет)'!$AM$3:$AM$4</c:f>
              <c:strCache>
                <c:ptCount val="2"/>
                <c:pt idx="0">
                  <c:v>вакансии</c:v>
                </c:pt>
                <c:pt idx="1">
                  <c:v>назначения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'назначаемость (расчет)'!$AD$2:$AD$5</c15:sqref>
                  </c15:fullRef>
                </c:ext>
              </c:extLst>
              <c:f>'назначаемость (расчет)'!$AD$3:$AD$4</c:f>
              <c:numCache>
                <c:formatCode>General</c:formatCode>
                <c:ptCount val="2"/>
                <c:pt idx="1" formatCode="0%">
                  <c:v>0.1276595744680851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'назначаемость (расчет)'!$AC$2:$AC$5</c15:f>
                <c15:dlblRangeCache>
                  <c:ptCount val="4"/>
                  <c:pt idx="2">
                    <c:v>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7A74-4EF1-91F7-54000956D98F}"/>
            </c:ext>
          </c:extLst>
        </c:ser>
        <c:ser>
          <c:idx val="9"/>
          <c:order val="9"/>
          <c:tx>
            <c:strRef>
              <c:f>'назначаемость (расчет)'!$AF$1</c:f>
              <c:strCache>
                <c:ptCount val="1"/>
                <c:pt idx="0">
                  <c:v>Назначено внутренних сотрудников из списка КР</c:v>
                </c:pt>
              </c:strCache>
            </c:strRef>
          </c:tx>
          <c:spPr>
            <a:solidFill>
              <a:srgbClr val="FFFFCC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7A74-4EF1-91F7-54000956D9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4E94069-1C43-480E-886B-7B8FDCD927DE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8392953B-55C3-48F6-A049-CDD55B98E979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7A74-4EF1-91F7-54000956D98F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'назначаемость (расчет)'!$AM$2:$AM$5</c15:sqref>
                  </c15:fullRef>
                </c:ext>
              </c:extLst>
              <c:f>'назначаемость (расчет)'!$AM$3:$AM$4</c:f>
              <c:strCache>
                <c:ptCount val="2"/>
                <c:pt idx="0">
                  <c:v>вакансии</c:v>
                </c:pt>
                <c:pt idx="1">
                  <c:v>назначения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'назначаемость (расчет)'!$AF$2:$AF$5</c15:sqref>
                  </c15:fullRef>
                </c:ext>
              </c:extLst>
              <c:f>'назначаемость (расчет)'!$AF$3:$AF$4</c:f>
              <c:numCache>
                <c:formatCode>General</c:formatCode>
                <c:ptCount val="2"/>
                <c:pt idx="1" formatCode="0%">
                  <c:v>0.10638297872340426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'назначаемость (расчет)'!$AE$2:$AE$5</c15:f>
                <c15:dlblRangeCache>
                  <c:ptCount val="4"/>
                  <c:pt idx="2">
                    <c:v>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7A74-4EF1-91F7-54000956D98F}"/>
            </c:ext>
          </c:extLst>
        </c:ser>
        <c:ser>
          <c:idx val="11"/>
          <c:order val="11"/>
          <c:tx>
            <c:strRef>
              <c:f>'назначаемость (расчет)'!$AH$1</c:f>
              <c:strCache>
                <c:ptCount val="1"/>
                <c:pt idx="0">
                  <c:v>Назначено внутренних сотрудников не из списка КР</c:v>
                </c:pt>
              </c:strCache>
            </c:strRef>
          </c:tx>
          <c:spPr>
            <a:solidFill>
              <a:srgbClr val="FFA7A7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7A74-4EF1-91F7-54000956D9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C579442-3022-442F-A4D9-84BABA94EDB1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FAC8904B-9918-43AF-BA84-4DB86C3F9B63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7A74-4EF1-91F7-54000956D98F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'назначаемость (расчет)'!$AM$2:$AM$5</c15:sqref>
                  </c15:fullRef>
                </c:ext>
              </c:extLst>
              <c:f>'назначаемость (расчет)'!$AM$3:$AM$4</c:f>
              <c:strCache>
                <c:ptCount val="2"/>
                <c:pt idx="0">
                  <c:v>вакансии</c:v>
                </c:pt>
                <c:pt idx="1">
                  <c:v>назначения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'назначаемость (расчет)'!$AH$2:$AH$5</c15:sqref>
                  </c15:fullRef>
                </c:ext>
              </c:extLst>
              <c:f>'назначаемость (расчет)'!$AH$3:$AH$4</c:f>
              <c:numCache>
                <c:formatCode>General</c:formatCode>
                <c:ptCount val="2"/>
                <c:pt idx="1" formatCode="0%">
                  <c:v>6.3829787234042548E-2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'назначаемость (расчет)'!$AG$2:$AG$5</c15:f>
                <c15:dlblRangeCache>
                  <c:ptCount val="4"/>
                  <c:pt idx="2">
                    <c:v>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7A74-4EF1-91F7-54000956D98F}"/>
            </c:ext>
          </c:extLst>
        </c:ser>
        <c:ser>
          <c:idx val="13"/>
          <c:order val="13"/>
          <c:tx>
            <c:strRef>
              <c:f>'назначаемость (расчет)'!$AJ$1</c:f>
              <c:strCache>
                <c:ptCount val="1"/>
                <c:pt idx="0">
                  <c:v>Назначено внешних кандидатов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7A74-4EF1-91F7-54000956D9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C8A989C-2B3F-415E-A312-170DD54EB858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1C45D3E5-0CD2-48D2-AC3E-1D40D18EF259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7A74-4EF1-91F7-54000956D98F}"/>
                </c:ext>
              </c:extLst>
            </c:dLbl>
            <c:numFmt formatCode="0%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'назначаемость (расчет)'!$AM$2:$AM$5</c15:sqref>
                  </c15:fullRef>
                </c:ext>
              </c:extLst>
              <c:f>'назначаемость (расчет)'!$AM$3:$AM$4</c:f>
              <c:strCache>
                <c:ptCount val="2"/>
                <c:pt idx="0">
                  <c:v>вакансии</c:v>
                </c:pt>
                <c:pt idx="1">
                  <c:v>назначения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'назначаемость (расчет)'!$AJ$2:$AJ$5</c15:sqref>
                  </c15:fullRef>
                </c:ext>
              </c:extLst>
              <c:f>'назначаемость (расчет)'!$AJ$3:$AJ$4</c:f>
              <c:numCache>
                <c:formatCode>General</c:formatCode>
                <c:ptCount val="2"/>
                <c:pt idx="1" formatCode="0%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'назначаемость (расчет)'!$AI$2:$AI$5</c15:f>
                <c15:dlblRangeCache>
                  <c:ptCount val="4"/>
                </c15:dlblRangeCache>
              </c15:datalabelsRange>
            </c:ext>
            <c:ext xmlns:c16="http://schemas.microsoft.com/office/drawing/2014/chart" uri="{C3380CC4-5D6E-409C-BE32-E72D297353CC}">
              <c16:uniqueId val="{00000006-7A74-4EF1-91F7-54000956D98F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98957424"/>
        <c:axId val="4989623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'назначаемость (расчет)'!$W$1</c15:sqref>
                        </c15:formulaRef>
                      </c:ext>
                    </c:extLst>
                    <c:strCache>
                      <c:ptCount val="1"/>
                      <c:pt idx="0">
                        <c:v>Кол-во вакансий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'назначаемость (расчет)'!$AM$2:$AM$5</c15:sqref>
                        </c15:fullRef>
                        <c15:formulaRef>
                          <c15:sqref>'назначаемость (расчет)'!$AM$3:$AM$4</c15:sqref>
                        </c15:formulaRef>
                      </c:ext>
                    </c:extLst>
                    <c:strCache>
                      <c:ptCount val="2"/>
                      <c:pt idx="0">
                        <c:v>вакансии</c:v>
                      </c:pt>
                      <c:pt idx="1">
                        <c:v>назначения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'назначаемость (расчет)'!$W$2:$W$5</c15:sqref>
                        </c15:fullRef>
                        <c15:formulaRef>
                          <c15:sqref>'назначаемость (расчет)'!$W$3:$W$4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47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7A74-4EF1-91F7-54000956D98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'назначаемость (расчет)'!$Y$1</c15:sqref>
                        </c15:formulaRef>
                      </c:ext>
                    </c:extLst>
                    <c:strCache>
                      <c:ptCount val="1"/>
                      <c:pt idx="0">
                        <c:v>Назначено резервистов, готовых к назначению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(расчет)'!$AM$2:$AM$5</c15:sqref>
                        </c15:fullRef>
                        <c15:formulaRef>
                          <c15:sqref>'назначаемость (расчет)'!$AM$3:$AM$4</c15:sqref>
                        </c15:formulaRef>
                      </c:ext>
                    </c:extLst>
                    <c:strCache>
                      <c:ptCount val="2"/>
                      <c:pt idx="0">
                        <c:v>вакансии</c:v>
                      </c:pt>
                      <c:pt idx="1">
                        <c:v>назначения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(расчет)'!$Y$2:$Y$5</c15:sqref>
                        </c15:fullRef>
                        <c15:formulaRef>
                          <c15:sqref>'назначаемость (расчет)'!$Y$3:$Y$4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1">
                        <c:v>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A74-4EF1-91F7-54000956D98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'назначаемость (расчет)'!$AA$1</c15:sqref>
                        </c15:formulaRef>
                      </c:ext>
                    </c:extLst>
                    <c:strCache>
                      <c:ptCount val="1"/>
                      <c:pt idx="0">
                        <c:v>Назначено резервистов, готовых краткосрочно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(расчет)'!$AM$2:$AM$5</c15:sqref>
                        </c15:fullRef>
                        <c15:formulaRef>
                          <c15:sqref>'назначаемость (расчет)'!$AM$3:$AM$4</c15:sqref>
                        </c15:formulaRef>
                      </c:ext>
                    </c:extLst>
                    <c:strCache>
                      <c:ptCount val="2"/>
                      <c:pt idx="0">
                        <c:v>вакансии</c:v>
                      </c:pt>
                      <c:pt idx="1">
                        <c:v>назначения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(расчет)'!$AA$2:$AA$5</c15:sqref>
                        </c15:fullRef>
                        <c15:formulaRef>
                          <c15:sqref>'назначаемость (расчет)'!$AA$3:$AA$4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1">
                        <c:v>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A74-4EF1-91F7-54000956D98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'назначаемость (расчет)'!$AC$1</c15:sqref>
                        </c15:formulaRef>
                      </c:ext>
                    </c:extLst>
                    <c:strCache>
                      <c:ptCount val="1"/>
                      <c:pt idx="0">
                        <c:v>Назначено резервистов, готовых среднесрочно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(расчет)'!$AM$2:$AM$5</c15:sqref>
                        </c15:fullRef>
                        <c15:formulaRef>
                          <c15:sqref>'назначаемость (расчет)'!$AM$3:$AM$4</c15:sqref>
                        </c15:formulaRef>
                      </c:ext>
                    </c:extLst>
                    <c:strCache>
                      <c:ptCount val="2"/>
                      <c:pt idx="0">
                        <c:v>вакансии</c:v>
                      </c:pt>
                      <c:pt idx="1">
                        <c:v>назначения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(расчет)'!$AC$2:$AC$5</c15:sqref>
                        </c15:fullRef>
                        <c15:formulaRef>
                          <c15:sqref>'назначаемость (расчет)'!$AC$3:$AC$4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1">
                        <c:v>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A74-4EF1-91F7-54000956D98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'назначаемость (расчет)'!$AE$1</c15:sqref>
                        </c15:formulaRef>
                      </c:ext>
                    </c:extLst>
                    <c:strCache>
                      <c:ptCount val="1"/>
                      <c:pt idx="0">
                        <c:v>Назначено внутренних сотрудников из списка КР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(расчет)'!$AM$2:$AM$5</c15:sqref>
                        </c15:fullRef>
                        <c15:formulaRef>
                          <c15:sqref>'назначаемость (расчет)'!$AM$3:$AM$4</c15:sqref>
                        </c15:formulaRef>
                      </c:ext>
                    </c:extLst>
                    <c:strCache>
                      <c:ptCount val="2"/>
                      <c:pt idx="0">
                        <c:v>вакансии</c:v>
                      </c:pt>
                      <c:pt idx="1">
                        <c:v>назначения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(расчет)'!$AE$2:$AE$5</c15:sqref>
                        </c15:fullRef>
                        <c15:formulaRef>
                          <c15:sqref>'назначаемость (расчет)'!$AE$3:$AE$4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1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A74-4EF1-91F7-54000956D98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'назначаемость (расчет)'!$AG$1</c15:sqref>
                        </c15:formulaRef>
                      </c:ext>
                    </c:extLst>
                    <c:strCache>
                      <c:ptCount val="1"/>
                      <c:pt idx="0">
                        <c:v>Назначено внутренних сотрудников не из списка КР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(расчет)'!$AM$2:$AM$5</c15:sqref>
                        </c15:fullRef>
                        <c15:formulaRef>
                          <c15:sqref>'назначаемость (расчет)'!$AM$3:$AM$4</c15:sqref>
                        </c15:formulaRef>
                      </c:ext>
                    </c:extLst>
                    <c:strCache>
                      <c:ptCount val="2"/>
                      <c:pt idx="0">
                        <c:v>вакансии</c:v>
                      </c:pt>
                      <c:pt idx="1">
                        <c:v>назначения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(расчет)'!$AG$2:$AG$5</c15:sqref>
                        </c15:fullRef>
                        <c15:formulaRef>
                          <c15:sqref>'назначаемость (расчет)'!$AG$3:$AG$4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1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A74-4EF1-91F7-54000956D98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'назначаемость (расчет)'!$AI$1</c15:sqref>
                        </c15:formulaRef>
                      </c:ext>
                    </c:extLst>
                    <c:strCache>
                      <c:ptCount val="1"/>
                      <c:pt idx="0">
                        <c:v>Назначено внешних кандидатов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(расчет)'!$AM$2:$AM$5</c15:sqref>
                        </c15:fullRef>
                        <c15:formulaRef>
                          <c15:sqref>'назначаемость (расчет)'!$AM$3:$AM$4</c15:sqref>
                        </c15:formulaRef>
                      </c:ext>
                    </c:extLst>
                    <c:strCache>
                      <c:ptCount val="2"/>
                      <c:pt idx="0">
                        <c:v>вакансии</c:v>
                      </c:pt>
                      <c:pt idx="1">
                        <c:v>назначения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'назначаемость (расчет)'!$AI$2:$AI$5</c15:sqref>
                        </c15:fullRef>
                        <c15:formulaRef>
                          <c15:sqref>'назначаемость (расчет)'!$AI$3:$AI$4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A74-4EF1-91F7-54000956D98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4"/>
          <c:order val="14"/>
          <c:tx>
            <c:strRef>
              <c:f>'назначаемость (расчет)'!$AK$1</c:f>
              <c:strCache>
                <c:ptCount val="1"/>
                <c:pt idx="0">
                  <c:v>Плановая назначаемость</c:v>
                </c:pt>
              </c:strCache>
            </c:strRef>
          </c:tx>
          <c:spPr>
            <a:ln w="381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A74-4EF1-91F7-54000956D9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2</c:v>
              </c:pt>
              <c:pt idx="1">
                <c:v>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'назначаемость (расчет)'!$AK$2:$AK$5</c15:sqref>
                  </c15:fullRef>
                </c:ext>
              </c:extLst>
              <c:f>'назначаемость (расчет)'!$AK$3:$AK$4</c:f>
              <c:numCache>
                <c:formatCode>0%</c:formatCode>
                <c:ptCount val="2"/>
                <c:pt idx="0">
                  <c:v>0.7</c:v>
                </c:pt>
                <c:pt idx="1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74-4EF1-91F7-54000956D98F}"/>
            </c:ext>
          </c:extLst>
        </c:ser>
        <c:ser>
          <c:idx val="15"/>
          <c:order val="15"/>
          <c:tx>
            <c:strRef>
              <c:f>'назначаемость (расчет)'!$AL$1</c:f>
              <c:strCache>
                <c:ptCount val="1"/>
                <c:pt idx="0">
                  <c:v>Фактическая назначаемость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A74-4EF1-91F7-54000956D9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2</c:v>
              </c:pt>
              <c:pt idx="1">
                <c:v>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'назначаемость (расчет)'!$AL$2:$AL$5</c15:sqref>
                  </c15:fullRef>
                </c:ext>
              </c:extLst>
              <c:f>'назначаемость (расчет)'!$AL$3:$AL$4</c:f>
              <c:numCache>
                <c:formatCode>0%</c:formatCode>
                <c:ptCount val="2"/>
                <c:pt idx="0">
                  <c:v>0.93617021276595747</c:v>
                </c:pt>
                <c:pt idx="1">
                  <c:v>0.93617021276595747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74-4EF1-91F7-54000956D9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72546440"/>
        <c:axId val="572546768"/>
      </c:lineChart>
      <c:catAx>
        <c:axId val="49895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962344"/>
        <c:crosses val="autoZero"/>
        <c:auto val="1"/>
        <c:lblAlgn val="ctr"/>
        <c:lblOffset val="100"/>
        <c:noMultiLvlLbl val="0"/>
      </c:catAx>
      <c:valAx>
        <c:axId val="49896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957424"/>
        <c:crosses val="autoZero"/>
        <c:crossBetween val="between"/>
      </c:valAx>
      <c:valAx>
        <c:axId val="57254676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2546440"/>
        <c:crosses val="max"/>
        <c:crossBetween val="between"/>
      </c:valAx>
      <c:catAx>
        <c:axId val="572546440"/>
        <c:scaling>
          <c:orientation val="minMax"/>
        </c:scaling>
        <c:delete val="1"/>
        <c:axPos val="b"/>
        <c:majorTickMark val="out"/>
        <c:minorTickMark val="none"/>
        <c:tickLblPos val="nextTo"/>
        <c:crossAx val="572546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281787028218171E-3"/>
          <c:y val="0.80281865503442928"/>
          <c:w val="0.98651986723860885"/>
          <c:h val="0.197181344965570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0"/>
    <c:dispBlanksAs val="gap"/>
    <c:showDLblsOverMax val="0"/>
  </c:chart>
  <c:spPr>
    <a:solidFill>
      <a:schemeClr val="bg1"/>
    </a:solidFill>
    <a:ln w="57150" cap="flat" cmpd="sng" algn="ctr">
      <a:solidFill>
        <a:schemeClr val="accent5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19050</xdr:rowOff>
        </xdr:from>
        <xdr:to>
          <xdr:col>23</xdr:col>
          <xdr:colOff>19050</xdr:colOff>
          <xdr:row>0</xdr:row>
          <xdr:rowOff>238125</xdr:rowOff>
        </xdr:to>
        <xdr:sp macro="" textlink="">
          <xdr:nvSpPr>
            <xdr:cNvPr id="94222" name="Button 14" hidden="1">
              <a:extLst>
                <a:ext uri="{63B3BB69-23CF-44E3-9099-C40C66FF867C}">
                  <a14:compatExt spid="_x0000_s94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ru-RU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Заполнить данные резервиста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23811</xdr:colOff>
      <xdr:row>21</xdr:row>
      <xdr:rowOff>71436</xdr:rowOff>
    </xdr:from>
    <xdr:to>
      <xdr:col>12</xdr:col>
      <xdr:colOff>349250</xdr:colOff>
      <xdr:row>40</xdr:row>
      <xdr:rowOff>42334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10584</xdr:colOff>
      <xdr:row>1</xdr:row>
      <xdr:rowOff>95250</xdr:rowOff>
    </xdr:from>
    <xdr:to>
      <xdr:col>12</xdr:col>
      <xdr:colOff>484192</xdr:colOff>
      <xdr:row>18</xdr:row>
      <xdr:rowOff>25663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84667</xdr:colOff>
      <xdr:row>1</xdr:row>
      <xdr:rowOff>84666</xdr:rowOff>
    </xdr:from>
    <xdr:to>
      <xdr:col>22</xdr:col>
      <xdr:colOff>1185333</xdr:colOff>
      <xdr:row>18</xdr:row>
      <xdr:rowOff>31749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AW_&#1073;&#1072;&#1079;&#1072;%20&#1082;&#1072;&#1076;&#1088;&#1086;&#1074;&#1086;&#1075;&#1086;%20&#1088;&#1077;&#1079;&#1077;&#1088;&#1074;&#107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M_&#1073;&#1072;&#1079;&#1072;%20&#1082;&#1072;&#1076;&#1088;&#1086;&#1074;&#1086;&#1075;&#1086;%20&#1088;&#1077;&#1079;&#1077;&#1088;&#1074;&#1072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G_&#1073;&#1072;&#1079;&#1072;%20&#1082;&#1072;&#1076;&#1088;&#1086;&#1074;&#1086;&#1075;&#1086;%20&#1088;&#1077;&#1079;&#1077;&#1088;&#1074;&#107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функц.направление"/>
      <sheetName val="RAW"/>
      <sheetName val="Тиккеры ФН"/>
      <sheetName val="БД_RAW"/>
      <sheetName val="Резерв_несколько_должностей"/>
      <sheetName val="Незащищенные_должности"/>
    </sheetNames>
    <sheetDataSet>
      <sheetData sheetId="0">
        <row r="29">
          <cell r="L29" t="str">
            <v>Стажировка</v>
          </cell>
        </row>
        <row r="30">
          <cell r="L30" t="str">
            <v>Назначить на промежуточную должность</v>
          </cell>
        </row>
        <row r="31">
          <cell r="L31" t="str">
            <v>Назначить ИО</v>
          </cell>
        </row>
        <row r="32">
          <cell r="L32" t="str">
            <v>Провести мотивационную беседу</v>
          </cell>
        </row>
        <row r="33">
          <cell r="L33" t="str">
            <v>Найти резервистов на должность резервиста</v>
          </cell>
        </row>
        <row r="34">
          <cell r="L34" t="str">
            <v>Рассмотреть дополнительные карьерные пути и горизонтальные ротации</v>
          </cell>
        </row>
        <row r="35">
          <cell r="L35" t="str">
            <v>Определить вопросы касающиеся оргструктур, уровней управления и тп</v>
          </cell>
        </row>
        <row r="36">
          <cell r="L36" t="str">
            <v>Провести повторно оценочные мероприятия</v>
          </cell>
        </row>
        <row r="37">
          <cell r="L37" t="str">
            <v xml:space="preserve">Провести горизонтальную ротацию </v>
          </cell>
        </row>
        <row r="38">
          <cell r="L38" t="str">
            <v>Прочее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функц.направление"/>
      <sheetName val="RM"/>
    </sheetNames>
    <sheetDataSet>
      <sheetData sheetId="0">
        <row r="29">
          <cell r="L29" t="str">
            <v>Стажировка</v>
          </cell>
        </row>
        <row r="30">
          <cell r="L30" t="str">
            <v>Назначить на промежуточную должность</v>
          </cell>
        </row>
        <row r="31">
          <cell r="L31" t="str">
            <v>Назначить ИО</v>
          </cell>
        </row>
        <row r="32">
          <cell r="L32" t="str">
            <v>Провести мотивационную беседу</v>
          </cell>
        </row>
        <row r="33">
          <cell r="L33" t="str">
            <v>Найти резервистов на должность резервиста</v>
          </cell>
        </row>
        <row r="34">
          <cell r="L34" t="str">
            <v>Рассмотреть дополнительные карьерные пути и горизонтальные ротации</v>
          </cell>
        </row>
        <row r="35">
          <cell r="L35" t="str">
            <v>Определить вопросы касающиеся оргструктур, уровней управления и тп</v>
          </cell>
        </row>
        <row r="36">
          <cell r="L36" t="str">
            <v>Провести повторно оценочные мероприятия</v>
          </cell>
        </row>
        <row r="37">
          <cell r="L37" t="str">
            <v xml:space="preserve">Провести горизонтальную ротацию </v>
          </cell>
        </row>
        <row r="38">
          <cell r="L38" t="str">
            <v>Прочее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функц.направление"/>
      <sheetName val="LG"/>
    </sheetNames>
    <sheetDataSet>
      <sheetData sheetId="0">
        <row r="29">
          <cell r="L29" t="str">
            <v>Стажировка</v>
          </cell>
        </row>
        <row r="30">
          <cell r="L30" t="str">
            <v>Назначить на промежуточную должность</v>
          </cell>
        </row>
        <row r="31">
          <cell r="L31" t="str">
            <v>Назначить ИО</v>
          </cell>
        </row>
        <row r="32">
          <cell r="L32" t="str">
            <v>Провести мотивационную беседу</v>
          </cell>
        </row>
        <row r="33">
          <cell r="L33" t="str">
            <v>Найти резервистов на должность резервиста</v>
          </cell>
        </row>
        <row r="34">
          <cell r="L34" t="str">
            <v>Рассмотреть дополнительные карьерные пути и горизонтальные ротации</v>
          </cell>
        </row>
        <row r="35">
          <cell r="L35" t="str">
            <v>Определить вопросы касающиеся оргструктур, уровней управления и тп</v>
          </cell>
        </row>
        <row r="36">
          <cell r="L36" t="str">
            <v>Провести повторно оценочные мероприятия</v>
          </cell>
        </row>
        <row r="37">
          <cell r="L37" t="str">
            <v xml:space="preserve">Провести горизонтальную ротацию </v>
          </cell>
        </row>
        <row r="38">
          <cell r="L38" t="str">
            <v>Прочее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дкопаева Дарья Максимовна" refreshedDate="45120.574065393521" createdVersion="6" refreshedVersion="6" minRefreshableVersion="3" recordCount="4468">
  <cacheSource type="worksheet">
    <worksheetSource name="База_КР_КК"/>
  </cacheSource>
  <cacheFields count="31">
    <cacheField name="ФН резервируемой должности" numFmtId="0">
      <sharedItems/>
    </cacheField>
    <cacheField name="Уровень КК" numFmtId="1">
      <sharedItems containsMixedTypes="1" containsNumber="1" containsInteger="1" minValue="2" maxValue="4"/>
    </cacheField>
    <cacheField name="Дата включения в резерв" numFmtId="14">
      <sharedItems containsSemiMixedTypes="0" containsNonDate="0" containsDate="1" containsString="0" minDate="2017-02-21T00:00:00" maxDate="2023-06-24T00:00:00"/>
    </cacheField>
    <cacheField name="Кол-во резервируемых должностей" numFmtId="0">
      <sharedItems containsSemiMixedTypes="0" containsString="0" containsNumber="1" containsInteger="1" minValue="0" maxValue="1"/>
    </cacheField>
    <cacheField name="Уровень защищенности должности" numFmtId="0">
      <sharedItems/>
    </cacheField>
    <cacheField name="ИД рабочего места (A)_x000a_" numFmtId="1">
      <sharedItems containsSemiMixedTypes="0" containsString="0" containsNumber="1" containsInteger="1" minValue="500001" maxValue="500761"/>
    </cacheField>
    <cacheField name="ИД штатной должности (S)_x000a_" numFmtId="1">
      <sharedItems containsMixedTypes="1" containsNumber="1" containsInteger="1" minValue="50501619" maxValue="52634190" count="2279">
        <s v="500045-1"/>
        <s v="500527-1"/>
        <s v="500528-1"/>
        <s v="500529-1"/>
        <s v="500530-1"/>
        <s v="500548-1"/>
        <s v="500078-1"/>
        <s v="500079-1"/>
        <s v="500715-1"/>
        <s v="500714-1"/>
        <s v="500296-1"/>
        <s v="500297-1"/>
        <s v="500300-1"/>
        <s v="500308-1"/>
        <s v="500327-1"/>
        <s v="500328-1"/>
        <s v="500310-1"/>
        <s v="500620-1"/>
        <s v="500619-1"/>
        <s v="500617-1"/>
        <s v="500618-1"/>
        <s v="500630-1"/>
        <s v="500637-1"/>
        <s v="500012-1"/>
        <s v="500014-1"/>
        <s v="500329-1"/>
        <s v="500330-1"/>
        <s v="500331-1"/>
        <s v="500332-1"/>
        <s v="500333-1"/>
        <s v="500334-1"/>
        <s v="500335-1"/>
        <s v="500335-2"/>
        <s v="500335-3"/>
        <s v="500336-1"/>
        <s v="500337-1"/>
        <s v="500337-2"/>
        <s v="500337-3"/>
        <s v="500337-4"/>
        <s v="500338-1"/>
        <s v="500338-2"/>
        <s v="500338-3"/>
        <s v="500338-4"/>
        <s v="500339-1"/>
        <s v="500340-1"/>
        <s v="500341-1"/>
        <s v="500342-1"/>
        <s v="500342-2"/>
        <s v="500342-3"/>
        <s v="500343-1"/>
        <s v="500344-1"/>
        <s v="500345-1"/>
        <s v="500346-1"/>
        <s v="500347-1"/>
        <s v="500347-2"/>
        <s v="500347-3"/>
        <s v="500347-4"/>
        <s v="500354-1"/>
        <s v="500355-1"/>
        <s v="500366-1"/>
        <s v="500367-1"/>
        <s v="500367-2"/>
        <s v="500367-3"/>
        <s v="500368-1"/>
        <s v="500372-1"/>
        <s v="500373-1"/>
        <s v="500373-2"/>
        <s v="500373-3"/>
        <s v="500374-2"/>
        <s v="500374-3"/>
        <s v="500375-1"/>
        <s v="500375-2"/>
        <s v="500375-3"/>
        <s v="500376-1"/>
        <s v="500377-1"/>
        <s v="500377-2"/>
        <s v="500377-3"/>
        <s v="500377-4"/>
        <s v="500379-1"/>
        <s v="500380-1"/>
        <s v="500380-2"/>
        <s v="500380-3"/>
        <s v="500380-4"/>
        <s v="500381-1"/>
        <s v="500382-1"/>
        <s v="500383-1"/>
        <s v="500384-1"/>
        <s v="500044-1"/>
        <s v="500517-1"/>
        <s v="500517-2"/>
        <s v="500517-3"/>
        <s v="500517-4"/>
        <s v="500052-1"/>
        <s v="500053-1"/>
        <s v="500054-1"/>
        <s v="500055-1"/>
        <s v="500056-1"/>
        <s v="500057-1"/>
        <s v="500058-1"/>
        <s v="500059-1"/>
        <s v="500060-1"/>
        <s v="500061-1"/>
        <s v="500544-1"/>
        <s v="500547-1"/>
        <s v="500367-4"/>
        <s v="500374-4"/>
        <s v="500373-4"/>
        <s v="500378-1"/>
        <s v="500239-1"/>
        <s v="500238-1"/>
        <s v="500239-2"/>
        <s v="500239-3"/>
        <s v="500239-4"/>
        <s v="500335-4"/>
        <s v="500342-4"/>
        <s v="500240-1"/>
        <s v="500241-1"/>
        <s v="500242-1"/>
        <s v="500242-2"/>
        <s v="500242-3"/>
        <s v="500242-4"/>
        <s v="500243-1"/>
        <s v="500244-1"/>
        <s v="500245-1"/>
        <s v="500246-1"/>
        <s v="500247-1"/>
        <s v="500248-1"/>
        <s v="500249-1"/>
        <s v="500572-1"/>
        <s v="500373-5"/>
        <s v="500373-6"/>
        <s v="500573-1"/>
        <s v="500602-1"/>
        <s v="500612-1"/>
        <s v="500613-1"/>
        <s v="500623-1"/>
        <s v="500716-1"/>
        <s v="500626-1"/>
        <s v="500656-1"/>
        <s v="500667-1"/>
        <s v="500668-1"/>
        <s v="500658-1"/>
        <s v="500657-1"/>
        <s v="500657-2"/>
        <s v="500657-3"/>
        <s v="500657-4"/>
        <s v="500669-1"/>
        <s v="500664-1"/>
        <s v="500665-1"/>
        <s v="500648-1"/>
        <s v="500649-1"/>
        <s v="500650-1"/>
        <s v="500650-2"/>
        <s v="500650-3"/>
        <s v="500650-4"/>
        <s v="500645-1"/>
        <s v="500646-1"/>
        <s v="500663-1"/>
        <s v="500663-2"/>
        <s v="500663-3"/>
        <s v="500663-4"/>
        <s v="500671-1"/>
        <s v="500670-1"/>
        <s v="500666-1"/>
        <s v="500661-1"/>
        <s v="500662-1"/>
        <s v="500662-2"/>
        <s v="500662-3"/>
        <s v="500662-4"/>
        <s v="500662-5"/>
        <s v="500662-6"/>
        <s v="500662-7"/>
        <s v="500662-8"/>
        <s v="500672-1"/>
        <s v="500673-1"/>
        <s v="500676-1"/>
        <s v="500677-1"/>
        <s v="500678-1"/>
        <s v="500660-1"/>
        <s v="500674-1"/>
        <s v="500675-1"/>
        <s v="500675-2"/>
        <s v="500675-3"/>
        <s v="500675-4"/>
        <s v="500679-1"/>
        <s v="500659-1"/>
        <s v="500651-1"/>
        <s v="500652-1"/>
        <s v="500652-2"/>
        <s v="500652-3"/>
        <s v="500652-4"/>
        <s v="500647-1"/>
        <s v="500653-1"/>
        <s v="500653-2"/>
        <s v="500653-3"/>
        <s v="500653-4"/>
        <s v="500654-1"/>
        <s v="500655-1"/>
        <s v="500655-2"/>
        <s v="500655-3"/>
        <s v="500655-4"/>
        <s v="500680-1"/>
        <s v="500727-1"/>
        <s v="500728-1"/>
        <s v="500729-1"/>
        <s v="500730-1"/>
        <s v="500731-1"/>
        <s v="500732-1"/>
        <s v="500733-1"/>
        <s v="500734-1"/>
        <s v="500036-1"/>
        <s v="500575-1"/>
        <s v="500035-1"/>
        <s v="500574-1"/>
        <s v="500037-1"/>
        <s v="500039-1"/>
        <s v="500038-1"/>
        <s v="500586-1"/>
        <s v="500588-1"/>
        <s v="500589-1"/>
        <s v="500590-1"/>
        <s v="500633-1"/>
        <s v="500634-1"/>
        <s v="500635-1"/>
        <s v="500638-1"/>
        <s v="500643-1"/>
        <s v="500006-1"/>
        <s v="500010-1"/>
        <s v="500011-1"/>
        <s v="500023-1"/>
        <s v="500023-2"/>
        <s v="500023-3"/>
        <s v="500040-1"/>
        <s v="500160-1"/>
        <s v="500186-1"/>
        <s v="500186-2"/>
        <s v="500186-3"/>
        <s v="500213-1"/>
        <s v="500213-2"/>
        <s v="500213-3"/>
        <s v="500213-4"/>
        <s v="500216-1"/>
        <s v="500217-1"/>
        <s v="500222-1"/>
        <s v="500222-2"/>
        <s v="500023-4"/>
        <s v="500186-4"/>
        <s v="500222-3"/>
        <s v="500222-4"/>
        <s v="500570-1"/>
        <s v="500570-2"/>
        <s v="500570-3"/>
        <s v="500570-4"/>
        <s v="500578-1"/>
        <s v="500579-1"/>
        <s v="500580-1"/>
        <s v="500580-2"/>
        <s v="500580-3"/>
        <s v="500580-4"/>
        <s v="500631-1"/>
        <s v="500682-1"/>
        <s v="500694-1"/>
        <s v="500688-1"/>
        <s v="500688-2"/>
        <s v="500688-3"/>
        <s v="500688-4"/>
        <s v="500689-1"/>
        <s v="500689-2"/>
        <s v="500690-1"/>
        <s v="500690-2"/>
        <s v="500691-1"/>
        <s v="500687-1"/>
        <s v="500686-1"/>
        <s v="500692-1"/>
        <s v="500693-1"/>
        <s v="500683-1"/>
        <s v="500684-1"/>
        <s v="500685-1"/>
        <s v="500169-1"/>
        <s v="500695-1"/>
        <s v="500696-1"/>
        <s v="500697-1"/>
        <s v="500698-1"/>
        <s v="500280-1"/>
        <s v="500281-1"/>
        <s v="500282-1"/>
        <s v="500283-1"/>
        <s v="500284-1"/>
        <s v="500284-2"/>
        <s v="500284-3"/>
        <s v="500285-1"/>
        <s v="500286-1"/>
        <s v="500287-1"/>
        <s v="500288-1"/>
        <s v="500288-2"/>
        <s v="500288-3"/>
        <s v="500288-4"/>
        <s v="500289-1"/>
        <s v="500290-1"/>
        <s v="500291-1"/>
        <s v="500291-2"/>
        <s v="500291-3"/>
        <s v="500291-4"/>
        <s v="500439-1"/>
        <s v="500440-1"/>
        <s v="500441-1"/>
        <s v="500441-2"/>
        <s v="500441-3"/>
        <s v="500441-4"/>
        <s v="500442-1"/>
        <s v="500443-1"/>
        <s v="500444-1"/>
        <s v="500444-2"/>
        <s v="500444-3"/>
        <s v="500444-4"/>
        <s v="500445-1"/>
        <s v="500446-1"/>
        <s v="500447-1"/>
        <s v="500448-1"/>
        <s v="500448-2"/>
        <s v="500448-3"/>
        <s v="500448-4"/>
        <s v="500449-1"/>
        <s v="500450-1"/>
        <s v="500041-1"/>
        <s v="500451-1"/>
        <s v="500452-1"/>
        <s v="500453-1"/>
        <s v="500453-2"/>
        <s v="500453-3"/>
        <s v="500454-1"/>
        <s v="500455-1"/>
        <s v="500455-2"/>
        <s v="500455-3"/>
        <s v="500455-4"/>
        <s v="500456-1"/>
        <s v="500457-1"/>
        <s v="500457-2"/>
        <s v="500457-3"/>
        <s v="500458-1"/>
        <s v="500459-1"/>
        <s v="500460-1"/>
        <s v="500461-1"/>
        <s v="500461-2"/>
        <s v="500461-3"/>
        <s v="500461-4"/>
        <s v="500462-1"/>
        <s v="500463-1"/>
        <s v="500464-1"/>
        <s v="500465-1"/>
        <s v="500466-1"/>
        <s v="500467-1"/>
        <s v="500192-1"/>
        <s v="500193-1"/>
        <s v="500194-1"/>
        <s v="500195-1"/>
        <s v="500196-1"/>
        <s v="500196-2"/>
        <s v="500196-3"/>
        <s v="500196-4"/>
        <s v="500197-1"/>
        <s v="500198-1"/>
        <s v="500199-1"/>
        <s v="500200-1"/>
        <s v="500201-1"/>
        <s v="500201-2"/>
        <s v="500201-3"/>
        <s v="500201-4"/>
        <s v="500202-1"/>
        <s v="500202-2"/>
        <s v="500202-3"/>
        <s v="500202-4"/>
        <s v="500203-1"/>
        <s v="500204-1"/>
        <s v="500205-1"/>
        <s v="500206-1"/>
        <s v="500206-2"/>
        <s v="500206-3"/>
        <s v="500206-4"/>
        <s v="500207-1"/>
        <s v="500208-1"/>
        <s v="500218-1"/>
        <s v="500219-1"/>
        <s v="500221-1"/>
        <s v="500046-1"/>
        <s v="500223-1"/>
        <s v="500224-1"/>
        <s v="500225-1"/>
        <s v="500226-1"/>
        <s v="500227-1"/>
        <s v="500227-2"/>
        <s v="500227-3"/>
        <s v="500227-4"/>
        <s v="500228-1"/>
        <s v="500229-1"/>
        <s v="500230-1"/>
        <s v="500230-2"/>
        <s v="500230-3"/>
        <s v="500230-4"/>
        <s v="500531-1"/>
        <s v="500532-1"/>
        <s v="500232-1"/>
        <s v="500232-2"/>
        <s v="500232-3"/>
        <s v="500232-4"/>
        <s v="500233-1"/>
        <s v="500234-1"/>
        <s v="500235-1"/>
        <s v="500235-4"/>
        <s v="500235-3"/>
        <s v="500235-2"/>
        <s v="500236-1"/>
        <s v="500237-1"/>
        <s v="500237-2"/>
        <s v="500237-3"/>
        <s v="500237-4"/>
        <s v="500231-1"/>
        <s v="500260-1"/>
        <s v="500269-1"/>
        <s v="500284-4"/>
        <s v="500453-4"/>
        <s v="500457-4"/>
        <s v="500255-1"/>
        <s v="500256-1"/>
        <s v="500257-1"/>
        <s v="500257-2"/>
        <s v="500257-3"/>
        <s v="500257-4"/>
        <s v="500258-1"/>
        <s v="500259-1"/>
        <s v="500260-2"/>
        <s v="500260-3"/>
        <s v="500260-4"/>
        <s v="500261-1"/>
        <s v="500262-1"/>
        <s v="500263-1"/>
        <s v="500263-2"/>
        <s v="500263-3"/>
        <s v="500263-4"/>
        <s v="500264-1"/>
        <s v="500265-1"/>
        <s v="500266-1"/>
        <s v="500266-2"/>
        <s v="500266-3"/>
        <s v="500266-4"/>
        <s v="500267-1"/>
        <s v="500268-1"/>
        <s v="500270-1"/>
        <s v="500271-1"/>
        <s v="500272-1"/>
        <s v="500272-2"/>
        <s v="500273-1"/>
        <s v="500273-2"/>
        <s v="500273-3"/>
        <s v="500273-4"/>
        <s v="500274-1"/>
        <s v="500274-2"/>
        <s v="500274-3"/>
        <s v="500275-1"/>
        <s v="500276-1"/>
        <s v="500277-1"/>
        <s v="500278-1"/>
        <s v="500279-1"/>
        <s v="500279-2"/>
        <s v="500279-3"/>
        <s v="500551-1"/>
        <s v="500274-4"/>
        <s v="500279-4"/>
        <s v="500581-1"/>
        <s v="500583-1"/>
        <s v="500582-1"/>
        <s v="500614-1"/>
        <s v="500614-2"/>
        <s v="500614-3"/>
        <s v="500614-4"/>
        <s v="500636-1"/>
        <s v="500712-1"/>
        <s v="500713-1"/>
        <s v="500722-1"/>
        <s v="500724-1"/>
        <s v="500725-1"/>
        <s v="500726-1"/>
        <s v="500004-1"/>
        <s v="500122-1"/>
        <s v="500138-1"/>
        <s v="500139-1"/>
        <s v="500140-1"/>
        <s v="500141-1"/>
        <s v="500144-1"/>
        <s v="500144-2"/>
        <s v="500145-1"/>
        <s v="500025-1"/>
        <s v="500026-1"/>
        <s v="500147-1"/>
        <s v="500029-1"/>
        <s v="500030-1"/>
        <s v="500031-1"/>
        <s v="500032-1"/>
        <s v="500148-1"/>
        <s v="500033-1"/>
        <s v="500034-1"/>
        <s v="500149-1"/>
        <s v="500150-1"/>
        <s v="500546-1"/>
        <s v="500024-1"/>
        <s v="500087-1"/>
        <s v="500735-1"/>
        <s v="500736-1"/>
        <s v="500748-1"/>
        <s v="500749-1"/>
        <s v="500750-1"/>
        <s v="500741-1"/>
        <s v="500751-1"/>
        <s v="500752-1"/>
        <s v="500753-1"/>
        <s v="500754-1"/>
        <s v="500755-1"/>
        <s v="500756-1"/>
        <s v="500742-1"/>
        <s v="500745-1"/>
        <s v="500743-1"/>
        <s v="500737-1"/>
        <s v="500738-1"/>
        <s v="500739-1"/>
        <s v="500757-1"/>
        <s v="500760-1"/>
        <s v="500759-1"/>
        <s v="500761-1"/>
        <s v="500758-1"/>
        <s v="500088-1"/>
        <s v="500089-1"/>
        <s v="500090-1"/>
        <s v="500091-1"/>
        <s v="500092-1"/>
        <s v="500093-1"/>
        <s v="500094-1"/>
        <s v="500095-1"/>
        <s v="500095-2"/>
        <s v="500096-1"/>
        <s v="500096-2"/>
        <s v="500096-3"/>
        <s v="500096-4"/>
        <s v="500097-1"/>
        <s v="500098-1"/>
        <s v="500098-2"/>
        <s v="500099-1"/>
        <s v="500099-2"/>
        <s v="500099-3"/>
        <s v="500099-4"/>
        <s v="500100-1"/>
        <s v="500101-1"/>
        <s v="500102-1"/>
        <s v="500103-1"/>
        <s v="500104-1"/>
        <s v="500105-1"/>
        <s v="500105-2"/>
        <s v="500106-1"/>
        <s v="500107-1"/>
        <s v="500108-1"/>
        <s v="500109-1"/>
        <s v="500110-1"/>
        <s v="500110-2"/>
        <s v="500111-1"/>
        <s v="500112-1"/>
        <s v="500113-1"/>
        <s v="500113-2"/>
        <s v="500113-3"/>
        <s v="500113-4"/>
        <s v="500114-1"/>
        <s v="500115-1"/>
        <s v="500116-1"/>
        <s v="500117-1"/>
        <s v="500118-1"/>
        <s v="500119-1"/>
        <s v="500121-1"/>
        <s v="500558-1"/>
        <s v="500552-1"/>
        <s v="500553-1"/>
        <s v="500553-2"/>
        <s v="500554-1"/>
        <s v="500609-1"/>
        <s v="500556-1"/>
        <s v="500557-1"/>
        <s v="500559-1"/>
        <s v="500561-1"/>
        <s v="500560-1"/>
        <s v="500562-1"/>
        <s v="500571-1"/>
        <s v="500563-1"/>
        <s v="500564-1"/>
        <s v="500565-1"/>
        <s v="500566-1"/>
        <s v="500567-1"/>
        <s v="500568-1"/>
        <s v="500569-1"/>
        <s v="500584-1"/>
        <s v="500584-2"/>
        <s v="500584-3"/>
        <s v="500584-4"/>
        <s v="500585-1"/>
        <s v="500585-2"/>
        <s v="500746-1"/>
        <s v="500587-1"/>
        <s v="500744-1"/>
        <s v="500595-1"/>
        <s v="500596-1"/>
        <s v="500597-1"/>
        <s v="500594-1"/>
        <s v="500553-3"/>
        <s v="500553-4"/>
        <s v="500603-1"/>
        <s v="500604-1"/>
        <s v="500605-1"/>
        <s v="500605-2"/>
        <s v="500599-1"/>
        <s v="500555-1"/>
        <s v="500555-2"/>
        <s v="500606-1"/>
        <s v="500607-1"/>
        <s v="500142-1"/>
        <s v="500608-1"/>
        <s v="500143-1"/>
        <s v="500600-1"/>
        <s v="500598-1"/>
        <s v="500601-1"/>
        <s v="500615-1"/>
        <s v="500628-1"/>
        <s v="500629-1"/>
        <s v="500629-2"/>
        <s v="500681-1"/>
        <s v="500740-1"/>
        <s v="500120-1"/>
        <s v="500120-2"/>
        <s v="500120-3"/>
        <s v="500120-4"/>
        <s v="500711-1"/>
        <s v="500553-5"/>
        <s v="500553-6"/>
        <s v="500553-7"/>
        <s v="500553-8"/>
        <s v="500747-1"/>
        <s v="500717-1"/>
        <s v="500718-1"/>
        <s v="500723-1"/>
        <s v="500629-3"/>
        <s v="500001-1"/>
        <s v="500007-1"/>
        <s v="500009-1"/>
        <s v="500013-1"/>
        <s v="500015-1"/>
        <s v="500123-1"/>
        <s v="500124-1"/>
        <s v="500125-1"/>
        <s v="500126-1"/>
        <s v="500127-1"/>
        <s v="500128-1"/>
        <s v="500128-2"/>
        <s v="500128-3"/>
        <s v="500128-4"/>
        <s v="500129-1"/>
        <s v="500130-1"/>
        <s v="500130-2"/>
        <s v="500130-3"/>
        <s v="500130-4"/>
        <s v="500131-1"/>
        <s v="500132-1"/>
        <s v="500133-1"/>
        <s v="500134-1"/>
        <s v="500134-2"/>
        <s v="500134-3"/>
        <s v="500134-4"/>
        <s v="500017-1"/>
        <s v="500135-1"/>
        <s v="500135-2"/>
        <s v="500135-3"/>
        <s v="500135-4"/>
        <s v="500136-1"/>
        <s v="500137-1"/>
        <s v="500298-1"/>
        <s v="500299-1"/>
        <s v="500299-2"/>
        <s v="500299-3"/>
        <s v="500299-4"/>
        <s v="500301-1"/>
        <s v="500302-1"/>
        <s v="500303-1"/>
        <s v="500304-1"/>
        <s v="500305-1"/>
        <s v="500306-1"/>
        <s v="500307-1"/>
        <s v="500309-1"/>
        <s v="500018-1"/>
        <s v="500019-1"/>
        <s v="500311-1"/>
        <s v="500311-2"/>
        <s v="500311-3"/>
        <s v="500311-4"/>
        <s v="500312-1"/>
        <s v="500313-1"/>
        <s v="500314-1"/>
        <s v="500314-4"/>
        <s v="500314-3"/>
        <s v="500314-2"/>
        <s v="500315-1"/>
        <s v="500315-4"/>
        <s v="500315-2"/>
        <s v="500315-3"/>
        <s v="500316-1"/>
        <s v="500317-1"/>
        <s v="500318-1"/>
        <s v="500319-3"/>
        <s v="500319-1"/>
        <s v="500319-2"/>
        <s v="500319-4"/>
        <s v="500320-1"/>
        <s v="500321-1"/>
        <s v="500321-2"/>
        <s v="500321-3"/>
        <s v="500321-4"/>
        <s v="500322-1"/>
        <s v="500323-3"/>
        <s v="500323-1"/>
        <s v="500323-2"/>
        <s v="500324-1"/>
        <s v="500020-1"/>
        <s v="500325-1"/>
        <s v="500325-2"/>
        <s v="500325-3"/>
        <s v="500325-4"/>
        <s v="500326-1"/>
        <s v="500326-2"/>
        <s v="500326-3"/>
        <s v="500326-4"/>
        <s v="500021-1"/>
        <s v="500022-1"/>
        <s v="500042-1"/>
        <s v="500043-1"/>
        <s v="500151-1"/>
        <s v="500151-2"/>
        <s v="500151-3"/>
        <s v="500151-4"/>
        <s v="500152-1"/>
        <s v="500152-2"/>
        <s v="500152-3"/>
        <s v="500152-4"/>
        <s v="500153-1"/>
        <s v="500153-2"/>
        <s v="500153-3"/>
        <s v="500153-4"/>
        <s v="500154-1"/>
        <s v="500154-2"/>
        <s v="500155-1"/>
        <s v="500156-1"/>
        <s v="500157-1"/>
        <s v="500158-1"/>
        <s v="500159-1"/>
        <s v="500161-1"/>
        <s v="500162-1"/>
        <s v="500162-2"/>
        <s v="500162-3"/>
        <s v="500162-4"/>
        <s v="500163-1"/>
        <s v="500164-1"/>
        <s v="500165-1"/>
        <s v="500166-1"/>
        <s v="500167-1"/>
        <s v="500168-1"/>
        <s v="500170-1"/>
        <s v="500170-2"/>
        <s v="500170-3"/>
        <s v="500170-4"/>
        <s v="500171-1"/>
        <s v="500172-1"/>
        <s v="500172-2"/>
        <s v="500173-1"/>
        <s v="500173-2"/>
        <s v="500173-3"/>
        <s v="500173-4"/>
        <s v="500174-1"/>
        <s v="500175-1"/>
        <s v="500175-2"/>
        <s v="500175-3"/>
        <s v="500176-1"/>
        <s v="500177-1"/>
        <s v="500177-2"/>
        <s v="500177-3"/>
        <s v="500177-4"/>
        <s v="500178-1"/>
        <s v="500178-2"/>
        <s v="500178-3"/>
        <s v="500178-4"/>
        <s v="500179-1"/>
        <s v="500180-1"/>
        <s v="500180-2"/>
        <s v="500180-3"/>
        <s v="500180-4"/>
        <s v="500181-1"/>
        <s v="500182-1"/>
        <s v="500182-2"/>
        <s v="500182-3"/>
        <s v="500182-4"/>
        <s v="500183-1"/>
        <s v="500183-2"/>
        <s v="500183-3"/>
        <s v="500183-4"/>
        <s v="500184-1"/>
        <s v="500185-1"/>
        <s v="500187-1"/>
        <s v="500188-1"/>
        <s v="500188-2"/>
        <s v="500188-3"/>
        <s v="500188-4"/>
        <s v="500189-1"/>
        <s v="500190-1"/>
        <s v="500191-1"/>
        <s v="500191-2"/>
        <s v="500191-3"/>
        <s v="500191-4"/>
        <s v="500515-1"/>
        <s v="500516-1"/>
        <s v="500049-1"/>
        <s v="500050-1"/>
        <s v="500051-1"/>
        <s v="500535-1"/>
        <s v="500535-2"/>
        <s v="500539-1"/>
        <s v="500540-1"/>
        <s v="500540-2"/>
        <s v="500540-3"/>
        <s v="500540-4"/>
        <s v="500541-1"/>
        <s v="500541-2"/>
        <s v="500541-3"/>
        <s v="500541-4"/>
        <s v="500543-1"/>
        <s v="500062-1"/>
        <s v="500063-1"/>
        <s v="500323-4"/>
        <s v="500175-4"/>
        <s v="500064-1"/>
        <s v="500065-1"/>
        <s v="500066-1"/>
        <s v="500067-1"/>
        <s v="500068-1"/>
        <s v="500069-1"/>
        <s v="500070-1"/>
        <s v="500071-1"/>
        <s v="500072-1"/>
        <s v="500073-1"/>
        <s v="500074-1"/>
        <s v="500075-1"/>
        <s v="500076-1"/>
        <s v="500077-1"/>
        <s v="500549-1"/>
        <s v="500624-1"/>
        <s v="500146-1"/>
        <s v="500086-1"/>
        <s v="500550-1"/>
        <s v="500625-1"/>
        <s v="500627-1"/>
        <s v="500632-1"/>
        <s v="500008-1"/>
        <s v="500292-1"/>
        <s v="500293-1"/>
        <s v="500294-1"/>
        <s v="500295-1"/>
        <s v="500220-1"/>
        <s v="500047-1"/>
        <s v="500048-1"/>
        <s v="500542-1"/>
        <s v="500250-1"/>
        <s v="500251-1"/>
        <s v="500252-1"/>
        <s v="500253-1"/>
        <s v="500254-1"/>
        <s v="500701-1"/>
        <s v="500699-1"/>
        <s v="500703-1"/>
        <s v="500710-1"/>
        <s v="500700-1"/>
        <s v="500702-1"/>
        <s v="500704-1"/>
        <s v="500705-1"/>
        <s v="500706-1"/>
        <s v="500707-1"/>
        <s v="500708-1"/>
        <s v="500709-1"/>
        <s v="500002-1"/>
        <s v="500003-1"/>
        <s v="500005-1"/>
        <s v="500016-1"/>
        <s v="500027-1"/>
        <s v="500028-1"/>
        <s v="500348-1"/>
        <s v="500349-1"/>
        <s v="500349-2"/>
        <s v="500349-3"/>
        <s v="500349-4"/>
        <s v="500350-1"/>
        <s v="500351-1"/>
        <s v="500352-1"/>
        <s v="500353-1"/>
        <s v="500356-1"/>
        <s v="500357-1"/>
        <s v="500358-1"/>
        <s v="500359-1"/>
        <s v="500360-1"/>
        <s v="500361-1"/>
        <s v="500362-1"/>
        <s v="500363-1"/>
        <s v="500363-2"/>
        <s v="500363-3"/>
        <s v="500364-1"/>
        <s v="500365-1"/>
        <s v="500369-1"/>
        <s v="500370-1"/>
        <s v="500371-1"/>
        <s v="500371-2"/>
        <s v="500371-3"/>
        <s v="500371-4"/>
        <s v="500385-1"/>
        <s v="500385-2"/>
        <s v="500385-3"/>
        <s v="500385-4"/>
        <s v="500386-1"/>
        <s v="500387-1"/>
        <s v="500388-1"/>
        <s v="500389-1"/>
        <s v="500390-1"/>
        <s v="500391-1"/>
        <s v="500392-1"/>
        <s v="500393-1"/>
        <s v="500394-1"/>
        <s v="500395-1"/>
        <s v="500396-1"/>
        <s v="500397-1"/>
        <s v="500398-1"/>
        <s v="500399-1"/>
        <s v="500400-1"/>
        <s v="500401-1"/>
        <s v="500402-1"/>
        <s v="500403-1"/>
        <s v="500404-1"/>
        <s v="500405-1"/>
        <s v="500406-1"/>
        <s v="500407-1"/>
        <s v="500408-1"/>
        <s v="500409-1"/>
        <s v="500409-2"/>
        <s v="500409-3"/>
        <s v="500409-4"/>
        <s v="500410-1"/>
        <s v="500410-2"/>
        <s v="500410-3"/>
        <s v="500411-1"/>
        <s v="500412-1"/>
        <s v="500412-2"/>
        <s v="500413-1"/>
        <s v="500414-1"/>
        <s v="500414-2"/>
        <s v="500415-1"/>
        <s v="500416-1"/>
        <s v="500417-1"/>
        <s v="500417-2"/>
        <s v="500417-3"/>
        <s v="500418-1"/>
        <s v="500419-1"/>
        <s v="500420-1"/>
        <s v="500421-1"/>
        <s v="500422-1"/>
        <s v="500423-1"/>
        <s v="500424-1"/>
        <s v="500425-1"/>
        <s v="500426-1"/>
        <s v="500426-2"/>
        <s v="500426-3"/>
        <s v="500426-4"/>
        <s v="500426-5"/>
        <s v="500427-1"/>
        <s v="500428-1"/>
        <s v="500429-1"/>
        <s v="500430-1"/>
        <s v="500431-1"/>
        <s v="500432-1"/>
        <s v="500433-1"/>
        <s v="500434-1"/>
        <s v="500435-1"/>
        <s v="500436-1"/>
        <s v="500437-1"/>
        <s v="500437-2"/>
        <s v="500437-3"/>
        <s v="500437-4"/>
        <s v="500438-1"/>
        <s v="500438-2"/>
        <s v="500438-3"/>
        <s v="500438-4"/>
        <s v="500438-5"/>
        <s v="500468-1"/>
        <s v="500469-1"/>
        <s v="500470-1"/>
        <s v="500471-1"/>
        <s v="500471-2"/>
        <s v="500471-3"/>
        <s v="500472-1"/>
        <s v="500473-1"/>
        <s v="500474-1"/>
        <s v="500475-1"/>
        <s v="500476-1"/>
        <s v="500476-2"/>
        <s v="500477-1"/>
        <s v="500478-1"/>
        <s v="500479-1"/>
        <s v="500479-2"/>
        <s v="500479-3"/>
        <s v="500479-4"/>
        <s v="500479-5"/>
        <s v="500479-6"/>
        <s v="500479-7"/>
        <s v="500480-1"/>
        <s v="500481-1"/>
        <s v="500481-2"/>
        <s v="500481-3"/>
        <s v="500481-4"/>
        <s v="500482-1"/>
        <s v="500483-1"/>
        <s v="500484-1"/>
        <s v="500485-1"/>
        <s v="500486-1"/>
        <s v="500487-1"/>
        <s v="500488-1"/>
        <s v="500488-2"/>
        <s v="500488-3"/>
        <s v="500488-4"/>
        <s v="500488-5"/>
        <s v="500489-1"/>
        <s v="500490-1"/>
        <s v="500491-1"/>
        <s v="500492-1"/>
        <s v="500492-2"/>
        <s v="500492-3"/>
        <s v="500492-4"/>
        <s v="500493-1"/>
        <s v="500494-1"/>
        <s v="500495-1"/>
        <s v="500496-1"/>
        <s v="500496-2"/>
        <s v="500496-3"/>
        <s v="500496-4"/>
        <s v="500497-1"/>
        <s v="500498-1"/>
        <s v="500499-1"/>
        <s v="500499-2"/>
        <s v="500499-3"/>
        <s v="500499-4"/>
        <s v="500500-1"/>
        <s v="500501-1"/>
        <s v="500502-1"/>
        <s v="500502-2"/>
        <s v="500502-3"/>
        <s v="500502-4"/>
        <s v="500503-1"/>
        <s v="500504-1"/>
        <s v="500505-1"/>
        <s v="500506-1"/>
        <s v="500507-1"/>
        <s v="500508-1"/>
        <s v="500509-1"/>
        <s v="500510-1"/>
        <s v="500511-1"/>
        <s v="500512-1"/>
        <s v="500512-2"/>
        <s v="500512-3"/>
        <s v="500513-1"/>
        <s v="500514-1"/>
        <s v="500518-1"/>
        <s v="500519-1"/>
        <s v="500519-2"/>
        <s v="500519-3"/>
        <s v="500519-4"/>
        <s v="500520-1"/>
        <s v="500521-1"/>
        <s v="500522-1"/>
        <s v="500523-1"/>
        <s v="500524-1"/>
        <s v="500524-2"/>
        <s v="500524-3"/>
        <s v="500524-4"/>
        <s v="500525-1"/>
        <s v="500526-1"/>
        <s v="500526-2"/>
        <s v="500526-3"/>
        <s v="500526-4"/>
        <s v="500526-5"/>
        <s v="500209-1"/>
        <s v="500210-1"/>
        <s v="500211-1"/>
        <s v="500211-2"/>
        <s v="500211-3"/>
        <s v="500211-4"/>
        <s v="500211-5"/>
        <s v="500212-1"/>
        <s v="500214-1"/>
        <s v="500215-1"/>
        <s v="500215-2"/>
        <s v="500215-3"/>
        <s v="500215-4"/>
        <s v="500533-1"/>
        <s v="500534-1"/>
        <s v="500536-1"/>
        <s v="500537-1"/>
        <s v="500538-1"/>
        <s v="500545-1"/>
        <s v="500469-2"/>
        <s v="500363-4"/>
        <s v="500080-1"/>
        <s v="500081-1"/>
        <s v="500082-1"/>
        <s v="500083-1"/>
        <s v="500084-1"/>
        <s v="500085-1"/>
        <s v="500576-1"/>
        <s v="500577-1"/>
        <s v="500591-1"/>
        <s v="500592-1"/>
        <s v="500593-1"/>
        <s v="500610-1"/>
        <s v="500611-1"/>
        <s v="500616-1"/>
        <s v="500621-1"/>
        <s v="500622-1"/>
        <s v="500641-1"/>
        <s v="500639-1"/>
        <s v="500640-1"/>
        <s v="500642-1"/>
        <s v="500644-1"/>
        <s v="500719-1"/>
        <s v="500720-1"/>
        <s v="500721-1"/>
        <n v="52320662" u="1"/>
        <n v="50507966" u="1"/>
        <n v="52320854" u="1"/>
        <n v="50508094" u="1"/>
        <n v="50513686" u="1"/>
        <n v="50509990" u="1"/>
        <n v="50512786" u="1"/>
        <n v="50507354" u="1"/>
        <n v="50525153" u="1"/>
        <n v="50512110" u="1"/>
        <n v="52321206" u="1"/>
        <n v="50511210" u="1"/>
        <n v="50529941" u="1"/>
        <n v="52318474" u="1"/>
        <n v="50523513" u="1"/>
        <n v="50510406" u="1"/>
        <n v="52320658" u="1"/>
        <n v="50530389" u="1"/>
        <n v="52320850" u="1"/>
        <n v="50510854" u="1"/>
        <n v="52461245" u="1"/>
        <n v="50513682" u="1"/>
        <n v="50510050" u="1"/>
        <n v="50525953" u="1"/>
        <n v="50821559" u="1"/>
        <n v="50513842" u="1"/>
        <n v="50525149" u="1"/>
        <n v="50526981" u="1"/>
        <n v="50512042" u="1"/>
        <n v="50558851" u="1"/>
        <n v="50514130" u="1"/>
        <n v="52317634" u="1"/>
        <n v="50513230" u="1"/>
        <n v="50525437" u="1"/>
        <n v="50526337" u="1"/>
        <n v="52320462" u="1"/>
        <n v="50510466" u="1"/>
        <n v="52320686" u="1"/>
        <n v="50515350" u="1"/>
        <n v="50530353" u="1"/>
        <n v="52320750" u="1"/>
        <n v="50515414" u="1"/>
        <n v="50530385" u="1"/>
        <n v="50530417" u="1"/>
        <n v="50510850" u="1"/>
        <n v="50513678" u="1"/>
        <n v="50510046" u="1"/>
        <n v="50510078" u="1"/>
        <n v="50607360" u="1"/>
        <n v="50527909" u="1"/>
        <n v="50512038" u="1"/>
        <n v="50528873" u="1"/>
        <n v="50515798" u="1"/>
        <n v="51950737" u="1"/>
        <n v="50512102" u="1"/>
        <n v="50515862" u="1"/>
        <n v="50606652" u="1"/>
        <n v="52349372" u="1"/>
        <n v="50515926" u="1"/>
        <n v="50510462" u="1"/>
        <n v="50513226" u="1"/>
        <n v="52611372" u="1"/>
        <n v="50513290" u="1"/>
        <n v="50514254" u="1"/>
        <n v="52320682" u="1"/>
        <n v="50530349" u="1"/>
        <n v="52320746" u="1"/>
        <n v="50515410" u="1"/>
        <n v="52433159" u="1"/>
        <n v="50510042" u="1"/>
        <n v="50515634" u="1"/>
        <n v="50528773" u="1"/>
        <n v="52321034" u="1"/>
        <n v="50527873" u="1"/>
        <n v="52321098" u="1"/>
        <n v="50512130" u="1"/>
        <n v="50515858" u="1"/>
        <n v="52321226" u="1"/>
        <n v="50528161" u="1"/>
        <n v="50510458" u="1"/>
        <n v="50511390" u="1"/>
        <n v="50513222" u="1"/>
        <n v="50516018" u="1"/>
        <n v="50529157" u="1"/>
        <n v="50530089" u="1"/>
        <n v="51060544" u="1"/>
        <n v="50512418" u="1"/>
        <n v="50610632" u="1"/>
        <n v="50516178" u="1"/>
        <n v="50882911" u="1"/>
        <n v="50515406" u="1"/>
        <n v="52320838" u="1"/>
        <n v="50517366" u="1"/>
        <n v="50515566" u="1"/>
        <n v="50517430" u="1"/>
        <n v="50515630" u="1"/>
        <n v="50529669" u="1"/>
        <n v="50512030" u="1"/>
        <n v="50528865" u="1"/>
        <n v="50514858" u="1"/>
        <n v="50512126" u="1"/>
        <n v="50515854" u="1"/>
        <n v="50501879" u="1"/>
        <n v="50516014" u="1"/>
        <n v="50516978" u="1"/>
        <n v="51060540" u="1"/>
        <n v="50513314" u="1"/>
        <n v="51673306" u="1"/>
        <n v="51951081" u="1"/>
        <n v="50511546" u="1"/>
        <n v="50514438" u="1"/>
        <n v="50515402" u="1"/>
        <n v="50515562" u="1"/>
        <n v="50529665" u="1"/>
        <n v="50501619" u="1"/>
        <n v="50514726" u="1"/>
        <n v="50512026" u="1"/>
        <n v="50512058" u="1"/>
        <n v="52374455" u="1"/>
        <n v="50529889" u="1"/>
        <n v="50515946" u="1"/>
        <n v="50514146" u="1"/>
        <n v="50516010" u="1"/>
        <n v="50502999" u="1"/>
        <n v="50530145" u="1"/>
        <n v="50529373" u="1"/>
        <n v="52320702" u="1"/>
        <n v="50514434" u="1"/>
        <n v="50530401" u="1"/>
        <n v="50512730" u="1"/>
        <n v="50514626" u="1"/>
        <n v="50528761" u="1"/>
        <n v="52321086" u="1"/>
        <n v="50514786" u="1"/>
        <n v="50529789" u="1"/>
        <n v="52321150" u="1"/>
        <n v="50529917" u="1"/>
        <n v="50513146" u="1"/>
        <n v="50515942" u="1"/>
        <n v="50514142" u="1"/>
        <n v="50515042" u="1"/>
        <n v="50516006" u="1"/>
        <n v="50516938" u="1"/>
        <n v="50502995" u="1"/>
        <n v="50518962" u="1"/>
        <n v="51950205" u="1"/>
        <n v="52633975" u="1"/>
        <n v="50519026" u="1"/>
        <n v="52320698" u="1"/>
        <n v="52634007" u="1"/>
        <n v="50529401" u="1"/>
        <n v="50530397" u="1"/>
        <n v="50519154" u="1"/>
        <n v="50517386" u="1"/>
        <n v="50514782" u="1"/>
        <n v="52321146" u="1"/>
        <n v="50516710" u="1"/>
        <n v="50568403" u="1"/>
        <n v="50516066" u="1"/>
        <n v="52633875" u="1"/>
        <n v="50504887" u="1"/>
        <n v="52568463" u="1"/>
        <n v="50518990" u="1"/>
        <n v="50519986" u="1"/>
        <n v="50530393" u="1"/>
        <n v="50519150" u="1"/>
        <n v="50519182" u="1"/>
        <n v="51678338" u="1"/>
        <n v="50503535" u="1"/>
        <n v="50521302" u="1"/>
        <n v="50516706" u="1"/>
        <n v="51680394" u="1"/>
        <n v="50505591" u="1"/>
        <n v="50504819" u="1"/>
        <n v="52633839" u="1"/>
        <n v="50519886" u="1"/>
        <n v="50517154" u="1"/>
        <n v="51484414" u="1"/>
        <n v="52407661" u="1"/>
        <n v="50519146" u="1"/>
        <n v="50518246" u="1"/>
        <n v="50519178" u="1"/>
        <n v="50515546" u="1"/>
        <n v="50506263" u="1"/>
        <n v="50521330" u="1"/>
        <n v="50515866" u="1"/>
        <n v="50505555" u="1"/>
        <n v="50515930" u="1"/>
        <n v="50518758" u="1"/>
        <n v="50517150" u="1"/>
        <n v="50518050" u="1"/>
        <n v="50519110" u="1"/>
        <n v="50520074" u="1"/>
        <n v="50517374" u="1"/>
        <n v="50507159" u="1"/>
        <n v="50502531" u="1"/>
        <n v="50507223" u="1"/>
        <n v="50507287" u="1"/>
        <n v="50517726" u="1"/>
        <n v="51023799" u="1"/>
        <n v="50520586" u="1"/>
        <n v="50518754" u="1"/>
        <n v="50517886" u="1"/>
        <n v="50502047" u="1"/>
        <n v="50956619" u="1"/>
        <n v="50520746" u="1"/>
        <n v="50522610" u="1"/>
        <n v="51681766" u="1"/>
        <n v="50518206" u="1"/>
        <n v="50519106" u="1"/>
        <n v="50517370" u="1"/>
        <n v="50517434" u="1"/>
        <n v="50502527" u="1"/>
        <n v="50501627" u="1"/>
        <n v="50520294" u="1"/>
        <n v="50507219" u="1"/>
        <n v="50506383" u="1"/>
        <n v="50517722" u="1"/>
        <n v="50520518" u="1"/>
        <n v="50501883" u="1"/>
        <n v="50522478" u="1"/>
        <n v="50517882" u="1"/>
        <n v="50505803" u="1"/>
        <n v="50518974" u="1"/>
        <n v="50504967" u="1"/>
        <n v="50506831" u="1"/>
        <n v="52634019" u="1"/>
        <n v="50519102" u="1"/>
        <n v="52232876" u="1"/>
        <n v="50522058" u="1"/>
        <n v="52345257" u="1"/>
        <n v="50507215" u="1"/>
        <n v="50520354" u="1"/>
        <n v="52374459" u="1"/>
        <n v="51680474" u="1"/>
        <n v="51680506" u="1"/>
        <n v="51680538" u="1"/>
        <n v="50505639" u="1"/>
        <n v="50521542" u="1"/>
        <n v="50525430" u="1"/>
        <n v="50503067" u="1"/>
        <n v="50504899" u="1"/>
        <n v="52634015" u="1"/>
        <n v="50522054" u="1"/>
        <n v="52345253" u="1"/>
        <n v="50507211" u="1"/>
        <n v="50525910" u="1"/>
        <n v="50519546" u="1"/>
        <n v="50509267" u="1"/>
        <n v="50526294" u="1"/>
        <n v="50526326" u="1"/>
        <n v="50525426" u="1"/>
        <n v="50524558" u="1"/>
        <n v="52634011" u="1"/>
        <n v="50510131" u="1"/>
        <n v="50520506" u="1"/>
        <n v="50956507" u="1"/>
        <n v="52053915" u="1"/>
        <n v="50504955" u="1"/>
        <n v="50525550" u="1"/>
        <n v="51925919" u="1"/>
        <n v="50507171" u="1"/>
        <n v="50521242" u="1"/>
        <n v="50507203" u="1"/>
        <n v="52345341" u="1"/>
        <n v="50521306" u="1"/>
        <n v="52344537" u="1"/>
        <n v="50512183" u="1"/>
        <n v="50525450" u="1"/>
        <n v="50525546" u="1"/>
        <n v="50527410" u="1"/>
        <n v="50508839" u="1"/>
        <n v="50507167" u="1"/>
        <n v="50506267" u="1"/>
        <n v="50527762" u="1"/>
        <n v="50525930" u="1"/>
        <n v="50528758" u="1"/>
        <n v="50511023" u="1"/>
        <n v="50527858" u="1"/>
        <n v="50507359" u="1"/>
        <n v="50512919" u="1"/>
        <n v="50522362" u="1"/>
        <n v="50512983" u="1"/>
        <n v="50527054" u="1"/>
        <n v="50512211" u="1"/>
        <n v="50526282" u="1"/>
        <n v="50510603" u="1"/>
        <n v="50525670" u="1"/>
        <n v="52232888" u="1"/>
        <n v="50513591" u="1"/>
        <n v="52320855" u="1"/>
        <n v="50507163" u="1"/>
        <n v="50507227" u="1"/>
        <n v="50507323" u="1"/>
        <n v="50507355" u="1"/>
        <n v="50512047" u="1"/>
        <n v="50512979" u="1"/>
        <n v="50527982" u="1"/>
        <n v="52321207" u="1"/>
        <n v="50529942" u="1"/>
        <n v="50512207" u="1"/>
        <n v="50525442" u="1"/>
        <n v="50527338" u="1"/>
        <n v="52320659" u="1"/>
        <n v="50530390" u="1"/>
        <n v="50513619" u="1"/>
        <n v="52320851" u="1"/>
        <n v="50525922" u="1"/>
        <n v="50511979" u="1"/>
        <n v="50513843" u="1"/>
        <n v="50526982" u="1"/>
        <n v="50512075" u="1"/>
        <n v="52321203" u="1"/>
        <n v="50511207" u="1"/>
        <n v="50514067" u="1"/>
        <n v="50918230" u="1"/>
        <n v="52317635" u="1"/>
        <n v="52465454" u="1"/>
        <n v="50512555" u="1"/>
        <n v="50529422" u="1"/>
        <n v="50530354" u="1"/>
        <n v="50883016" u="1"/>
        <n v="52320751" u="1"/>
        <n v="50515415" u="1"/>
        <n v="50530386" u="1"/>
        <n v="50530418" u="1"/>
        <n v="50513615" u="1"/>
        <n v="50515479" u="1"/>
        <n v="52320847" u="1"/>
        <n v="50513775" u="1"/>
        <n v="50511975" u="1"/>
        <n v="50513839" u="1"/>
        <n v="50512071" u="1"/>
        <n v="50558848" u="1"/>
        <n v="50515863" u="1"/>
        <n v="50514063" u="1"/>
        <n v="50515927" u="1"/>
        <n v="50525434" u="1"/>
        <n v="50512327" u="1"/>
        <n v="50529162" u="1"/>
        <n v="52612369" u="1"/>
        <n v="50512519" u="1"/>
        <n v="52320747" u="1"/>
        <n v="50515411" u="1"/>
        <n v="52349821" u="1"/>
        <n v="50513611" u="1"/>
        <n v="50512711" u="1"/>
        <n v="50525914" u="1"/>
        <n v="50529706" u="1"/>
        <n v="52321035" u="1"/>
        <n v="50511971" u="1"/>
        <n v="50513835" u="1"/>
        <n v="50512035" u="1"/>
        <n v="50512067" u="1"/>
        <n v="50515859" u="1"/>
        <n v="52321227" u="1"/>
        <n v="50526330" u="1"/>
        <n v="50527262" u="1"/>
        <n v="50529158" u="1"/>
        <n v="50511455" u="1"/>
        <n v="51060545" u="1"/>
        <n v="50517207" u="1"/>
        <n v="52350685" u="1"/>
        <n v="50530346" u="1"/>
        <n v="50515407" u="1"/>
        <n v="50515567" u="1"/>
        <n v="50515631" u="1"/>
        <n v="50529670" u="1"/>
        <n v="50514731" u="1"/>
        <n v="50511999" u="1"/>
        <n v="50513831" u="1"/>
        <n v="50512063" u="1"/>
        <n v="50528866" u="1"/>
        <n v="50515855" u="1"/>
        <n v="52318459" u="1"/>
        <n v="50514055" u="1"/>
        <n v="50516015" u="1"/>
        <n v="50516947" u="1"/>
        <n v="51060541" u="1"/>
        <n v="50517975" u="1"/>
        <n v="51676231" u="1"/>
        <n v="50515403" u="1"/>
        <n v="50513603" u="1"/>
        <n v="50529666" u="1"/>
        <n v="50501620" u="1"/>
        <n v="50516591" u="1"/>
        <n v="50513827" u="1"/>
        <n v="50917058" u="1"/>
        <n v="50529890" u="1"/>
        <n v="50516847" u="1"/>
        <n v="50515947" u="1"/>
        <n v="50515047" u="1"/>
        <n v="50516911" u="1"/>
        <n v="50516011" u="1"/>
        <n v="50516943" u="1"/>
        <n v="50515175" u="1"/>
        <n v="50517971" u="1"/>
        <n v="50530146" u="1"/>
        <n v="50518935" u="1"/>
        <n v="50529374" u="1"/>
        <n v="52320703" u="1"/>
        <n v="50513535" u="1"/>
        <n v="50528570" u="1"/>
        <n v="50515559" u="1"/>
        <n v="50514659" u="1"/>
        <n v="50712951" u="1"/>
        <n v="52320991" u="1"/>
        <n v="50528762" u="1"/>
        <n v="50513823" u="1"/>
        <n v="50518451" u="1"/>
        <n v="52321087" u="1"/>
        <n v="50501680" u="1"/>
        <n v="50529918" u="1"/>
        <n v="50513115" u="1"/>
        <n v="52401726" u="1"/>
        <n v="50515943" u="1"/>
        <n v="50516007" u="1"/>
        <n v="50918242" u="1"/>
        <n v="50502996" u="1"/>
        <n v="50517967" u="1"/>
        <n v="50610621" u="1"/>
        <n v="50518963" u="1"/>
        <n v="50518095" u="1"/>
        <n v="50519027" u="1"/>
        <n v="50519059" u="1"/>
        <n v="50529402" u="1"/>
        <n v="50530398" u="1"/>
        <n v="50519155" u="1"/>
        <n v="50502480" u="1"/>
        <n v="50514719" u="1"/>
        <n v="50518415" u="1"/>
        <n v="52321147" u="1"/>
        <n v="50515875" u="1"/>
        <n v="50520599" u="1"/>
        <n v="50518927" u="1"/>
        <n v="50514427" u="1"/>
        <n v="52258947" u="1"/>
        <n v="50519151" u="1"/>
        <n v="50515487" u="1"/>
        <n v="50520371" u="1"/>
        <n v="50521303" u="1"/>
        <n v="50516739" u="1"/>
        <n v="50515935" u="1"/>
        <n v="50918234" u="1"/>
        <n v="50504884" u="1"/>
        <n v="52633968" u="1"/>
        <n v="52568556" u="1"/>
        <n v="50505172" u="1"/>
        <n v="50518311" u="1"/>
        <n v="52602546" u="1"/>
        <n v="50522359" u="1"/>
        <n v="50515931" u="1"/>
        <n v="51680583" u="1"/>
        <n v="52633868" u="1"/>
        <n v="50505812" u="1"/>
        <n v="50517247" u="1"/>
        <n v="52569516" u="1"/>
        <n v="52569548" u="1"/>
        <n v="50520075" u="1"/>
        <n v="50506068" u="1"/>
        <n v="50506164" u="1"/>
        <n v="52146042" u="1"/>
        <n v="50502500" u="1"/>
        <n v="50518403" u="1"/>
        <n v="50505552" u="1"/>
        <n v="50502788" u="1"/>
        <n v="50520651" u="1"/>
        <n v="50570224" u="1"/>
        <n v="50505808" u="1"/>
        <n v="52633960" u="1"/>
        <n v="50519011" u="1"/>
        <n v="50520071" u="1"/>
        <n v="50518303" u="1"/>
        <n v="50521999" u="1"/>
        <n v="50520295" u="1"/>
        <n v="50503652" u="1"/>
        <n v="50517723" u="1"/>
        <n v="50520519" u="1"/>
        <n v="50502784" u="1"/>
        <n v="51680511" u="1"/>
        <n v="52600994" u="1"/>
        <n v="52633860" u="1"/>
        <n v="50518975" u="1"/>
        <n v="50519039" u="1"/>
        <n v="52634020" u="1"/>
        <n v="50518267" u="1"/>
        <n v="52232877" u="1"/>
        <n v="50518331" u="1"/>
        <n v="50505256" u="1"/>
        <n v="52345258" u="1"/>
        <n v="50520355" u="1"/>
        <n v="50501784" u="1"/>
        <n v="50525143" u="1"/>
        <n v="50519615" u="1"/>
        <n v="51680507" u="1"/>
        <n v="52348342" u="1"/>
        <n v="50505640" u="1"/>
        <n v="50521543" u="1"/>
        <n v="50503004" u="1"/>
        <n v="50525399" u="1"/>
        <n v="50504900" u="1"/>
        <n v="51024176" u="1"/>
        <n v="50521959" u="1"/>
        <n v="52634176" u="1"/>
        <n v="50522055" u="1"/>
        <n v="50525847" u="1"/>
        <n v="52345254" u="1"/>
        <n v="52461235" u="1"/>
        <n v="50504480" u="1"/>
        <n v="50606422" u="1"/>
        <n v="52374456" u="1"/>
        <n v="50519547" u="1"/>
        <n v="50521507" u="1"/>
        <n v="50956576" u="1"/>
        <n v="52633852" u="1"/>
        <n v="50524559" u="1"/>
        <n v="52634012" u="1"/>
        <n v="50525619" u="1"/>
        <n v="50522051" u="1"/>
        <n v="52345282" u="1"/>
        <n v="50525971" u="1"/>
        <n v="50510164" u="1"/>
        <n v="50520507" u="1"/>
        <n v="50507464" u="1"/>
        <n v="52345570" u="1"/>
        <n v="50522467" u="1"/>
        <n v="52086558" u="1"/>
        <n v="52633880" u="1"/>
        <n v="50505824" u="1"/>
        <n v="52634008" u="1"/>
        <n v="50526515" u="1"/>
        <n v="50525615" u="1"/>
        <n v="50506016" u="1"/>
        <n v="50525743" u="1"/>
        <n v="50570656" u="1"/>
        <n v="52345342" u="1"/>
        <n v="50507236" u="1"/>
        <n v="50510160" u="1"/>
        <n v="50525163" u="1"/>
        <n v="52348330" u="1"/>
        <n v="50511220" u="1"/>
        <n v="50504888" u="1"/>
        <n v="50511668" u="1"/>
        <n v="50570652" u="1"/>
        <n v="50509836" u="1"/>
        <n v="50524903" u="1"/>
        <n v="52349934" u="1"/>
        <n v="50508132" u="1"/>
        <n v="50509996" u="1"/>
        <n v="50507232" u="1"/>
        <n v="50528759" u="1"/>
        <n v="50525995" u="1"/>
        <n v="50522363" u="1"/>
        <n v="50512052" u="1"/>
        <n v="50525159" u="1"/>
        <n v="50511216" u="1"/>
        <n v="50511536" u="1"/>
        <n v="50604222" u="1"/>
        <n v="50511664" u="1"/>
        <n v="50508128" u="1"/>
        <n v="50509992" u="1"/>
        <n v="50511888" u="1"/>
        <n v="50525927" u="1"/>
        <n v="50525991" u="1"/>
        <n v="50607370" u="1"/>
        <n v="50529783" u="1"/>
        <n v="50512112" u="1"/>
        <n v="50506584" u="1"/>
        <n v="50511212" u="1"/>
        <n v="50529943" u="1"/>
        <n v="50510408" u="1"/>
        <n v="50525443" u="1"/>
        <n v="50506808" u="1"/>
        <n v="52320660" u="1"/>
        <n v="50510664" u="1"/>
        <n v="52349766" u="1"/>
        <n v="50530391" u="1"/>
        <n v="52320852" u="1"/>
        <n v="50513684" u="1"/>
        <n v="52318120" u="1"/>
        <n v="50529619" u="1"/>
        <n v="50507352" u="1"/>
        <n v="50525151" u="1"/>
        <n v="50526983" u="1"/>
        <n v="51023800" u="1"/>
        <n v="50512108" u="1"/>
        <n v="52321204" u="1"/>
        <n v="50511208" u="1"/>
        <n v="50526275" u="1"/>
        <n v="50511368" u="1"/>
        <n v="50512300" u="1"/>
        <n v="50525439" u="1"/>
        <n v="52320464" u="1"/>
        <n v="50511400" u="1"/>
        <n v="50605018" u="1"/>
        <n v="50530355" u="1"/>
        <n v="50530387" u="1"/>
        <n v="50530419" u="1"/>
        <n v="50525823" u="1"/>
        <n v="52320848" u="1"/>
        <n v="50510852" u="1"/>
        <n v="52318084" u="1"/>
        <n v="50510048" u="1"/>
        <n v="50511912" u="1"/>
        <n v="50525147" u="1"/>
        <n v="50526979" u="1"/>
        <n v="50512040" u="1"/>
        <n v="50512104" u="1"/>
        <n v="51950771" u="1"/>
        <n v="52349374" u="1"/>
        <n v="50526335" u="1"/>
        <n v="50513228" u="1"/>
        <n v="52611374" u="1"/>
        <n v="50510464" u="1"/>
        <n v="50526559" u="1"/>
        <n v="50530351" u="1"/>
        <n v="50883013" u="1"/>
        <n v="52320748" u="1"/>
        <n v="50515412" u="1"/>
        <n v="50510044" u="1"/>
        <n v="50515668" u="1"/>
        <n v="50512036" u="1"/>
        <n v="50558845" u="1"/>
        <n v="50515796" u="1"/>
        <n v="52321228" u="1"/>
        <n v="50514060" u="1"/>
        <n v="50526299" u="1"/>
        <n v="50526331" u="1"/>
        <n v="50513224" u="1"/>
        <n v="50529159" u="1"/>
        <n v="50512420" u="1"/>
        <n v="52350686" u="1"/>
        <n v="50530347" u="1"/>
        <n v="52320744" u="1"/>
        <n v="50515408" u="1"/>
        <n v="50515568" u="1"/>
        <n v="50510040" u="1"/>
        <n v="50515632" u="1"/>
        <n v="50529671" u="1"/>
        <n v="50515664" u="1"/>
        <n v="50529703" u="1"/>
        <n v="50511068" u="1"/>
        <n v="50512032" u="1"/>
        <n v="50515760" u="1"/>
        <n v="50528867" u="1"/>
        <n v="50512064" u="1"/>
        <n v="50512128" u="1"/>
        <n v="50515856" u="1"/>
        <n v="50527259" u="1"/>
        <n v="50516016" u="1"/>
        <n v="50516980" u="1"/>
        <n v="50529155" u="1"/>
        <n v="50530087" u="1"/>
        <n v="50513316" u="1"/>
        <n v="50512416" u="1"/>
        <n v="50513444" u="1"/>
        <n v="52113165" u="1"/>
        <n v="50517428" u="1"/>
        <n v="50529667" u="1"/>
        <n v="50512028" u="1"/>
        <n v="50512928" u="1"/>
        <n v="50515724" u="1"/>
        <n v="50512060" u="1"/>
        <n v="50512124" u="1"/>
        <n v="51950759" u="1"/>
        <n v="50515852" u="1"/>
        <n v="50529891" u="1"/>
        <n v="50515948" u="1"/>
        <n v="50514116" u="1"/>
        <n v="50513216" u="1"/>
        <n v="50516012" u="1"/>
        <n v="50516976" u="1"/>
        <n v="50512412" u="1"/>
        <n v="50513312" u="1"/>
        <n v="50530147" u="1"/>
        <n v="50610626" u="1"/>
        <n v="50511544" u="1"/>
        <n v="50529375" u="1"/>
        <n v="52320704" u="1"/>
        <n v="50512732" u="1"/>
        <n v="50515528" u="1"/>
        <n v="50821573" u="1"/>
        <n v="50529791" u="1"/>
        <n v="50917055" u="1"/>
        <n v="52321088" u="1"/>
        <n v="50515944" u="1"/>
        <n v="51680564" u="1"/>
        <n v="50514144" u="1"/>
        <n v="50516008" u="1"/>
        <n v="50518964" u="1"/>
        <n v="52320700" u="1"/>
        <n v="52568565" u="1"/>
        <n v="50530399" u="1"/>
        <n v="50519156" u="1"/>
        <n v="50512920" u="1"/>
        <n v="50514784" u="1"/>
        <n v="52321148" u="1"/>
        <n v="50516712" u="1"/>
        <n v="51971282" u="1"/>
        <n v="50513144" u="1"/>
        <n v="50515940" u="1"/>
        <n v="50514140" u="1"/>
        <n v="51485064" u="1"/>
        <n v="52611418" u="1"/>
        <n v="52633845" u="1"/>
        <n v="52634005" u="1"/>
        <n v="50530395" u="1"/>
        <n v="50519152" u="1"/>
        <n v="52320856" u="1"/>
        <n v="50513688" u="1"/>
        <n v="50517384" u="1"/>
        <n v="52321048" u="1"/>
        <n v="50514780" u="1"/>
        <n v="50515776" u="1"/>
        <n v="50516708" u="1"/>
        <n v="51680396" u="1"/>
        <n v="50504885" u="1"/>
        <n v="50518120" u="1"/>
        <n v="50518152" u="1"/>
        <n v="50519180" u="1"/>
        <n v="50515548" u="1"/>
        <n v="50505301" u="1"/>
        <n v="50515932" u="1"/>
        <n v="51680552" u="1"/>
        <n v="50504817" u="1"/>
        <n v="50517152" u="1"/>
        <n v="50519112" u="1"/>
        <n v="50519176" u="1"/>
        <n v="50515544" u="1"/>
        <n v="50517376" u="1"/>
        <n v="50506261" u="1"/>
        <n v="50586708" u="1"/>
        <n v="51680228" u="1"/>
        <n v="52405247" u="1"/>
        <n v="50502629" u="1"/>
        <n v="50517664" u="1"/>
        <n v="50515864" u="1"/>
        <n v="51680420" u="1"/>
        <n v="50505553" u="1"/>
        <n v="50517728" u="1"/>
        <n v="50515928" u="1"/>
        <n v="50501889" u="1"/>
        <n v="50518756" u="1"/>
        <n v="50517888" u="1"/>
        <n v="50502049" u="1"/>
        <n v="50517148" u="1"/>
        <n v="50586352" u="1"/>
        <n v="50519108" u="1"/>
        <n v="50520072" u="1"/>
        <n v="50517372" u="1"/>
        <n v="50522000" u="1"/>
        <n v="50507157" u="1"/>
        <n v="50502529" u="1"/>
        <n v="50604471" u="1"/>
        <n v="52602539" u="1"/>
        <n v="50507221" u="1"/>
        <n v="50517660" u="1"/>
        <n v="52345423" u="1"/>
        <n v="50520520" u="1"/>
        <n v="51712318" u="1"/>
        <n v="50518752" u="1"/>
        <n v="50517884" u="1"/>
        <n v="50505805" u="1"/>
        <n v="51890463" u="1"/>
        <n v="50517368" u="1"/>
        <n v="50517400" u="1"/>
        <n v="50517432" u="1"/>
        <n v="50507217" u="1"/>
        <n v="50520356" u="1"/>
        <n v="52345387" u="1"/>
        <n v="50520516" u="1"/>
        <n v="52345579" u="1"/>
        <n v="50505641" u="1"/>
        <n v="50521544" u="1"/>
        <n v="50517880" u="1"/>
        <n v="50506701" u="1"/>
        <n v="50506861" u="1"/>
        <n v="51024177" u="1"/>
        <n v="50506025" u="1"/>
        <n v="50521124" u="1"/>
        <n v="50522056" u="1"/>
        <n v="52345255" u="1"/>
        <n v="52461236" u="1"/>
        <n v="50507213" u="1"/>
        <n v="50520352" u="1"/>
        <n v="52345415" u="1"/>
        <n v="52374457" u="1"/>
        <n v="50568253" u="1"/>
        <n v="50505637" u="1"/>
        <n v="50521540" u="1"/>
        <n v="50956577" u="1"/>
        <n v="50503001" u="1"/>
        <n v="50525428" u="1"/>
        <n v="50504897" u="1"/>
        <n v="51681756" u="1"/>
        <n v="52634013" u="1"/>
        <n v="50507049" u="1"/>
        <n v="50522052" u="1"/>
        <n v="50712952" u="1"/>
        <n v="52345283" u="1"/>
        <n v="50507209" u="1"/>
        <n v="52345411" u="1"/>
        <n v="50519544" u="1"/>
        <n v="50520508" u="1"/>
        <n v="50687958" u="1"/>
        <n v="50602947" u="1"/>
        <n v="51681752" u="1"/>
        <n v="52634009" u="1"/>
        <n v="52569529" u="1"/>
        <n v="50602431" u="1"/>
        <n v="52350679" u="1"/>
        <n v="50507173" u="1"/>
        <n v="50521244" u="1"/>
        <n v="50505373" u="1"/>
        <n v="50525904" u="1"/>
        <n v="50520600" u="1"/>
        <n v="50526256" u="1"/>
        <n v="50504889" u="1"/>
        <n v="50525548" u="1"/>
        <n v="50508841" u="1"/>
        <n v="50506269" u="1"/>
        <n v="50507169" u="1"/>
        <n v="50507201" u="1"/>
        <n v="50521304" u="1"/>
        <n v="50511025" u="1"/>
        <n v="50511089" u="1"/>
        <n v="50522364" u="1"/>
        <n v="50511121" u="1"/>
        <n v="51750564" u="1"/>
        <n v="52348359" u="1"/>
        <n v="50525448" u="1"/>
        <n v="50525544" u="1"/>
        <n v="51673329" u="1"/>
        <n v="50526604" u="1"/>
        <n v="50507101" u="1"/>
        <n v="50507165" u="1"/>
        <n v="50526764" u="1"/>
        <n v="50506265" u="1"/>
        <n v="50586712" u="1"/>
        <n v="52433174" u="1"/>
        <n v="50507229" u="1"/>
        <n v="50525928" u="1"/>
        <n v="52350027" u="1"/>
        <n v="50507325" u="1"/>
        <n v="50607371" u="1"/>
        <n v="50507357" u="1"/>
        <n v="50512981" u="1"/>
        <n v="50512209" u="1"/>
        <n v="50526280" u="1"/>
        <n v="50513237" u="1"/>
        <n v="50525444" u="1"/>
        <n v="50511469" u="1"/>
        <n v="50526440" u="1"/>
        <n v="50511533" u="1"/>
        <n v="52320661" u="1"/>
        <n v="50513621" u="1"/>
        <n v="52320853" u="1"/>
        <n v="50507161" u="1"/>
        <n v="52348063" u="1"/>
        <n v="50507225" u="1"/>
        <n v="50512785" u="1"/>
        <n v="50512849" u="1"/>
        <n v="50507321" u="1"/>
        <n v="50527852" u="1"/>
        <n v="50526984" u="1"/>
        <n v="50527916" u="1"/>
        <n v="50526116" u="1"/>
        <n v="50529876" u="1"/>
        <n v="52321205" u="1"/>
        <n v="50529940" u="1"/>
        <n v="50514069" u="1"/>
        <n v="52320465" u="1"/>
        <n v="50525440" u="1"/>
        <n v="50511465" u="1"/>
        <n v="50530388" u="1"/>
        <n v="50530420" u="1"/>
        <n v="50513617" u="1"/>
        <n v="52320849" u="1"/>
        <n v="50512845" u="1"/>
        <n v="50513809" u="1"/>
        <n v="50511977" u="1"/>
        <n v="50526980" u="1"/>
        <n v="50512073" u="1"/>
        <n v="50511205" u="1"/>
        <n v="50514065" u="1"/>
        <n v="50526272" u="1"/>
        <n v="52317633" u="1"/>
        <n v="50525436" u="1"/>
        <n v="50882918" u="1"/>
        <n v="50511589" u="1"/>
        <n v="50512521" u="1"/>
        <n v="51674313" u="1"/>
        <n v="50513517" u="1"/>
        <n v="50530352" u="1"/>
        <n v="52320749" u="1"/>
        <n v="50513549" u="1"/>
        <n v="50515413" u="1"/>
        <n v="50530384" u="1"/>
        <n v="50513613" u="1"/>
        <n v="50512713" u="1"/>
        <n v="50515541" u="1"/>
        <n v="50513773" u="1"/>
        <n v="50513837" u="1"/>
        <n v="50515701" u="1"/>
        <n v="50526108" u="1"/>
        <n v="50515797" u="1"/>
        <n v="52321229" u="1"/>
        <n v="50527264" u="1"/>
        <n v="50529160" u="1"/>
        <n v="52349531" u="1"/>
        <n v="51060547" u="1"/>
        <n v="51951088" u="1"/>
        <n v="52350687" u="1"/>
        <n v="50530348" u="1"/>
        <n v="52320745" u="1"/>
        <n v="50515409" u="1"/>
        <n v="51676269" u="1"/>
        <n v="50514509" u="1"/>
        <n v="50530444" u="1"/>
        <n v="50515569" u="1"/>
        <n v="50525912" u="1"/>
        <n v="50514733" u="1"/>
        <n v="50529704" u="1"/>
        <n v="52321033" u="1"/>
        <n v="50513833" u="1"/>
        <n v="50528868" u="1"/>
        <n v="50687930" u="1"/>
        <n v="50515857" u="1"/>
        <n v="52321225" u="1"/>
        <n v="50526296" u="1"/>
        <n v="50526328" u="1"/>
        <n v="50516017" u="1"/>
        <n v="50516949" u="1"/>
        <n v="50530088" u="1"/>
        <n v="50610631" u="1"/>
        <n v="51888468" u="1"/>
        <n v="50515405" u="1"/>
        <n v="51156217" u="1"/>
        <n v="51484625" u="1"/>
        <n v="50515565" u="1"/>
        <n v="51673693" u="1"/>
        <n v="50515629" u="1"/>
        <n v="50527836" u="1"/>
        <n v="50529668" u="1"/>
        <n v="50514729" u="1"/>
        <n v="50516593" u="1"/>
        <n v="50511997" u="1"/>
        <n v="50513829" u="1"/>
        <n v="50515725" u="1"/>
        <n v="50515853" u="1"/>
        <n v="50516849" u="1"/>
        <n v="50515949" u="1"/>
        <n v="50515049" u="1"/>
        <n v="50516013" u="1"/>
        <n v="50516945" u="1"/>
        <n v="50517973" u="1"/>
        <n v="50511609" u="1"/>
        <n v="50518101" u="1"/>
        <n v="52320673" u="1"/>
        <n v="50514437" u="1"/>
        <n v="50515401" u="1"/>
        <n v="50529664" u="1"/>
        <n v="50511993" u="1"/>
        <n v="50513825" u="1"/>
        <n v="50528860" u="1"/>
        <n v="52321089" u="1"/>
        <n v="50529792" u="1"/>
        <n v="50516845" u="1"/>
        <n v="50515945" u="1"/>
        <n v="50515045" u="1"/>
        <n v="50516009" u="1"/>
        <n v="50516941" u="1"/>
        <n v="50515173" u="1"/>
        <n v="50517969" u="1"/>
        <n v="50529244" u="1"/>
        <n v="50530144" u="1"/>
        <n v="50518933" u="1"/>
        <n v="50518097" u="1"/>
        <n v="52320701" u="1"/>
        <n v="50528472" u="1"/>
        <n v="50514433" u="1"/>
        <n v="50530400" u="1"/>
        <n v="50502386" u="1"/>
        <n v="50528760" u="1"/>
        <n v="50512985" u="1"/>
        <n v="52321149" u="1"/>
        <n v="50516841" u="1"/>
        <n v="50515941" u="1"/>
        <n v="50516005" u="1"/>
        <n v="50517965" u="1"/>
        <n v="50518929" u="1"/>
        <n v="52634006" u="1"/>
        <n v="50514429" u="1"/>
        <n v="50530396" u="1"/>
        <n v="50513593" u="1"/>
        <n v="50519153" u="1"/>
        <n v="52320857" u="1"/>
        <n v="50515553" u="1"/>
        <n v="50514717" u="1"/>
        <n v="50529784" u="1"/>
        <n v="52144316" u="1"/>
        <n v="52321145" u="1"/>
        <n v="50515777" u="1"/>
        <n v="51950780" u="1"/>
        <n v="50503698" u="1"/>
        <n v="50568402" u="1"/>
        <n v="52633874" u="1"/>
        <n v="50504886" u="1"/>
        <n v="50517221" u="1"/>
        <n v="50530392" u="1"/>
        <n v="50517317" u="1"/>
        <n v="52599560" u="1"/>
        <n v="50514777" u="1"/>
        <n v="50516737" u="1"/>
        <n v="50515933" u="1"/>
        <n v="50502826" u="1"/>
        <n v="50504818" u="1"/>
        <n v="52633838" u="1"/>
        <n v="50516221" u="1"/>
        <n v="52407660" u="1"/>
        <n v="52598496" u="1"/>
        <n v="52634190" u="1"/>
        <n v="50518405" u="1"/>
        <n v="51680229" u="1"/>
        <n v="50515865" u="1"/>
        <n v="51680421" u="1"/>
        <n v="50505554" u="1"/>
        <n v="50517729" u="1"/>
        <n v="50502790" u="1"/>
        <n v="50515929" u="1"/>
        <n v="52233463" u="1"/>
        <n v="50505810" u="1"/>
        <n v="50520073" u="1"/>
        <n v="50521969" u="1"/>
        <n v="50503430" u="1"/>
        <n v="50517597" u="1"/>
        <n v="52345424" u="1"/>
        <n v="50520521" u="1"/>
        <n v="50502786" u="1"/>
        <n v="52345552" u="1"/>
        <n v="50956618" u="1"/>
        <n v="50520745" u="1"/>
        <n v="50517145" u="1"/>
        <n v="50517209" u="1"/>
        <n v="50502302" u="1"/>
        <n v="50520069" u="1"/>
        <n v="50520133" u="1"/>
        <n v="52634182" u="1"/>
        <n v="50518333" u="1"/>
        <n v="50503362" u="1"/>
        <n v="50502494" u="1"/>
        <n v="50507154" u="1"/>
        <n v="50501626" u="1"/>
        <n v="51971199" u="1"/>
        <n v="50502782" u="1"/>
        <n v="50520517" u="1"/>
        <n v="50568290" u="1"/>
        <n v="52116446" u="1"/>
        <n v="50505642" u="1"/>
        <n v="50521545" u="1"/>
        <n v="50502106" u="1"/>
        <n v="50522701" u="1"/>
        <n v="51890460" u="1"/>
        <n v="50518329" u="1"/>
        <n v="50508018" u="1"/>
        <n v="50522057" u="1"/>
        <n v="52345256" u="1"/>
        <n v="50520353" u="1"/>
        <n v="52345416" u="1"/>
        <n v="52374458" u="1"/>
        <n v="50505638" u="1"/>
        <n v="50521541" u="1"/>
        <n v="50508498" u="1"/>
        <n v="50956578" u="1"/>
        <n v="50503002" u="1"/>
        <n v="50518937" u="1"/>
        <n v="50524497" u="1"/>
        <n v="50504898" u="1"/>
        <n v="50525525" u="1"/>
        <n v="50519097" u="1"/>
        <n v="50525621" u="1"/>
        <n v="50507050" u="1"/>
        <n v="50522053" u="1"/>
        <n v="52345252" u="1"/>
        <n v="50601696" u="1"/>
        <n v="52344384" u="1"/>
        <n v="50510038" u="1"/>
        <n v="52345412" u="1"/>
        <n v="50519545" u="1"/>
        <n v="50510166" u="1"/>
        <n v="50520509" u="1"/>
        <n v="50521441" u="1"/>
        <n v="50508494" u="1"/>
        <n v="52232547" u="1"/>
        <n v="52633882" u="1"/>
        <n v="52634010" u="1"/>
        <n v="50525617" u="1"/>
        <n v="52318006" u="1"/>
        <n v="50507174" u="1"/>
        <n v="50507206" u="1"/>
        <n v="50507238" u="1"/>
        <n v="50510162" u="1"/>
        <n v="50520505" u="1"/>
        <n v="50527253" u="1"/>
        <n v="50504890" u="1"/>
        <n v="52349616" u="1"/>
        <n v="50511670" u="1"/>
        <n v="50509838" u="1"/>
        <n v="50570686" u="1"/>
        <n v="52318002" u="1"/>
        <n v="50524905" u="1"/>
        <n v="50521241" u="1"/>
        <n v="50507234" u="1"/>
        <n v="50521305" u="1"/>
        <n v="50507298" u="1"/>
        <n v="50511090" u="1"/>
        <n v="50512054" u="1"/>
        <n v="50525161" u="1"/>
        <n v="50511218" u="1"/>
        <n v="50512214" u="1"/>
        <n v="50523521" u="1"/>
        <n v="50511666" u="1"/>
        <n v="50509834" u="1"/>
        <n v="50603420" u="1"/>
        <n v="52317066" u="1"/>
        <n v="50510830" u="1"/>
        <n v="50524901" u="1"/>
        <n v="50507230" u="1"/>
        <n v="50508130" u="1"/>
        <n v="50525929" u="1"/>
        <n v="52345368" u="1"/>
        <n v="50528757" u="1"/>
        <n v="52345400" u="1"/>
        <n v="50607372" u="1"/>
        <n v="52347296" u="1"/>
        <n v="50522361" u="1"/>
        <n v="50512050" u="1"/>
        <n v="50525157" u="1"/>
        <n v="50512114" u="1"/>
        <n v="50511214" u="1"/>
        <n v="50513142" u="1"/>
      </sharedItems>
    </cacheField>
    <cacheField name="Код СП_x000a_" numFmtId="0">
      <sharedItems containsSemiMixedTypes="0" containsString="0" containsNumber="1" containsInteger="1" minValue="1" maxValue="421"/>
    </cacheField>
    <cacheField name="Структурное подразделение" numFmtId="0">
      <sharedItems/>
    </cacheField>
    <cacheField name="Подразделение 2 уровня" numFmtId="0">
      <sharedItems/>
    </cacheField>
    <cacheField name="Подразделение 3 уровня" numFmtId="0">
      <sharedItems/>
    </cacheField>
    <cacheField name="Резервируемая должность " numFmtId="0">
      <sharedItems/>
    </cacheField>
    <cacheField name="Уровень резерв. должности " numFmtId="1">
      <sharedItems containsSemiMixedTypes="0" containsString="0" containsNumber="1" containsInteger="1" minValue="3" maxValue="7"/>
    </cacheField>
    <cacheField name="Резервируемая должность становилась вакантной (да/нет)" numFmtId="0">
      <sharedItems/>
    </cacheField>
    <cacheField name="Дата, когда должность стала вакантна" numFmtId="14">
      <sharedItems containsNonDate="0" containsDate="1" containsString="0" containsBlank="1" minDate="2017-12-28T00:00:00" maxDate="2023-07-02T00:00:00"/>
    </cacheField>
    <cacheField name="Дата закрытия вакансии (Дата назначения)" numFmtId="14">
      <sharedItems containsNonDate="0" containsDate="1" containsString="0" containsBlank="1" minDate="2018-07-02T00:00:00" maxDate="2023-06-22T00:00:00"/>
    </cacheField>
    <cacheField name="Тип назначения" numFmtId="0">
      <sharedItems containsBlank="1"/>
    </cacheField>
    <cacheField name="табельный номер держателя должности" numFmtId="0">
      <sharedItems containsBlank="1" containsMixedTypes="1" containsNumber="1" containsInteger="1" minValue="1" maxValue="1110"/>
    </cacheField>
    <cacheField name="ФИО держателя резервной позиции" numFmtId="0">
      <sharedItems containsBlank="1"/>
    </cacheField>
    <cacheField name="Таб.номер резервиста" numFmtId="164">
      <sharedItems containsSemiMixedTypes="0" containsString="0" containsNumber="1" containsInteger="1" minValue="1" maxValue="2160"/>
    </cacheField>
    <cacheField name="ФИО резервиста" numFmtId="0">
      <sharedItems/>
    </cacheField>
    <cacheField name="Должность резервиста" numFmtId="0">
      <sharedItems/>
    </cacheField>
    <cacheField name="СП резервиста" numFmtId="0">
      <sharedItems/>
    </cacheField>
    <cacheField name="Текущий статус готовности" numFmtId="0">
      <sharedItems containsBlank="1" count="8">
        <s v="Готов краткосрочно"/>
        <s v="Готов к назначению"/>
        <s v="Готов среднесрочно"/>
        <m/>
        <s v="Гн (0 мес.)" u="1"/>
        <s v="Г3 (13-36 мес.)" u="1"/>
        <s v="Г1 (1-12 мес.)" u="1"/>
        <s v="Г0 (0 мес.)" u="1"/>
      </sharedItems>
    </cacheField>
    <cacheField name="Статус в резерве" numFmtId="0">
      <sharedItems containsBlank="1" count="4">
        <s v="состоит в резерве"/>
        <s v="назначен на целевую должность"/>
        <s v="исключен из резерва"/>
        <m/>
      </sharedItems>
    </cacheField>
    <cacheField name="Кол-во резервистов на уникальных должностях" numFmtId="0">
      <sharedItems containsSemiMixedTypes="0" containsString="0" containsNumber="1" containsInteger="1" minValue="0" maxValue="1"/>
    </cacheField>
    <cacheField name="Назначен на целевую должность (1 - назначен, 0 - не назначен)" numFmtId="0">
      <sharedItems containsSemiMixedTypes="0" containsString="0" containsNumber="1" containsInteger="1" minValue="0" maxValue="1"/>
    </cacheField>
    <cacheField name="Причина исключения из КР" numFmtId="0">
      <sharedItems containsBlank="1"/>
    </cacheField>
    <cacheField name="Дата исключения из КР" numFmtId="14">
      <sharedItems containsNonDate="0" containsDate="1" containsString="0" containsBlank="1" minDate="2018-07-02T00:00:00" maxDate="2023-12-20T00:00:00"/>
    </cacheField>
    <cacheField name="Изменение статуса готовности при повторном КК?" numFmtId="0">
      <sharedItems containsBlank="1"/>
    </cacheField>
    <cacheField name="Основание (документ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68">
  <r>
    <s v="Функциональное направление 1"/>
    <n v="3"/>
    <d v="2018-11-06T00:00:00"/>
    <n v="1"/>
    <s v="не защищена"/>
    <n v="500045"/>
    <x v="0"/>
    <n v="243"/>
    <s v="Подразделение243"/>
    <s v="подразделение_2_уровня243"/>
    <s v="-"/>
    <s v="ТОП_руководитель_3"/>
    <n v="5"/>
    <s v="да"/>
    <d v="2021-07-01T00:00:00"/>
    <d v="2021-07-15T00:00:00"/>
    <s v="из резерва (учитываем)"/>
    <n v="1"/>
    <s v="Андреев Андрей Андреевич"/>
    <n v="1111"/>
    <s v="Русланов Савелий Герасимович"/>
    <s v="функциональный_руководитель_1"/>
    <s v="Подразделение243"/>
    <x v="0"/>
    <x v="0"/>
    <n v="1"/>
    <n v="0"/>
    <m/>
    <m/>
    <s v="без изменений"/>
    <s v="протокол-№-25.05.2023"/>
  </r>
  <r>
    <s v="Функциональное направление 1"/>
    <n v="3"/>
    <d v="2018-11-06T00:00:00"/>
    <n v="0"/>
    <s v="не защищена"/>
    <n v="500045"/>
    <x v="0"/>
    <n v="243"/>
    <s v="Подразделение243"/>
    <s v="подразделение_2_уровня243"/>
    <s v="-"/>
    <s v="ТОП_руководитель_3"/>
    <n v="5"/>
    <s v="да"/>
    <d v="2021-07-01T00:00:00"/>
    <d v="2021-07-15T00:00:00"/>
    <s v="из резерва (учитываем)"/>
    <n v="1"/>
    <s v="Андреев Андрей Андреевич"/>
    <n v="1112"/>
    <s v="Трофимов Ефрем Ильич"/>
    <s v="функциональный_руководитель_1"/>
    <s v="Подразделение243"/>
    <x v="1"/>
    <x v="0"/>
    <n v="1"/>
    <n v="0"/>
    <m/>
    <m/>
    <s v="без изменений"/>
    <s v="протокол-№-25.05.2023"/>
  </r>
  <r>
    <s v="Функциональное направление 1"/>
    <n v="3"/>
    <d v="2018-07-31T00:00:00"/>
    <n v="0"/>
    <s v="не защищена"/>
    <n v="500045"/>
    <x v="0"/>
    <n v="243"/>
    <s v="Подразделение243"/>
    <s v="подразделение_2_уровня243"/>
    <s v="-"/>
    <s v="ТОП_руководитель_3"/>
    <n v="5"/>
    <s v="да"/>
    <d v="2021-07-01T00:00:00"/>
    <d v="2021-07-15T00:00:00"/>
    <s v="из резерва (учитываем)"/>
    <n v="1"/>
    <s v="Андреев Андрей Андреевич"/>
    <n v="1"/>
    <s v="Андреев Андрей Андреевич"/>
    <s v="функциональный_руководитель_1"/>
    <s v="Подразделение243"/>
    <x v="1"/>
    <x v="1"/>
    <n v="1"/>
    <n v="1"/>
    <s v="назначение на целевую должность"/>
    <d v="2021-07-15T00:00:00"/>
    <s v="повышение"/>
    <s v="протокол-№-23.06.2020"/>
  </r>
  <r>
    <s v="Функциональное направление 1"/>
    <n v="3"/>
    <d v="2018-11-06T00:00:00"/>
    <n v="0"/>
    <s v="не защищена"/>
    <n v="500045"/>
    <x v="0"/>
    <n v="243"/>
    <s v="Подразделение243"/>
    <s v="подразделение_2_уровня243"/>
    <s v="-"/>
    <s v="ТОП_руководитель_3"/>
    <n v="5"/>
    <s v="да"/>
    <d v="2021-07-01T00:00:00"/>
    <d v="2021-07-15T00:00:00"/>
    <s v="из резерва (учитываем)"/>
    <n v="1"/>
    <s v="Андреев Андрей Андреевич"/>
    <n v="1113"/>
    <s v="Игнатьев Трофим Константинович"/>
    <s v="линейный_руководитель_3"/>
    <s v="Подразделение243"/>
    <x v="0"/>
    <x v="2"/>
    <n v="1"/>
    <n v="0"/>
    <s v="прочее ()"/>
    <d v="2023-05-25T00:00:00"/>
    <s v="исключение"/>
    <s v="протокол-№-25.05.2023"/>
  </r>
  <r>
    <s v="Функциональное направление 1"/>
    <n v="3"/>
    <d v="2019-11-28T00:00:00"/>
    <n v="1"/>
    <s v="не защищена"/>
    <n v="500527"/>
    <x v="1"/>
    <n v="243"/>
    <s v="Подразделение243"/>
    <s v="-"/>
    <s v="-"/>
    <s v="руководитель_среднего_уровня_1"/>
    <n v="5"/>
    <s v="нет"/>
    <m/>
    <m/>
    <m/>
    <n v="2"/>
    <s v="Александров Александр Александрович"/>
    <n v="1114"/>
    <s v="Ветров Дмитрий Ильич"/>
    <s v="функциональный_руководитель_1"/>
    <s v="Подразделение243"/>
    <x v="1"/>
    <x v="0"/>
    <n v="1"/>
    <n v="0"/>
    <m/>
    <m/>
    <s v="без изменений"/>
    <s v="протокол-№-25.05.2023"/>
  </r>
  <r>
    <s v="Функциональное направление 1"/>
    <n v="3"/>
    <d v="2019-11-28T00:00:00"/>
    <n v="0"/>
    <s v="не защищена"/>
    <n v="500527"/>
    <x v="1"/>
    <n v="243"/>
    <s v="Подразделение243"/>
    <s v="-"/>
    <s v="-"/>
    <s v="руководитель_среднего_уровня_1"/>
    <n v="5"/>
    <s v="нет"/>
    <m/>
    <m/>
    <m/>
    <n v="2"/>
    <s v="Александров Александр Александрович"/>
    <n v="1115"/>
    <s v="Карасев Трофим Романович"/>
    <s v="линейный_руководитель_3"/>
    <s v="Подразделение243"/>
    <x v="1"/>
    <x v="0"/>
    <n v="1"/>
    <n v="0"/>
    <m/>
    <m/>
    <s v="без изменений"/>
    <s v="протокол-№-25.05.2023"/>
  </r>
  <r>
    <s v="Функциональное направление 1"/>
    <n v="3"/>
    <d v="2018-11-06T00:00:00"/>
    <n v="1"/>
    <s v="не защищена"/>
    <n v="500528"/>
    <x v="2"/>
    <n v="243"/>
    <s v="Подразделение243"/>
    <s v="подразделение_2_уровня243"/>
    <s v="-"/>
    <s v="ТОП_руководитель_3"/>
    <n v="5"/>
    <s v="да"/>
    <d v="2018-12-17T00:00:00"/>
    <d v="2018-12-17T00:00:00"/>
    <s v="внутренний сотрудник (учитываем)"/>
    <n v="3"/>
    <s v="Алексеев Алексей Алексеевич"/>
    <n v="1116"/>
    <s v="Владимиров Ефрем Кириллович"/>
    <s v="линейный_руководитель_3"/>
    <s v="Подразделение243"/>
    <x v="1"/>
    <x v="0"/>
    <n v="1"/>
    <n v="0"/>
    <m/>
    <m/>
    <s v="без изменений"/>
    <s v="протокол-№-25.05.2023"/>
  </r>
  <r>
    <s v="Функциональное направление 1"/>
    <n v="3"/>
    <d v="2018-11-06T00:00:00"/>
    <n v="0"/>
    <s v="не защищена"/>
    <n v="500528"/>
    <x v="2"/>
    <n v="243"/>
    <s v="Подразделение243"/>
    <s v="подразделение_2_уровня243"/>
    <s v="-"/>
    <s v="ТОП_руководитель_3"/>
    <n v="5"/>
    <s v="да"/>
    <d v="2018-12-17T00:00:00"/>
    <d v="2018-12-17T00:00:00"/>
    <s v="внутренний сотрудник (учитываем)"/>
    <n v="3"/>
    <s v="Алексеев Алексей Алексеевич"/>
    <n v="9"/>
    <s v="Борисов Борис Борисович"/>
    <s v="руководитель_среднего_уровня_1"/>
    <s v="Подразделение243"/>
    <x v="1"/>
    <x v="0"/>
    <n v="1"/>
    <n v="0"/>
    <m/>
    <m/>
    <s v="без изменений"/>
    <s v="протокол-№-25.05.2023"/>
  </r>
  <r>
    <s v="Функциональное направление 1"/>
    <n v="3"/>
    <d v="2018-11-06T00:00:00"/>
    <n v="1"/>
    <s v="не защищена"/>
    <n v="500529"/>
    <x v="3"/>
    <n v="243"/>
    <s v="Подразделение243"/>
    <s v="подразделение_2_уровня243"/>
    <s v="-"/>
    <s v="ТОП_руководитель_3"/>
    <n v="5"/>
    <s v="да"/>
    <d v="2020-12-26T00:00:00"/>
    <d v="2021-03-01T00:00:00"/>
    <s v="внутренний сотрудник (учитываем)"/>
    <n v="4"/>
    <s v="Антонов Антон Антонович"/>
    <n v="1117"/>
    <s v="Ветров Роман Вадимович"/>
    <s v="линейный_руководитель_3"/>
    <s v="Подразделение243"/>
    <x v="0"/>
    <x v="0"/>
    <n v="1"/>
    <n v="0"/>
    <m/>
    <m/>
    <s v="без изменений"/>
    <s v="протокол-№-25.05.2023"/>
  </r>
  <r>
    <s v="Функциональное направление 1"/>
    <n v="3"/>
    <d v="2022-05-25T00:00:00"/>
    <n v="0"/>
    <s v="не защищена"/>
    <n v="500529"/>
    <x v="3"/>
    <n v="243"/>
    <s v="Подразделение243"/>
    <s v="подразделение_2_уровня243"/>
    <s v="-"/>
    <s v="ТОП_руководитель_3"/>
    <n v="5"/>
    <s v="да"/>
    <d v="2020-12-26T00:00:00"/>
    <d v="2021-03-01T00:00:00"/>
    <s v="внутренний сотрудник (учитываем)"/>
    <n v="4"/>
    <s v="Антонов Антон Антонович"/>
    <n v="1113"/>
    <s v="Игнатьев Трофим Константинович"/>
    <s v="линейный_руководитель_3"/>
    <s v="Подразделение243"/>
    <x v="0"/>
    <x v="0"/>
    <n v="1"/>
    <n v="0"/>
    <m/>
    <m/>
    <s v="не рассматривали"/>
    <s v="протокол-№-25.05.2023"/>
  </r>
  <r>
    <s v="Функциональное направление 1"/>
    <n v="3"/>
    <d v="2019-11-28T00:00:00"/>
    <n v="1"/>
    <s v="не защищена"/>
    <n v="500530"/>
    <x v="4"/>
    <n v="243"/>
    <s v="Подразделение243"/>
    <s v="-"/>
    <s v="-"/>
    <s v="руководитель_среднего_уровня_1"/>
    <n v="5"/>
    <s v="нет"/>
    <m/>
    <m/>
    <m/>
    <n v="5"/>
    <s v="Артемов Артем Артемович"/>
    <n v="1118"/>
    <s v="Владимиров Савелий Ильич"/>
    <s v="линейный_руководитель_3"/>
    <s v="Подразделение243"/>
    <x v="1"/>
    <x v="0"/>
    <n v="1"/>
    <n v="0"/>
    <m/>
    <m/>
    <s v="без изменений"/>
    <s v="протокол-№-25.05.2023"/>
  </r>
  <r>
    <s v="Функциональное направление 1"/>
    <n v="3"/>
    <d v="2022-05-25T00:00:00"/>
    <n v="0"/>
    <s v="не защищена"/>
    <n v="500530"/>
    <x v="4"/>
    <n v="243"/>
    <s v="Подразделение243"/>
    <s v="-"/>
    <s v="-"/>
    <s v="руководитель_среднего_уровня_1"/>
    <n v="5"/>
    <s v="нет"/>
    <m/>
    <m/>
    <m/>
    <n v="5"/>
    <s v="Артемов Артем Артемович"/>
    <n v="1119"/>
    <s v="Брежнев Роман Семенович"/>
    <s v="Специалист"/>
    <s v="Подразделение243"/>
    <x v="2"/>
    <x v="0"/>
    <n v="1"/>
    <n v="0"/>
    <m/>
    <m/>
    <s v="не рассматривали"/>
    <s v="протокол-№-25.05.2023"/>
  </r>
  <r>
    <s v="Функциональное направление 1"/>
    <n v="3"/>
    <d v="2018-11-06T00:00:00"/>
    <n v="0"/>
    <s v="не защищена"/>
    <n v="500530"/>
    <x v="4"/>
    <n v="243"/>
    <s v="Подразделение243"/>
    <s v="-"/>
    <s v="-"/>
    <s v="руководитель_среднего_уровня_1"/>
    <n v="5"/>
    <s v="нет"/>
    <m/>
    <m/>
    <m/>
    <n v="5"/>
    <s v="Артемов Артем Артемович"/>
    <n v="1120"/>
    <s v="Брежнев Андрей Вадимович"/>
    <s v="линейный_руководитель_3"/>
    <s v="Подразделение_др1"/>
    <x v="0"/>
    <x v="2"/>
    <n v="1"/>
    <n v="0"/>
    <s v="прочее ()"/>
    <d v="2023-05-25T00:00:00"/>
    <s v="исключение"/>
    <s v="протокол-№-25.05.2023"/>
  </r>
  <r>
    <s v="Функциональное направление 1"/>
    <n v="2"/>
    <d v="2017-12-11T00:00:00"/>
    <n v="1"/>
    <s v="не защищена"/>
    <n v="500548"/>
    <x v="5"/>
    <n v="243"/>
    <s v="Подразделение243"/>
    <s v="-"/>
    <s v="-"/>
    <s v="ТОП_руководитель_1"/>
    <n v="3"/>
    <s v="да"/>
    <d v="2020-01-10T00:00:00"/>
    <d v="2021-07-01T00:00:00"/>
    <s v="из резерва (учитываем)"/>
    <n v="6"/>
    <s v="Анатольев Анатолий Анатольевич"/>
    <n v="3"/>
    <s v="Алексеев Алексей Алексеевич"/>
    <s v="ТОП_руководитель_3"/>
    <s v="Подразделение243"/>
    <x v="0"/>
    <x v="0"/>
    <n v="1"/>
    <n v="0"/>
    <m/>
    <m/>
    <s v="понижение"/>
    <s v="протокол-№-24.05.2021"/>
  </r>
  <r>
    <s v="Функциональное направление 1"/>
    <n v="2"/>
    <d v="2022-12-17T00:00:00"/>
    <n v="0"/>
    <s v="не защищена"/>
    <n v="500548"/>
    <x v="5"/>
    <n v="243"/>
    <s v="Подразделение243"/>
    <s v="-"/>
    <s v="-"/>
    <s v="ТОП_руководитель_1"/>
    <n v="3"/>
    <s v="да"/>
    <d v="2020-01-10T00:00:00"/>
    <d v="2021-11-19T00:00:00"/>
    <s v="из резерва (учитываем)"/>
    <n v="6"/>
    <s v="Анатольев Анатолий Анатольевич"/>
    <n v="9"/>
    <s v="Борисов Борис Борисович"/>
    <s v="руководитель_среднего_уровня_1"/>
    <s v="Подразделение243"/>
    <x v="2"/>
    <x v="0"/>
    <n v="1"/>
    <n v="0"/>
    <m/>
    <m/>
    <s v="не рассматривали"/>
    <s v="протокол-№-17.01.2023"/>
  </r>
  <r>
    <s v="Функциональное направление 1"/>
    <n v="2"/>
    <d v="2017-12-11T00:00:00"/>
    <n v="0"/>
    <s v="не защищена"/>
    <n v="500548"/>
    <x v="5"/>
    <n v="243"/>
    <s v="Подразделение243"/>
    <s v="-"/>
    <s v="-"/>
    <s v="ТОП_руководитель_1"/>
    <n v="3"/>
    <s v="да"/>
    <d v="2020-01-10T00:00:00"/>
    <d v="2021-07-01T00:00:00"/>
    <s v="из резерва (учитываем)"/>
    <n v="6"/>
    <s v="Анатольев Анатолий Анатольевич"/>
    <n v="6"/>
    <s v="Анатольев Анатолий Анатольевич"/>
    <s v="ТОП_руководитель_3"/>
    <s v="Подразделение243"/>
    <x v="1"/>
    <x v="1"/>
    <n v="1"/>
    <n v="1"/>
    <s v="назначение на целевую должность"/>
    <d v="2021-07-01T00:00:00"/>
    <s v="без изменений"/>
    <s v="протокол-№-02.04.2019"/>
  </r>
  <r>
    <s v="Функциональное направление 1"/>
    <n v="2"/>
    <d v="2017-12-11T00:00:00"/>
    <n v="0"/>
    <s v="не защищена"/>
    <n v="500548"/>
    <x v="5"/>
    <n v="243"/>
    <s v="Подразделение243"/>
    <s v="-"/>
    <s v="-"/>
    <s v="ТОП_руководитель_1"/>
    <n v="3"/>
    <s v="да"/>
    <d v="2020-01-10T00:00:00"/>
    <d v="2021-07-01T00:00:00"/>
    <s v="из резерва (учитываем)"/>
    <n v="6"/>
    <s v="Анатольев Анатолий Анатольевич"/>
    <n v="1121"/>
    <s v="Семенов Константин Венедиктович"/>
    <s v="руководитель_среднего_уровня_1"/>
    <s v="Подразделение_др2"/>
    <x v="0"/>
    <x v="2"/>
    <n v="1"/>
    <n v="0"/>
    <s v="прочее (перевод в другое СП / на другое предприятие)"/>
    <d v="2022-08-01T00:00:00"/>
    <s v="исключение"/>
    <s v="протокол-№-24.05.2021"/>
  </r>
  <r>
    <s v="Функциональное направление 1"/>
    <n v="2"/>
    <d v="2017-12-11T00:00:00"/>
    <n v="0"/>
    <s v="не защищена"/>
    <n v="500548"/>
    <x v="5"/>
    <n v="243"/>
    <s v="Подразделение243"/>
    <s v="-"/>
    <s v="-"/>
    <s v="ТОП_руководитель_1"/>
    <n v="3"/>
    <s v="да"/>
    <d v="2020-01-10T00:00:00"/>
    <d v="2021-07-01T00:00:00"/>
    <s v="из резерва (учитываем)"/>
    <n v="6"/>
    <s v="Анатольев Анатолий Анатольевич"/>
    <n v="1"/>
    <s v="Андреев Андрей Андреевич"/>
    <s v="ТОП_руководитель_3"/>
    <s v="Подразделение243"/>
    <x v="0"/>
    <x v="2"/>
    <n v="1"/>
    <n v="0"/>
    <s v="инициатива комитета / руководителя"/>
    <d v="2023-12-17T00:00:00"/>
    <s v="исключение"/>
    <s v="протокол-№-17.12.2023"/>
  </r>
  <r>
    <s v="Функциональное направление 1"/>
    <n v="3"/>
    <d v="2018-11-06T00:00:00"/>
    <n v="1"/>
    <s v="не защищена"/>
    <n v="500078"/>
    <x v="6"/>
    <n v="243"/>
    <s v="Подразделение243"/>
    <s v="подразделение_2_уровня243"/>
    <s v="-"/>
    <s v="руководитель_среднего_уровня_1"/>
    <n v="5"/>
    <s v="нет"/>
    <m/>
    <m/>
    <m/>
    <n v="7"/>
    <s v="Арсеньев Арсений Арсеньевич"/>
    <n v="1120"/>
    <s v="Брежнев Андрей Вадимович"/>
    <s v="линейный_руководитель_3"/>
    <s v="Подразделение_др1"/>
    <x v="1"/>
    <x v="0"/>
    <n v="1"/>
    <n v="0"/>
    <m/>
    <m/>
    <s v="повышение"/>
    <s v="протокол-№-25.05.2023"/>
  </r>
  <r>
    <s v="Функциональное направление 1"/>
    <n v="3"/>
    <d v="2018-11-06T00:00:00"/>
    <n v="0"/>
    <s v="не защищена"/>
    <n v="500078"/>
    <x v="6"/>
    <n v="243"/>
    <s v="Подразделение243"/>
    <s v="подразделение_2_уровня243"/>
    <s v="-"/>
    <s v="руководитель_среднего_уровня_1"/>
    <n v="5"/>
    <s v="нет"/>
    <m/>
    <m/>
    <m/>
    <n v="7"/>
    <s v="Арсеньев Арсений Арсеньевич"/>
    <n v="1122"/>
    <s v="Брежнев Кирилл Ефремович"/>
    <s v="линейный_руководитель_3"/>
    <s v="Подразделение_др1"/>
    <x v="0"/>
    <x v="0"/>
    <n v="1"/>
    <n v="0"/>
    <m/>
    <m/>
    <s v="без изменений"/>
    <s v="протокол-№-25.05.2023"/>
  </r>
  <r>
    <s v="Функциональное направление 1"/>
    <n v="3"/>
    <d v="2018-11-06T00:00:00"/>
    <n v="1"/>
    <s v="не защищена"/>
    <n v="500079"/>
    <x v="7"/>
    <n v="243"/>
    <s v="Подразделение243"/>
    <s v="подразделение_2_уровня243"/>
    <s v="-"/>
    <s v="руководитель_среднего_уровня_1"/>
    <n v="5"/>
    <s v="да"/>
    <d v="2021-11-24T00:00:00"/>
    <d v="2022-01-21T00:00:00"/>
    <s v="из резерва (учитываем)"/>
    <n v="8"/>
    <s v="Афанасьев Афанасий Афанасьевич"/>
    <n v="1123"/>
    <s v="Дмитриев Савелий Тихонович"/>
    <s v="линейный_руководитель_3"/>
    <s v="Подразделение_др1"/>
    <x v="1"/>
    <x v="0"/>
    <n v="1"/>
    <n v="0"/>
    <m/>
    <m/>
    <s v="без изменений"/>
    <s v="протокол-№-25.05.2023"/>
  </r>
  <r>
    <s v="Функциональное направление 1"/>
    <n v="3"/>
    <d v="2018-11-06T00:00:00"/>
    <n v="0"/>
    <s v="не защищена"/>
    <n v="500079"/>
    <x v="7"/>
    <n v="243"/>
    <s v="Подразделение243"/>
    <s v="подразделение_2_уровня243"/>
    <s v="-"/>
    <s v="руководитель_среднего_уровня_1"/>
    <n v="5"/>
    <s v="да"/>
    <d v="2021-11-24T00:00:00"/>
    <d v="2022-01-21T00:00:00"/>
    <s v="из резерва (учитываем)"/>
    <n v="8"/>
    <s v="Афанасьев Афанасий Афанасьевич"/>
    <n v="1124"/>
    <s v="Игорев Юрий Маркович"/>
    <s v="руководитель_среднего_уровня_1"/>
    <s v="Подразделение216"/>
    <x v="1"/>
    <x v="0"/>
    <n v="1"/>
    <n v="0"/>
    <m/>
    <m/>
    <s v="без изменений"/>
    <s v="протокол-№-25.05.2023"/>
  </r>
  <r>
    <s v="Функциональное направление 1"/>
    <n v="3"/>
    <d v="2018-11-06T00:00:00"/>
    <n v="0"/>
    <s v="не защищена"/>
    <n v="500079"/>
    <x v="7"/>
    <n v="243"/>
    <s v="Подразделение243"/>
    <s v="подразделение_2_уровня243"/>
    <s v="-"/>
    <s v="руководитель_среднего_уровня_1"/>
    <n v="5"/>
    <s v="да"/>
    <d v="2021-11-24T00:00:00"/>
    <d v="2022-01-21T00:00:00"/>
    <s v="из резерва (учитываем)"/>
    <n v="8"/>
    <s v="Афанасьев Афанасий Афанасьевич"/>
    <n v="1125"/>
    <s v="Семенов Захар Ильич"/>
    <s v="линейный_руководитель_3"/>
    <s v="Подразделение_др1"/>
    <x v="1"/>
    <x v="0"/>
    <n v="1"/>
    <n v="0"/>
    <m/>
    <m/>
    <s v="повышение"/>
    <s v="протокол-№-25.05.2023"/>
  </r>
  <r>
    <s v="Функциональное направление 1"/>
    <n v="3"/>
    <d v="2018-11-06T00:00:00"/>
    <n v="0"/>
    <s v="не защищена"/>
    <n v="500079"/>
    <x v="7"/>
    <n v="243"/>
    <s v="Подразделение243"/>
    <s v="подразделение_2_уровня243"/>
    <s v="-"/>
    <s v="руководитель_среднего_уровня_1"/>
    <n v="5"/>
    <s v="да"/>
    <d v="2021-11-24T00:00:00"/>
    <d v="2022-01-21T00:00:00"/>
    <s v="из резерва (учитываем)"/>
    <n v="8"/>
    <s v="Афанасьев Афанасий Афанасьевич"/>
    <n v="8"/>
    <s v="Афанасьев Афанасий Афанасьевич"/>
    <s v="линейный_руководитель_3"/>
    <s v="Подразделение243"/>
    <x v="1"/>
    <x v="1"/>
    <n v="1"/>
    <n v="1"/>
    <s v="назначение на целевую должность"/>
    <d v="2022-01-21T00:00:00"/>
    <s v="без изменений"/>
    <s v="протокол-№-23.06.2020"/>
  </r>
  <r>
    <s v="Функциональное направление 1"/>
    <n v="3"/>
    <d v="2019-11-28T00:00:00"/>
    <n v="1"/>
    <s v="не защищена"/>
    <n v="500715"/>
    <x v="8"/>
    <n v="243"/>
    <s v="Подразделение243"/>
    <s v="-"/>
    <s v="-"/>
    <s v="руководитель_среднего_уровня_1"/>
    <n v="5"/>
    <s v="нет"/>
    <m/>
    <m/>
    <m/>
    <n v="9"/>
    <s v="Борисов Борис Борисович"/>
    <n v="1126"/>
    <s v="Романов Ефрем Семенович"/>
    <s v="линейный_руководитель_3"/>
    <s v="Подразделение243"/>
    <x v="0"/>
    <x v="0"/>
    <n v="1"/>
    <n v="0"/>
    <m/>
    <m/>
    <s v="повышение"/>
    <s v="протокол-№-25.05.2023"/>
  </r>
  <r>
    <s v="Функциональное направление 1"/>
    <n v="3"/>
    <d v="2019-11-28T00:00:00"/>
    <n v="0"/>
    <s v="не защищена"/>
    <n v="500715"/>
    <x v="8"/>
    <n v="243"/>
    <s v="Подразделение243"/>
    <s v="-"/>
    <s v="-"/>
    <s v="руководитель_среднего_уровня_1"/>
    <n v="5"/>
    <s v="нет"/>
    <m/>
    <m/>
    <m/>
    <n v="9"/>
    <s v="Борисов Борис Борисович"/>
    <n v="1127"/>
    <s v="Прохоров Савелий Тимофеевич"/>
    <s v="функциональный_руководитель_2"/>
    <s v="Подразделение243"/>
    <x v="0"/>
    <x v="0"/>
    <n v="1"/>
    <n v="0"/>
    <m/>
    <m/>
    <s v="повышение"/>
    <s v="протокол-№-25.05.2023"/>
  </r>
  <r>
    <s v="Функциональное направление 1"/>
    <n v="3"/>
    <d v="2019-11-28T00:00:00"/>
    <n v="1"/>
    <s v="не защищена"/>
    <n v="500714"/>
    <x v="9"/>
    <n v="243"/>
    <s v="Подразделение243"/>
    <s v="-"/>
    <s v="-"/>
    <s v="руководитель_среднего_уровня_1"/>
    <n v="5"/>
    <s v="нет"/>
    <m/>
    <m/>
    <m/>
    <n v="10"/>
    <s v="Богданов Богдан Богданович"/>
    <n v="1128"/>
    <s v="Потапов Виталий Потапович"/>
    <s v="функциональный_руководитель_1"/>
    <s v="Подразделение243"/>
    <x v="0"/>
    <x v="0"/>
    <n v="1"/>
    <n v="0"/>
    <m/>
    <m/>
    <s v="без изменений"/>
    <s v="протокол-№-25.05.2023"/>
  </r>
  <r>
    <s v="Функциональное направление 1"/>
    <n v="3"/>
    <d v="2022-05-25T00:00:00"/>
    <n v="0"/>
    <s v="не защищена"/>
    <n v="500714"/>
    <x v="9"/>
    <n v="243"/>
    <s v="Подразделение243"/>
    <s v="-"/>
    <s v="-"/>
    <s v="руководитель_среднего_уровня_1"/>
    <n v="5"/>
    <s v="нет"/>
    <m/>
    <m/>
    <m/>
    <n v="10"/>
    <s v="Богданов Богдан Богданович"/>
    <n v="1129"/>
    <s v="Игнатьев Трофим Корнеевич"/>
    <s v="линейный_руководитель_3"/>
    <s v="Подразделение243"/>
    <x v="2"/>
    <x v="0"/>
    <n v="1"/>
    <n v="0"/>
    <m/>
    <m/>
    <s v="не рассматривали"/>
    <s v="протокол-№-25.05.2023"/>
  </r>
  <r>
    <s v="Функциональное направление 1"/>
    <n v="3"/>
    <d v="2019-11-28T00:00:00"/>
    <n v="0"/>
    <s v="не защищена"/>
    <n v="500714"/>
    <x v="9"/>
    <n v="243"/>
    <s v="Подразделение243"/>
    <s v="-"/>
    <s v="-"/>
    <s v="руководитель_среднего_уровня_1"/>
    <n v="5"/>
    <s v="нет"/>
    <m/>
    <m/>
    <m/>
    <n v="10"/>
    <s v="Богданов Богдан Богданович"/>
    <n v="1123"/>
    <s v="Дмитриев Савелий Тихонович"/>
    <s v="линейный_руководитель_3"/>
    <s v="Подразделение_др1"/>
    <x v="1"/>
    <x v="2"/>
    <n v="1"/>
    <n v="0"/>
    <s v="прочее ()"/>
    <d v="2022-05-25T00:00:00"/>
    <s v="без изменений"/>
    <s v="протокол-№-23.06.2020"/>
  </r>
  <r>
    <s v="Функциональное направление 1"/>
    <n v="3"/>
    <d v="2019-11-28T00:00:00"/>
    <n v="0"/>
    <s v="не защищена"/>
    <n v="500714"/>
    <x v="9"/>
    <n v="243"/>
    <s v="Подразделение243"/>
    <s v="-"/>
    <s v="-"/>
    <s v="руководитель_среднего_уровня_1"/>
    <n v="5"/>
    <s v="нет"/>
    <m/>
    <m/>
    <m/>
    <n v="10"/>
    <s v="Богданов Богдан Богданович"/>
    <n v="1130"/>
    <s v="Гуськов Лавр Геннадьевич"/>
    <s v="Специалист"/>
    <s v="Подразделение243"/>
    <x v="0"/>
    <x v="2"/>
    <n v="1"/>
    <n v="0"/>
    <s v="увольнение"/>
    <d v="2020-10-24T00:00:00"/>
    <s v="повышение"/>
    <s v="протокол-№-23.06.2020"/>
  </r>
  <r>
    <s v="Функциональное направление 2"/>
    <n v="3"/>
    <d v="2020-12-08T00:00:00"/>
    <n v="1"/>
    <s v="не защищена"/>
    <n v="500296"/>
    <x v="10"/>
    <n v="61"/>
    <s v="Подразделение61"/>
    <s v="подразделение_2_уровня61"/>
    <s v="-"/>
    <s v="ТОП_руководитель_2"/>
    <n v="5"/>
    <s v="нет"/>
    <m/>
    <m/>
    <m/>
    <n v="11"/>
    <s v="Вадимов Вадим Вадимович"/>
    <n v="17"/>
    <s v="Витальев Виталий Витальевич"/>
    <s v="руководитель_среднего_уровня_2"/>
    <s v="Подразделение61"/>
    <x v="0"/>
    <x v="0"/>
    <n v="1"/>
    <n v="0"/>
    <m/>
    <m/>
    <s v="повышение"/>
    <s v="протокол-№-01.06.2023"/>
  </r>
  <r>
    <s v="Функциональное направление 2"/>
    <n v="3"/>
    <d v="2022-06-01T00:00:00"/>
    <n v="0"/>
    <s v="не защищена"/>
    <n v="500296"/>
    <x v="10"/>
    <n v="61"/>
    <s v="Подразделение61"/>
    <s v="подразделение_2_уровня61"/>
    <s v="-"/>
    <s v="ТОП_руководитель_2"/>
    <n v="5"/>
    <s v="нет"/>
    <m/>
    <m/>
    <m/>
    <n v="11"/>
    <s v="Вадимов Вадим Вадимович"/>
    <n v="12"/>
    <s v="Валерьев Валерий Валерьевич"/>
    <s v="линейный_руководитель_5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0"/>
    <s v="не защищена"/>
    <n v="500296"/>
    <x v="10"/>
    <n v="61"/>
    <s v="Подразделение61"/>
    <s v="подразделение_2_уровня61"/>
    <s v="-"/>
    <s v="ТОП_руководитель_2"/>
    <n v="5"/>
    <s v="нет"/>
    <m/>
    <m/>
    <m/>
    <n v="11"/>
    <s v="Вадимов Вадим Вадимович"/>
    <n v="1131"/>
    <s v="Коровкин Афанасий Геннадьевич"/>
    <s v="функциональный_руководитель_1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297"/>
    <x v="11"/>
    <n v="61"/>
    <s v="Подразделение61"/>
    <s v="подразделение_2_уровня61"/>
    <s v="подразделение_3_уровня61"/>
    <s v="линейный_руководитель_5"/>
    <n v="6"/>
    <s v="да"/>
    <d v="2023-05-29T00:00:00"/>
    <m/>
    <m/>
    <s v="вакансия"/>
    <s v="вакансия"/>
    <n v="1132"/>
    <s v="Дорофеев Юрий Ефремович"/>
    <s v="линейный_руководитель_2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300"/>
    <x v="12"/>
    <n v="61"/>
    <s v="Подразделение61"/>
    <s v="подразделение_2_уровня61"/>
    <s v="подразделение_3_уровня61"/>
    <s v="линейный_руководитель_5"/>
    <n v="6"/>
    <s v="нет"/>
    <m/>
    <m/>
    <m/>
    <n v="12"/>
    <s v="Валерьев Валерий Валерьевич"/>
    <n v="1133"/>
    <s v="Исаев Юрий Иванович"/>
    <s v="руководитель_среднего_уровня_3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308"/>
    <x v="13"/>
    <n v="61"/>
    <s v="Подразделение61"/>
    <s v="подразделение_2_уровня61"/>
    <s v="подразделение_3_уровня61"/>
    <s v="линейный_руководитель_5"/>
    <n v="6"/>
    <s v="нет"/>
    <m/>
    <m/>
    <m/>
    <n v="13"/>
    <s v="Васильев Василий Васильевич"/>
    <n v="1134"/>
    <s v="Ефремов Афанасий Тарасович"/>
    <s v="Рабочий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327"/>
    <x v="14"/>
    <n v="61"/>
    <s v="Подразделение61"/>
    <s v="подразделение_2_уровня61"/>
    <s v="подразделение_3_уровня61"/>
    <s v="линейный_руководитель_5"/>
    <n v="6"/>
    <s v="нет"/>
    <m/>
    <m/>
    <m/>
    <n v="14"/>
    <s v="Венедиктов Венедикт Венедиктович"/>
    <n v="1135"/>
    <s v="Степанов Илья Константинович"/>
    <s v="Специалист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0"/>
    <s v="не защищена"/>
    <n v="500327"/>
    <x v="14"/>
    <n v="61"/>
    <s v="Подразделение61"/>
    <s v="подразделение_2_уровня61"/>
    <s v="подразделение_3_уровня61"/>
    <s v="линейный_руководитель_5"/>
    <n v="6"/>
    <s v="нет"/>
    <m/>
    <m/>
    <m/>
    <n v="14"/>
    <s v="Венедиктов Венедикт Венедиктович"/>
    <n v="1136"/>
    <s v="Ветров Виталий Кондратьевич"/>
    <s v="Рабочий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328"/>
    <x v="15"/>
    <n v="61"/>
    <s v="Подразделение61"/>
    <s v="подразделение_2_уровня61"/>
    <s v="подразделение_3_уровня61"/>
    <s v="линейный_руководитель_5"/>
    <n v="6"/>
    <s v="нет"/>
    <m/>
    <m/>
    <m/>
    <n v="15"/>
    <s v="Вениаминов Вениамин Вениаминович"/>
    <n v="1137"/>
    <s v="Филиппов Юрий Игнатович"/>
    <s v="Специалист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310"/>
    <x v="16"/>
    <n v="61"/>
    <s v="Подразделение61"/>
    <s v="подразделение_2_уровня61"/>
    <s v="подразделение_3_уровня61"/>
    <s v="линейный_руководитель_5"/>
    <n v="6"/>
    <s v="нет"/>
    <m/>
    <m/>
    <m/>
    <n v="16"/>
    <s v="Викторов Виктор Викторович"/>
    <n v="1138"/>
    <s v="Брежнев Илья Никитинич"/>
    <s v="Специалист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0"/>
    <s v="не защищена"/>
    <n v="500310"/>
    <x v="16"/>
    <n v="61"/>
    <s v="Подразделение61"/>
    <s v="подразделение_2_уровня61"/>
    <s v="подразделение_3_уровня61"/>
    <s v="линейный_руководитель_5"/>
    <n v="6"/>
    <s v="нет"/>
    <m/>
    <m/>
    <m/>
    <n v="16"/>
    <s v="Викторов Виктор Викторович"/>
    <n v="1139"/>
    <s v="Коростелев Андрей Кондратьевич"/>
    <s v="Специалист"/>
    <s v="Подразделение61"/>
    <x v="2"/>
    <x v="2"/>
    <n v="1"/>
    <n v="0"/>
    <s v="увольнение"/>
    <d v="2023-04-03T00:00:00"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620"/>
    <x v="17"/>
    <n v="61"/>
    <s v="Подразделение61"/>
    <s v="подразделение_2_уровня61"/>
    <s v="-"/>
    <s v="руководитель_среднего_уровня_2"/>
    <n v="5"/>
    <s v="нет"/>
    <m/>
    <m/>
    <m/>
    <n v="17"/>
    <s v="Витальев Виталий Витальевич"/>
    <n v="1140"/>
    <s v="Игнатьев Роман Богданович"/>
    <s v="линейный_руководитель_2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0"/>
    <s v="не защищена"/>
    <n v="500620"/>
    <x v="17"/>
    <n v="61"/>
    <s v="Подразделение61"/>
    <s v="подразделение_2_уровня61"/>
    <s v="-"/>
    <s v="руководитель_среднего_уровня_2"/>
    <n v="5"/>
    <s v="нет"/>
    <m/>
    <m/>
    <m/>
    <n v="17"/>
    <s v="Витальев Виталий Витальевич"/>
    <n v="1141"/>
    <s v="Коростелев Константин Александрович"/>
    <s v="линейный_руководитель_2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619"/>
    <x v="18"/>
    <n v="61"/>
    <s v="Подразделение61"/>
    <s v="подразделение_2_уровня61"/>
    <s v="подразделение_3_уровня61"/>
    <s v="линейный_руководитель_3"/>
    <n v="6"/>
    <s v="нет"/>
    <m/>
    <m/>
    <m/>
    <n v="18"/>
    <s v="Владиславов Владислав Владиславович"/>
    <n v="1142"/>
    <s v="Прохоров Савелий Александрович"/>
    <s v="Специалист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617"/>
    <x v="19"/>
    <n v="61"/>
    <s v="Подразделение61"/>
    <s v="подразделение_2_уровня61"/>
    <s v="подразделение_3_уровня61"/>
    <s v="линейный_руководитель_3"/>
    <n v="6"/>
    <s v="нет"/>
    <m/>
    <m/>
    <m/>
    <n v="19"/>
    <s v="Владимиров Владимир Владимирович"/>
    <n v="1143"/>
    <s v="Брежнев Ефрем Тарасович"/>
    <s v="Специалист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0"/>
    <s v="не защищена"/>
    <n v="500617"/>
    <x v="19"/>
    <n v="61"/>
    <s v="Подразделение61"/>
    <s v="подразделение_2_уровня61"/>
    <s v="подразделение_3_уровня61"/>
    <s v="линейный_руководитель_3"/>
    <n v="6"/>
    <s v="нет"/>
    <m/>
    <m/>
    <m/>
    <n v="19"/>
    <s v="Владимиров Владимир Владимирович"/>
    <n v="1144"/>
    <s v="Степанов Лавр Кондратьевич"/>
    <s v="Специалист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1"/>
    <s v="не защищена"/>
    <n v="500618"/>
    <x v="20"/>
    <n v="61"/>
    <s v="Подразделение61"/>
    <s v="подразделение_2_уровня61"/>
    <s v="подразделение_3_уровня61"/>
    <s v="линейный_руководитель_3"/>
    <n v="6"/>
    <s v="да"/>
    <d v="2023-03-27T00:00:00"/>
    <d v="2023-03-27T00:00:00"/>
    <s v="из резерва (учитываем)"/>
    <n v="20"/>
    <s v="Всеволодов Всеволод Всеволодович"/>
    <n v="20"/>
    <s v="Всеволодов Всеволод Всеволодович"/>
    <s v="Специалист"/>
    <s v="Подразделение61"/>
    <x v="2"/>
    <x v="1"/>
    <n v="1"/>
    <n v="1"/>
    <s v="назначение на целевую должность"/>
    <d v="2023-03-27T00:00:00"/>
    <s v="не рассматривали"/>
    <s v="протокол-№-01.06.2023"/>
  </r>
  <r>
    <s v="Функциональное направление 2"/>
    <n v="3"/>
    <d v="2017-10-10T00:00:00"/>
    <n v="1"/>
    <s v="не защищена"/>
    <n v="500630"/>
    <x v="21"/>
    <n v="61"/>
    <s v="Подразделение61"/>
    <s v="подразделение_2_уровня61"/>
    <s v="-"/>
    <s v="линейный_руководитель_3"/>
    <n v="6"/>
    <s v="нет"/>
    <m/>
    <m/>
    <m/>
    <n v="21"/>
    <s v="Вячеславов Вячеслав Вячеславович"/>
    <n v="1145"/>
    <s v="Коростелев Антон Геннадьевич"/>
    <s v="Специалист"/>
    <s v="Подразделение61"/>
    <x v="0"/>
    <x v="0"/>
    <n v="1"/>
    <n v="0"/>
    <m/>
    <m/>
    <s v="без изменений"/>
    <s v="протокол-№-01.06.2023"/>
  </r>
  <r>
    <s v="Функциональное направление 2"/>
    <n v="3"/>
    <d v="2018-10-24T00:00:00"/>
    <n v="0"/>
    <s v="не защищена"/>
    <n v="500630"/>
    <x v="21"/>
    <n v="61"/>
    <s v="Подразделение61"/>
    <s v="подразделение_2_уровня61"/>
    <s v="-"/>
    <s v="линейный_руководитель_3"/>
    <n v="6"/>
    <s v="нет"/>
    <m/>
    <m/>
    <m/>
    <n v="21"/>
    <s v="Вячеславов Вячеслав Вячеславович"/>
    <n v="1146"/>
    <s v="Дорофеев Арсений Александрович"/>
    <s v="Специалист"/>
    <s v="Подразделение61"/>
    <x v="2"/>
    <x v="0"/>
    <n v="1"/>
    <n v="0"/>
    <m/>
    <m/>
    <s v="без изменений"/>
    <s v="протокол-№-01.06.2023"/>
  </r>
  <r>
    <s v="Функциональное направление 2"/>
    <n v="3"/>
    <d v="2022-06-01T00:00:00"/>
    <n v="1"/>
    <s v="не защищена"/>
    <n v="500637"/>
    <x v="22"/>
    <n v="61"/>
    <s v="Подразделение61"/>
    <s v="подразделение_2_уровня61"/>
    <s v="подразделение_3_уровня61"/>
    <s v="линейный_руководитель_3"/>
    <n v="6"/>
    <s v="нет"/>
    <m/>
    <m/>
    <m/>
    <n v="22"/>
    <s v="Геннадьев Геннадий Геннадьевич"/>
    <n v="1147"/>
    <s v="Синицин Потап Никитинич"/>
    <s v="Специалист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2"/>
    <n v="3"/>
    <d v="2022-06-01T00:00:00"/>
    <n v="0"/>
    <s v="не защищена"/>
    <n v="500637"/>
    <x v="22"/>
    <n v="61"/>
    <s v="Подразделение61"/>
    <s v="подразделение_2_уровня61"/>
    <s v="подразделение_3_уровня61"/>
    <s v="линейный_руководитель_3"/>
    <n v="6"/>
    <s v="нет"/>
    <m/>
    <m/>
    <m/>
    <n v="22"/>
    <s v="Геннадьев Геннадий Геннадьевич"/>
    <n v="1148"/>
    <s v="Коровкин Савелий Вадимович"/>
    <s v="Специалист"/>
    <s v="Подразделение61"/>
    <x v="2"/>
    <x v="0"/>
    <n v="1"/>
    <n v="0"/>
    <m/>
    <m/>
    <s v="не рассматривали"/>
    <s v="протокол-№-01.06.2023"/>
  </r>
  <r>
    <s v="Функциональное направление 3"/>
    <n v="3"/>
    <d v="2017-12-11T00:00:00"/>
    <n v="1"/>
    <s v="не защищена"/>
    <n v="500012"/>
    <x v="23"/>
    <n v="2"/>
    <s v="Подразделение2"/>
    <s v="-"/>
    <s v="-"/>
    <s v="ТОП_руководитель_2"/>
    <n v="4"/>
    <s v="да"/>
    <d v="2023-05-01T00:00:00"/>
    <d v="2023-05-01T00:00:00"/>
    <s v="из резерва (учитываем)"/>
    <n v="23"/>
    <s v="Георгиев Георгий Георгиевич"/>
    <n v="202"/>
    <s v="Пальчиков Тихон Тимофеевич"/>
    <s v="линейный_руководитель_3"/>
    <s v="Подразделение2"/>
    <x v="1"/>
    <x v="0"/>
    <n v="1"/>
    <n v="0"/>
    <m/>
    <m/>
    <s v="без изменений"/>
    <s v="протокол-№-27.06.2023"/>
  </r>
  <r>
    <s v="Функциональное направление 3"/>
    <n v="3"/>
    <d v="2021-05-24T00:00:00"/>
    <n v="0"/>
    <s v="не защищена"/>
    <n v="500012"/>
    <x v="23"/>
    <n v="2"/>
    <s v="Подразделение2"/>
    <s v="-"/>
    <s v="-"/>
    <s v="ТОП_руководитель_2"/>
    <n v="4"/>
    <s v="да"/>
    <d v="2023-05-01T00:00:00"/>
    <d v="2023-05-01T00:00:00"/>
    <s v="из резерва (учитываем)"/>
    <n v="23"/>
    <s v="Георгиев Георгий Георгиевич"/>
    <n v="23"/>
    <s v="Георгиев Георгий Георгиевич"/>
    <s v="руководитель_среднего_уровня_3"/>
    <s v="Подразделение2"/>
    <x v="2"/>
    <x v="1"/>
    <n v="1"/>
    <n v="1"/>
    <s v="назначение на целевую должность"/>
    <d v="2023-05-01T00:00:00"/>
    <s v="без изменений"/>
    <s v="протокол-№-27.06.2023"/>
  </r>
  <r>
    <s v="Функциональное направление 3"/>
    <n v="3"/>
    <d v="2021-05-24T00:00:00"/>
    <n v="0"/>
    <s v="не защищена"/>
    <n v="500012"/>
    <x v="23"/>
    <n v="2"/>
    <s v="Подразделение2"/>
    <s v="-"/>
    <s v="-"/>
    <s v="ТОП_руководитель_2"/>
    <n v="4"/>
    <s v="да"/>
    <d v="2023-05-01T00:00:00"/>
    <d v="2023-05-01T00:00:00"/>
    <s v="из резерва (учитываем)"/>
    <n v="23"/>
    <s v="Георгиев Георгий Георгиевич"/>
    <n v="110"/>
    <s v="Вобликов Ефрем Ефремович"/>
    <s v="линейный_руководитель_3"/>
    <s v="Подразделение2"/>
    <x v="2"/>
    <x v="0"/>
    <n v="1"/>
    <n v="0"/>
    <m/>
    <m/>
    <s v="без изменений"/>
    <s v="протокол-№-27.06.2023"/>
  </r>
  <r>
    <s v="Функциональное направление 3"/>
    <n v="3"/>
    <d v="2017-12-11T00:00:00"/>
    <n v="0"/>
    <s v="не защищена"/>
    <n v="500012"/>
    <x v="23"/>
    <n v="2"/>
    <s v="Подразделение2"/>
    <s v="-"/>
    <s v="-"/>
    <s v="ТОП_руководитель_2"/>
    <n v="4"/>
    <s v="да"/>
    <d v="2023-05-01T00:00:00"/>
    <d v="2023-05-01T00:00:00"/>
    <s v="из резерва (учитываем)"/>
    <n v="23"/>
    <s v="Георгиев Георгий Георгиевич"/>
    <n v="100"/>
    <s v="Цаплин Георгий Георгиевич"/>
    <s v="руководитель_среднего_уровня_4"/>
    <s v="Подразделение2"/>
    <x v="0"/>
    <x v="2"/>
    <n v="1"/>
    <n v="0"/>
    <s v="самоотвод"/>
    <d v="2021-05-24T00:00:00"/>
    <s v="исключение"/>
    <s v="протокол-№-24.05.2021"/>
  </r>
  <r>
    <s v="Функциональное направление 3"/>
    <n v="3"/>
    <d v="2017-12-11T00:00:00"/>
    <n v="1"/>
    <s v="не защищена"/>
    <n v="500014"/>
    <x v="24"/>
    <n v="1"/>
    <s v="Подразделение1"/>
    <s v="-"/>
    <s v="-"/>
    <s v="ТОП_руководитель_2"/>
    <n v="4"/>
    <s v="нет"/>
    <m/>
    <m/>
    <m/>
    <n v="24"/>
    <s v="Герасимов Герасим Герасимович"/>
    <n v="132"/>
    <s v="Игнатьев Данил Петрович"/>
    <s v="руководитель_среднего_уровня_4"/>
    <s v="Подразделение1"/>
    <x v="0"/>
    <x v="0"/>
    <n v="1"/>
    <n v="0"/>
    <m/>
    <m/>
    <s v="без изменений"/>
    <s v="протокол-№-27.06.2023"/>
  </r>
  <r>
    <s v="Функциональное направление 3"/>
    <n v="3"/>
    <d v="2017-12-11T00:00:00"/>
    <n v="0"/>
    <s v="не защищена"/>
    <n v="500014"/>
    <x v="24"/>
    <n v="1"/>
    <s v="Подразделение1"/>
    <s v="-"/>
    <s v="-"/>
    <s v="ТОП_руководитель_2"/>
    <n v="4"/>
    <s v="нет"/>
    <m/>
    <m/>
    <m/>
    <n v="24"/>
    <s v="Герасимов Герасим Герасимович"/>
    <n v="60"/>
    <s v="Русланов Руслан Русланович"/>
    <s v="линейный_руководитель_3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22-06-27T00:00:00"/>
    <n v="0"/>
    <s v="не защищена"/>
    <n v="500014"/>
    <x v="24"/>
    <n v="1"/>
    <s v="Подразделение1"/>
    <s v="-"/>
    <s v="-"/>
    <s v="ТОП_руководитель_2"/>
    <n v="4"/>
    <s v="нет"/>
    <m/>
    <m/>
    <m/>
    <n v="24"/>
    <s v="Герасимов Герасим Герасимович"/>
    <n v="201"/>
    <s v="Поминов Владимир Егорович"/>
    <s v="линейный_руководитель_3"/>
    <s v="Подразделение1"/>
    <x v="2"/>
    <x v="0"/>
    <n v="1"/>
    <n v="0"/>
    <m/>
    <m/>
    <s v="не рассматривали"/>
    <s v="протокол-№-27.06.2023"/>
  </r>
  <r>
    <s v="Функциональное направление 3"/>
    <n v="3"/>
    <d v="2017-12-11T00:00:00"/>
    <n v="0"/>
    <s v="не защищена"/>
    <n v="500014"/>
    <x v="24"/>
    <n v="1"/>
    <s v="Подразделение1"/>
    <s v="-"/>
    <s v="-"/>
    <s v="ТОП_руководитель_2"/>
    <n v="4"/>
    <s v="нет"/>
    <m/>
    <m/>
    <m/>
    <n v="24"/>
    <s v="Герасимов Герасим Герасимович"/>
    <n v="1149"/>
    <s v="Трофимов Юрий Вадимович"/>
    <s v="руководитель_среднего_уровня_3"/>
    <s v="Подразделение1"/>
    <x v="0"/>
    <x v="2"/>
    <n v="1"/>
    <n v="0"/>
    <s v="инициатива комитета / руководителя"/>
    <d v="2023-06-27T00:00:00"/>
    <s v="исключение"/>
    <s v="протокол-№-27.06.2023"/>
  </r>
  <r>
    <s v="Функциональное направление 3"/>
    <n v="3"/>
    <d v="2019-11-07T00:00:00"/>
    <n v="1"/>
    <s v="не защищена"/>
    <n v="500329"/>
    <x v="25"/>
    <n v="18"/>
    <s v="Подразделение18"/>
    <s v="подразделение_2_уровня18"/>
    <s v="-"/>
    <s v="руководитель_среднего_уровня_2"/>
    <n v="5"/>
    <s v="нет"/>
    <m/>
    <m/>
    <m/>
    <n v="25"/>
    <s v="Глебов Глеб Глебович"/>
    <n v="59"/>
    <s v="Родионов Родион Родионович"/>
    <s v="функциональный_руководитель_1"/>
    <s v="Подразделение18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329"/>
    <x v="25"/>
    <n v="18"/>
    <s v="Подразделение18"/>
    <s v="подразделение_2_уровня18"/>
    <s v="-"/>
    <s v="руководитель_среднего_уровня_2"/>
    <n v="5"/>
    <s v="нет"/>
    <m/>
    <m/>
    <m/>
    <n v="25"/>
    <s v="Глебов Глеб Глебович"/>
    <n v="1150"/>
    <s v="Филиппов Геннадий Климович"/>
    <s v="функциональный_руководитель_2"/>
    <s v="Подразделение202"/>
    <x v="1"/>
    <x v="2"/>
    <n v="1"/>
    <n v="0"/>
    <s v="назначение на равнозначную должность"/>
    <d v="2019-07-18T00:00:00"/>
    <s v="не рассматривали"/>
    <s v="протокол-№-07.11.2019"/>
  </r>
  <r>
    <s v="Функциональное направление 3"/>
    <n v="3"/>
    <d v="2018-11-22T00:00:00"/>
    <n v="1"/>
    <s v="не защищена"/>
    <n v="500330"/>
    <x v="26"/>
    <n v="18"/>
    <s v="Подразделение18"/>
    <s v="подразделение_2_уровня18"/>
    <s v="-"/>
    <s v="руководитель_среднего_уровня_2"/>
    <n v="5"/>
    <s v="нет"/>
    <m/>
    <m/>
    <m/>
    <n v="26"/>
    <s v="Григорьев Григорий Григорьевич"/>
    <n v="33"/>
    <s v="Ефремов Ефрем Ефремович"/>
    <s v="функциональный_руководитель_1"/>
    <s v="Подразделение18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330"/>
    <x v="26"/>
    <n v="18"/>
    <s v="Подразделение18"/>
    <s v="подразделение_2_уровня18"/>
    <s v="-"/>
    <s v="руководитель_среднего_уровня_2"/>
    <n v="5"/>
    <s v="нет"/>
    <m/>
    <m/>
    <m/>
    <n v="26"/>
    <s v="Григорьев Григорий Григорьевич"/>
    <n v="114"/>
    <s v="Трухачев Игорь Игоревич"/>
    <s v="линейный_руководитель_2"/>
    <s v="Подразделение18"/>
    <x v="1"/>
    <x v="0"/>
    <n v="1"/>
    <n v="0"/>
    <m/>
    <m/>
    <s v="без изменений"/>
    <s v="протокол-№-27.06.2023"/>
  </r>
  <r>
    <s v="Функциональное направление 3"/>
    <n v="3"/>
    <d v="2020-07-02T00:00:00"/>
    <n v="1"/>
    <s v="не защищена"/>
    <n v="500331"/>
    <x v="27"/>
    <n v="18"/>
    <s v="Подразделение18"/>
    <s v="подразделение_2_уровня18"/>
    <s v="-"/>
    <s v="руководитель_среднего_уровня_2"/>
    <n v="5"/>
    <s v="да"/>
    <d v="2022-03-30T00:00:00"/>
    <d v="2022-11-25T00:00:00"/>
    <s v="из резерва (учитываем)"/>
    <n v="27"/>
    <s v="Данилов Данил Данилович"/>
    <n v="58"/>
    <s v="Прохоров Прохор Прохорович"/>
    <s v="функциональный_руководитель_1"/>
    <s v="Подразделение18"/>
    <x v="0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331"/>
    <x v="27"/>
    <n v="18"/>
    <s v="Подразделение18"/>
    <s v="подразделение_2_уровня18"/>
    <s v="-"/>
    <s v="руководитель_среднего_уровня_2"/>
    <n v="5"/>
    <s v="да"/>
    <d v="2022-03-30T00:00:00"/>
    <d v="2022-11-25T00:00:00"/>
    <s v="из резерва (учитываем)"/>
    <n v="27"/>
    <s v="Данилов Данил Данилович"/>
    <n v="48"/>
    <s v="Макаров Макар Макарович"/>
    <s v="линейный_руководитель_2"/>
    <s v="Подразделение18"/>
    <x v="1"/>
    <x v="0"/>
    <n v="1"/>
    <n v="0"/>
    <m/>
    <m/>
    <s v="повышение"/>
    <s v="протокол-№-27.06.2023"/>
  </r>
  <r>
    <s v="Функциональное направление 3"/>
    <n v="3"/>
    <d v="2022-09-29T00:00:00"/>
    <n v="0"/>
    <s v="не защищена"/>
    <n v="500331"/>
    <x v="27"/>
    <n v="18"/>
    <s v="Подразделение18"/>
    <s v="подразделение_2_уровня18"/>
    <s v="-"/>
    <s v="руководитель_среднего_уровня_2"/>
    <n v="5"/>
    <s v="да"/>
    <d v="2022-03-30T00:00:00"/>
    <d v="2022-11-25T00:00:00"/>
    <s v="из резерва (учитываем)"/>
    <n v="27"/>
    <s v="Данилов Данил Данилович"/>
    <n v="27"/>
    <s v="Данилов Данил Данилович"/>
    <s v="линейный_руководитель_2"/>
    <s v="Подразделение18"/>
    <x v="0"/>
    <x v="1"/>
    <n v="1"/>
    <n v="1"/>
    <s v="назначение на целевую должность"/>
    <d v="2022-11-25T00:00:00"/>
    <s v="не рассматривали"/>
    <s v="протокол-№-27.06.2022_ДОП"/>
  </r>
  <r>
    <s v="Функциональное направление 3"/>
    <n v="3"/>
    <d v="2021-11-17T00:00:00"/>
    <n v="0"/>
    <s v="не защищена"/>
    <n v="500331"/>
    <x v="27"/>
    <n v="18"/>
    <s v="Подразделение18"/>
    <s v="подразделение_2_уровня18"/>
    <s v="-"/>
    <s v="руководитель_среднего_уровня_2"/>
    <n v="5"/>
    <s v="да"/>
    <d v="2022-03-30T00:00:00"/>
    <d v="2022-11-25T00:00:00"/>
    <s v="из резерва (учитываем)"/>
    <n v="27"/>
    <s v="Данилов Данил Данилович"/>
    <n v="1151"/>
    <s v="Степанов Захар Ефремович"/>
    <s v="линейный_руководитель_2"/>
    <s v="Подразделение216"/>
    <x v="2"/>
    <x v="2"/>
    <n v="1"/>
    <n v="0"/>
    <s v="самоотвод"/>
    <d v="2023-12-19T00:00:00"/>
    <s v="исключение"/>
    <s v="протокол-№-19.12.2023"/>
  </r>
  <r>
    <s v="Функциональное направление 3"/>
    <n v="3"/>
    <d v="2019-04-02T00:00:00"/>
    <n v="1"/>
    <s v="не защищена"/>
    <n v="500332"/>
    <x v="28"/>
    <n v="18"/>
    <s v="Подразделение18"/>
    <s v="-"/>
    <s v="-"/>
    <s v="ТОП_руководитель_2"/>
    <n v="4"/>
    <s v="нет"/>
    <m/>
    <m/>
    <m/>
    <n v="28"/>
    <s v="Денисов Денис Денисович"/>
    <n v="1150"/>
    <s v="Филиппов Геннадий Климович"/>
    <s v="функциональный_руководитель_2"/>
    <s v="Подразделение202"/>
    <x v="0"/>
    <x v="0"/>
    <n v="1"/>
    <n v="0"/>
    <m/>
    <m/>
    <s v="без изменений"/>
    <s v="протокол-№-27.06.2023"/>
  </r>
  <r>
    <s v="Функциональное направление 3"/>
    <n v="3"/>
    <d v="2017-12-11T00:00:00"/>
    <n v="0"/>
    <s v="не защищена"/>
    <n v="500332"/>
    <x v="28"/>
    <n v="18"/>
    <s v="Подразделение18"/>
    <s v="-"/>
    <s v="-"/>
    <s v="ТОП_руководитель_2"/>
    <n v="4"/>
    <s v="нет"/>
    <m/>
    <m/>
    <m/>
    <n v="28"/>
    <s v="Денисов Денис Денисович"/>
    <n v="203"/>
    <s v="Поминов Потап Кондратьевич"/>
    <s v="линейный_руководитель_3"/>
    <s v="Подразделение18"/>
    <x v="0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1"/>
    <s v="не защищена"/>
    <n v="500333"/>
    <x v="29"/>
    <n v="18"/>
    <s v="Подразделение18"/>
    <s v="подразделение_2_уровня18"/>
    <s v="-"/>
    <s v="линейный_руководитель_3"/>
    <n v="5"/>
    <s v="да"/>
    <d v="2023-04-01T00:00:00"/>
    <m/>
    <m/>
    <s v="вакансия"/>
    <s v="вакансия"/>
    <n v="42"/>
    <s v="Константинов Константин Константинович"/>
    <s v="руководитель_среднего_уровня_2"/>
    <s v="Подразделение18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333"/>
    <x v="29"/>
    <n v="18"/>
    <s v="Подразделение18"/>
    <s v="подразделение_2_уровня18"/>
    <s v="-"/>
    <s v="линейный_руководитель_3"/>
    <n v="5"/>
    <s v="да"/>
    <d v="2023-04-01T00:00:00"/>
    <m/>
    <m/>
    <s v="вакансия"/>
    <s v="вакансия"/>
    <n v="1150"/>
    <s v="Филиппов Геннадий Климович"/>
    <s v="функциональный_руководитель_2"/>
    <s v="Подразделение202"/>
    <x v="2"/>
    <x v="1"/>
    <n v="1"/>
    <n v="0"/>
    <s v="назначение на целевую должность"/>
    <d v="2019-07-18T00:00:00"/>
    <s v="не рассматривали"/>
    <s v="протокол-№-22.11.2018"/>
  </r>
  <r>
    <s v="Функциональное направление 3"/>
    <n v="3"/>
    <d v="2020-07-02T00:00:00"/>
    <n v="0"/>
    <s v="не защищена"/>
    <n v="500333"/>
    <x v="29"/>
    <n v="18"/>
    <s v="Подразделение18"/>
    <s v="подразделение_2_уровня18"/>
    <s v="-"/>
    <s v="линейный_руководитель_3"/>
    <n v="5"/>
    <s v="да"/>
    <d v="2023-04-01T00:00:00"/>
    <m/>
    <m/>
    <s v="вакансия"/>
    <s v="вакансия"/>
    <n v="39"/>
    <s v="Кириллов Кирилл Кириллович"/>
    <s v="линейный_руководитель_2"/>
    <s v="Подразделение18"/>
    <x v="0"/>
    <x v="2"/>
    <n v="1"/>
    <n v="0"/>
    <s v="инициатива комитета / руководителя"/>
    <d v="2023-06-27T00:00:00"/>
    <s v="исключение"/>
    <s v="протокол-№-27.06.2023"/>
  </r>
  <r>
    <s v="Функциональное направление 3"/>
    <n v="4"/>
    <d v="2019-09-26T00:00:00"/>
    <n v="1"/>
    <s v="не защищена"/>
    <n v="500334"/>
    <x v="30"/>
    <n v="18"/>
    <s v="Подразделение18"/>
    <s v="-"/>
    <s v="-"/>
    <s v="функциональный_руководитель_1"/>
    <n v="6"/>
    <s v="нет"/>
    <m/>
    <m/>
    <m/>
    <n v="29"/>
    <s v="Дмитриев Дмитрий Дмитриевич"/>
    <n v="1152"/>
    <s v="Степанов Константин Тарасович"/>
    <s v="функциональный_руководитель_1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1"/>
    <s v="не защищена"/>
    <n v="500335"/>
    <x v="31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0"/>
    <s v="Егоров Егор Егорович"/>
    <n v="1153"/>
    <s v="Зверев Савелий Игнатович"/>
    <s v="Рабочий"/>
    <s v="Подразделение18"/>
    <x v="1"/>
    <x v="0"/>
    <n v="1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35"/>
    <x v="31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0"/>
    <s v="Егоров Егор Егорович"/>
    <n v="1154"/>
    <s v="Потапов Кирилл Семенов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35"/>
    <x v="31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0"/>
    <s v="Егоров Егор Егорович"/>
    <n v="1155"/>
    <s v="Потапов Арсений Георгиевич"/>
    <s v="Рабочий"/>
    <s v="Подразделение18"/>
    <x v="0"/>
    <x v="0"/>
    <n v="1"/>
    <n v="0"/>
    <m/>
    <m/>
    <s v="не рассматривали"/>
    <s v="протокол-№-22.11.2023"/>
  </r>
  <r>
    <s v="Функциональное направление 3"/>
    <n v="4"/>
    <d v="2022-11-22T00:00:00"/>
    <n v="0"/>
    <s v="не защищена"/>
    <n v="500335"/>
    <x v="31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0"/>
    <s v="Егоров Егор Егорович"/>
    <n v="1156"/>
    <s v="Степанов Матвей Александрович"/>
    <s v="Рабочий"/>
    <s v="Подразделение18"/>
    <x v="0"/>
    <x v="0"/>
    <n v="1"/>
    <n v="0"/>
    <m/>
    <m/>
    <s v="не рассматривали"/>
    <s v="протокол-№-22.11.2023"/>
  </r>
  <r>
    <s v="Функциональное направление 3"/>
    <n v="4"/>
    <d v="2019-09-26T00:00:00"/>
    <n v="1"/>
    <s v="не защищена"/>
    <n v="500335"/>
    <x v="32"/>
    <n v="18"/>
    <s v="Подразделение18"/>
    <s v="подразделение_2_уровня18"/>
    <s v="подразделение_3_уровня18"/>
    <s v="линейный_руководитель_1"/>
    <n v="6"/>
    <s v="да"/>
    <d v="2019-11-05T00:00:00"/>
    <d v="2019-11-05T00:00:00"/>
    <s v="из резерва (учитываем)"/>
    <n v="31"/>
    <s v="Емельянов Емельян Емельянович"/>
    <n v="1154"/>
    <s v="Потапов Кирилл Семен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5"/>
    <x v="32"/>
    <n v="18"/>
    <s v="Подразделение18"/>
    <s v="подразделение_2_уровня18"/>
    <s v="подразделение_3_уровня18"/>
    <s v="линейный_руководитель_1"/>
    <n v="6"/>
    <s v="да"/>
    <d v="2019-11-05T00:00:00"/>
    <d v="2019-11-05T00:00:00"/>
    <s v="из резерва (учитываем)"/>
    <n v="31"/>
    <s v="Емельянов Емельян Емельянович"/>
    <n v="1153"/>
    <s v="Зверев Савелий Игнатович"/>
    <s v="Рабочий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22-11-22T00:00:00"/>
    <n v="0"/>
    <s v="не защищена"/>
    <n v="500335"/>
    <x v="32"/>
    <n v="18"/>
    <s v="Подразделение18"/>
    <s v="подразделение_2_уровня18"/>
    <s v="подразделение_3_уровня18"/>
    <s v="линейный_руководитель_1"/>
    <n v="6"/>
    <s v="да"/>
    <d v="2019-11-05T00:00:00"/>
    <d v="2019-11-05T00:00:00"/>
    <s v="из резерва (учитываем)"/>
    <n v="31"/>
    <s v="Емельянов Емельян Емельянович"/>
    <n v="1155"/>
    <s v="Потапов Арсений Георгиевич"/>
    <s v="Рабочий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4"/>
    <d v="2022-11-22T00:00:00"/>
    <n v="0"/>
    <s v="не защищена"/>
    <n v="500335"/>
    <x v="32"/>
    <n v="18"/>
    <s v="Подразделение18"/>
    <s v="подразделение_2_уровня18"/>
    <s v="подразделение_3_уровня18"/>
    <s v="линейный_руководитель_1"/>
    <n v="6"/>
    <s v="да"/>
    <d v="2019-11-05T00:00:00"/>
    <d v="2019-11-05T00:00:00"/>
    <s v="из резерва (учитываем)"/>
    <n v="31"/>
    <s v="Емельянов Емельян Емельянович"/>
    <n v="1156"/>
    <s v="Степанов Матвей Александрович"/>
    <s v="Рабочий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35"/>
    <x v="32"/>
    <n v="18"/>
    <s v="Подразделение18"/>
    <s v="подразделение_2_уровня18"/>
    <s v="подразделение_3_уровня18"/>
    <s v="линейный_руководитель_1"/>
    <n v="6"/>
    <s v="да"/>
    <d v="2019-11-05T00:00:00"/>
    <d v="2019-11-05T00:00:00"/>
    <s v="из резерва (учитываем)"/>
    <n v="31"/>
    <s v="Емельянов Емельян Емельянович"/>
    <n v="31"/>
    <s v="Емельянов Емельян Емельянович"/>
    <s v="линейный_руководитель_2"/>
    <s v="Подразделение18"/>
    <x v="1"/>
    <x v="1"/>
    <n v="1"/>
    <n v="1"/>
    <s v="назначение на целевую должность"/>
    <d v="2019-11-05T00:00:00"/>
    <s v="не рассматривали"/>
    <s v="протокол-№-26.09.2019"/>
  </r>
  <r>
    <s v="Функциональное направление 3"/>
    <n v="4"/>
    <d v="2019-09-26T00:00:00"/>
    <n v="1"/>
    <s v="не защищена"/>
    <n v="500335"/>
    <x v="33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2"/>
    <s v="Еремеев Еремей Еремеевич"/>
    <n v="1154"/>
    <s v="Потапов Кирилл Семен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5"/>
    <x v="33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2"/>
    <s v="Еремеев Еремей Еремеевич"/>
    <n v="1153"/>
    <s v="Зверев Савелий Игнатович"/>
    <s v="Рабочий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22-11-22T00:00:00"/>
    <n v="0"/>
    <s v="не защищена"/>
    <n v="500335"/>
    <x v="33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2"/>
    <s v="Еремеев Еремей Еремеевич"/>
    <n v="1155"/>
    <s v="Потапов Арсений Георгиевич"/>
    <s v="Рабочий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4"/>
    <d v="2022-11-22T00:00:00"/>
    <n v="0"/>
    <s v="не защищена"/>
    <n v="500335"/>
    <x v="33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2"/>
    <s v="Еремеев Еремей Еремеевич"/>
    <n v="1156"/>
    <s v="Степанов Матвей Александрович"/>
    <s v="Рабочий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4"/>
    <d v="2019-09-26T00:00:00"/>
    <n v="1"/>
    <s v="не защищена"/>
    <n v="500336"/>
    <x v="34"/>
    <n v="18"/>
    <s v="Подразделение18"/>
    <s v="подразделение_2_уровня18"/>
    <s v="подразделение_3_уровня18"/>
    <s v="функциональный_руководитель_1"/>
    <n v="6"/>
    <s v="нет"/>
    <m/>
    <m/>
    <m/>
    <n v="33"/>
    <s v="Ефремов Ефрем Ефремович"/>
    <n v="36"/>
    <s v="Игнатьев Игнат Игнатович"/>
    <s v="линейный_руководитель_2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6"/>
    <x v="34"/>
    <n v="18"/>
    <s v="Подразделение18"/>
    <s v="подразделение_2_уровня18"/>
    <s v="подразделение_3_уровня18"/>
    <s v="функциональный_руководитель_1"/>
    <n v="6"/>
    <s v="нет"/>
    <m/>
    <m/>
    <m/>
    <n v="33"/>
    <s v="Ефремов Ефрем Ефремович"/>
    <n v="114"/>
    <s v="Трухачев Игорь Игоревич"/>
    <s v="линейный_руководитель_2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6"/>
    <x v="34"/>
    <n v="18"/>
    <s v="Подразделение18"/>
    <s v="подразделение_2_уровня18"/>
    <s v="подразделение_3_уровня18"/>
    <s v="функциональный_руководитель_1"/>
    <n v="6"/>
    <s v="нет"/>
    <m/>
    <m/>
    <m/>
    <n v="33"/>
    <s v="Ефремов Ефрем Ефремович"/>
    <n v="1152"/>
    <s v="Степанов Константин Тарасович"/>
    <s v="функциональный_руководитель_1"/>
    <s v="Подразделение18"/>
    <x v="1"/>
    <x v="2"/>
    <n v="0"/>
    <n v="0"/>
    <s v="назначение на равнозначную должность"/>
    <d v="2021-12-23T00:00:00"/>
    <s v="без изменений"/>
    <s v="протокол-№-09.10.2020"/>
  </r>
  <r>
    <s v="Функциональное направление 3"/>
    <n v="4"/>
    <d v="2019-09-26T00:00:00"/>
    <n v="1"/>
    <s v="не защищена"/>
    <n v="500337"/>
    <x v="35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4"/>
    <s v="Захаров Захар Захарович"/>
    <n v="1157"/>
    <s v="Федотов Глеб Ефремов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5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4"/>
    <s v="Захаров Захар Захарович"/>
    <n v="1158"/>
    <s v="Коровкин Борис Кондратьев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5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4"/>
    <s v="Захаров Захар Захарович"/>
    <n v="1159"/>
    <s v="Булкин Глеб Климов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5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4"/>
    <s v="Захаров Захар Захарович"/>
    <n v="1160"/>
    <s v="Игнатьев Арсений Александров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21-10-28T00:00:00"/>
    <n v="0"/>
    <s v="не защищена"/>
    <n v="500337"/>
    <x v="35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4"/>
    <s v="Захаров Захар Захарович"/>
    <n v="1161"/>
    <s v="Кириллов Иван Тарасович"/>
    <s v="Рабочий"/>
    <s v="Подразделение18"/>
    <x v="0"/>
    <x v="0"/>
    <n v="1"/>
    <n v="0"/>
    <m/>
    <m/>
    <s v="повышение"/>
    <s v="протокол-№-22.11.2023"/>
  </r>
  <r>
    <s v="Функциональное направление 3"/>
    <n v="4"/>
    <d v="2019-09-26T00:00:00"/>
    <n v="1"/>
    <s v="не защищена"/>
    <n v="500337"/>
    <x v="36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5"/>
    <s v="Иванов Иван Иванович"/>
    <n v="1157"/>
    <s v="Федотов Глеб Ефрем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6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5"/>
    <s v="Иванов Иван Иванович"/>
    <n v="1158"/>
    <s v="Коровкин Борис Кондратье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6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5"/>
    <s v="Иванов Иван Иванович"/>
    <n v="1159"/>
    <s v="Булкин Глеб Клим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6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5"/>
    <s v="Иванов Иван Иванович"/>
    <n v="1160"/>
    <s v="Игнатьев Арсений Александр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21-10-28T00:00:00"/>
    <n v="0"/>
    <s v="не защищена"/>
    <n v="500337"/>
    <x v="36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5"/>
    <s v="Иванов Иван Иванович"/>
    <n v="1161"/>
    <s v="Кириллов Иван Тарасович"/>
    <s v="Рабочий"/>
    <s v="Подразделение18"/>
    <x v="0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1"/>
    <s v="не защищена"/>
    <n v="500337"/>
    <x v="37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6"/>
    <s v="Игнатьев Игнат Игнатович"/>
    <n v="1157"/>
    <s v="Федотов Глеб Ефрем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7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6"/>
    <s v="Игнатьев Игнат Игнатович"/>
    <n v="1158"/>
    <s v="Коровкин Борис Кондратье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7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6"/>
    <s v="Игнатьев Игнат Игнатович"/>
    <n v="1159"/>
    <s v="Булкин Глеб Клим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7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6"/>
    <s v="Игнатьев Игнат Игнатович"/>
    <n v="1160"/>
    <s v="Игнатьев Арсений Александр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21-10-28T00:00:00"/>
    <n v="0"/>
    <s v="не защищена"/>
    <n v="500337"/>
    <x v="37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6"/>
    <s v="Игнатьев Игнат Игнатович"/>
    <n v="1161"/>
    <s v="Кириллов Иван Тарасович"/>
    <s v="Рабочий"/>
    <s v="Подразделение18"/>
    <x v="0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1"/>
    <s v="не защищена"/>
    <n v="500337"/>
    <x v="38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7"/>
    <s v="Игорев Игорь Игоревич"/>
    <n v="1157"/>
    <s v="Федотов Глеб Ефрем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8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7"/>
    <s v="Игорев Игорь Игоревич"/>
    <n v="1158"/>
    <s v="Коровкин Борис Кондратье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8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7"/>
    <s v="Игорев Игорь Игоревич"/>
    <n v="1159"/>
    <s v="Булкин Глеб Клим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7"/>
    <x v="38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7"/>
    <s v="Игорев Игорь Игоревич"/>
    <n v="1160"/>
    <s v="Игнатьев Арсений Александр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21-10-28T00:00:00"/>
    <n v="0"/>
    <s v="не защищена"/>
    <n v="500337"/>
    <x v="38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37"/>
    <s v="Игорев Игорь Игоревич"/>
    <n v="1161"/>
    <s v="Кириллов Иван Тарасович"/>
    <s v="Рабочий"/>
    <s v="Подразделение18"/>
    <x v="0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1"/>
    <s v="не защищена"/>
    <n v="500338"/>
    <x v="39"/>
    <n v="18"/>
    <s v="Подразделение18"/>
    <s v="подразделение_2_уровня18"/>
    <s v="-"/>
    <s v="линейный_руководитель_1"/>
    <n v="6"/>
    <s v="да"/>
    <d v="2022-08-04T00:00:00"/>
    <d v="2022-08-05T00:00:00"/>
    <s v="внутр. сотр. (учитываем)"/>
    <n v="38"/>
    <s v="Ильин Илья Ильич"/>
    <n v="1162"/>
    <s v="Трофимов Савелий Иль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8"/>
    <x v="39"/>
    <n v="18"/>
    <s v="Подразделение18"/>
    <s v="подразделение_2_уровня18"/>
    <s v="-"/>
    <s v="линейный_руководитель_1"/>
    <n v="6"/>
    <s v="да"/>
    <d v="2022-08-04T00:00:00"/>
    <d v="2022-08-05T00:00:00"/>
    <s v="внутр. сотр. (учитываем)"/>
    <n v="38"/>
    <s v="Ильин Илья Ильич"/>
    <n v="1163"/>
    <s v="Тимофеев Богдан Александров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38"/>
    <x v="39"/>
    <n v="18"/>
    <s v="Подразделение18"/>
    <s v="подразделение_2_уровня18"/>
    <s v="-"/>
    <s v="линейный_руководитель_1"/>
    <n v="6"/>
    <s v="да"/>
    <d v="2022-08-04T00:00:00"/>
    <d v="2022-08-05T00:00:00"/>
    <s v="внутр. сотр. (учитываем)"/>
    <n v="38"/>
    <s v="Ильин Илья Ильич"/>
    <n v="1164"/>
    <s v="Прохоров Константин Климович"/>
    <s v="Рабочий"/>
    <s v="Подразделение18"/>
    <x v="2"/>
    <x v="0"/>
    <n v="1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38"/>
    <x v="39"/>
    <n v="18"/>
    <s v="Подразделение18"/>
    <s v="подразделение_2_уровня18"/>
    <s v="-"/>
    <s v="линейный_руководитель_1"/>
    <n v="6"/>
    <s v="да"/>
    <d v="2022-08-04T00:00:00"/>
    <d v="2022-08-05T00:00:00"/>
    <s v="внутр. сотр. (учитываем)"/>
    <n v="38"/>
    <s v="Ильин Илья Ильич"/>
    <n v="1165"/>
    <s v="Филиппов Глеб Михайлович"/>
    <s v="линейный_руководитель_2"/>
    <s v="Подразделение18"/>
    <x v="1"/>
    <x v="2"/>
    <n v="1"/>
    <n v="0"/>
    <s v="самоотвод"/>
    <d v="2023-11-22T00:00:00"/>
    <s v="исключение"/>
    <s v="протокол-№-22.11.2023"/>
  </r>
  <r>
    <s v="Функциональное направление 3"/>
    <n v="4"/>
    <d v="2019-09-26T00:00:00"/>
    <n v="0"/>
    <s v="не защищена"/>
    <n v="500338"/>
    <x v="39"/>
    <n v="18"/>
    <s v="Подразделение18"/>
    <s v="подразделение_2_уровня18"/>
    <s v="-"/>
    <s v="линейный_руководитель_1"/>
    <n v="6"/>
    <s v="да"/>
    <d v="2022-08-04T00:00:00"/>
    <d v="2022-08-05T00:00:00"/>
    <s v="внутр. сотр. (учитываем)"/>
    <n v="38"/>
    <s v="Ильин Илья Ильич"/>
    <n v="1166"/>
    <s v="Коростелев Геннадий Михайлович"/>
    <s v="Рабочий"/>
    <s v="Подразделение18"/>
    <x v="1"/>
    <x v="2"/>
    <n v="1"/>
    <n v="0"/>
    <s v="увольнение"/>
    <d v="2021-08-20T00:00:00"/>
    <s v="без изменений"/>
    <s v="протокол-№-09.10.2020"/>
  </r>
  <r>
    <s v="Функциональное направление 3"/>
    <n v="4"/>
    <d v="2019-09-26T00:00:00"/>
    <n v="1"/>
    <s v="не защищена"/>
    <n v="500338"/>
    <x v="40"/>
    <n v="18"/>
    <s v="Подразделение18"/>
    <s v="подразделение_2_уровня18"/>
    <s v="-"/>
    <s v="линейный_руководитель_1"/>
    <n v="6"/>
    <s v="нет"/>
    <m/>
    <m/>
    <m/>
    <n v="39"/>
    <s v="Кириллов Кирилл Кириллович"/>
    <n v="1162"/>
    <s v="Трофимов Савелий Иль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8"/>
    <x v="40"/>
    <n v="18"/>
    <s v="Подразделение18"/>
    <s v="подразделение_2_уровня18"/>
    <s v="-"/>
    <s v="линейный_руководитель_1"/>
    <n v="6"/>
    <s v="нет"/>
    <m/>
    <m/>
    <m/>
    <n v="39"/>
    <s v="Кириллов Кирилл Кириллович"/>
    <n v="1163"/>
    <s v="Тимофеев Богдан Александр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38"/>
    <x v="40"/>
    <n v="18"/>
    <s v="Подразделение18"/>
    <s v="подразделение_2_уровня18"/>
    <s v="-"/>
    <s v="линейный_руководитель_1"/>
    <n v="6"/>
    <s v="нет"/>
    <m/>
    <m/>
    <m/>
    <n v="39"/>
    <s v="Кириллов Кирилл Кириллович"/>
    <n v="1164"/>
    <s v="Прохоров Константин Климович"/>
    <s v="Рабочий"/>
    <s v="Подразделение18"/>
    <x v="2"/>
    <x v="0"/>
    <n v="0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38"/>
    <x v="40"/>
    <n v="18"/>
    <s v="Подразделение18"/>
    <s v="подразделение_2_уровня18"/>
    <s v="-"/>
    <s v="линейный_руководитель_1"/>
    <n v="6"/>
    <s v="нет"/>
    <m/>
    <m/>
    <m/>
    <n v="39"/>
    <s v="Кириллов Кирилл Кириллович"/>
    <n v="1165"/>
    <s v="Филиппов Глеб Михайлович"/>
    <s v="линейный_руководитель_2"/>
    <s v="Подразделение18"/>
    <x v="1"/>
    <x v="2"/>
    <n v="0"/>
    <n v="0"/>
    <s v="самоотвод"/>
    <d v="2023-11-22T00:00:00"/>
    <s v="исключение"/>
    <s v="протокол-№-22.11.2023"/>
  </r>
  <r>
    <s v="Функциональное направление 3"/>
    <n v="4"/>
    <d v="2019-09-26T00:00:00"/>
    <n v="0"/>
    <s v="не защищена"/>
    <n v="500338"/>
    <x v="40"/>
    <n v="18"/>
    <s v="Подразделение18"/>
    <s v="подразделение_2_уровня18"/>
    <s v="-"/>
    <s v="линейный_руководитель_1"/>
    <n v="6"/>
    <s v="нет"/>
    <m/>
    <m/>
    <m/>
    <n v="39"/>
    <s v="Кириллов Кирилл Кириллович"/>
    <n v="1166"/>
    <s v="Коростелев Геннадий Михайлович"/>
    <s v="Рабочий"/>
    <s v="Подразделение18"/>
    <x v="1"/>
    <x v="2"/>
    <n v="0"/>
    <n v="0"/>
    <s v="увольнение"/>
    <d v="2021-08-20T00:00:00"/>
    <s v="без изменений"/>
    <s v="протокол-№-09.10.2020"/>
  </r>
  <r>
    <s v="Функциональное направление 3"/>
    <n v="4"/>
    <d v="2019-09-26T00:00:00"/>
    <n v="1"/>
    <s v="не защищена"/>
    <n v="500338"/>
    <x v="41"/>
    <n v="18"/>
    <s v="Подразделение18"/>
    <s v="подразделение_2_уровня18"/>
    <s v="-"/>
    <s v="линейный_руководитель_1"/>
    <n v="6"/>
    <s v="нет"/>
    <m/>
    <m/>
    <m/>
    <n v="40"/>
    <s v="Климов Клим Климович"/>
    <n v="1162"/>
    <s v="Трофимов Савелий Иль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8"/>
    <x v="41"/>
    <n v="18"/>
    <s v="Подразделение18"/>
    <s v="подразделение_2_уровня18"/>
    <s v="-"/>
    <s v="линейный_руководитель_1"/>
    <n v="6"/>
    <s v="нет"/>
    <m/>
    <m/>
    <m/>
    <n v="40"/>
    <s v="Климов Клим Климович"/>
    <n v="1163"/>
    <s v="Тимофеев Богдан Александр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38"/>
    <x v="41"/>
    <n v="18"/>
    <s v="Подразделение18"/>
    <s v="подразделение_2_уровня18"/>
    <s v="-"/>
    <s v="линейный_руководитель_1"/>
    <n v="6"/>
    <s v="нет"/>
    <m/>
    <m/>
    <m/>
    <n v="40"/>
    <s v="Климов Клим Климович"/>
    <n v="1164"/>
    <s v="Прохоров Константин Климович"/>
    <s v="Рабочий"/>
    <s v="Подразделение18"/>
    <x v="2"/>
    <x v="0"/>
    <n v="0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38"/>
    <x v="41"/>
    <n v="18"/>
    <s v="Подразделение18"/>
    <s v="подразделение_2_уровня18"/>
    <s v="-"/>
    <s v="линейный_руководитель_1"/>
    <n v="6"/>
    <s v="нет"/>
    <m/>
    <m/>
    <m/>
    <n v="40"/>
    <s v="Климов Клим Климович"/>
    <n v="1165"/>
    <s v="Филиппов Глеб Михайлович"/>
    <s v="линейный_руководитель_2"/>
    <s v="Подразделение18"/>
    <x v="1"/>
    <x v="2"/>
    <n v="0"/>
    <n v="0"/>
    <s v="самоотвод"/>
    <d v="2023-11-22T00:00:00"/>
    <s v="исключение"/>
    <s v="протокол-№-22.11.2023"/>
  </r>
  <r>
    <s v="Функциональное направление 3"/>
    <n v="4"/>
    <d v="2019-09-26T00:00:00"/>
    <n v="0"/>
    <s v="не защищена"/>
    <n v="500338"/>
    <x v="41"/>
    <n v="18"/>
    <s v="Подразделение18"/>
    <s v="подразделение_2_уровня18"/>
    <s v="-"/>
    <s v="линейный_руководитель_1"/>
    <n v="6"/>
    <s v="нет"/>
    <m/>
    <m/>
    <m/>
    <n v="40"/>
    <s v="Климов Клим Климович"/>
    <n v="1166"/>
    <s v="Коростелев Геннадий Михайлович"/>
    <s v="Рабочий"/>
    <s v="Подразделение18"/>
    <x v="1"/>
    <x v="2"/>
    <n v="0"/>
    <n v="0"/>
    <s v="увольнение"/>
    <d v="2021-08-20T00:00:00"/>
    <s v="без изменений"/>
    <s v="протокол-№-09.10.2020"/>
  </r>
  <r>
    <s v="Функциональное направление 3"/>
    <n v="4"/>
    <d v="2019-09-26T00:00:00"/>
    <n v="1"/>
    <s v="не защищена"/>
    <n v="500338"/>
    <x v="42"/>
    <n v="18"/>
    <s v="Подразделение18"/>
    <s v="подразделение_2_уровня18"/>
    <s v="-"/>
    <s v="линейный_руководитель_1"/>
    <n v="6"/>
    <s v="нет"/>
    <m/>
    <m/>
    <m/>
    <n v="41"/>
    <s v="Кондратов Кондрат Кондратьевич"/>
    <n v="1162"/>
    <s v="Трофимов Савелий Иль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8"/>
    <x v="42"/>
    <n v="18"/>
    <s v="Подразделение18"/>
    <s v="подразделение_2_уровня18"/>
    <s v="-"/>
    <s v="линейный_руководитель_1"/>
    <n v="6"/>
    <s v="нет"/>
    <m/>
    <m/>
    <m/>
    <n v="41"/>
    <s v="Кондратов Кондрат Кондратьевич"/>
    <n v="1163"/>
    <s v="Тимофеев Богдан Александр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38"/>
    <x v="42"/>
    <n v="18"/>
    <s v="Подразделение18"/>
    <s v="подразделение_2_уровня18"/>
    <s v="-"/>
    <s v="линейный_руководитель_1"/>
    <n v="6"/>
    <s v="нет"/>
    <m/>
    <m/>
    <m/>
    <n v="41"/>
    <s v="Кондратов Кондрат Кондратьевич"/>
    <n v="1164"/>
    <s v="Прохоров Константин Климович"/>
    <s v="Рабочий"/>
    <s v="Подразделение18"/>
    <x v="2"/>
    <x v="0"/>
    <n v="0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38"/>
    <x v="42"/>
    <n v="18"/>
    <s v="Подразделение18"/>
    <s v="подразделение_2_уровня18"/>
    <s v="-"/>
    <s v="линейный_руководитель_1"/>
    <n v="6"/>
    <s v="нет"/>
    <m/>
    <m/>
    <m/>
    <n v="41"/>
    <s v="Кондратов Кондрат Кондратьевич"/>
    <n v="1165"/>
    <s v="Филиппов Глеб Михайлович"/>
    <s v="линейный_руководитель_2"/>
    <s v="Подразделение18"/>
    <x v="1"/>
    <x v="2"/>
    <n v="0"/>
    <n v="0"/>
    <s v="самоотвод"/>
    <d v="2023-11-22T00:00:00"/>
    <s v="исключение"/>
    <s v="протокол-№-22.11.2023"/>
  </r>
  <r>
    <s v="Функциональное направление 3"/>
    <n v="4"/>
    <d v="2019-09-26T00:00:00"/>
    <n v="0"/>
    <s v="не защищена"/>
    <n v="500338"/>
    <x v="42"/>
    <n v="18"/>
    <s v="Подразделение18"/>
    <s v="подразделение_2_уровня18"/>
    <s v="-"/>
    <s v="линейный_руководитель_1"/>
    <n v="6"/>
    <s v="нет"/>
    <m/>
    <m/>
    <m/>
    <n v="41"/>
    <s v="Кондратов Кондрат Кондратьевич"/>
    <n v="1166"/>
    <s v="Коростелев Геннадий Михайлович"/>
    <s v="Рабочий"/>
    <s v="Подразделение18"/>
    <x v="1"/>
    <x v="2"/>
    <n v="0"/>
    <n v="0"/>
    <s v="увольнение"/>
    <d v="2021-08-20T00:00:00"/>
    <s v="без изменений"/>
    <s v="протокол-№-09.10.2020"/>
  </r>
  <r>
    <s v="Функциональное направление 3"/>
    <n v="3"/>
    <d v="2018-11-22T00:00:00"/>
    <n v="1"/>
    <s v="не защищена"/>
    <n v="500339"/>
    <x v="43"/>
    <n v="18"/>
    <s v="Подразделение18"/>
    <s v="подразделение_2_уровня18"/>
    <s v="-"/>
    <s v="руководитель_среднего_уровня_2"/>
    <n v="5"/>
    <s v="нет"/>
    <m/>
    <m/>
    <m/>
    <n v="42"/>
    <s v="Константинов Константин Константинович"/>
    <n v="58"/>
    <s v="Прохоров Прохор Прохорович"/>
    <s v="функциональный_руководитель_1"/>
    <s v="Подразделение18"/>
    <x v="1"/>
    <x v="0"/>
    <n v="1"/>
    <n v="0"/>
    <m/>
    <m/>
    <s v="без изменений"/>
    <s v="протокол-№-27.06.2023"/>
  </r>
  <r>
    <s v="Функциональное направление 3"/>
    <n v="3"/>
    <d v="2022-06-27T00:00:00"/>
    <n v="0"/>
    <s v="не защищена"/>
    <n v="500339"/>
    <x v="43"/>
    <n v="18"/>
    <s v="Подразделение18"/>
    <s v="подразделение_2_уровня18"/>
    <s v="-"/>
    <s v="руководитель_среднего_уровня_2"/>
    <n v="5"/>
    <s v="нет"/>
    <m/>
    <m/>
    <m/>
    <n v="42"/>
    <s v="Константинов Константин Константинович"/>
    <n v="39"/>
    <s v="Кириллов Кирилл Кириллович"/>
    <s v="линейный_руководитель_2"/>
    <s v="Подразделение18"/>
    <x v="0"/>
    <x v="0"/>
    <n v="1"/>
    <n v="0"/>
    <m/>
    <m/>
    <s v="не рассматривали"/>
    <s v="протокол-№-27.06.2023"/>
  </r>
  <r>
    <s v="Функциональное направление 3"/>
    <n v="4"/>
    <d v="2019-09-26T00:00:00"/>
    <n v="1"/>
    <s v="не защищена"/>
    <n v="500340"/>
    <x v="44"/>
    <n v="18"/>
    <s v="Подразделение18"/>
    <s v="подразделение_2_уровня18"/>
    <s v="-"/>
    <s v="линейный_руководитель_2"/>
    <n v="6"/>
    <s v="нет"/>
    <m/>
    <m/>
    <m/>
    <n v="43"/>
    <s v="Конеев Корней Корнеевич"/>
    <n v="1162"/>
    <s v="Трофимов Савелий Иль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40"/>
    <x v="44"/>
    <n v="18"/>
    <s v="Подразделение18"/>
    <s v="подразделение_2_уровня18"/>
    <s v="-"/>
    <s v="линейный_руководитель_2"/>
    <n v="6"/>
    <s v="нет"/>
    <m/>
    <m/>
    <m/>
    <n v="43"/>
    <s v="Конеев Корней Корнеевич"/>
    <n v="1163"/>
    <s v="Тимофеев Богдан Александров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40"/>
    <x v="44"/>
    <n v="18"/>
    <s v="Подразделение18"/>
    <s v="подразделение_2_уровня18"/>
    <s v="-"/>
    <s v="линейный_руководитель_2"/>
    <n v="6"/>
    <s v="нет"/>
    <m/>
    <m/>
    <m/>
    <n v="43"/>
    <s v="Конеев Корней Корнеевич"/>
    <n v="1164"/>
    <s v="Прохоров Константин Климович"/>
    <s v="Рабочий"/>
    <s v="Подразделение18"/>
    <x v="2"/>
    <x v="0"/>
    <n v="1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40"/>
    <x v="44"/>
    <n v="18"/>
    <s v="Подразделение18"/>
    <s v="подразделение_2_уровня18"/>
    <s v="-"/>
    <s v="линейный_руководитель_2"/>
    <n v="6"/>
    <s v="нет"/>
    <m/>
    <m/>
    <m/>
    <n v="43"/>
    <s v="Конеев Корней Корнеевич"/>
    <n v="1165"/>
    <s v="Филиппов Глеб Михайлович"/>
    <s v="линейный_руководитель_2"/>
    <s v="Подразделение18"/>
    <x v="1"/>
    <x v="2"/>
    <n v="1"/>
    <n v="0"/>
    <s v="самоотвод"/>
    <d v="2023-11-22T00:00:00"/>
    <s v="исключение"/>
    <s v="протокол-№-22.11.2023"/>
  </r>
  <r>
    <s v="Функциональное направление 3"/>
    <n v="4"/>
    <d v="2019-09-26T00:00:00"/>
    <n v="0"/>
    <s v="не защищена"/>
    <n v="500340"/>
    <x v="44"/>
    <n v="18"/>
    <s v="Подразделение18"/>
    <s v="подразделение_2_уровня18"/>
    <s v="-"/>
    <s v="линейный_руководитель_2"/>
    <n v="6"/>
    <s v="нет"/>
    <m/>
    <m/>
    <m/>
    <n v="43"/>
    <s v="Конеев Корней Корнеевич"/>
    <n v="1166"/>
    <s v="Коростелев Геннадий Михайлович"/>
    <s v="Рабочий"/>
    <s v="Подразделение18"/>
    <x v="1"/>
    <x v="2"/>
    <n v="1"/>
    <n v="0"/>
    <s v="увольнение"/>
    <d v="2021-08-20T00:00:00"/>
    <s v="без изменений"/>
    <s v="протокол-№-09.10.2020"/>
  </r>
  <r>
    <s v="Функциональное направление 3"/>
    <n v="4"/>
    <d v="2019-09-26T00:00:00"/>
    <n v="1"/>
    <s v="не защищена"/>
    <n v="500341"/>
    <x v="45"/>
    <n v="18"/>
    <s v="Подразделение18"/>
    <s v="подразделение_2_уровня18"/>
    <s v="подразделение_3_уровня18"/>
    <s v="линейный_руководитель_2"/>
    <n v="6"/>
    <s v="нет"/>
    <m/>
    <m/>
    <m/>
    <n v="44"/>
    <s v="Кузьмин Кузьма Кузьмич"/>
    <n v="1160"/>
    <s v="Игнатьев Арсений Александров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41"/>
    <x v="45"/>
    <n v="18"/>
    <s v="Подразделение18"/>
    <s v="подразделение_2_уровня18"/>
    <s v="подразделение_3_уровня18"/>
    <s v="линейный_руководитель_2"/>
    <n v="6"/>
    <s v="нет"/>
    <m/>
    <m/>
    <m/>
    <n v="44"/>
    <s v="Кузьмин Кузьма Кузьмич"/>
    <n v="1167"/>
    <s v="Семенов Афанасий Тихонович"/>
    <s v="Рабочий"/>
    <s v="Подразделение18"/>
    <x v="2"/>
    <x v="0"/>
    <n v="1"/>
    <n v="0"/>
    <m/>
    <m/>
    <s v="не рассматривали"/>
    <s v="протокол-№-22.11.2023"/>
  </r>
  <r>
    <s v="Функциональное направление 3"/>
    <n v="4"/>
    <d v="2019-09-26T00:00:00"/>
    <n v="1"/>
    <s v="не защищена"/>
    <n v="500342"/>
    <x v="46"/>
    <n v="18"/>
    <s v="Подразделение18"/>
    <s v="подразделение_2_уровня18"/>
    <s v="-"/>
    <s v="линейный_руководитель_1"/>
    <n v="6"/>
    <s v="нет"/>
    <m/>
    <m/>
    <m/>
    <n v="45"/>
    <s v="Лавров Лавр Лаврович"/>
    <n v="1168"/>
    <s v="Игнатьев Афанасий Александрович"/>
    <s v="Рабочий"/>
    <s v="Подразделение18"/>
    <x v="1"/>
    <x v="0"/>
    <n v="1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2"/>
    <x v="46"/>
    <n v="18"/>
    <s v="Подразделение18"/>
    <s v="подразделение_2_уровня18"/>
    <s v="-"/>
    <s v="линейный_руководитель_1"/>
    <n v="6"/>
    <s v="нет"/>
    <m/>
    <m/>
    <m/>
    <n v="45"/>
    <s v="Лавров Лавр Лаврович"/>
    <n v="46"/>
    <s v="Львов Лев Львович"/>
    <s v="Рабочий"/>
    <s v="Подразделение18"/>
    <x v="1"/>
    <x v="1"/>
    <n v="1"/>
    <n v="0"/>
    <s v="назначение на целевую должность"/>
    <d v="2023-01-13T00:00:00"/>
    <s v="повышение"/>
    <s v="протокол-№-22.11.2023"/>
  </r>
  <r>
    <s v="Функциональное направление 3"/>
    <n v="4"/>
    <d v="2019-09-26T00:00:00"/>
    <n v="0"/>
    <s v="не защищена"/>
    <n v="500342"/>
    <x v="46"/>
    <n v="18"/>
    <s v="Подразделение18"/>
    <s v="подразделение_2_уровня18"/>
    <s v="-"/>
    <s v="линейный_руководитель_1"/>
    <n v="6"/>
    <s v="нет"/>
    <m/>
    <m/>
    <m/>
    <n v="45"/>
    <s v="Лавров Лавр Лаврович"/>
    <n v="115"/>
    <s v="Волков Илья Ильич"/>
    <s v="Рабочий"/>
    <s v="Подразделение18"/>
    <x v="1"/>
    <x v="1"/>
    <n v="1"/>
    <n v="0"/>
    <s v="назначение на целевую должность"/>
    <d v="2022-11-25T00:00:00"/>
    <s v="повышение"/>
    <s v="протокол-№-22.11.2022"/>
  </r>
  <r>
    <s v="Функциональное направление 3"/>
    <n v="4"/>
    <d v="2019-09-26T00:00:00"/>
    <n v="0"/>
    <s v="не защищена"/>
    <n v="500342"/>
    <x v="46"/>
    <n v="18"/>
    <s v="Подразделение18"/>
    <s v="подразделение_2_уровня18"/>
    <s v="-"/>
    <s v="линейный_руководитель_1"/>
    <n v="6"/>
    <s v="нет"/>
    <m/>
    <m/>
    <m/>
    <n v="45"/>
    <s v="Лавров Лавр Лаврович"/>
    <n v="1169"/>
    <s v="Потапов Герасим Геннадьевич"/>
    <s v="Рабочий"/>
    <s v="Подразделение18"/>
    <x v="1"/>
    <x v="2"/>
    <n v="1"/>
    <n v="0"/>
    <s v="увольнение"/>
    <d v="2022-08-10T00:00:00"/>
    <s v="без изменений"/>
    <s v="протокол-№-09.10.2020"/>
  </r>
  <r>
    <s v="Функциональное направление 3"/>
    <n v="4"/>
    <d v="2019-09-26T00:00:00"/>
    <n v="0"/>
    <s v="не защищена"/>
    <n v="500342"/>
    <x v="46"/>
    <n v="18"/>
    <s v="Подразделение18"/>
    <s v="подразделение_2_уровня18"/>
    <s v="-"/>
    <s v="линейный_руководитель_1"/>
    <n v="6"/>
    <s v="нет"/>
    <m/>
    <m/>
    <m/>
    <n v="45"/>
    <s v="Лавров Лавр Лаврович"/>
    <n v="27"/>
    <s v="Данилов Данил Данилович"/>
    <s v="Рабочий"/>
    <s v="Подразделение18"/>
    <x v="1"/>
    <x v="2"/>
    <n v="1"/>
    <n v="0"/>
    <s v="назначение на равнозначную должность"/>
    <d v="2022-04-27T00:00:00"/>
    <s v="без изменений"/>
    <s v="протокол-№-09.10.2020"/>
  </r>
  <r>
    <s v="Функциональное направление 3"/>
    <n v="4"/>
    <d v="2019-09-26T00:00:00"/>
    <n v="1"/>
    <s v="не защищена"/>
    <n v="500342"/>
    <x v="47"/>
    <n v="18"/>
    <s v="Подразделение18"/>
    <s v="подразделение_2_уровня18"/>
    <s v="-"/>
    <s v="линейный_руководитель_1"/>
    <n v="6"/>
    <s v="да"/>
    <d v="2023-01-13T00:00:00"/>
    <d v="2023-01-13T00:00:00"/>
    <s v="из резерва (учитываем)"/>
    <n v="46"/>
    <s v="Львов Лев Львович"/>
    <n v="1168"/>
    <s v="Игнатьев Афанасий Александрович"/>
    <s v="Рабочий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2"/>
    <x v="47"/>
    <n v="18"/>
    <s v="Подразделение18"/>
    <s v="подразделение_2_уровня18"/>
    <s v="-"/>
    <s v="линейный_руководитель_1"/>
    <n v="6"/>
    <s v="да"/>
    <d v="2023-01-13T00:00:00"/>
    <d v="2023-01-13T00:00:00"/>
    <s v="из резерва (учитываем)"/>
    <n v="46"/>
    <s v="Львов Лев Львович"/>
    <n v="115"/>
    <s v="Волков Илья Ильич"/>
    <s v="Рабочий"/>
    <s v="Подразделение18"/>
    <x v="1"/>
    <x v="1"/>
    <n v="0"/>
    <n v="0"/>
    <s v="назначение на целевую должность"/>
    <d v="2022-11-25T00:00:00"/>
    <s v="повышение"/>
    <s v="протокол-№-22.11.2022"/>
  </r>
  <r>
    <s v="Функциональное направление 3"/>
    <n v="4"/>
    <d v="2019-09-26T00:00:00"/>
    <n v="0"/>
    <s v="не защищена"/>
    <n v="500342"/>
    <x v="47"/>
    <n v="18"/>
    <s v="Подразделение18"/>
    <s v="подразделение_2_уровня18"/>
    <s v="-"/>
    <s v="линейный_руководитель_1"/>
    <n v="6"/>
    <s v="да"/>
    <d v="2023-01-13T00:00:00"/>
    <d v="2023-01-13T00:00:00"/>
    <s v="из резерва (учитываем)"/>
    <n v="46"/>
    <s v="Львов Лев Львович"/>
    <n v="46"/>
    <s v="Львов Лев Львович"/>
    <s v="Рабочий"/>
    <s v="Подразделение18"/>
    <x v="1"/>
    <x v="1"/>
    <n v="0"/>
    <n v="1"/>
    <s v="назначение на целевую должность"/>
    <d v="2023-01-13T00:00:00"/>
    <s v="повышение"/>
    <s v="протокол-№-22.11.2023"/>
  </r>
  <r>
    <s v="Функциональное направление 3"/>
    <n v="4"/>
    <d v="2019-09-26T00:00:00"/>
    <n v="0"/>
    <s v="не защищена"/>
    <n v="500342"/>
    <x v="47"/>
    <n v="18"/>
    <s v="Подразделение18"/>
    <s v="подразделение_2_уровня18"/>
    <s v="-"/>
    <s v="линейный_руководитель_1"/>
    <n v="6"/>
    <s v="да"/>
    <d v="2023-01-13T00:00:00"/>
    <d v="2023-01-13T00:00:00"/>
    <s v="из резерва (учитываем)"/>
    <n v="46"/>
    <s v="Львов Лев Львович"/>
    <n v="1169"/>
    <s v="Потапов Герасим Геннадьевич"/>
    <s v="Рабочий"/>
    <s v="Подразделение18"/>
    <x v="1"/>
    <x v="2"/>
    <n v="0"/>
    <n v="0"/>
    <s v="увольнение"/>
    <d v="2022-08-10T00:00:00"/>
    <s v="без изменений"/>
    <s v="протокол-№-09.10.2020"/>
  </r>
  <r>
    <s v="Функциональное направление 3"/>
    <n v="4"/>
    <d v="2019-09-26T00:00:00"/>
    <n v="0"/>
    <s v="не защищена"/>
    <n v="500342"/>
    <x v="47"/>
    <n v="18"/>
    <s v="Подразделение18"/>
    <s v="подразделение_2_уровня18"/>
    <s v="-"/>
    <s v="линейный_руководитель_1"/>
    <n v="6"/>
    <s v="да"/>
    <d v="2023-01-13T00:00:00"/>
    <d v="2023-01-13T00:00:00"/>
    <s v="из резерва (учитываем)"/>
    <n v="46"/>
    <s v="Львов Лев Львович"/>
    <n v="27"/>
    <s v="Данилов Данил Данилович"/>
    <s v="Рабочий"/>
    <s v="Подразделение18"/>
    <x v="1"/>
    <x v="2"/>
    <n v="0"/>
    <n v="0"/>
    <s v="назначение на равнозначную должность"/>
    <d v="2022-04-27T00:00:00"/>
    <s v="без изменений"/>
    <s v="протокол-№-09.10.2020"/>
  </r>
  <r>
    <s v="Функциональное направление 3"/>
    <n v="4"/>
    <d v="2019-09-26T00:00:00"/>
    <n v="1"/>
    <s v="не защищена"/>
    <n v="500342"/>
    <x v="48"/>
    <n v="18"/>
    <s v="Подразделение18"/>
    <s v="подразделение_2_уровня18"/>
    <s v="-"/>
    <s v="линейный_руководитель_1"/>
    <n v="6"/>
    <s v="нет"/>
    <m/>
    <m/>
    <m/>
    <n v="47"/>
    <s v="Леонидов Леонид Леонидович"/>
    <n v="1168"/>
    <s v="Игнатьев Афанасий Александрович"/>
    <s v="Рабочий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2"/>
    <x v="48"/>
    <n v="18"/>
    <s v="Подразделение18"/>
    <s v="подразделение_2_уровня18"/>
    <s v="-"/>
    <s v="линейный_руководитель_1"/>
    <n v="6"/>
    <s v="нет"/>
    <m/>
    <m/>
    <m/>
    <n v="47"/>
    <s v="Леонидов Леонид Леонидович"/>
    <n v="115"/>
    <s v="Волков Илья Ильич"/>
    <s v="Рабочий"/>
    <s v="Подразделение18"/>
    <x v="1"/>
    <x v="1"/>
    <n v="0"/>
    <n v="0"/>
    <s v="назначение на целевую должность"/>
    <d v="2022-11-25T00:00:00"/>
    <s v="повышение"/>
    <s v="протокол-№-22.11.2022"/>
  </r>
  <r>
    <s v="Функциональное направление 3"/>
    <n v="4"/>
    <d v="2019-09-26T00:00:00"/>
    <n v="0"/>
    <s v="не защищена"/>
    <n v="500342"/>
    <x v="48"/>
    <n v="18"/>
    <s v="Подразделение18"/>
    <s v="подразделение_2_уровня18"/>
    <s v="-"/>
    <s v="линейный_руководитель_1"/>
    <n v="6"/>
    <s v="нет"/>
    <m/>
    <m/>
    <m/>
    <n v="47"/>
    <s v="Леонидов Леонид Леонидович"/>
    <n v="46"/>
    <s v="Львов Лев Львович"/>
    <s v="Рабочий"/>
    <s v="Подразделение18"/>
    <x v="1"/>
    <x v="1"/>
    <n v="0"/>
    <n v="0"/>
    <s v="назначение на целевую должность"/>
    <d v="2023-01-13T00:00:00"/>
    <s v="повышение"/>
    <s v="протокол-№-22.11.2023"/>
  </r>
  <r>
    <s v="Функциональное направление 3"/>
    <n v="4"/>
    <d v="2019-09-26T00:00:00"/>
    <n v="0"/>
    <s v="не защищена"/>
    <n v="500342"/>
    <x v="48"/>
    <n v="18"/>
    <s v="Подразделение18"/>
    <s v="подразделение_2_уровня18"/>
    <s v="-"/>
    <s v="линейный_руководитель_1"/>
    <n v="6"/>
    <s v="нет"/>
    <m/>
    <m/>
    <m/>
    <n v="47"/>
    <s v="Леонидов Леонид Леонидович"/>
    <n v="1169"/>
    <s v="Потапов Герасим Геннадьевич"/>
    <s v="Рабочий"/>
    <s v="Подразделение18"/>
    <x v="1"/>
    <x v="2"/>
    <n v="0"/>
    <n v="0"/>
    <s v="увольнение"/>
    <d v="2022-08-10T00:00:00"/>
    <s v="без изменений"/>
    <s v="протокол-№-09.10.2020"/>
  </r>
  <r>
    <s v="Функциональное направление 3"/>
    <n v="4"/>
    <d v="2019-09-26T00:00:00"/>
    <n v="0"/>
    <s v="не защищена"/>
    <n v="500342"/>
    <x v="48"/>
    <n v="18"/>
    <s v="Подразделение18"/>
    <s v="подразделение_2_уровня18"/>
    <s v="-"/>
    <s v="линейный_руководитель_1"/>
    <n v="6"/>
    <s v="нет"/>
    <m/>
    <m/>
    <m/>
    <n v="47"/>
    <s v="Леонидов Леонид Леонидович"/>
    <n v="27"/>
    <s v="Данилов Данил Данилович"/>
    <s v="Рабочий"/>
    <s v="Подразделение18"/>
    <x v="1"/>
    <x v="2"/>
    <n v="0"/>
    <n v="0"/>
    <s v="назначение на равнозначную должность"/>
    <d v="2022-04-27T00:00:00"/>
    <s v="без изменений"/>
    <s v="протокол-№-09.10.2020"/>
  </r>
  <r>
    <s v="Функциональное направление 3"/>
    <n v="4"/>
    <d v="2019-09-26T00:00:00"/>
    <n v="1"/>
    <s v="не защищена"/>
    <n v="500343"/>
    <x v="49"/>
    <n v="18"/>
    <s v="Подразделение18"/>
    <s v="подразделение_2_уровня18"/>
    <s v="-"/>
    <s v="линейный_руководитель_2"/>
    <n v="6"/>
    <s v="нет"/>
    <m/>
    <m/>
    <m/>
    <n v="48"/>
    <s v="Макаров Макар Макарович"/>
    <n v="1168"/>
    <s v="Игнатьев Афанасий Александрович"/>
    <s v="Рабочий"/>
    <s v="Подразделение18"/>
    <x v="1"/>
    <x v="0"/>
    <n v="1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3"/>
    <x v="49"/>
    <n v="18"/>
    <s v="Подразделение18"/>
    <s v="подразделение_2_уровня18"/>
    <s v="-"/>
    <s v="линейный_руководитель_2"/>
    <n v="6"/>
    <s v="нет"/>
    <m/>
    <m/>
    <m/>
    <n v="48"/>
    <s v="Макаров Макар Макарович"/>
    <n v="115"/>
    <s v="Волков Илья Ильич"/>
    <s v="Рабочий"/>
    <s v="Подразделение18"/>
    <x v="1"/>
    <x v="1"/>
    <n v="1"/>
    <n v="0"/>
    <s v="назначение на целевую должность"/>
    <d v="2022-11-25T00:00:00"/>
    <s v="повышение"/>
    <s v="протокол-№-22.11.2022"/>
  </r>
  <r>
    <s v="Функциональное направление 3"/>
    <n v="4"/>
    <d v="2019-09-26T00:00:00"/>
    <n v="0"/>
    <s v="не защищена"/>
    <n v="500343"/>
    <x v="49"/>
    <n v="18"/>
    <s v="Подразделение18"/>
    <s v="подразделение_2_уровня18"/>
    <s v="-"/>
    <s v="линейный_руководитель_2"/>
    <n v="6"/>
    <s v="нет"/>
    <m/>
    <m/>
    <m/>
    <n v="48"/>
    <s v="Макаров Макар Макарович"/>
    <n v="46"/>
    <s v="Львов Лев Львович"/>
    <s v="Рабочий"/>
    <s v="Подразделение18"/>
    <x v="1"/>
    <x v="1"/>
    <n v="1"/>
    <n v="0"/>
    <s v="назначение на целевую должность"/>
    <d v="2023-01-13T00:00:00"/>
    <s v="повышение"/>
    <s v="протокол-№-22.11.2023"/>
  </r>
  <r>
    <s v="Функциональное направление 3"/>
    <n v="4"/>
    <d v="2019-09-26T00:00:00"/>
    <n v="0"/>
    <s v="не защищена"/>
    <n v="500343"/>
    <x v="49"/>
    <n v="18"/>
    <s v="Подразделение18"/>
    <s v="подразделение_2_уровня18"/>
    <s v="-"/>
    <s v="линейный_руководитель_2"/>
    <n v="6"/>
    <s v="нет"/>
    <m/>
    <m/>
    <m/>
    <n v="48"/>
    <s v="Макаров Макар Макарович"/>
    <n v="1169"/>
    <s v="Потапов Герасим Геннадьевич"/>
    <s v="Рабочий"/>
    <s v="Подразделение18"/>
    <x v="1"/>
    <x v="2"/>
    <n v="1"/>
    <n v="0"/>
    <s v="увольнение"/>
    <d v="2022-08-10T00:00:00"/>
    <s v="без изменений"/>
    <s v="протокол-№-09.10.2020"/>
  </r>
  <r>
    <s v="Функциональное направление 3"/>
    <n v="4"/>
    <d v="2019-09-26T00:00:00"/>
    <n v="0"/>
    <s v="не защищена"/>
    <n v="500343"/>
    <x v="49"/>
    <n v="18"/>
    <s v="Подразделение18"/>
    <s v="подразделение_2_уровня18"/>
    <s v="-"/>
    <s v="линейный_руководитель_2"/>
    <n v="6"/>
    <s v="нет"/>
    <m/>
    <m/>
    <m/>
    <n v="48"/>
    <s v="Макаров Макар Макарович"/>
    <n v="27"/>
    <s v="Данилов Данил Данилович"/>
    <s v="Рабочий"/>
    <s v="Подразделение18"/>
    <x v="1"/>
    <x v="2"/>
    <n v="1"/>
    <n v="0"/>
    <s v="назначение на равнозначную должность"/>
    <d v="2022-04-27T00:00:00"/>
    <s v="без изменений"/>
    <s v="протокол-№-09.10.2020"/>
  </r>
  <r>
    <s v="Функциональное направление 3"/>
    <n v="4"/>
    <d v="2019-09-26T00:00:00"/>
    <n v="1"/>
    <s v="не защищена"/>
    <n v="500344"/>
    <x v="50"/>
    <n v="18"/>
    <s v="Подразделение18"/>
    <s v="подразделение_2_уровня18"/>
    <s v="-"/>
    <s v="линейный_руководитель_2"/>
    <n v="6"/>
    <s v="нет"/>
    <m/>
    <m/>
    <m/>
    <n v="49"/>
    <s v="Максимов Максим Максимович"/>
    <n v="1168"/>
    <s v="Игнатьев Афанасий Александрович"/>
    <s v="Рабочий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4"/>
    <x v="50"/>
    <n v="18"/>
    <s v="Подразделение18"/>
    <s v="подразделение_2_уровня18"/>
    <s v="-"/>
    <s v="линейный_руководитель_2"/>
    <n v="6"/>
    <s v="нет"/>
    <m/>
    <m/>
    <m/>
    <n v="49"/>
    <s v="Максимов Максим Максимович"/>
    <n v="115"/>
    <s v="Волков Илья Ильич"/>
    <s v="Рабочий"/>
    <s v="Подразделение18"/>
    <x v="1"/>
    <x v="1"/>
    <n v="0"/>
    <n v="0"/>
    <s v="назначение на целевую должность"/>
    <d v="2022-11-25T00:00:00"/>
    <s v="повышение"/>
    <s v="протокол-№-22.11.2022"/>
  </r>
  <r>
    <s v="Функциональное направление 3"/>
    <n v="4"/>
    <d v="2019-09-26T00:00:00"/>
    <n v="0"/>
    <s v="не защищена"/>
    <n v="500344"/>
    <x v="50"/>
    <n v="18"/>
    <s v="Подразделение18"/>
    <s v="подразделение_2_уровня18"/>
    <s v="-"/>
    <s v="линейный_руководитель_2"/>
    <n v="6"/>
    <s v="нет"/>
    <m/>
    <m/>
    <m/>
    <n v="49"/>
    <s v="Максимов Максим Максимович"/>
    <n v="46"/>
    <s v="Львов Лев Львович"/>
    <s v="Рабочий"/>
    <s v="Подразделение18"/>
    <x v="1"/>
    <x v="1"/>
    <n v="0"/>
    <n v="0"/>
    <s v="назначение на целевую должность"/>
    <d v="2023-01-13T00:00:00"/>
    <s v="повышение"/>
    <s v="протокол-№-22.11.2023"/>
  </r>
  <r>
    <s v="Функциональное направление 3"/>
    <n v="4"/>
    <d v="2019-09-26T00:00:00"/>
    <n v="0"/>
    <s v="не защищена"/>
    <n v="500344"/>
    <x v="50"/>
    <n v="18"/>
    <s v="Подразделение18"/>
    <s v="подразделение_2_уровня18"/>
    <s v="-"/>
    <s v="линейный_руководитель_2"/>
    <n v="6"/>
    <s v="нет"/>
    <m/>
    <m/>
    <m/>
    <n v="49"/>
    <s v="Максимов Максим Максимович"/>
    <n v="1169"/>
    <s v="Потапов Герасим Геннадьевич"/>
    <s v="Рабочий"/>
    <s v="Подразделение18"/>
    <x v="1"/>
    <x v="2"/>
    <n v="0"/>
    <n v="0"/>
    <s v="увольнение"/>
    <d v="2022-08-10T00:00:00"/>
    <s v="без изменений"/>
    <s v="протокол-№-09.10.2020"/>
  </r>
  <r>
    <s v="Функциональное направление 3"/>
    <n v="4"/>
    <d v="2019-09-26T00:00:00"/>
    <n v="0"/>
    <s v="не защищена"/>
    <n v="500344"/>
    <x v="50"/>
    <n v="18"/>
    <s v="Подразделение18"/>
    <s v="подразделение_2_уровня18"/>
    <s v="-"/>
    <s v="линейный_руководитель_2"/>
    <n v="6"/>
    <s v="нет"/>
    <m/>
    <m/>
    <m/>
    <n v="49"/>
    <s v="Максимов Максим Максимович"/>
    <n v="27"/>
    <s v="Данилов Данил Данилович"/>
    <s v="Рабочий"/>
    <s v="Подразделение18"/>
    <x v="1"/>
    <x v="2"/>
    <n v="0"/>
    <n v="0"/>
    <s v="назначение на равнозначную должность"/>
    <d v="2022-04-27T00:00:00"/>
    <s v="без изменений"/>
    <s v="протокол-№-09.10.2020"/>
  </r>
  <r>
    <s v="Функциональное направление 3"/>
    <n v="4"/>
    <d v="2020-10-09T00:00:00"/>
    <n v="1"/>
    <s v="не защищена"/>
    <n v="500345"/>
    <x v="51"/>
    <n v="18"/>
    <s v="Подразделение18"/>
    <s v="подразделение_2_уровня18"/>
    <s v="подразделение_3_уровня18"/>
    <s v="линейный_руководитель_2"/>
    <n v="6"/>
    <s v="нет"/>
    <m/>
    <m/>
    <m/>
    <n v="50"/>
    <s v="Марков Марк Маркович"/>
    <n v="1170"/>
    <s v="Потапов Геннадий Иванович"/>
    <s v="Рабочий"/>
    <s v="Подразделение18"/>
    <x v="1"/>
    <x v="0"/>
    <n v="1"/>
    <n v="0"/>
    <m/>
    <m/>
    <s v="повышение"/>
    <s v="протокол-№-22.11.2023"/>
  </r>
  <r>
    <s v="Функциональное направление 3"/>
    <n v="4"/>
    <d v="2020-10-09T00:00:00"/>
    <n v="0"/>
    <s v="не защищена"/>
    <n v="500345"/>
    <x v="51"/>
    <n v="18"/>
    <s v="Подразделение18"/>
    <s v="подразделение_2_уровня18"/>
    <s v="подразделение_3_уровня18"/>
    <s v="линейный_руководитель_2"/>
    <n v="6"/>
    <s v="нет"/>
    <m/>
    <m/>
    <m/>
    <n v="50"/>
    <s v="Марков Марк Маркович"/>
    <n v="1171"/>
    <s v="Потапов Лавр Ефремович"/>
    <s v="Специалист"/>
    <s v="Подразделение18"/>
    <x v="2"/>
    <x v="2"/>
    <n v="1"/>
    <n v="0"/>
    <s v="назначение на равнозначную должность"/>
    <d v="2023-11-22T00:00:00"/>
    <s v="исключение"/>
    <s v="протокол-№-22.11.2023"/>
  </r>
  <r>
    <s v="Функциональное направление 3"/>
    <n v="4"/>
    <d v="2020-10-09T00:00:00"/>
    <n v="1"/>
    <s v="не защищена"/>
    <n v="500346"/>
    <x v="52"/>
    <n v="18"/>
    <s v="Подразделение18"/>
    <s v="подразделение_2_уровня18"/>
    <s v="подразделение_3_уровня18"/>
    <s v="функциональный_руководитель_3"/>
    <n v="6"/>
    <s v="нет"/>
    <m/>
    <m/>
    <m/>
    <n v="51"/>
    <s v="Матвеев Матвей Матвеевич"/>
    <n v="1171"/>
    <s v="Потапов Лавр Ефремович"/>
    <s v="Специалист"/>
    <s v="Подразделение18"/>
    <x v="0"/>
    <x v="2"/>
    <n v="1"/>
    <n v="0"/>
    <s v="назначение на равнозначную должность"/>
    <d v="2023-11-22T00:00:00"/>
    <s v="исключение"/>
    <s v="протокол-№-22.11.2023"/>
  </r>
  <r>
    <s v="Функциональное направление 3"/>
    <n v="4"/>
    <d v="2019-09-26T00:00:00"/>
    <n v="1"/>
    <s v="не защищена"/>
    <n v="500347"/>
    <x v="53"/>
    <n v="18"/>
    <s v="Подразделение18"/>
    <s v="подразделение_2_уровня18"/>
    <s v="-"/>
    <s v="руководитель_среднего_уровня_3"/>
    <n v="6"/>
    <s v="нет"/>
    <m/>
    <m/>
    <m/>
    <n v="52"/>
    <s v="Михайлов Михаил Михайлович"/>
    <n v="41"/>
    <s v="Кондратов Кондрат Кондратьевич"/>
    <s v="линейный_руководитель_2"/>
    <s v="Подразделение18"/>
    <x v="1"/>
    <x v="0"/>
    <n v="1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7"/>
    <x v="53"/>
    <n v="18"/>
    <s v="Подразделение18"/>
    <s v="подразделение_2_уровня18"/>
    <s v="-"/>
    <s v="руководитель_среднего_уровня_3"/>
    <n v="6"/>
    <s v="нет"/>
    <m/>
    <m/>
    <m/>
    <n v="52"/>
    <s v="Михайлов Михаил Михайлович"/>
    <n v="36"/>
    <s v="Игнатьев Игнат Игнатович"/>
    <s v="линейный_руководитель_2"/>
    <s v="Подразделение18"/>
    <x v="0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47"/>
    <x v="53"/>
    <n v="18"/>
    <s v="Подразделение18"/>
    <s v="подразделение_2_уровня18"/>
    <s v="-"/>
    <s v="руководитель_среднего_уровня_3"/>
    <n v="6"/>
    <s v="нет"/>
    <m/>
    <m/>
    <m/>
    <n v="52"/>
    <s v="Михайлов Михаил Михайлович"/>
    <n v="35"/>
    <s v="Иванов Иван Иванович"/>
    <s v="линейный_руководитель_2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47"/>
    <x v="53"/>
    <n v="18"/>
    <s v="Подразделение18"/>
    <s v="подразделение_2_уровня18"/>
    <s v="-"/>
    <s v="руководитель_среднего_уровня_3"/>
    <n v="6"/>
    <s v="нет"/>
    <m/>
    <m/>
    <m/>
    <n v="52"/>
    <s v="Михайлов Михаил Михайлович"/>
    <n v="39"/>
    <s v="Кириллов Кирилл Кириллович"/>
    <s v="линейный_руководитель_2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47"/>
    <x v="53"/>
    <n v="18"/>
    <s v="Подразделение18"/>
    <s v="подразделение_2_уровня18"/>
    <s v="-"/>
    <s v="руководитель_среднего_уровня_3"/>
    <n v="6"/>
    <s v="нет"/>
    <m/>
    <m/>
    <m/>
    <n v="52"/>
    <s v="Михайлов Михаил Михайлович"/>
    <n v="31"/>
    <s v="Емельянов Емельян Емельянович"/>
    <s v="линейный_руководитель_2"/>
    <s v="Подразделение18"/>
    <x v="0"/>
    <x v="0"/>
    <n v="1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47"/>
    <x v="53"/>
    <n v="18"/>
    <s v="Подразделение18"/>
    <s v="подразделение_2_уровня18"/>
    <s v="-"/>
    <s v="руководитель_среднего_уровня_3"/>
    <n v="6"/>
    <s v="нет"/>
    <m/>
    <m/>
    <m/>
    <n v="52"/>
    <s v="Михайлов Михаил Михайлович"/>
    <n v="114"/>
    <s v="Трухачев Игорь Игоревич"/>
    <s v="линейный_руководитель_2"/>
    <s v="Подразделение18"/>
    <x v="1"/>
    <x v="2"/>
    <n v="1"/>
    <n v="0"/>
    <s v="самоотвод"/>
    <d v="2023-11-22T00:00:00"/>
    <s v="исключение"/>
    <s v="протокол-№-22.11.2023"/>
  </r>
  <r>
    <s v="Функциональное направление 3"/>
    <n v="4"/>
    <d v="2019-09-26T00:00:00"/>
    <n v="1"/>
    <s v="не защищена"/>
    <n v="500347"/>
    <x v="54"/>
    <n v="18"/>
    <s v="Подразделение18"/>
    <s v="подразделение_2_уровня18"/>
    <s v="-"/>
    <s v="руководитель_среднего_уровня_3"/>
    <n v="6"/>
    <s v="нет"/>
    <m/>
    <m/>
    <m/>
    <n v="54"/>
    <s v="Николаев Николай Николаевич"/>
    <n v="41"/>
    <s v="Кондратов Кондрат Кондратьевич"/>
    <s v="линейный_руководитель_2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7"/>
    <x v="54"/>
    <n v="18"/>
    <s v="Подразделение18"/>
    <s v="подразделение_2_уровня18"/>
    <s v="-"/>
    <s v="руководитель_среднего_уровня_3"/>
    <n v="6"/>
    <s v="нет"/>
    <m/>
    <m/>
    <m/>
    <n v="54"/>
    <s v="Николаев Николай Николаевич"/>
    <n v="36"/>
    <s v="Игнатьев Игнат Игнатович"/>
    <s v="линейный_руководитель_2"/>
    <s v="Подразделение18"/>
    <x v="0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47"/>
    <x v="54"/>
    <n v="18"/>
    <s v="Подразделение18"/>
    <s v="подразделение_2_уровня18"/>
    <s v="-"/>
    <s v="руководитель_среднего_уровня_3"/>
    <n v="6"/>
    <s v="нет"/>
    <m/>
    <m/>
    <m/>
    <n v="54"/>
    <s v="Николаев Николай Николаевич"/>
    <n v="35"/>
    <s v="Иванов Иван Иванович"/>
    <s v="линейный_руководитель_2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47"/>
    <x v="54"/>
    <n v="18"/>
    <s v="Подразделение18"/>
    <s v="подразделение_2_уровня18"/>
    <s v="-"/>
    <s v="руководитель_среднего_уровня_3"/>
    <n v="6"/>
    <s v="нет"/>
    <m/>
    <m/>
    <m/>
    <n v="54"/>
    <s v="Николаев Николай Николаевич"/>
    <n v="39"/>
    <s v="Кириллов Кирилл Кириллович"/>
    <s v="линейный_руководитель_2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47"/>
    <x v="54"/>
    <n v="18"/>
    <s v="Подразделение18"/>
    <s v="подразделение_2_уровня18"/>
    <s v="-"/>
    <s v="руководитель_среднего_уровня_3"/>
    <n v="6"/>
    <s v="нет"/>
    <m/>
    <m/>
    <m/>
    <n v="54"/>
    <s v="Николаев Николай Николаевич"/>
    <n v="31"/>
    <s v="Емельянов Емельян Емельянович"/>
    <s v="линейный_руководитель_2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47"/>
    <x v="54"/>
    <n v="18"/>
    <s v="Подразделение18"/>
    <s v="подразделение_2_уровня18"/>
    <s v="-"/>
    <s v="руководитель_среднего_уровня_3"/>
    <n v="6"/>
    <s v="нет"/>
    <m/>
    <m/>
    <m/>
    <n v="54"/>
    <s v="Николаев Николай Николаевич"/>
    <n v="114"/>
    <s v="Трухачев Игорь Игоревич"/>
    <s v="линейный_руководитель_2"/>
    <s v="Подразделение18"/>
    <x v="1"/>
    <x v="2"/>
    <n v="0"/>
    <n v="0"/>
    <s v="самоотвод"/>
    <d v="2023-11-22T00:00:00"/>
    <s v="исключение"/>
    <s v="протокол-№-22.11.2023"/>
  </r>
  <r>
    <s v="Функциональное направление 3"/>
    <n v="4"/>
    <d v="2019-09-26T00:00:00"/>
    <n v="1"/>
    <s v="не защищена"/>
    <n v="500347"/>
    <x v="55"/>
    <n v="18"/>
    <s v="Подразделение18"/>
    <s v="подразделение_2_уровня18"/>
    <s v="-"/>
    <s v="руководитель_среднего_уровня_3"/>
    <n v="6"/>
    <s v="нет"/>
    <m/>
    <m/>
    <m/>
    <n v="56"/>
    <s v="Петров Петр Петрович"/>
    <n v="41"/>
    <s v="Кондратов Кондрат Кондратьевич"/>
    <s v="линейный_руководитель_2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7"/>
    <x v="55"/>
    <n v="18"/>
    <s v="Подразделение18"/>
    <s v="подразделение_2_уровня18"/>
    <s v="-"/>
    <s v="руководитель_среднего_уровня_3"/>
    <n v="6"/>
    <s v="нет"/>
    <m/>
    <m/>
    <m/>
    <n v="56"/>
    <s v="Петров Петр Петрович"/>
    <n v="36"/>
    <s v="Игнатьев Игнат Игнатович"/>
    <s v="линейный_руководитель_2"/>
    <s v="Подразделение18"/>
    <x v="0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47"/>
    <x v="55"/>
    <n v="18"/>
    <s v="Подразделение18"/>
    <s v="подразделение_2_уровня18"/>
    <s v="-"/>
    <s v="руководитель_среднего_уровня_3"/>
    <n v="6"/>
    <s v="нет"/>
    <m/>
    <m/>
    <m/>
    <n v="56"/>
    <s v="Петров Петр Петрович"/>
    <n v="35"/>
    <s v="Иванов Иван Иванович"/>
    <s v="линейный_руководитель_2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47"/>
    <x v="55"/>
    <n v="18"/>
    <s v="Подразделение18"/>
    <s v="подразделение_2_уровня18"/>
    <s v="-"/>
    <s v="руководитель_среднего_уровня_3"/>
    <n v="6"/>
    <s v="нет"/>
    <m/>
    <m/>
    <m/>
    <n v="56"/>
    <s v="Петров Петр Петрович"/>
    <n v="39"/>
    <s v="Кириллов Кирилл Кириллович"/>
    <s v="линейный_руководитель_2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47"/>
    <x v="55"/>
    <n v="18"/>
    <s v="Подразделение18"/>
    <s v="подразделение_2_уровня18"/>
    <s v="-"/>
    <s v="руководитель_среднего_уровня_3"/>
    <n v="6"/>
    <s v="нет"/>
    <m/>
    <m/>
    <m/>
    <n v="56"/>
    <s v="Петров Петр Петрович"/>
    <n v="31"/>
    <s v="Емельянов Емельян Емельянович"/>
    <s v="линейный_руководитель_2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47"/>
    <x v="55"/>
    <n v="18"/>
    <s v="Подразделение18"/>
    <s v="подразделение_2_уровня18"/>
    <s v="-"/>
    <s v="руководитель_среднего_уровня_3"/>
    <n v="6"/>
    <s v="нет"/>
    <m/>
    <m/>
    <m/>
    <n v="56"/>
    <s v="Петров Петр Петрович"/>
    <n v="114"/>
    <s v="Трухачев Игорь Игоревич"/>
    <s v="линейный_руководитель_2"/>
    <s v="Подразделение18"/>
    <x v="1"/>
    <x v="2"/>
    <n v="0"/>
    <n v="0"/>
    <s v="самоотвод"/>
    <d v="2023-11-22T00:00:00"/>
    <s v="исключение"/>
    <s v="протокол-№-22.11.2023"/>
  </r>
  <r>
    <s v="Функциональное направление 3"/>
    <n v="4"/>
    <d v="2019-09-26T00:00:00"/>
    <n v="1"/>
    <s v="не защищена"/>
    <n v="500347"/>
    <x v="56"/>
    <n v="18"/>
    <s v="Подразделение18"/>
    <s v="подразделение_2_уровня18"/>
    <s v="-"/>
    <s v="руководитель_среднего_уровня_3"/>
    <n v="6"/>
    <s v="нет"/>
    <m/>
    <m/>
    <m/>
    <n v="57"/>
    <s v="Потапов Потап Потапович"/>
    <n v="41"/>
    <s v="Кондратов Кондрат Кондратьевич"/>
    <s v="линейный_руководитель_2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7"/>
    <x v="56"/>
    <n v="18"/>
    <s v="Подразделение18"/>
    <s v="подразделение_2_уровня18"/>
    <s v="-"/>
    <s v="руководитель_среднего_уровня_3"/>
    <n v="6"/>
    <s v="нет"/>
    <m/>
    <m/>
    <m/>
    <n v="57"/>
    <s v="Потапов Потап Потапович"/>
    <n v="36"/>
    <s v="Игнатьев Игнат Игнатович"/>
    <s v="линейный_руководитель_2"/>
    <s v="Подразделение18"/>
    <x v="0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47"/>
    <x v="56"/>
    <n v="18"/>
    <s v="Подразделение18"/>
    <s v="подразделение_2_уровня18"/>
    <s v="-"/>
    <s v="руководитель_среднего_уровня_3"/>
    <n v="6"/>
    <s v="нет"/>
    <m/>
    <m/>
    <m/>
    <n v="57"/>
    <s v="Потапов Потап Потапович"/>
    <n v="35"/>
    <s v="Иванов Иван Иванович"/>
    <s v="линейный_руководитель_2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47"/>
    <x v="56"/>
    <n v="18"/>
    <s v="Подразделение18"/>
    <s v="подразделение_2_уровня18"/>
    <s v="-"/>
    <s v="руководитель_среднего_уровня_3"/>
    <n v="6"/>
    <s v="нет"/>
    <m/>
    <m/>
    <m/>
    <n v="57"/>
    <s v="Потапов Потап Потапович"/>
    <n v="39"/>
    <s v="Кириллов Кирилл Кириллович"/>
    <s v="линейный_руководитель_2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47"/>
    <x v="56"/>
    <n v="18"/>
    <s v="Подразделение18"/>
    <s v="подразделение_2_уровня18"/>
    <s v="-"/>
    <s v="руководитель_среднего_уровня_3"/>
    <n v="6"/>
    <s v="нет"/>
    <m/>
    <m/>
    <m/>
    <n v="57"/>
    <s v="Потапов Потап Потапович"/>
    <n v="31"/>
    <s v="Емельянов Емельян Емельянович"/>
    <s v="линейный_руководитель_2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4"/>
    <d v="2019-09-26T00:00:00"/>
    <n v="0"/>
    <s v="не защищена"/>
    <n v="500347"/>
    <x v="56"/>
    <n v="18"/>
    <s v="Подразделение18"/>
    <s v="подразделение_2_уровня18"/>
    <s v="-"/>
    <s v="руководитель_среднего_уровня_3"/>
    <n v="6"/>
    <s v="нет"/>
    <m/>
    <m/>
    <m/>
    <n v="57"/>
    <s v="Потапов Потап Потапович"/>
    <n v="114"/>
    <s v="Трухачев Игорь Игоревич"/>
    <s v="линейный_руководитель_2"/>
    <s v="Подразделение18"/>
    <x v="1"/>
    <x v="2"/>
    <n v="0"/>
    <n v="0"/>
    <s v="самоотвод"/>
    <d v="2023-11-22T00:00:00"/>
    <s v="исключение"/>
    <s v="протокол-№-22.11.2023"/>
  </r>
  <r>
    <s v="Функциональное направление 3"/>
    <n v="4"/>
    <d v="2019-09-26T00:00:00"/>
    <n v="1"/>
    <s v="не защищена"/>
    <n v="500354"/>
    <x v="57"/>
    <n v="18"/>
    <s v="Подразделение18"/>
    <s v="подразделение_2_уровня18"/>
    <s v="-"/>
    <s v="функциональный_руководитель_1"/>
    <n v="6"/>
    <s v="нет"/>
    <m/>
    <m/>
    <m/>
    <n v="58"/>
    <s v="Прохоров Прохор Прохорович"/>
    <n v="41"/>
    <s v="Кондратов Кондрат Кондратьевич"/>
    <s v="линейный_руководитель_2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54"/>
    <x v="57"/>
    <n v="18"/>
    <s v="Подразделение18"/>
    <s v="подразделение_2_уровня18"/>
    <s v="-"/>
    <s v="функциональный_руководитель_1"/>
    <n v="6"/>
    <s v="нет"/>
    <m/>
    <m/>
    <m/>
    <n v="58"/>
    <s v="Прохоров Прохор Прохорович"/>
    <n v="39"/>
    <s v="Кириллов Кирилл Кириллович"/>
    <s v="линейный_руководитель_2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354"/>
    <x v="57"/>
    <n v="18"/>
    <s v="Подразделение18"/>
    <s v="подразделение_2_уровня18"/>
    <s v="-"/>
    <s v="функциональный_руководитель_1"/>
    <n v="6"/>
    <s v="нет"/>
    <m/>
    <m/>
    <m/>
    <n v="58"/>
    <s v="Прохоров Прохор Прохорович"/>
    <n v="1162"/>
    <s v="Трофимов Савелий Ильич"/>
    <s v="Рабочий"/>
    <s v="Подразделение18"/>
    <x v="1"/>
    <x v="0"/>
    <n v="1"/>
    <n v="0"/>
    <m/>
    <m/>
    <s v="не рассматривали"/>
    <s v="протокол-№-22.11.2023"/>
  </r>
  <r>
    <s v="Функциональное направление 3"/>
    <n v="4"/>
    <d v="2019-09-26T00:00:00"/>
    <n v="1"/>
    <s v="не защищена"/>
    <n v="500355"/>
    <x v="58"/>
    <n v="18"/>
    <s v="Подразделение18"/>
    <s v="подразделение_2_уровня18"/>
    <s v="подразделение_3_уровня18"/>
    <s v="функциональный_руководитель_1"/>
    <n v="6"/>
    <s v="нет"/>
    <m/>
    <m/>
    <m/>
    <n v="59"/>
    <s v="Родионов Родион Родионович"/>
    <n v="36"/>
    <s v="Игнатьев Игнат Игнатович"/>
    <s v="линейный_руководитель_2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55"/>
    <x v="58"/>
    <n v="18"/>
    <s v="Подразделение18"/>
    <s v="подразделение_2_уровня18"/>
    <s v="подразделение_3_уровня18"/>
    <s v="функциональный_руководитель_1"/>
    <n v="6"/>
    <s v="нет"/>
    <m/>
    <m/>
    <m/>
    <n v="59"/>
    <s v="Родионов Родион Родионович"/>
    <n v="114"/>
    <s v="Трухачев Игорь Игоревич"/>
    <s v="линейный_руководитель_2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55"/>
    <x v="58"/>
    <n v="18"/>
    <s v="Подразделение18"/>
    <s v="подразделение_2_уровня18"/>
    <s v="подразделение_3_уровня18"/>
    <s v="функциональный_руководитель_1"/>
    <n v="6"/>
    <s v="нет"/>
    <m/>
    <m/>
    <m/>
    <n v="59"/>
    <s v="Родионов Родион Родионович"/>
    <n v="1152"/>
    <s v="Степанов Константин Тарасович"/>
    <s v="функциональный_руководитель_1"/>
    <s v="Подразделение18"/>
    <x v="1"/>
    <x v="2"/>
    <n v="0"/>
    <n v="0"/>
    <s v="назначение на равнозначную должность"/>
    <d v="2021-12-23T00:00:00"/>
    <s v="без изменений"/>
    <s v="протокол-№-09.10.2020"/>
  </r>
  <r>
    <s v="Функциональное направление 3"/>
    <n v="3"/>
    <d v="2018-11-22T00:00:00"/>
    <n v="1"/>
    <s v="не защищена"/>
    <n v="500366"/>
    <x v="59"/>
    <n v="1"/>
    <s v="Подразделение1"/>
    <s v="подразделение_2_уровня1"/>
    <s v="-"/>
    <s v="линейный_руководитель_3"/>
    <n v="5"/>
    <s v="нет"/>
    <m/>
    <m/>
    <m/>
    <n v="60"/>
    <s v="Русланов Руслан Русланович"/>
    <n v="105"/>
    <s v="Незнамов Денис Денисович"/>
    <s v="руководитель_среднего_уровня_3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366"/>
    <x v="59"/>
    <n v="1"/>
    <s v="Подразделение1"/>
    <s v="подразделение_2_уровня1"/>
    <s v="-"/>
    <s v="линейный_руководитель_3"/>
    <n v="5"/>
    <s v="нет"/>
    <m/>
    <m/>
    <m/>
    <n v="60"/>
    <s v="Русланов Руслан Русланович"/>
    <n v="1172"/>
    <s v="Карасев Лавр Геннадьевич"/>
    <s v="функциональный_руководитель_1"/>
    <s v="Подразделение_др3"/>
    <x v="1"/>
    <x v="2"/>
    <n v="1"/>
    <n v="0"/>
    <s v="прочее (перевод в другое СП / на другое предприятие)"/>
    <d v="2020-07-02T00:00:00"/>
    <s v="исключение"/>
    <s v="протокол-№-02.07.2020"/>
  </r>
  <r>
    <s v="Функциональное направление 3"/>
    <n v="4"/>
    <d v="2019-11-14T00:00:00"/>
    <n v="1"/>
    <s v="не защищена"/>
    <n v="500367"/>
    <x v="60"/>
    <n v="1"/>
    <s v="Подразделение1"/>
    <s v="подразделение_2_уровня1"/>
    <s v="-"/>
    <s v="руководитель_среднего_уровня_3"/>
    <n v="6"/>
    <s v="да"/>
    <d v="2020-09-01T00:00:00"/>
    <d v="2020-09-01T00:00:00"/>
    <s v="из резерва (учитываем)"/>
    <n v="61"/>
    <s v="Романов Роман Романович"/>
    <n v="106"/>
    <s v="Гуськов Дмитрий Дмитриевич"/>
    <s v="линейный_руководитель_2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67"/>
    <x v="60"/>
    <n v="1"/>
    <s v="Подразделение1"/>
    <s v="подразделение_2_уровня1"/>
    <s v="-"/>
    <s v="руководитель_среднего_уровня_3"/>
    <n v="6"/>
    <s v="да"/>
    <d v="2020-09-01T00:00:00"/>
    <d v="2020-09-01T00:00:00"/>
    <s v="из резерва (учитываем)"/>
    <n v="61"/>
    <s v="Романов Роман Романович"/>
    <n v="69"/>
    <s v="Тихонов Тихон Тихонович"/>
    <s v="линейный_руководитель_2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22-12-02T00:00:00"/>
    <n v="0"/>
    <s v="не защищена"/>
    <n v="500367"/>
    <x v="60"/>
    <n v="1"/>
    <s v="Подразделение1"/>
    <s v="подразделение_2_уровня1"/>
    <s v="-"/>
    <s v="руководитель_среднего_уровня_3"/>
    <n v="6"/>
    <s v="да"/>
    <d v="2020-09-01T00:00:00"/>
    <d v="2020-09-01T00:00:00"/>
    <s v="из резерва (учитываем)"/>
    <n v="61"/>
    <s v="Романов Роман Романович"/>
    <n v="131"/>
    <s v="Глебов Потап Егорович"/>
    <s v="линейный_руководитель_2"/>
    <s v="Подразделение1"/>
    <x v="0"/>
    <x v="0"/>
    <n v="1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67"/>
    <x v="60"/>
    <n v="1"/>
    <s v="Подразделение1"/>
    <s v="подразделение_2_уровня1"/>
    <s v="-"/>
    <s v="руководитель_среднего_уровня_3"/>
    <n v="6"/>
    <s v="да"/>
    <d v="2020-09-01T00:00:00"/>
    <d v="2020-09-01T00:00:00"/>
    <s v="из резерва (учитываем)"/>
    <n v="61"/>
    <s v="Романов Роман Романович"/>
    <n v="61"/>
    <s v="Романов Роман Романович"/>
    <s v="руководитель_среднего_уровня_3"/>
    <s v="Подразделение1"/>
    <x v="1"/>
    <x v="1"/>
    <n v="1"/>
    <n v="1"/>
    <s v="назначение на целевую должность"/>
    <d v="2020-09-01T00:00:00"/>
    <s v="исключение"/>
    <s v="протокол-№-28.10.2020"/>
  </r>
  <r>
    <s v="Функциональное направление 3"/>
    <n v="4"/>
    <d v="2019-11-14T00:00:00"/>
    <n v="0"/>
    <s v="не защищена"/>
    <n v="500367"/>
    <x v="60"/>
    <n v="1"/>
    <s v="Подразделение1"/>
    <s v="подразделение_2_уровня1"/>
    <s v="-"/>
    <s v="руководитель_среднего_уровня_3"/>
    <n v="6"/>
    <s v="да"/>
    <d v="2020-09-01T00:00:00"/>
    <d v="2020-09-01T00:00:00"/>
    <s v="из резерва (учитываем)"/>
    <n v="61"/>
    <s v="Романов Роман Романович"/>
    <n v="129"/>
    <s v="Исаев Еремей Константинович"/>
    <s v="линейный_руководитель_1"/>
    <s v="Подразделение1"/>
    <x v="1"/>
    <x v="2"/>
    <n v="1"/>
    <n v="0"/>
    <s v="назначение на целевую должность"/>
    <d v="2022-03-09T00:00:00"/>
    <s v="повышение"/>
    <s v="протокол-№-28.10.2020"/>
  </r>
  <r>
    <s v="Функциональное направление 3"/>
    <n v="4"/>
    <d v="2019-11-14T00:00:00"/>
    <n v="1"/>
    <s v="не защищена"/>
    <n v="500367"/>
    <x v="61"/>
    <n v="1"/>
    <s v="Подразделение1"/>
    <s v="подразделение_2_уровня1"/>
    <s v="-"/>
    <s v="руководитель_среднего_уровня_3"/>
    <n v="6"/>
    <s v="да"/>
    <d v="2022-08-01T00:00:00"/>
    <d v="2022-11-16T00:00:00"/>
    <s v="из резерва (учитываем)"/>
    <n v="62"/>
    <s v="Савельев Савелий Савельевич"/>
    <n v="106"/>
    <s v="Гуськов Дмитрий Дмитриевич"/>
    <s v="линейный_руководитель_2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67"/>
    <x v="61"/>
    <n v="1"/>
    <s v="Подразделение1"/>
    <s v="подразделение_2_уровня1"/>
    <s v="-"/>
    <s v="руководитель_среднего_уровня_3"/>
    <n v="6"/>
    <s v="да"/>
    <d v="2022-08-01T00:00:00"/>
    <d v="2022-11-16T00:00:00"/>
    <s v="из резерва (учитываем)"/>
    <n v="62"/>
    <s v="Савельев Савелий Савельевич"/>
    <n v="69"/>
    <s v="Тихонов Тихон Тихонович"/>
    <s v="линейный_руководитель_2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22-12-02T00:00:00"/>
    <n v="0"/>
    <s v="не защищена"/>
    <n v="500367"/>
    <x v="61"/>
    <n v="1"/>
    <s v="Подразделение1"/>
    <s v="подразделение_2_уровня1"/>
    <s v="-"/>
    <s v="руководитель_среднего_уровня_3"/>
    <n v="6"/>
    <s v="да"/>
    <d v="2022-08-01T00:00:00"/>
    <d v="2022-11-16T00:00:00"/>
    <s v="из резерва (учитываем)"/>
    <n v="62"/>
    <s v="Савельев Савелий Савельевич"/>
    <n v="131"/>
    <s v="Глебов Потап Егорович"/>
    <s v="линейный_руководитель_2"/>
    <s v="Подразделение1"/>
    <x v="0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67"/>
    <x v="61"/>
    <n v="1"/>
    <s v="Подразделение1"/>
    <s v="подразделение_2_уровня1"/>
    <s v="-"/>
    <s v="руководитель_среднего_уровня_3"/>
    <n v="6"/>
    <s v="да"/>
    <d v="2022-08-01T00:00:00"/>
    <d v="2022-11-16T00:00:00"/>
    <s v="из резерва (учитываем)"/>
    <n v="62"/>
    <s v="Савельев Савелий Савельевич"/>
    <n v="62"/>
    <s v="Савельев Савелий Савельевич"/>
    <s v="руководитель_среднего_уровня_3"/>
    <s v="Подразделение1"/>
    <x v="1"/>
    <x v="1"/>
    <n v="1"/>
    <n v="1"/>
    <s v="назначение на целевую должность"/>
    <d v="2022-11-16T00:00:00"/>
    <s v="без изменений"/>
    <s v="протокол-№-28.10.2020"/>
  </r>
  <r>
    <s v="Функциональное направление 3"/>
    <n v="4"/>
    <d v="2019-11-14T00:00:00"/>
    <n v="0"/>
    <s v="не защищена"/>
    <n v="500367"/>
    <x v="61"/>
    <n v="1"/>
    <s v="Подразделение1"/>
    <s v="подразделение_2_уровня1"/>
    <s v="-"/>
    <s v="руководитель_среднего_уровня_3"/>
    <n v="6"/>
    <s v="да"/>
    <d v="2022-08-01T00:00:00"/>
    <d v="2022-11-16T00:00:00"/>
    <s v="из резерва (учитываем)"/>
    <n v="62"/>
    <s v="Савельев Савелий Савельевич"/>
    <n v="129"/>
    <s v="Исаев Еремей Константинович"/>
    <s v="линейный_руководитель_1"/>
    <s v="Подразделение1"/>
    <x v="1"/>
    <x v="2"/>
    <n v="0"/>
    <n v="0"/>
    <s v="назначение на целевую должность"/>
    <d v="2022-03-09T00:00:00"/>
    <s v="повышение"/>
    <s v="протокол-№-28.10.2020"/>
  </r>
  <r>
    <s v="Функциональное направление 3"/>
    <n v="4"/>
    <d v="2019-11-14T00:00:00"/>
    <n v="1"/>
    <s v="не защищена"/>
    <n v="500367"/>
    <x v="62"/>
    <n v="1"/>
    <s v="Подразделение1"/>
    <s v="подразделение_2_уровня1"/>
    <s v="-"/>
    <s v="руководитель_среднего_уровня_3"/>
    <n v="6"/>
    <s v="нет"/>
    <m/>
    <m/>
    <m/>
    <n v="63"/>
    <s v="Семенов Семен Семенович"/>
    <n v="106"/>
    <s v="Гуськов Дмитрий Дмитриевич"/>
    <s v="линейный_руководитель_2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67"/>
    <x v="62"/>
    <n v="1"/>
    <s v="Подразделение1"/>
    <s v="подразделение_2_уровня1"/>
    <s v="-"/>
    <s v="руководитель_среднего_уровня_3"/>
    <n v="6"/>
    <s v="нет"/>
    <m/>
    <m/>
    <m/>
    <n v="63"/>
    <s v="Семенов Семен Семенович"/>
    <n v="69"/>
    <s v="Тихонов Тихон Тихонович"/>
    <s v="линейный_руководитель_2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22-12-02T00:00:00"/>
    <n v="0"/>
    <s v="не защищена"/>
    <n v="500367"/>
    <x v="62"/>
    <n v="1"/>
    <s v="Подразделение1"/>
    <s v="подразделение_2_уровня1"/>
    <s v="-"/>
    <s v="руководитель_среднего_уровня_3"/>
    <n v="6"/>
    <s v="нет"/>
    <m/>
    <m/>
    <m/>
    <n v="63"/>
    <s v="Семенов Семен Семенович"/>
    <n v="131"/>
    <s v="Глебов Потап Егорович"/>
    <s v="линейный_руководитель_2"/>
    <s v="Подразделение1"/>
    <x v="0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67"/>
    <x v="62"/>
    <n v="1"/>
    <s v="Подразделение1"/>
    <s v="подразделение_2_уровня1"/>
    <s v="-"/>
    <s v="руководитель_среднего_уровня_3"/>
    <n v="6"/>
    <s v="нет"/>
    <m/>
    <m/>
    <m/>
    <n v="63"/>
    <s v="Семенов Семен Семенович"/>
    <n v="129"/>
    <s v="Исаев Еремей Константинович"/>
    <s v="линейный_руководитель_1"/>
    <s v="Подразделение1"/>
    <x v="1"/>
    <x v="2"/>
    <n v="0"/>
    <n v="0"/>
    <s v="назначение на целевую должность"/>
    <d v="2022-03-09T00:00:00"/>
    <s v="повышение"/>
    <s v="протокол-№-28.10.2020"/>
  </r>
  <r>
    <s v="Функциональное направление 3"/>
    <n v="4"/>
    <d v="2022-12-02T00:00:00"/>
    <n v="1"/>
    <s v="не защищена"/>
    <n v="500368"/>
    <x v="63"/>
    <n v="1"/>
    <s v="Подразделение1"/>
    <s v="-"/>
    <s v="-"/>
    <s v="функциональный_руководитель_1"/>
    <n v="6"/>
    <s v="да"/>
    <d v="2022-08-11T00:00:00"/>
    <d v="2022-09-20T00:00:00"/>
    <s v="внутр. сотр. (не учитываем)"/>
    <n v="64"/>
    <s v="Сергеев Сергей Сергеевич"/>
    <n v="1173"/>
    <s v="Ветров Савелий Ефремович"/>
    <s v="Специалист"/>
    <s v="Подразделение1"/>
    <x v="2"/>
    <x v="0"/>
    <n v="1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68"/>
    <x v="63"/>
    <n v="1"/>
    <s v="Подразделение1"/>
    <s v="-"/>
    <s v="-"/>
    <s v="функциональный_руководитель_1"/>
    <n v="6"/>
    <s v="да"/>
    <d v="2022-08-11T00:00:00"/>
    <d v="2022-09-20T00:00:00"/>
    <s v="внутр. сотр. (не учитываем)"/>
    <n v="64"/>
    <s v="Сергеев Сергей Сергеевич"/>
    <n v="136"/>
    <s v="Конеев Владислав Иванович"/>
    <s v="Рабочий"/>
    <s v="Подразделение216"/>
    <x v="1"/>
    <x v="1"/>
    <n v="1"/>
    <n v="0"/>
    <s v="назначение на целевую должность"/>
    <d v="2020-11-16T00:00:00"/>
    <s v="без изменений"/>
    <s v="протокол-№-28.10.2020"/>
  </r>
  <r>
    <s v="Функциональное направление 3"/>
    <n v="4"/>
    <d v="2022-12-02T00:00:00"/>
    <n v="1"/>
    <s v="не защищена"/>
    <n v="500372"/>
    <x v="64"/>
    <n v="1"/>
    <s v="Подразделение1"/>
    <s v="подразделение_2_уровня1"/>
    <s v="-"/>
    <s v="линейный_руководитель_2"/>
    <n v="6"/>
    <s v="да"/>
    <d v="2022-11-25T00:00:00"/>
    <d v="2022-12-01T00:00:00"/>
    <s v="из резерва (учитываем)"/>
    <n v="65"/>
    <s v="Степанов Степан Степанович"/>
    <n v="1174"/>
    <s v="Ветров Виталий Кондратьевич"/>
    <s v="Рабочий"/>
    <s v="Подразделение1"/>
    <x v="2"/>
    <x v="0"/>
    <n v="1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2"/>
    <x v="64"/>
    <n v="1"/>
    <s v="Подразделение1"/>
    <s v="подразделение_2_уровня1"/>
    <s v="-"/>
    <s v="линейный_руководитель_2"/>
    <n v="6"/>
    <s v="да"/>
    <d v="2022-11-25T00:00:00"/>
    <d v="2022-12-01T00:00:00"/>
    <s v="из резерва (учитываем)"/>
    <n v="65"/>
    <s v="Степанов Степан Степанович"/>
    <n v="1175"/>
    <s v="Ветров Захар Владиславович"/>
    <s v="Рабочий"/>
    <s v="Подразделение1"/>
    <x v="2"/>
    <x v="0"/>
    <n v="1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2"/>
    <x v="64"/>
    <n v="1"/>
    <s v="Подразделение1"/>
    <s v="подразделение_2_уровня1"/>
    <s v="-"/>
    <s v="линейный_руководитель_2"/>
    <n v="6"/>
    <s v="да"/>
    <d v="2022-11-25T00:00:00"/>
    <d v="2022-12-01T00:00:00"/>
    <s v="из резерва (учитываем)"/>
    <n v="65"/>
    <s v="Степанов Степан Степанович"/>
    <n v="65"/>
    <s v="Степанов Степан Степанович"/>
    <s v="Рабочий"/>
    <s v="Подразделение1"/>
    <x v="1"/>
    <x v="1"/>
    <n v="1"/>
    <n v="1"/>
    <s v="назначение на целевую должность"/>
    <d v="2022-12-01T00:00:00"/>
    <s v="повышение"/>
    <s v="протокол-№-28.10.2020"/>
  </r>
  <r>
    <s v="Функциональное направление 3"/>
    <n v="4"/>
    <d v="2019-11-14T00:00:00"/>
    <n v="1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31T00:00:00"/>
    <d v="2022-08-15T00:00:00"/>
    <s v="из резерва (учитываем)"/>
    <n v="66"/>
    <s v="Сидоров Сидор Сидорович"/>
    <n v="1176"/>
    <s v="Ветров Трофим Маркович"/>
    <s v="Рабочий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31T00:00:00"/>
    <d v="2022-08-15T00:00:00"/>
    <s v="из резерва (учитываем)"/>
    <n v="66"/>
    <s v="Сидоров Сидор Сидорович"/>
    <n v="1177"/>
    <s v="Гуськов Арсений Кондратьевич"/>
    <s v="Рабочий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31T00:00:00"/>
    <d v="2022-08-15T00:00:00"/>
    <s v="из резерва (учитываем)"/>
    <n v="66"/>
    <s v="Сидоров Сидор Сидорович"/>
    <n v="1178"/>
    <s v="Игнатьев Ефрем Климович"/>
    <s v="Рабочий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31T00:00:00"/>
    <d v="2022-08-15T00:00:00"/>
    <s v="из резерва (учитываем)"/>
    <n v="66"/>
    <s v="Сидоров Сидор Сидорович"/>
    <n v="1179"/>
    <s v="Фирсов Савелий Геннадьевич"/>
    <s v="Рабочий"/>
    <s v="Подразделение1"/>
    <x v="1"/>
    <x v="0"/>
    <n v="1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6"/>
    <s v="Сидоров Сидор Сидорович"/>
    <n v="1180"/>
    <s v="Семенов Игнат Геннадьевич"/>
    <s v="Рабочий"/>
    <s v="Подразделение1"/>
    <x v="1"/>
    <x v="0"/>
    <n v="1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6"/>
    <s v="Сидоров Сидор Сидорович"/>
    <n v="1181"/>
    <s v="Дмитриев Матвей Никитинич"/>
    <s v="Рабочий"/>
    <s v="Подразделение1"/>
    <x v="1"/>
    <x v="0"/>
    <n v="1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6"/>
    <s v="Сидоров Сидор Сидорович"/>
    <n v="1182"/>
    <s v="Тимофеев Константин Геннадьевич"/>
    <s v="Рабочий"/>
    <s v="Подразделение1"/>
    <x v="2"/>
    <x v="0"/>
    <n v="1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6"/>
    <s v="Сидоров Сидор Сидорович"/>
    <n v="1183"/>
    <s v="Игнатьев Савелий Кондратьевич"/>
    <s v="Рабочий"/>
    <s v="Подразделение1"/>
    <x v="2"/>
    <x v="0"/>
    <n v="1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6"/>
    <s v="Сидоров Сидор Сидорович"/>
    <n v="1184"/>
    <s v="Кирюхин Афанасий Геннадьевич"/>
    <s v="Рабочий"/>
    <s v="Подразделение1"/>
    <x v="2"/>
    <x v="0"/>
    <n v="1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6"/>
    <s v="Сидоров Сидор Сидорович"/>
    <n v="1185"/>
    <s v="Игнатьев Кирилл Тарасович"/>
    <s v="Рабочий"/>
    <s v="Подразделение1"/>
    <x v="1"/>
    <x v="0"/>
    <n v="1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31T00:00:00"/>
    <d v="2022-08-15T00:00:00"/>
    <s v="из резерва (учитываем)"/>
    <n v="66"/>
    <s v="Сидоров Сидор Сидорович"/>
    <n v="66"/>
    <s v="Сидоров Сидор Сидорович"/>
    <s v="Рабочий"/>
    <s v="Подразделение1"/>
    <x v="1"/>
    <x v="1"/>
    <n v="1"/>
    <n v="1"/>
    <s v="назначение на целевую должность"/>
    <d v="2022-08-15T00:00:00"/>
    <s v="без изменений"/>
    <s v="протокол-№-28.10.2020"/>
  </r>
  <r>
    <s v="Функциональное направление 3"/>
    <n v="4"/>
    <d v="2021-10-27T00:00:00"/>
    <n v="0"/>
    <s v="не защищена"/>
    <n v="500373"/>
    <x v="65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31T00:00:00"/>
    <d v="2022-08-15T00:00:00"/>
    <s v="из резерва (учитываем)"/>
    <n v="66"/>
    <s v="Сидоров Сидор Сидорович"/>
    <n v="70"/>
    <s v="Трофимов Трофим Трофимович"/>
    <s v="линейный_руководитель_2"/>
    <s v="Подразделение1"/>
    <x v="1"/>
    <x v="1"/>
    <n v="1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68"/>
    <s v="Тимофеев Тимофей Тимофеевич"/>
    <s v="линейный_руководитель_2"/>
    <s v="Подразделение1"/>
    <x v="1"/>
    <x v="1"/>
    <n v="1"/>
    <n v="0"/>
    <s v="назначение на целевую должность"/>
    <d v="2020-11-16T00:00:00"/>
    <s v="исключение"/>
    <s v="протокол-№-28.10.2020"/>
  </r>
  <r>
    <s v="Функциональное направление 3"/>
    <n v="4"/>
    <d v="2021-10-27T00:00:00"/>
    <n v="0"/>
    <s v="не защищена"/>
    <n v="500373"/>
    <x v="66"/>
    <n v="1"/>
    <s v="Подразделение1"/>
    <s v="подразделение_2_уровня1"/>
    <s v="подразделение_3_уровня1"/>
    <s v="линейный_руководитель_1"/>
    <n v="6"/>
    <s v="да"/>
    <d v="2022-06-27T00:00:00"/>
    <d v="2022-07-19T00:00:00"/>
    <s v="из резерва (учитываем)"/>
    <n v="67"/>
    <s v="Тарасов Тарас Тарасо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4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3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3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3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21-10-27T00:00:00"/>
    <n v="0"/>
    <s v="не защищена"/>
    <n v="500373"/>
    <x v="67"/>
    <n v="1"/>
    <s v="Подразделение1"/>
    <s v="подразделение_2_уровня1"/>
    <s v="подразделение_3_уровня1"/>
    <s v="линейный_руководитель_1"/>
    <n v="6"/>
    <s v="да"/>
    <d v="2022-03-09T00:00:00"/>
    <d v="2022-06-27T00:00:00"/>
    <s v="ротация (не учитываем)"/>
    <n v="68"/>
    <s v="Тимофеев Тимофей Тимофее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21-10-27T00:00:00"/>
    <n v="0"/>
    <s v="не защищена"/>
    <n v="500374"/>
    <x v="68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69"/>
    <s v="Тихонов Тихон Тихоно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21-10-27T00:00:00"/>
    <n v="0"/>
    <s v="не защищена"/>
    <n v="500374"/>
    <x v="69"/>
    <n v="1"/>
    <s v="Подразделение1"/>
    <s v="подразделение_2_уровня1"/>
    <s v="подразделение_3_уровня1"/>
    <s v="линейный_руководитель_1"/>
    <n v="6"/>
    <s v="да"/>
    <d v="2022-11-16T00:00:00"/>
    <d v="2023-01-13T00:00:00"/>
    <s v="из резерва (учитываем)"/>
    <n v="70"/>
    <s v="Трофимов Трофим Трофимович"/>
    <n v="70"/>
    <s v="Трофимов Трофим Трофимович"/>
    <s v="линейный_руководитель_2"/>
    <s v="Подразделение1"/>
    <x v="1"/>
    <x v="1"/>
    <n v="0"/>
    <n v="1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21-10-27T00:00:00"/>
    <n v="0"/>
    <s v="не защищена"/>
    <n v="500375"/>
    <x v="7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1"/>
    <s v="Федоров Федор Федоро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72"/>
    <s v="Федотов Федот Федотович"/>
    <s v="линейный_руководитель_2"/>
    <s v="Подразделение1"/>
    <x v="1"/>
    <x v="1"/>
    <n v="1"/>
    <n v="1"/>
    <s v="назначение на целевую должность"/>
    <d v="2022-02-01T00:00:00"/>
    <s v="без изменений"/>
    <s v="протокол-№-28.10.2020"/>
  </r>
  <r>
    <s v="Функциональное направление 3"/>
    <n v="4"/>
    <d v="2021-10-27T00:00:00"/>
    <n v="0"/>
    <s v="не защищена"/>
    <n v="500375"/>
    <x v="71"/>
    <n v="1"/>
    <s v="Подразделение1"/>
    <s v="подразделение_2_уровня1"/>
    <s v="подразделение_3_уровня1"/>
    <s v="линейный_руководитель_1"/>
    <n v="6"/>
    <s v="да"/>
    <d v="2021-08-12T00:00:00"/>
    <d v="2022-02-01T00:00:00"/>
    <s v="из резерва (учитываем)"/>
    <n v="72"/>
    <s v="Федотов Федот Федото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21-10-27T00:00:00"/>
    <n v="0"/>
    <s v="не защищена"/>
    <n v="500375"/>
    <x v="72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73"/>
    <s v="Филатов Филат Филато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6"/>
    <x v="73"/>
    <n v="1"/>
    <s v="Подразделение1"/>
    <s v="подразделение_2_уровня1"/>
    <s v="подразделение_3_уровня1"/>
    <s v="линейный_руководитель_2"/>
    <n v="6"/>
    <s v="нет"/>
    <m/>
    <m/>
    <m/>
    <n v="74"/>
    <s v="Филиппов Филипп Филиппович"/>
    <n v="1186"/>
    <s v="Семенов Матвей Ильич"/>
    <s v="Рабочий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22-12-02T00:00:00"/>
    <n v="0"/>
    <s v="не защищена"/>
    <n v="500376"/>
    <x v="73"/>
    <n v="1"/>
    <s v="Подразделение1"/>
    <s v="подразделение_2_уровня1"/>
    <s v="подразделение_3_уровня1"/>
    <s v="линейный_руководитель_2"/>
    <n v="6"/>
    <s v="нет"/>
    <m/>
    <m/>
    <m/>
    <n v="74"/>
    <s v="Филиппов Филипп Филиппович"/>
    <n v="1187"/>
    <s v="Игнатьев Ефрем Игнатович"/>
    <s v="Рабочий"/>
    <s v="Подразделение1"/>
    <x v="2"/>
    <x v="0"/>
    <n v="1"/>
    <n v="0"/>
    <m/>
    <m/>
    <s v="не рассматривали"/>
    <s v="протокол-№-02.12.2023"/>
  </r>
  <r>
    <s v="Функциональное направление 3"/>
    <n v="4"/>
    <d v="2019-11-14T00:00:00"/>
    <n v="1"/>
    <s v="не защищена"/>
    <n v="500377"/>
    <x v="74"/>
    <n v="1"/>
    <s v="Подразделение1"/>
    <s v="подразделение_2_уровня1"/>
    <s v="-"/>
    <s v="линейный_руководитель_1"/>
    <n v="6"/>
    <s v="нет"/>
    <m/>
    <m/>
    <m/>
    <n v="75"/>
    <s v="Эдуардов Эдуард Эдуардович"/>
    <n v="1188"/>
    <s v="Карасев Матвей Михайлович"/>
    <s v="Рабочий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7"/>
    <x v="74"/>
    <n v="1"/>
    <s v="Подразделение1"/>
    <s v="подразделение_2_уровня1"/>
    <s v="-"/>
    <s v="линейный_руководитель_1"/>
    <n v="6"/>
    <s v="нет"/>
    <m/>
    <m/>
    <m/>
    <n v="75"/>
    <s v="Эдуардов Эдуард Эдуардович"/>
    <n v="1189"/>
    <s v="Исаев Трофим Маркович"/>
    <s v="Рабочий"/>
    <s v="Подразделение1"/>
    <x v="2"/>
    <x v="0"/>
    <n v="1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7"/>
    <x v="74"/>
    <n v="1"/>
    <s v="Подразделение1"/>
    <s v="подразделение_2_уровня1"/>
    <s v="-"/>
    <s v="линейный_руководитель_1"/>
    <n v="6"/>
    <s v="нет"/>
    <m/>
    <m/>
    <m/>
    <n v="75"/>
    <s v="Эдуардов Эдуард Эдуардович"/>
    <n v="79"/>
    <s v="Фирсов Александр Александрович"/>
    <s v="Рабочий"/>
    <s v="Подразделение1"/>
    <x v="1"/>
    <x v="2"/>
    <n v="1"/>
    <n v="0"/>
    <s v="назначение на целевую должность"/>
    <d v="2022-08-25T00:00:00"/>
    <s v="повышение"/>
    <s v="протокол-№-28.10.2020"/>
  </r>
  <r>
    <s v="Функциональное направление 3"/>
    <n v="4"/>
    <d v="2019-11-14T00:00:00"/>
    <n v="1"/>
    <s v="не защищена"/>
    <n v="500377"/>
    <x v="75"/>
    <n v="1"/>
    <s v="Подразделение1"/>
    <s v="подразделение_2_уровня1"/>
    <s v="-"/>
    <s v="линейный_руководитель_1"/>
    <n v="6"/>
    <s v="нет"/>
    <m/>
    <m/>
    <m/>
    <n v="76"/>
    <s v="Юрьев Юрий Юрьевич"/>
    <n v="1188"/>
    <s v="Карасев Матвей Михайл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7"/>
    <x v="75"/>
    <n v="1"/>
    <s v="Подразделение1"/>
    <s v="подразделение_2_уровня1"/>
    <s v="-"/>
    <s v="линейный_руководитель_1"/>
    <n v="6"/>
    <s v="нет"/>
    <m/>
    <m/>
    <m/>
    <n v="76"/>
    <s v="Юрьев Юрий Юрьевич"/>
    <n v="1189"/>
    <s v="Исаев Трофим Марко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7"/>
    <x v="75"/>
    <n v="1"/>
    <s v="Подразделение1"/>
    <s v="подразделение_2_уровня1"/>
    <s v="-"/>
    <s v="линейный_руководитель_1"/>
    <n v="6"/>
    <s v="нет"/>
    <m/>
    <m/>
    <m/>
    <n v="76"/>
    <s v="Юрьев Юрий Юрьевич"/>
    <n v="79"/>
    <s v="Фирсов Александр Александрович"/>
    <s v="Рабочий"/>
    <s v="Подразделение1"/>
    <x v="1"/>
    <x v="2"/>
    <n v="0"/>
    <n v="0"/>
    <s v="назначение на целевую должность"/>
    <d v="2022-08-25T00:00:00"/>
    <s v="повышение"/>
    <s v="протокол-№-28.10.2020"/>
  </r>
  <r>
    <s v="Функциональное направление 3"/>
    <n v="4"/>
    <d v="2019-11-14T00:00:00"/>
    <n v="1"/>
    <s v="не защищена"/>
    <n v="500377"/>
    <x v="76"/>
    <n v="1"/>
    <s v="Подразделение1"/>
    <s v="подразделение_2_уровня1"/>
    <s v="-"/>
    <s v="линейный_руководитель_1"/>
    <n v="6"/>
    <s v="нет"/>
    <m/>
    <m/>
    <m/>
    <n v="77"/>
    <s v="Ярославов Ярослав Ярославович"/>
    <n v="1188"/>
    <s v="Карасев Матвей Михайл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7"/>
    <x v="76"/>
    <n v="1"/>
    <s v="Подразделение1"/>
    <s v="подразделение_2_уровня1"/>
    <s v="-"/>
    <s v="линейный_руководитель_1"/>
    <n v="6"/>
    <s v="нет"/>
    <m/>
    <m/>
    <m/>
    <n v="77"/>
    <s v="Ярославов Ярослав Ярославович"/>
    <n v="1189"/>
    <s v="Исаев Трофим Марко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7"/>
    <x v="76"/>
    <n v="1"/>
    <s v="Подразделение1"/>
    <s v="подразделение_2_уровня1"/>
    <s v="-"/>
    <s v="линейный_руководитель_1"/>
    <n v="6"/>
    <s v="нет"/>
    <m/>
    <m/>
    <m/>
    <n v="77"/>
    <s v="Ярославов Ярослав Ярославович"/>
    <n v="79"/>
    <s v="Фирсов Александр Александрович"/>
    <s v="Рабочий"/>
    <s v="Подразделение1"/>
    <x v="1"/>
    <x v="2"/>
    <n v="0"/>
    <n v="0"/>
    <s v="назначение на целевую должность"/>
    <d v="2022-08-25T00:00:00"/>
    <s v="повышение"/>
    <s v="протокол-№-28.10.2020"/>
  </r>
  <r>
    <s v="Функциональное направление 3"/>
    <n v="4"/>
    <d v="2019-11-14T00:00:00"/>
    <n v="1"/>
    <s v="не защищена"/>
    <n v="500377"/>
    <x v="77"/>
    <n v="1"/>
    <s v="Подразделение1"/>
    <s v="подразделение_2_уровня1"/>
    <s v="-"/>
    <s v="линейный_руководитель_1"/>
    <n v="6"/>
    <s v="нет"/>
    <m/>
    <m/>
    <m/>
    <n v="78"/>
    <s v="Дорофеев Андрей Андреевич"/>
    <n v="1188"/>
    <s v="Карасев Матвей Михайл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22-12-02T00:00:00"/>
    <n v="0"/>
    <s v="не защищена"/>
    <n v="500377"/>
    <x v="77"/>
    <n v="1"/>
    <s v="Подразделение1"/>
    <s v="подразделение_2_уровня1"/>
    <s v="-"/>
    <s v="линейный_руководитель_1"/>
    <n v="6"/>
    <s v="нет"/>
    <m/>
    <m/>
    <m/>
    <n v="78"/>
    <s v="Дорофеев Андрей Андреевич"/>
    <n v="1189"/>
    <s v="Исаев Трофим Марко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7"/>
    <x v="77"/>
    <n v="1"/>
    <s v="Подразделение1"/>
    <s v="подразделение_2_уровня1"/>
    <s v="-"/>
    <s v="линейный_руководитель_1"/>
    <n v="6"/>
    <s v="нет"/>
    <m/>
    <m/>
    <m/>
    <n v="78"/>
    <s v="Дорофеев Андрей Андреевич"/>
    <n v="79"/>
    <s v="Фирсов Александр Александрович"/>
    <s v="Рабочий"/>
    <s v="Подразделение1"/>
    <x v="1"/>
    <x v="2"/>
    <n v="0"/>
    <n v="0"/>
    <s v="назначение на целевую должность"/>
    <d v="2022-08-25T00:00:00"/>
    <s v="повышение"/>
    <s v="протокол-№-28.10.2020"/>
  </r>
  <r>
    <s v="Функциональное направление 3"/>
    <n v="4"/>
    <d v="2019-11-14T00:00:00"/>
    <n v="1"/>
    <s v="не защищена"/>
    <n v="500379"/>
    <x v="78"/>
    <n v="1"/>
    <s v="Подразделение1"/>
    <s v="подразделение_2_уровня1"/>
    <s v="-"/>
    <s v="линейный_руководитель_2"/>
    <n v="6"/>
    <s v="да"/>
    <d v="2022-06-10T00:00:00"/>
    <d v="2022-08-25T00:00:00"/>
    <s v="из резерва (учитываем)"/>
    <n v="79"/>
    <s v="Фирсов Александр Александрович"/>
    <n v="1188"/>
    <s v="Карасев Матвей Михайлович"/>
    <s v="Рабочий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9"/>
    <x v="78"/>
    <n v="1"/>
    <s v="Подразделение1"/>
    <s v="подразделение_2_уровня1"/>
    <s v="-"/>
    <s v="линейный_руководитель_2"/>
    <n v="6"/>
    <s v="да"/>
    <d v="2022-06-10T00:00:00"/>
    <d v="2022-08-25T00:00:00"/>
    <s v="из резерва (учитываем)"/>
    <n v="79"/>
    <s v="Фирсов Александр Александрович"/>
    <n v="1189"/>
    <s v="Исаев Трофим Маркович"/>
    <s v="Рабочий"/>
    <s v="Подразделение1"/>
    <x v="2"/>
    <x v="0"/>
    <n v="1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9"/>
    <x v="78"/>
    <n v="1"/>
    <s v="Подразделение1"/>
    <s v="подразделение_2_уровня1"/>
    <s v="-"/>
    <s v="линейный_руководитель_2"/>
    <n v="6"/>
    <s v="да"/>
    <d v="2022-06-10T00:00:00"/>
    <d v="2022-08-25T00:00:00"/>
    <s v="из резерва (учитываем)"/>
    <n v="79"/>
    <s v="Фирсов Александр Александрович"/>
    <n v="79"/>
    <s v="Фирсов Александр Александрович"/>
    <s v="Рабочий"/>
    <s v="Подразделение1"/>
    <x v="1"/>
    <x v="1"/>
    <n v="1"/>
    <n v="1"/>
    <s v="назначение на целевую должность"/>
    <d v="2022-08-25T00:00:00"/>
    <s v="повышение"/>
    <s v="протокол-№-28.10.2020"/>
  </r>
  <r>
    <s v="Функциональное направление 3"/>
    <n v="4"/>
    <d v="2019-11-14T00:00:00"/>
    <n v="1"/>
    <s v="не защищена"/>
    <n v="500380"/>
    <x v="79"/>
    <n v="1"/>
    <s v="Подразделение1"/>
    <s v="подразделение_2_уровня1"/>
    <s v="-"/>
    <s v="линейный_руководитель_1"/>
    <n v="6"/>
    <s v="нет"/>
    <m/>
    <m/>
    <m/>
    <n v="80"/>
    <s v="Сиротин Алексей Алексеевич"/>
    <n v="1190"/>
    <s v="Игнатьев Арсений Владиславович"/>
    <s v="Рабочий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21-10-27T00:00:00"/>
    <n v="0"/>
    <s v="не защищена"/>
    <n v="500380"/>
    <x v="79"/>
    <n v="1"/>
    <s v="Подразделение1"/>
    <s v="подразделение_2_уровня1"/>
    <s v="-"/>
    <s v="линейный_руководитель_1"/>
    <n v="6"/>
    <s v="нет"/>
    <m/>
    <m/>
    <m/>
    <n v="80"/>
    <s v="Сиротин Алексей Алексеевич"/>
    <n v="1191"/>
    <s v="Степанов Роман Кондратьевич"/>
    <s v="Рабочий"/>
    <s v="Подразделение1"/>
    <x v="0"/>
    <x v="0"/>
    <n v="1"/>
    <n v="0"/>
    <m/>
    <m/>
    <s v="повышение"/>
    <s v="протокол-№-02.12.2023"/>
  </r>
  <r>
    <s v="Функциональное направление 3"/>
    <n v="4"/>
    <d v="2021-10-27T00:00:00"/>
    <n v="0"/>
    <s v="не защищена"/>
    <n v="500380"/>
    <x v="79"/>
    <n v="1"/>
    <s v="Подразделение1"/>
    <s v="подразделение_2_уровня1"/>
    <s v="-"/>
    <s v="линейный_руководитель_1"/>
    <n v="6"/>
    <s v="нет"/>
    <m/>
    <m/>
    <m/>
    <n v="80"/>
    <s v="Сиротин Алексей Алексеевич"/>
    <n v="1192"/>
    <s v="Трофимов Савелий Геннадьевич"/>
    <s v="Рабочий"/>
    <s v="Подразделение1"/>
    <x v="0"/>
    <x v="0"/>
    <n v="1"/>
    <n v="0"/>
    <m/>
    <m/>
    <s v="повышение"/>
    <s v="протокол-№-02.12.2023"/>
  </r>
  <r>
    <s v="Функциональное направление 3"/>
    <n v="4"/>
    <d v="2021-10-27T00:00:00"/>
    <n v="0"/>
    <s v="не защищена"/>
    <n v="500380"/>
    <x v="79"/>
    <n v="1"/>
    <s v="Подразделение1"/>
    <s v="подразделение_2_уровня1"/>
    <s v="-"/>
    <s v="линейный_руководитель_1"/>
    <n v="6"/>
    <s v="нет"/>
    <m/>
    <m/>
    <m/>
    <n v="80"/>
    <s v="Сиротин Алексей Алексеевич"/>
    <n v="1193"/>
    <s v="Ветров Трофим Георгиевич"/>
    <s v="Рабочий"/>
    <s v="Подразделение1"/>
    <x v="0"/>
    <x v="0"/>
    <n v="1"/>
    <n v="0"/>
    <m/>
    <m/>
    <s v="повышение"/>
    <s v="протокол-№-02.12.2023"/>
  </r>
  <r>
    <s v="Функциональное направление 3"/>
    <n v="4"/>
    <d v="2019-11-14T00:00:00"/>
    <n v="1"/>
    <s v="не защищена"/>
    <n v="500380"/>
    <x v="80"/>
    <n v="1"/>
    <s v="Подразделение1"/>
    <s v="подразделение_2_уровня1"/>
    <s v="-"/>
    <s v="линейный_руководитель_1"/>
    <n v="6"/>
    <s v="нет"/>
    <m/>
    <m/>
    <m/>
    <n v="81"/>
    <s v="Корнев Антон Антонович"/>
    <n v="1190"/>
    <s v="Игнатьев Арсений Владислав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21-10-27T00:00:00"/>
    <n v="0"/>
    <s v="не защищена"/>
    <n v="500380"/>
    <x v="80"/>
    <n v="1"/>
    <s v="Подразделение1"/>
    <s v="подразделение_2_уровня1"/>
    <s v="-"/>
    <s v="линейный_руководитель_1"/>
    <n v="6"/>
    <s v="нет"/>
    <m/>
    <m/>
    <m/>
    <n v="81"/>
    <s v="Корнев Антон Антонович"/>
    <n v="1191"/>
    <s v="Степанов Роман Кондратьевич"/>
    <s v="Рабочий"/>
    <s v="Подразделение1"/>
    <x v="0"/>
    <x v="0"/>
    <n v="0"/>
    <n v="0"/>
    <m/>
    <m/>
    <s v="повышение"/>
    <s v="протокол-№-02.12.2023"/>
  </r>
  <r>
    <s v="Функциональное направление 3"/>
    <n v="4"/>
    <d v="2021-10-27T00:00:00"/>
    <n v="0"/>
    <s v="не защищена"/>
    <n v="500380"/>
    <x v="80"/>
    <n v="1"/>
    <s v="Подразделение1"/>
    <s v="подразделение_2_уровня1"/>
    <s v="-"/>
    <s v="линейный_руководитель_1"/>
    <n v="6"/>
    <s v="нет"/>
    <m/>
    <m/>
    <m/>
    <n v="81"/>
    <s v="Корнев Антон Антонович"/>
    <n v="1192"/>
    <s v="Трофимов Савелий Геннадьевич"/>
    <s v="Рабочий"/>
    <s v="Подразделение1"/>
    <x v="0"/>
    <x v="0"/>
    <n v="0"/>
    <n v="0"/>
    <m/>
    <m/>
    <s v="повышение"/>
    <s v="протокол-№-02.12.2023"/>
  </r>
  <r>
    <s v="Функциональное направление 3"/>
    <n v="4"/>
    <d v="2021-10-27T00:00:00"/>
    <n v="0"/>
    <s v="не защищена"/>
    <n v="500380"/>
    <x v="80"/>
    <n v="1"/>
    <s v="Подразделение1"/>
    <s v="подразделение_2_уровня1"/>
    <s v="-"/>
    <s v="линейный_руководитель_1"/>
    <n v="6"/>
    <s v="нет"/>
    <m/>
    <m/>
    <m/>
    <n v="81"/>
    <s v="Корнев Антон Антонович"/>
    <n v="1193"/>
    <s v="Ветров Трофим Георгиевич"/>
    <s v="Рабочий"/>
    <s v="Подразделение1"/>
    <x v="0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1"/>
    <s v="не защищена"/>
    <n v="500380"/>
    <x v="81"/>
    <n v="1"/>
    <s v="Подразделение1"/>
    <s v="подразделение_2_уровня1"/>
    <s v="-"/>
    <s v="линейный_руководитель_1"/>
    <n v="6"/>
    <s v="нет"/>
    <m/>
    <m/>
    <m/>
    <n v="82"/>
    <s v="Кирюхин Артем Артемович"/>
    <n v="1190"/>
    <s v="Игнатьев Арсений Владислав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21-10-27T00:00:00"/>
    <n v="0"/>
    <s v="не защищена"/>
    <n v="500380"/>
    <x v="81"/>
    <n v="1"/>
    <s v="Подразделение1"/>
    <s v="подразделение_2_уровня1"/>
    <s v="-"/>
    <s v="линейный_руководитель_1"/>
    <n v="6"/>
    <s v="нет"/>
    <m/>
    <m/>
    <m/>
    <n v="82"/>
    <s v="Кирюхин Артем Артемович"/>
    <n v="1191"/>
    <s v="Степанов Роман Кондратьевич"/>
    <s v="Рабочий"/>
    <s v="Подразделение1"/>
    <x v="0"/>
    <x v="0"/>
    <n v="0"/>
    <n v="0"/>
    <m/>
    <m/>
    <s v="повышение"/>
    <s v="протокол-№-02.12.2023"/>
  </r>
  <r>
    <s v="Функциональное направление 3"/>
    <n v="4"/>
    <d v="2021-10-27T00:00:00"/>
    <n v="0"/>
    <s v="не защищена"/>
    <n v="500380"/>
    <x v="81"/>
    <n v="1"/>
    <s v="Подразделение1"/>
    <s v="подразделение_2_уровня1"/>
    <s v="-"/>
    <s v="линейный_руководитель_1"/>
    <n v="6"/>
    <s v="нет"/>
    <m/>
    <m/>
    <m/>
    <n v="82"/>
    <s v="Кирюхин Артем Артемович"/>
    <n v="1192"/>
    <s v="Трофимов Савелий Геннадьевич"/>
    <s v="Рабочий"/>
    <s v="Подразделение1"/>
    <x v="0"/>
    <x v="0"/>
    <n v="0"/>
    <n v="0"/>
    <m/>
    <m/>
    <s v="повышение"/>
    <s v="протокол-№-02.12.2023"/>
  </r>
  <r>
    <s v="Функциональное направление 3"/>
    <n v="4"/>
    <d v="2021-10-27T00:00:00"/>
    <n v="0"/>
    <s v="не защищена"/>
    <n v="500380"/>
    <x v="81"/>
    <n v="1"/>
    <s v="Подразделение1"/>
    <s v="подразделение_2_уровня1"/>
    <s v="-"/>
    <s v="линейный_руководитель_1"/>
    <n v="6"/>
    <s v="нет"/>
    <m/>
    <m/>
    <m/>
    <n v="82"/>
    <s v="Кирюхин Артем Артемович"/>
    <n v="1193"/>
    <s v="Ветров Трофим Георгиевич"/>
    <s v="Рабочий"/>
    <s v="Подразделение1"/>
    <x v="0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1"/>
    <s v="не защищена"/>
    <n v="500380"/>
    <x v="82"/>
    <n v="1"/>
    <s v="Подразделение1"/>
    <s v="подразделение_2_уровня1"/>
    <s v="-"/>
    <s v="линейный_руководитель_1"/>
    <n v="6"/>
    <s v="да"/>
    <d v="2022-09-20T00:00:00"/>
    <d v="2022-11-02T00:00:00"/>
    <s v="из резерва (учитываем)"/>
    <n v="83"/>
    <s v="Сорокин Анатолий Анатольевич"/>
    <n v="1190"/>
    <s v="Игнатьев Арсений Владислав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21-10-27T00:00:00"/>
    <n v="0"/>
    <s v="не защищена"/>
    <n v="500380"/>
    <x v="82"/>
    <n v="1"/>
    <s v="Подразделение1"/>
    <s v="подразделение_2_уровня1"/>
    <s v="-"/>
    <s v="линейный_руководитель_1"/>
    <n v="6"/>
    <s v="да"/>
    <d v="2022-09-20T00:00:00"/>
    <d v="2022-11-02T00:00:00"/>
    <s v="из резерва (учитываем)"/>
    <n v="83"/>
    <s v="Сорокин Анатолий Анатольевич"/>
    <n v="1191"/>
    <s v="Степанов Роман Кондратьевич"/>
    <s v="Рабочий"/>
    <s v="Подразделение1"/>
    <x v="0"/>
    <x v="0"/>
    <n v="0"/>
    <n v="0"/>
    <m/>
    <m/>
    <s v="повышение"/>
    <s v="протокол-№-02.12.2023"/>
  </r>
  <r>
    <s v="Функциональное направление 3"/>
    <n v="4"/>
    <d v="2021-10-27T00:00:00"/>
    <n v="0"/>
    <s v="не защищена"/>
    <n v="500380"/>
    <x v="82"/>
    <n v="1"/>
    <s v="Подразделение1"/>
    <s v="подразделение_2_уровня1"/>
    <s v="-"/>
    <s v="линейный_руководитель_1"/>
    <n v="6"/>
    <s v="да"/>
    <d v="2022-09-20T00:00:00"/>
    <d v="2022-11-02T00:00:00"/>
    <s v="из резерва (учитываем)"/>
    <n v="83"/>
    <s v="Сорокин Анатолий Анатольевич"/>
    <n v="1192"/>
    <s v="Трофимов Савелий Геннадьевич"/>
    <s v="Рабочий"/>
    <s v="Подразделение1"/>
    <x v="0"/>
    <x v="0"/>
    <n v="0"/>
    <n v="0"/>
    <m/>
    <m/>
    <s v="повышение"/>
    <s v="протокол-№-02.12.2023"/>
  </r>
  <r>
    <s v="Функциональное направление 3"/>
    <n v="4"/>
    <d v="2021-10-27T00:00:00"/>
    <n v="0"/>
    <s v="не защищена"/>
    <n v="500380"/>
    <x v="82"/>
    <n v="1"/>
    <s v="Подразделение1"/>
    <s v="подразделение_2_уровня1"/>
    <s v="-"/>
    <s v="линейный_руководитель_1"/>
    <n v="6"/>
    <s v="да"/>
    <d v="2022-09-20T00:00:00"/>
    <d v="2022-11-02T00:00:00"/>
    <s v="из резерва (учитываем)"/>
    <n v="83"/>
    <s v="Сорокин Анатолий Анатольевич"/>
    <n v="1193"/>
    <s v="Ветров Трофим Георгиевич"/>
    <s v="Рабочий"/>
    <s v="Подразделение1"/>
    <x v="0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80"/>
    <x v="82"/>
    <n v="1"/>
    <s v="Подразделение1"/>
    <s v="подразделение_2_уровня1"/>
    <s v="-"/>
    <s v="линейный_руководитель_1"/>
    <n v="6"/>
    <s v="да"/>
    <d v="2022-09-20T00:00:00"/>
    <d v="2022-11-02T00:00:00"/>
    <s v="из резерва (учитываем)"/>
    <n v="83"/>
    <s v="Сорокин Анатолий Анатольевич"/>
    <n v="83"/>
    <s v="Сорокин Анатолий Анатольевич"/>
    <s v="линейный_руководитель_2"/>
    <s v="Подразделение1"/>
    <x v="1"/>
    <x v="1"/>
    <n v="1"/>
    <n v="1"/>
    <s v="назначение на целевую должность"/>
    <d v="2022-11-02T00:00:00"/>
    <s v="без изменений"/>
    <s v="протокол-№-28.10.2020"/>
  </r>
  <r>
    <s v="Функциональное направление 3"/>
    <n v="4"/>
    <d v="2019-11-14T00:00:00"/>
    <n v="1"/>
    <s v="не защищена"/>
    <n v="500381"/>
    <x v="83"/>
    <n v="1"/>
    <s v="Подразделение1"/>
    <s v="подразделение_2_уровня1"/>
    <s v="-"/>
    <s v="линейный_руководитель_2"/>
    <n v="7"/>
    <s v="нет"/>
    <m/>
    <m/>
    <m/>
    <n v="84"/>
    <s v="Поминов Арсений Арсеньевич"/>
    <n v="1194"/>
    <s v="Семенов Юрий Кондратьевич"/>
    <s v="Рабочий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19-11-14T00:00:00"/>
    <n v="1"/>
    <s v="не защищена"/>
    <n v="500382"/>
    <x v="84"/>
    <n v="1"/>
    <s v="Подразделение1"/>
    <s v="подразделение_2_уровня1"/>
    <s v="-"/>
    <s v="линейный_руководитель_2"/>
    <n v="7"/>
    <s v="нет"/>
    <m/>
    <m/>
    <m/>
    <n v="85"/>
    <s v="Голубых Афанасий Афанасьевич"/>
    <n v="1194"/>
    <s v="Семенов Юр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1"/>
    <s v="не защищена"/>
    <n v="500383"/>
    <x v="85"/>
    <n v="1"/>
    <s v="Подразделение1"/>
    <s v="подразделение_2_уровня1"/>
    <s v="-"/>
    <s v="линейный_руководитель_2"/>
    <n v="7"/>
    <s v="нет"/>
    <m/>
    <m/>
    <m/>
    <n v="86"/>
    <s v="Красных Борис Борисович"/>
    <n v="1195"/>
    <s v="Игнатьев Юрий Ефремович"/>
    <s v="Рабочий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20-10-09T00:00:00"/>
    <n v="1"/>
    <s v="не защищена"/>
    <n v="500384"/>
    <x v="86"/>
    <n v="1"/>
    <s v="Подразделение1"/>
    <s v="подразделение_2_уровня1"/>
    <s v="-"/>
    <s v="линейный_руководитель_2"/>
    <n v="7"/>
    <s v="нет"/>
    <m/>
    <m/>
    <m/>
    <n v="87"/>
    <s v="Бураков Богдан Богданович"/>
    <n v="1196"/>
    <s v="Игнатьев Арсений Семенович"/>
    <s v="Специалист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21-10-27T00:00:00"/>
    <n v="0"/>
    <s v="не защищена"/>
    <n v="500384"/>
    <x v="86"/>
    <n v="1"/>
    <s v="Подразделение1"/>
    <s v="подразделение_2_уровня1"/>
    <s v="-"/>
    <s v="линейный_руководитель_2"/>
    <n v="7"/>
    <s v="нет"/>
    <m/>
    <m/>
    <m/>
    <n v="87"/>
    <s v="Бураков Богдан Богданович"/>
    <n v="1197"/>
    <s v="Дмитриев Арсений Кузьмич"/>
    <s v="Рабочий"/>
    <s v="Подразделение1"/>
    <x v="2"/>
    <x v="0"/>
    <n v="1"/>
    <n v="0"/>
    <m/>
    <m/>
    <s v="не рассматривали"/>
    <s v="протокол-№-27.10.2021"/>
  </r>
  <r>
    <s v="Функциональное направление 3"/>
    <n v="4"/>
    <d v="2020-10-21T00:00:00"/>
    <n v="1"/>
    <s v="не защищена"/>
    <n v="500044"/>
    <x v="87"/>
    <n v="2"/>
    <s v="Подразделение2"/>
    <s v="подразделение_2_уровня2"/>
    <s v="-"/>
    <s v="руководитель_среднего_уровня_4"/>
    <n v="6"/>
    <s v="да"/>
    <d v="2020-09-01T00:00:00"/>
    <d v="2020-09-01T00:00:00"/>
    <s v="из резерва (учитываем)"/>
    <n v="88"/>
    <s v="Ветров Вадим Вадимович"/>
    <n v="1198"/>
    <s v="Федотов Матвей Кондратьевич"/>
    <s v="функциональный_руководитель_1"/>
    <s v="Подразделение2"/>
    <x v="0"/>
    <x v="0"/>
    <n v="1"/>
    <n v="0"/>
    <m/>
    <m/>
    <s v="повышение"/>
    <s v="протокол-№-15.11.2023"/>
  </r>
  <r>
    <s v="Функциональное направление 3"/>
    <n v="4"/>
    <d v="2019-11-22T00:00:00"/>
    <n v="0"/>
    <s v="не защищена"/>
    <n v="500044"/>
    <x v="87"/>
    <n v="2"/>
    <s v="Подразделение2"/>
    <s v="подразделение_2_уровня2"/>
    <s v="-"/>
    <s v="руководитель_среднего_уровня_4"/>
    <n v="6"/>
    <s v="да"/>
    <d v="2020-09-01T00:00:00"/>
    <d v="2020-09-01T00:00:00"/>
    <s v="из резерва (учитываем)"/>
    <n v="88"/>
    <s v="Ветров Вадим Вадимович"/>
    <n v="1199"/>
    <s v="Семенов Савелий Александрович"/>
    <s v="Рабочий"/>
    <s v="Подразделение2"/>
    <x v="0"/>
    <x v="0"/>
    <n v="1"/>
    <n v="0"/>
    <m/>
    <m/>
    <s v="повышение"/>
    <s v="протокол-№-15.11.2023"/>
  </r>
  <r>
    <s v="Функциональное направление 3"/>
    <n v="4"/>
    <d v="2019-11-22T00:00:00"/>
    <n v="0"/>
    <s v="не защищена"/>
    <n v="500044"/>
    <x v="87"/>
    <n v="2"/>
    <s v="Подразделение2"/>
    <s v="подразделение_2_уровня2"/>
    <s v="-"/>
    <s v="руководитель_среднего_уровня_4"/>
    <n v="6"/>
    <s v="да"/>
    <d v="2020-09-01T00:00:00"/>
    <d v="2020-09-01T00:00:00"/>
    <s v="из резерва (учитываем)"/>
    <n v="88"/>
    <s v="Ветров Вадим Вадимович"/>
    <n v="88"/>
    <s v="Ветров Вадим Вадимович"/>
    <s v="Рабочий"/>
    <s v="Подразделение2"/>
    <x v="2"/>
    <x v="1"/>
    <n v="1"/>
    <n v="1"/>
    <s v="назначение на целевую должность"/>
    <d v="2020-09-01T00:00:00"/>
    <s v="не рассматривали"/>
    <s v="протокол-№-22.11.2019"/>
  </r>
  <r>
    <s v="Функциональное направление 3"/>
    <n v="4"/>
    <d v="2019-11-22T00:00:00"/>
    <n v="1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0"/>
    <s v="Брежнев Савелий Кондратьевич"/>
    <s v="Рабочий"/>
    <s v="Подразделение2"/>
    <x v="2"/>
    <x v="0"/>
    <n v="1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1"/>
    <s v="Ветров Трофим Никитинич"/>
    <s v="Рабочий"/>
    <s v="Подразделение2"/>
    <x v="0"/>
    <x v="0"/>
    <n v="1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2"/>
    <s v="Игнатьев Савелий Кондрат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19"/>
    <s v="Булкин Константин Константинович"/>
    <s v="Рабочий"/>
    <s v="Подразделение2"/>
    <x v="0"/>
    <x v="1"/>
    <n v="1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3"/>
    <s v="Игнатьев Трофим Кондратье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4"/>
    <s v="Прохоров Роман Кондратье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5"/>
    <s v="Коровкин Ефрем Кондратье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3-03-27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6"/>
    <s v="Игорев Геннадий Кондратьевич"/>
    <s v="Рабочий"/>
    <s v="Подразделение2"/>
    <x v="2"/>
    <x v="0"/>
    <n v="1"/>
    <n v="0"/>
    <m/>
    <m/>
    <s v="не рассматривали"/>
    <s v="протокол-№-15.11.2023-ДОП"/>
  </r>
  <r>
    <s v="Функциональное направление 3"/>
    <n v="4"/>
    <d v="2023-03-27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7"/>
    <s v="Коровкин Савелий Тарасович"/>
    <s v="Рабочий"/>
    <s v="Подразделение2"/>
    <x v="2"/>
    <x v="0"/>
    <n v="1"/>
    <n v="0"/>
    <m/>
    <m/>
    <s v="не рассматривали"/>
    <s v="протокол-№-15.11.2023-ДОП"/>
  </r>
  <r>
    <s v="Функциональное направление 3"/>
    <n v="4"/>
    <d v="2019-11-22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10"/>
    <s v="Вобликов Ефрем Ефремович"/>
    <s v="руководитель_среднего_уровня_3"/>
    <s v="Подразделение2"/>
    <x v="1"/>
    <x v="1"/>
    <n v="1"/>
    <n v="0"/>
    <s v="назначение на целевую должность"/>
    <d v="2021-06-25T00:00:00"/>
    <s v="не рассматривали"/>
    <s v="протокол-№-22.11.2019"/>
  </r>
  <r>
    <s v="Функциональное направление 3"/>
    <n v="4"/>
    <d v="2019-11-22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92"/>
    <s v="Зверев Вениамин Вениаминович"/>
    <s v="линейный_руководитель_2"/>
    <s v="Подразделение2"/>
    <x v="1"/>
    <x v="1"/>
    <n v="1"/>
    <n v="0"/>
    <s v="назначение на целевую должность"/>
    <d v="2022-11-01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89"/>
    <s v="Брежнев Валерий Валерьевич"/>
    <s v="Рабочий"/>
    <s v="Подразделение2"/>
    <x v="1"/>
    <x v="1"/>
    <n v="1"/>
    <n v="1"/>
    <s v="назначение на целевую должность"/>
    <d v="2021-10-26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8"/>
    <s v="Коровкин Геннадий Константинович"/>
    <s v="линейный_руководитель_2"/>
    <s v="Подразделение2"/>
    <x v="0"/>
    <x v="2"/>
    <n v="1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09"/>
    <s v="Тимофеев Андрей Михайлович"/>
    <s v="линейный_руководитель_2"/>
    <s v="Подразделение2"/>
    <x v="2"/>
    <x v="2"/>
    <n v="1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517"/>
    <x v="88"/>
    <n v="2"/>
    <s v="Подразделение2"/>
    <s v="подразделение_2_уровня2"/>
    <s v="подразделение_3_уровня2"/>
    <s v="линейный_руководитель_1"/>
    <n v="6"/>
    <s v="да"/>
    <d v="2021-04-20T00:00:00"/>
    <d v="2021-06-25T00:00:00"/>
    <s v="из резерва (учитываем)"/>
    <n v="89"/>
    <s v="Брежнев Валерий Валерьевич"/>
    <n v="1210"/>
    <s v="Гуськов Илья Ильич"/>
    <s v="линейный_руководитель_2"/>
    <s v="Подразделение2"/>
    <x v="2"/>
    <x v="2"/>
    <n v="1"/>
    <n v="0"/>
    <s v="увольнение"/>
    <d v="2022-05-20T00:00:00"/>
    <s v="не рассматривали"/>
    <s v="протокол-№-26.10.2021"/>
  </r>
  <r>
    <s v="Функциональное направление 3"/>
    <n v="4"/>
    <d v="2019-11-22T00:00:00"/>
    <n v="1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0"/>
    <s v="Брежнев Савел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1"/>
    <s v="Ветров Трофим Никитин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2"/>
    <s v="Игнатьев Савелий Кондрат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19"/>
    <s v="Булкин Константин Константинович"/>
    <s v="Рабочий"/>
    <s v="Подразделение2"/>
    <x v="0"/>
    <x v="1"/>
    <n v="0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3"/>
    <s v="Игнатьев Трофи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4"/>
    <s v="Прохоров Роман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5"/>
    <s v="Коровкин Ефре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3-03-27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23-03-27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7"/>
    <s v="Коровкин Савелий Тарасо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19-11-22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92"/>
    <s v="Зверев Вениамин Вениаминович"/>
    <s v="линейный_руководитель_2"/>
    <s v="Подразделение2"/>
    <x v="1"/>
    <x v="1"/>
    <n v="0"/>
    <n v="0"/>
    <s v="назначение на целевую должность"/>
    <d v="2022-11-01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8"/>
    <s v="Коровкин Геннадий Константинович"/>
    <s v="линейный_руководитель_2"/>
    <s v="Подразделение2"/>
    <x v="0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19-11-22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89"/>
    <s v="Брежнев Валерий Валерьевич"/>
    <s v="Рабочий"/>
    <s v="Подразделение2"/>
    <x v="1"/>
    <x v="2"/>
    <n v="0"/>
    <n v="0"/>
    <s v="назначение на целевую должность"/>
    <d v="2021-10-26T00:00:00"/>
    <s v="повышение"/>
    <s v="протокол-№-21.10.2020"/>
  </r>
  <r>
    <s v="Функциональное направление 3"/>
    <n v="4"/>
    <d v="2021-10-26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09"/>
    <s v="Тимофеев Андрей Михайлович"/>
    <s v="линейный_руководитель_2"/>
    <s v="Подразделение2"/>
    <x v="2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517"/>
    <x v="8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90"/>
    <s v="Жбанов Василий Васильевич"/>
    <n v="1210"/>
    <s v="Гуськов Илья Ильич"/>
    <s v="линейный_руководитель_2"/>
    <s v="Подразделение2"/>
    <x v="2"/>
    <x v="2"/>
    <n v="0"/>
    <n v="0"/>
    <s v="увольнение"/>
    <d v="2022-05-20T00:00:00"/>
    <s v="не рассматривали"/>
    <s v="протокол-№-26.10.2021"/>
  </r>
  <r>
    <s v="Функциональное направление 3"/>
    <n v="4"/>
    <d v="2019-11-22T00:00:00"/>
    <n v="1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0"/>
    <s v="Брежнев Савел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1"/>
    <s v="Ветров Трофим Никитин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2"/>
    <s v="Игнатьев Савелий Кондрат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19"/>
    <s v="Булкин Константин Константинович"/>
    <s v="Рабочий"/>
    <s v="Подразделение2"/>
    <x v="0"/>
    <x v="1"/>
    <n v="0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3"/>
    <s v="Игнатьев Трофи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4"/>
    <s v="Прохоров Роман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5"/>
    <s v="Коровкин Ефре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3-03-27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23-03-27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7"/>
    <s v="Коровкин Савелий Тарасо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19-11-22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92"/>
    <s v="Зверев Вениамин Вениаминович"/>
    <s v="линейный_руководитель_2"/>
    <s v="Подразделение2"/>
    <x v="1"/>
    <x v="1"/>
    <n v="0"/>
    <n v="0"/>
    <s v="назначение на целевую должность"/>
    <d v="2022-11-01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8"/>
    <s v="Коровкин Геннадий Константинович"/>
    <s v="линейный_руководитель_2"/>
    <s v="Подразделение2"/>
    <x v="0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19-11-22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89"/>
    <s v="Брежнев Валерий Валерьевич"/>
    <s v="Рабочий"/>
    <s v="Подразделение2"/>
    <x v="1"/>
    <x v="2"/>
    <n v="0"/>
    <n v="0"/>
    <s v="назначение на целевую должность"/>
    <d v="2021-10-26T00:00:00"/>
    <s v="повышение"/>
    <s v="протокол-№-21.10.2020"/>
  </r>
  <r>
    <s v="Функциональное направление 3"/>
    <n v="4"/>
    <d v="2021-10-26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09"/>
    <s v="Тимофеев Андрей Михайлович"/>
    <s v="линейный_руководитель_2"/>
    <s v="Подразделение2"/>
    <x v="2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517"/>
    <x v="90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06-01T00:00:00"/>
    <s v="ротация (не учитываем)"/>
    <n v="91"/>
    <s v="Кулешов Венедикт Венедиктович"/>
    <n v="1210"/>
    <s v="Гуськов Илья Ильич"/>
    <s v="линейный_руководитель_2"/>
    <s v="Подразделение2"/>
    <x v="2"/>
    <x v="2"/>
    <n v="0"/>
    <n v="0"/>
    <s v="увольнение"/>
    <d v="2022-05-20T00:00:00"/>
    <s v="не рассматривали"/>
    <s v="протокол-№-26.10.2021"/>
  </r>
  <r>
    <s v="Функциональное направление 3"/>
    <n v="4"/>
    <d v="2019-11-22T00:00:00"/>
    <n v="1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0"/>
    <s v="Брежнев Савел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1"/>
    <s v="Ветров Трофим Никитин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2"/>
    <s v="Игнатьев Савелий Кондрат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19"/>
    <s v="Булкин Константин Константинович"/>
    <s v="Рабочий"/>
    <s v="Подразделение2"/>
    <x v="0"/>
    <x v="1"/>
    <n v="0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3"/>
    <s v="Игнатьев Трофи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4"/>
    <s v="Прохоров Роман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5"/>
    <s v="Коровкин Ефре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3-03-27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23-03-27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7"/>
    <s v="Коровкин Савелий Тарасо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19-11-22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92"/>
    <s v="Зверев Вениамин Вениаминович"/>
    <s v="линейный_руководитель_2"/>
    <s v="Подразделение2"/>
    <x v="1"/>
    <x v="1"/>
    <n v="0"/>
    <n v="1"/>
    <s v="назначение на целевую должность"/>
    <d v="2022-11-01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8"/>
    <s v="Коровкин Геннадий Константинович"/>
    <s v="линейный_руководитель_2"/>
    <s v="Подразделение2"/>
    <x v="0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19-11-22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89"/>
    <s v="Брежнев Валерий Валерьевич"/>
    <s v="Рабочий"/>
    <s v="Подразделение2"/>
    <x v="1"/>
    <x v="2"/>
    <n v="0"/>
    <n v="0"/>
    <s v="назначение на целевую должность"/>
    <d v="2021-10-26T00:00:00"/>
    <s v="повышение"/>
    <s v="протокол-№-21.10.2020"/>
  </r>
  <r>
    <s v="Функциональное направление 3"/>
    <n v="4"/>
    <d v="2021-10-26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09"/>
    <s v="Тимофеев Андрей Михайлович"/>
    <s v="линейный_руководитель_2"/>
    <s v="Подразделение2"/>
    <x v="2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517"/>
    <x v="91"/>
    <n v="2"/>
    <s v="Подразделение2"/>
    <s v="подразделение_2_уровня2"/>
    <s v="подразделение_3_уровня2"/>
    <s v="линейный_руководитель_1"/>
    <n v="6"/>
    <s v="да"/>
    <d v="2022-06-01T00:00:00"/>
    <d v="2022-11-01T00:00:00"/>
    <s v="из резерва (учитываем)"/>
    <n v="92"/>
    <s v="Зверев Вениамин Вениаминович"/>
    <n v="1210"/>
    <s v="Гуськов Илья Ильич"/>
    <s v="линейный_руководитель_2"/>
    <s v="Подразделение2"/>
    <x v="2"/>
    <x v="2"/>
    <n v="0"/>
    <n v="0"/>
    <s v="увольнение"/>
    <d v="2022-05-20T00:00:00"/>
    <s v="не рассматривали"/>
    <s v="протокол-№-26.10.2021"/>
  </r>
  <r>
    <s v="Функциональное направление 3"/>
    <n v="3"/>
    <d v="2018-11-22T00:00:00"/>
    <n v="1"/>
    <s v="не защищена"/>
    <n v="500052"/>
    <x v="92"/>
    <n v="1"/>
    <s v="Подразделение1"/>
    <s v="подразделение_2_уровня1"/>
    <s v="-"/>
    <s v="руководитель_среднего_уровня_4"/>
    <n v="5"/>
    <s v="нет"/>
    <m/>
    <m/>
    <m/>
    <n v="93"/>
    <s v="Сысоев Виктор Викторович"/>
    <n v="108"/>
    <s v="Потрясаев Емельян Емельянович"/>
    <s v="линейный_руководитель_2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1"/>
    <s v="не защищена"/>
    <n v="500053"/>
    <x v="93"/>
    <n v="1"/>
    <s v="Подразделение1"/>
    <s v="подразделение_2_уровня1"/>
    <s v="-"/>
    <s v="руководитель_среднего_уровня_4"/>
    <n v="5"/>
    <s v="нет"/>
    <m/>
    <m/>
    <m/>
    <n v="94"/>
    <s v="Сорокин Виталий Витальевич"/>
    <n v="83"/>
    <s v="Сорокин Анатолий Анатольевич"/>
    <s v="линейный_руководитель_2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053"/>
    <x v="93"/>
    <n v="1"/>
    <s v="Подразделение1"/>
    <s v="подразделение_2_уровня1"/>
    <s v="-"/>
    <s v="руководитель_среднего_уровня_4"/>
    <n v="5"/>
    <s v="нет"/>
    <m/>
    <m/>
    <m/>
    <n v="94"/>
    <s v="Сорокин Виталий Витальевич"/>
    <n v="82"/>
    <s v="Кирюхин Артем Артемович"/>
    <s v="линейный_руководитель_2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053"/>
    <x v="93"/>
    <n v="1"/>
    <s v="Подразделение1"/>
    <s v="подразделение_2_уровня1"/>
    <s v="-"/>
    <s v="руководитель_среднего_уровня_4"/>
    <n v="5"/>
    <s v="нет"/>
    <m/>
    <m/>
    <m/>
    <n v="94"/>
    <s v="Сорокин Виталий Витальевич"/>
    <n v="64"/>
    <s v="Сергеев Сергей Сергеевич"/>
    <s v="функциональный_руководитель_1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22-06-27T00:00:00"/>
    <n v="0"/>
    <s v="не защищена"/>
    <n v="500053"/>
    <x v="93"/>
    <n v="1"/>
    <s v="Подразделение1"/>
    <s v="подразделение_2_уровня1"/>
    <s v="-"/>
    <s v="руководитель_среднего_уровня_4"/>
    <n v="5"/>
    <s v="нет"/>
    <m/>
    <m/>
    <m/>
    <n v="94"/>
    <s v="Сорокин Виталий Витальевич"/>
    <n v="81"/>
    <s v="Корнев Антон Антонович"/>
    <s v="линейный_руководитель_2"/>
    <s v="Подразделение1"/>
    <x v="2"/>
    <x v="0"/>
    <n v="1"/>
    <n v="0"/>
    <m/>
    <m/>
    <s v="не рассматривали"/>
    <s v="протокол-№-27.06.2023"/>
  </r>
  <r>
    <s v="Функциональное направление 3"/>
    <n v="3"/>
    <d v="2018-11-22T00:00:00"/>
    <n v="1"/>
    <s v="не защищена"/>
    <n v="500054"/>
    <x v="94"/>
    <n v="1"/>
    <s v="Подразделение1"/>
    <s v="подразделение_2_уровня1"/>
    <s v="-"/>
    <s v="руководитель_среднего_уровня_4"/>
    <n v="5"/>
    <s v="нет"/>
    <m/>
    <m/>
    <m/>
    <n v="95"/>
    <s v="Цветков Владислав Владиславович"/>
    <n v="84"/>
    <s v="Поминов Арсений Арсеньевич"/>
    <s v="линейный_руководитель_2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4"/>
    <d v="2019-11-14T00:00:00"/>
    <n v="1"/>
    <s v="не защищена"/>
    <n v="500055"/>
    <x v="95"/>
    <n v="1"/>
    <s v="Подразделение1"/>
    <s v="подразделение_2_уровня1"/>
    <s v="-"/>
    <s v="руководитель_среднего_уровня_4"/>
    <n v="6"/>
    <s v="да"/>
    <d v="2020-02-01T00:00:00"/>
    <d v="2022-07-11T00:00:00"/>
    <s v="из резерва (учитываем)"/>
    <n v="96"/>
    <s v="Коровкин Владимир Владимирович"/>
    <n v="87"/>
    <s v="Бураков Богдан Богданович"/>
    <s v="линейный_руководитель_2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055"/>
    <x v="95"/>
    <n v="1"/>
    <s v="Подразделение1"/>
    <s v="подразделение_2_уровня1"/>
    <s v="-"/>
    <s v="руководитель_среднего_уровня_4"/>
    <n v="6"/>
    <s v="да"/>
    <d v="2020-02-01T00:00:00"/>
    <d v="2022-07-11T00:00:00"/>
    <s v="из резерва (учитываем)"/>
    <n v="96"/>
    <s v="Коровкин Владимир Владимирович"/>
    <n v="1196"/>
    <s v="Игнатьев Арсений Семенович"/>
    <s v="Специалист"/>
    <s v="Подразделение1"/>
    <x v="1"/>
    <x v="0"/>
    <n v="1"/>
    <n v="0"/>
    <m/>
    <m/>
    <s v="без изменений"/>
    <s v="протокол-№-02.12.2023"/>
  </r>
  <r>
    <s v="Функциональное направление 3"/>
    <n v="4"/>
    <d v="2022-04-29T00:00:00"/>
    <n v="0"/>
    <s v="не защищена"/>
    <n v="500055"/>
    <x v="95"/>
    <n v="1"/>
    <s v="Подразделение1"/>
    <s v="подразделение_2_уровня1"/>
    <s v="-"/>
    <s v="руководитель_среднего_уровня_4"/>
    <n v="6"/>
    <s v="да"/>
    <d v="2020-02-01T00:00:00"/>
    <d v="2022-07-11T00:00:00"/>
    <s v="из резерва (учитываем)"/>
    <n v="96"/>
    <s v="Коровкин Владимир Владимирович"/>
    <n v="96"/>
    <s v="Коровкин Владимир Владимирович"/>
    <s v="руководитель_среднего_уровня_4"/>
    <s v="Подразделение1"/>
    <x v="1"/>
    <x v="1"/>
    <n v="1"/>
    <n v="1"/>
    <s v="назначение на целевую должность"/>
    <d v="2022-07-01T00:00:00"/>
    <s v="не рассматривали"/>
    <s v="протокол-№-29.04.2022"/>
  </r>
  <r>
    <s v="Функциональное направление 3"/>
    <n v="3"/>
    <d v="2020-07-02T00:00:00"/>
    <n v="1"/>
    <s v="не защищена"/>
    <n v="500056"/>
    <x v="96"/>
    <n v="1"/>
    <s v="Подразделение1"/>
    <s v="подразделение_2_уровня1"/>
    <s v="подразделение_3_уровня1"/>
    <s v="руководитель_среднего_уровня_4"/>
    <n v="5"/>
    <s v="да"/>
    <d v="2021-10-20T00:00:00"/>
    <d v="2021-10-20T00:00:00"/>
    <s v="внутр. сотр. из списка КР (учитываем)"/>
    <n v="97"/>
    <s v="Кочетов Всеволод Всеволодович"/>
    <n v="61"/>
    <s v="Романов Роман Романович"/>
    <s v="руководитель_среднего_уровня_3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056"/>
    <x v="96"/>
    <n v="1"/>
    <s v="Подразделение1"/>
    <s v="подразделение_2_уровня1"/>
    <s v="подразделение_3_уровня1"/>
    <s v="руководитель_среднего_уровня_4"/>
    <n v="5"/>
    <s v="да"/>
    <d v="2021-10-20T00:00:00"/>
    <d v="2021-10-20T00:00:00"/>
    <s v="внутр. сотр. из списка КР (учитываем)"/>
    <n v="97"/>
    <s v="Кочетов Всеволод Всеволодович"/>
    <n v="107"/>
    <s v="Самойлов Егор Егорович"/>
    <s v="линейный_руководитель_2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056"/>
    <x v="96"/>
    <n v="1"/>
    <s v="Подразделение1"/>
    <s v="подразделение_2_уровня1"/>
    <s v="подразделение_3_уровня1"/>
    <s v="руководитель_среднего_уровня_4"/>
    <n v="5"/>
    <s v="да"/>
    <d v="2021-10-20T00:00:00"/>
    <d v="2021-10-20T00:00:00"/>
    <s v="внутр. сотр. из списка КР (учитываем)"/>
    <n v="97"/>
    <s v="Кочетов Всеволод Всеволодович"/>
    <n v="71"/>
    <s v="Федоров Федор Федорович"/>
    <s v="линейный_руководитель_2"/>
    <s v="Подразделение1"/>
    <x v="1"/>
    <x v="2"/>
    <n v="1"/>
    <n v="0"/>
    <s v="самоотвод"/>
    <d v="2020-07-02T00:00:00"/>
    <s v="исключение"/>
    <s v="протокол-№-02.07.2020"/>
  </r>
  <r>
    <s v="Функциональное направление 3"/>
    <n v="3"/>
    <d v="2018-11-22T00:00:00"/>
    <n v="1"/>
    <s v="не защищена"/>
    <n v="500057"/>
    <x v="97"/>
    <n v="2"/>
    <s v="Подразделение2"/>
    <s v="подразделение_2_уровня2"/>
    <s v="-"/>
    <s v="руководитель_среднего_уровня_4"/>
    <n v="5"/>
    <s v="нет"/>
    <m/>
    <m/>
    <m/>
    <n v="98"/>
    <s v="Попов Вячеслав Вячеславович"/>
    <n v="124"/>
    <s v="Григорьев Лавр Арсеньевич"/>
    <s v="линейный_руководитель_2"/>
    <s v="Подразделение2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057"/>
    <x v="97"/>
    <n v="2"/>
    <s v="Подразделение2"/>
    <s v="подразделение_2_уровня2"/>
    <s v="-"/>
    <s v="руководитель_среднего_уровня_4"/>
    <n v="5"/>
    <s v="нет"/>
    <m/>
    <m/>
    <m/>
    <n v="98"/>
    <s v="Попов Вячеслав Вячеславович"/>
    <n v="127"/>
    <s v="Сысоев Василий Федотович"/>
    <s v="линейный_руководитель_2"/>
    <s v="Подразделение2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057"/>
    <x v="97"/>
    <n v="2"/>
    <s v="Подразделение2"/>
    <s v="подразделение_2_уровня2"/>
    <s v="-"/>
    <s v="руководитель_среднего_уровня_4"/>
    <n v="5"/>
    <s v="нет"/>
    <m/>
    <m/>
    <m/>
    <n v="98"/>
    <s v="Попов Вячеслав Вячеславович"/>
    <n v="133"/>
    <s v="Баранкин Игорь Ильич"/>
    <s v="Рабочий"/>
    <s v="Подразделение2"/>
    <x v="1"/>
    <x v="2"/>
    <n v="1"/>
    <n v="0"/>
    <s v="прочее (наличие рисков по ПФО)"/>
    <d v="2019-11-07T00:00:00"/>
    <s v="не рассматривали"/>
    <s v="протокол-№-07.11.2019"/>
  </r>
  <r>
    <s v="Функциональное направление 3"/>
    <n v="3"/>
    <d v="2020-07-02T00:00:00"/>
    <n v="1"/>
    <s v="не защищена"/>
    <n v="500058"/>
    <x v="98"/>
    <n v="2"/>
    <s v="Подразделение2"/>
    <s v="подразделение_2_уровня2"/>
    <s v="подразделение_3_уровня2"/>
    <s v="руководитель_среднего_уровня_4"/>
    <n v="5"/>
    <s v="нет"/>
    <m/>
    <m/>
    <m/>
    <n v="99"/>
    <s v="Веревкин Геннадий Геннадьевич"/>
    <n v="92"/>
    <s v="Зверев Вениамин Вениаминович"/>
    <s v="линейный_руководитель_2"/>
    <s v="Подразделение2"/>
    <x v="0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058"/>
    <x v="98"/>
    <n v="2"/>
    <s v="Подразделение2"/>
    <s v="подразделение_2_уровня2"/>
    <s v="подразделение_3_уровня2"/>
    <s v="руководитель_среднего_уровня_4"/>
    <n v="5"/>
    <s v="нет"/>
    <m/>
    <m/>
    <m/>
    <n v="99"/>
    <s v="Веревкин Геннадий Геннадьевич"/>
    <n v="116"/>
    <s v="Зайцев Кирилл Кириллович"/>
    <s v="линейный_руководитель_2"/>
    <s v="Подразделение2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058"/>
    <x v="98"/>
    <n v="2"/>
    <s v="Подразделение2"/>
    <s v="подразделение_2_уровня2"/>
    <s v="подразделение_3_уровня2"/>
    <s v="руководитель_среднего_уровня_4"/>
    <n v="5"/>
    <s v="нет"/>
    <m/>
    <m/>
    <m/>
    <n v="99"/>
    <s v="Веревкин Геннадий Геннадьевич"/>
    <n v="91"/>
    <s v="Кулешов Венедикт Венедиктович"/>
    <s v="линейный_руководитель_2"/>
    <s v="Подразделение2"/>
    <x v="1"/>
    <x v="2"/>
    <n v="1"/>
    <n v="0"/>
    <s v="самоотвод"/>
    <d v="2020-07-02T00:00:00"/>
    <s v="исключение"/>
    <s v="протокол-№-02.07.2020"/>
  </r>
  <r>
    <s v="Функциональное направление 3"/>
    <n v="3"/>
    <d v="2019-11-07T00:00:00"/>
    <n v="1"/>
    <s v="не защищена"/>
    <n v="500059"/>
    <x v="99"/>
    <n v="2"/>
    <s v="Подразделение2"/>
    <s v="подразделение_2_уровня2"/>
    <s v="подразделение_3_уровня2"/>
    <s v="руководитель_среднего_уровня_4"/>
    <n v="5"/>
    <s v="нет"/>
    <m/>
    <m/>
    <m/>
    <n v="100"/>
    <s v="Цаплин Георгий Георгиевич"/>
    <n v="121"/>
    <s v="Карасев Кузьма Кузьмич"/>
    <s v="линейный_руководитель_2"/>
    <s v="Подразделение2"/>
    <x v="0"/>
    <x v="0"/>
    <n v="1"/>
    <n v="0"/>
    <m/>
    <m/>
    <s v="понижение"/>
    <s v="протокол-№-27.06.2023"/>
  </r>
  <r>
    <s v="Функциональное направление 3"/>
    <n v="3"/>
    <d v="2020-07-02T00:00:00"/>
    <n v="0"/>
    <s v="не защищена"/>
    <n v="500059"/>
    <x v="99"/>
    <n v="2"/>
    <s v="Подразделение2"/>
    <s v="подразделение_2_уровня2"/>
    <s v="подразделение_3_уровня2"/>
    <s v="руководитель_среднего_уровня_4"/>
    <n v="5"/>
    <s v="нет"/>
    <m/>
    <m/>
    <m/>
    <n v="100"/>
    <s v="Цаплин Георгий Георгиевич"/>
    <n v="1211"/>
    <s v="Коростелев Роман Александрович"/>
    <s v="функциональный_руководитель_1"/>
    <s v="Подразделение2"/>
    <x v="0"/>
    <x v="0"/>
    <n v="1"/>
    <n v="0"/>
    <m/>
    <m/>
    <s v="без изменений"/>
    <s v="протокол-№-27.06.2023"/>
  </r>
  <r>
    <s v="Функциональное направление 3"/>
    <n v="3"/>
    <d v="2020-07-02T00:00:00"/>
    <n v="0"/>
    <s v="не защищена"/>
    <n v="500059"/>
    <x v="99"/>
    <n v="2"/>
    <s v="Подразделение2"/>
    <s v="подразделение_2_уровня2"/>
    <s v="подразделение_3_уровня2"/>
    <s v="руководитель_среднего_уровня_4"/>
    <n v="5"/>
    <s v="нет"/>
    <m/>
    <m/>
    <m/>
    <n v="100"/>
    <s v="Цаплин Георгий Георгиевич"/>
    <n v="111"/>
    <s v="Ивашкин Захар Захарович"/>
    <s v="руководитель_среднего_уровня_3"/>
    <s v="Подразделение2"/>
    <x v="2"/>
    <x v="0"/>
    <n v="1"/>
    <n v="0"/>
    <m/>
    <m/>
    <s v="не рассматривали"/>
    <s v="протокол-№-19.12.2023"/>
  </r>
  <r>
    <s v="Функциональное направление 3"/>
    <n v="3"/>
    <d v="2020-07-02T00:00:00"/>
    <n v="0"/>
    <s v="не защищена"/>
    <n v="500059"/>
    <x v="99"/>
    <n v="2"/>
    <s v="Подразделение2"/>
    <s v="подразделение_2_уровня2"/>
    <s v="подразделение_3_уровня2"/>
    <s v="руководитель_среднего_уровня_4"/>
    <n v="5"/>
    <s v="нет"/>
    <m/>
    <m/>
    <m/>
    <n v="100"/>
    <s v="Цаплин Георгий Георгиевич"/>
    <n v="90"/>
    <s v="Жбанов Василий Васильевич"/>
    <s v="линейный_руководитель_2"/>
    <s v="Подразделение2"/>
    <x v="2"/>
    <x v="0"/>
    <n v="1"/>
    <n v="0"/>
    <m/>
    <m/>
    <s v="не рассматривали"/>
    <s v="протокол-№-19.12.2023"/>
  </r>
  <r>
    <s v="Функциональное направление 3"/>
    <n v="3"/>
    <d v="2018-11-22T00:00:00"/>
    <n v="0"/>
    <s v="не защищена"/>
    <n v="500059"/>
    <x v="99"/>
    <n v="2"/>
    <s v="Подразделение2"/>
    <s v="подразделение_2_уровня2"/>
    <s v="подразделение_3_уровня2"/>
    <s v="руководитель_среднего_уровня_4"/>
    <n v="5"/>
    <s v="нет"/>
    <m/>
    <m/>
    <m/>
    <n v="100"/>
    <s v="Цаплин Георгий Георгиевич"/>
    <n v="23"/>
    <s v="Георгиев Георгий Георгиевич"/>
    <s v="руководитель_среднего_уровня_3"/>
    <s v="Подразделение2"/>
    <x v="1"/>
    <x v="2"/>
    <n v="1"/>
    <n v="0"/>
    <s v="самоотвод"/>
    <d v="2023-12-19T00:00:00"/>
    <s v="исключение"/>
    <s v="протокол-№-19.12.2023"/>
  </r>
  <r>
    <s v="Функциональное направление 3"/>
    <n v="3"/>
    <d v="2018-11-22T00:00:00"/>
    <n v="0"/>
    <s v="не защищена"/>
    <n v="500059"/>
    <x v="99"/>
    <n v="2"/>
    <s v="Подразделение2"/>
    <s v="подразделение_2_уровня2"/>
    <s v="подразделение_3_уровня2"/>
    <s v="руководитель_среднего_уровня_4"/>
    <n v="5"/>
    <s v="нет"/>
    <m/>
    <m/>
    <m/>
    <n v="100"/>
    <s v="Цаплин Георгий Георгиевич"/>
    <n v="1212"/>
    <s v="Коровкин Константин Михайлович"/>
    <s v="линейный_руководитель_3"/>
    <s v="Подразделение216"/>
    <x v="1"/>
    <x v="2"/>
    <n v="1"/>
    <n v="0"/>
    <s v="инициатива комитета / руководителя"/>
    <d v="2023-06-27T00:00:00"/>
    <s v="исключение"/>
    <s v="протокол-№-27.06.2023"/>
  </r>
  <r>
    <s v="Функциональное направление 3"/>
    <n v="4"/>
    <d v="2019-11-22T00:00:00"/>
    <n v="1"/>
    <s v="не защищена"/>
    <n v="500060"/>
    <x v="100"/>
    <n v="2"/>
    <s v="Подразделение2"/>
    <s v="подразделение_2_уровня2"/>
    <s v="-"/>
    <s v="руководитель_среднего_уровня_4"/>
    <n v="6"/>
    <s v="нет"/>
    <m/>
    <m/>
    <m/>
    <n v="101"/>
    <s v="Синицин Герасим Герасимович"/>
    <n v="1213"/>
    <s v="Прохоров Арсений Игнатович"/>
    <s v="Рабочий"/>
    <s v="Подразделение2"/>
    <x v="0"/>
    <x v="0"/>
    <n v="1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060"/>
    <x v="100"/>
    <n v="2"/>
    <s v="Подразделение2"/>
    <s v="подразделение_2_уровня2"/>
    <s v="-"/>
    <s v="руководитель_среднего_уровня_4"/>
    <n v="6"/>
    <s v="нет"/>
    <m/>
    <m/>
    <m/>
    <n v="101"/>
    <s v="Синицин Герасим Герасимович"/>
    <n v="134"/>
    <s v="Конеев Федот Семенович"/>
    <s v="линейный_руководитель_2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3"/>
    <d v="2018-11-22T00:00:00"/>
    <n v="1"/>
    <s v="не защищена"/>
    <n v="500061"/>
    <x v="101"/>
    <n v="1"/>
    <s v="Подразделение1"/>
    <s v="подразделение_2_уровня1"/>
    <s v="-"/>
    <s v="руководитель_среднего_уровня_4"/>
    <n v="5"/>
    <s v="да"/>
    <d v="2022-08-15T00:00:00"/>
    <d v="2022-11-25T00:00:00"/>
    <s v="из резерва (учитываем)"/>
    <n v="102"/>
    <s v="Журавлев Глеб Глебович"/>
    <n v="102"/>
    <s v="Журавлев Глеб Глебович"/>
    <s v="линейный_руководитель_2"/>
    <s v="Подразделение1"/>
    <x v="1"/>
    <x v="1"/>
    <n v="1"/>
    <n v="1"/>
    <s v="назначение на целевую должность"/>
    <d v="2022-11-25T00:00:00"/>
    <s v="без изменений"/>
    <s v="протокол-№-27.06.2022"/>
  </r>
  <r>
    <s v="Функциональное направление 3"/>
    <n v="4"/>
    <d v="2020-10-21T00:00:00"/>
    <n v="1"/>
    <s v="не защищена"/>
    <n v="500544"/>
    <x v="102"/>
    <n v="2"/>
    <s v="Подразделение2"/>
    <s v="-"/>
    <s v="-"/>
    <s v="функциональный_руководитель_1"/>
    <n v="6"/>
    <s v="нет"/>
    <m/>
    <m/>
    <m/>
    <n v="103"/>
    <s v="Пальчиков Григорий Григорьевич"/>
    <n v="1214"/>
    <s v="Ветров Трофим Богданович"/>
    <s v="Рабочий"/>
    <s v="Подразделение2"/>
    <x v="2"/>
    <x v="0"/>
    <n v="1"/>
    <n v="0"/>
    <m/>
    <m/>
    <s v="без изменений"/>
    <s v="протокол-№-15.11.2023"/>
  </r>
  <r>
    <s v="Функциональное направление 3"/>
    <n v="4"/>
    <d v="2021-10-26T00:00:00"/>
    <n v="0"/>
    <s v="не защищена"/>
    <n v="500544"/>
    <x v="102"/>
    <n v="2"/>
    <s v="Подразделение2"/>
    <s v="-"/>
    <s v="-"/>
    <s v="функциональный_руководитель_1"/>
    <n v="6"/>
    <s v="нет"/>
    <m/>
    <m/>
    <m/>
    <n v="103"/>
    <s v="Пальчиков Григорий Григорьевич"/>
    <n v="1215"/>
    <s v="Семенов Ефрем Семенович"/>
    <s v="Рабочий"/>
    <s v="Подразделение2"/>
    <x v="2"/>
    <x v="0"/>
    <n v="1"/>
    <n v="0"/>
    <m/>
    <m/>
    <s v="без изменений"/>
    <s v="протокол-№-15.11.2023"/>
  </r>
  <r>
    <s v="Функциональное направление 3"/>
    <n v="4"/>
    <d v="2022-11-15T00:00:00"/>
    <n v="0"/>
    <s v="не защищена"/>
    <n v="500544"/>
    <x v="102"/>
    <n v="2"/>
    <s v="Подразделение2"/>
    <s v="-"/>
    <s v="-"/>
    <s v="функциональный_руководитель_1"/>
    <n v="6"/>
    <s v="нет"/>
    <m/>
    <m/>
    <m/>
    <n v="103"/>
    <s v="Пальчиков Григорий Григорьевич"/>
    <n v="1216"/>
    <s v="Брежнев Трофим Никитин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19-11-22T00:00:00"/>
    <n v="0"/>
    <s v="не защищена"/>
    <n v="500544"/>
    <x v="102"/>
    <n v="2"/>
    <s v="Подразделение2"/>
    <s v="-"/>
    <s v="-"/>
    <s v="функциональный_руководитель_1"/>
    <n v="6"/>
    <s v="нет"/>
    <m/>
    <m/>
    <m/>
    <n v="103"/>
    <s v="Пальчиков Григорий Григорьевич"/>
    <n v="1217"/>
    <s v="Коростелев Роман Кузьмич"/>
    <s v="Специалист"/>
    <s v="Подразделение_др4"/>
    <x v="2"/>
    <x v="2"/>
    <n v="1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0-10-21T00:00:00"/>
    <n v="0"/>
    <s v="не защищена"/>
    <n v="500544"/>
    <x v="102"/>
    <n v="2"/>
    <s v="Подразделение2"/>
    <s v="-"/>
    <s v="-"/>
    <s v="функциональный_руководитель_1"/>
    <n v="6"/>
    <s v="нет"/>
    <m/>
    <m/>
    <m/>
    <n v="103"/>
    <s v="Пальчиков Григорий Григорьевич"/>
    <n v="1206"/>
    <s v="Игорев Геннадий Кондратьевич"/>
    <s v="Рабочий"/>
    <s v="Подразделение2"/>
    <x v="2"/>
    <x v="2"/>
    <n v="1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2"/>
    <d v="2017-12-11T00:00:00"/>
    <n v="1"/>
    <s v="не защищена"/>
    <n v="500547"/>
    <x v="103"/>
    <n v="216"/>
    <s v="Подразделение216"/>
    <s v="-"/>
    <s v="-"/>
    <s v="ТОП_руководитель_1"/>
    <n v="3"/>
    <s v="да"/>
    <d v="2022-11-01T00:00:00"/>
    <d v="2023-05-01T00:00:00"/>
    <s v="из резерва (учитываем)"/>
    <n v="104"/>
    <s v="Коростелев Данил Данилович"/>
    <n v="24"/>
    <s v="Герасимов Герасим Герасимович"/>
    <s v="ТОП_руководитель_2"/>
    <s v="Подразделение1"/>
    <x v="0"/>
    <x v="0"/>
    <n v="1"/>
    <n v="0"/>
    <m/>
    <m/>
    <s v="без изменений"/>
    <s v="протокол-№-24.05.2021"/>
  </r>
  <r>
    <s v="Функциональное направление 3"/>
    <n v="2"/>
    <d v="2021-05-24T00:00:00"/>
    <n v="0"/>
    <s v="не защищена"/>
    <n v="500547"/>
    <x v="103"/>
    <n v="216"/>
    <s v="Подразделение216"/>
    <s v="-"/>
    <s v="-"/>
    <s v="ТОП_руководитель_1"/>
    <n v="3"/>
    <s v="да"/>
    <d v="2022-11-01T00:00:00"/>
    <d v="2023-05-01T00:00:00"/>
    <s v="из резерва (учитываем)"/>
    <n v="104"/>
    <s v="Коростелев Данил Данилович"/>
    <n v="104"/>
    <s v="Коростелев Данил Данилович"/>
    <s v="ТОП_руководитель_2"/>
    <s v="Подразделение216"/>
    <x v="0"/>
    <x v="1"/>
    <n v="1"/>
    <n v="1"/>
    <s v="назначение на целевую должность"/>
    <d v="2023-05-01T00:00:00"/>
    <s v="не рассматривали"/>
    <s v="протокол-№-24.05.2021"/>
  </r>
  <r>
    <s v="Функциональное направление 3"/>
    <n v="4"/>
    <d v="2019-11-14T00:00:00"/>
    <n v="1"/>
    <s v="не защищена"/>
    <n v="500367"/>
    <x v="104"/>
    <n v="1"/>
    <s v="Подразделение1"/>
    <s v="подразделение_2_уровня1"/>
    <s v="-"/>
    <s v="руководитель_среднего_уровня_3"/>
    <n v="6"/>
    <s v="нет"/>
    <m/>
    <m/>
    <m/>
    <n v="105"/>
    <s v="Незнамов Денис Денисович"/>
    <n v="106"/>
    <s v="Гуськов Дмитрий Дмитриевич"/>
    <s v="линейный_руководитель_2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67"/>
    <x v="104"/>
    <n v="1"/>
    <s v="Подразделение1"/>
    <s v="подразделение_2_уровня1"/>
    <s v="-"/>
    <s v="руководитель_среднего_уровня_3"/>
    <n v="6"/>
    <s v="нет"/>
    <m/>
    <m/>
    <m/>
    <n v="105"/>
    <s v="Незнамов Денис Денисович"/>
    <n v="69"/>
    <s v="Тихонов Тихон Тихонович"/>
    <s v="линейный_руководитель_2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22-12-02T00:00:00"/>
    <n v="0"/>
    <s v="не защищена"/>
    <n v="500367"/>
    <x v="104"/>
    <n v="1"/>
    <s v="Подразделение1"/>
    <s v="подразделение_2_уровня1"/>
    <s v="-"/>
    <s v="руководитель_среднего_уровня_3"/>
    <n v="6"/>
    <s v="нет"/>
    <m/>
    <m/>
    <m/>
    <n v="105"/>
    <s v="Незнамов Денис Денисович"/>
    <n v="131"/>
    <s v="Глебов Потап Егорович"/>
    <s v="линейный_руководитель_2"/>
    <s v="Подразделение1"/>
    <x v="0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67"/>
    <x v="104"/>
    <n v="1"/>
    <s v="Подразделение1"/>
    <s v="подразделение_2_уровня1"/>
    <s v="-"/>
    <s v="руководитель_среднего_уровня_3"/>
    <n v="6"/>
    <s v="нет"/>
    <m/>
    <m/>
    <m/>
    <n v="105"/>
    <s v="Незнамов Денис Денисович"/>
    <n v="129"/>
    <s v="Исаев Еремей Константинович"/>
    <s v="линейный_руководитель_1"/>
    <s v="Подразделение1"/>
    <x v="1"/>
    <x v="2"/>
    <n v="0"/>
    <n v="0"/>
    <s v="назначение на целевую должность"/>
    <d v="2022-03-09T00:00:00"/>
    <s v="повышение"/>
    <s v="протокол-№-28.10.2020"/>
  </r>
  <r>
    <s v="Функциональное направление 3"/>
    <n v="4"/>
    <d v="2019-11-14T00:00:00"/>
    <n v="1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21-10-27T00:00:00"/>
    <n v="0"/>
    <s v="не защищена"/>
    <n v="500374"/>
    <x v="105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06"/>
    <s v="Гуськов Дмитрий Дмитрие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5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3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5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5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5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5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21-10-27T00:00:00"/>
    <n v="0"/>
    <s v="не защищена"/>
    <n v="500373"/>
    <x v="106"/>
    <n v="1"/>
    <s v="Подразделение1"/>
    <s v="подразделение_2_уровня1"/>
    <s v="подразделение_3_уровня1"/>
    <s v="линейный_руководитель_1"/>
    <n v="6"/>
    <s v="да"/>
    <d v="2022-07-11T00:00:00"/>
    <d v="2022-07-31T00:00:00"/>
    <s v="ротация (не учитываем)"/>
    <n v="107"/>
    <s v="Самойлов Егор Егоро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8"/>
    <x v="107"/>
    <n v="1"/>
    <s v="Подразделение1"/>
    <s v="подразделение_2_уровня1"/>
    <s v="-"/>
    <s v="линейный_руководитель_2"/>
    <n v="6"/>
    <s v="нет"/>
    <m/>
    <m/>
    <m/>
    <n v="108"/>
    <s v="Потрясаев Емельян Емельянович"/>
    <n v="1188"/>
    <s v="Карасев Матвей Михайл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8"/>
    <x v="107"/>
    <n v="1"/>
    <s v="Подразделение1"/>
    <s v="подразделение_2_уровня1"/>
    <s v="-"/>
    <s v="линейный_руководитель_2"/>
    <n v="6"/>
    <s v="нет"/>
    <m/>
    <m/>
    <m/>
    <n v="108"/>
    <s v="Потрясаев Емельян Емельянович"/>
    <n v="1189"/>
    <s v="Исаев Трофим Марко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8"/>
    <x v="107"/>
    <n v="1"/>
    <s v="Подразделение1"/>
    <s v="подразделение_2_уровня1"/>
    <s v="-"/>
    <s v="линейный_руководитель_2"/>
    <n v="6"/>
    <s v="нет"/>
    <m/>
    <m/>
    <m/>
    <n v="108"/>
    <s v="Потрясаев Емельян Емельянович"/>
    <n v="79"/>
    <s v="Фирсов Александр Александрович"/>
    <s v="Рабочий"/>
    <s v="Подразделение1"/>
    <x v="1"/>
    <x v="2"/>
    <n v="0"/>
    <n v="0"/>
    <s v="назначение на целевую должность"/>
    <d v="2022-08-25T00:00:00"/>
    <s v="повышение"/>
    <s v="протокол-№-28.10.2020"/>
  </r>
  <r>
    <s v="Функциональное направление 3"/>
    <n v="4"/>
    <d v="2019-11-22T00:00:00"/>
    <n v="1"/>
    <s v="не защищена"/>
    <n v="500239"/>
    <x v="108"/>
    <n v="2"/>
    <s v="Подразделение2"/>
    <s v="подразделение_2_уровня2"/>
    <s v="-"/>
    <s v="руководитель_среднего_уровня_3"/>
    <n v="6"/>
    <s v="да"/>
    <d v="2023-05-01T00:00:00"/>
    <d v="2023-05-15T00:00:00"/>
    <s v="из резерва (учитываем)"/>
    <n v="109"/>
    <s v="Исаев Еремей Еремеевич"/>
    <n v="109"/>
    <s v="Исаев Еремей Еремеевич"/>
    <s v="Рабочий"/>
    <s v="Подразделение2"/>
    <x v="1"/>
    <x v="1"/>
    <n v="1"/>
    <n v="1"/>
    <s v="назначение на целевую должность"/>
    <d v="2023-05-15T00:00:00"/>
    <s v="повышение"/>
    <s v="протокол-№-15.11.2023"/>
  </r>
  <r>
    <s v="Функциональное направление 3"/>
    <n v="4"/>
    <d v="2019-11-22T00:00:00"/>
    <n v="0"/>
    <s v="не защищена"/>
    <n v="500239"/>
    <x v="108"/>
    <n v="2"/>
    <s v="Подразделение2"/>
    <s v="подразделение_2_уровня2"/>
    <s v="-"/>
    <s v="руководитель_среднего_уровня_3"/>
    <n v="6"/>
    <s v="да"/>
    <d v="2023-05-01T00:00:00"/>
    <d v="2023-05-15T00:00:00"/>
    <s v="из резерва (учитываем)"/>
    <n v="109"/>
    <s v="Исаев Еремей Еремеевич"/>
    <n v="1205"/>
    <s v="Коровкин Ефрем Кондратьевич"/>
    <s v="Рабочий"/>
    <s v="Подразделение2"/>
    <x v="2"/>
    <x v="0"/>
    <n v="1"/>
    <n v="0"/>
    <m/>
    <m/>
    <s v="без изменений"/>
    <s v="протокол-№-15.11.2023"/>
  </r>
  <r>
    <s v="Функциональное направление 3"/>
    <n v="4"/>
    <d v="2022-11-15T00:00:00"/>
    <n v="0"/>
    <s v="не защищена"/>
    <n v="500239"/>
    <x v="108"/>
    <n v="2"/>
    <s v="Подразделение2"/>
    <s v="подразделение_2_уровня2"/>
    <s v="-"/>
    <s v="руководитель_среднего_уровня_3"/>
    <n v="6"/>
    <s v="да"/>
    <d v="2023-05-01T00:00:00"/>
    <d v="2023-05-15T00:00:00"/>
    <s v="из резерва (учитываем)"/>
    <n v="109"/>
    <s v="Исаев Еремей Еремеевич"/>
    <n v="111"/>
    <s v="Ивашкин Захар Захарович"/>
    <s v="линейный_руководитель_2"/>
    <s v="Подразделение2"/>
    <x v="0"/>
    <x v="1"/>
    <n v="1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0-05-14T00:00:00"/>
    <n v="0"/>
    <s v="не защищена"/>
    <n v="500239"/>
    <x v="108"/>
    <n v="2"/>
    <s v="Подразделение2"/>
    <s v="подразделение_2_уровня2"/>
    <s v="-"/>
    <s v="руководитель_среднего_уровня_3"/>
    <n v="6"/>
    <s v="да"/>
    <d v="2023-05-01T00:00:00"/>
    <d v="2023-05-15T00:00:00"/>
    <s v="из резерва (учитываем)"/>
    <n v="109"/>
    <s v="Исаев Еремей Еремеевич"/>
    <n v="110"/>
    <s v="Вобликов Ефрем Ефремович"/>
    <s v="руководитель_среднего_уровня_3"/>
    <s v="Подразделение2"/>
    <x v="0"/>
    <x v="2"/>
    <n v="1"/>
    <n v="0"/>
    <s v="назначение на целевую должность"/>
    <d v="2021-04-20T00:00:00"/>
    <s v="без изменений"/>
    <s v="протокол-№-21.10.2020"/>
  </r>
  <r>
    <s v="Функциональное направление 3"/>
    <n v="3"/>
    <d v="2020-07-02T00:00:00"/>
    <n v="1"/>
    <s v="не защищена"/>
    <n v="500238"/>
    <x v="109"/>
    <n v="2"/>
    <s v="Подразделение2"/>
    <s v="подразделение_2_уровня2"/>
    <s v="-"/>
    <s v="линейный_руководитель_3"/>
    <n v="5"/>
    <s v="да"/>
    <d v="2023-03-01T00:00:00"/>
    <d v="2023-05-20T00:00:00"/>
    <s v="из резерва (учитываем)"/>
    <n v="110"/>
    <s v="Вобликов Ефрем Ефремович"/>
    <n v="23"/>
    <s v="Георгиев Георгий Георгиевич"/>
    <s v="руководитель_среднего_уровня_3"/>
    <s v="Подразделение2"/>
    <x v="1"/>
    <x v="2"/>
    <n v="1"/>
    <n v="0"/>
    <s v="назначение на должность более высокого уровня"/>
    <d v="2023-05-01T00:00:00"/>
    <s v="повышение"/>
    <s v="протокол-№-27.06.2023"/>
  </r>
  <r>
    <s v="Функциональное направление 3"/>
    <n v="3"/>
    <d v="2018-11-22T00:00:00"/>
    <n v="0"/>
    <s v="не защищена"/>
    <n v="500238"/>
    <x v="109"/>
    <n v="2"/>
    <s v="Подразделение2"/>
    <s v="подразделение_2_уровня2"/>
    <s v="-"/>
    <s v="линейный_руководитель_3"/>
    <n v="5"/>
    <s v="да"/>
    <d v="2023-03-01T00:00:00"/>
    <d v="2023-05-20T00:00:00"/>
    <s v="из резерва (учитываем)"/>
    <n v="110"/>
    <s v="Вобликов Ефрем Ефремович"/>
    <n v="125"/>
    <s v="Марков Константин Георгиевич"/>
    <s v="линейный_руководитель_2"/>
    <s v="Подразделение2"/>
    <x v="1"/>
    <x v="0"/>
    <n v="1"/>
    <n v="0"/>
    <m/>
    <m/>
    <s v="без изменений"/>
    <s v="протокол-№-27.06.2023"/>
  </r>
  <r>
    <s v="Функциональное направление 3"/>
    <n v="3"/>
    <d v="2022-12-19T00:00:00"/>
    <n v="0"/>
    <s v="не защищена"/>
    <n v="500238"/>
    <x v="109"/>
    <n v="2"/>
    <s v="Подразделение2"/>
    <s v="подразделение_2_уровня2"/>
    <s v="-"/>
    <s v="линейный_руководитель_3"/>
    <n v="5"/>
    <s v="да"/>
    <d v="2023-03-01T00:00:00"/>
    <d v="2023-05-20T00:00:00"/>
    <s v="из резерва (учитываем)"/>
    <n v="110"/>
    <s v="Вобликов Ефрем Ефремович"/>
    <n v="110"/>
    <s v="Вобликов Ефрем Ефремович"/>
    <s v="руководитель_среднего_уровня_3"/>
    <s v="Подразделение2"/>
    <x v="0"/>
    <x v="1"/>
    <n v="1"/>
    <n v="1"/>
    <s v="назначение на целевую должность"/>
    <d v="2023-05-20T00:00:00"/>
    <s v="не рассматривали"/>
    <s v="протокол-№-19.12.2023"/>
  </r>
  <r>
    <s v="Функциональное направление 3"/>
    <n v="3"/>
    <d v="2020-07-02T00:00:00"/>
    <n v="0"/>
    <s v="не защищена"/>
    <n v="500238"/>
    <x v="109"/>
    <n v="2"/>
    <s v="Подразделение2"/>
    <s v="подразделение_2_уровня2"/>
    <s v="-"/>
    <s v="линейный_руководитель_3"/>
    <n v="5"/>
    <s v="да"/>
    <d v="2023-03-01T00:00:00"/>
    <d v="2023-05-20T00:00:00"/>
    <s v="из резерва (учитываем)"/>
    <n v="110"/>
    <s v="Вобликов Ефрем Ефремович"/>
    <n v="1212"/>
    <s v="Коровкин Константин Михайлович"/>
    <s v="линейный_руководитель_3"/>
    <s v="Подразделение216"/>
    <x v="1"/>
    <x v="1"/>
    <n v="1"/>
    <n v="0"/>
    <s v="назначение на целевую должность"/>
    <d v="2020-11-02T00:00:00"/>
    <s v="не рассматривали"/>
    <s v="протокол-№-02.07.2020"/>
  </r>
  <r>
    <s v="Функциональное направление 3"/>
    <n v="4"/>
    <d v="2019-11-22T00:00:00"/>
    <n v="1"/>
    <s v="не защищена"/>
    <n v="500239"/>
    <x v="110"/>
    <n v="2"/>
    <s v="Подразделение2"/>
    <s v="подразделение_2_уровня2"/>
    <s v="-"/>
    <s v="руководитель_среднего_уровня_3"/>
    <n v="6"/>
    <s v="да"/>
    <d v="2023-05-20T00:00:00"/>
    <d v="2023-05-25T00:00:00"/>
    <s v="из резерва (учитываем)"/>
    <n v="111"/>
    <s v="Ивашкин Захар Захарович"/>
    <n v="109"/>
    <s v="Исаев Еремей Еремеевич"/>
    <s v="Рабочий"/>
    <s v="Подразделение2"/>
    <x v="1"/>
    <x v="1"/>
    <n v="0"/>
    <n v="0"/>
    <s v="назначение на целевую должность"/>
    <d v="2023-05-15T00:00:00"/>
    <s v="повышение"/>
    <s v="протокол-№-15.11.2023"/>
  </r>
  <r>
    <s v="Функциональное направление 3"/>
    <n v="4"/>
    <d v="2019-11-22T00:00:00"/>
    <n v="0"/>
    <s v="не защищена"/>
    <n v="500239"/>
    <x v="110"/>
    <n v="2"/>
    <s v="Подразделение2"/>
    <s v="подразделение_2_уровня2"/>
    <s v="-"/>
    <s v="руководитель_среднего_уровня_3"/>
    <n v="6"/>
    <s v="да"/>
    <d v="2023-05-20T00:00:00"/>
    <d v="2023-05-25T00:00:00"/>
    <s v="из резерва (учитываем)"/>
    <n v="111"/>
    <s v="Ивашкин Захар Захарович"/>
    <n v="1205"/>
    <s v="Коровкин Ефрем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2-11-15T00:00:00"/>
    <n v="0"/>
    <s v="не защищена"/>
    <n v="500239"/>
    <x v="110"/>
    <n v="2"/>
    <s v="Подразделение2"/>
    <s v="подразделение_2_уровня2"/>
    <s v="-"/>
    <s v="руководитель_среднего_уровня_3"/>
    <n v="6"/>
    <s v="да"/>
    <d v="2023-05-20T00:00:00"/>
    <d v="2023-05-25T00:00:00"/>
    <s v="из резерва (учитываем)"/>
    <n v="111"/>
    <s v="Ивашкин Захар Захарович"/>
    <n v="111"/>
    <s v="Ивашкин Захар Захарович"/>
    <s v="линейный_руководитель_2"/>
    <s v="Подразделение2"/>
    <x v="0"/>
    <x v="1"/>
    <n v="0"/>
    <n v="1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0-05-14T00:00:00"/>
    <n v="0"/>
    <s v="не защищена"/>
    <n v="500239"/>
    <x v="110"/>
    <n v="2"/>
    <s v="Подразделение2"/>
    <s v="подразделение_2_уровня2"/>
    <s v="-"/>
    <s v="руководитель_среднего_уровня_3"/>
    <n v="6"/>
    <s v="да"/>
    <d v="2023-05-20T00:00:00"/>
    <d v="2023-05-25T00:00:00"/>
    <s v="из резерва (учитываем)"/>
    <n v="111"/>
    <s v="Ивашкин Захар Захарович"/>
    <n v="110"/>
    <s v="Вобликов Ефрем Ефремович"/>
    <s v="руководитель_среднего_уровня_3"/>
    <s v="Подразделение2"/>
    <x v="0"/>
    <x v="1"/>
    <n v="0"/>
    <n v="0"/>
    <s v="назначение на целевую должность"/>
    <d v="2021-04-20T00:00:00"/>
    <s v="без изменений"/>
    <s v="протокол-№-21.10.2020"/>
  </r>
  <r>
    <s v="Функциональное направление 3"/>
    <n v="4"/>
    <d v="2019-11-22T00:00:00"/>
    <n v="1"/>
    <s v="не защищена"/>
    <n v="500239"/>
    <x v="111"/>
    <n v="2"/>
    <s v="Подразделение2"/>
    <s v="подразделение_2_уровня2"/>
    <s v="-"/>
    <s v="руководитель_среднего_уровня_3"/>
    <n v="6"/>
    <s v="нет"/>
    <m/>
    <m/>
    <m/>
    <n v="112"/>
    <s v="Чистяков Иван Иванович"/>
    <n v="109"/>
    <s v="Исаев Еремей Еремеевич"/>
    <s v="Рабочий"/>
    <s v="Подразделение2"/>
    <x v="1"/>
    <x v="1"/>
    <n v="0"/>
    <n v="0"/>
    <s v="назначение на целевую должность"/>
    <d v="2023-05-15T00:00:00"/>
    <s v="повышение"/>
    <s v="протокол-№-15.11.2023"/>
  </r>
  <r>
    <s v="Функциональное направление 3"/>
    <n v="4"/>
    <d v="2019-11-22T00:00:00"/>
    <n v="0"/>
    <s v="не защищена"/>
    <n v="500239"/>
    <x v="111"/>
    <n v="2"/>
    <s v="Подразделение2"/>
    <s v="подразделение_2_уровня2"/>
    <s v="-"/>
    <s v="руководитель_среднего_уровня_3"/>
    <n v="6"/>
    <s v="нет"/>
    <m/>
    <m/>
    <m/>
    <n v="112"/>
    <s v="Чистяков Иван Иванович"/>
    <n v="1205"/>
    <s v="Коровкин Ефрем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2-11-15T00:00:00"/>
    <n v="0"/>
    <s v="не защищена"/>
    <n v="500239"/>
    <x v="111"/>
    <n v="2"/>
    <s v="Подразделение2"/>
    <s v="подразделение_2_уровня2"/>
    <s v="-"/>
    <s v="руководитель_среднего_уровня_3"/>
    <n v="6"/>
    <s v="нет"/>
    <m/>
    <m/>
    <m/>
    <n v="112"/>
    <s v="Чистяков Иван Иванович"/>
    <n v="111"/>
    <s v="Ивашкин Захар Захарович"/>
    <s v="линейный_руководитель_2"/>
    <s v="Подразделение2"/>
    <x v="0"/>
    <x v="1"/>
    <n v="0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0-05-14T00:00:00"/>
    <n v="0"/>
    <s v="не защищена"/>
    <n v="500239"/>
    <x v="111"/>
    <n v="2"/>
    <s v="Подразделение2"/>
    <s v="подразделение_2_уровня2"/>
    <s v="-"/>
    <s v="руководитель_среднего_уровня_3"/>
    <n v="6"/>
    <s v="нет"/>
    <m/>
    <m/>
    <m/>
    <n v="112"/>
    <s v="Чистяков Иван Иванович"/>
    <n v="110"/>
    <s v="Вобликов Ефрем Ефремович"/>
    <s v="руководитель_среднего_уровня_3"/>
    <s v="Подразделение2"/>
    <x v="0"/>
    <x v="1"/>
    <n v="0"/>
    <n v="0"/>
    <s v="назначение на целевую должность"/>
    <d v="2021-04-20T00:00:00"/>
    <s v="без изменений"/>
    <s v="протокол-№-21.10.2020"/>
  </r>
  <r>
    <s v="Функциональное направление 3"/>
    <n v="4"/>
    <d v="2019-11-22T00:00:00"/>
    <n v="1"/>
    <s v="не защищена"/>
    <n v="500239"/>
    <x v="112"/>
    <n v="2"/>
    <s v="Подразделение2"/>
    <s v="подразделение_2_уровня2"/>
    <s v="-"/>
    <s v="руководитель_среднего_уровня_3"/>
    <n v="6"/>
    <s v="нет"/>
    <m/>
    <m/>
    <m/>
    <n v="113"/>
    <s v="Аксенов Игнат Игнатович"/>
    <n v="109"/>
    <s v="Исаев Еремей Еремеевич"/>
    <s v="Рабочий"/>
    <s v="Подразделение2"/>
    <x v="1"/>
    <x v="1"/>
    <n v="0"/>
    <n v="0"/>
    <s v="назначение на целевую должность"/>
    <d v="2023-05-15T00:00:00"/>
    <s v="повышение"/>
    <s v="протокол-№-15.11.2023"/>
  </r>
  <r>
    <s v="Функциональное направление 3"/>
    <n v="4"/>
    <d v="2019-11-22T00:00:00"/>
    <n v="0"/>
    <s v="не защищена"/>
    <n v="500239"/>
    <x v="112"/>
    <n v="2"/>
    <s v="Подразделение2"/>
    <s v="подразделение_2_уровня2"/>
    <s v="-"/>
    <s v="руководитель_среднего_уровня_3"/>
    <n v="6"/>
    <s v="нет"/>
    <m/>
    <m/>
    <m/>
    <n v="113"/>
    <s v="Аксенов Игнат Игнатович"/>
    <n v="1205"/>
    <s v="Коровкин Ефрем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2-11-15T00:00:00"/>
    <n v="0"/>
    <s v="не защищена"/>
    <n v="500239"/>
    <x v="112"/>
    <n v="2"/>
    <s v="Подразделение2"/>
    <s v="подразделение_2_уровня2"/>
    <s v="-"/>
    <s v="руководитель_среднего_уровня_3"/>
    <n v="6"/>
    <s v="нет"/>
    <m/>
    <m/>
    <m/>
    <n v="113"/>
    <s v="Аксенов Игнат Игнатович"/>
    <n v="111"/>
    <s v="Ивашкин Захар Захарович"/>
    <s v="линейный_руководитель_2"/>
    <s v="Подразделение2"/>
    <x v="0"/>
    <x v="1"/>
    <n v="0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0-05-14T00:00:00"/>
    <n v="0"/>
    <s v="не защищена"/>
    <n v="500239"/>
    <x v="112"/>
    <n v="2"/>
    <s v="Подразделение2"/>
    <s v="подразделение_2_уровня2"/>
    <s v="-"/>
    <s v="руководитель_среднего_уровня_3"/>
    <n v="6"/>
    <s v="нет"/>
    <m/>
    <m/>
    <m/>
    <n v="113"/>
    <s v="Аксенов Игнат Игнатович"/>
    <n v="110"/>
    <s v="Вобликов Ефрем Ефремович"/>
    <s v="руководитель_среднего_уровня_3"/>
    <s v="Подразделение2"/>
    <x v="0"/>
    <x v="2"/>
    <n v="0"/>
    <n v="0"/>
    <s v="назначение на целевую должность"/>
    <d v="2021-04-20T00:00:00"/>
    <s v="без изменений"/>
    <s v="протокол-№-21.10.2020"/>
  </r>
  <r>
    <s v="Функциональное направление 3"/>
    <n v="4"/>
    <d v="2019-09-26T00:00:00"/>
    <n v="1"/>
    <s v="не защищена"/>
    <n v="500335"/>
    <x v="113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114"/>
    <s v="Трухачев Игорь Игоревич"/>
    <n v="1154"/>
    <s v="Потапов Кирилл Семенович"/>
    <s v="Рабочий"/>
    <s v="Подразделение18"/>
    <x v="1"/>
    <x v="0"/>
    <n v="0"/>
    <n v="0"/>
    <m/>
    <m/>
    <s v="без изменений"/>
    <s v="протокол-№-22.11.2023"/>
  </r>
  <r>
    <s v="Функциональное направление 3"/>
    <n v="4"/>
    <d v="2019-09-26T00:00:00"/>
    <n v="0"/>
    <s v="не защищена"/>
    <n v="500335"/>
    <x v="113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114"/>
    <s v="Трухачев Игорь Игоревич"/>
    <n v="1153"/>
    <s v="Зверев Савелий Игнатович"/>
    <s v="Рабочий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22-11-22T00:00:00"/>
    <n v="0"/>
    <s v="не защищена"/>
    <n v="500335"/>
    <x v="113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114"/>
    <s v="Трухачев Игорь Игоревич"/>
    <n v="1155"/>
    <s v="Потапов Арсений Георгиевич"/>
    <s v="Рабочий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4"/>
    <d v="2022-11-22T00:00:00"/>
    <n v="0"/>
    <s v="не защищена"/>
    <n v="500335"/>
    <x v="113"/>
    <n v="18"/>
    <s v="Подразделение18"/>
    <s v="подразделение_2_уровня18"/>
    <s v="подразделение_3_уровня18"/>
    <s v="линейный_руководитель_1"/>
    <n v="6"/>
    <s v="нет"/>
    <m/>
    <m/>
    <m/>
    <n v="114"/>
    <s v="Трухачев Игорь Игоревич"/>
    <n v="1156"/>
    <s v="Степанов Матвей Александрович"/>
    <s v="Рабочий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4"/>
    <d v="2019-09-26T00:00:00"/>
    <n v="1"/>
    <s v="не защищена"/>
    <n v="500342"/>
    <x v="114"/>
    <n v="18"/>
    <s v="Подразделение18"/>
    <s v="подразделение_2_уровня18"/>
    <s v="-"/>
    <s v="линейный_руководитель_1"/>
    <n v="6"/>
    <s v="да"/>
    <d v="2022-11-25T00:00:00"/>
    <d v="2022-11-25T00:00:00"/>
    <s v="из резерва (учитываем)"/>
    <n v="115"/>
    <s v="Волков Илья Ильич"/>
    <n v="1168"/>
    <s v="Игнатьев Афанасий Александрович"/>
    <s v="Рабочий"/>
    <s v="Подразделение18"/>
    <x v="1"/>
    <x v="0"/>
    <n v="0"/>
    <n v="0"/>
    <m/>
    <m/>
    <s v="повышение"/>
    <s v="протокол-№-22.11.2023"/>
  </r>
  <r>
    <s v="Функциональное направление 3"/>
    <n v="4"/>
    <d v="2019-09-26T00:00:00"/>
    <n v="0"/>
    <s v="не защищена"/>
    <n v="500342"/>
    <x v="114"/>
    <n v="18"/>
    <s v="Подразделение18"/>
    <s v="подразделение_2_уровня18"/>
    <s v="-"/>
    <s v="линейный_руководитель_1"/>
    <n v="6"/>
    <s v="да"/>
    <d v="2022-11-25T00:00:00"/>
    <d v="2022-11-25T00:00:00"/>
    <s v="из резерва (учитываем)"/>
    <n v="115"/>
    <s v="Волков Илья Ильич"/>
    <n v="115"/>
    <s v="Волков Илья Ильич"/>
    <s v="Рабочий"/>
    <s v="Подразделение18"/>
    <x v="1"/>
    <x v="1"/>
    <n v="0"/>
    <n v="1"/>
    <s v="назначение на целевую должность"/>
    <d v="2022-11-25T00:00:00"/>
    <s v="повышение"/>
    <s v="протокол-№-22.11.2022"/>
  </r>
  <r>
    <s v="Функциональное направление 3"/>
    <n v="4"/>
    <d v="2019-09-26T00:00:00"/>
    <n v="0"/>
    <s v="не защищена"/>
    <n v="500342"/>
    <x v="114"/>
    <n v="18"/>
    <s v="Подразделение18"/>
    <s v="подразделение_2_уровня18"/>
    <s v="-"/>
    <s v="линейный_руководитель_1"/>
    <n v="6"/>
    <s v="да"/>
    <d v="2022-11-25T00:00:00"/>
    <d v="2022-11-25T00:00:00"/>
    <s v="из резерва (учитываем)"/>
    <n v="115"/>
    <s v="Волков Илья Ильич"/>
    <n v="46"/>
    <s v="Львов Лев Львович"/>
    <s v="Рабочий"/>
    <s v="Подразделение18"/>
    <x v="1"/>
    <x v="1"/>
    <n v="0"/>
    <n v="0"/>
    <s v="назначение на целевую должность"/>
    <d v="2023-01-13T00:00:00"/>
    <s v="повышение"/>
    <s v="протокол-№-22.11.2023"/>
  </r>
  <r>
    <s v="Функциональное направление 3"/>
    <n v="4"/>
    <d v="2019-09-26T00:00:00"/>
    <n v="0"/>
    <s v="не защищена"/>
    <n v="500342"/>
    <x v="114"/>
    <n v="18"/>
    <s v="Подразделение18"/>
    <s v="подразделение_2_уровня18"/>
    <s v="-"/>
    <s v="линейный_руководитель_1"/>
    <n v="6"/>
    <s v="да"/>
    <d v="2022-11-25T00:00:00"/>
    <d v="2022-11-25T00:00:00"/>
    <s v="из резерва (учитываем)"/>
    <n v="115"/>
    <s v="Волков Илья Ильич"/>
    <n v="27"/>
    <s v="Данилов Данил Данилович"/>
    <s v="Рабочий"/>
    <s v="Подразделение18"/>
    <x v="1"/>
    <x v="1"/>
    <n v="0"/>
    <n v="0"/>
    <s v="назначение на целевую должность"/>
    <d v="2022-04-27T00:00:00"/>
    <s v="без изменений"/>
    <s v="протокол-№-09.10.2020"/>
  </r>
  <r>
    <s v="Функциональное направление 3"/>
    <n v="4"/>
    <d v="2019-09-26T00:00:00"/>
    <n v="0"/>
    <s v="не защищена"/>
    <n v="500342"/>
    <x v="114"/>
    <n v="18"/>
    <s v="Подразделение18"/>
    <s v="подразделение_2_уровня18"/>
    <s v="-"/>
    <s v="линейный_руководитель_1"/>
    <n v="6"/>
    <s v="да"/>
    <d v="2022-11-25T00:00:00"/>
    <d v="2022-11-25T00:00:00"/>
    <s v="из резерва (учитываем)"/>
    <n v="115"/>
    <s v="Волков Илья Ильич"/>
    <n v="1169"/>
    <s v="Потапов Герасим Геннадьевич"/>
    <s v="Рабочий"/>
    <s v="Подразделение18"/>
    <x v="1"/>
    <x v="2"/>
    <n v="0"/>
    <n v="0"/>
    <s v="увольнение"/>
    <d v="2022-08-10T00:00:00"/>
    <s v="без изменений"/>
    <s v="протокол-№-09.10.2020"/>
  </r>
  <r>
    <s v="Функциональное направление 3"/>
    <n v="4"/>
    <d v="2019-11-22T00:00:00"/>
    <n v="1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00"/>
    <s v="Брежнев Савелий Кондратьевич"/>
    <s v="Рабочий"/>
    <s v="Подразделение2"/>
    <x v="2"/>
    <x v="0"/>
    <n v="1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01"/>
    <s v="Ветров Трофим Никитинич"/>
    <s v="Рабочий"/>
    <s v="Подразделение2"/>
    <x v="0"/>
    <x v="0"/>
    <n v="1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19"/>
    <s v="Булкин Константин Константинович"/>
    <s v="линейный_руководитель_1"/>
    <s v="Подразделение2"/>
    <x v="0"/>
    <x v="0"/>
    <n v="1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03"/>
    <s v="Игнатьев Трофим Кондратье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04"/>
    <s v="Прохоров Роман Кондратье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05"/>
    <s v="Коровкин Ефрем Кондратье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3-03-27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06"/>
    <s v="Игорев Геннадий Кондратьевич"/>
    <s v="Рабочий"/>
    <s v="Подразделение2"/>
    <x v="2"/>
    <x v="0"/>
    <n v="1"/>
    <n v="0"/>
    <m/>
    <m/>
    <s v="не рассматривали"/>
    <s v="протокол-№-15.11.2023-ДОП"/>
  </r>
  <r>
    <s v="Функциональное направление 3"/>
    <n v="4"/>
    <d v="2023-03-27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07"/>
    <s v="Коровкин Савелий Тарасович"/>
    <s v="Рабочий"/>
    <s v="Подразделение2"/>
    <x v="2"/>
    <x v="0"/>
    <n v="1"/>
    <n v="0"/>
    <m/>
    <m/>
    <s v="не рассматривали"/>
    <s v="протокол-№-15.11.2023-ДОП"/>
  </r>
  <r>
    <s v="Функциональное направление 3"/>
    <n v="4"/>
    <d v="2019-11-22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92"/>
    <s v="Зверев Вениамин Вениаминович"/>
    <s v="линейный_руководитель_2"/>
    <s v="Подразделение2"/>
    <x v="1"/>
    <x v="1"/>
    <n v="1"/>
    <n v="0"/>
    <s v="назначение на целевую должность"/>
    <d v="2022-11-01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08"/>
    <s v="Коровкин Геннадий Константинович"/>
    <s v="Рабочий"/>
    <s v="Подразделение2"/>
    <x v="0"/>
    <x v="2"/>
    <n v="1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19-11-22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89"/>
    <s v="Брежнев Валерий Валерьевич"/>
    <s v="Рабочий"/>
    <s v="Подразделение2"/>
    <x v="1"/>
    <x v="2"/>
    <n v="1"/>
    <n v="0"/>
    <s v="назначение на целевую должность"/>
    <d v="2021-10-26T00:00:00"/>
    <s v="повышение"/>
    <s v="протокол-№-21.10.2020"/>
  </r>
  <r>
    <s v="Функциональное направление 3"/>
    <n v="4"/>
    <d v="2021-10-26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09"/>
    <s v="Тимофеев Андрей Михайлович"/>
    <s v="линейный_руководитель_2"/>
    <s v="Подразделение2"/>
    <x v="2"/>
    <x v="2"/>
    <n v="1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240"/>
    <x v="11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6"/>
    <s v="Зайцев Кирилл Кириллович"/>
    <n v="1210"/>
    <s v="Гуськов Илья Ильич"/>
    <s v="линейный_руководитель_2"/>
    <s v="Подразделение2"/>
    <x v="2"/>
    <x v="2"/>
    <n v="1"/>
    <n v="0"/>
    <s v="увольнение"/>
    <d v="2022-05-20T00:00:00"/>
    <s v="не рассматривали"/>
    <s v="протокол-№-26.10.2021"/>
  </r>
  <r>
    <s v="Функциональное направление 3"/>
    <n v="4"/>
    <d v="2019-11-22T00:00:00"/>
    <n v="1"/>
    <s v="не защищена"/>
    <n v="500241"/>
    <x v="116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7"/>
    <s v="Баранов Клим Климович"/>
    <n v="1218"/>
    <s v="Филиппов Савелий Тарасович"/>
    <s v="Рабочий"/>
    <s v="Подразделение2"/>
    <x v="0"/>
    <x v="0"/>
    <n v="1"/>
    <n v="0"/>
    <m/>
    <m/>
    <s v="без изменений"/>
    <s v="протокол-№-15.11.2023"/>
  </r>
  <r>
    <s v="Функциональное направление 3"/>
    <n v="4"/>
    <d v="2021-10-26T00:00:00"/>
    <n v="0"/>
    <s v="не защищена"/>
    <n v="500241"/>
    <x v="116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7"/>
    <s v="Баранов Клим Климович"/>
    <n v="1219"/>
    <s v="Прохоров Савелий Кондратьевич"/>
    <s v="Рабочий"/>
    <s v="Подразделение2"/>
    <x v="2"/>
    <x v="0"/>
    <n v="1"/>
    <n v="0"/>
    <m/>
    <m/>
    <s v="без изменений"/>
    <s v="протокол-№-15.11.2023"/>
  </r>
  <r>
    <s v="Функциональное направление 3"/>
    <n v="4"/>
    <d v="2021-10-26T00:00:00"/>
    <n v="0"/>
    <s v="не защищена"/>
    <n v="500241"/>
    <x v="116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7"/>
    <s v="Баранов Клим Климович"/>
    <n v="1220"/>
    <s v="Незнамов Константин Геннадьевич"/>
    <s v="Рабочий"/>
    <s v="Подразделение2"/>
    <x v="0"/>
    <x v="0"/>
    <n v="1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1"/>
    <x v="116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7"/>
    <s v="Баранов Клим Климович"/>
    <n v="1221"/>
    <s v="Дорофеев Виталий Александрович"/>
    <s v="Рабочий"/>
    <s v="Подразделение2"/>
    <x v="1"/>
    <x v="0"/>
    <n v="1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1"/>
    <x v="116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7"/>
    <s v="Баранов Клим Климович"/>
    <n v="1222"/>
    <s v="Кирюхин Трофим Игнатович"/>
    <s v="Рабочий"/>
    <s v="Подразделение2"/>
    <x v="1"/>
    <x v="0"/>
    <n v="1"/>
    <n v="0"/>
    <m/>
    <m/>
    <s v="повышение"/>
    <s v="протокол-№-15.11.2023"/>
  </r>
  <r>
    <s v="Функциональное направление 3"/>
    <n v="4"/>
    <d v="2023-03-27T00:00:00"/>
    <n v="0"/>
    <s v="не защищена"/>
    <n v="500241"/>
    <x v="116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17"/>
    <s v="Баранов Клим Климов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19-11-22T00:00:00"/>
    <n v="1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0"/>
    <s v="Брежнев Савел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1"/>
    <s v="Ветров Трофим Никитин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2"/>
    <s v="Игнатьев Савелий Кондрат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19"/>
    <s v="Булкин Константин Константинович"/>
    <s v="Рабочий"/>
    <s v="Подразделение2"/>
    <x v="0"/>
    <x v="1"/>
    <n v="0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3"/>
    <s v="Игнатьев Трофи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4"/>
    <s v="Прохоров Роман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5"/>
    <s v="Коровкин Ефре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3-03-27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23-03-27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7"/>
    <s v="Коровкин Савелий Тарасо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19-11-22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92"/>
    <s v="Зверев Вениамин Вениаминович"/>
    <s v="линейный_руководитель_2"/>
    <s v="Подразделение2"/>
    <x v="1"/>
    <x v="1"/>
    <n v="0"/>
    <n v="0"/>
    <s v="назначение на целевую должность"/>
    <d v="2022-11-01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8"/>
    <s v="Коровкин Геннадий Константинович"/>
    <s v="линейный_руководитель_2"/>
    <s v="Подразделение2"/>
    <x v="0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19-11-22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89"/>
    <s v="Брежнев Валерий Валерьевич"/>
    <s v="Рабочий"/>
    <s v="Подразделение2"/>
    <x v="1"/>
    <x v="2"/>
    <n v="0"/>
    <n v="0"/>
    <s v="назначение на целевую должность"/>
    <d v="2021-10-26T00:00:00"/>
    <s v="повышение"/>
    <s v="протокол-№-21.10.2020"/>
  </r>
  <r>
    <s v="Функциональное направление 3"/>
    <n v="4"/>
    <d v="2021-10-26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09"/>
    <s v="Тимофеев Андрей Михайлович"/>
    <s v="линейный_руководитель_2"/>
    <s v="Подразделение2"/>
    <x v="2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242"/>
    <x v="117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18"/>
    <s v="Баранкин Кондрат Кондратьевич"/>
    <n v="1210"/>
    <s v="Гуськов Илья Ильич"/>
    <s v="линейный_руководитель_2"/>
    <s v="Подразделение2"/>
    <x v="2"/>
    <x v="2"/>
    <n v="0"/>
    <n v="0"/>
    <s v="увольнение"/>
    <d v="2022-05-20T00:00:00"/>
    <s v="не рассматривали"/>
    <s v="протокол-№-26.10.2021"/>
  </r>
  <r>
    <s v="Функциональное направление 3"/>
    <n v="4"/>
    <d v="2019-11-22T00:00:00"/>
    <n v="1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0"/>
    <s v="Брежнев Савел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1"/>
    <s v="Ветров Трофим Никитин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2"/>
    <s v="Игнатьев Савелий Кондрат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19"/>
    <s v="Булкин Константин Константинович"/>
    <s v="Рабочий"/>
    <s v="Подразделение2"/>
    <x v="0"/>
    <x v="1"/>
    <n v="0"/>
    <n v="1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3"/>
    <s v="Игнатьев Трофи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4"/>
    <s v="Прохоров Роман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5"/>
    <s v="Коровкин Ефре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3-03-27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23-03-27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7"/>
    <s v="Коровкин Савелий Тарасо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19-11-22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92"/>
    <s v="Зверев Вениамин Вениаминович"/>
    <s v="линейный_руководитель_2"/>
    <s v="Подразделение2"/>
    <x v="1"/>
    <x v="1"/>
    <n v="0"/>
    <n v="0"/>
    <s v="назначение на целевую должность"/>
    <d v="2022-11-01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11"/>
    <s v="Ивашкин Захар Захарович"/>
    <s v="линейный_руководитель_2"/>
    <s v="Подразделение2"/>
    <x v="1"/>
    <x v="1"/>
    <n v="1"/>
    <n v="0"/>
    <s v="назначение на целевую должность"/>
    <d v="2020-02-01T00:00:00"/>
    <s v="не рассматривали"/>
    <s v="протокол-№-22.11.2019"/>
  </r>
  <r>
    <s v="Функциональное направление 3"/>
    <n v="4"/>
    <d v="2019-11-22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8"/>
    <s v="Коровкин Геннадий Константинович"/>
    <s v="линейный_руководитель_2"/>
    <s v="Подразделение2"/>
    <x v="0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19-11-22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89"/>
    <s v="Брежнев Валерий Валерьевич"/>
    <s v="Рабочий"/>
    <s v="Подразделение2"/>
    <x v="1"/>
    <x v="2"/>
    <n v="0"/>
    <n v="0"/>
    <s v="назначение на целевую должность"/>
    <d v="2021-10-26T00:00:00"/>
    <s v="повышение"/>
    <s v="протокол-№-21.10.2020"/>
  </r>
  <r>
    <s v="Функциональное направление 3"/>
    <n v="4"/>
    <d v="2021-10-26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09"/>
    <s v="Тимофеев Андрей Михайлович"/>
    <s v="линейный_руководитель_2"/>
    <s v="Подразделение2"/>
    <x v="2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242"/>
    <x v="118"/>
    <n v="2"/>
    <s v="Подразделение2"/>
    <s v="подразделение_2_уровня2"/>
    <s v="подразделение_3_уровня2"/>
    <s v="линейный_руководитель_1"/>
    <n v="6"/>
    <s v="да"/>
    <d v="2023-05-25T00:00:00"/>
    <d v="2023-05-25T00:00:00"/>
    <s v="из резерва (учитываем)"/>
    <n v="119"/>
    <s v="Булкин Константин Константинович"/>
    <n v="1210"/>
    <s v="Гуськов Илья Ильич"/>
    <s v="линейный_руководитель_2"/>
    <s v="Подразделение2"/>
    <x v="2"/>
    <x v="2"/>
    <n v="0"/>
    <n v="0"/>
    <s v="увольнение"/>
    <d v="2022-05-20T00:00:00"/>
    <s v="не рассматривали"/>
    <s v="протокол-№-26.10.2021"/>
  </r>
  <r>
    <s v="Функциональное направление 3"/>
    <n v="4"/>
    <d v="2019-11-22T00:00:00"/>
    <n v="1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0"/>
    <s v="Брежнев Савел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1"/>
    <s v="Ветров Трофим Никитин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2"/>
    <s v="Игнатьев Савелий Кондрат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19"/>
    <s v="Булкин Константин Константинович"/>
    <s v="Рабочий"/>
    <s v="Подразделение2"/>
    <x v="0"/>
    <x v="1"/>
    <n v="0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3"/>
    <s v="Игнатьев Трофи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4"/>
    <s v="Прохоров Роман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5"/>
    <s v="Коровкин Ефре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3-03-27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23-03-27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7"/>
    <s v="Коровкин Савелий Тарасо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19-11-22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92"/>
    <s v="Зверев Вениамин Вениаминович"/>
    <s v="линейный_руководитель_2"/>
    <s v="Подразделение2"/>
    <x v="1"/>
    <x v="1"/>
    <n v="0"/>
    <n v="0"/>
    <s v="назначение на целевую должность"/>
    <d v="2022-11-01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8"/>
    <s v="Коровкин Геннадий Константинович"/>
    <s v="линейный_руководитель_2"/>
    <s v="Подразделение2"/>
    <x v="0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19-11-22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89"/>
    <s v="Брежнев Валерий Валерьевич"/>
    <s v="Рабочий"/>
    <s v="Подразделение2"/>
    <x v="1"/>
    <x v="2"/>
    <n v="0"/>
    <n v="0"/>
    <s v="назначение на целевую должность"/>
    <d v="2021-10-26T00:00:00"/>
    <s v="повышение"/>
    <s v="протокол-№-21.10.2020"/>
  </r>
  <r>
    <s v="Функциональное направление 3"/>
    <n v="4"/>
    <d v="2021-10-26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09"/>
    <s v="Тимофеев Андрей Михайлович"/>
    <s v="линейный_руководитель_2"/>
    <s v="Подразделение2"/>
    <x v="2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242"/>
    <x v="119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0"/>
    <s v="Окунев Корней Корнеевич"/>
    <n v="1210"/>
    <s v="Гуськов Илья Ильич"/>
    <s v="линейный_руководитель_2"/>
    <s v="Подразделение2"/>
    <x v="2"/>
    <x v="2"/>
    <n v="0"/>
    <n v="0"/>
    <s v="увольнение"/>
    <d v="2022-05-20T00:00:00"/>
    <s v="не рассматривали"/>
    <s v="протокол-№-26.10.2021"/>
  </r>
  <r>
    <s v="Функциональное направление 3"/>
    <n v="4"/>
    <d v="2019-11-22T00:00:00"/>
    <n v="1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0"/>
    <s v="Брежнев Савел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1"/>
    <s v="Ветров Трофим Никитин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2"/>
    <s v="Игнатьев Савелий Кондрат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19"/>
    <s v="Булкин Константин Константинович"/>
    <s v="Рабочий"/>
    <s v="Подразделение2"/>
    <x v="0"/>
    <x v="1"/>
    <n v="0"/>
    <n v="0"/>
    <s v="назначение на целевую должность"/>
    <d v="2023-05-25T00:00:00"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3"/>
    <s v="Игнатьев Трофи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4"/>
    <s v="Прохоров Роман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5"/>
    <s v="Коровкин Ефрем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3-03-27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23-03-27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7"/>
    <s v="Коровкин Савелий Тарасо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19-11-22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92"/>
    <s v="Зверев Вениамин Вениаминович"/>
    <s v="линейный_руководитель_2"/>
    <s v="Подразделение2"/>
    <x v="1"/>
    <x v="1"/>
    <n v="0"/>
    <n v="0"/>
    <s v="назначение на целевую должность"/>
    <d v="2022-11-01T00:00:00"/>
    <s v="повышение"/>
    <s v="протокол-№-21.10.2020"/>
  </r>
  <r>
    <s v="Функциональное направление 3"/>
    <n v="4"/>
    <d v="2019-11-22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8"/>
    <s v="Коровкин Геннадий Константинович"/>
    <s v="линейный_руководитель_2"/>
    <s v="Подразделение2"/>
    <x v="0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19-11-22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89"/>
    <s v="Брежнев Валерий Валерьевич"/>
    <s v="Рабочий"/>
    <s v="Подразделение2"/>
    <x v="1"/>
    <x v="2"/>
    <n v="0"/>
    <n v="0"/>
    <s v="назначение на целевую должность"/>
    <d v="2021-10-26T00:00:00"/>
    <s v="повышение"/>
    <s v="протокол-№-21.10.2020"/>
  </r>
  <r>
    <s v="Функциональное направление 3"/>
    <n v="4"/>
    <d v="2021-10-26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09"/>
    <s v="Тимофеев Андрей Михайлович"/>
    <s v="линейный_руководитель_2"/>
    <s v="Подразделение2"/>
    <x v="2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242"/>
    <x v="120"/>
    <n v="2"/>
    <s v="Подразделение2"/>
    <s v="подразделение_2_уровня2"/>
    <s v="подразделение_3_уровня2"/>
    <s v="линейный_руководитель_1"/>
    <n v="6"/>
    <s v="нет"/>
    <m/>
    <m/>
    <m/>
    <n v="121"/>
    <s v="Карасев Кузьма Кузьмич"/>
    <n v="1210"/>
    <s v="Гуськов Илья Ильич"/>
    <s v="линейный_руководитель_2"/>
    <s v="Подразделение2"/>
    <x v="2"/>
    <x v="2"/>
    <n v="0"/>
    <n v="0"/>
    <s v="увольнение"/>
    <d v="2022-05-20T00:00:00"/>
    <s v="не рассматривали"/>
    <s v="протокол-№-26.10.2021"/>
  </r>
  <r>
    <s v="Функциональное направление 3"/>
    <n v="4"/>
    <d v="2019-11-22T00:00:00"/>
    <n v="1"/>
    <s v="не защищена"/>
    <n v="500243"/>
    <x v="121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2"/>
    <s v="Нырков Лавр Лаврович"/>
    <n v="1218"/>
    <s v="Филиппов Савелий Тарасович"/>
    <s v="Рабочий"/>
    <s v="Подразделение2"/>
    <x v="0"/>
    <x v="0"/>
    <n v="0"/>
    <n v="0"/>
    <m/>
    <m/>
    <s v="без изменений"/>
    <s v="протокол-№-15.11.2023"/>
  </r>
  <r>
    <s v="Функциональное направление 3"/>
    <n v="4"/>
    <d v="2021-10-26T00:00:00"/>
    <n v="0"/>
    <s v="не защищена"/>
    <n v="500243"/>
    <x v="121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2"/>
    <s v="Нырков Лавр Лаврович"/>
    <n v="1219"/>
    <s v="Прохоров Савел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1-10-26T00:00:00"/>
    <n v="0"/>
    <s v="не защищена"/>
    <n v="500243"/>
    <x v="121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2"/>
    <s v="Нырков Лавр Лаврович"/>
    <n v="1220"/>
    <s v="Незнамов Константин Геннад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3"/>
    <x v="121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2"/>
    <s v="Нырков Лавр Лаврович"/>
    <n v="1221"/>
    <s v="Дорофеев Виталий Александрович"/>
    <s v="Рабочий"/>
    <s v="Подразделение2"/>
    <x v="1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3"/>
    <x v="121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2"/>
    <s v="Нырков Лавр Лаврович"/>
    <n v="1222"/>
    <s v="Кирюхин Трофим Игнатович"/>
    <s v="Рабочий"/>
    <s v="Подразделение2"/>
    <x v="1"/>
    <x v="0"/>
    <n v="0"/>
    <n v="0"/>
    <m/>
    <m/>
    <s v="повышение"/>
    <s v="протокол-№-15.11.2023"/>
  </r>
  <r>
    <s v="Функциональное направление 3"/>
    <n v="4"/>
    <d v="2023-03-27T00:00:00"/>
    <n v="0"/>
    <s v="не защищена"/>
    <n v="500243"/>
    <x v="121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2"/>
    <s v="Нырков Лавр Лавров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19-11-22T00:00:00"/>
    <n v="1"/>
    <s v="не защищена"/>
    <n v="500244"/>
    <x v="122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3"/>
    <s v="Ярославов Кузьма Ефремович"/>
    <n v="1218"/>
    <s v="Филиппов Савелий Тарасович"/>
    <s v="Рабочий"/>
    <s v="Подразделение2"/>
    <x v="0"/>
    <x v="0"/>
    <n v="0"/>
    <n v="0"/>
    <m/>
    <m/>
    <s v="без изменений"/>
    <s v="протокол-№-15.11.2023"/>
  </r>
  <r>
    <s v="Функциональное направление 3"/>
    <n v="4"/>
    <d v="2021-10-26T00:00:00"/>
    <n v="0"/>
    <s v="не защищена"/>
    <n v="500244"/>
    <x v="122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3"/>
    <s v="Ярославов Кузьма Ефремович"/>
    <n v="1219"/>
    <s v="Прохоров Савел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1-10-26T00:00:00"/>
    <n v="0"/>
    <s v="не защищена"/>
    <n v="500244"/>
    <x v="122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3"/>
    <s v="Ярославов Кузьма Ефремович"/>
    <n v="1220"/>
    <s v="Незнамов Константин Геннадье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4"/>
    <x v="122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3"/>
    <s v="Ярославов Кузьма Ефремович"/>
    <n v="1221"/>
    <s v="Дорофеев Виталий Александрович"/>
    <s v="Рабочий"/>
    <s v="Подразделение2"/>
    <x v="1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4"/>
    <x v="122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3"/>
    <s v="Ярославов Кузьма Ефремович"/>
    <n v="1222"/>
    <s v="Кирюхин Трофим Игнатович"/>
    <s v="Рабочий"/>
    <s v="Подразделение2"/>
    <x v="1"/>
    <x v="0"/>
    <n v="0"/>
    <n v="0"/>
    <m/>
    <m/>
    <s v="повышение"/>
    <s v="протокол-№-15.11.2023"/>
  </r>
  <r>
    <s v="Функциональное направление 3"/>
    <n v="4"/>
    <d v="2023-03-27T00:00:00"/>
    <n v="0"/>
    <s v="не защищена"/>
    <n v="500244"/>
    <x v="122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3"/>
    <s v="Ярославов Кузьма Ефремович"/>
    <n v="1206"/>
    <s v="Игорев Геннадий Кондратьевич"/>
    <s v="Рабочий"/>
    <s v="Подразделение2"/>
    <x v="2"/>
    <x v="0"/>
    <n v="0"/>
    <n v="0"/>
    <m/>
    <m/>
    <s v="не рассматривали"/>
    <s v="протокол-№-15.11.2023-ДОП"/>
  </r>
  <r>
    <s v="Функциональное направление 3"/>
    <n v="4"/>
    <d v="2020-10-21T00:00:00"/>
    <n v="1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23"/>
    <s v="Гуськов Виталий Александрович"/>
    <s v="Рабочий"/>
    <s v="Подразделение2"/>
    <x v="0"/>
    <x v="0"/>
    <n v="1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24"/>
    <s v="Карасев Юрий Кондратьевич"/>
    <s v="Рабочий"/>
    <s v="Подразделение2"/>
    <x v="2"/>
    <x v="0"/>
    <n v="1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199"/>
    <s v="Семенов Савелий Александрович"/>
    <s v="Рабочий"/>
    <s v="Подразделение2"/>
    <x v="0"/>
    <x v="0"/>
    <n v="1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25"/>
    <s v="Тимофеев Афанасий Геннадьевич"/>
    <s v="Рабочий"/>
    <s v="Подразделение2"/>
    <x v="0"/>
    <x v="0"/>
    <n v="1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26"/>
    <s v="Семенов Арсений Александрович"/>
    <s v="Рабочий"/>
    <s v="Подразделение2"/>
    <x v="0"/>
    <x v="0"/>
    <n v="1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27"/>
    <s v="Прохоров Арсений Ильич"/>
    <s v="Рабочий"/>
    <s v="Подразделение2"/>
    <x v="2"/>
    <x v="0"/>
    <n v="1"/>
    <n v="0"/>
    <m/>
    <m/>
    <s v="без изменений"/>
    <s v="протокол-№-15.11.2023"/>
  </r>
  <r>
    <s v="Функциональное направление 3"/>
    <n v="4"/>
    <d v="2022-11-15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28"/>
    <s v="Игнатьев Арсений Кондратье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14"/>
    <s v="Ветров Трофим Богдано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29"/>
    <s v="Кириллов Виталий Герасимо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30"/>
    <s v="Коростелев Лавр Кондратье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31"/>
    <s v="Игнатьев Юрий Никитин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19-11-22T00:00:00"/>
    <n v="0"/>
    <s v="не защищена"/>
    <n v="500245"/>
    <x v="123"/>
    <n v="2"/>
    <s v="Подразделение2"/>
    <s v="подразделение_2_уровня2"/>
    <s v="подразделение_3_уровня2"/>
    <s v="линейный_руководитель_2"/>
    <n v="6"/>
    <s v="да"/>
    <d v="2020-08-21T00:00:00"/>
    <d v="2021-07-01T00:00:00"/>
    <s v="внутр. сотр. (учитываем)"/>
    <n v="124"/>
    <s v="Григорьев Лавр Арсеньевич"/>
    <n v="1232"/>
    <s v="Коростелев Константин Михайлович"/>
    <s v="Рабочий"/>
    <s v="Подразделение2"/>
    <x v="0"/>
    <x v="2"/>
    <n v="1"/>
    <n v="0"/>
    <s v="инициатива комитета / руководителя"/>
    <d v="2020-10-21T00:00:00"/>
    <s v="исключение"/>
    <s v="протокол-№-21.10.2020"/>
  </r>
  <r>
    <s v="Функциональное направление 3"/>
    <n v="4"/>
    <d v="2019-11-22T00:00:00"/>
    <n v="1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25"/>
    <s v="Тимофеев Афанасий Геннадьевич"/>
    <s v="Рабочий"/>
    <s v="Подразделение2"/>
    <x v="0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23"/>
    <s v="Гуськов Витал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24"/>
    <s v="Карасев Юр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199"/>
    <s v="Семенов Савел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26"/>
    <s v="Семенов Арсен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27"/>
    <s v="Прохоров Арсений Иль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2-11-15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28"/>
    <s v="Игнатьев Арсений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14"/>
    <s v="Ветров Трофим Богдано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29"/>
    <s v="Кириллов Виталий Герасимо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30"/>
    <s v="Коростелев Лавр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31"/>
    <s v="Игнатьев Юрий Никитин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19-11-22T00:00:00"/>
    <n v="0"/>
    <s v="не защищена"/>
    <n v="500246"/>
    <x v="124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5"/>
    <s v="Марков Константин Георгиевич"/>
    <n v="1232"/>
    <s v="Коростелев Константин Михайлович"/>
    <s v="Рабочий"/>
    <s v="Подразделение2"/>
    <x v="0"/>
    <x v="2"/>
    <n v="0"/>
    <n v="0"/>
    <s v="инициатива комитета / руководителя"/>
    <d v="2020-10-21T00:00:00"/>
    <s v="исключение"/>
    <s v="протокол-№-21.10.2020"/>
  </r>
  <r>
    <s v="Функциональное направление 3"/>
    <n v="4"/>
    <d v="2019-11-22T00:00:00"/>
    <n v="1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25"/>
    <s v="Тимофеев Афанасий Геннадьевич"/>
    <s v="Рабочий"/>
    <s v="Подразделение2"/>
    <x v="0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27"/>
    <s v="Прохоров Арсений Иль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23"/>
    <s v="Гуськов Витал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24"/>
    <s v="Карасев Юр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199"/>
    <s v="Семенов Савел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26"/>
    <s v="Семенов Арсен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28"/>
    <s v="Игнатьев Арсений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14"/>
    <s v="Ветров Трофим Богдано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29"/>
    <s v="Кириллов Виталий Герасимо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30"/>
    <s v="Коростелев Лавр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31"/>
    <s v="Игнатьев Юрий Никитин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19-11-22T00:00:00"/>
    <n v="0"/>
    <s v="не защищена"/>
    <n v="500247"/>
    <x v="125"/>
    <n v="2"/>
    <s v="Подразделение2"/>
    <s v="подразделение_2_уровня2"/>
    <s v="подразделение_3_уровня2"/>
    <s v="линейный_руководитель_2"/>
    <n v="6"/>
    <s v="нет"/>
    <m/>
    <m/>
    <m/>
    <n v="126"/>
    <s v="Конеев Вадим Анатольевич"/>
    <n v="1232"/>
    <s v="Коростелев Константин Михайлович"/>
    <s v="Рабочий"/>
    <s v="Подразделение2"/>
    <x v="0"/>
    <x v="2"/>
    <n v="0"/>
    <n v="0"/>
    <s v="инициатива комитета / руководителя"/>
    <d v="2020-10-21T00:00:00"/>
    <s v="исключение"/>
    <s v="протокол-№-21.10.2020"/>
  </r>
  <r>
    <s v="Функциональное направление 3"/>
    <n v="4"/>
    <d v="2019-11-22T00:00:00"/>
    <n v="1"/>
    <s v="не защищена"/>
    <n v="500248"/>
    <x v="126"/>
    <n v="2"/>
    <s v="Подразделение2"/>
    <s v="подразделение_2_уровня2"/>
    <s v="-"/>
    <s v="линейный_руководитель_2"/>
    <n v="6"/>
    <s v="нет"/>
    <m/>
    <m/>
    <m/>
    <n v="127"/>
    <s v="Сысоев Василий Федотович"/>
    <n v="1225"/>
    <s v="Тимофеев Афанасий Геннадьевич"/>
    <s v="Рабочий"/>
    <s v="Подразделение2"/>
    <x v="0"/>
    <x v="0"/>
    <n v="0"/>
    <n v="0"/>
    <m/>
    <m/>
    <s v="без изменений"/>
    <s v="протокол-№-21.10.2020"/>
  </r>
  <r>
    <s v="Функциональное направление 3"/>
    <n v="4"/>
    <d v="2020-10-21T00:00:00"/>
    <n v="0"/>
    <s v="не защищена"/>
    <n v="500248"/>
    <x v="126"/>
    <n v="2"/>
    <s v="Подразделение2"/>
    <s v="подразделение_2_уровня2"/>
    <s v="-"/>
    <s v="линейный_руководитель_2"/>
    <n v="6"/>
    <s v="нет"/>
    <m/>
    <m/>
    <m/>
    <n v="127"/>
    <s v="Сысоев Василий Федотович"/>
    <n v="1227"/>
    <s v="Прохоров Арсений Иль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8"/>
    <x v="126"/>
    <n v="2"/>
    <s v="Подразделение2"/>
    <s v="подразделение_2_уровня2"/>
    <s v="-"/>
    <s v="линейный_руководитель_2"/>
    <n v="6"/>
    <s v="нет"/>
    <m/>
    <m/>
    <m/>
    <n v="127"/>
    <s v="Сысоев Василий Федотович"/>
    <n v="1223"/>
    <s v="Гуськов Витал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8"/>
    <x v="126"/>
    <n v="2"/>
    <s v="Подразделение2"/>
    <s v="подразделение_2_уровня2"/>
    <s v="-"/>
    <s v="линейный_руководитель_2"/>
    <n v="6"/>
    <s v="нет"/>
    <m/>
    <m/>
    <m/>
    <n v="127"/>
    <s v="Сысоев Василий Федотович"/>
    <n v="1224"/>
    <s v="Карасев Юр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248"/>
    <x v="126"/>
    <n v="2"/>
    <s v="Подразделение2"/>
    <s v="подразделение_2_уровня2"/>
    <s v="-"/>
    <s v="линейный_руководитель_2"/>
    <n v="6"/>
    <s v="нет"/>
    <m/>
    <m/>
    <m/>
    <n v="127"/>
    <s v="Сысоев Василий Федотович"/>
    <n v="1199"/>
    <s v="Семенов Савел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248"/>
    <x v="126"/>
    <n v="2"/>
    <s v="Подразделение2"/>
    <s v="подразделение_2_уровня2"/>
    <s v="-"/>
    <s v="линейный_руководитель_2"/>
    <n v="6"/>
    <s v="нет"/>
    <m/>
    <m/>
    <m/>
    <n v="127"/>
    <s v="Сысоев Василий Федотович"/>
    <n v="1226"/>
    <s v="Семенов Арсен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19-11-22T00:00:00"/>
    <n v="0"/>
    <s v="не защищена"/>
    <n v="500248"/>
    <x v="126"/>
    <n v="2"/>
    <s v="Подразделение2"/>
    <s v="подразделение_2_уровня2"/>
    <s v="-"/>
    <s v="линейный_руководитель_2"/>
    <n v="6"/>
    <s v="нет"/>
    <m/>
    <m/>
    <m/>
    <n v="127"/>
    <s v="Сысоев Василий Федотович"/>
    <n v="1232"/>
    <s v="Коростелев Константин Михайлович"/>
    <s v="Рабочий"/>
    <s v="Подразделение2"/>
    <x v="0"/>
    <x v="2"/>
    <n v="0"/>
    <n v="0"/>
    <s v="инициатива комитета / руководителя"/>
    <d v="2020-10-21T00:00:00"/>
    <s v="исключение"/>
    <s v="протокол-№-21.10.2020"/>
  </r>
  <r>
    <s v="Функциональное направление 3"/>
    <n v="4"/>
    <d v="2022-11-15T00:00:00"/>
    <n v="1"/>
    <s v="не защищена"/>
    <n v="500249"/>
    <x v="127"/>
    <n v="2"/>
    <s v="Подразделение2"/>
    <s v="подразделение_2_уровня2"/>
    <s v="-"/>
    <s v="линейный_руководитель_2"/>
    <n v="7"/>
    <s v="да"/>
    <d v="2020-06-01T00:00:00"/>
    <d v="2020-06-01T00:00:00"/>
    <s v="из резерва (учитываем)"/>
    <n v="128"/>
    <s v="Вениаминов Денис Федотович"/>
    <n v="1233"/>
    <s v="Потапов Константин Владиславович"/>
    <s v="Рабочий"/>
    <s v="Подразделение2"/>
    <x v="2"/>
    <x v="0"/>
    <n v="1"/>
    <n v="0"/>
    <m/>
    <m/>
    <s v="не рассматривали"/>
    <s v="протокол-№-15.11.2023"/>
  </r>
  <r>
    <s v="Функциональное направление 3"/>
    <n v="4"/>
    <d v="2019-11-22T00:00:00"/>
    <n v="0"/>
    <s v="не защищена"/>
    <n v="500249"/>
    <x v="127"/>
    <n v="2"/>
    <s v="Подразделение2"/>
    <s v="подразделение_2_уровня2"/>
    <s v="-"/>
    <s v="линейный_руководитель_2"/>
    <n v="7"/>
    <s v="да"/>
    <d v="2020-06-01T00:00:00"/>
    <d v="2020-06-01T00:00:00"/>
    <s v="из резерва (учитываем)"/>
    <n v="128"/>
    <s v="Вениаминов Денис Федотович"/>
    <n v="128"/>
    <s v="Вениаминов Денис Федотович"/>
    <s v="Рабочий"/>
    <s v="Подразделение2"/>
    <x v="1"/>
    <x v="1"/>
    <n v="1"/>
    <n v="1"/>
    <s v="назначение на целевую должность"/>
    <d v="2020-06-01T00:00:00"/>
    <s v="не рассматривали"/>
    <s v="протокол-№-22.11.2019"/>
  </r>
  <r>
    <s v="Функциональное направление 3"/>
    <n v="4"/>
    <d v="2021-10-26T00:00:00"/>
    <n v="0"/>
    <s v="не защищена"/>
    <n v="500249"/>
    <x v="127"/>
    <n v="2"/>
    <s v="Подразделение2"/>
    <s v="подразделение_2_уровня2"/>
    <s v="-"/>
    <s v="линейный_руководитель_2"/>
    <n v="7"/>
    <s v="да"/>
    <d v="2020-06-01T00:00:00"/>
    <d v="2020-06-01T00:00:00"/>
    <s v="из резерва (учитываем)"/>
    <n v="128"/>
    <s v="Вениаминов Денис Федотович"/>
    <n v="1234"/>
    <s v="Тимофеев Матвей Тарасович"/>
    <s v="линейный_руководитель_2"/>
    <s v="Подразделение2"/>
    <x v="2"/>
    <x v="2"/>
    <n v="1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249"/>
    <x v="127"/>
    <n v="2"/>
    <s v="Подразделение2"/>
    <s v="подразделение_2_уровня2"/>
    <s v="-"/>
    <s v="линейный_руководитель_2"/>
    <n v="7"/>
    <s v="да"/>
    <d v="2020-06-01T00:00:00"/>
    <d v="2020-06-01T00:00:00"/>
    <s v="из резерва (учитываем)"/>
    <n v="128"/>
    <s v="Вениаминов Денис Федотович"/>
    <n v="1235"/>
    <s v="Брежнев Захар Никитинич"/>
    <s v="линейный_руководитель_2"/>
    <s v="Подразделение2"/>
    <x v="2"/>
    <x v="2"/>
    <n v="1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3"/>
    <d v="2018-11-22T00:00:00"/>
    <n v="1"/>
    <s v="не защищена"/>
    <n v="500572"/>
    <x v="128"/>
    <n v="1"/>
    <s v="Подразделение1"/>
    <s v="подразделение_2_уровня1"/>
    <s v="подразделение_3_уровня1"/>
    <s v="руководитель_среднего_уровня_4"/>
    <n v="5"/>
    <s v="да"/>
    <d v="2021-12-19T00:00:00"/>
    <d v="2022-03-09T00:00:00"/>
    <s v="из резерва (учитываем)"/>
    <n v="129"/>
    <s v="Исаев Еремей Константинович"/>
    <n v="62"/>
    <s v="Савельев Савелий Савельевич"/>
    <s v="руководитель_среднего_уровня_3"/>
    <s v="Подразделение1"/>
    <x v="1"/>
    <x v="0"/>
    <n v="1"/>
    <n v="0"/>
    <m/>
    <m/>
    <s v="повышение"/>
    <s v="протокол-№-27.06.2023"/>
  </r>
  <r>
    <s v="Функциональное направление 3"/>
    <n v="3"/>
    <d v="2018-11-22T00:00:00"/>
    <n v="0"/>
    <s v="не защищена"/>
    <n v="500572"/>
    <x v="128"/>
    <n v="1"/>
    <s v="Подразделение1"/>
    <s v="подразделение_2_уровня1"/>
    <s v="подразделение_3_уровня1"/>
    <s v="руководитель_среднего_уровня_4"/>
    <n v="5"/>
    <s v="да"/>
    <d v="2021-12-19T00:00:00"/>
    <d v="2022-03-09T00:00:00"/>
    <s v="из резерва (учитываем)"/>
    <n v="129"/>
    <s v="Исаев Еремей Константинович"/>
    <n v="61"/>
    <s v="Романов Роман Романович"/>
    <s v="руководитель_среднего_уровня_3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22-02-07T00:00:00"/>
    <n v="0"/>
    <s v="не защищена"/>
    <n v="500572"/>
    <x v="128"/>
    <n v="1"/>
    <s v="Подразделение1"/>
    <s v="подразделение_2_уровня1"/>
    <s v="подразделение_3_уровня1"/>
    <s v="руководитель_среднего_уровня_4"/>
    <n v="5"/>
    <s v="да"/>
    <d v="2021-12-19T00:00:00"/>
    <d v="2022-03-09T00:00:00"/>
    <s v="из резерва (учитываем)"/>
    <n v="129"/>
    <s v="Исаев Еремей Константинович"/>
    <n v="129"/>
    <s v="Исаев Еремей Константинович"/>
    <s v="линейный_руководитель_2"/>
    <s v="Подразделение1"/>
    <x v="0"/>
    <x v="1"/>
    <n v="1"/>
    <n v="1"/>
    <s v="назначение на целевую должность"/>
    <d v="2022-03-09T00:00:00"/>
    <s v="не рассматривали"/>
    <s v="протокол-№-28.06.2021"/>
  </r>
  <r>
    <s v="Функциональное направление 3"/>
    <n v="4"/>
    <d v="2019-11-14T00:00:00"/>
    <n v="1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19-11-14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67"/>
    <s v="Тарасов Тарас Тарасович"/>
    <s v="Рабочий"/>
    <s v="Подразделение1"/>
    <x v="1"/>
    <x v="1"/>
    <n v="1"/>
    <n v="0"/>
    <s v="назначение на целевую должность"/>
    <d v="2022-07-19T00:00:00"/>
    <s v="без изменений"/>
    <s v="протокол-№-28.10.2020"/>
  </r>
  <r>
    <s v="Функциональное направление 3"/>
    <n v="4"/>
    <d v="2019-11-14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130"/>
    <s v="Михайлов Клим Борисович"/>
    <s v="Рабочий"/>
    <s v="Подразделение1"/>
    <x v="1"/>
    <x v="1"/>
    <n v="1"/>
    <n v="1"/>
    <s v="назначение на целевую должность"/>
    <d v="2020-05-16T00:00:00"/>
    <s v="исключение"/>
    <s v="протокол-№-28.10.2020"/>
  </r>
  <r>
    <s v="Функциональное направление 3"/>
    <n v="4"/>
    <d v="2021-10-27T00:00:00"/>
    <n v="0"/>
    <s v="не защищена"/>
    <n v="500373"/>
    <x v="129"/>
    <n v="1"/>
    <s v="Подразделение1"/>
    <s v="подразделение_2_уровня1"/>
    <s v="подразделение_3_уровня1"/>
    <s v="линейный_руководитель_1"/>
    <n v="6"/>
    <s v="да"/>
    <d v="2020-02-14T00:00:00"/>
    <d v="2020-05-16T00:00:00"/>
    <s v="из резерва (учитываем)"/>
    <n v="130"/>
    <s v="Михайлов Клим Борисо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4"/>
    <d v="2019-11-14T00:00:00"/>
    <n v="1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77"/>
    <s v="Гуськов Арсений Кондратье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78"/>
    <s v="Игнатьев Ефрем Клим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79"/>
    <s v="Фирсов Савелий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19-11-14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76"/>
    <s v="Ветров Трофим Маркович"/>
    <s v="Рабочий"/>
    <s v="Подразделение1"/>
    <x v="1"/>
    <x v="0"/>
    <n v="0"/>
    <n v="0"/>
    <m/>
    <m/>
    <s v="без изменений"/>
    <s v="протокол-№-02.12.2023"/>
  </r>
  <r>
    <s v="Функциональное направление 3"/>
    <n v="4"/>
    <d v="2019-11-14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80"/>
    <s v="Семенов Игнат Геннадьев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0-10-09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81"/>
    <s v="Дмитриев Матвей Никитинич"/>
    <s v="Рабочий"/>
    <s v="Подразделение1"/>
    <x v="1"/>
    <x v="0"/>
    <n v="0"/>
    <n v="0"/>
    <m/>
    <m/>
    <s v="повышение"/>
    <s v="протокол-№-02.12.2023"/>
  </r>
  <r>
    <s v="Функциональное направление 3"/>
    <n v="4"/>
    <d v="2022-12-02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82"/>
    <s v="Тимофеев Константин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83"/>
    <s v="Игнатьев Савелий Кондрат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84"/>
    <s v="Кирюхин Афанасий Геннадьевич"/>
    <s v="Рабочий"/>
    <s v="Подразделение1"/>
    <x v="2"/>
    <x v="0"/>
    <n v="0"/>
    <n v="0"/>
    <m/>
    <m/>
    <s v="не рассматривали"/>
    <s v="протокол-№-02.12.2023"/>
  </r>
  <r>
    <s v="Функциональное направление 3"/>
    <n v="4"/>
    <d v="2022-12-02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1185"/>
    <s v="Игнатьев Кирилл Тарасович"/>
    <s v="Рабочий"/>
    <s v="Подразделение1"/>
    <x v="1"/>
    <x v="0"/>
    <n v="0"/>
    <n v="0"/>
    <m/>
    <m/>
    <s v="не рассматривали"/>
    <s v="протокол-№-02.12.2023"/>
  </r>
  <r>
    <s v="Функциональное направление 3"/>
    <n v="4"/>
    <d v="2021-10-27T00:00:00"/>
    <n v="0"/>
    <s v="не защищена"/>
    <n v="500373"/>
    <x v="130"/>
    <n v="1"/>
    <s v="Подразделение1"/>
    <s v="подразделение_2_уровня1"/>
    <s v="подразделение_3_уровня1"/>
    <s v="линейный_руководитель_1"/>
    <n v="6"/>
    <s v="нет"/>
    <m/>
    <m/>
    <m/>
    <n v="131"/>
    <s v="Глебов Потап Егорович"/>
    <n v="70"/>
    <s v="Трофимов Трофим Трофимович"/>
    <s v="линейный_руководитель_2"/>
    <s v="Подразделение1"/>
    <x v="1"/>
    <x v="1"/>
    <n v="0"/>
    <n v="0"/>
    <s v="назначение на целевую должность"/>
    <d v="2023-01-13T00:00:00"/>
    <s v="повышение"/>
    <s v="протокол-№-02.12.2023"/>
  </r>
  <r>
    <s v="Функциональное направление 3"/>
    <n v="3"/>
    <d v="2018-11-22T00:00:00"/>
    <n v="1"/>
    <s v="не защищена"/>
    <n v="500573"/>
    <x v="131"/>
    <n v="1"/>
    <s v="Подразделение1"/>
    <s v="подразделение_2_уровня1"/>
    <s v="подразделение_3_уровня1"/>
    <s v="руководитель_среднего_уровня_4"/>
    <n v="5"/>
    <s v="нет"/>
    <m/>
    <m/>
    <m/>
    <n v="132"/>
    <s v="Игнатьев Данил Петрович"/>
    <n v="61"/>
    <s v="Романов Роман Романович"/>
    <s v="руководитель_среднего_уровня_3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20-07-02T00:00:00"/>
    <n v="0"/>
    <s v="не защищена"/>
    <n v="500573"/>
    <x v="131"/>
    <n v="1"/>
    <s v="Подразделение1"/>
    <s v="подразделение_2_уровня1"/>
    <s v="подразделение_3_уровня1"/>
    <s v="руководитель_среднего_уровня_4"/>
    <n v="5"/>
    <s v="нет"/>
    <m/>
    <m/>
    <m/>
    <n v="132"/>
    <s v="Игнатьев Данил Петрович"/>
    <n v="72"/>
    <s v="Федотов Федот Федотович"/>
    <s v="линейный_руководитель_2"/>
    <s v="Подразделение1"/>
    <x v="0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573"/>
    <x v="131"/>
    <n v="1"/>
    <s v="Подразделение1"/>
    <s v="подразделение_2_уровня1"/>
    <s v="подразделение_3_уровня1"/>
    <s v="руководитель_среднего_уровня_4"/>
    <n v="5"/>
    <s v="нет"/>
    <m/>
    <m/>
    <m/>
    <n v="132"/>
    <s v="Игнатьев Данил Петрович"/>
    <n v="62"/>
    <s v="Савельев Савелий Савельевич"/>
    <s v="руководитель_среднего_уровня_3"/>
    <s v="Подразделение1"/>
    <x v="1"/>
    <x v="0"/>
    <n v="1"/>
    <n v="0"/>
    <m/>
    <m/>
    <s v="повышение"/>
    <s v="протокол-№-27.06.2023"/>
  </r>
  <r>
    <s v="Функциональное направление 3"/>
    <n v="3"/>
    <d v="2022-12-19T00:00:00"/>
    <n v="0"/>
    <s v="не защищена"/>
    <n v="500573"/>
    <x v="131"/>
    <n v="1"/>
    <s v="Подразделение1"/>
    <s v="подразделение_2_уровня1"/>
    <s v="подразделение_3_уровня1"/>
    <s v="руководитель_среднего_уровня_4"/>
    <n v="5"/>
    <s v="нет"/>
    <m/>
    <m/>
    <m/>
    <n v="132"/>
    <s v="Игнатьев Данил Петрович"/>
    <n v="68"/>
    <s v="Тимофеев Тимофей Тимофеевич"/>
    <s v="линейный_руководитель_2"/>
    <s v="Подразделение1"/>
    <x v="2"/>
    <x v="0"/>
    <n v="1"/>
    <n v="0"/>
    <m/>
    <m/>
    <s v="не рассматривали"/>
    <s v="протокол-№-19.12.2023"/>
  </r>
  <r>
    <s v="Функциональное направление 3"/>
    <n v="4"/>
    <d v="2019-11-22T00:00:00"/>
    <n v="1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25"/>
    <s v="Тимофеев Афанасий Геннадьевич"/>
    <s v="Рабочий"/>
    <s v="Подразделение2"/>
    <x v="0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27"/>
    <s v="Прохоров Арсений Иль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23"/>
    <s v="Гуськов Витал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24"/>
    <s v="Карасев Юрий Кондратьевич"/>
    <s v="Рабочий"/>
    <s v="Подразделение2"/>
    <x v="2"/>
    <x v="0"/>
    <n v="0"/>
    <n v="0"/>
    <m/>
    <m/>
    <s v="без изменений"/>
    <s v="протокол-№-15.11.2023"/>
  </r>
  <r>
    <s v="Функциональное направление 3"/>
    <n v="4"/>
    <d v="2020-10-21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199"/>
    <s v="Семенов Савел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0-10-21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26"/>
    <s v="Семенов Арсений Александрович"/>
    <s v="Рабочий"/>
    <s v="Подразделение2"/>
    <x v="0"/>
    <x v="0"/>
    <n v="0"/>
    <n v="0"/>
    <m/>
    <m/>
    <s v="повышение"/>
    <s v="протокол-№-15.11.2023"/>
  </r>
  <r>
    <s v="Функциональное направление 3"/>
    <n v="4"/>
    <d v="2022-11-15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28"/>
    <s v="Игнатьев Арсений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14"/>
    <s v="Ветров Трофим Богдано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29"/>
    <s v="Кириллов Виталий Герасимо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30"/>
    <s v="Коростелев Лавр Кондратье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2-11-15T00:00:00"/>
    <n v="0"/>
    <s v="не защищена"/>
    <n v="500602"/>
    <x v="132"/>
    <n v="2"/>
    <s v="Подразделение2"/>
    <s v="подразделение_2_уровня2"/>
    <s v="подразделение_3_уровня2"/>
    <s v="линейный_руководитель_2"/>
    <n v="6"/>
    <s v="да"/>
    <d v="2021-07-01T00:00:00"/>
    <d v="2021-07-01T00:00:00"/>
    <s v="внутр. сотр. (учитываем)"/>
    <n v="133"/>
    <s v="Баранкин Игорь Ильич"/>
    <n v="1231"/>
    <s v="Игнатьев Юрий Никитин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1-10-26T00:00:00"/>
    <n v="1"/>
    <s v="не защищена"/>
    <n v="500612"/>
    <x v="133"/>
    <n v="2"/>
    <s v="Подразделение2"/>
    <s v="подразделение_2_уровня2"/>
    <s v="подразделение_3_уровня2"/>
    <s v="линейный_руководитель_2"/>
    <n v="7"/>
    <s v="нет"/>
    <m/>
    <m/>
    <m/>
    <n v="134"/>
    <s v="Конеев Федот Семенович"/>
    <n v="1213"/>
    <s v="Прохоров Арсений Игнатович"/>
    <s v="Рабочий"/>
    <s v="Подразделение2"/>
    <x v="1"/>
    <x v="0"/>
    <n v="1"/>
    <n v="0"/>
    <m/>
    <m/>
    <s v="повышение"/>
    <s v="протокол-№-15.11.2023"/>
  </r>
  <r>
    <s v="Функциональное направление 3"/>
    <n v="4"/>
    <d v="2021-10-26T00:00:00"/>
    <n v="0"/>
    <s v="не защищена"/>
    <n v="500612"/>
    <x v="133"/>
    <n v="2"/>
    <s v="Подразделение2"/>
    <s v="подразделение_2_уровня2"/>
    <s v="подразделение_3_уровня2"/>
    <s v="линейный_руководитель_2"/>
    <n v="7"/>
    <s v="нет"/>
    <m/>
    <m/>
    <m/>
    <n v="134"/>
    <s v="Конеев Федот Семенович"/>
    <n v="1236"/>
    <s v="Тимофеев Захар Тимофеевич"/>
    <s v="линейный_руководитель_2"/>
    <s v="Подразделение2"/>
    <x v="2"/>
    <x v="2"/>
    <n v="1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1"/>
    <s v="не защищена"/>
    <n v="500613"/>
    <x v="134"/>
    <n v="2"/>
    <s v="Подразделение2"/>
    <s v="подразделение_2_уровня2"/>
    <s v="подразделение_3_уровня2"/>
    <s v="линейный_руководитель_2"/>
    <n v="7"/>
    <s v="да"/>
    <d v="2021-01-15T00:00:00"/>
    <d v="2021-01-15T00:00:00"/>
    <s v="из резерва (учитываем)"/>
    <n v="135"/>
    <s v="Владиславов Семен Прохорович"/>
    <n v="1213"/>
    <s v="Прохоров Арсений Игнатович"/>
    <s v="Рабочий"/>
    <s v="Подразделение2"/>
    <x v="1"/>
    <x v="0"/>
    <n v="0"/>
    <n v="0"/>
    <m/>
    <m/>
    <s v="повышение"/>
    <s v="протокол-№-15.11.2023"/>
  </r>
  <r>
    <s v="Функциональное направление 3"/>
    <n v="4"/>
    <d v="2019-11-22T00:00:00"/>
    <n v="0"/>
    <s v="не защищена"/>
    <n v="500613"/>
    <x v="134"/>
    <n v="2"/>
    <s v="Подразделение2"/>
    <s v="подразделение_2_уровня2"/>
    <s v="подразделение_3_уровня2"/>
    <s v="линейный_руководитель_2"/>
    <n v="7"/>
    <s v="да"/>
    <d v="2021-01-15T00:00:00"/>
    <d v="2021-01-15T00:00:00"/>
    <s v="из резерва (учитываем)"/>
    <n v="135"/>
    <s v="Владиславов Семен Прохорович"/>
    <n v="135"/>
    <s v="Владиславов Семен Прохорович"/>
    <s v="Рабочий"/>
    <s v="Подразделение2"/>
    <x v="0"/>
    <x v="1"/>
    <n v="1"/>
    <n v="1"/>
    <s v="назначение на целевую должность"/>
    <d v="2021-01-15T00:00:00"/>
    <s v="без изменений"/>
    <s v="протокол-№-21.10.2020"/>
  </r>
  <r>
    <s v="Функциональное направление 3"/>
    <n v="3"/>
    <d v="2022-12-19T00:00:00"/>
    <n v="1"/>
    <s v="не защищена"/>
    <n v="500623"/>
    <x v="135"/>
    <n v="216"/>
    <s v="Подразделение216"/>
    <s v="-"/>
    <s v="-"/>
    <s v="функциональный_руководитель_2"/>
    <n v="5"/>
    <s v="нет"/>
    <m/>
    <m/>
    <m/>
    <n v="136"/>
    <s v="Конеев Владислав Иванович"/>
    <n v="29"/>
    <s v="Дмитриев Дмитрий Дмитриевич"/>
    <s v="функциональный_руководитель_1"/>
    <s v="Подразделение18"/>
    <x v="2"/>
    <x v="0"/>
    <n v="1"/>
    <n v="0"/>
    <m/>
    <m/>
    <s v="не рассматривали"/>
    <s v="протокол-№-19.12.2023"/>
  </r>
  <r>
    <s v="Функциональное направление 3"/>
    <n v="4"/>
    <d v="2022-11-15T00:00:00"/>
    <n v="1"/>
    <s v="не защищена"/>
    <n v="500716"/>
    <x v="136"/>
    <n v="2"/>
    <s v="Подразделение2"/>
    <s v="подразделение_2_уровня2"/>
    <s v="-"/>
    <s v="линейный_руководитель_2"/>
    <n v="7"/>
    <s v="да"/>
    <d v="2021-06-30T00:00:00"/>
    <d v="2021-07-07T00:00:00"/>
    <s v="из резерва (учитываем)"/>
    <n v="137"/>
    <s v="Тихонов Федот Корнеевич"/>
    <n v="1233"/>
    <s v="Потапов Константин Владиславович"/>
    <s v="Рабочий"/>
    <s v="Подразделение2"/>
    <x v="2"/>
    <x v="0"/>
    <n v="0"/>
    <n v="0"/>
    <m/>
    <m/>
    <s v="не рассматривали"/>
    <s v="протокол-№-15.11.2023"/>
  </r>
  <r>
    <s v="Функциональное направление 3"/>
    <n v="4"/>
    <d v="2020-10-21T00:00:00"/>
    <n v="0"/>
    <s v="не защищена"/>
    <n v="500716"/>
    <x v="136"/>
    <n v="2"/>
    <s v="Подразделение2"/>
    <s v="подразделение_2_уровня2"/>
    <s v="-"/>
    <s v="линейный_руководитель_2"/>
    <n v="7"/>
    <s v="да"/>
    <d v="2021-06-30T00:00:00"/>
    <d v="2021-07-07T00:00:00"/>
    <s v="из резерва (учитываем)"/>
    <n v="137"/>
    <s v="Тихонов Федот Корнеевич"/>
    <n v="137"/>
    <s v="Тихонов Федот Корнеевич"/>
    <s v="Рабочий"/>
    <s v="Подразделение2"/>
    <x v="2"/>
    <x v="1"/>
    <n v="1"/>
    <n v="1"/>
    <s v="назначение на целевую должность"/>
    <d v="2021-07-07T00:00:00"/>
    <s v="не рассматривали"/>
    <s v="протокол-№-21.10.2020"/>
  </r>
  <r>
    <s v="Функциональное направление 3"/>
    <n v="4"/>
    <d v="2021-10-26T00:00:00"/>
    <n v="0"/>
    <s v="не защищена"/>
    <n v="500716"/>
    <x v="136"/>
    <n v="2"/>
    <s v="Подразделение2"/>
    <s v="подразделение_2_уровня2"/>
    <s v="-"/>
    <s v="линейный_руководитель_2"/>
    <n v="7"/>
    <s v="да"/>
    <d v="2021-06-30T00:00:00"/>
    <d v="2021-07-07T00:00:00"/>
    <s v="из резерва (учитываем)"/>
    <n v="137"/>
    <s v="Тихонов Федот Корнеевич"/>
    <n v="1234"/>
    <s v="Тимофеев Матвей Тарасович"/>
    <s v="линейный_руководитель_2"/>
    <s v="Подразделение2"/>
    <x v="2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4"/>
    <d v="2021-10-26T00:00:00"/>
    <n v="0"/>
    <s v="не защищена"/>
    <n v="500716"/>
    <x v="136"/>
    <n v="2"/>
    <s v="Подразделение2"/>
    <s v="подразделение_2_уровня2"/>
    <s v="-"/>
    <s v="линейный_руководитель_2"/>
    <n v="7"/>
    <s v="да"/>
    <d v="2021-06-30T00:00:00"/>
    <d v="2021-07-07T00:00:00"/>
    <s v="из резерва (учитываем)"/>
    <n v="137"/>
    <s v="Тихонов Федот Корнеевич"/>
    <n v="1235"/>
    <s v="Брежнев Захар Никитинич"/>
    <s v="линейный_руководитель_2"/>
    <s v="Подразделение2"/>
    <x v="2"/>
    <x v="2"/>
    <n v="0"/>
    <n v="0"/>
    <s v="инициатива комитета / руководителя"/>
    <d v="2023-11-15T00:00:00"/>
    <s v="исключение"/>
    <s v="протокол-№-15.11.2023"/>
  </r>
  <r>
    <s v="Функциональное направление 3"/>
    <n v="3"/>
    <d v="2021-11-17T00:00:00"/>
    <n v="1"/>
    <s v="не защищена"/>
    <n v="500626"/>
    <x v="137"/>
    <n v="216"/>
    <s v="Подразделение216"/>
    <s v="-"/>
    <s v="-"/>
    <s v="функциональный_руководитель_2"/>
    <n v="5"/>
    <s v="нет"/>
    <m/>
    <m/>
    <m/>
    <n v="138"/>
    <s v="Дмитриев Илья Романович"/>
    <n v="1237"/>
    <s v="Филиппов Афанасий Александрович"/>
    <s v="-"/>
    <s v="-"/>
    <x v="3"/>
    <x v="3"/>
    <n v="1"/>
    <n v="0"/>
    <m/>
    <m/>
    <m/>
    <s v="протокол-№-28.06.2021"/>
  </r>
  <r>
    <s v="Функциональное направление 3"/>
    <n v="3"/>
    <d v="2017-12-11T00:00:00"/>
    <n v="1"/>
    <s v="не защищена"/>
    <n v="500656"/>
    <x v="138"/>
    <n v="22"/>
    <s v="Подразделение22"/>
    <s v="-"/>
    <s v="-"/>
    <s v="руководитель_среднего_уровня_5"/>
    <n v="4"/>
    <s v="да"/>
    <d v="2020-08-16T00:00:00"/>
    <d v="2020-11-16T00:00:00"/>
    <s v="из резерва (учитываем)"/>
    <n v="139"/>
    <s v="Брежнев Владимир Кириллович"/>
    <n v="142"/>
    <s v="Игнатьев Степан Корнеевич"/>
    <s v="линейный_руководитель_3"/>
    <s v="Подразделение22"/>
    <x v="1"/>
    <x v="0"/>
    <n v="1"/>
    <n v="0"/>
    <m/>
    <m/>
    <s v="без изменений"/>
    <s v="протокол-№-18.05.2023"/>
  </r>
  <r>
    <s v="Функциональное направление 3"/>
    <n v="3"/>
    <d v="2022-08-18T00:00:00"/>
    <n v="0"/>
    <s v="не защищена"/>
    <n v="500656"/>
    <x v="138"/>
    <n v="22"/>
    <s v="Подразделение22"/>
    <s v="-"/>
    <s v="-"/>
    <s v="руководитель_среднего_уровня_5"/>
    <n v="4"/>
    <s v="да"/>
    <d v="2020-08-16T00:00:00"/>
    <d v="2020-11-16T00:00:00"/>
    <s v="из резерва (учитываем)"/>
    <n v="139"/>
    <s v="Брежнев Владимир Кириллович"/>
    <n v="165"/>
    <s v="Поминов Михаил Лаврович"/>
    <s v="ТОП_руководитель_2"/>
    <s v="Подразделение22"/>
    <x v="2"/>
    <x v="0"/>
    <n v="1"/>
    <n v="0"/>
    <m/>
    <m/>
    <s v="не рассматривали"/>
    <s v="протокол-№-18.05.2023"/>
  </r>
  <r>
    <s v="Функциональное направление 3"/>
    <n v="3"/>
    <d v="2018-07-31T00:00:00"/>
    <n v="0"/>
    <s v="не защищена"/>
    <n v="500656"/>
    <x v="138"/>
    <n v="22"/>
    <s v="Подразделение22"/>
    <s v="-"/>
    <s v="-"/>
    <s v="руководитель_среднего_уровня_5"/>
    <n v="4"/>
    <s v="да"/>
    <d v="2020-08-16T00:00:00"/>
    <d v="2020-11-16T00:00:00"/>
    <s v="из резерва (учитываем)"/>
    <n v="139"/>
    <s v="Брежнев Владимир Кириллович"/>
    <n v="139"/>
    <s v="Брежнев Владимир Кириллович"/>
    <s v="линейный_руководитель_3"/>
    <s v="Подразделение22"/>
    <x v="1"/>
    <x v="1"/>
    <n v="1"/>
    <n v="1"/>
    <s v="назначение на целевую должность"/>
    <d v="2020-11-16T00:00:00"/>
    <s v="без изменений"/>
    <s v="протокол-№-02.04.2019"/>
  </r>
  <r>
    <s v="Функциональное направление 3"/>
    <n v="3"/>
    <d v="2018-07-31T00:00:00"/>
    <n v="0"/>
    <s v="не защищена"/>
    <n v="500656"/>
    <x v="138"/>
    <n v="22"/>
    <s v="Подразделение22"/>
    <s v="-"/>
    <s v="-"/>
    <s v="руководитель_среднего_уровня_5"/>
    <n v="4"/>
    <s v="да"/>
    <d v="2020-08-16T00:00:00"/>
    <d v="2020-11-16T00:00:00"/>
    <s v="из резерва (учитываем)"/>
    <n v="139"/>
    <s v="Брежнев Владимир Кириллович"/>
    <n v="206"/>
    <s v="Красных Тихон Кондратьевич"/>
    <s v="функциональный_руководитель_1"/>
    <s v="Подразделение22"/>
    <x v="0"/>
    <x v="2"/>
    <n v="1"/>
    <n v="0"/>
    <s v="самоотвод"/>
    <d v="2023-08-18T00:00:00"/>
    <s v="исключение"/>
    <s v="протокол-№-18.05.2023"/>
  </r>
  <r>
    <s v="Функциональное направление 3"/>
    <n v="3"/>
    <d v="2020-06-10T00:00:00"/>
    <n v="0"/>
    <s v="не защищена"/>
    <n v="500656"/>
    <x v="138"/>
    <n v="22"/>
    <s v="Подразделение22"/>
    <s v="-"/>
    <s v="-"/>
    <s v="руководитель_среднего_уровня_5"/>
    <n v="4"/>
    <s v="да"/>
    <d v="2020-08-16T00:00:00"/>
    <d v="2020-11-16T00:00:00"/>
    <s v="из резерва (учитываем)"/>
    <n v="139"/>
    <s v="Брежнев Владимир Кириллович"/>
    <n v="1149"/>
    <s v="Трофимов Юрий Вадимович"/>
    <s v="руководитель_среднего_уровня_3"/>
    <s v="Подразделение1"/>
    <x v="2"/>
    <x v="2"/>
    <n v="1"/>
    <n v="0"/>
    <s v="инициатива комитета / руководителя"/>
    <d v="2021-05-24T00:00:00"/>
    <s v="исключение"/>
    <s v="протокол-№-24.05.2021"/>
  </r>
  <r>
    <s v="Функциональное направление 3"/>
    <n v="4"/>
    <d v="2022-11-14T00:00:00"/>
    <n v="1"/>
    <s v="не защищена"/>
    <n v="500667"/>
    <x v="139"/>
    <n v="22"/>
    <s v="Подразделение22"/>
    <s v="-"/>
    <s v="-"/>
    <s v="функциональный_руководитель_1"/>
    <n v="6"/>
    <s v="да"/>
    <d v="2022-03-21T00:00:00"/>
    <d v="2022-07-01T00:00:00"/>
    <s v="из резерва (учитываем)"/>
    <n v="140"/>
    <s v="Григорьев Григорий Лаврович"/>
    <n v="1238"/>
    <s v="Коровкин Андрей Кондратьевич"/>
    <s v="Специалист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67"/>
    <x v="139"/>
    <n v="22"/>
    <s v="Подразделение22"/>
    <s v="-"/>
    <s v="-"/>
    <s v="функциональный_руководитель_1"/>
    <n v="6"/>
    <s v="да"/>
    <d v="2022-03-21T00:00:00"/>
    <d v="2022-07-01T00:00:00"/>
    <s v="из резерва (учитываем)"/>
    <n v="140"/>
    <s v="Григорьев Григорий Лаврович"/>
    <n v="140"/>
    <s v="Григорьев Григорий Лаврович"/>
    <s v="линейный_руководитель_2"/>
    <s v="Подразделение22"/>
    <x v="1"/>
    <x v="1"/>
    <n v="1"/>
    <n v="1"/>
    <s v="назначение на целевую должность"/>
    <d v="2022-07-01T00:00:00"/>
    <s v="повышение"/>
    <s v="протокол-№-29.09.2020"/>
  </r>
  <r>
    <s v="Функциональное направление 3"/>
    <n v="3"/>
    <d v="2019-11-07T00:00:00"/>
    <n v="1"/>
    <s v="не защищена"/>
    <n v="500668"/>
    <x v="140"/>
    <n v="22"/>
    <s v="Подразделение22"/>
    <s v="-"/>
    <s v="-"/>
    <s v="функциональный_руководитель_1"/>
    <n v="5"/>
    <s v="нет"/>
    <m/>
    <m/>
    <m/>
    <n v="141"/>
    <s v="Михайлов Григорий Арсеньевич"/>
    <n v="148"/>
    <s v="Чистяков Леонид Петрович"/>
    <s v="руководитель_среднего_уровня_4"/>
    <s v="Подразделение22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1"/>
    <s v="не защищена"/>
    <n v="500658"/>
    <x v="141"/>
    <n v="22"/>
    <s v="Подразделение22"/>
    <s v="подразделение_2_уровня22"/>
    <s v="-"/>
    <s v="линейный_руководитель_3"/>
    <n v="5"/>
    <s v="нет"/>
    <m/>
    <m/>
    <m/>
    <n v="142"/>
    <s v="Игнатьев Степан Корнеевич"/>
    <n v="1239"/>
    <s v="Гуськов Иван Маркович"/>
    <s v="функциональный_руководитель_1"/>
    <s v="Подразделение22"/>
    <x v="0"/>
    <x v="0"/>
    <n v="1"/>
    <n v="0"/>
    <m/>
    <m/>
    <s v="без изменений"/>
    <s v="протокол-№-27.06.2023"/>
  </r>
  <r>
    <s v="Функциональное направление 3"/>
    <n v="4"/>
    <d v="2019-09-25T00:00:00"/>
    <n v="1"/>
    <s v="не защищена"/>
    <n v="500657"/>
    <x v="142"/>
    <n v="22"/>
    <s v="Подразделение22"/>
    <s v="подразделение_2_уровня22"/>
    <s v="-"/>
    <s v="руководитель_среднего_уровня_3"/>
    <n v="6"/>
    <s v="нет"/>
    <m/>
    <m/>
    <m/>
    <n v="143"/>
    <s v="Исаев Михаил Артемович"/>
    <n v="1240"/>
    <s v="Ветров Виталий Кузьмич"/>
    <s v="Рабочий"/>
    <s v="Подразделение11"/>
    <x v="2"/>
    <x v="2"/>
    <n v="1"/>
    <n v="0"/>
    <s v="прочее (перевод в другое СП / на другое предприятие)"/>
    <d v="2023-04-10T00:00:00"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7"/>
    <x v="142"/>
    <n v="22"/>
    <s v="Подразделение22"/>
    <s v="подразделение_2_уровня22"/>
    <s v="-"/>
    <s v="руководитель_среднего_уровня_3"/>
    <n v="6"/>
    <s v="нет"/>
    <m/>
    <m/>
    <m/>
    <n v="143"/>
    <s v="Исаев Михаил Артемович"/>
    <n v="1241"/>
    <s v="Коровкин Виталий Тимофее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7"/>
    <x v="142"/>
    <n v="22"/>
    <s v="Подразделение22"/>
    <s v="подразделение_2_уровня22"/>
    <s v="-"/>
    <s v="руководитель_среднего_уровня_3"/>
    <n v="6"/>
    <s v="нет"/>
    <m/>
    <m/>
    <m/>
    <n v="143"/>
    <s v="Исаев Михаил Артемович"/>
    <n v="1242"/>
    <s v="Семенов Афанасий Кондратьевич"/>
    <s v="Рабочий"/>
    <s v="Подразделение22"/>
    <x v="0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7"/>
    <x v="142"/>
    <n v="22"/>
    <s v="Подразделение22"/>
    <s v="подразделение_2_уровня22"/>
    <s v="-"/>
    <s v="руководитель_среднего_уровня_3"/>
    <n v="6"/>
    <s v="нет"/>
    <m/>
    <m/>
    <m/>
    <n v="143"/>
    <s v="Исаев Михаил Артемович"/>
    <n v="1243"/>
    <s v="Карасев Лавр Геннадьевич"/>
    <s v="Рабочий"/>
    <s v="Подразделение22"/>
    <x v="0"/>
    <x v="0"/>
    <n v="1"/>
    <n v="0"/>
    <m/>
    <m/>
    <s v="не рассматривали"/>
    <s v="протокол-№-14.11.2023"/>
  </r>
  <r>
    <s v="Функциональное направление 3"/>
    <n v="4"/>
    <d v="2019-09-25T00:00:00"/>
    <n v="1"/>
    <s v="не защищена"/>
    <n v="500657"/>
    <x v="143"/>
    <n v="22"/>
    <s v="Подразделение22"/>
    <s v="подразделение_2_уровня22"/>
    <s v="-"/>
    <s v="руководитель_среднего_уровня_3"/>
    <n v="6"/>
    <s v="нет"/>
    <m/>
    <m/>
    <m/>
    <n v="144"/>
    <s v="Романов Александр Геннадьевич"/>
    <n v="1240"/>
    <s v="Ветров Виталий Кузьмич"/>
    <s v="Рабочий"/>
    <s v="Подразделение11"/>
    <x v="2"/>
    <x v="2"/>
    <n v="0"/>
    <n v="0"/>
    <s v="прочее (перевод в другое СП / на другое предприятие)"/>
    <d v="2023-04-10T00:00:00"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7"/>
    <x v="143"/>
    <n v="22"/>
    <s v="Подразделение22"/>
    <s v="подразделение_2_уровня22"/>
    <s v="-"/>
    <s v="руководитель_среднего_уровня_3"/>
    <n v="6"/>
    <s v="нет"/>
    <m/>
    <m/>
    <m/>
    <n v="144"/>
    <s v="Романов Александр Геннадьевич"/>
    <n v="1241"/>
    <s v="Коровкин Виталий Тимофе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7"/>
    <x v="143"/>
    <n v="22"/>
    <s v="Подразделение22"/>
    <s v="подразделение_2_уровня22"/>
    <s v="-"/>
    <s v="руководитель_среднего_уровня_3"/>
    <n v="6"/>
    <s v="нет"/>
    <m/>
    <m/>
    <m/>
    <n v="144"/>
    <s v="Романов Александр Геннадьевич"/>
    <n v="1242"/>
    <s v="Семенов Афанасий Кондратьевич"/>
    <s v="Рабочий"/>
    <s v="Подразделение22"/>
    <x v="0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7"/>
    <x v="143"/>
    <n v="22"/>
    <s v="Подразделение22"/>
    <s v="подразделение_2_уровня22"/>
    <s v="-"/>
    <s v="руководитель_среднего_уровня_3"/>
    <n v="6"/>
    <s v="нет"/>
    <m/>
    <m/>
    <m/>
    <n v="144"/>
    <s v="Романов Александр Геннадьевич"/>
    <n v="1243"/>
    <s v="Карасев Лавр Геннадьевич"/>
    <s v="Рабочий"/>
    <s v="Подразделение22"/>
    <x v="0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1"/>
    <s v="не защищена"/>
    <n v="500657"/>
    <x v="144"/>
    <n v="22"/>
    <s v="Подразделение22"/>
    <s v="подразделение_2_уровня22"/>
    <s v="-"/>
    <s v="руководитель_среднего_уровня_3"/>
    <n v="6"/>
    <s v="нет"/>
    <m/>
    <m/>
    <m/>
    <n v="145"/>
    <s v="Аксенов Матвей Захарович"/>
    <n v="1240"/>
    <s v="Ветров Виталий Кузьмич"/>
    <s v="Рабочий"/>
    <s v="Подразделение11"/>
    <x v="2"/>
    <x v="2"/>
    <n v="0"/>
    <n v="0"/>
    <s v="прочее (перевод в другое СП / на другое предприятие)"/>
    <d v="2023-04-10T00:00:00"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7"/>
    <x v="144"/>
    <n v="22"/>
    <s v="Подразделение22"/>
    <s v="подразделение_2_уровня22"/>
    <s v="-"/>
    <s v="руководитель_среднего_уровня_3"/>
    <n v="6"/>
    <s v="нет"/>
    <m/>
    <m/>
    <m/>
    <n v="145"/>
    <s v="Аксенов Матвей Захарович"/>
    <n v="1241"/>
    <s v="Коровкин Виталий Тимофе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7"/>
    <x v="144"/>
    <n v="22"/>
    <s v="Подразделение22"/>
    <s v="подразделение_2_уровня22"/>
    <s v="-"/>
    <s v="руководитель_среднего_уровня_3"/>
    <n v="6"/>
    <s v="нет"/>
    <m/>
    <m/>
    <m/>
    <n v="145"/>
    <s v="Аксенов Матвей Захарович"/>
    <n v="1242"/>
    <s v="Семенов Афанасий Кондратьевич"/>
    <s v="Рабочий"/>
    <s v="Подразделение22"/>
    <x v="0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7"/>
    <x v="144"/>
    <n v="22"/>
    <s v="Подразделение22"/>
    <s v="подразделение_2_уровня22"/>
    <s v="-"/>
    <s v="руководитель_среднего_уровня_3"/>
    <n v="6"/>
    <s v="нет"/>
    <m/>
    <m/>
    <m/>
    <n v="145"/>
    <s v="Аксенов Матвей Захарович"/>
    <n v="1243"/>
    <s v="Карасев Лавр Геннадьевич"/>
    <s v="Рабочий"/>
    <s v="Подразделение22"/>
    <x v="0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1"/>
    <s v="не защищена"/>
    <n v="500657"/>
    <x v="145"/>
    <n v="22"/>
    <s v="Подразделение22"/>
    <s v="подразделение_2_уровня22"/>
    <s v="-"/>
    <s v="руководитель_среднего_уровня_3"/>
    <n v="6"/>
    <s v="нет"/>
    <m/>
    <m/>
    <m/>
    <n v="146"/>
    <s v="Русланов Петр Герасимович"/>
    <n v="1240"/>
    <s v="Ветров Виталий Кузьмич"/>
    <s v="Рабочий"/>
    <s v="Подразделение11"/>
    <x v="2"/>
    <x v="2"/>
    <n v="0"/>
    <n v="0"/>
    <s v="прочее (перевод в другое СП / на другое предприятие)"/>
    <d v="2023-04-10T00:00:00"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7"/>
    <x v="145"/>
    <n v="22"/>
    <s v="Подразделение22"/>
    <s v="подразделение_2_уровня22"/>
    <s v="-"/>
    <s v="руководитель_среднего_уровня_3"/>
    <n v="6"/>
    <s v="нет"/>
    <m/>
    <m/>
    <m/>
    <n v="146"/>
    <s v="Русланов Петр Герасимович"/>
    <n v="1241"/>
    <s v="Коровкин Виталий Тимофе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7"/>
    <x v="145"/>
    <n v="22"/>
    <s v="Подразделение22"/>
    <s v="подразделение_2_уровня22"/>
    <s v="-"/>
    <s v="руководитель_среднего_уровня_3"/>
    <n v="6"/>
    <s v="нет"/>
    <m/>
    <m/>
    <m/>
    <n v="146"/>
    <s v="Русланов Петр Герасимович"/>
    <n v="1242"/>
    <s v="Семенов Афанасий Кондратьевич"/>
    <s v="Рабочий"/>
    <s v="Подразделение22"/>
    <x v="0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7"/>
    <x v="145"/>
    <n v="22"/>
    <s v="Подразделение22"/>
    <s v="подразделение_2_уровня22"/>
    <s v="-"/>
    <s v="руководитель_среднего_уровня_3"/>
    <n v="6"/>
    <s v="нет"/>
    <m/>
    <m/>
    <m/>
    <n v="146"/>
    <s v="Русланов Петр Герасимович"/>
    <n v="1243"/>
    <s v="Карасев Лавр Геннадьевич"/>
    <s v="Рабочий"/>
    <s v="Подразделение22"/>
    <x v="0"/>
    <x v="0"/>
    <n v="0"/>
    <n v="0"/>
    <m/>
    <m/>
    <s v="не рассматривали"/>
    <s v="протокол-№-14.11.2023"/>
  </r>
  <r>
    <s v="Функциональное направление 3"/>
    <n v="4"/>
    <d v="2020-09-29T00:00:00"/>
    <n v="1"/>
    <s v="не защищена"/>
    <n v="500669"/>
    <x v="146"/>
    <n v="22"/>
    <s v="Подразделение22"/>
    <s v="подразделение_2_уровня22"/>
    <s v="подразделение_3_уровня22"/>
    <s v="функциональный_руководитель_3"/>
    <n v="6"/>
    <s v="нет"/>
    <m/>
    <m/>
    <m/>
    <n v="147"/>
    <s v="Аксенов Данил Сидорович"/>
    <n v="146"/>
    <s v="Русланов Петр Герасимович"/>
    <s v="руководитель_среднего_уровня_3"/>
    <s v="Подразделение22"/>
    <x v="1"/>
    <x v="0"/>
    <n v="1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69"/>
    <x v="146"/>
    <n v="22"/>
    <s v="Подразделение22"/>
    <s v="подразделение_2_уровня22"/>
    <s v="подразделение_3_уровня22"/>
    <s v="функциональный_руководитель_3"/>
    <n v="6"/>
    <s v="нет"/>
    <m/>
    <m/>
    <m/>
    <n v="147"/>
    <s v="Аксенов Данил Сидорович"/>
    <n v="144"/>
    <s v="Романов Александр Геннадьевич"/>
    <s v="руководитель_среднего_уровня_3"/>
    <s v="Подразделение22"/>
    <x v="2"/>
    <x v="2"/>
    <n v="1"/>
    <n v="0"/>
    <s v="прочее (наличие рисков по ПФО)"/>
    <d v="2020-09-29T00:00:00"/>
    <s v="исключение"/>
    <s v="протокол-№-29.09.2020"/>
  </r>
  <r>
    <s v="Функциональное направление 3"/>
    <n v="4"/>
    <d v="2019-09-25T00:00:00"/>
    <n v="1"/>
    <s v="не защищена"/>
    <n v="500664"/>
    <x v="147"/>
    <n v="22"/>
    <s v="Подразделение22"/>
    <s v="подразделение_2_уровня22"/>
    <s v="-"/>
    <s v="руководитель_среднего_уровня_4"/>
    <n v="6"/>
    <s v="нет"/>
    <m/>
    <m/>
    <m/>
    <n v="148"/>
    <s v="Чистяков Леонид Петрович"/>
    <n v="1244"/>
    <s v="Исаев Савелий Ефремович"/>
    <s v="Специалист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4"/>
    <x v="147"/>
    <n v="22"/>
    <s v="Подразделение22"/>
    <s v="подразделение_2_уровня22"/>
    <s v="-"/>
    <s v="руководитель_среднего_уровня_4"/>
    <n v="6"/>
    <s v="нет"/>
    <m/>
    <m/>
    <m/>
    <n v="148"/>
    <s v="Чистяков Леонид Петрович"/>
    <n v="146"/>
    <s v="Русланов Петр Герасимович"/>
    <s v="руководитель_среднего_уровня_3"/>
    <s v="Подразделение22"/>
    <x v="0"/>
    <x v="2"/>
    <n v="1"/>
    <n v="0"/>
    <s v="инициатива комитета / руководителя"/>
    <d v="2023-11-14T00:00:00"/>
    <s v="исключение"/>
    <s v="протокол-№-14.11.2023"/>
  </r>
  <r>
    <s v="Функциональное направление 3"/>
    <n v="4"/>
    <d v="2019-09-25T00:00:00"/>
    <n v="1"/>
    <s v="не защищена"/>
    <n v="500665"/>
    <x v="148"/>
    <n v="22"/>
    <s v="Подразделение22"/>
    <s v="подразделение_2_уровня22"/>
    <s v="-"/>
    <s v="линейный_руководитель_2"/>
    <n v="7"/>
    <s v="нет"/>
    <m/>
    <m/>
    <m/>
    <n v="149"/>
    <s v="Ефремов Тихон Максимович"/>
    <n v="1245"/>
    <s v="Игнатьев Глеб Владиславович"/>
    <s v="Специалист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5"/>
    <x v="148"/>
    <n v="22"/>
    <s v="Подразделение22"/>
    <s v="подразделение_2_уровня22"/>
    <s v="-"/>
    <s v="линейный_руководитель_2"/>
    <n v="7"/>
    <s v="нет"/>
    <m/>
    <m/>
    <m/>
    <n v="149"/>
    <s v="Ефремов Тихон Максимович"/>
    <n v="1246"/>
    <s v="Семенов Геннадий Александрович"/>
    <s v="Специалист"/>
    <s v="Подразделение22"/>
    <x v="0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1"/>
    <s v="не защищена"/>
    <n v="500648"/>
    <x v="149"/>
    <n v="22"/>
    <s v="Подразделение22"/>
    <s v="подразделение_2_уровня22"/>
    <s v="-"/>
    <s v="руководитель_среднего_уровня_4"/>
    <n v="6"/>
    <s v="нет"/>
    <m/>
    <m/>
    <m/>
    <n v="150"/>
    <s v="Баранкин Сергей Тимофеевич"/>
    <n v="152"/>
    <s v="Окунев Дмитрий Иванович"/>
    <s v="линейный_руководитель_2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1"/>
    <s v="не защищена"/>
    <n v="500649"/>
    <x v="150"/>
    <n v="22"/>
    <s v="Подразделение22"/>
    <s v="подразделение_2_уровня22"/>
    <s v="-"/>
    <s v="линейный_руководитель_2"/>
    <n v="7"/>
    <s v="нет"/>
    <m/>
    <m/>
    <m/>
    <n v="151"/>
    <s v="Цаплин Корней Игоревич"/>
    <n v="1247"/>
    <s v="Игорев Савелий Игнато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1"/>
    <s v="не защищена"/>
    <n v="500650"/>
    <x v="151"/>
    <n v="22"/>
    <s v="Подразделение22"/>
    <s v="подразделение_2_уровня22"/>
    <s v="-"/>
    <s v="линейный_руководитель_1"/>
    <n v="7"/>
    <s v="нет"/>
    <m/>
    <m/>
    <m/>
    <n v="152"/>
    <s v="Окунев Дмитрий Иванович"/>
    <n v="1248"/>
    <s v="Дорофеев Трофим Кондратьевич"/>
    <s v="Рабочий"/>
    <s v="Подразделение22"/>
    <x v="0"/>
    <x v="0"/>
    <n v="1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50"/>
    <x v="151"/>
    <n v="22"/>
    <s v="Подразделение22"/>
    <s v="подразделение_2_уровня22"/>
    <s v="-"/>
    <s v="линейный_руководитель_1"/>
    <n v="7"/>
    <s v="нет"/>
    <m/>
    <m/>
    <m/>
    <n v="152"/>
    <s v="Окунев Дмитрий Иванович"/>
    <n v="1249"/>
    <s v="Брежнев Савелий Кондратьевич"/>
    <s v="Рабочий"/>
    <s v="Подразделение22"/>
    <x v="2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0"/>
    <x v="151"/>
    <n v="22"/>
    <s v="Подразделение22"/>
    <s v="подразделение_2_уровня22"/>
    <s v="-"/>
    <s v="линейный_руководитель_1"/>
    <n v="7"/>
    <s v="нет"/>
    <m/>
    <m/>
    <m/>
    <n v="152"/>
    <s v="Окунев Дмитрий Иванович"/>
    <n v="1250"/>
    <s v="Коровкин Юрий Богданов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0"/>
    <x v="151"/>
    <n v="22"/>
    <s v="Подразделение22"/>
    <s v="подразделение_2_уровня22"/>
    <s v="-"/>
    <s v="линейный_руководитель_1"/>
    <n v="7"/>
    <s v="нет"/>
    <m/>
    <m/>
    <m/>
    <n v="152"/>
    <s v="Окунев Дмитрий Иванович"/>
    <n v="154"/>
    <s v="Марков Андрей Матвеевич"/>
    <s v="Рабочий"/>
    <s v="Подразделение22"/>
    <x v="1"/>
    <x v="1"/>
    <n v="1"/>
    <n v="0"/>
    <s v="назначение на целевую должность"/>
    <d v="2022-07-11T00:00:00"/>
    <s v="повышение"/>
    <s v="протокол-№-18.10.2021"/>
  </r>
  <r>
    <s v="Функциональное направление 3"/>
    <n v="4"/>
    <d v="2019-09-25T00:00:00"/>
    <n v="1"/>
    <s v="не защищена"/>
    <n v="500650"/>
    <x v="152"/>
    <n v="22"/>
    <s v="Подразделение22"/>
    <s v="подразделение_2_уровня22"/>
    <s v="-"/>
    <s v="линейный_руководитель_1"/>
    <n v="7"/>
    <s v="нет"/>
    <m/>
    <m/>
    <m/>
    <n v="153"/>
    <s v="Макаров Геннадий Лаврович"/>
    <n v="1248"/>
    <s v="Дорофеев Трофим Кондратье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50"/>
    <x v="152"/>
    <n v="22"/>
    <s v="Подразделение22"/>
    <s v="подразделение_2_уровня22"/>
    <s v="-"/>
    <s v="линейный_руководитель_1"/>
    <n v="7"/>
    <s v="нет"/>
    <m/>
    <m/>
    <m/>
    <n v="153"/>
    <s v="Макаров Геннадий Лаврович"/>
    <n v="1249"/>
    <s v="Брежнев Савелий Кондратьевич"/>
    <s v="Рабочий"/>
    <s v="Подразделение22"/>
    <x v="2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0"/>
    <x v="152"/>
    <n v="22"/>
    <s v="Подразделение22"/>
    <s v="подразделение_2_уровня22"/>
    <s v="-"/>
    <s v="линейный_руководитель_1"/>
    <n v="7"/>
    <s v="нет"/>
    <m/>
    <m/>
    <m/>
    <n v="153"/>
    <s v="Макаров Геннадий Лаврович"/>
    <n v="1250"/>
    <s v="Коровкин Юрий Богдан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0"/>
    <x v="152"/>
    <n v="22"/>
    <s v="Подразделение22"/>
    <s v="подразделение_2_уровня22"/>
    <s v="-"/>
    <s v="линейный_руководитель_1"/>
    <n v="7"/>
    <s v="нет"/>
    <m/>
    <m/>
    <m/>
    <n v="153"/>
    <s v="Макаров Геннадий Лаврович"/>
    <n v="154"/>
    <s v="Марков Андрей Матвеевич"/>
    <s v="Рабочий"/>
    <s v="Подразделение22"/>
    <x v="1"/>
    <x v="1"/>
    <n v="0"/>
    <n v="0"/>
    <s v="назначение на целевую должность"/>
    <d v="2022-07-11T00:00:00"/>
    <s v="повышение"/>
    <s v="протокол-№-18.10.2021"/>
  </r>
  <r>
    <s v="Функциональное направление 3"/>
    <n v="4"/>
    <d v="2019-09-25T00:00:00"/>
    <n v="1"/>
    <s v="не защищена"/>
    <n v="500650"/>
    <x v="153"/>
    <n v="22"/>
    <s v="Подразделение22"/>
    <s v="подразделение_2_уровня22"/>
    <s v="-"/>
    <s v="линейный_руководитель_1"/>
    <n v="7"/>
    <s v="да"/>
    <d v="2022-07-01T00:00:00"/>
    <d v="2022-07-11T00:00:00"/>
    <s v="из резерва (учитываем)"/>
    <n v="154"/>
    <s v="Марков Андрей Матвеевич"/>
    <n v="1248"/>
    <s v="Дорофеев Трофим Кондратье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50"/>
    <x v="153"/>
    <n v="22"/>
    <s v="Подразделение22"/>
    <s v="подразделение_2_уровня22"/>
    <s v="-"/>
    <s v="линейный_руководитель_1"/>
    <n v="7"/>
    <s v="да"/>
    <d v="2022-07-01T00:00:00"/>
    <d v="2022-07-11T00:00:00"/>
    <s v="из резерва (учитываем)"/>
    <n v="154"/>
    <s v="Марков Андрей Матвеевич"/>
    <n v="1249"/>
    <s v="Брежнев Савелий Кондратьевич"/>
    <s v="Рабочий"/>
    <s v="Подразделение22"/>
    <x v="2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0"/>
    <x v="153"/>
    <n v="22"/>
    <s v="Подразделение22"/>
    <s v="подразделение_2_уровня22"/>
    <s v="-"/>
    <s v="линейный_руководитель_1"/>
    <n v="7"/>
    <s v="да"/>
    <d v="2022-07-01T00:00:00"/>
    <d v="2022-07-11T00:00:00"/>
    <s v="из резерва (учитываем)"/>
    <n v="154"/>
    <s v="Марков Андрей Матвеевич"/>
    <n v="1250"/>
    <s v="Коровкин Юрий Богдан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0"/>
    <x v="153"/>
    <n v="22"/>
    <s v="Подразделение22"/>
    <s v="подразделение_2_уровня22"/>
    <s v="-"/>
    <s v="линейный_руководитель_1"/>
    <n v="7"/>
    <s v="да"/>
    <d v="2022-07-01T00:00:00"/>
    <d v="2022-07-11T00:00:00"/>
    <s v="из резерва (учитываем)"/>
    <n v="154"/>
    <s v="Марков Андрей Матвеевич"/>
    <n v="154"/>
    <s v="Марков Андрей Матвеевич"/>
    <s v="Рабочий"/>
    <s v="Подразделение22"/>
    <x v="1"/>
    <x v="1"/>
    <n v="0"/>
    <n v="1"/>
    <s v="назначение на целевую должность"/>
    <d v="2022-07-11T00:00:00"/>
    <s v="повышение"/>
    <s v="протокол-№-18.10.2021"/>
  </r>
  <r>
    <s v="Функциональное направление 3"/>
    <n v="4"/>
    <d v="2019-09-25T00:00:00"/>
    <n v="1"/>
    <s v="не защищена"/>
    <n v="500650"/>
    <x v="154"/>
    <n v="22"/>
    <s v="Подразделение22"/>
    <s v="подразделение_2_уровня22"/>
    <s v="-"/>
    <s v="линейный_руководитель_1"/>
    <n v="7"/>
    <s v="нет"/>
    <m/>
    <m/>
    <m/>
    <n v="155"/>
    <s v="Исаев Григорий Иванович"/>
    <n v="1248"/>
    <s v="Дорофеев Трофим Кондратье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50"/>
    <x v="154"/>
    <n v="22"/>
    <s v="Подразделение22"/>
    <s v="подразделение_2_уровня22"/>
    <s v="-"/>
    <s v="линейный_руководитель_1"/>
    <n v="7"/>
    <s v="нет"/>
    <m/>
    <m/>
    <m/>
    <n v="155"/>
    <s v="Исаев Григорий Иванович"/>
    <n v="1249"/>
    <s v="Брежнев Савелий Кондратьевич"/>
    <s v="Рабочий"/>
    <s v="Подразделение22"/>
    <x v="2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0"/>
    <x v="154"/>
    <n v="22"/>
    <s v="Подразделение22"/>
    <s v="подразделение_2_уровня22"/>
    <s v="-"/>
    <s v="линейный_руководитель_1"/>
    <n v="7"/>
    <s v="нет"/>
    <m/>
    <m/>
    <m/>
    <n v="155"/>
    <s v="Исаев Григорий Иванович"/>
    <n v="1250"/>
    <s v="Коровкин Юрий Богдан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0"/>
    <x v="154"/>
    <n v="22"/>
    <s v="Подразделение22"/>
    <s v="подразделение_2_уровня22"/>
    <s v="-"/>
    <s v="линейный_руководитель_1"/>
    <n v="7"/>
    <s v="нет"/>
    <m/>
    <m/>
    <m/>
    <n v="155"/>
    <s v="Исаев Григорий Иванович"/>
    <n v="154"/>
    <s v="Марков Андрей Матвеевич"/>
    <s v="Рабочий"/>
    <s v="Подразделение22"/>
    <x v="1"/>
    <x v="1"/>
    <n v="0"/>
    <n v="0"/>
    <s v="назначение на целевую должность"/>
    <d v="2022-07-11T00:00:00"/>
    <s v="повышение"/>
    <s v="протокол-№-18.10.2021"/>
  </r>
  <r>
    <s v="Функциональное направление 3"/>
    <n v="4"/>
    <d v="2022-11-14T00:00:00"/>
    <n v="1"/>
    <s v="не защищена"/>
    <n v="500645"/>
    <x v="155"/>
    <n v="22"/>
    <s v="Подразделение22"/>
    <s v="подразделение_2_уровня22"/>
    <s v="подразделение_3_уровня22"/>
    <s v="линейный_руководитель_3"/>
    <n v="6"/>
    <s v="нет"/>
    <m/>
    <m/>
    <m/>
    <n v="156"/>
    <s v="Бураков Федот Лаврович"/>
    <n v="168"/>
    <s v="Никитин Григорий Павлович"/>
    <s v="линейный_руководитель_2"/>
    <s v="Подразделение22"/>
    <x v="1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1"/>
    <s v="не защищена"/>
    <n v="500646"/>
    <x v="156"/>
    <n v="22"/>
    <s v="Подразделение22"/>
    <s v="подразделение_2_уровня22"/>
    <s v="-"/>
    <s v="функциональный_руководитель_1"/>
    <n v="6"/>
    <s v="нет"/>
    <m/>
    <m/>
    <m/>
    <n v="157"/>
    <s v="Зверев Алексей Артемович"/>
    <n v="160"/>
    <s v="Зайцев Владимир Юрьевич"/>
    <s v="линейный_руководитель_2"/>
    <s v="Подразделение22"/>
    <x v="1"/>
    <x v="0"/>
    <n v="1"/>
    <n v="0"/>
    <m/>
    <m/>
    <s v="не рассматривали"/>
    <s v="протокол-№-14.11.2023"/>
  </r>
  <r>
    <s v="Функциональное направление 3"/>
    <n v="4"/>
    <d v="2019-09-25T00:00:00"/>
    <n v="1"/>
    <s v="не защищена"/>
    <n v="500663"/>
    <x v="157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9-16T00:00:00"/>
    <d v="2022-10-07T00:00:00"/>
    <s v="из резерва (учитываем)"/>
    <n v="158"/>
    <s v="Коровкин Афанасий Кузьмич"/>
    <n v="1251"/>
    <s v="Ефремов Савелий Александрович"/>
    <s v="Рабочий"/>
    <s v="Подразделение22"/>
    <x v="0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3"/>
    <x v="157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9-16T00:00:00"/>
    <d v="2022-10-07T00:00:00"/>
    <s v="из резерва (учитываем)"/>
    <n v="158"/>
    <s v="Коровкин Афанасий Кузьмич"/>
    <n v="1252"/>
    <s v="Дмитриев Герасим Игнато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3"/>
    <x v="157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9-16T00:00:00"/>
    <d v="2022-10-07T00:00:00"/>
    <s v="из резерва (учитываем)"/>
    <n v="158"/>
    <s v="Коровкин Афанасий Кузьмич"/>
    <n v="158"/>
    <s v="Коровкин Афанасий Кузьмич"/>
    <s v="Рабочий"/>
    <s v="Подразделение22"/>
    <x v="1"/>
    <x v="1"/>
    <n v="1"/>
    <n v="1"/>
    <s v="назначение на целевую должность"/>
    <d v="2022-10-07T00:00:00"/>
    <s v="без изменений"/>
    <s v="протокол-№-29.09.2020"/>
  </r>
  <r>
    <s v="Функциональное направление 3"/>
    <n v="4"/>
    <d v="2019-09-25T00:00:00"/>
    <n v="0"/>
    <s v="не защищена"/>
    <n v="500663"/>
    <x v="157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9-16T00:00:00"/>
    <d v="2022-10-07T00:00:00"/>
    <s v="из резерва (учитываем)"/>
    <n v="158"/>
    <s v="Коровкин Афанасий Кузьмич"/>
    <n v="1253"/>
    <s v="Степанов Афанасий Климович"/>
    <s v="Рабочий"/>
    <s v="Подразделение22"/>
    <x v="1"/>
    <x v="2"/>
    <n v="1"/>
    <n v="0"/>
    <s v="увольнение"/>
    <d v="2020-12-18T00:00:00"/>
    <s v="повышение"/>
    <s v="протокол-№-29.09.2020"/>
  </r>
  <r>
    <s v="Функциональное направление 3"/>
    <n v="4"/>
    <d v="2019-09-25T00:00:00"/>
    <n v="1"/>
    <s v="не защищена"/>
    <n v="500663"/>
    <x v="15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59"/>
    <s v="Поминов Илья Степанович"/>
    <n v="1251"/>
    <s v="Ефремов Савелий Александр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3"/>
    <x v="15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59"/>
    <s v="Поминов Илья Степанович"/>
    <n v="1252"/>
    <s v="Дмитриев Герасим Игнат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3"/>
    <x v="15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59"/>
    <s v="Поминов Илья Степанович"/>
    <n v="158"/>
    <s v="Коровкин Афанасий Кузьмич"/>
    <s v="Рабочий"/>
    <s v="Подразделение22"/>
    <x v="1"/>
    <x v="2"/>
    <n v="0"/>
    <n v="0"/>
    <s v="назначение на целевую должность"/>
    <d v="2022-10-07T00:00:00"/>
    <s v="без изменений"/>
    <s v="протокол-№-29.09.2020"/>
  </r>
  <r>
    <s v="Функциональное направление 3"/>
    <n v="4"/>
    <d v="2019-09-25T00:00:00"/>
    <n v="0"/>
    <s v="не защищена"/>
    <n v="500663"/>
    <x v="15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59"/>
    <s v="Поминов Илья Степанович"/>
    <n v="1253"/>
    <s v="Степанов Афанасий Климович"/>
    <s v="Рабочий"/>
    <s v="Подразделение22"/>
    <x v="1"/>
    <x v="2"/>
    <n v="0"/>
    <n v="0"/>
    <s v="увольнение"/>
    <d v="2020-12-18T00:00:00"/>
    <s v="повышение"/>
    <s v="протокол-№-29.09.2020"/>
  </r>
  <r>
    <s v="Функциональное направление 3"/>
    <n v="4"/>
    <d v="2019-09-25T00:00:00"/>
    <n v="1"/>
    <s v="не защищена"/>
    <n v="500663"/>
    <x v="159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0"/>
    <s v="Зайцев Владимир Юрьевич"/>
    <n v="1251"/>
    <s v="Ефремов Савелий Александр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3"/>
    <x v="159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0"/>
    <s v="Зайцев Владимир Юрьевич"/>
    <n v="1252"/>
    <s v="Дмитриев Герасим Игнат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3"/>
    <x v="159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0"/>
    <s v="Зайцев Владимир Юрьевич"/>
    <n v="158"/>
    <s v="Коровкин Афанасий Кузьмич"/>
    <s v="Рабочий"/>
    <s v="Подразделение22"/>
    <x v="1"/>
    <x v="2"/>
    <n v="0"/>
    <n v="0"/>
    <s v="назначение на целевую должность"/>
    <d v="2022-10-07T00:00:00"/>
    <s v="без изменений"/>
    <s v="протокол-№-29.09.2020"/>
  </r>
  <r>
    <s v="Функциональное направление 3"/>
    <n v="4"/>
    <d v="2019-09-25T00:00:00"/>
    <n v="0"/>
    <s v="не защищена"/>
    <n v="500663"/>
    <x v="159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0"/>
    <s v="Зайцев Владимир Юрьевич"/>
    <n v="1253"/>
    <s v="Степанов Афанасий Климович"/>
    <s v="Рабочий"/>
    <s v="Подразделение22"/>
    <x v="1"/>
    <x v="2"/>
    <n v="0"/>
    <n v="0"/>
    <s v="увольнение"/>
    <d v="2020-12-18T00:00:00"/>
    <s v="повышение"/>
    <s v="протокол-№-29.09.2020"/>
  </r>
  <r>
    <s v="Функциональное направление 3"/>
    <n v="4"/>
    <d v="2019-09-25T00:00:00"/>
    <n v="1"/>
    <s v="не защищена"/>
    <n v="500663"/>
    <x v="160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1"/>
    <s v="Родионов Николай Владимирович"/>
    <n v="1251"/>
    <s v="Ефремов Савелий Александр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3"/>
    <x v="160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1"/>
    <s v="Родионов Николай Владимирович"/>
    <n v="1252"/>
    <s v="Дмитриев Герасим Игнат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3"/>
    <x v="160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1"/>
    <s v="Родионов Николай Владимирович"/>
    <n v="158"/>
    <s v="Коровкин Афанасий Кузьмич"/>
    <s v="Рабочий"/>
    <s v="Подразделение22"/>
    <x v="1"/>
    <x v="2"/>
    <n v="0"/>
    <n v="0"/>
    <s v="назначение на целевую должность"/>
    <d v="2022-10-07T00:00:00"/>
    <s v="без изменений"/>
    <s v="протокол-№-29.09.2020"/>
  </r>
  <r>
    <s v="Функциональное направление 3"/>
    <n v="4"/>
    <d v="2019-09-25T00:00:00"/>
    <n v="0"/>
    <s v="не защищена"/>
    <n v="500663"/>
    <x v="160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1"/>
    <s v="Родионов Николай Владимирович"/>
    <n v="1253"/>
    <s v="Степанов Афанасий Климович"/>
    <s v="Рабочий"/>
    <s v="Подразделение22"/>
    <x v="1"/>
    <x v="2"/>
    <n v="0"/>
    <n v="0"/>
    <s v="увольнение"/>
    <d v="2020-12-18T00:00:00"/>
    <s v="повышение"/>
    <s v="протокол-№-29.09.2020"/>
  </r>
  <r>
    <s v="Функциональное направление 3"/>
    <n v="4"/>
    <d v="2019-09-25T00:00:00"/>
    <n v="1"/>
    <s v="не защищена"/>
    <n v="500671"/>
    <x v="161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62"/>
    <s v="Семенов Тихон Афанасьевич"/>
    <n v="160"/>
    <s v="Зайцев Владимир Юрьевич"/>
    <s v="линейный_руководитель_2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71"/>
    <x v="161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62"/>
    <s v="Семенов Тихон Афанасьевич"/>
    <n v="1254"/>
    <s v="Семенов Лавр Ефремович"/>
    <s v="линейный_руководитель_2"/>
    <s v="Подразделение22"/>
    <x v="1"/>
    <x v="2"/>
    <n v="1"/>
    <n v="0"/>
    <s v="увольнение"/>
    <d v="2022-09-05T00:00:00"/>
    <s v="повышение"/>
    <s v="протокол-№-29.09.2020"/>
  </r>
  <r>
    <s v="Функциональное направление 3"/>
    <n v="4"/>
    <d v="2019-09-25T00:00:00"/>
    <n v="1"/>
    <s v="не защищена"/>
    <n v="500670"/>
    <x v="162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63"/>
    <s v="Игнатьев Игорь Алексеевич"/>
    <n v="160"/>
    <s v="Зайцев Владимир Юрьевич"/>
    <s v="линейный_руководитель_2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70"/>
    <x v="162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63"/>
    <s v="Игнатьев Игорь Алексеевич"/>
    <n v="1254"/>
    <s v="Семенов Лавр Ефремович"/>
    <s v="линейный_руководитель_2"/>
    <s v="Подразделение22"/>
    <x v="1"/>
    <x v="2"/>
    <n v="0"/>
    <n v="0"/>
    <s v="увольнение"/>
    <d v="2022-09-05T00:00:00"/>
    <s v="повышение"/>
    <s v="протокол-№-29.09.2020"/>
  </r>
  <r>
    <s v="Функциональное направление 3"/>
    <n v="4"/>
    <d v="2021-10-18T00:00:00"/>
    <n v="1"/>
    <s v="не защищена"/>
    <n v="500666"/>
    <x v="163"/>
    <n v="22"/>
    <s v="Подразделение22"/>
    <s v="подразделение_2_уровня22"/>
    <s v="подразделение_3_уровня22"/>
    <s v="линейный_руководитель_2"/>
    <n v="6"/>
    <s v="нет"/>
    <m/>
    <m/>
    <m/>
    <n v="164"/>
    <s v="Павлов Геннадий Максимович"/>
    <n v="1255"/>
    <s v="Коровкин Константин Александрович"/>
    <s v="Рабочий"/>
    <s v="Подразделение22"/>
    <x v="0"/>
    <x v="0"/>
    <n v="1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66"/>
    <x v="163"/>
    <n v="22"/>
    <s v="Подразделение22"/>
    <s v="подразделение_2_уровня22"/>
    <s v="подразделение_3_уровня22"/>
    <s v="линейный_руководитель_2"/>
    <n v="6"/>
    <s v="нет"/>
    <m/>
    <m/>
    <m/>
    <n v="164"/>
    <s v="Павлов Геннадий Максимович"/>
    <n v="1251"/>
    <s v="Ефремов Савелий Александрович"/>
    <s v="Рабочий"/>
    <s v="Подразделение22"/>
    <x v="0"/>
    <x v="2"/>
    <n v="1"/>
    <n v="0"/>
    <s v="инициатива комитета / руководителя"/>
    <d v="2021-10-18T00:00:00"/>
    <s v="исключение"/>
    <s v="протокол-№-18.10.2021"/>
  </r>
  <r>
    <s v="Функциональное направление 3"/>
    <n v="4"/>
    <d v="2019-09-25T00:00:00"/>
    <n v="0"/>
    <s v="не защищена"/>
    <n v="500666"/>
    <x v="163"/>
    <n v="22"/>
    <s v="Подразделение22"/>
    <s v="подразделение_2_уровня22"/>
    <s v="подразделение_3_уровня22"/>
    <s v="линейный_руководитель_2"/>
    <n v="6"/>
    <s v="нет"/>
    <m/>
    <m/>
    <m/>
    <n v="164"/>
    <s v="Павлов Геннадий Максимович"/>
    <n v="158"/>
    <s v="Коровкин Афанасий Кузьмич"/>
    <s v="Рабочий"/>
    <s v="Подразделение22"/>
    <x v="1"/>
    <x v="2"/>
    <n v="1"/>
    <n v="0"/>
    <s v="инициатива комитета / руководителя"/>
    <d v="2021-10-18T00:00:00"/>
    <s v="исключение"/>
    <s v="протокол-№-18.10.2021"/>
  </r>
  <r>
    <s v="Функциональное направление 3"/>
    <n v="4"/>
    <d v="2019-09-25T00:00:00"/>
    <n v="0"/>
    <s v="не защищена"/>
    <n v="500666"/>
    <x v="163"/>
    <n v="22"/>
    <s v="Подразделение22"/>
    <s v="подразделение_2_уровня22"/>
    <s v="подразделение_3_уровня22"/>
    <s v="линейный_руководитель_2"/>
    <n v="6"/>
    <s v="нет"/>
    <m/>
    <m/>
    <m/>
    <n v="164"/>
    <s v="Павлов Геннадий Максимович"/>
    <n v="1253"/>
    <s v="Степанов Афанасий Климович"/>
    <s v="Рабочий"/>
    <s v="Подразделение22"/>
    <x v="1"/>
    <x v="2"/>
    <n v="1"/>
    <n v="0"/>
    <s v="увольнение"/>
    <d v="2020-12-18T00:00:00"/>
    <s v="повышение"/>
    <s v="протокол-№-29.09.2020"/>
  </r>
  <r>
    <s v="Функциональное направление 3"/>
    <n v="4"/>
    <d v="2019-09-25T00:00:00"/>
    <n v="0"/>
    <s v="не защищена"/>
    <n v="500666"/>
    <x v="163"/>
    <n v="22"/>
    <s v="Подразделение22"/>
    <s v="подразделение_2_уровня22"/>
    <s v="подразделение_3_уровня22"/>
    <s v="линейный_руководитель_2"/>
    <n v="6"/>
    <s v="нет"/>
    <m/>
    <m/>
    <m/>
    <n v="164"/>
    <s v="Павлов Геннадий Максимович"/>
    <n v="1252"/>
    <s v="Дмитриев Герасим Игнатович"/>
    <s v="Рабочий"/>
    <s v="Подразделение22"/>
    <x v="1"/>
    <x v="2"/>
    <n v="1"/>
    <n v="0"/>
    <s v="инициатива комитета / руководителя"/>
    <d v="2021-10-18T00:00:00"/>
    <s v="исключение"/>
    <s v="протокол-№-18.10.2021"/>
  </r>
  <r>
    <s v="Функциональное направление 3"/>
    <n v="3"/>
    <d v="2018-11-22T00:00:00"/>
    <n v="1"/>
    <s v="не защищена"/>
    <n v="500661"/>
    <x v="164"/>
    <n v="22"/>
    <s v="Подразделение22"/>
    <s v="подразделение_2_уровня22"/>
    <s v="-"/>
    <s v="ТОП_руководитель_2"/>
    <n v="5"/>
    <s v="нет"/>
    <m/>
    <m/>
    <m/>
    <n v="165"/>
    <s v="Поминов Михаил Лаврович"/>
    <n v="156"/>
    <s v="Бураков Федот Лаврович"/>
    <s v="линейный_руководитель_3"/>
    <s v="Подразделение22"/>
    <x v="1"/>
    <x v="0"/>
    <n v="1"/>
    <n v="0"/>
    <m/>
    <m/>
    <s v="без изменений"/>
    <s v="протокол-№-18.05.2023"/>
  </r>
  <r>
    <s v="Функциональное направление 3"/>
    <n v="4"/>
    <d v="2019-09-25T00:00:00"/>
    <n v="1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56"/>
    <s v="Гуськов Савелий Геннадье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57"/>
    <s v="Незнамов Арсений Александро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58"/>
    <s v="Брежнев Геннадий Александро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59"/>
    <s v="Прохоров Кирилл Александрович"/>
    <s v="Рабочий"/>
    <s v="Подразделение22"/>
    <x v="0"/>
    <x v="0"/>
    <n v="1"/>
    <n v="0"/>
    <m/>
    <m/>
    <s v="понижение"/>
    <s v="протокол-№-14.11.2023"/>
  </r>
  <r>
    <s v="Функциональное направление 3"/>
    <n v="4"/>
    <d v="2019-09-25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60"/>
    <s v="Брежнев Савелий Маркович"/>
    <s v="Рабочий"/>
    <s v="Подразделение22"/>
    <x v="1"/>
    <x v="0"/>
    <n v="1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61"/>
    <s v="Карасев Константин Тарасович"/>
    <s v="Рабочий"/>
    <s v="Подразделение22"/>
    <x v="0"/>
    <x v="0"/>
    <n v="1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62"/>
    <s v="Коровкин Иван Кондратьевич"/>
    <s v="Рабочий"/>
    <s v="Подразделение22"/>
    <x v="0"/>
    <x v="0"/>
    <n v="1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63"/>
    <s v="Ветров Глеб Геннадьевич"/>
    <s v="Рабочий"/>
    <s v="Подразделение22"/>
    <x v="1"/>
    <x v="0"/>
    <n v="1"/>
    <n v="0"/>
    <m/>
    <m/>
    <s v="повышение"/>
    <s v="протокол-№-14.11.2023"/>
  </r>
  <r>
    <s v="Функциональное направление 3"/>
    <n v="4"/>
    <d v="2022-11-14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64"/>
    <s v="Гуськов Матвей Александров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65"/>
    <s v="Степанов Глеб Кондратьев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266"/>
    <s v="Дорофеев Константин Кузьм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21-10-18T00:00:00"/>
    <n v="0"/>
    <s v="не защищена"/>
    <n v="500662"/>
    <x v="165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6"/>
    <s v="Сорокин Игорь Филатович"/>
    <n v="171"/>
    <s v="Русланов Савелий Игоревич"/>
    <s v="линейный_руководитель_2"/>
    <s v="Подразделение22"/>
    <x v="1"/>
    <x v="1"/>
    <n v="1"/>
    <n v="0"/>
    <s v="назначение на целевую должность"/>
    <d v="2022-12-13T00:00:00"/>
    <s v="повышение"/>
    <s v="протокол-№-14.11.2022"/>
  </r>
  <r>
    <s v="Функциональное направление 3"/>
    <n v="4"/>
    <d v="2019-09-25T00:00:00"/>
    <n v="1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56"/>
    <s v="Гуськов Савелий Геннад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57"/>
    <s v="Незнамов Арсен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58"/>
    <s v="Брежнев Геннад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59"/>
    <s v="Прохоров Кирилл Александро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19-09-25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60"/>
    <s v="Брежнев Савелий Марко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61"/>
    <s v="Карасев Константин Тарас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62"/>
    <s v="Коровкин Иван Кондратьевич"/>
    <s v="Рабочий"/>
    <s v="Подразделение22"/>
    <x v="0"/>
    <x v="0"/>
    <n v="0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63"/>
    <s v="Ветров Глеб Геннадье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22-11-14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64"/>
    <s v="Гуськов Матвей Александр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65"/>
    <s v="Степанов Глеб Кондратье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1-10-18T00:00:00"/>
    <n v="0"/>
    <s v="не защищена"/>
    <n v="500662"/>
    <x v="166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7"/>
    <s v="Бураков Константин Александрович"/>
    <n v="171"/>
    <s v="Русланов Савелий Игоревич"/>
    <s v="линейный_руководитель_2"/>
    <s v="Подразделение22"/>
    <x v="1"/>
    <x v="1"/>
    <n v="0"/>
    <n v="0"/>
    <s v="назначение на целевую должность"/>
    <d v="2022-12-13T00:00:00"/>
    <s v="повышение"/>
    <s v="протокол-№-14.11.2022"/>
  </r>
  <r>
    <s v="Функциональное направление 3"/>
    <n v="4"/>
    <d v="2019-09-25T00:00:00"/>
    <n v="1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56"/>
    <s v="Гуськов Савелий Геннад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57"/>
    <s v="Незнамов Арсен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58"/>
    <s v="Брежнев Геннад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59"/>
    <s v="Прохоров Кирилл Александро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19-09-25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60"/>
    <s v="Брежнев Савелий Марко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61"/>
    <s v="Карасев Константин Тарас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62"/>
    <s v="Коровкин Иван Кондратьевич"/>
    <s v="Рабочий"/>
    <s v="Подразделение22"/>
    <x v="0"/>
    <x v="0"/>
    <n v="0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63"/>
    <s v="Ветров Глеб Геннадье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22-11-14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64"/>
    <s v="Гуськов Матвей Александр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65"/>
    <s v="Степанов Глеб Кондратье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1-10-18T00:00:00"/>
    <n v="0"/>
    <s v="не защищена"/>
    <n v="500662"/>
    <x v="167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8"/>
    <s v="Никитин Григорий Павлович"/>
    <n v="171"/>
    <s v="Русланов Савелий Игоревич"/>
    <s v="линейный_руководитель_2"/>
    <s v="Подразделение22"/>
    <x v="1"/>
    <x v="1"/>
    <n v="0"/>
    <n v="0"/>
    <s v="назначение на целевую должность"/>
    <d v="2022-12-13T00:00:00"/>
    <s v="повышение"/>
    <s v="протокол-№-14.11.2022"/>
  </r>
  <r>
    <s v="Функциональное направление 3"/>
    <n v="4"/>
    <d v="2019-09-25T00:00:00"/>
    <n v="1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56"/>
    <s v="Гуськов Савелий Геннад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57"/>
    <s v="Незнамов Арсен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58"/>
    <s v="Брежнев Геннад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59"/>
    <s v="Прохоров Кирилл Александро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19-09-25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60"/>
    <s v="Брежнев Савелий Марко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61"/>
    <s v="Карасев Константин Тарас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62"/>
    <s v="Коровкин Иван Кондратьевич"/>
    <s v="Рабочий"/>
    <s v="Подразделение22"/>
    <x v="0"/>
    <x v="0"/>
    <n v="0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63"/>
    <s v="Ветров Глеб Геннадье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22-11-14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64"/>
    <s v="Гуськов Матвей Александр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65"/>
    <s v="Степанов Глеб Кондратье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1-10-18T00:00:00"/>
    <n v="0"/>
    <s v="не защищена"/>
    <n v="500662"/>
    <x v="168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69"/>
    <s v="Ярославов Савелий Михайлович"/>
    <n v="171"/>
    <s v="Русланов Савелий Игоревич"/>
    <s v="линейный_руководитель_2"/>
    <s v="Подразделение22"/>
    <x v="1"/>
    <x v="1"/>
    <n v="0"/>
    <n v="0"/>
    <s v="назначение на целевую должность"/>
    <d v="2022-12-13T00:00:00"/>
    <s v="повышение"/>
    <s v="протокол-№-14.11.2022"/>
  </r>
  <r>
    <s v="Функциональное направление 3"/>
    <n v="4"/>
    <d v="2019-09-25T00:00:00"/>
    <n v="1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56"/>
    <s v="Гуськов Савелий Геннад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57"/>
    <s v="Незнамов Арсен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58"/>
    <s v="Брежнев Геннад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59"/>
    <s v="Прохоров Кирилл Александро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19-09-25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60"/>
    <s v="Брежнев Савелий Марко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61"/>
    <s v="Карасев Константин Тарас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62"/>
    <s v="Коровкин Иван Кондратьевич"/>
    <s v="Рабочий"/>
    <s v="Подразделение22"/>
    <x v="0"/>
    <x v="0"/>
    <n v="0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63"/>
    <s v="Ветров Глеб Геннадье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22-11-14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64"/>
    <s v="Гуськов Матвей Александр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65"/>
    <s v="Степанов Глеб Кондратье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70"/>
    <s v="Конеев Никита Филатович"/>
    <s v="Рабочий"/>
    <s v="Подразделение22"/>
    <x v="1"/>
    <x v="1"/>
    <n v="1"/>
    <n v="1"/>
    <s v="назначение на целевую должность"/>
    <d v="2021-07-30T00:00:00"/>
    <s v="без изменений"/>
    <s v="протокол-№-29.09.2020"/>
  </r>
  <r>
    <s v="Функциональное направление 3"/>
    <n v="4"/>
    <d v="2021-10-18T00:00:00"/>
    <n v="0"/>
    <s v="не защищена"/>
    <n v="500662"/>
    <x v="169"/>
    <n v="22"/>
    <s v="Подразделение22"/>
    <s v="подразделение_2_уровня22"/>
    <s v="подразделение_3_уровня22"/>
    <s v="линейный_руководитель_1"/>
    <n v="6"/>
    <s v="да"/>
    <d v="2021-07-12T00:00:00"/>
    <d v="2021-07-30T00:00:00"/>
    <s v="из резерва (учитываем)"/>
    <n v="170"/>
    <s v="Конеев Никита Филатович"/>
    <n v="171"/>
    <s v="Русланов Савелий Игоревич"/>
    <s v="линейный_руководитель_2"/>
    <s v="Подразделение22"/>
    <x v="1"/>
    <x v="1"/>
    <n v="0"/>
    <n v="0"/>
    <s v="назначение на целевую должность"/>
    <d v="2022-12-13T00:00:00"/>
    <s v="повышение"/>
    <s v="протокол-№-14.11.2022"/>
  </r>
  <r>
    <s v="Функциональное направление 3"/>
    <n v="4"/>
    <d v="2019-09-25T00:00:00"/>
    <n v="1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56"/>
    <s v="Гуськов Савелий Геннад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57"/>
    <s v="Незнамов Арсен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58"/>
    <s v="Брежнев Геннад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59"/>
    <s v="Прохоров Кирилл Александро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19-09-25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60"/>
    <s v="Брежнев Савелий Марко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61"/>
    <s v="Карасев Константин Тарас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62"/>
    <s v="Коровкин Иван Кондратьевич"/>
    <s v="Рабочий"/>
    <s v="Подразделение22"/>
    <x v="0"/>
    <x v="0"/>
    <n v="0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63"/>
    <s v="Ветров Глеб Геннадье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22-11-14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64"/>
    <s v="Гуськов Матвей Александр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65"/>
    <s v="Степанов Глеб Кондратье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1-10-18T00:00:00"/>
    <n v="0"/>
    <s v="не защищена"/>
    <n v="500662"/>
    <x v="170"/>
    <n v="22"/>
    <s v="Подразделение22"/>
    <s v="подразделение_2_уровня22"/>
    <s v="подразделение_3_уровня22"/>
    <s v="линейный_руководитель_1"/>
    <n v="6"/>
    <s v="да"/>
    <d v="2022-08-16T00:00:00"/>
    <d v="2022-12-13T00:00:00"/>
    <s v="из резерва (учитываем)"/>
    <n v="171"/>
    <s v="Русланов Савелий Игоревич"/>
    <n v="171"/>
    <s v="Русланов Савелий Игоревич"/>
    <s v="линейный_руководитель_2"/>
    <s v="Подразделение22"/>
    <x v="1"/>
    <x v="1"/>
    <n v="0"/>
    <n v="1"/>
    <s v="назначение на целевую должность"/>
    <d v="2022-12-13T00:00:00"/>
    <s v="повышение"/>
    <s v="протокол-№-14.11.2022"/>
  </r>
  <r>
    <s v="Функциональное направление 3"/>
    <n v="4"/>
    <d v="2019-09-25T00:00:00"/>
    <n v="1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56"/>
    <s v="Гуськов Савелий Геннад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57"/>
    <s v="Незнамов Арсен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58"/>
    <s v="Брежнев Геннад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59"/>
    <s v="Прохоров Кирилл Александро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19-09-25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60"/>
    <s v="Брежнев Савелий Марко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61"/>
    <s v="Карасев Константин Тарас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62"/>
    <s v="Коровкин Иван Кондратьевич"/>
    <s v="Рабочий"/>
    <s v="Подразделение22"/>
    <x v="0"/>
    <x v="0"/>
    <n v="0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63"/>
    <s v="Ветров Глеб Геннадье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22-11-14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64"/>
    <s v="Гуськов Матвей Александр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65"/>
    <s v="Степанов Глеб Кондратье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1-10-18T00:00:00"/>
    <n v="0"/>
    <s v="не защищена"/>
    <n v="500662"/>
    <x v="17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2"/>
    <s v="Аксенов Руслан Еремеевич"/>
    <n v="171"/>
    <s v="Русланов Савелий Игоревич"/>
    <s v="линейный_руководитель_2"/>
    <s v="Подразделение22"/>
    <x v="1"/>
    <x v="1"/>
    <n v="0"/>
    <n v="0"/>
    <s v="назначение на целевую должность"/>
    <d v="2022-12-13T00:00:00"/>
    <s v="повышение"/>
    <s v="протокол-№-14.11.2022"/>
  </r>
  <r>
    <s v="Функциональное направление 3"/>
    <n v="4"/>
    <d v="2019-09-25T00:00:00"/>
    <n v="1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56"/>
    <s v="Гуськов Савелий Геннад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57"/>
    <s v="Незнамов Арсен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58"/>
    <s v="Брежнев Геннади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59"/>
    <s v="Прохоров Кирилл Александро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19-09-25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61"/>
    <s v="Карасев Константин Тарасо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60"/>
    <s v="Брежнев Савелий Марко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62"/>
    <s v="Коровкин Иван Кондратьевич"/>
    <s v="Рабочий"/>
    <s v="Подразделение22"/>
    <x v="0"/>
    <x v="0"/>
    <n v="0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63"/>
    <s v="Ветров Глеб Геннадьевич"/>
    <s v="Рабочий"/>
    <s v="Подразделение22"/>
    <x v="1"/>
    <x v="0"/>
    <n v="0"/>
    <n v="0"/>
    <m/>
    <m/>
    <s v="повышение"/>
    <s v="протокол-№-14.11.2023"/>
  </r>
  <r>
    <s v="Функциональное направление 3"/>
    <n v="4"/>
    <d v="2022-11-14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64"/>
    <s v="Гуськов Матвей Александр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65"/>
    <s v="Степанов Глеб Кондратье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1-10-18T00:00:00"/>
    <n v="0"/>
    <s v="не защищена"/>
    <n v="500662"/>
    <x v="172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3"/>
    <s v="Волков Емельян Кириллович"/>
    <n v="171"/>
    <s v="Русланов Савелий Игоревич"/>
    <s v="линейный_руководитель_2"/>
    <s v="Подразделение22"/>
    <x v="1"/>
    <x v="1"/>
    <n v="0"/>
    <n v="0"/>
    <s v="назначение на целевую должность"/>
    <d v="2022-12-13T00:00:00"/>
    <s v="повышение"/>
    <s v="протокол-№-14.11.2022"/>
  </r>
  <r>
    <s v="Функциональное направление 3"/>
    <n v="4"/>
    <d v="2019-09-25T00:00:00"/>
    <n v="1"/>
    <s v="не защищена"/>
    <n v="500672"/>
    <x v="173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1-06-11T00:00:00"/>
    <d v="2021-07-12T00:00:00"/>
    <s v="из резерва (учитываем)"/>
    <n v="174"/>
    <s v="Поминов Афанасий Григорьевич"/>
    <n v="168"/>
    <s v="Никитин Григорий Павлович"/>
    <s v="линейный_руководитель_2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72"/>
    <x v="173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1-06-11T00:00:00"/>
    <d v="2021-07-12T00:00:00"/>
    <s v="из резерва (учитываем)"/>
    <n v="174"/>
    <s v="Поминов Афанасий Григорьевич"/>
    <n v="167"/>
    <s v="Бураков Константин Александрович"/>
    <s v="линейный_руководитель_2"/>
    <s v="Подразделение22"/>
    <x v="1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2"/>
    <x v="173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1-06-11T00:00:00"/>
    <d v="2021-07-12T00:00:00"/>
    <s v="из резерва (учитываем)"/>
    <n v="174"/>
    <s v="Поминов Афанасий Григорьевич"/>
    <n v="172"/>
    <s v="Аксенов Руслан Еремеевич"/>
    <s v="линейный_руководитель_2"/>
    <s v="Подразделение22"/>
    <x v="0"/>
    <x v="0"/>
    <n v="1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72"/>
    <x v="173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1-06-11T00:00:00"/>
    <d v="2021-07-12T00:00:00"/>
    <s v="из резерва (учитываем)"/>
    <n v="174"/>
    <s v="Поминов Афанасий Григорьевич"/>
    <n v="174"/>
    <s v="Поминов Афанасий Григорьевич"/>
    <s v="линейный_руководитель_2"/>
    <s v="Подразделение22"/>
    <x v="1"/>
    <x v="1"/>
    <n v="1"/>
    <n v="1"/>
    <s v="назначение на целевую должность"/>
    <d v="2021-07-12T00:00:00"/>
    <s v="без изменений"/>
    <s v="протокол-№-29.09.2020"/>
  </r>
  <r>
    <s v="Функциональное направление 3"/>
    <n v="4"/>
    <d v="2019-09-25T00:00:00"/>
    <n v="1"/>
    <s v="не защищена"/>
    <n v="500673"/>
    <x v="174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2-07-01T00:00:00"/>
    <d v="2022-07-01T00:00:00"/>
    <s v="ротация (не учитываем)"/>
    <n v="175"/>
    <s v="Синицин Василий Сидорович"/>
    <n v="168"/>
    <s v="Никитин Григорий Павлович"/>
    <s v="линейный_руководитель_2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73"/>
    <x v="174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2-07-01T00:00:00"/>
    <d v="2022-07-01T00:00:00"/>
    <s v="ротация (не учитываем)"/>
    <n v="175"/>
    <s v="Синицин Василий Сидорович"/>
    <n v="167"/>
    <s v="Бураков Константин Александрович"/>
    <s v="линейный_руководитель_2"/>
    <s v="Подразделение22"/>
    <x v="1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3"/>
    <x v="174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2-07-01T00:00:00"/>
    <d v="2022-07-01T00:00:00"/>
    <s v="ротация (не учитываем)"/>
    <n v="175"/>
    <s v="Синицин Василий Сидорович"/>
    <n v="172"/>
    <s v="Аксенов Руслан Еремеевич"/>
    <s v="линейный_руководитель_2"/>
    <s v="Подразделение22"/>
    <x v="0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73"/>
    <x v="174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2-07-01T00:00:00"/>
    <d v="2022-07-01T00:00:00"/>
    <s v="ротация (не учитываем)"/>
    <n v="175"/>
    <s v="Синицин Василий Сидорович"/>
    <n v="174"/>
    <s v="Поминов Афанасий Григорьевич"/>
    <s v="линейный_руководитель_2"/>
    <s v="Подразделение22"/>
    <x v="1"/>
    <x v="2"/>
    <n v="0"/>
    <n v="0"/>
    <s v="назначение на равнозначную должность"/>
    <d v="2021-07-12T00:00:00"/>
    <s v="без изменений"/>
    <s v="протокол-№-29.09.2020"/>
  </r>
  <r>
    <s v="Функциональное направление 3"/>
    <n v="4"/>
    <d v="2019-09-25T00:00:00"/>
    <n v="1"/>
    <s v="не защищена"/>
    <n v="500676"/>
    <x v="175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3-04-01T00:00:00"/>
    <m/>
    <m/>
    <s v="вакансия"/>
    <s v="вакансия"/>
    <n v="177"/>
    <s v="Романов Степан Прохорович"/>
    <s v="линейный_руководитель_2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76"/>
    <x v="175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3-04-01T00:00:00"/>
    <m/>
    <m/>
    <s v="вакансия"/>
    <s v="вакансия"/>
    <n v="1258"/>
    <s v="Брежнев Геннадий Александров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6"/>
    <x v="175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3-04-01T00:00:00"/>
    <m/>
    <m/>
    <s v="вакансия"/>
    <s v="вакансия"/>
    <n v="1260"/>
    <s v="Брежнев Савелий Марков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19-09-25T00:00:00"/>
    <n v="1"/>
    <s v="не защищена"/>
    <n v="500677"/>
    <x v="176"/>
    <n v="22"/>
    <s v="Подразделение22"/>
    <s v="подразделение_2_уровня22"/>
    <s v="подразделение_3_уровня22"/>
    <s v="линейный_руководитель_2"/>
    <n v="6"/>
    <s v="да"/>
    <d v="2023-07-01T00:00:00"/>
    <m/>
    <m/>
    <s v="вакансия"/>
    <s v="вакансия"/>
    <n v="1267"/>
    <s v="Дорофеев Савелий Игнато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77"/>
    <x v="176"/>
    <n v="22"/>
    <s v="Подразделение22"/>
    <s v="подразделение_2_уровня22"/>
    <s v="подразделение_3_уровня22"/>
    <s v="линейный_руководитель_2"/>
    <n v="6"/>
    <s v="да"/>
    <d v="2023-07-01T00:00:00"/>
    <m/>
    <m/>
    <s v="вакансия"/>
    <s v="вакансия"/>
    <n v="1268"/>
    <s v="Игнатьев Афанасий Кондратьевич"/>
    <s v="Рабочий"/>
    <s v="Подразделение22"/>
    <x v="2"/>
    <x v="0"/>
    <n v="1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77"/>
    <x v="176"/>
    <n v="22"/>
    <s v="Подразделение22"/>
    <s v="подразделение_2_уровня22"/>
    <s v="подразделение_3_уровня22"/>
    <s v="линейный_руководитель_2"/>
    <n v="6"/>
    <s v="да"/>
    <d v="2023-07-01T00:00:00"/>
    <m/>
    <m/>
    <s v="вакансия"/>
    <s v="вакансия"/>
    <n v="1258"/>
    <s v="Брежнев Геннадий Александрович"/>
    <s v="Рабочий"/>
    <s v="Подразделение22"/>
    <x v="0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7"/>
    <x v="176"/>
    <n v="22"/>
    <s v="Подразделение22"/>
    <s v="подразделение_2_уровня22"/>
    <s v="подразделение_3_уровня22"/>
    <s v="линейный_руководитель_2"/>
    <n v="6"/>
    <s v="да"/>
    <d v="2023-07-01T00:00:00"/>
    <m/>
    <m/>
    <s v="вакансия"/>
    <s v="вакансия"/>
    <n v="1260"/>
    <s v="Брежнев Савелий Маркович"/>
    <s v="Рабочий"/>
    <s v="Подразделение22"/>
    <x v="0"/>
    <x v="0"/>
    <n v="1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77"/>
    <x v="176"/>
    <n v="22"/>
    <s v="Подразделение22"/>
    <s v="подразделение_2_уровня22"/>
    <s v="подразделение_3_уровня22"/>
    <s v="линейный_руководитель_2"/>
    <n v="6"/>
    <s v="да"/>
    <d v="2023-07-01T00:00:00"/>
    <m/>
    <m/>
    <s v="вакансия"/>
    <s v="вакансия"/>
    <n v="176"/>
    <s v="Поминов Сергей Артемович"/>
    <s v="Рабочий"/>
    <s v="Подразделение22"/>
    <x v="0"/>
    <x v="2"/>
    <n v="1"/>
    <n v="0"/>
    <s v="назначение на целевую должность"/>
    <d v="2021-04-02T00:00:00"/>
    <s v="повышение"/>
    <s v="протокол-№-29.09.2020"/>
  </r>
  <r>
    <s v="Функциональное направление 3"/>
    <n v="4"/>
    <d v="2019-09-25T00:00:00"/>
    <n v="1"/>
    <s v="не защищена"/>
    <n v="500678"/>
    <x v="177"/>
    <n v="22"/>
    <s v="Подразделение22"/>
    <s v="подразделение_2_уровня22"/>
    <s v="подразделение_3_уровня22"/>
    <s v="линейный_руководитель_2"/>
    <n v="6"/>
    <s v="да"/>
    <d v="2021-04-02T00:00:00"/>
    <d v="2021-04-02T00:00:00"/>
    <s v="из резерва (учитываем)"/>
    <n v="176"/>
    <s v="Поминов Сергей Артемович"/>
    <n v="1267"/>
    <s v="Дорофеев Савелий Игнат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78"/>
    <x v="177"/>
    <n v="22"/>
    <s v="Подразделение22"/>
    <s v="подразделение_2_уровня22"/>
    <s v="подразделение_3_уровня22"/>
    <s v="линейный_руководитель_2"/>
    <n v="6"/>
    <s v="да"/>
    <d v="2021-04-02T00:00:00"/>
    <d v="2021-04-02T00:00:00"/>
    <s v="из резерва (учитываем)"/>
    <n v="176"/>
    <s v="Поминов Сергей Артемович"/>
    <n v="1268"/>
    <s v="Игнатьев Афанасий Кондратьевич"/>
    <s v="Рабочий"/>
    <s v="Подразделение22"/>
    <x v="2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78"/>
    <x v="177"/>
    <n v="22"/>
    <s v="Подразделение22"/>
    <s v="подразделение_2_уровня22"/>
    <s v="подразделение_3_уровня22"/>
    <s v="линейный_руководитель_2"/>
    <n v="6"/>
    <s v="да"/>
    <d v="2021-04-02T00:00:00"/>
    <d v="2021-04-02T00:00:00"/>
    <s v="из резерва (учитываем)"/>
    <n v="176"/>
    <s v="Поминов Сергей Артемович"/>
    <n v="1258"/>
    <s v="Брежнев Геннадий Александрович"/>
    <s v="Рабочий"/>
    <s v="Подразделение22"/>
    <x v="0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8"/>
    <x v="177"/>
    <n v="22"/>
    <s v="Подразделение22"/>
    <s v="подразделение_2_уровня22"/>
    <s v="подразделение_3_уровня22"/>
    <s v="линейный_руководитель_2"/>
    <n v="6"/>
    <s v="да"/>
    <d v="2021-04-02T00:00:00"/>
    <d v="2021-04-02T00:00:00"/>
    <s v="из резерва (учитываем)"/>
    <n v="176"/>
    <s v="Поминов Сергей Артемович"/>
    <n v="1260"/>
    <s v="Брежнев Савелий Маркович"/>
    <s v="Рабочий"/>
    <s v="Подразделение22"/>
    <x v="0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78"/>
    <x v="177"/>
    <n v="22"/>
    <s v="Подразделение22"/>
    <s v="подразделение_2_уровня22"/>
    <s v="подразделение_3_уровня22"/>
    <s v="линейный_руководитель_2"/>
    <n v="6"/>
    <s v="да"/>
    <d v="2021-04-02T00:00:00"/>
    <d v="2021-04-02T00:00:00"/>
    <s v="из резерва (учитываем)"/>
    <n v="176"/>
    <s v="Поминов Сергей Артемович"/>
    <n v="176"/>
    <s v="Поминов Сергей Артемович"/>
    <s v="Рабочий"/>
    <s v="Подразделение22"/>
    <x v="0"/>
    <x v="1"/>
    <n v="0"/>
    <n v="1"/>
    <s v="назначение на целевую должность"/>
    <d v="2021-04-02T00:00:00"/>
    <s v="повышение"/>
    <s v="протокол-№-29.09.2020"/>
  </r>
  <r>
    <s v="Функциональное направление 3"/>
    <n v="4"/>
    <d v="2019-09-25T00:00:00"/>
    <n v="1"/>
    <s v="не защищена"/>
    <n v="500660"/>
    <x v="178"/>
    <n v="22"/>
    <s v="Подразделение22"/>
    <s v="подразделение_2_уровня22"/>
    <s v="подразделение_3_уровня22"/>
    <s v="линейный_руководитель_2"/>
    <n v="6"/>
    <s v="нет"/>
    <m/>
    <m/>
    <m/>
    <n v="177"/>
    <s v="Романов Степан Прохорович"/>
    <n v="170"/>
    <s v="Конеев Никита Филатович"/>
    <s v="Рабочий"/>
    <s v="Подразделение22"/>
    <x v="1"/>
    <x v="1"/>
    <n v="1"/>
    <n v="0"/>
    <s v="назначение на равнозначную должность"/>
    <d v="2021-07-30T00:00:00"/>
    <s v="без изменений"/>
    <s v="протокол-№-29.09.2020"/>
  </r>
  <r>
    <s v="Функциональное направление 3"/>
    <n v="4"/>
    <d v="2019-09-25T00:00:00"/>
    <n v="0"/>
    <s v="не защищена"/>
    <n v="500660"/>
    <x v="178"/>
    <n v="22"/>
    <s v="Подразделение22"/>
    <s v="подразделение_2_уровня22"/>
    <s v="подразделение_3_уровня22"/>
    <s v="линейный_руководитель_2"/>
    <n v="6"/>
    <s v="нет"/>
    <m/>
    <m/>
    <m/>
    <n v="177"/>
    <s v="Романов Степан Прохорович"/>
    <n v="1269"/>
    <s v="Игнатьев Роман Владиславович"/>
    <s v="Специалист"/>
    <s v="Подразделение_др5"/>
    <x v="1"/>
    <x v="2"/>
    <n v="1"/>
    <n v="0"/>
    <s v="прочее (перевод в другое СП / на другое предприятие)"/>
    <d v="2023-03-31T00:00:00"/>
    <s v="без изменений"/>
    <s v="протокол-№-14.11.2023"/>
  </r>
  <r>
    <s v="Функциональное направление 3"/>
    <n v="4"/>
    <d v="2021-10-18T00:00:00"/>
    <n v="1"/>
    <s v="не защищена"/>
    <n v="500674"/>
    <x v="179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78"/>
    <s v="Петров Прохор Кондратьевич"/>
    <n v="1270"/>
    <s v="Брежнев Богдан Тарасович"/>
    <s v="Рабочий"/>
    <s v="Подразделение22"/>
    <x v="1"/>
    <x v="0"/>
    <n v="1"/>
    <n v="0"/>
    <m/>
    <m/>
    <s v="повышение"/>
    <s v="протокол-№-14.11.2023"/>
  </r>
  <r>
    <s v="Функциональное направление 3"/>
    <n v="4"/>
    <d v="2021-10-18T00:00:00"/>
    <n v="0"/>
    <s v="не защищена"/>
    <n v="500674"/>
    <x v="179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78"/>
    <s v="Петров Прохор Кондратьевич"/>
    <n v="182"/>
    <s v="Сидоров Савелий Глебович"/>
    <s v="линейный_руководитель_2"/>
    <s v="Подразделение22"/>
    <x v="0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74"/>
    <x v="179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78"/>
    <s v="Петров Прохор Кондратьевич"/>
    <n v="1271"/>
    <s v="Потапов Савелий Герасимович"/>
    <s v="Рабочий"/>
    <s v="Подразделение22"/>
    <x v="1"/>
    <x v="2"/>
    <n v="1"/>
    <n v="0"/>
    <s v="увольнение"/>
    <d v="2022-02-14T00:00:00"/>
    <s v="без изменений"/>
    <s v="протокол-№-29.09.2020"/>
  </r>
  <r>
    <s v="Функциональное направление 3"/>
    <n v="4"/>
    <d v="2019-09-25T00:00:00"/>
    <n v="1"/>
    <s v="не защищена"/>
    <n v="500675"/>
    <x v="180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9"/>
    <s v="Русланов Владислав Борисович"/>
    <n v="1270"/>
    <s v="Брежнев Богдан Тарасо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75"/>
    <x v="180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9"/>
    <s v="Русланов Владислав Борисович"/>
    <n v="181"/>
    <s v="Семенов Лавр Константинович"/>
    <s v="Рабочий"/>
    <s v="Подразделение22"/>
    <x v="1"/>
    <x v="2"/>
    <n v="1"/>
    <n v="0"/>
    <s v="назначение на целевую должность"/>
    <d v="2023-06-01T00:00:00"/>
    <s v="повышение"/>
    <s v="протокол-№-14.11.2023"/>
  </r>
  <r>
    <s v="Функциональное направление 3"/>
    <n v="4"/>
    <d v="2019-09-25T00:00:00"/>
    <n v="0"/>
    <s v="не защищена"/>
    <n v="500675"/>
    <x v="180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9"/>
    <s v="Русланов Владислав Борисович"/>
    <n v="1272"/>
    <s v="Коростелев Виталий Кондратьевич"/>
    <s v="Рабочий"/>
    <s v="Подразделение22"/>
    <x v="0"/>
    <x v="0"/>
    <n v="1"/>
    <n v="0"/>
    <m/>
    <m/>
    <s v="понижение"/>
    <s v="протокол-№-14.11.2023"/>
  </r>
  <r>
    <s v="Функциональное направление 3"/>
    <n v="4"/>
    <d v="2022-11-14T00:00:00"/>
    <n v="0"/>
    <s v="не защищена"/>
    <n v="500675"/>
    <x v="180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9"/>
    <s v="Русланов Владислав Борисов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5"/>
    <x v="180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79"/>
    <s v="Русланов Владислав Борисович"/>
    <n v="1273"/>
    <s v="Прохоров Ефрем Иль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19-09-25T00:00:00"/>
    <n v="1"/>
    <s v="не защищена"/>
    <n v="500675"/>
    <x v="18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0"/>
    <s v="Баранкин Игнат Ильич"/>
    <n v="1270"/>
    <s v="Брежнев Богдан Тарас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75"/>
    <x v="18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0"/>
    <s v="Баранкин Игнат Ильич"/>
    <n v="181"/>
    <s v="Семенов Лавр Константинович"/>
    <s v="Рабочий"/>
    <s v="Подразделение22"/>
    <x v="1"/>
    <x v="2"/>
    <n v="0"/>
    <n v="0"/>
    <s v="назначение на целевую должность"/>
    <d v="2023-06-01T00:00:00"/>
    <s v="повышение"/>
    <s v="протокол-№-14.11.2023"/>
  </r>
  <r>
    <s v="Функциональное направление 3"/>
    <n v="4"/>
    <d v="2019-09-25T00:00:00"/>
    <n v="0"/>
    <s v="не защищена"/>
    <n v="500675"/>
    <x v="18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0"/>
    <s v="Баранкин Игнат Ильич"/>
    <n v="1272"/>
    <s v="Коростелев Виталий Кондратье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22-11-14T00:00:00"/>
    <n v="0"/>
    <s v="не защищена"/>
    <n v="500675"/>
    <x v="18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0"/>
    <s v="Баранкин Игнат Иль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5"/>
    <x v="181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0"/>
    <s v="Баранкин Игнат Ильич"/>
    <n v="1273"/>
    <s v="Прохоров Ефрем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1"/>
    <s v="не защищена"/>
    <n v="500675"/>
    <x v="182"/>
    <n v="22"/>
    <s v="Подразделение22"/>
    <s v="подразделение_2_уровня22"/>
    <s v="подразделение_3_уровня22"/>
    <s v="линейный_руководитель_1"/>
    <n v="6"/>
    <s v="да"/>
    <d v="2023-05-04T00:00:00"/>
    <d v="2023-06-01T00:00:00"/>
    <s v="из резерва (учитываем)"/>
    <s v="вакансия"/>
    <s v="вакансия"/>
    <n v="1270"/>
    <s v="Брежнев Богдан Тарас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75"/>
    <x v="182"/>
    <n v="22"/>
    <s v="Подразделение22"/>
    <s v="подразделение_2_уровня22"/>
    <s v="подразделение_3_уровня22"/>
    <s v="линейный_руководитель_1"/>
    <n v="6"/>
    <s v="да"/>
    <d v="2023-05-04T00:00:00"/>
    <d v="2023-06-01T00:00:00"/>
    <s v="из резерва (учитываем)"/>
    <n v="181"/>
    <s v="Семенов Лавр Константинович"/>
    <n v="181"/>
    <s v="Семенов Лавр Константинович"/>
    <s v="Рабочий"/>
    <s v="Подразделение22"/>
    <x v="1"/>
    <x v="1"/>
    <n v="0"/>
    <n v="1"/>
    <s v="назначение на целевую должность"/>
    <d v="2023-06-01T00:00:00"/>
    <s v="повышение"/>
    <s v="протокол-№-14.11.2023"/>
  </r>
  <r>
    <s v="Функциональное направление 3"/>
    <n v="4"/>
    <d v="2019-09-25T00:00:00"/>
    <n v="0"/>
    <s v="не защищена"/>
    <n v="500675"/>
    <x v="182"/>
    <n v="22"/>
    <s v="Подразделение22"/>
    <s v="подразделение_2_уровня22"/>
    <s v="подразделение_3_уровня22"/>
    <s v="линейный_руководитель_1"/>
    <n v="6"/>
    <s v="да"/>
    <d v="2023-05-04T00:00:00"/>
    <d v="2023-06-01T00:00:00"/>
    <s v="из резерва (учитываем)"/>
    <s v="вакансия"/>
    <s v="вакансия"/>
    <n v="1272"/>
    <s v="Коростелев Виталий Кондратье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22-11-14T00:00:00"/>
    <n v="0"/>
    <s v="не защищена"/>
    <n v="500675"/>
    <x v="182"/>
    <n v="22"/>
    <s v="Подразделение22"/>
    <s v="подразделение_2_уровня22"/>
    <s v="подразделение_3_уровня22"/>
    <s v="линейный_руководитель_1"/>
    <n v="6"/>
    <s v="да"/>
    <d v="2023-05-04T00:00:00"/>
    <d v="2023-06-01T00:00:00"/>
    <s v="из резерва (учитываем)"/>
    <s v="вакансия"/>
    <s v="вакансия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5"/>
    <x v="182"/>
    <n v="22"/>
    <s v="Подразделение22"/>
    <s v="подразделение_2_уровня22"/>
    <s v="подразделение_3_уровня22"/>
    <s v="линейный_руководитель_1"/>
    <n v="6"/>
    <s v="да"/>
    <d v="2023-05-04T00:00:00"/>
    <d v="2023-06-01T00:00:00"/>
    <s v="из резерва (учитываем)"/>
    <s v="вакансия"/>
    <s v="вакансия"/>
    <n v="1273"/>
    <s v="Прохоров Ефрем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1"/>
    <s v="не защищена"/>
    <n v="500675"/>
    <x v="183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2"/>
    <s v="Сидоров Савелий Глебович"/>
    <n v="1270"/>
    <s v="Брежнев Богдан Тарас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75"/>
    <x v="183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2"/>
    <s v="Сидоров Савелий Глебович"/>
    <n v="181"/>
    <s v="Семенов Лавр Константинович"/>
    <s v="Рабочий"/>
    <s v="Подразделение22"/>
    <x v="1"/>
    <x v="2"/>
    <n v="0"/>
    <n v="0"/>
    <s v="назначение на целевую должность"/>
    <d v="2023-06-01T00:00:00"/>
    <s v="повышение"/>
    <s v="протокол-№-14.11.2023"/>
  </r>
  <r>
    <s v="Функциональное направление 3"/>
    <n v="4"/>
    <d v="2019-09-25T00:00:00"/>
    <n v="0"/>
    <s v="не защищена"/>
    <n v="500675"/>
    <x v="183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2"/>
    <s v="Сидоров Савелий Глебович"/>
    <n v="1272"/>
    <s v="Коростелев Виталий Кондратьевич"/>
    <s v="Рабочий"/>
    <s v="Подразделение22"/>
    <x v="0"/>
    <x v="0"/>
    <n v="0"/>
    <n v="0"/>
    <m/>
    <m/>
    <s v="понижение"/>
    <s v="протокол-№-14.11.2023"/>
  </r>
  <r>
    <s v="Функциональное направление 3"/>
    <n v="4"/>
    <d v="2022-11-14T00:00:00"/>
    <n v="0"/>
    <s v="не защищена"/>
    <n v="500675"/>
    <x v="183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2"/>
    <s v="Сидоров Савелий Глебович"/>
    <n v="1266"/>
    <s v="Дорофеев Константин Кузьм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5"/>
    <x v="183"/>
    <n v="22"/>
    <s v="Подразделение22"/>
    <s v="подразделение_2_уровня22"/>
    <s v="подразделение_3_уровня22"/>
    <s v="линейный_руководитель_1"/>
    <n v="6"/>
    <s v="нет"/>
    <m/>
    <m/>
    <m/>
    <n v="182"/>
    <s v="Сидоров Савелий Глебович"/>
    <n v="1273"/>
    <s v="Прохоров Ефрем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1"/>
    <s v="не защищена"/>
    <n v="500679"/>
    <x v="184"/>
    <n v="22"/>
    <s v="Подразделение22"/>
    <s v="подразделение_2_уровня22"/>
    <s v="подразделение_3_уровня22"/>
    <s v="функциональный_руководитель_1"/>
    <n v="7"/>
    <s v="нет"/>
    <m/>
    <m/>
    <m/>
    <n v="183"/>
    <s v="Незнамов Тихон Денисович"/>
    <n v="1274"/>
    <s v="Игнатьев Константин Кондратьевич"/>
    <s v="Рабочий"/>
    <s v="Подразделение22"/>
    <x v="1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79"/>
    <x v="184"/>
    <n v="22"/>
    <s v="Подразделение22"/>
    <s v="подразделение_2_уровня22"/>
    <s v="подразделение_3_уровня22"/>
    <s v="функциональный_руководитель_1"/>
    <n v="7"/>
    <s v="нет"/>
    <m/>
    <m/>
    <m/>
    <n v="183"/>
    <s v="Незнамов Тихон Денисович"/>
    <n v="181"/>
    <s v="Семенов Лавр Константинович"/>
    <s v="линейный_руководитель_1"/>
    <s v="Подразделение22"/>
    <x v="0"/>
    <x v="0"/>
    <n v="1"/>
    <n v="0"/>
    <m/>
    <m/>
    <s v="не рассматривали"/>
    <s v="протокол-№-14.11.2023"/>
  </r>
  <r>
    <s v="Функциональное направление 3"/>
    <n v="3"/>
    <d v="2018-11-22T00:00:00"/>
    <n v="1"/>
    <s v="не защищена"/>
    <n v="500659"/>
    <x v="185"/>
    <n v="22"/>
    <s v="Подразделение22"/>
    <s v="подразделение_2_уровня22"/>
    <s v="-"/>
    <s v="ТОП_руководитель_2"/>
    <n v="5"/>
    <s v="нет"/>
    <m/>
    <m/>
    <m/>
    <n v="184"/>
    <s v="Филатов Герасим Семенович"/>
    <n v="185"/>
    <s v="Бураков Вячеслав Анатольевич"/>
    <s v="функциональный_руководитель_1"/>
    <s v="Подразделение22"/>
    <x v="1"/>
    <x v="0"/>
    <n v="1"/>
    <n v="0"/>
    <m/>
    <m/>
    <s v="без изменений"/>
    <s v="протокол-№-18.05.2023"/>
  </r>
  <r>
    <s v="Функциональное направление 3"/>
    <n v="3"/>
    <d v="2022-06-27T00:00:00"/>
    <n v="0"/>
    <s v="не защищена"/>
    <n v="500659"/>
    <x v="185"/>
    <n v="22"/>
    <s v="Подразделение22"/>
    <s v="подразделение_2_уровня22"/>
    <s v="-"/>
    <s v="ТОП_руководитель_2"/>
    <n v="5"/>
    <s v="нет"/>
    <m/>
    <m/>
    <m/>
    <n v="184"/>
    <s v="Филатов Герасим Семенович"/>
    <n v="194"/>
    <s v="Поминов Геннадий Александрович"/>
    <s v="функциональный_руководитель_1"/>
    <s v="Подразделение22"/>
    <x v="2"/>
    <x v="0"/>
    <n v="1"/>
    <n v="0"/>
    <m/>
    <m/>
    <s v="не рассматривали"/>
    <s v="протокол-№-18.05.2023"/>
  </r>
  <r>
    <s v="Функциональное направление 3"/>
    <n v="4"/>
    <d v="2019-09-25T00:00:00"/>
    <n v="1"/>
    <s v="не защищена"/>
    <n v="500651"/>
    <x v="186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85"/>
    <s v="Бураков Вячеслав Анатольевич"/>
    <n v="198"/>
    <s v="Михайлов Алексей Сидорович"/>
    <s v="линейный_руководитель_2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1"/>
    <x v="186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85"/>
    <s v="Бураков Вячеслав Анатольевич"/>
    <n v="1275"/>
    <s v="Потапов Константин Кондратье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1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75"/>
    <s v="Потапов Константин Кондратье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76"/>
    <s v="Игнатьев Андрей Александро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77"/>
    <s v="Игнатьев Савелий Михайлов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78"/>
    <s v="Ветров Трофим Ефремов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79"/>
    <s v="Федотов Захар Владиславов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80"/>
    <s v="Игнатьев Афанасий Ильич"/>
    <s v="Рабочий"/>
    <s v="Подразделение22"/>
    <x v="2"/>
    <x v="0"/>
    <n v="1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41"/>
    <s v="Коровкин Виталий Тимофеевич"/>
    <s v="Рабочий"/>
    <s v="Подразделение22"/>
    <x v="1"/>
    <x v="0"/>
    <n v="1"/>
    <n v="0"/>
    <m/>
    <m/>
    <s v="не рассматривали"/>
    <s v="протокол-№-14.11.2023"/>
  </r>
  <r>
    <s v="Функциональное направление 3"/>
    <n v="4"/>
    <d v="2020-08-03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258"/>
    <s v="Русланов Вячеслав Юрьевич"/>
    <s v="линейный_руководитель_2"/>
    <s v="Подразделение421"/>
    <x v="1"/>
    <x v="2"/>
    <n v="1"/>
    <n v="0"/>
    <s v="прочее (перевод в другое СП / на другое предприятие)"/>
    <d v="2020-08-03T00:00:00"/>
    <s v="не рассматривали"/>
    <s v="протокол-№-03.08.2020"/>
  </r>
  <r>
    <s v="Функциональное направление 3"/>
    <n v="4"/>
    <d v="2019-09-25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81"/>
    <s v="Игнатьев Виталий Семенович"/>
    <s v="Рабочий"/>
    <s v="Подразделение22"/>
    <x v="1"/>
    <x v="2"/>
    <n v="1"/>
    <n v="0"/>
    <s v="увольнение"/>
    <d v="2022-10-06T00:00:00"/>
    <s v="повышение"/>
    <s v="протокол-№-18.10.2021"/>
  </r>
  <r>
    <s v="Функциональное направление 3"/>
    <n v="4"/>
    <d v="2019-09-25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82"/>
    <s v="Игнатьев Ефрем Константинович"/>
    <s v="Рабочий"/>
    <s v="Подразделение22"/>
    <x v="0"/>
    <x v="2"/>
    <n v="1"/>
    <n v="0"/>
    <s v="самоотвод"/>
    <d v="2021-03-24T00:00:00"/>
    <s v="без изменений"/>
    <s v="протокол-№-29.09.2020"/>
  </r>
  <r>
    <s v="Функциональное направление 3"/>
    <n v="4"/>
    <d v="2021-10-18T00:00:00"/>
    <n v="0"/>
    <s v="не защищена"/>
    <n v="500652"/>
    <x v="18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6"/>
    <s v="Сорокин Венедикт Юрьевич"/>
    <n v="1283"/>
    <s v="Исаев Арсений Семенович"/>
    <s v="линейный_руководитель_2"/>
    <s v="Подразделение22"/>
    <x v="0"/>
    <x v="2"/>
    <n v="1"/>
    <n v="0"/>
    <s v="увольнение"/>
    <d v="2023-01-24T00:00:00"/>
    <s v="без изменений"/>
    <s v="протокол-№-14.11.2023"/>
  </r>
  <r>
    <s v="Функциональное направление 3"/>
    <n v="4"/>
    <d v="2019-09-25T00:00:00"/>
    <n v="1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76"/>
    <s v="Игнатьев Андре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75"/>
    <s v="Потапов Константин Кондрат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77"/>
    <s v="Игнатьев Савелий Михайл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78"/>
    <s v="Ветров Трофим Ефрем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79"/>
    <s v="Федотов Захар Владислав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80"/>
    <s v="Игнатьев Афанасий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41"/>
    <s v="Коровкин Виталий Тимофеевич"/>
    <s v="Рабочий"/>
    <s v="Подразделение22"/>
    <x v="1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81"/>
    <s v="Игнатьев Виталий Семенович"/>
    <s v="Рабочий"/>
    <s v="Подразделение22"/>
    <x v="1"/>
    <x v="2"/>
    <n v="0"/>
    <n v="0"/>
    <s v="увольнение"/>
    <d v="2022-10-06T00:00:00"/>
    <s v="повышение"/>
    <s v="протокол-№-18.10.2021"/>
  </r>
  <r>
    <s v="Функциональное направление 3"/>
    <n v="4"/>
    <d v="2019-09-25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82"/>
    <s v="Игнатьев Ефрем Константинович"/>
    <s v="Рабочий"/>
    <s v="Подразделение22"/>
    <x v="0"/>
    <x v="2"/>
    <n v="0"/>
    <n v="0"/>
    <s v="самоотвод"/>
    <d v="2021-03-24T00:00:00"/>
    <s v="без изменений"/>
    <s v="протокол-№-29.09.2020"/>
  </r>
  <r>
    <s v="Функциональное направление 3"/>
    <n v="4"/>
    <d v="2020-08-03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258"/>
    <s v="Русланов Вячеслав Юрьевич"/>
    <s v="линейный_руководитель_2"/>
    <s v="Подразделение421"/>
    <x v="1"/>
    <x v="2"/>
    <n v="0"/>
    <n v="0"/>
    <s v="прочее (перевод в другое СП / на другое предприятие)"/>
    <d v="2020-08-03T00:00:00"/>
    <s v="не рассматривали"/>
    <s v="протокол-№-03.08.2020"/>
  </r>
  <r>
    <s v="Функциональное направление 3"/>
    <n v="4"/>
    <d v="2021-10-18T00:00:00"/>
    <n v="0"/>
    <s v="не защищена"/>
    <n v="500652"/>
    <x v="18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7"/>
    <s v="Пальчиков Валерий Емельянович"/>
    <n v="1283"/>
    <s v="Исаев Арсений Семенович"/>
    <s v="линейный_руководитель_2"/>
    <s v="Подразделение22"/>
    <x v="0"/>
    <x v="2"/>
    <n v="0"/>
    <n v="0"/>
    <s v="увольнение"/>
    <d v="2023-01-24T00:00:00"/>
    <s v="без изменений"/>
    <s v="протокол-№-14.11.2023"/>
  </r>
  <r>
    <s v="Функциональное направление 3"/>
    <n v="4"/>
    <d v="2019-09-25T00:00:00"/>
    <n v="1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76"/>
    <s v="Игнатьев Андре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75"/>
    <s v="Потапов Константин Кондрат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77"/>
    <s v="Игнатьев Савелий Михайл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78"/>
    <s v="Ветров Трофим Ефрем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79"/>
    <s v="Федотов Захар Владислав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80"/>
    <s v="Игнатьев Афанасий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41"/>
    <s v="Коровкин Виталий Тимофеевич"/>
    <s v="Рабочий"/>
    <s v="Подразделение22"/>
    <x v="1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81"/>
    <s v="Игнатьев Виталий Семенович"/>
    <s v="Рабочий"/>
    <s v="Подразделение22"/>
    <x v="1"/>
    <x v="2"/>
    <n v="0"/>
    <n v="0"/>
    <s v="увольнение"/>
    <d v="2022-10-06T00:00:00"/>
    <s v="повышение"/>
    <s v="протокол-№-18.10.2021"/>
  </r>
  <r>
    <s v="Функциональное направление 3"/>
    <n v="4"/>
    <d v="2019-09-25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82"/>
    <s v="Игнатьев Ефрем Константинович"/>
    <s v="Рабочий"/>
    <s v="Подразделение22"/>
    <x v="0"/>
    <x v="2"/>
    <n v="0"/>
    <n v="0"/>
    <s v="самоотвод"/>
    <d v="2021-03-24T00:00:00"/>
    <s v="без изменений"/>
    <s v="протокол-№-29.09.2020"/>
  </r>
  <r>
    <s v="Функциональное направление 3"/>
    <n v="4"/>
    <d v="2020-08-03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258"/>
    <s v="Русланов Вячеслав Юрьевич"/>
    <s v="линейный_руководитель_2"/>
    <s v="Подразделение421"/>
    <x v="1"/>
    <x v="2"/>
    <n v="0"/>
    <n v="0"/>
    <s v="прочее (перевод в другое СП / на другое предприятие)"/>
    <d v="2020-08-03T00:00:00"/>
    <s v="не рассматривали"/>
    <s v="протокол-№-03.08.2020"/>
  </r>
  <r>
    <s v="Функциональное направление 3"/>
    <n v="4"/>
    <d v="2021-10-18T00:00:00"/>
    <n v="0"/>
    <s v="не защищена"/>
    <n v="500652"/>
    <x v="189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8"/>
    <s v="Зверев Венедикт Васильевич"/>
    <n v="1283"/>
    <s v="Исаев Арсений Семенович"/>
    <s v="линейный_руководитель_2"/>
    <s v="Подразделение22"/>
    <x v="0"/>
    <x v="2"/>
    <n v="0"/>
    <n v="0"/>
    <s v="увольнение"/>
    <d v="2023-01-24T00:00:00"/>
    <s v="без изменений"/>
    <s v="протокол-№-14.11.2023"/>
  </r>
  <r>
    <s v="Функциональное направление 3"/>
    <n v="4"/>
    <d v="2019-09-25T00:00:00"/>
    <n v="1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76"/>
    <s v="Игнатьев Андре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75"/>
    <s v="Потапов Константин Кондрат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77"/>
    <s v="Игнатьев Савелий Михайл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78"/>
    <s v="Ветров Трофим Ефрем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79"/>
    <s v="Федотов Захар Владислав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80"/>
    <s v="Игнатьев Афанасий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41"/>
    <s v="Коровкин Виталий Тимофеевич"/>
    <s v="Рабочий"/>
    <s v="Подразделение22"/>
    <x v="1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81"/>
    <s v="Игнатьев Виталий Семенович"/>
    <s v="Рабочий"/>
    <s v="Подразделение22"/>
    <x v="1"/>
    <x v="2"/>
    <n v="0"/>
    <n v="0"/>
    <s v="увольнение"/>
    <d v="2022-10-06T00:00:00"/>
    <s v="повышение"/>
    <s v="протокол-№-18.10.2021"/>
  </r>
  <r>
    <s v="Функциональное направление 3"/>
    <n v="4"/>
    <d v="2019-09-25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82"/>
    <s v="Игнатьев Ефрем Константинович"/>
    <s v="Рабочий"/>
    <s v="Подразделение22"/>
    <x v="0"/>
    <x v="2"/>
    <n v="0"/>
    <n v="0"/>
    <s v="самоотвод"/>
    <d v="2021-03-24T00:00:00"/>
    <s v="без изменений"/>
    <s v="протокол-№-29.09.2020"/>
  </r>
  <r>
    <s v="Функциональное направление 3"/>
    <n v="4"/>
    <d v="2020-08-03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258"/>
    <s v="Русланов Вячеслав Юрьевич"/>
    <s v="линейный_руководитель_2"/>
    <s v="Подразделение421"/>
    <x v="1"/>
    <x v="2"/>
    <n v="0"/>
    <n v="0"/>
    <s v="прочее (перевод в другое СП / на другое предприятие)"/>
    <d v="2020-08-03T00:00:00"/>
    <s v="не рассматривали"/>
    <s v="протокол-№-03.08.2020"/>
  </r>
  <r>
    <s v="Функциональное направление 3"/>
    <n v="4"/>
    <d v="2021-10-18T00:00:00"/>
    <n v="0"/>
    <s v="не защищена"/>
    <n v="500652"/>
    <x v="19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89"/>
    <s v="Ярославов Семен Тимофеевич"/>
    <n v="1283"/>
    <s v="Исаев Арсений Семенович"/>
    <s v="линейный_руководитель_2"/>
    <s v="Подразделение22"/>
    <x v="0"/>
    <x v="2"/>
    <n v="0"/>
    <n v="0"/>
    <s v="увольнение"/>
    <d v="2023-01-24T00:00:00"/>
    <s v="без изменений"/>
    <s v="протокол-№-14.11.2023"/>
  </r>
  <r>
    <s v="Функциональное направление 3"/>
    <n v="4"/>
    <d v="2021-10-18T00:00:00"/>
    <n v="1"/>
    <s v="не защищена"/>
    <n v="500647"/>
    <x v="191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2-12-19T00:00:00"/>
    <m/>
    <m/>
    <s v="вакансия"/>
    <s v="вакансия"/>
    <n v="193"/>
    <s v="Вобликов Игорь Егорович"/>
    <s v="линейный_руководитель_2"/>
    <s v="Подразделение22"/>
    <x v="1"/>
    <x v="0"/>
    <n v="1"/>
    <n v="0"/>
    <m/>
    <m/>
    <s v="повышение"/>
    <s v="протокол-№-14.11.2023"/>
  </r>
  <r>
    <s v="Функциональное направление 3"/>
    <n v="4"/>
    <d v="2019-09-25T00:00:00"/>
    <n v="0"/>
    <s v="не защищена"/>
    <n v="500647"/>
    <x v="191"/>
    <n v="22"/>
    <s v="Подразделение22"/>
    <s v="подразделение_2_уровня22"/>
    <s v="подразделение_3_уровня22"/>
    <s v="функциональный_руководитель_1"/>
    <n v="6"/>
    <s v="да"/>
    <d v="2022-12-19T00:00:00"/>
    <m/>
    <m/>
    <s v="вакансия"/>
    <s v="вакансия"/>
    <n v="1284"/>
    <s v="Кирюхин Геннадий Александрович"/>
    <s v="функциональный_руководитель_1"/>
    <s v="Подразделение22"/>
    <x v="1"/>
    <x v="2"/>
    <n v="1"/>
    <n v="0"/>
    <s v="увольнение"/>
    <d v="2021-10-20T00:00:00"/>
    <s v="без изменений"/>
    <s v="протокол-№-29.09.2020"/>
  </r>
  <r>
    <s v="Функциональное направление 3"/>
    <n v="4"/>
    <d v="2019-09-25T00:00:00"/>
    <n v="1"/>
    <s v="не защищена"/>
    <n v="500653"/>
    <x v="192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0"/>
    <s v="Исаев Афанасий Александрович"/>
    <n v="1285"/>
    <s v="Тимофеев Ефрем Кондратьевич"/>
    <s v="Рабочий"/>
    <s v="Подразделение22"/>
    <x v="0"/>
    <x v="0"/>
    <n v="1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53"/>
    <x v="192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0"/>
    <s v="Исаев Афанасий Александрович"/>
    <n v="1286"/>
    <s v="Семенов Савелий Кондратьевич"/>
    <s v="Рабочий"/>
    <s v="Подразделение22"/>
    <x v="0"/>
    <x v="0"/>
    <n v="1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3"/>
    <x v="192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0"/>
    <s v="Исаев Афанасий Александрович"/>
    <n v="1283"/>
    <s v="Исаев Арсений Семенович"/>
    <s v="Рабочий"/>
    <s v="Подразделение22"/>
    <x v="2"/>
    <x v="2"/>
    <n v="0"/>
    <n v="0"/>
    <s v="инициатива комитета / руководителя"/>
    <d v="2021-10-18T00:00:00"/>
    <s v="исключение"/>
    <s v="протокол-№-18.10.2021"/>
  </r>
  <r>
    <s v="Функциональное направление 3"/>
    <n v="4"/>
    <d v="2019-09-25T00:00:00"/>
    <n v="0"/>
    <s v="не защищена"/>
    <n v="500653"/>
    <x v="192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0"/>
    <s v="Исаев Афанасий Александрович"/>
    <n v="193"/>
    <s v="Вобликов Игорь Егорович"/>
    <s v="линейный_руководитель_2"/>
    <s v="Подразделение22"/>
    <x v="1"/>
    <x v="2"/>
    <n v="1"/>
    <n v="0"/>
    <s v="назначение на целевую должность"/>
    <d v="2021-03-01T00:00:00"/>
    <s v="без изменений"/>
    <s v="протокол-№-29.09.2020"/>
  </r>
  <r>
    <s v="Функциональное направление 3"/>
    <n v="4"/>
    <d v="2019-09-25T00:00:00"/>
    <n v="0"/>
    <s v="не защищена"/>
    <n v="500653"/>
    <x v="192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0"/>
    <s v="Исаев Афанасий Александрович"/>
    <n v="1287"/>
    <s v="Гуськов Кирилл Климович"/>
    <s v="Рабочий"/>
    <s v="Подразделение22"/>
    <x v="2"/>
    <x v="2"/>
    <n v="1"/>
    <n v="0"/>
    <s v="увольнение"/>
    <d v="2019-11-11T00:00:00"/>
    <s v="не рассматривали"/>
    <s v="протокол-№-25.09.2019"/>
  </r>
  <r>
    <s v="Функциональное направление 3"/>
    <n v="4"/>
    <d v="2019-09-25T00:00:00"/>
    <n v="1"/>
    <s v="не защищена"/>
    <n v="500653"/>
    <x v="193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1"/>
    <s v="Аксенов Валерий Юрьевич"/>
    <n v="1285"/>
    <s v="Тимофеев Ефрем Кондратье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53"/>
    <x v="193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1"/>
    <s v="Аксенов Валерий Юрьевич"/>
    <n v="1286"/>
    <s v="Семенов Савелий Кондратье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3"/>
    <x v="193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1"/>
    <s v="Аксенов Валерий Юрьевич"/>
    <n v="1283"/>
    <s v="Исаев Арсений Семенович"/>
    <s v="Рабочий"/>
    <s v="Подразделение22"/>
    <x v="2"/>
    <x v="2"/>
    <n v="0"/>
    <n v="0"/>
    <s v="инициатива комитета / руководителя"/>
    <d v="2021-10-18T00:00:00"/>
    <s v="исключение"/>
    <s v="протокол-№-18.10.2021"/>
  </r>
  <r>
    <s v="Функциональное направление 3"/>
    <n v="4"/>
    <d v="2019-09-25T00:00:00"/>
    <n v="0"/>
    <s v="не защищена"/>
    <n v="500653"/>
    <x v="193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1"/>
    <s v="Аксенов Валерий Юрьевич"/>
    <n v="193"/>
    <s v="Вобликов Игорь Егорович"/>
    <s v="линейный_руководитель_2"/>
    <s v="Подразделение22"/>
    <x v="1"/>
    <x v="2"/>
    <n v="0"/>
    <n v="0"/>
    <s v="назначение на целевую должность"/>
    <d v="2021-03-01T00:00:00"/>
    <s v="без изменений"/>
    <s v="протокол-№-29.09.2020"/>
  </r>
  <r>
    <s v="Функциональное направление 3"/>
    <n v="4"/>
    <d v="2019-09-25T00:00:00"/>
    <n v="0"/>
    <s v="не защищена"/>
    <n v="500653"/>
    <x v="193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1"/>
    <s v="Аксенов Валерий Юрьевич"/>
    <n v="1287"/>
    <s v="Гуськов Кирилл Климович"/>
    <s v="Рабочий"/>
    <s v="Подразделение22"/>
    <x v="2"/>
    <x v="2"/>
    <n v="0"/>
    <n v="0"/>
    <s v="увольнение"/>
    <d v="2019-11-11T00:00:00"/>
    <s v="не рассматривали"/>
    <s v="протокол-№-25.09.2019"/>
  </r>
  <r>
    <s v="Функциональное направление 3"/>
    <n v="4"/>
    <d v="2019-09-25T00:00:00"/>
    <n v="1"/>
    <s v="не защищена"/>
    <n v="500653"/>
    <x v="194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2"/>
    <s v="Аксенов Борис Вениаминович"/>
    <n v="1285"/>
    <s v="Тимофеев Ефрем Кондратье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53"/>
    <x v="194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2"/>
    <s v="Аксенов Борис Вениаминович"/>
    <n v="1286"/>
    <s v="Семенов Савелий Кондратье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3"/>
    <x v="194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2"/>
    <s v="Аксенов Борис Вениаминович"/>
    <n v="1283"/>
    <s v="Исаев Арсений Семенович"/>
    <s v="Рабочий"/>
    <s v="Подразделение22"/>
    <x v="2"/>
    <x v="2"/>
    <n v="0"/>
    <n v="0"/>
    <s v="инициатива комитета / руководителя"/>
    <d v="2021-10-18T00:00:00"/>
    <s v="исключение"/>
    <s v="протокол-№-18.10.2021"/>
  </r>
  <r>
    <s v="Функциональное направление 3"/>
    <n v="4"/>
    <d v="2019-09-25T00:00:00"/>
    <n v="0"/>
    <s v="не защищена"/>
    <n v="500653"/>
    <x v="194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2"/>
    <s v="Аксенов Борис Вениаминович"/>
    <n v="193"/>
    <s v="Вобликов Игорь Егорович"/>
    <s v="линейный_руководитель_2"/>
    <s v="Подразделение22"/>
    <x v="1"/>
    <x v="2"/>
    <n v="0"/>
    <n v="0"/>
    <s v="назначение на целевую должность"/>
    <d v="2021-03-01T00:00:00"/>
    <s v="без изменений"/>
    <s v="протокол-№-29.09.2020"/>
  </r>
  <r>
    <s v="Функциональное направление 3"/>
    <n v="4"/>
    <d v="2019-09-25T00:00:00"/>
    <n v="0"/>
    <s v="не защищена"/>
    <n v="500653"/>
    <x v="194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2"/>
    <s v="Аксенов Борис Вениаминович"/>
    <n v="1287"/>
    <s v="Гуськов Кирилл Климович"/>
    <s v="Рабочий"/>
    <s v="Подразделение22"/>
    <x v="2"/>
    <x v="2"/>
    <n v="0"/>
    <n v="0"/>
    <s v="увольнение"/>
    <d v="2019-11-11T00:00:00"/>
    <s v="не рассматривали"/>
    <s v="протокол-№-25.09.2019"/>
  </r>
  <r>
    <s v="Функциональное направление 3"/>
    <n v="4"/>
    <d v="2019-09-25T00:00:00"/>
    <n v="1"/>
    <s v="не защищена"/>
    <n v="500653"/>
    <x v="195"/>
    <n v="22"/>
    <s v="Подразделение22"/>
    <s v="подразделение_2_уровня22"/>
    <s v="подразделение_3_уровня22"/>
    <s v="линейный_руководитель_1"/>
    <n v="7"/>
    <s v="да"/>
    <d v="2020-08-19T00:00:00"/>
    <d v="2021-03-01T00:00:00"/>
    <s v="из резерва (учитываем)"/>
    <n v="193"/>
    <s v="Вобликов Игорь Егорович"/>
    <n v="1285"/>
    <s v="Тимофеев Ефрем Кондратье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21-10-18T00:00:00"/>
    <n v="0"/>
    <s v="не защищена"/>
    <n v="500653"/>
    <x v="195"/>
    <n v="22"/>
    <s v="Подразделение22"/>
    <s v="подразделение_2_уровня22"/>
    <s v="подразделение_3_уровня22"/>
    <s v="линейный_руководитель_1"/>
    <n v="7"/>
    <s v="да"/>
    <d v="2020-08-19T00:00:00"/>
    <d v="2021-03-01T00:00:00"/>
    <s v="из резерва (учитываем)"/>
    <n v="193"/>
    <s v="Вобликов Игорь Егорович"/>
    <n v="1286"/>
    <s v="Семенов Савелий Кондратьевич"/>
    <s v="Рабочий"/>
    <s v="Подразделение22"/>
    <x v="0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3"/>
    <x v="195"/>
    <n v="22"/>
    <s v="Подразделение22"/>
    <s v="подразделение_2_уровня22"/>
    <s v="подразделение_3_уровня22"/>
    <s v="линейный_руководитель_1"/>
    <n v="7"/>
    <s v="да"/>
    <d v="2020-08-19T00:00:00"/>
    <d v="2021-03-01T00:00:00"/>
    <s v="из резерва (учитываем)"/>
    <n v="193"/>
    <s v="Вобликов Игорь Егорович"/>
    <n v="193"/>
    <s v="Вобликов Игорь Егорович"/>
    <s v="линейный_руководитель_2"/>
    <s v="Подразделение22"/>
    <x v="1"/>
    <x v="1"/>
    <n v="0"/>
    <n v="1"/>
    <s v="назначение на целевую должность"/>
    <d v="2021-03-01T00:00:00"/>
    <s v="без изменений"/>
    <s v="протокол-№-29.09.2020"/>
  </r>
  <r>
    <s v="Функциональное направление 3"/>
    <n v="4"/>
    <d v="2019-09-25T00:00:00"/>
    <n v="0"/>
    <s v="не защищена"/>
    <n v="500653"/>
    <x v="195"/>
    <n v="22"/>
    <s v="Подразделение22"/>
    <s v="подразделение_2_уровня22"/>
    <s v="подразделение_3_уровня22"/>
    <s v="линейный_руководитель_1"/>
    <n v="7"/>
    <s v="да"/>
    <d v="2020-08-19T00:00:00"/>
    <d v="2021-03-01T00:00:00"/>
    <s v="из резерва (учитываем)"/>
    <n v="193"/>
    <s v="Вобликов Игорь Егорович"/>
    <n v="1283"/>
    <s v="Исаев Арсений Семенович"/>
    <s v="Рабочий"/>
    <s v="Подразделение22"/>
    <x v="2"/>
    <x v="2"/>
    <n v="0"/>
    <n v="0"/>
    <s v="инициатива комитета / руководителя"/>
    <d v="2021-10-18T00:00:00"/>
    <s v="исключение"/>
    <s v="протокол-№-18.10.2021"/>
  </r>
  <r>
    <s v="Функциональное направление 3"/>
    <n v="4"/>
    <d v="2019-09-25T00:00:00"/>
    <n v="0"/>
    <s v="не защищена"/>
    <n v="500653"/>
    <x v="195"/>
    <n v="22"/>
    <s v="Подразделение22"/>
    <s v="подразделение_2_уровня22"/>
    <s v="подразделение_3_уровня22"/>
    <s v="линейный_руководитель_1"/>
    <n v="7"/>
    <s v="да"/>
    <d v="2020-08-19T00:00:00"/>
    <d v="2021-03-01T00:00:00"/>
    <s v="из резерва (учитываем)"/>
    <n v="193"/>
    <s v="Вобликов Игорь Егорович"/>
    <n v="1287"/>
    <s v="Гуськов Кирилл Климович"/>
    <s v="Рабочий"/>
    <s v="Подразделение22"/>
    <x v="2"/>
    <x v="2"/>
    <n v="0"/>
    <n v="0"/>
    <s v="увольнение"/>
    <d v="2019-11-11T00:00:00"/>
    <s v="не рассматривали"/>
    <s v="протокол-№-25.09.2019"/>
  </r>
  <r>
    <s v="Функциональное направление 3"/>
    <n v="4"/>
    <d v="2019-09-25T00:00:00"/>
    <n v="1"/>
    <s v="не защищена"/>
    <n v="500654"/>
    <x v="196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94"/>
    <s v="Поминов Геннадий Александрович"/>
    <n v="198"/>
    <s v="Михайлов Алексей Сидорович"/>
    <s v="линейный_руководитель_2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4"/>
    <x v="196"/>
    <n v="22"/>
    <s v="Подразделение22"/>
    <s v="подразделение_2_уровня22"/>
    <s v="подразделение_3_уровня22"/>
    <s v="функциональный_руководитель_1"/>
    <n v="6"/>
    <s v="нет"/>
    <m/>
    <m/>
    <m/>
    <n v="194"/>
    <s v="Поминов Геннадий Александрович"/>
    <n v="1275"/>
    <s v="Потапов Константин Кондрат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1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76"/>
    <s v="Игнатьев Андре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75"/>
    <s v="Потапов Константин Кондрат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77"/>
    <s v="Игнатьев Савелий Михайл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78"/>
    <s v="Ветров Трофим Ефрем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79"/>
    <s v="Федотов Захар Владислав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80"/>
    <s v="Игнатьев Афанасий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41"/>
    <s v="Коровкин Виталий Тимофеевич"/>
    <s v="Рабочий"/>
    <s v="Подразделение22"/>
    <x v="1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81"/>
    <s v="Игнатьев Виталий Семенович"/>
    <s v="Рабочий"/>
    <s v="Подразделение22"/>
    <x v="1"/>
    <x v="2"/>
    <n v="0"/>
    <n v="0"/>
    <s v="увольнение"/>
    <d v="2022-10-06T00:00:00"/>
    <s v="повышение"/>
    <s v="протокол-№-18.10.2021"/>
  </r>
  <r>
    <s v="Функциональное направление 3"/>
    <n v="4"/>
    <d v="2019-09-25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82"/>
    <s v="Игнатьев Ефрем Константинович"/>
    <s v="Рабочий"/>
    <s v="Подразделение22"/>
    <x v="0"/>
    <x v="2"/>
    <n v="0"/>
    <n v="0"/>
    <s v="самоотвод"/>
    <d v="2021-03-24T00:00:00"/>
    <s v="без изменений"/>
    <s v="протокол-№-29.09.2020"/>
  </r>
  <r>
    <s v="Функциональное направление 3"/>
    <n v="4"/>
    <d v="2020-08-03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258"/>
    <s v="Русланов Вячеслав Юрьевич"/>
    <s v="линейный_руководитель_2"/>
    <s v="Подразделение421"/>
    <x v="1"/>
    <x v="2"/>
    <n v="0"/>
    <n v="0"/>
    <s v="прочее (перевод в другое СП / на другое предприятие)"/>
    <d v="2020-08-03T00:00:00"/>
    <s v="не рассматривали"/>
    <s v="протокол-№-03.08.2020"/>
  </r>
  <r>
    <s v="Функциональное направление 3"/>
    <n v="4"/>
    <d v="2021-10-18T00:00:00"/>
    <n v="0"/>
    <s v="не защищена"/>
    <n v="500655"/>
    <x v="197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5"/>
    <s v="Чистяков Виталий Денисович"/>
    <n v="1283"/>
    <s v="Исаев Арсений Семенович"/>
    <s v="линейный_руководитель_2"/>
    <s v="Подразделение22"/>
    <x v="0"/>
    <x v="2"/>
    <n v="0"/>
    <n v="0"/>
    <s v="увольнение"/>
    <d v="2023-01-24T00:00:00"/>
    <s v="без изменений"/>
    <s v="протокол-№-14.11.2023"/>
  </r>
  <r>
    <s v="Функциональное направление 3"/>
    <n v="4"/>
    <d v="2019-09-25T00:00:00"/>
    <n v="1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76"/>
    <s v="Игнатьев Андре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75"/>
    <s v="Потапов Константин Кондрат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77"/>
    <s v="Игнатьев Савелий Михайл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78"/>
    <s v="Ветров Трофим Ефрем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79"/>
    <s v="Федотов Захар Владислав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80"/>
    <s v="Игнатьев Афанасий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41"/>
    <s v="Коровкин Виталий Тимофеевич"/>
    <s v="Рабочий"/>
    <s v="Подразделение22"/>
    <x v="1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81"/>
    <s v="Игнатьев Виталий Семенович"/>
    <s v="Рабочий"/>
    <s v="Подразделение22"/>
    <x v="1"/>
    <x v="2"/>
    <n v="0"/>
    <n v="0"/>
    <s v="увольнение"/>
    <d v="2022-10-06T00:00:00"/>
    <s v="повышение"/>
    <s v="протокол-№-18.10.2021"/>
  </r>
  <r>
    <s v="Функциональное направление 3"/>
    <n v="4"/>
    <d v="2019-09-25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82"/>
    <s v="Игнатьев Ефрем Константинович"/>
    <s v="Рабочий"/>
    <s v="Подразделение22"/>
    <x v="0"/>
    <x v="2"/>
    <n v="0"/>
    <n v="0"/>
    <s v="самоотвод"/>
    <d v="2021-03-24T00:00:00"/>
    <s v="без изменений"/>
    <s v="протокол-№-29.09.2020"/>
  </r>
  <r>
    <s v="Функциональное направление 3"/>
    <n v="4"/>
    <d v="2020-08-03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258"/>
    <s v="Русланов Вячеслав Юрьевич"/>
    <s v="линейный_руководитель_2"/>
    <s v="Подразделение421"/>
    <x v="1"/>
    <x v="2"/>
    <n v="0"/>
    <n v="0"/>
    <s v="прочее (перевод в другое СП / на другое предприятие)"/>
    <d v="2020-08-03T00:00:00"/>
    <s v="не рассматривали"/>
    <s v="протокол-№-03.08.2020"/>
  </r>
  <r>
    <s v="Функциональное направление 3"/>
    <n v="4"/>
    <d v="2021-10-18T00:00:00"/>
    <n v="0"/>
    <s v="не защищена"/>
    <n v="500655"/>
    <x v="198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6"/>
    <s v="Конеев Матвей Александрович"/>
    <n v="1283"/>
    <s v="Исаев Арсений Семенович"/>
    <s v="линейный_руководитель_2"/>
    <s v="Подразделение22"/>
    <x v="0"/>
    <x v="2"/>
    <n v="0"/>
    <n v="0"/>
    <s v="увольнение"/>
    <d v="2023-01-24T00:00:00"/>
    <s v="без изменений"/>
    <s v="протокол-№-14.11.2023"/>
  </r>
  <r>
    <s v="Функциональное направление 3"/>
    <n v="4"/>
    <d v="2019-09-25T00:00:00"/>
    <n v="1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76"/>
    <s v="Игнатьев Андре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75"/>
    <s v="Потапов Константин Кондрат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77"/>
    <s v="Игнатьев Савелий Михайл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78"/>
    <s v="Ветров Трофим Ефрем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79"/>
    <s v="Федотов Захар Владислав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80"/>
    <s v="Игнатьев Афанасий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41"/>
    <s v="Коровкин Виталий Тимофеевич"/>
    <s v="Рабочий"/>
    <s v="Подразделение22"/>
    <x v="1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97"/>
    <s v="Цветков Кирилл Кондратьевич"/>
    <s v="Рабочий"/>
    <s v="Подразделение22"/>
    <x v="1"/>
    <x v="1"/>
    <n v="1"/>
    <n v="1"/>
    <s v="назначение на целевую должность"/>
    <d v="2021-11-19T00:00:00"/>
    <s v="повышение"/>
    <s v="протокол-№-18.10.2021"/>
  </r>
  <r>
    <s v="Функциональное направление 3"/>
    <n v="4"/>
    <d v="2019-09-25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81"/>
    <s v="Игнатьев Виталий Семенович"/>
    <s v="Рабочий"/>
    <s v="Подразделение22"/>
    <x v="1"/>
    <x v="2"/>
    <n v="0"/>
    <n v="0"/>
    <s v="увольнение"/>
    <d v="2022-10-06T00:00:00"/>
    <s v="повышение"/>
    <s v="протокол-№-18.10.2021"/>
  </r>
  <r>
    <s v="Функциональное направление 3"/>
    <n v="4"/>
    <d v="2019-09-25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82"/>
    <s v="Игнатьев Ефрем Константинович"/>
    <s v="Рабочий"/>
    <s v="Подразделение22"/>
    <x v="0"/>
    <x v="2"/>
    <n v="0"/>
    <n v="0"/>
    <s v="самоотвод"/>
    <d v="2021-03-24T00:00:00"/>
    <s v="без изменений"/>
    <s v="протокол-№-29.09.2020"/>
  </r>
  <r>
    <s v="Функциональное направление 3"/>
    <n v="4"/>
    <d v="2020-08-03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258"/>
    <s v="Русланов Вячеслав Юрьевич"/>
    <s v="линейный_руководитель_2"/>
    <s v="Подразделение421"/>
    <x v="1"/>
    <x v="2"/>
    <n v="0"/>
    <n v="0"/>
    <s v="прочее (перевод в другое СП / на другое предприятие)"/>
    <d v="2020-08-03T00:00:00"/>
    <s v="не рассматривали"/>
    <s v="протокол-№-03.08.2020"/>
  </r>
  <r>
    <s v="Функциональное направление 3"/>
    <n v="4"/>
    <d v="2021-10-18T00:00:00"/>
    <n v="0"/>
    <s v="не защищена"/>
    <n v="500655"/>
    <x v="199"/>
    <n v="22"/>
    <s v="Подразделение22"/>
    <s v="подразделение_2_уровня22"/>
    <s v="подразделение_3_уровня22"/>
    <s v="линейный_руководитель_1"/>
    <n v="7"/>
    <s v="да"/>
    <d v="2021-10-20T00:00:00"/>
    <d v="2021-11-19T00:00:00"/>
    <s v="из резерва (учитываем)"/>
    <n v="197"/>
    <s v="Цветков Кирилл Кондратьевич"/>
    <n v="1283"/>
    <s v="Исаев Арсений Семенович"/>
    <s v="линейный_руководитель_2"/>
    <s v="Подразделение22"/>
    <x v="0"/>
    <x v="2"/>
    <n v="0"/>
    <n v="0"/>
    <s v="увольнение"/>
    <d v="2023-01-24T00:00:00"/>
    <s v="без изменений"/>
    <s v="протокол-№-14.11.2023"/>
  </r>
  <r>
    <s v="Функциональное направление 3"/>
    <n v="4"/>
    <d v="2019-09-25T00:00:00"/>
    <n v="1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76"/>
    <s v="Игнатьев Андрей Александр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75"/>
    <s v="Потапов Константин Кондратье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19-09-25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77"/>
    <s v="Игнатьев Савелий Михайлович"/>
    <s v="Рабочий"/>
    <s v="Подразделение22"/>
    <x v="1"/>
    <x v="0"/>
    <n v="0"/>
    <n v="0"/>
    <m/>
    <m/>
    <s v="без изменений"/>
    <s v="протокол-№-14.11.2023"/>
  </r>
  <r>
    <s v="Функциональное направление 3"/>
    <n v="4"/>
    <d v="2022-11-14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78"/>
    <s v="Ветров Трофим Ефрем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79"/>
    <s v="Федотов Захар Владиславов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80"/>
    <s v="Игнатьев Афанасий Ильич"/>
    <s v="Рабочий"/>
    <s v="Подразделение22"/>
    <x v="2"/>
    <x v="0"/>
    <n v="0"/>
    <n v="0"/>
    <m/>
    <m/>
    <s v="не рассматривали"/>
    <s v="протокол-№-14.11.2023"/>
  </r>
  <r>
    <s v="Функциональное направление 3"/>
    <n v="4"/>
    <d v="2022-11-14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41"/>
    <s v="Коровкин Виталий Тимофеевич"/>
    <s v="Рабочий"/>
    <s v="Подразделение22"/>
    <x v="1"/>
    <x v="0"/>
    <n v="0"/>
    <n v="0"/>
    <m/>
    <m/>
    <s v="не рассматривали"/>
    <s v="протокол-№-14.11.2023"/>
  </r>
  <r>
    <s v="Функциональное направление 3"/>
    <n v="4"/>
    <d v="2019-09-25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81"/>
    <s v="Игнатьев Виталий Семенович"/>
    <s v="Рабочий"/>
    <s v="Подразделение22"/>
    <x v="1"/>
    <x v="2"/>
    <n v="0"/>
    <n v="0"/>
    <s v="увольнение"/>
    <d v="2022-10-06T00:00:00"/>
    <s v="повышение"/>
    <s v="протокол-№-18.10.2021"/>
  </r>
  <r>
    <s v="Функциональное направление 3"/>
    <n v="4"/>
    <d v="2019-09-25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82"/>
    <s v="Игнатьев Ефрем Константинович"/>
    <s v="Рабочий"/>
    <s v="Подразделение22"/>
    <x v="0"/>
    <x v="2"/>
    <n v="0"/>
    <n v="0"/>
    <s v="самоотвод"/>
    <d v="2021-03-24T00:00:00"/>
    <s v="без изменений"/>
    <s v="протокол-№-29.09.2020"/>
  </r>
  <r>
    <s v="Функциональное направление 3"/>
    <n v="4"/>
    <d v="2020-08-03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258"/>
    <s v="Русланов Вячеслав Юрьевич"/>
    <s v="линейный_руководитель_2"/>
    <s v="Подразделение421"/>
    <x v="1"/>
    <x v="2"/>
    <n v="0"/>
    <n v="0"/>
    <s v="прочее (перевод в другое СП / на другое предприятие)"/>
    <d v="2020-08-03T00:00:00"/>
    <s v="не рассматривали"/>
    <s v="протокол-№-03.08.2020"/>
  </r>
  <r>
    <s v="Функциональное направление 3"/>
    <n v="4"/>
    <d v="2021-10-18T00:00:00"/>
    <n v="0"/>
    <s v="не защищена"/>
    <n v="500655"/>
    <x v="200"/>
    <n v="22"/>
    <s v="Подразделение22"/>
    <s v="подразделение_2_уровня22"/>
    <s v="подразделение_3_уровня22"/>
    <s v="линейный_руководитель_1"/>
    <n v="7"/>
    <s v="нет"/>
    <m/>
    <m/>
    <m/>
    <n v="198"/>
    <s v="Михайлов Алексей Сидорович"/>
    <n v="1283"/>
    <s v="Исаев Арсений Семенович"/>
    <s v="линейный_руководитель_2"/>
    <s v="Подразделение22"/>
    <x v="0"/>
    <x v="2"/>
    <n v="0"/>
    <n v="0"/>
    <s v="увольнение"/>
    <d v="2023-01-24T00:00:00"/>
    <s v="без изменений"/>
    <s v="протокол-№-14.11.2023"/>
  </r>
  <r>
    <s v="Функциональное направление 3"/>
    <n v="4"/>
    <d v="2022-12-02T00:00:00"/>
    <n v="1"/>
    <s v="не защищена"/>
    <n v="500680"/>
    <x v="201"/>
    <n v="1"/>
    <s v="Подразделение1"/>
    <s v="подразделение_2_уровня1"/>
    <s v="-"/>
    <s v="функциональный_руководитель_1"/>
    <n v="7"/>
    <s v="нет"/>
    <m/>
    <m/>
    <m/>
    <n v="199"/>
    <s v="Аксенов Алексей Денисович"/>
    <n v="1196"/>
    <s v="Игнатьев Арсений Семенович"/>
    <s v="Специалист"/>
    <s v="Подразделение1"/>
    <x v="1"/>
    <x v="0"/>
    <n v="1"/>
    <n v="0"/>
    <m/>
    <m/>
    <s v="не рассматривали"/>
    <s v="протокол-№-02.12.2023"/>
  </r>
  <r>
    <s v="Функциональное направление 3"/>
    <n v="3"/>
    <d v="2021-11-17T00:00:00"/>
    <n v="1"/>
    <s v="не защищена"/>
    <n v="500727"/>
    <x v="202"/>
    <n v="216"/>
    <s v="Подразделение216"/>
    <s v="подразделение_2_уровня216"/>
    <s v="-"/>
    <s v="функциональный_руководитель_2"/>
    <n v="5"/>
    <s v="нет"/>
    <m/>
    <m/>
    <m/>
    <n v="200"/>
    <s v="Баранкин Руслан Борисович"/>
    <n v="1237"/>
    <s v="Филиппов Афанасий Александрович"/>
    <s v="-"/>
    <s v="-"/>
    <x v="3"/>
    <x v="3"/>
    <n v="1"/>
    <n v="0"/>
    <m/>
    <m/>
    <m/>
    <s v="протокол-№-28.06.2021"/>
  </r>
  <r>
    <s v="Функциональное направление 3"/>
    <n v="3"/>
    <d v="2018-11-22T00:00:00"/>
    <n v="1"/>
    <s v="не защищена"/>
    <n v="500728"/>
    <x v="203"/>
    <n v="1"/>
    <s v="Подразделение1"/>
    <s v="подразделение_2_уровня1"/>
    <s v="-"/>
    <s v="линейный_руководитель_3"/>
    <n v="5"/>
    <s v="да"/>
    <d v="2021-10-20T00:00:00"/>
    <d v="2021-10-20T00:00:00"/>
    <s v="из резерва (учитываем)"/>
    <n v="201"/>
    <s v="Поминов Владимир Егорович"/>
    <n v="96"/>
    <s v="Коровкин Владимир Владимирович"/>
    <s v="руководитель_среднего_уровня_4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728"/>
    <x v="203"/>
    <n v="1"/>
    <s v="Подразделение1"/>
    <s v="подразделение_2_уровня1"/>
    <s v="-"/>
    <s v="линейный_руководитель_3"/>
    <n v="5"/>
    <s v="да"/>
    <d v="2021-10-20T00:00:00"/>
    <d v="2021-10-20T00:00:00"/>
    <s v="из резерва (учитываем)"/>
    <n v="201"/>
    <s v="Поминов Владимир Егорович"/>
    <n v="97"/>
    <s v="Кочетов Всеволод Всеволодович"/>
    <s v="руководитель_среднего_уровня_4"/>
    <s v="Подразделение1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728"/>
    <x v="203"/>
    <n v="1"/>
    <s v="Подразделение1"/>
    <s v="подразделение_2_уровня1"/>
    <s v="-"/>
    <s v="линейный_руководитель_3"/>
    <n v="5"/>
    <s v="да"/>
    <d v="2021-10-20T00:00:00"/>
    <d v="2021-10-20T00:00:00"/>
    <s v="из резерва (учитываем)"/>
    <n v="201"/>
    <s v="Поминов Владимир Егорович"/>
    <n v="201"/>
    <s v="Поминов Владимир Егорович"/>
    <s v="линейный_руководитель_3"/>
    <s v="Подразделение1"/>
    <x v="1"/>
    <x v="1"/>
    <n v="1"/>
    <n v="1"/>
    <s v="назначение на целевую должность"/>
    <d v="2021-10-20T00:00:00"/>
    <s v="повышение"/>
    <s v="протокол-№-28.06.2021"/>
  </r>
  <r>
    <s v="Функциональное направление 3"/>
    <n v="3"/>
    <d v="2018-11-22T00:00:00"/>
    <n v="1"/>
    <s v="не защищена"/>
    <n v="500729"/>
    <x v="204"/>
    <n v="2"/>
    <s v="Подразделение2"/>
    <s v="подразделение_2_уровня2"/>
    <s v="подразделение_3_уровня2"/>
    <s v="линейный_руководитель_3"/>
    <n v="5"/>
    <s v="нет"/>
    <m/>
    <m/>
    <m/>
    <n v="202"/>
    <s v="Пальчиков Тихон Тимофеевич"/>
    <n v="101"/>
    <s v="Синицин Герасим Герасимович"/>
    <s v="руководитель_среднего_уровня_4"/>
    <s v="Подразделение2"/>
    <x v="1"/>
    <x v="0"/>
    <n v="1"/>
    <n v="0"/>
    <m/>
    <m/>
    <s v="без изменений"/>
    <s v="протокол-№-27.06.2023"/>
  </r>
  <r>
    <s v="Функциональное направление 3"/>
    <n v="3"/>
    <d v="2022-06-27T00:00:00"/>
    <n v="0"/>
    <s v="не защищена"/>
    <n v="500729"/>
    <x v="204"/>
    <n v="2"/>
    <s v="Подразделение2"/>
    <s v="подразделение_2_уровня2"/>
    <s v="подразделение_3_уровня2"/>
    <s v="линейный_руководитель_3"/>
    <n v="5"/>
    <s v="нет"/>
    <m/>
    <m/>
    <m/>
    <n v="202"/>
    <s v="Пальчиков Тихон Тимофеевич"/>
    <n v="110"/>
    <s v="Вобликов Ефрем Ефремович"/>
    <s v="руководитель_среднего_уровня_3"/>
    <s v="Подразделение2"/>
    <x v="2"/>
    <x v="2"/>
    <n v="1"/>
    <n v="0"/>
    <s v="назначение на равнозначную должность"/>
    <d v="2023-05-20T00:00:00"/>
    <s v="не рассматривали"/>
    <s v="протокол-№-27.06.2023"/>
  </r>
  <r>
    <s v="Функциональное направление 3"/>
    <n v="3"/>
    <d v="2018-11-22T00:00:00"/>
    <n v="0"/>
    <s v="не защищена"/>
    <n v="500729"/>
    <x v="204"/>
    <n v="2"/>
    <s v="Подразделение2"/>
    <s v="подразделение_2_уровня2"/>
    <s v="подразделение_3_уровня2"/>
    <s v="линейный_руководитель_3"/>
    <n v="5"/>
    <s v="нет"/>
    <m/>
    <m/>
    <m/>
    <n v="202"/>
    <s v="Пальчиков Тихон Тимофеевич"/>
    <n v="117"/>
    <s v="Баранов Клим Климович"/>
    <s v="линейный_руководитель_2"/>
    <s v="Подразделение2"/>
    <x v="1"/>
    <x v="2"/>
    <n v="1"/>
    <n v="0"/>
    <s v="инициатива комитета / руководителя"/>
    <d v="2023-06-27T00:00:00"/>
    <s v="исключение"/>
    <s v="протокол-№-27.06.2023"/>
  </r>
  <r>
    <s v="Функциональное направление 3"/>
    <n v="3"/>
    <d v="2020-07-02T00:00:00"/>
    <n v="1"/>
    <s v="не защищена"/>
    <n v="500730"/>
    <x v="205"/>
    <n v="18"/>
    <s v="Подразделение18"/>
    <s v="подразделение_2_уровня18"/>
    <s v="-"/>
    <s v="линейный_руководитель_3"/>
    <n v="5"/>
    <s v="нет"/>
    <m/>
    <m/>
    <m/>
    <n v="203"/>
    <s v="Поминов Потап Кондратьевич"/>
    <n v="33"/>
    <s v="Ефремов Ефрем Ефремович"/>
    <s v="функциональный_руководитель_1"/>
    <s v="Подразделение18"/>
    <x v="1"/>
    <x v="0"/>
    <n v="1"/>
    <n v="0"/>
    <m/>
    <m/>
    <s v="без изменений"/>
    <s v="протокол-№-27.06.2023"/>
  </r>
  <r>
    <s v="Функциональное направление 3"/>
    <n v="3"/>
    <d v="2018-11-22T00:00:00"/>
    <n v="0"/>
    <s v="не защищена"/>
    <n v="500730"/>
    <x v="205"/>
    <n v="18"/>
    <s v="Подразделение18"/>
    <s v="подразделение_2_уровня18"/>
    <s v="-"/>
    <s v="линейный_руководитель_3"/>
    <n v="5"/>
    <s v="нет"/>
    <m/>
    <m/>
    <m/>
    <n v="203"/>
    <s v="Поминов Потап Кондратьевич"/>
    <n v="204"/>
    <s v="Игнатьев Еремей Григорьевич"/>
    <s v="линейный_руководитель_2"/>
    <s v="Подразделение18"/>
    <x v="1"/>
    <x v="2"/>
    <n v="1"/>
    <n v="0"/>
    <s v="прочее (наличие рисков по ПФО)"/>
    <d v="2019-11-07T00:00:00"/>
    <s v="не рассматривали"/>
    <s v="протокол-№-07.11.2019"/>
  </r>
  <r>
    <s v="Функциональное направление 3"/>
    <n v="4"/>
    <d v="2019-09-26T00:00:00"/>
    <n v="1"/>
    <s v="не защищена"/>
    <n v="500731"/>
    <x v="206"/>
    <n v="18"/>
    <s v="Подразделение18"/>
    <s v="подразделение_2_уровня18"/>
    <s v="подразделение_3_уровня18"/>
    <s v="линейный_руководитель_2"/>
    <n v="6"/>
    <s v="нет"/>
    <m/>
    <m/>
    <m/>
    <n v="204"/>
    <s v="Игнатьев Еремей Григорьевич"/>
    <n v="1288"/>
    <s v="Степанов Афанасий Тарасович"/>
    <s v="Рабочий"/>
    <s v="Подразделение18"/>
    <x v="1"/>
    <x v="0"/>
    <n v="1"/>
    <n v="0"/>
    <m/>
    <m/>
    <s v="без изменений"/>
    <s v="протокол-№-22.11.2023"/>
  </r>
  <r>
    <s v="Функциональное направление 3"/>
    <n v="4"/>
    <d v="2022-11-22T00:00:00"/>
    <n v="0"/>
    <s v="не защищена"/>
    <n v="500731"/>
    <x v="206"/>
    <n v="18"/>
    <s v="Подразделение18"/>
    <s v="подразделение_2_уровня18"/>
    <s v="подразделение_3_уровня18"/>
    <s v="линейный_руководитель_2"/>
    <n v="6"/>
    <s v="нет"/>
    <m/>
    <m/>
    <m/>
    <n v="204"/>
    <s v="Игнатьев Еремей Григорьевич"/>
    <n v="1167"/>
    <s v="Семенов Афанасий Тихонович"/>
    <s v="Рабочий"/>
    <s v="Подразделение18"/>
    <x v="0"/>
    <x v="0"/>
    <n v="0"/>
    <n v="0"/>
    <m/>
    <m/>
    <s v="не рассматривали"/>
    <s v="протокол-№-22.11.2023"/>
  </r>
  <r>
    <s v="Функциональное направление 3"/>
    <n v="3"/>
    <d v="2018-11-22T00:00:00"/>
    <n v="1"/>
    <s v="не защищена"/>
    <n v="500732"/>
    <x v="207"/>
    <n v="22"/>
    <s v="Подразделение22"/>
    <s v="подразделение_2_уровня22"/>
    <s v="-"/>
    <s v="линейный_руководитель_3"/>
    <n v="5"/>
    <s v="да"/>
    <d v="2023-04-08T00:00:00"/>
    <d v="2023-04-17T00:00:00"/>
    <s v="внутр. сотр. (не учитываем)"/>
    <n v="205"/>
    <s v="Коростелев Борис Федотович"/>
    <n v="1290"/>
    <s v="Игорев Геннадий Кондратьевич"/>
    <s v="функциональный_руководитель_1"/>
    <s v="Подразделение22"/>
    <x v="1"/>
    <x v="2"/>
    <n v="1"/>
    <n v="0"/>
    <s v="увольнение"/>
    <d v="2023-04-01T00:00:00"/>
    <s v="без изменений"/>
    <s v="протокол-№-27.06.2023"/>
  </r>
  <r>
    <s v="Функциональное направление 3"/>
    <n v="4"/>
    <d v="2019-09-25T00:00:00"/>
    <n v="1"/>
    <s v="не защищена"/>
    <n v="500733"/>
    <x v="208"/>
    <n v="22"/>
    <s v="Подразделение22"/>
    <s v="подразделение_2_уровня22"/>
    <s v="-"/>
    <s v="функциональный_руководитель_1"/>
    <n v="6"/>
    <s v="нет"/>
    <m/>
    <m/>
    <m/>
    <n v="206"/>
    <s v="Красных Тихон Кондратьевич"/>
    <n v="1291"/>
    <s v="Степанов Арсений Игнатович"/>
    <s v="функциональный_руководитель_1"/>
    <s v="Подразделение399"/>
    <x v="0"/>
    <x v="2"/>
    <n v="1"/>
    <n v="0"/>
    <s v="назначение на равнозначную должность"/>
    <d v="2020-09-29T00:00:00"/>
    <s v="исключение"/>
    <s v="протокол-№-29.09.2020"/>
  </r>
  <r>
    <s v="Функциональное направление 3"/>
    <n v="4"/>
    <d v="2021-10-18T00:00:00"/>
    <n v="0"/>
    <s v="не защищена"/>
    <n v="500733"/>
    <x v="208"/>
    <n v="22"/>
    <s v="Подразделение22"/>
    <s v="подразделение_2_уровня22"/>
    <s v="-"/>
    <s v="функциональный_руководитель_1"/>
    <n v="6"/>
    <s v="нет"/>
    <m/>
    <m/>
    <m/>
    <n v="206"/>
    <s v="Красных Тихон Кондратьевич"/>
    <n v="1292"/>
    <s v="Игнатьев Ефрем Кондратьевич"/>
    <s v="линейный_руководитель_2"/>
    <s v="Подразделение22"/>
    <x v="2"/>
    <x v="2"/>
    <n v="1"/>
    <n v="0"/>
    <s v="назначение на равнозначную должность"/>
    <d v="2022-11-04T00:00:00"/>
    <s v="не рассматривали"/>
    <s v="протокол-№-18.10.2021"/>
  </r>
  <r>
    <s v="Функциональное направление 3"/>
    <n v="4"/>
    <d v="2019-09-25T00:00:00"/>
    <n v="1"/>
    <s v="не защищена"/>
    <n v="500734"/>
    <x v="209"/>
    <n v="22"/>
    <s v="Подразделение22"/>
    <s v="подразделение_2_уровня22"/>
    <s v="подразделение_3_уровня22"/>
    <s v="линейный_руководитель_2"/>
    <n v="6"/>
    <s v="нет"/>
    <m/>
    <m/>
    <m/>
    <n v="207"/>
    <s v="Ярославов Тихон Анатольевич"/>
    <n v="1293"/>
    <s v="Игорев Савелий Кузьмич"/>
    <s v="Рабочий"/>
    <s v="Подразделение22"/>
    <x v="1"/>
    <x v="0"/>
    <n v="1"/>
    <n v="0"/>
    <m/>
    <m/>
    <s v="без изменений"/>
    <s v="протокол-№-14.11.2023"/>
  </r>
  <r>
    <s v="Функциональное направление 4"/>
    <n v="3"/>
    <d v="2019-04-02T00:00:00"/>
    <n v="1"/>
    <s v="не защищена"/>
    <n v="500036"/>
    <x v="210"/>
    <n v="202"/>
    <s v="Подразделение202"/>
    <s v="подразделение_2_уровня202"/>
    <s v="-"/>
    <s v="ТОП_руководитель_3"/>
    <n v="4"/>
    <s v="нет"/>
    <m/>
    <m/>
    <m/>
    <n v="208"/>
    <s v="Аксенов Лавр Денисович"/>
    <n v="211"/>
    <s v="Пальчиков Семен Константинович"/>
    <s v="руководитель_среднего_уровня_1"/>
    <s v="Подразделение202"/>
    <x v="2"/>
    <x v="0"/>
    <n v="1"/>
    <n v="0"/>
    <m/>
    <m/>
    <s v="без изменений"/>
    <s v="протокол-№-24.05.2021"/>
  </r>
  <r>
    <s v="Функциональное направление 4"/>
    <n v="3"/>
    <d v="2019-04-02T00:00:00"/>
    <n v="0"/>
    <s v="не защищена"/>
    <n v="500036"/>
    <x v="210"/>
    <n v="202"/>
    <s v="Подразделение202"/>
    <s v="подразделение_2_уровня202"/>
    <s v="-"/>
    <s v="ТОП_руководитель_3"/>
    <n v="4"/>
    <s v="нет"/>
    <m/>
    <m/>
    <m/>
    <n v="208"/>
    <s v="Аксенов Лавр Денисович"/>
    <n v="216"/>
    <s v="Цаплин Степан Лаврович"/>
    <s v="руководитель_среднего_уровня_1"/>
    <s v="Подразделение202"/>
    <x v="2"/>
    <x v="0"/>
    <n v="1"/>
    <n v="0"/>
    <m/>
    <m/>
    <s v="без изменений"/>
    <s v="протокол-№-24.05.2021"/>
  </r>
  <r>
    <s v="Функциональное направление 4"/>
    <n v="3"/>
    <d v="2019-04-02T00:00:00"/>
    <n v="0"/>
    <s v="не защищена"/>
    <n v="500036"/>
    <x v="210"/>
    <n v="202"/>
    <s v="Подразделение202"/>
    <s v="подразделение_2_уровня202"/>
    <s v="-"/>
    <s v="ТОП_руководитель_3"/>
    <n v="4"/>
    <s v="нет"/>
    <m/>
    <m/>
    <m/>
    <n v="208"/>
    <s v="Аксенов Лавр Денисович"/>
    <n v="217"/>
    <s v="Волков Петр Григорьевич"/>
    <s v="руководитель_среднего_уровня_1"/>
    <s v="Подразделение202"/>
    <x v="1"/>
    <x v="0"/>
    <n v="1"/>
    <n v="0"/>
    <m/>
    <m/>
    <s v="повышение"/>
    <s v="протокол-№-24.05.2021"/>
  </r>
  <r>
    <s v="Функциональное направление 4"/>
    <n v="3"/>
    <d v="2019-04-02T00:00:00"/>
    <n v="0"/>
    <s v="не защищена"/>
    <n v="500036"/>
    <x v="210"/>
    <n v="202"/>
    <s v="Подразделение202"/>
    <s v="подразделение_2_уровня202"/>
    <s v="-"/>
    <s v="ТОП_руководитель_3"/>
    <n v="4"/>
    <s v="нет"/>
    <m/>
    <m/>
    <m/>
    <n v="208"/>
    <s v="Аксенов Лавр Денисович"/>
    <n v="219"/>
    <s v="Семенов Илья Александрович"/>
    <s v="ТОП_руководитель_3"/>
    <s v="Подразделение202"/>
    <x v="1"/>
    <x v="2"/>
    <n v="1"/>
    <n v="0"/>
    <s v="назначение на равнозначную должность"/>
    <d v="2023-01-17T00:00:00"/>
    <s v="исключение"/>
    <s v="протокол-№-23.06.2023"/>
  </r>
  <r>
    <s v="Функциональное направление 4"/>
    <n v="3"/>
    <d v="2018-12-19T00:00:00"/>
    <n v="1"/>
    <s v="не защищена"/>
    <n v="500575"/>
    <x v="211"/>
    <n v="202"/>
    <s v="Подразделение202"/>
    <s v="подразделение_2_уровня202"/>
    <s v="подразделение_3_уровня202"/>
    <s v="линейный_руководитель_3"/>
    <n v="5"/>
    <s v="нет"/>
    <m/>
    <m/>
    <m/>
    <n v="209"/>
    <s v="Поминов Константин Денисович"/>
    <n v="1294"/>
    <s v="Игнатьев Юрий Ефремович"/>
    <s v="руководитель_среднего_уровня_3"/>
    <s v="Подразделение202"/>
    <x v="0"/>
    <x v="0"/>
    <n v="1"/>
    <n v="0"/>
    <m/>
    <m/>
    <s v="без изменений"/>
    <s v="протокол-№-23.06.2023"/>
  </r>
  <r>
    <s v="Функциональное направление 4"/>
    <n v="3"/>
    <d v="2018-12-19T00:00:00"/>
    <n v="0"/>
    <s v="не защищена"/>
    <n v="500575"/>
    <x v="211"/>
    <n v="202"/>
    <s v="Подразделение202"/>
    <s v="подразделение_2_уровня202"/>
    <s v="подразделение_3_уровня202"/>
    <s v="линейный_руководитель_3"/>
    <n v="5"/>
    <s v="нет"/>
    <m/>
    <m/>
    <m/>
    <n v="209"/>
    <s v="Поминов Константин Денисович"/>
    <n v="1295"/>
    <s v="Федотов Ефрем Кондратьевич"/>
    <s v="Специалист"/>
    <s v="Подразделение202"/>
    <x v="0"/>
    <x v="0"/>
    <n v="1"/>
    <n v="0"/>
    <m/>
    <m/>
    <s v="без изменений"/>
    <s v="протокол-№-23.06.2023"/>
  </r>
  <r>
    <s v="Функциональное направление 4"/>
    <n v="2"/>
    <d v="2017-12-11T00:00:00"/>
    <n v="1"/>
    <s v="не защищена"/>
    <n v="500035"/>
    <x v="212"/>
    <n v="202"/>
    <s v="Подразделение202"/>
    <s v="-"/>
    <s v="-"/>
    <s v="ТОП_руководитель_1"/>
    <n v="3"/>
    <s v="да"/>
    <d v="2019-08-05T00:00:00"/>
    <d v="2019-08-05T00:00:00"/>
    <s v="внутр. сотр. (учитываем)"/>
    <n v="210"/>
    <s v="Баранкин Василий Максимович"/>
    <n v="216"/>
    <s v="Цаплин Степан Лаврович"/>
    <s v="руководитель_среднего_уровня_1"/>
    <s v="Подразделение202"/>
    <x v="2"/>
    <x v="0"/>
    <n v="1"/>
    <n v="0"/>
    <m/>
    <m/>
    <s v="без изменений"/>
    <s v="протокол-№-25.12.2023"/>
  </r>
  <r>
    <s v="Функциональное направление 4"/>
    <n v="2"/>
    <d v="2017-12-11T00:00:00"/>
    <n v="0"/>
    <s v="не защищена"/>
    <n v="500035"/>
    <x v="212"/>
    <n v="202"/>
    <s v="Подразделение202"/>
    <s v="-"/>
    <s v="-"/>
    <s v="ТОП_руководитель_1"/>
    <n v="3"/>
    <s v="да"/>
    <d v="2019-08-05T00:00:00"/>
    <d v="2019-08-05T00:00:00"/>
    <s v="внутр. сотр. (учитываем)"/>
    <n v="210"/>
    <s v="Баранкин Василий Максимович"/>
    <n v="219"/>
    <s v="Семенов Илья Александрович"/>
    <s v="ТОП_руководитель_3"/>
    <s v="Подразделение202"/>
    <x v="0"/>
    <x v="0"/>
    <n v="1"/>
    <n v="0"/>
    <m/>
    <m/>
    <s v="без изменений"/>
    <s v="протокол-№-25.12.2023"/>
  </r>
  <r>
    <s v="Функциональное направление 4"/>
    <n v="2"/>
    <d v="2017-12-11T00:00:00"/>
    <n v="0"/>
    <s v="не защищена"/>
    <n v="500035"/>
    <x v="212"/>
    <n v="202"/>
    <s v="Подразделение202"/>
    <s v="-"/>
    <s v="-"/>
    <s v="ТОП_руководитель_1"/>
    <n v="3"/>
    <s v="да"/>
    <d v="2019-08-05T00:00:00"/>
    <d v="2019-08-05T00:00:00"/>
    <s v="внутр. сотр. (учитываем)"/>
    <n v="210"/>
    <s v="Баранкин Василий Максимович"/>
    <n v="217"/>
    <s v="Волков Петр Григорьевич"/>
    <s v="руководитель_среднего_уровня_1"/>
    <s v="Подразделение202"/>
    <x v="0"/>
    <x v="0"/>
    <n v="1"/>
    <n v="0"/>
    <m/>
    <m/>
    <s v="без изменений"/>
    <s v="протокол-№-25.12.2023"/>
  </r>
  <r>
    <s v="Функциональное направление 4"/>
    <n v="3"/>
    <d v="2019-04-02T00:00:00"/>
    <n v="1"/>
    <s v="не защищена"/>
    <n v="500574"/>
    <x v="213"/>
    <n v="202"/>
    <s v="Подразделение202"/>
    <s v="-"/>
    <s v="-"/>
    <s v="руководитель_среднего_уровня_1"/>
    <n v="4"/>
    <s v="нет"/>
    <m/>
    <m/>
    <m/>
    <n v="211"/>
    <s v="Пальчиков Семен Константинович"/>
    <n v="215"/>
    <s v="Поминов Сергей Егорович"/>
    <s v="функциональный_руководитель_1"/>
    <s v="Подразделение202"/>
    <x v="0"/>
    <x v="0"/>
    <n v="1"/>
    <n v="0"/>
    <m/>
    <m/>
    <s v="без изменений"/>
    <s v="протокол-№-24.05.2021"/>
  </r>
  <r>
    <s v="Функциональное направление 4"/>
    <n v="3"/>
    <d v="2018-12-19T00:00:00"/>
    <n v="1"/>
    <s v="не защищена"/>
    <n v="500037"/>
    <x v="214"/>
    <n v="202"/>
    <s v="Подразделение202"/>
    <s v="подразделение_2_уровня202"/>
    <s v="-"/>
    <s v="функциональный_руководитель_1"/>
    <n v="5"/>
    <s v="да"/>
    <d v="2017-12-28T00:00:00"/>
    <d v="2021-11-19T00:00:00"/>
    <s v="внутр. сотр. (не учитываем)"/>
    <n v="212"/>
    <s v="Григорьев Геннадий Кириллович"/>
    <n v="23"/>
    <s v="Георгиев Георгий Георгиевич"/>
    <s v="руководитель_среднего_уровня_3"/>
    <s v="Подразделение2"/>
    <x v="0"/>
    <x v="2"/>
    <n v="1"/>
    <n v="0"/>
    <s v="инициатива комитета / руководителя"/>
    <d v="2021-07-21T00:00:00"/>
    <s v="исключение"/>
    <s v="протокол-№-21.07.2021"/>
  </r>
  <r>
    <s v="Функциональное направление 4"/>
    <n v="3"/>
    <d v="2018-12-19T00:00:00"/>
    <n v="0"/>
    <s v="не защищена"/>
    <n v="500037"/>
    <x v="214"/>
    <n v="202"/>
    <s v="Подразделение202"/>
    <s v="подразделение_2_уровня202"/>
    <s v="-"/>
    <s v="функциональный_руководитель_1"/>
    <n v="5"/>
    <s v="да"/>
    <d v="2017-12-28T00:00:00"/>
    <d v="2021-11-19T00:00:00"/>
    <s v="внутр. сотр. (не учитываем)"/>
    <n v="212"/>
    <s v="Григорьев Геннадий Кириллович"/>
    <n v="131"/>
    <s v="Глебов Потап Егорович"/>
    <s v="линейный_руководитель_2"/>
    <s v="Подразделение1"/>
    <x v="2"/>
    <x v="2"/>
    <n v="1"/>
    <n v="0"/>
    <s v="инициатива комитета / руководителя"/>
    <d v="2021-07-21T00:00:00"/>
    <s v="исключение"/>
    <s v="протокол-№-21.07.2021"/>
  </r>
  <r>
    <s v="Функциональное направление 4"/>
    <n v="3"/>
    <d v="2021-07-21T00:00:00"/>
    <n v="0"/>
    <s v="не защищена"/>
    <n v="500037"/>
    <x v="214"/>
    <n v="202"/>
    <s v="Подразделение202"/>
    <s v="подразделение_2_уровня202"/>
    <s v="-"/>
    <s v="функциональный_руководитель_1"/>
    <n v="5"/>
    <s v="да"/>
    <d v="2017-12-28T00:00:00"/>
    <d v="2021-11-19T00:00:00"/>
    <s v="внутр. сотр. (не учитываем)"/>
    <n v="212"/>
    <s v="Григорьев Геннадий Кириллович"/>
    <n v="1181"/>
    <s v="Дмитриев Матвей Никитинич"/>
    <s v="Рабочий"/>
    <s v="Подразделение1"/>
    <x v="2"/>
    <x v="2"/>
    <n v="1"/>
    <n v="0"/>
    <s v="инициатива комитета / руководителя"/>
    <d v="2021-12-22T00:00:00"/>
    <s v="исключение"/>
    <s v="протокол-№-22.12.2021"/>
  </r>
  <r>
    <s v="Функциональное направление 4"/>
    <n v="3"/>
    <d v="2021-07-21T00:00:00"/>
    <n v="0"/>
    <s v="не защищена"/>
    <n v="500037"/>
    <x v="214"/>
    <n v="202"/>
    <s v="Подразделение202"/>
    <s v="подразделение_2_уровня202"/>
    <s v="-"/>
    <s v="функциональный_руководитель_1"/>
    <n v="5"/>
    <s v="да"/>
    <d v="2017-12-28T00:00:00"/>
    <d v="2021-11-19T00:00:00"/>
    <s v="внутр. сотр. (не учитываем)"/>
    <n v="212"/>
    <s v="Григорьев Геннадий Кириллович"/>
    <n v="1171"/>
    <s v="Потапов Лавр Ефремович"/>
    <s v="Специалист"/>
    <s v="Подразделение18"/>
    <x v="2"/>
    <x v="2"/>
    <n v="1"/>
    <n v="0"/>
    <s v="прочее (перевод в другое СП / на другое предприятие)"/>
    <d v="2023-06-23T00:00:00"/>
    <s v="исключение"/>
    <s v="протокол-№-23.06.2023"/>
  </r>
  <r>
    <s v="Функциональное направление 4"/>
    <n v="3"/>
    <d v="2022-06-23T00:00:00"/>
    <n v="1"/>
    <s v="не защищена"/>
    <n v="500039"/>
    <x v="215"/>
    <n v="202"/>
    <s v="Подразделение202"/>
    <s v="подразделение_2_уровня202"/>
    <s v="-"/>
    <s v="функциональный_руководитель_1"/>
    <n v="6"/>
    <s v="нет"/>
    <m/>
    <m/>
    <m/>
    <n v="213"/>
    <s v="Чистяков Корней Михайлович"/>
    <n v="1296"/>
    <s v="Ветров Арсений Кондратьевич"/>
    <s v="Специалист"/>
    <s v="Подразделение202"/>
    <x v="2"/>
    <x v="0"/>
    <n v="1"/>
    <n v="0"/>
    <m/>
    <m/>
    <s v="не рассматривали"/>
    <s v="протокол-№-23.06.2023"/>
  </r>
  <r>
    <s v="Функциональное направление 4"/>
    <n v="3"/>
    <d v="2022-06-23T00:00:00"/>
    <n v="1"/>
    <s v="не защищена"/>
    <n v="500038"/>
    <x v="216"/>
    <n v="202"/>
    <s v="Подразделение202"/>
    <s v="подразделение_2_уровня202"/>
    <s v="-"/>
    <s v="функциональный_руководитель_1"/>
    <n v="6"/>
    <s v="нет"/>
    <m/>
    <m/>
    <m/>
    <n v="214"/>
    <s v="Тихонов Михаил Владиславович"/>
    <n v="1237"/>
    <s v="Филиппов Афанасий Александрович"/>
    <s v="-"/>
    <s v="-"/>
    <x v="3"/>
    <x v="3"/>
    <n v="1"/>
    <n v="0"/>
    <m/>
    <m/>
    <m/>
    <m/>
  </r>
  <r>
    <s v="Функциональное направление 4"/>
    <n v="3"/>
    <d v="2018-12-19T00:00:00"/>
    <n v="1"/>
    <s v="не защищена"/>
    <n v="500586"/>
    <x v="217"/>
    <n v="202"/>
    <s v="Подразделение202"/>
    <s v="подразделение_2_уровня202"/>
    <s v="-"/>
    <s v="функциональный_руководитель_1"/>
    <n v="5"/>
    <s v="нет"/>
    <m/>
    <m/>
    <m/>
    <n v="215"/>
    <s v="Поминов Сергей Егорович"/>
    <n v="118"/>
    <s v="Баранкин Кондрат Кондратьевич"/>
    <s v="линейный_руководитель_2"/>
    <s v="Подразделение2"/>
    <x v="2"/>
    <x v="0"/>
    <n v="1"/>
    <n v="0"/>
    <m/>
    <m/>
    <s v="без изменений"/>
    <s v="протокол-№-23.06.2022"/>
  </r>
  <r>
    <s v="Функциональное направление 4"/>
    <n v="3"/>
    <d v="2018-12-19T00:00:00"/>
    <n v="0"/>
    <s v="не защищена"/>
    <n v="500586"/>
    <x v="217"/>
    <n v="202"/>
    <s v="Подразделение202"/>
    <s v="подразделение_2_уровня202"/>
    <s v="-"/>
    <s v="функциональный_руководитель_1"/>
    <n v="5"/>
    <s v="нет"/>
    <m/>
    <m/>
    <m/>
    <n v="215"/>
    <s v="Поминов Сергей Егорович"/>
    <n v="106"/>
    <s v="Гуськов Дмитрий Дмитриевич"/>
    <s v="линейный_руководитель_2"/>
    <s v="Подразделение1"/>
    <x v="2"/>
    <x v="2"/>
    <n v="1"/>
    <n v="0"/>
    <s v="инициатива комитета / руководителя"/>
    <d v="2022-06-23T00:00:00"/>
    <s v="исключение"/>
    <s v="протокол-№-23.06.2022"/>
  </r>
  <r>
    <s v="Функциональное направление 4"/>
    <n v="3"/>
    <d v="2021-07-21T00:00:00"/>
    <n v="0"/>
    <s v="не защищена"/>
    <n v="500586"/>
    <x v="217"/>
    <n v="202"/>
    <s v="Подразделение202"/>
    <s v="подразделение_2_уровня202"/>
    <s v="-"/>
    <s v="функциональный_руководитель_1"/>
    <n v="5"/>
    <s v="нет"/>
    <m/>
    <m/>
    <m/>
    <n v="215"/>
    <s v="Поминов Сергей Егорович"/>
    <n v="1180"/>
    <s v="Семенов Игнат Геннадьевич"/>
    <s v="Рабочий"/>
    <s v="Подразделение1"/>
    <x v="2"/>
    <x v="2"/>
    <n v="1"/>
    <n v="0"/>
    <s v="инициатива комитета / руководителя"/>
    <d v="2022-06-23T00:00:00"/>
    <s v="исключение"/>
    <s v="протокол-№-23.06.2022"/>
  </r>
  <r>
    <s v="Функциональное направление 4"/>
    <n v="3"/>
    <d v="2019-11-28T00:00:00"/>
    <n v="1"/>
    <s v="не защищена"/>
    <n v="500588"/>
    <x v="218"/>
    <n v="202"/>
    <s v="Подразделение202"/>
    <s v="-"/>
    <s v="-"/>
    <s v="руководитель_среднего_уровня_1"/>
    <n v="4"/>
    <s v="нет"/>
    <m/>
    <m/>
    <m/>
    <n v="216"/>
    <s v="Цаплин Степан Лаврович"/>
    <n v="670"/>
    <s v="Вобликов Кирилл Тимофеевич"/>
    <s v="функциональный_руководитель_3"/>
    <s v="Подразделение6"/>
    <x v="2"/>
    <x v="0"/>
    <n v="1"/>
    <n v="0"/>
    <m/>
    <m/>
    <s v="без изменений"/>
    <s v="протокол-№-24.05.2021"/>
  </r>
  <r>
    <s v="Функциональное направление 4"/>
    <n v="3"/>
    <d v="2021-05-24T00:00:00"/>
    <n v="0"/>
    <s v="не защищена"/>
    <n v="500588"/>
    <x v="218"/>
    <n v="202"/>
    <s v="Подразделение202"/>
    <s v="-"/>
    <s v="-"/>
    <s v="руководитель_среднего_уровня_1"/>
    <n v="4"/>
    <s v="нет"/>
    <m/>
    <m/>
    <m/>
    <n v="216"/>
    <s v="Цаплин Степан Лаврович"/>
    <n v="214"/>
    <s v="Тихонов Михаил Владиславович"/>
    <s v="функциональный_руководитель_1"/>
    <s v="Подразделение202"/>
    <x v="0"/>
    <x v="0"/>
    <n v="1"/>
    <n v="0"/>
    <m/>
    <m/>
    <s v="не рассматривали"/>
    <s v="протокол-№-24.05.2021"/>
  </r>
  <r>
    <s v="Функциональное направление 4"/>
    <n v="3"/>
    <d v="2018-12-19T00:00:00"/>
    <n v="0"/>
    <s v="не защищена"/>
    <n v="500588"/>
    <x v="218"/>
    <n v="202"/>
    <s v="Подразделение202"/>
    <s v="-"/>
    <s v="-"/>
    <s v="руководитель_среднего_уровня_1"/>
    <n v="4"/>
    <s v="нет"/>
    <m/>
    <m/>
    <m/>
    <n v="216"/>
    <s v="Цаплин Степан Лаврович"/>
    <n v="1297"/>
    <s v="Потапов Савелий Александрович"/>
    <s v="функциональный_руководитель_1"/>
    <s v="Подразделение_др6"/>
    <x v="2"/>
    <x v="2"/>
    <n v="1"/>
    <n v="0"/>
    <s v="прочее (смена направления развития)"/>
    <d v="2020-06-10T00:00:00"/>
    <s v="не рассматривали"/>
    <s v="протокол-№-19.12.2018"/>
  </r>
  <r>
    <s v="Функциональное направление 4"/>
    <n v="3"/>
    <d v="2018-12-19T00:00:00"/>
    <n v="1"/>
    <s v="не защищена"/>
    <n v="500589"/>
    <x v="219"/>
    <n v="202"/>
    <s v="Подразделение202"/>
    <s v="-"/>
    <s v="-"/>
    <s v="руководитель_среднего_уровня_1"/>
    <n v="4"/>
    <s v="нет"/>
    <m/>
    <m/>
    <m/>
    <n v="217"/>
    <s v="Волков Петр Григорьевич"/>
    <n v="213"/>
    <s v="Чистяков Корней Михайлович"/>
    <s v="функциональный_руководитель_1"/>
    <s v="Подразделение202"/>
    <x v="1"/>
    <x v="0"/>
    <n v="1"/>
    <n v="0"/>
    <m/>
    <m/>
    <s v="повышение"/>
    <s v="протокол-№-24.05.2021"/>
  </r>
  <r>
    <s v="Функциональное направление 4"/>
    <n v="3"/>
    <d v="2019-11-28T00:00:00"/>
    <n v="0"/>
    <s v="не защищена"/>
    <n v="500589"/>
    <x v="219"/>
    <n v="202"/>
    <s v="Подразделение202"/>
    <s v="-"/>
    <s v="-"/>
    <s v="руководитель_среднего_уровня_1"/>
    <n v="4"/>
    <s v="нет"/>
    <m/>
    <m/>
    <m/>
    <n v="217"/>
    <s v="Волков Петр Григорьевич"/>
    <n v="1298"/>
    <s v="Игнатьев Кирилл Константинович"/>
    <s v="функциональный_руководитель_3"/>
    <s v="Подразделение202"/>
    <x v="2"/>
    <x v="0"/>
    <n v="1"/>
    <n v="0"/>
    <m/>
    <m/>
    <s v="без изменений"/>
    <s v="протокол-№-24.05.2021"/>
  </r>
  <r>
    <s v="Функциональное направление 4"/>
    <n v="3"/>
    <d v="2019-11-28T00:00:00"/>
    <n v="0"/>
    <s v="не защищена"/>
    <n v="500589"/>
    <x v="219"/>
    <n v="202"/>
    <s v="Подразделение202"/>
    <s v="-"/>
    <s v="-"/>
    <s v="руководитель_среднего_уровня_1"/>
    <n v="4"/>
    <s v="нет"/>
    <m/>
    <m/>
    <m/>
    <n v="217"/>
    <s v="Волков Петр Григорьевич"/>
    <n v="1299"/>
    <s v="Исаев Арсений Никитинич"/>
    <s v="функциональный_руководитель_1"/>
    <s v="Подразделение15"/>
    <x v="2"/>
    <x v="2"/>
    <n v="1"/>
    <n v="0"/>
    <s v="инициатива комитета / руководителя"/>
    <d v="2021-05-24T00:00:00"/>
    <s v="исключение"/>
    <s v="протокол-№-24.05.2021"/>
  </r>
  <r>
    <s v="Функциональное направление 4"/>
    <n v="3"/>
    <d v="2021-07-21T00:00:00"/>
    <n v="1"/>
    <s v="не защищена"/>
    <n v="500590"/>
    <x v="220"/>
    <n v="202"/>
    <s v="Подразделение202"/>
    <s v="подразделение_2_уровня202"/>
    <s v="подразделение_3_уровня202"/>
    <s v="линейный_руководитель_3"/>
    <n v="5"/>
    <s v="нет"/>
    <m/>
    <m/>
    <m/>
    <n v="218"/>
    <s v="Пальчиков Емельян Ефремович"/>
    <n v="1300"/>
    <s v="Ветров Виталий Кондратьевич"/>
    <s v="функциональный_руководитель_3"/>
    <s v="Подразделение202"/>
    <x v="0"/>
    <x v="0"/>
    <n v="1"/>
    <n v="0"/>
    <m/>
    <m/>
    <s v="повышение"/>
    <s v="протокол-№-23.06.2022"/>
  </r>
  <r>
    <s v="Функциональное направление 4"/>
    <n v="3"/>
    <d v="2021-05-24T00:00:00"/>
    <n v="1"/>
    <s v="не защищена"/>
    <n v="500633"/>
    <x v="221"/>
    <n v="202"/>
    <s v="Подразделение202"/>
    <s v="подразделение_2_уровня202"/>
    <s v="-"/>
    <s v="ТОП_руководитель_3"/>
    <n v="4"/>
    <s v="нет"/>
    <m/>
    <m/>
    <m/>
    <n v="219"/>
    <s v="Семенов Илья Александрович"/>
    <n v="220"/>
    <s v="Баранкин Владислав Герасимович"/>
    <s v="функциональный_руководитель_2"/>
    <s v="Подразделение202"/>
    <x v="0"/>
    <x v="0"/>
    <n v="1"/>
    <n v="0"/>
    <m/>
    <m/>
    <s v="не рассматривали"/>
    <s v="протокол-№-24.05.2021"/>
  </r>
  <r>
    <s v="Функциональное направление 4"/>
    <n v="3"/>
    <d v="2022-06-23T00:00:00"/>
    <n v="1"/>
    <s v="не защищена"/>
    <n v="500634"/>
    <x v="222"/>
    <n v="202"/>
    <s v="Подразделение202"/>
    <s v="подразделение_2_уровня202"/>
    <s v="-"/>
    <s v="функциональный_руководитель_2"/>
    <n v="5"/>
    <s v="нет"/>
    <m/>
    <m/>
    <m/>
    <n v="220"/>
    <s v="Баранкин Владислав Герасимович"/>
    <n v="1301"/>
    <s v="Коровкин Ефрем Кузьмич"/>
    <s v="Специалист"/>
    <s v="Подразделение202"/>
    <x v="0"/>
    <x v="0"/>
    <n v="1"/>
    <n v="0"/>
    <m/>
    <m/>
    <s v="не рассматривали"/>
    <s v="протокол-№-23.06.2022"/>
  </r>
  <r>
    <s v="Функциональное направление 4"/>
    <n v="3"/>
    <d v="2022-06-23T00:00:00"/>
    <n v="0"/>
    <s v="не защищена"/>
    <n v="500634"/>
    <x v="222"/>
    <n v="202"/>
    <s v="Подразделение202"/>
    <s v="подразделение_2_уровня202"/>
    <s v="-"/>
    <s v="функциональный_руководитель_2"/>
    <n v="5"/>
    <s v="нет"/>
    <m/>
    <m/>
    <m/>
    <n v="220"/>
    <s v="Баранкин Владислав Герасимович"/>
    <n v="1302"/>
    <s v="Ветров Константин Кондратьевич"/>
    <s v="Специалист"/>
    <s v="Подразделение202"/>
    <x v="0"/>
    <x v="0"/>
    <n v="1"/>
    <n v="0"/>
    <m/>
    <m/>
    <s v="не рассматривали"/>
    <s v="протокол-№-23.06.2022"/>
  </r>
  <r>
    <s v="Функциональное направление 4"/>
    <n v="3"/>
    <d v="2021-07-21T00:00:00"/>
    <n v="1"/>
    <s v="не защищена"/>
    <n v="500635"/>
    <x v="223"/>
    <n v="202"/>
    <s v="Подразделение202"/>
    <s v="подразделение_2_уровня202"/>
    <s v="подразделение_3_уровня202"/>
    <s v="линейный_руководитель_3"/>
    <n v="5"/>
    <s v="нет"/>
    <m/>
    <m/>
    <m/>
    <n v="221"/>
    <s v="Баранкин Потап Васильевич"/>
    <n v="1303"/>
    <s v="Дмитриев Виталий Богданович"/>
    <s v="функциональный_руководитель_1"/>
    <s v="Подразделение202"/>
    <x v="0"/>
    <x v="0"/>
    <n v="1"/>
    <n v="0"/>
    <m/>
    <m/>
    <s v="без изменений"/>
    <s v="протокол-№-23.06.2022"/>
  </r>
  <r>
    <s v="Функциональное направление 4"/>
    <n v="3"/>
    <d v="2021-07-21T00:00:00"/>
    <n v="0"/>
    <s v="не защищена"/>
    <n v="500635"/>
    <x v="223"/>
    <n v="202"/>
    <s v="Подразделение202"/>
    <s v="подразделение_2_уровня202"/>
    <s v="подразделение_3_уровня202"/>
    <s v="линейный_руководитель_3"/>
    <n v="5"/>
    <s v="нет"/>
    <m/>
    <m/>
    <m/>
    <n v="221"/>
    <s v="Баранкин Потап Васильевич"/>
    <n v="1304"/>
    <s v="Дорофеев Юрий Кондратьевич"/>
    <s v="функциональный_руководитель_3"/>
    <s v="Подразделение202"/>
    <x v="1"/>
    <x v="0"/>
    <n v="1"/>
    <n v="0"/>
    <m/>
    <m/>
    <s v="без изменений"/>
    <s v="протокол-№-23.06.2022"/>
  </r>
  <r>
    <s v="Функциональное направление 4"/>
    <s v="3 - 4"/>
    <d v="2022-06-23T00:00:00"/>
    <n v="1"/>
    <s v="не защищена"/>
    <n v="500638"/>
    <x v="224"/>
    <n v="202"/>
    <s v="Подразделение202"/>
    <s v="подразделение_2_уровня202"/>
    <s v="-"/>
    <s v="ТОП_руководитель_3"/>
    <n v="4"/>
    <s v="нет"/>
    <m/>
    <m/>
    <m/>
    <n v="222"/>
    <s v="Журавлев Валерий Романович"/>
    <n v="1237"/>
    <s v="Филиппов Афанасий Александрович"/>
    <s v="-"/>
    <s v="-"/>
    <x v="3"/>
    <x v="3"/>
    <n v="1"/>
    <n v="0"/>
    <m/>
    <m/>
    <m/>
    <s v="протокол-№-23.06.2022"/>
  </r>
  <r>
    <s v="Функциональное направление 4"/>
    <n v="3"/>
    <d v="2022-06-23T00:00:00"/>
    <n v="1"/>
    <s v="не защищена"/>
    <n v="500643"/>
    <x v="225"/>
    <n v="202"/>
    <s v="Подразделение202"/>
    <s v="подразделение_2_уровня202"/>
    <s v="-"/>
    <s v="функциональный_руководитель_2"/>
    <n v="5"/>
    <s v="нет"/>
    <m/>
    <m/>
    <m/>
    <n v="223"/>
    <s v="Конеев Григорий Александрович"/>
    <n v="1237"/>
    <s v="Филиппов Афанасий Александрович"/>
    <s v="-"/>
    <s v="-"/>
    <x v="3"/>
    <x v="3"/>
    <n v="1"/>
    <n v="0"/>
    <m/>
    <m/>
    <m/>
    <m/>
  </r>
  <r>
    <s v="Функциональное направление 5"/>
    <n v="3"/>
    <d v="2022-08-23T00:00:00"/>
    <n v="1"/>
    <s v="не защищена"/>
    <n v="500006"/>
    <x v="226"/>
    <n v="28"/>
    <s v="Подразделение28"/>
    <s v="подразделение_2_уровня28"/>
    <s v="-"/>
    <s v="руководитель_среднего_уровня_2"/>
    <n v="6"/>
    <s v="да"/>
    <d v="2022-03-04T00:00:00"/>
    <d v="2022-12-15T00:00:00"/>
    <s v="из резерва (учитываем)"/>
    <n v="224"/>
    <s v="Конеев Константин Корнеевич"/>
    <n v="224"/>
    <s v="Конеев Константин Корнеевич"/>
    <s v="руководитель_среднего_уровня_3"/>
    <s v="Подразделение28"/>
    <x v="1"/>
    <x v="1"/>
    <n v="1"/>
    <n v="1"/>
    <s v="назначение на целевую должность"/>
    <d v="2022-12-15T00:00:00"/>
    <s v="не рассматривали"/>
    <s v="протокол-№-23.08.2022"/>
  </r>
  <r>
    <s v="Функциональное направление 5"/>
    <n v="3"/>
    <d v="2020-07-27T00:00:00"/>
    <n v="0"/>
    <s v="не защищена"/>
    <n v="500006"/>
    <x v="226"/>
    <n v="28"/>
    <s v="Подразделение28"/>
    <s v="подразделение_2_уровня28"/>
    <s v="-"/>
    <s v="руководитель_среднего_уровня_2"/>
    <n v="6"/>
    <s v="да"/>
    <d v="2022-03-04T00:00:00"/>
    <d v="2022-12-15T00:00:00"/>
    <s v="из резерва (учитываем)"/>
    <n v="224"/>
    <s v="Конеев Константин Корнеевич"/>
    <n v="1305"/>
    <s v="Федотов Афанасий Геннадьевич"/>
    <s v="линейный_руководитель_2"/>
    <s v="Подразделение28"/>
    <x v="0"/>
    <x v="2"/>
    <n v="1"/>
    <n v="0"/>
    <s v="инициатива комитета / руководителя"/>
    <d v="2022-08-23T00:00:00"/>
    <s v="исключение"/>
    <s v="протокол-№-23.08.2022"/>
  </r>
  <r>
    <s v="Функциональное направление 5"/>
    <n v="3"/>
    <d v="2017-12-11T00:00:00"/>
    <n v="1"/>
    <s v="не защищена"/>
    <n v="500010"/>
    <x v="227"/>
    <n v="28"/>
    <s v="Подразделение28"/>
    <s v="-"/>
    <s v="-"/>
    <s v="ТОП_руководитель_2"/>
    <n v="5"/>
    <s v="нет"/>
    <m/>
    <m/>
    <m/>
    <n v="225"/>
    <s v="Михайлов Емельян Кондратьевич"/>
    <n v="271"/>
    <s v="Ефремов Дмитрий Кондратьевич"/>
    <s v="линейный_руководитель_3"/>
    <s v="Подразделение28"/>
    <x v="1"/>
    <x v="0"/>
    <n v="1"/>
    <n v="0"/>
    <m/>
    <m/>
    <s v="без изменений"/>
    <s v="протокол-№-24.05.2021"/>
  </r>
  <r>
    <s v="Функциональное направление 5"/>
    <n v="3"/>
    <d v="2022-08-23T00:00:00"/>
    <n v="0"/>
    <s v="не защищена"/>
    <n v="500010"/>
    <x v="227"/>
    <n v="28"/>
    <s v="Подразделение28"/>
    <s v="-"/>
    <s v="-"/>
    <s v="ТОП_руководитель_2"/>
    <n v="5"/>
    <s v="нет"/>
    <m/>
    <m/>
    <m/>
    <n v="225"/>
    <s v="Михайлов Емельян Кондратьевич"/>
    <n v="230"/>
    <s v="Карасев Виталий Корнеевич"/>
    <s v="руководитель_среднего_уровня_2"/>
    <s v="Подразделение28"/>
    <x v="2"/>
    <x v="0"/>
    <n v="1"/>
    <n v="0"/>
    <m/>
    <m/>
    <s v="не рассматривали"/>
    <s v="протокол-№-23.08.2022"/>
  </r>
  <r>
    <s v="Функциональное направление 5"/>
    <n v="3"/>
    <d v="2020-06-10T00:00:00"/>
    <n v="0"/>
    <s v="не защищена"/>
    <n v="500010"/>
    <x v="227"/>
    <n v="28"/>
    <s v="Подразделение28"/>
    <s v="-"/>
    <s v="-"/>
    <s v="ТОП_руководитель_2"/>
    <n v="5"/>
    <s v="нет"/>
    <m/>
    <m/>
    <m/>
    <n v="225"/>
    <s v="Михайлов Емельян Кондратьевич"/>
    <n v="253"/>
    <s v="Зверев Матвей Лаврович"/>
    <s v="ТОП_руководитель_2"/>
    <s v="Подразделение421"/>
    <x v="0"/>
    <x v="2"/>
    <n v="1"/>
    <n v="0"/>
    <s v="назначение на равнозначную должность"/>
    <d v="2022-05-04T00:00:00"/>
    <s v="повышение"/>
    <s v="протокол-№-24.05.2021"/>
  </r>
  <r>
    <s v="Функциональное направление 5"/>
    <n v="3"/>
    <d v="2022-08-23T00:00:00"/>
    <n v="1"/>
    <s v="не защищена"/>
    <n v="500011"/>
    <x v="228"/>
    <n v="28"/>
    <s v="Подразделение28"/>
    <s v="подразделение_2_уровня28"/>
    <s v="-"/>
    <s v="руководитель_среднего_уровня_2"/>
    <n v="6"/>
    <s v="да"/>
    <d v="2020-08-20T00:00:00"/>
    <d v="2020-08-20T00:00:00"/>
    <s v="внутр. сотр. (учитываем)"/>
    <n v="226"/>
    <s v="Цаплин Корней Данилович"/>
    <n v="229"/>
    <s v="Баранкин Степан Матвеевич"/>
    <s v="руководитель_среднего_уровня_3"/>
    <s v="Подразделение28"/>
    <x v="0"/>
    <x v="0"/>
    <n v="1"/>
    <n v="0"/>
    <m/>
    <m/>
    <s v="не рассматривали"/>
    <s v="протокол-№-23.08.2022"/>
  </r>
  <r>
    <s v="Функциональное направление 5"/>
    <n v="3"/>
    <d v="2022-08-23T00:00:00"/>
    <n v="0"/>
    <s v="не защищена"/>
    <n v="500011"/>
    <x v="228"/>
    <n v="28"/>
    <s v="Подразделение28"/>
    <s v="подразделение_2_уровня28"/>
    <s v="-"/>
    <s v="руководитель_среднего_уровня_2"/>
    <n v="6"/>
    <s v="да"/>
    <d v="2020-08-20T00:00:00"/>
    <d v="2020-08-20T00:00:00"/>
    <s v="внутр. сотр. (учитываем)"/>
    <n v="226"/>
    <s v="Цаплин Корней Данилович"/>
    <n v="227"/>
    <s v="Аксенов Григорий Юрьевич"/>
    <s v="руководитель_среднего_уровня_3"/>
    <s v="Подразделение28"/>
    <x v="1"/>
    <x v="0"/>
    <n v="1"/>
    <n v="0"/>
    <m/>
    <m/>
    <s v="не рассматривали"/>
    <s v="протокол-№-23.08.2022"/>
  </r>
  <r>
    <s v="Функциональное направление 5"/>
    <n v="3"/>
    <d v="2020-07-27T00:00:00"/>
    <n v="0"/>
    <s v="не защищена"/>
    <n v="500011"/>
    <x v="228"/>
    <n v="28"/>
    <s v="Подразделение28"/>
    <s v="подразделение_2_уровня28"/>
    <s v="-"/>
    <s v="руководитель_среднего_уровня_2"/>
    <n v="6"/>
    <s v="да"/>
    <d v="2020-08-20T00:00:00"/>
    <d v="2020-08-20T00:00:00"/>
    <s v="внутр. сотр. (учитываем)"/>
    <n v="226"/>
    <s v="Цаплин Корней Данилович"/>
    <n v="1306"/>
    <s v="Потапов Афанасий Ефремович"/>
    <s v="линейный_руководитель_2"/>
    <s v="Подразделение_др4"/>
    <x v="1"/>
    <x v="2"/>
    <n v="1"/>
    <n v="0"/>
    <s v="увольнение"/>
    <d v="2021-09-14T00:00:00"/>
    <s v="не рассматривали"/>
    <s v="протокол-№-27.07.2020"/>
  </r>
  <r>
    <s v="Функциональное направление 5"/>
    <n v="4"/>
    <d v="2021-10-04T00:00:00"/>
    <n v="1"/>
    <s v="не защищена"/>
    <n v="500023"/>
    <x v="229"/>
    <n v="28"/>
    <s v="Подразделение28"/>
    <s v="подразделение_2_уровня28"/>
    <s v="подразделение_3_уровня28"/>
    <s v="руководитель_среднего_уровня_3"/>
    <n v="7"/>
    <s v="нет"/>
    <m/>
    <m/>
    <m/>
    <n v="227"/>
    <s v="Аксенов Григорий Юрьевич"/>
    <n v="1307"/>
    <s v="Игнатьев Трофим Геннадьевич"/>
    <s v="Рабочий"/>
    <s v="Подразделение28"/>
    <x v="2"/>
    <x v="0"/>
    <n v="1"/>
    <n v="0"/>
    <m/>
    <m/>
    <s v="повышение"/>
    <s v="протокол-№-08.11.2022"/>
  </r>
  <r>
    <s v="Функциональное направление 5"/>
    <n v="4"/>
    <d v="2020-10-21T00:00:00"/>
    <n v="0"/>
    <s v="не защищена"/>
    <n v="500023"/>
    <x v="229"/>
    <n v="28"/>
    <s v="Подразделение28"/>
    <s v="подразделение_2_уровня28"/>
    <s v="подразделение_3_уровня28"/>
    <s v="руководитель_среднего_уровня_3"/>
    <n v="7"/>
    <s v="нет"/>
    <m/>
    <m/>
    <m/>
    <n v="227"/>
    <s v="Аксенов Григорий Юрьевич"/>
    <n v="1308"/>
    <s v="Брежнев Арсений Александрович"/>
    <s v="Рабочий"/>
    <s v="Подразделение28"/>
    <x v="0"/>
    <x v="2"/>
    <n v="1"/>
    <n v="0"/>
    <s v="инициатива комитета / руководителя"/>
    <d v="2023-05-25T00:00:00"/>
    <s v="без изменений"/>
    <s v="протокол-№-08.11.2022"/>
  </r>
  <r>
    <s v="Функциональное направление 5"/>
    <n v="4"/>
    <d v="2020-10-21T00:00:00"/>
    <n v="0"/>
    <s v="не защищена"/>
    <n v="500023"/>
    <x v="229"/>
    <n v="28"/>
    <s v="Подразделение28"/>
    <s v="подразделение_2_уровня28"/>
    <s v="подразделение_3_уровня28"/>
    <s v="руководитель_среднего_уровня_3"/>
    <n v="7"/>
    <s v="нет"/>
    <m/>
    <m/>
    <m/>
    <n v="227"/>
    <s v="Аксенов Григорий Юрьевич"/>
    <n v="240"/>
    <s v="Аксенов Степан Егорович"/>
    <s v="линейный_руководитель_2"/>
    <s v="Подразделение28"/>
    <x v="1"/>
    <x v="0"/>
    <n v="1"/>
    <n v="0"/>
    <m/>
    <m/>
    <s v="повышение"/>
    <s v="протокол-№-08.11.2022"/>
  </r>
  <r>
    <s v="Функциональное направление 5"/>
    <n v="4"/>
    <d v="2020-10-21T00:00:00"/>
    <n v="0"/>
    <s v="не защищена"/>
    <n v="500023"/>
    <x v="229"/>
    <n v="28"/>
    <s v="Подразделение28"/>
    <s v="подразделение_2_уровня28"/>
    <s v="подразделение_3_уровня28"/>
    <s v="руководитель_среднего_уровня_3"/>
    <n v="7"/>
    <s v="нет"/>
    <m/>
    <m/>
    <m/>
    <n v="227"/>
    <s v="Аксенов Григорий Юрьевич"/>
    <n v="1305"/>
    <s v="Федотов Афанасий Геннадьевич"/>
    <s v="линейный_руководитель_2"/>
    <s v="Подразделение28"/>
    <x v="1"/>
    <x v="2"/>
    <n v="1"/>
    <n v="0"/>
    <s v="прочее (смерть работника)"/>
    <d v="2022-10-06T00:00:00"/>
    <s v="не рассматривали"/>
    <s v="протокол-№-21.10.2020"/>
  </r>
  <r>
    <s v="Функциональное направление 5"/>
    <n v="4"/>
    <d v="2021-10-04T00:00:00"/>
    <n v="1"/>
    <s v="не защищена"/>
    <n v="500023"/>
    <x v="230"/>
    <n v="28"/>
    <s v="Подразделение28"/>
    <s v="подразделение_2_уровня28"/>
    <s v="подразделение_3_уровня28"/>
    <s v="руководитель_среднего_уровня_3"/>
    <n v="7"/>
    <s v="нет"/>
    <m/>
    <m/>
    <m/>
    <n v="228"/>
    <s v="Романов Никита Егорович"/>
    <n v="1307"/>
    <s v="Игнатьев Трофим Геннадьевич"/>
    <s v="Рабочий"/>
    <s v="Подразделение28"/>
    <x v="2"/>
    <x v="0"/>
    <n v="0"/>
    <n v="0"/>
    <m/>
    <m/>
    <s v="повышение"/>
    <s v="протокол-№-08.11.2022"/>
  </r>
  <r>
    <s v="Функциональное направление 5"/>
    <n v="4"/>
    <d v="2020-10-21T00:00:00"/>
    <n v="0"/>
    <s v="не защищена"/>
    <n v="500023"/>
    <x v="230"/>
    <n v="28"/>
    <s v="Подразделение28"/>
    <s v="подразделение_2_уровня28"/>
    <s v="подразделение_3_уровня28"/>
    <s v="руководитель_среднего_уровня_3"/>
    <n v="7"/>
    <s v="нет"/>
    <m/>
    <m/>
    <m/>
    <n v="228"/>
    <s v="Романов Никита Егорович"/>
    <n v="1308"/>
    <s v="Брежнев Арсений Александрович"/>
    <s v="Рабочий"/>
    <s v="Подразделение28"/>
    <x v="0"/>
    <x v="2"/>
    <n v="0"/>
    <n v="0"/>
    <s v="инициатива комитета / руководителя"/>
    <d v="2023-05-25T00:00:00"/>
    <s v="без изменений"/>
    <s v="протокол-№-08.11.2022"/>
  </r>
  <r>
    <s v="Функциональное направление 5"/>
    <n v="4"/>
    <d v="2020-10-21T00:00:00"/>
    <n v="0"/>
    <s v="не защищена"/>
    <n v="500023"/>
    <x v="230"/>
    <n v="28"/>
    <s v="Подразделение28"/>
    <s v="подразделение_2_уровня28"/>
    <s v="подразделение_3_уровня28"/>
    <s v="руководитель_среднего_уровня_3"/>
    <n v="7"/>
    <s v="нет"/>
    <m/>
    <m/>
    <m/>
    <n v="228"/>
    <s v="Романов Никита Егорович"/>
    <n v="240"/>
    <s v="Аксенов Степан Егорович"/>
    <s v="линейный_руководитель_2"/>
    <s v="Подразделение28"/>
    <x v="1"/>
    <x v="0"/>
    <n v="0"/>
    <n v="0"/>
    <m/>
    <m/>
    <s v="повышение"/>
    <s v="протокол-№-08.11.2022"/>
  </r>
  <r>
    <s v="Функциональное направление 5"/>
    <n v="4"/>
    <d v="2020-10-21T00:00:00"/>
    <n v="0"/>
    <s v="не защищена"/>
    <n v="500023"/>
    <x v="230"/>
    <n v="28"/>
    <s v="Подразделение28"/>
    <s v="подразделение_2_уровня28"/>
    <s v="подразделение_3_уровня28"/>
    <s v="руководитель_среднего_уровня_3"/>
    <n v="7"/>
    <s v="нет"/>
    <m/>
    <m/>
    <m/>
    <n v="228"/>
    <s v="Романов Никита Егорович"/>
    <n v="1305"/>
    <s v="Федотов Афанасий Геннадьевич"/>
    <s v="линейный_руководитель_2"/>
    <s v="Подразделение28"/>
    <x v="1"/>
    <x v="2"/>
    <n v="0"/>
    <n v="0"/>
    <s v="прочее (смерть работника)"/>
    <d v="2022-10-06T00:00:00"/>
    <s v="не рассматривали"/>
    <s v="протокол-№-21.10.2020"/>
  </r>
  <r>
    <s v="Функциональное направление 5"/>
    <n v="4"/>
    <d v="2021-10-04T00:00:00"/>
    <n v="1"/>
    <s v="не защищена"/>
    <n v="500023"/>
    <x v="231"/>
    <n v="28"/>
    <s v="Подразделение28"/>
    <s v="подразделение_2_уровня28"/>
    <s v="подразделение_3_уровня28"/>
    <s v="руководитель_среднего_уровня_3"/>
    <n v="7"/>
    <s v="да"/>
    <d v="2022-02-21T00:00:00"/>
    <d v="2022-03-14T00:00:00"/>
    <s v="из резерва (учитываем)"/>
    <n v="229"/>
    <s v="Баранкин Степан Матвеевич"/>
    <n v="1307"/>
    <s v="Игнатьев Трофим Геннадьевич"/>
    <s v="Рабочий"/>
    <s v="Подразделение28"/>
    <x v="2"/>
    <x v="0"/>
    <n v="0"/>
    <n v="0"/>
    <m/>
    <m/>
    <s v="повышение"/>
    <s v="протокол-№-08.11.2022"/>
  </r>
  <r>
    <s v="Функциональное направление 5"/>
    <n v="4"/>
    <d v="2020-10-21T00:00:00"/>
    <n v="0"/>
    <s v="не защищена"/>
    <n v="500023"/>
    <x v="231"/>
    <n v="28"/>
    <s v="Подразделение28"/>
    <s v="подразделение_2_уровня28"/>
    <s v="подразделение_3_уровня28"/>
    <s v="руководитель_среднего_уровня_3"/>
    <n v="7"/>
    <s v="да"/>
    <d v="2022-02-21T00:00:00"/>
    <d v="2022-03-14T00:00:00"/>
    <s v="из резерва (учитываем)"/>
    <n v="229"/>
    <s v="Баранкин Степан Матвеевич"/>
    <n v="1308"/>
    <s v="Брежнев Арсений Александрович"/>
    <s v="Рабочий"/>
    <s v="Подразделение28"/>
    <x v="0"/>
    <x v="2"/>
    <n v="0"/>
    <n v="0"/>
    <s v="инициатива комитета / руководителя"/>
    <d v="2023-05-25T00:00:00"/>
    <s v="без изменений"/>
    <s v="протокол-№-08.11.2022"/>
  </r>
  <r>
    <s v="Функциональное направление 5"/>
    <n v="4"/>
    <d v="2020-10-21T00:00:00"/>
    <n v="0"/>
    <s v="не защищена"/>
    <n v="500023"/>
    <x v="231"/>
    <n v="28"/>
    <s v="Подразделение28"/>
    <s v="подразделение_2_уровня28"/>
    <s v="подразделение_3_уровня28"/>
    <s v="руководитель_среднего_уровня_3"/>
    <n v="7"/>
    <s v="да"/>
    <d v="2022-02-21T00:00:00"/>
    <d v="2022-03-14T00:00:00"/>
    <s v="из резерва (учитываем)"/>
    <n v="229"/>
    <s v="Баранкин Степан Матвеевич"/>
    <n v="240"/>
    <s v="Аксенов Степан Егорович"/>
    <s v="линейный_руководитель_2"/>
    <s v="Подразделение28"/>
    <x v="1"/>
    <x v="0"/>
    <n v="0"/>
    <n v="0"/>
    <m/>
    <m/>
    <s v="повышение"/>
    <s v="протокол-№-08.11.2022"/>
  </r>
  <r>
    <s v="Функциональное направление 5"/>
    <n v="4"/>
    <d v="2020-10-21T00:00:00"/>
    <n v="0"/>
    <s v="не защищена"/>
    <n v="500023"/>
    <x v="231"/>
    <n v="28"/>
    <s v="Подразделение28"/>
    <s v="подразделение_2_уровня28"/>
    <s v="подразделение_3_уровня28"/>
    <s v="руководитель_среднего_уровня_3"/>
    <n v="7"/>
    <s v="да"/>
    <d v="2022-02-21T00:00:00"/>
    <d v="2022-03-14T00:00:00"/>
    <s v="из резерва (учитываем)"/>
    <n v="229"/>
    <s v="Баранкин Степан Матвеевич"/>
    <n v="229"/>
    <s v="Баранкин Степан Матвеевич"/>
    <s v="линейный_руководитель_2"/>
    <s v="Подразделение28"/>
    <x v="0"/>
    <x v="1"/>
    <n v="1"/>
    <n v="1"/>
    <s v="назначение на целевую должность"/>
    <d v="2022-03-14T00:00:00"/>
    <s v="не рассматривали"/>
    <s v="протокол-№-21.10.2020"/>
  </r>
  <r>
    <s v="Функциональное направление 5"/>
    <n v="4"/>
    <d v="2020-10-21T00:00:00"/>
    <n v="0"/>
    <s v="не защищена"/>
    <n v="500023"/>
    <x v="231"/>
    <n v="28"/>
    <s v="Подразделение28"/>
    <s v="подразделение_2_уровня28"/>
    <s v="подразделение_3_уровня28"/>
    <s v="руководитель_среднего_уровня_3"/>
    <n v="7"/>
    <s v="да"/>
    <d v="2022-02-21T00:00:00"/>
    <d v="2022-03-14T00:00:00"/>
    <s v="из резерва (учитываем)"/>
    <n v="229"/>
    <s v="Баранкин Степан Матвеевич"/>
    <n v="1305"/>
    <s v="Федотов Афанасий Геннадьевич"/>
    <s v="линейный_руководитель_2"/>
    <s v="Подразделение28"/>
    <x v="1"/>
    <x v="2"/>
    <n v="0"/>
    <n v="0"/>
    <s v="прочее (смерть работника)"/>
    <d v="2022-10-06T00:00:00"/>
    <s v="не рассматривали"/>
    <s v="протокол-№-21.10.2020"/>
  </r>
  <r>
    <s v="Функциональное направление 5"/>
    <n v="3"/>
    <d v="2020-07-27T00:00:00"/>
    <n v="1"/>
    <s v="не защищена"/>
    <n v="500040"/>
    <x v="232"/>
    <n v="28"/>
    <s v="Подразделение28"/>
    <s v="подразделение_2_уровня28"/>
    <s v="-"/>
    <s v="руководитель_среднего_уровня_2"/>
    <n v="6"/>
    <s v="да"/>
    <d v="2020-12-22T00:00:00"/>
    <d v="2020-12-22T00:00:00"/>
    <s v="внутр. сотр. (учитываем)"/>
    <n v="230"/>
    <s v="Карасев Виталий Корнеевич"/>
    <n v="227"/>
    <s v="Аксенов Григорий Юрьевич"/>
    <s v="руководитель_среднего_уровня_3"/>
    <s v="Подразделение28"/>
    <x v="1"/>
    <x v="0"/>
    <n v="1"/>
    <n v="0"/>
    <m/>
    <m/>
    <s v="повышение"/>
    <s v="протокол-№-23.08.2022"/>
  </r>
  <r>
    <s v="Функциональное направление 5"/>
    <n v="3"/>
    <d v="2022-08-23T00:00:00"/>
    <n v="0"/>
    <s v="не защищена"/>
    <n v="500040"/>
    <x v="232"/>
    <n v="28"/>
    <s v="Подразделение28"/>
    <s v="подразделение_2_уровня28"/>
    <s v="-"/>
    <s v="руководитель_среднего_уровня_2"/>
    <n v="6"/>
    <s v="да"/>
    <d v="2020-12-22T00:00:00"/>
    <d v="2020-12-22T00:00:00"/>
    <s v="внутр. сотр. (учитываем)"/>
    <n v="230"/>
    <s v="Карасев Виталий Корнеевич"/>
    <n v="235"/>
    <s v="Бураков Степан Кириллович"/>
    <s v="линейный_руководитель_2"/>
    <s v="Подразделение28"/>
    <x v="2"/>
    <x v="0"/>
    <n v="1"/>
    <n v="0"/>
    <m/>
    <m/>
    <s v="не рассматривали"/>
    <s v="протокол-№-23.08.2022"/>
  </r>
  <r>
    <s v="Функциональное направление 5"/>
    <n v="4"/>
    <d v="2022-11-08T00:00:00"/>
    <n v="1"/>
    <s v="не защищена"/>
    <n v="500160"/>
    <x v="233"/>
    <n v="28"/>
    <s v="Подразделение28"/>
    <s v="подразделение_2_уровня28"/>
    <s v="-"/>
    <s v="линейный_руководитель_2"/>
    <n v="7"/>
    <s v="да"/>
    <d v="2021-09-14T00:00:00"/>
    <d v="2022-06-03T00:00:00"/>
    <s v="из резерва (учитываем)"/>
    <n v="231"/>
    <s v="Романов Корней Денисович"/>
    <n v="1309"/>
    <s v="Прохоров Захар Михайлович"/>
    <s v="Рабочий"/>
    <s v="Подразделение28"/>
    <x v="0"/>
    <x v="0"/>
    <n v="1"/>
    <n v="0"/>
    <m/>
    <m/>
    <s v="не рассматривали"/>
    <s v="протокол-№-08.11.2022"/>
  </r>
  <r>
    <s v="Функциональное направление 5"/>
    <n v="4"/>
    <d v="2021-10-04T00:00:00"/>
    <n v="0"/>
    <s v="не защищена"/>
    <n v="500160"/>
    <x v="233"/>
    <n v="28"/>
    <s v="Подразделение28"/>
    <s v="подразделение_2_уровня28"/>
    <s v="-"/>
    <s v="линейный_руководитель_2"/>
    <n v="7"/>
    <s v="да"/>
    <d v="2021-09-14T00:00:00"/>
    <d v="2022-06-03T00:00:00"/>
    <s v="из резерва (учитываем)"/>
    <n v="231"/>
    <s v="Романов Корней Денисович"/>
    <n v="231"/>
    <s v="Романов Корней Денисович"/>
    <s v="Рабочий"/>
    <s v="Подразделение28"/>
    <x v="2"/>
    <x v="1"/>
    <n v="1"/>
    <n v="1"/>
    <s v="назначение на целевую должность"/>
    <d v="2022-06-03T00:00:00"/>
    <s v="не рассматривали"/>
    <s v="протокол-№-04.10.2021"/>
  </r>
  <r>
    <s v="Функциональное направление 5"/>
    <n v="4"/>
    <d v="2020-10-21T00:00:00"/>
    <n v="0"/>
    <s v="не защищена"/>
    <n v="500160"/>
    <x v="233"/>
    <n v="28"/>
    <s v="Подразделение28"/>
    <s v="подразделение_2_уровня28"/>
    <s v="-"/>
    <s v="линейный_руководитель_2"/>
    <n v="7"/>
    <s v="да"/>
    <d v="2021-09-14T00:00:00"/>
    <d v="2022-06-03T00:00:00"/>
    <s v="из резерва (учитываем)"/>
    <n v="231"/>
    <s v="Романов Корней Денисович"/>
    <n v="1307"/>
    <s v="Игнатьев Трофим Геннадьевич"/>
    <s v="Рабочий"/>
    <s v="Подразделение28"/>
    <x v="0"/>
    <x v="2"/>
    <n v="1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1-10-04T00:00:00"/>
    <n v="1"/>
    <s v="не защищена"/>
    <n v="500186"/>
    <x v="23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14T00:00:00"/>
    <d v="2022-03-14T00:00:00"/>
    <s v="ротация (не учитываем)"/>
    <n v="232"/>
    <s v="Зверев Петр Ильич"/>
    <n v="1307"/>
    <s v="Игнатьев Трофим Геннадьевич"/>
    <s v="Рабочий"/>
    <s v="Подразделение28"/>
    <x v="2"/>
    <x v="0"/>
    <n v="1"/>
    <n v="0"/>
    <m/>
    <m/>
    <s v="без изменений"/>
    <s v="протокол-№-08.11.2022"/>
  </r>
  <r>
    <s v="Функциональное направление 5"/>
    <n v="4"/>
    <d v="2020-10-21T00:00:00"/>
    <n v="0"/>
    <s v="не защищена"/>
    <n v="500186"/>
    <x v="23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14T00:00:00"/>
    <d v="2022-03-14T00:00:00"/>
    <s v="ротация (не учитываем)"/>
    <n v="232"/>
    <s v="Зверев Петр Ильич"/>
    <n v="1310"/>
    <s v="Дорофеев Арсений Игнатович"/>
    <s v="Рабочий"/>
    <s v="Подразделение28"/>
    <x v="2"/>
    <x v="0"/>
    <n v="1"/>
    <n v="0"/>
    <m/>
    <m/>
    <s v="без изменений"/>
    <s v="протокол-№-08.11.2022"/>
  </r>
  <r>
    <s v="Функциональное направление 5"/>
    <n v="4"/>
    <d v="2020-10-21T00:00:00"/>
    <n v="0"/>
    <s v="не защищена"/>
    <n v="500186"/>
    <x v="23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14T00:00:00"/>
    <d v="2022-03-14T00:00:00"/>
    <s v="ротация (не учитываем)"/>
    <n v="232"/>
    <s v="Зверев Петр Ильич"/>
    <n v="1311"/>
    <s v="Семенов Юрий Михайлович"/>
    <s v="Рабочий"/>
    <s v="Подразделение28"/>
    <x v="0"/>
    <x v="0"/>
    <n v="1"/>
    <n v="0"/>
    <m/>
    <m/>
    <s v="без изменений"/>
    <s v="протокол-№-08.11.2022"/>
  </r>
  <r>
    <s v="Функциональное направление 5"/>
    <n v="4"/>
    <d v="2021-10-04T00:00:00"/>
    <n v="1"/>
    <s v="не защищена"/>
    <n v="500186"/>
    <x v="235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1307"/>
    <s v="Игнатьев Трофим Геннадьевич"/>
    <s v="Рабочий"/>
    <s v="Подразделение28"/>
    <x v="2"/>
    <x v="0"/>
    <n v="0"/>
    <n v="0"/>
    <m/>
    <m/>
    <s v="без изменений"/>
    <s v="протокол-№-08.11.2022"/>
  </r>
  <r>
    <s v="Функциональное направление 5"/>
    <n v="4"/>
    <d v="2020-10-21T00:00:00"/>
    <n v="0"/>
    <s v="не защищена"/>
    <n v="500186"/>
    <x v="235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1310"/>
    <s v="Дорофеев Арсений Игнатович"/>
    <s v="Рабочий"/>
    <s v="Подразделение28"/>
    <x v="2"/>
    <x v="0"/>
    <n v="0"/>
    <n v="0"/>
    <m/>
    <m/>
    <s v="без изменений"/>
    <s v="протокол-№-08.11.2022"/>
  </r>
  <r>
    <s v="Функциональное направление 5"/>
    <n v="4"/>
    <d v="2020-10-21T00:00:00"/>
    <n v="0"/>
    <s v="не защищена"/>
    <n v="500186"/>
    <x v="235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1311"/>
    <s v="Семенов Юрий Михайлович"/>
    <s v="Рабочий"/>
    <s v="Подразделение28"/>
    <x v="0"/>
    <x v="0"/>
    <n v="0"/>
    <n v="0"/>
    <m/>
    <m/>
    <s v="без изменений"/>
    <s v="протокол-№-08.11.2022"/>
  </r>
  <r>
    <s v="Функциональное направление 5"/>
    <n v="4"/>
    <d v="2021-10-04T00:00:00"/>
    <n v="1"/>
    <s v="не защищена"/>
    <n v="500186"/>
    <x v="236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1307"/>
    <s v="Игнатьев Трофим Геннадьевич"/>
    <s v="Рабочий"/>
    <s v="Подразделение28"/>
    <x v="2"/>
    <x v="0"/>
    <n v="0"/>
    <n v="0"/>
    <m/>
    <m/>
    <s v="без изменений"/>
    <s v="протокол-№-08.11.2022"/>
  </r>
  <r>
    <s v="Функциональное направление 5"/>
    <n v="4"/>
    <d v="2020-10-21T00:00:00"/>
    <n v="0"/>
    <s v="не защищена"/>
    <n v="500186"/>
    <x v="236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1310"/>
    <s v="Дорофеев Арсений Игнатович"/>
    <s v="Рабочий"/>
    <s v="Подразделение28"/>
    <x v="2"/>
    <x v="0"/>
    <n v="0"/>
    <n v="0"/>
    <m/>
    <m/>
    <s v="без изменений"/>
    <s v="протокол-№-08.11.2022"/>
  </r>
  <r>
    <s v="Функциональное направление 5"/>
    <n v="4"/>
    <d v="2020-10-21T00:00:00"/>
    <n v="0"/>
    <s v="не защищена"/>
    <n v="500186"/>
    <x v="236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1311"/>
    <s v="Семенов Юрий Михайлович"/>
    <s v="Рабочий"/>
    <s v="Подразделение28"/>
    <x v="0"/>
    <x v="0"/>
    <n v="0"/>
    <n v="0"/>
    <m/>
    <m/>
    <s v="без изменений"/>
    <s v="протокол-№-08.11.2022"/>
  </r>
  <r>
    <s v="Функциональное направление 5"/>
    <n v="4"/>
    <d v="2022-11-08T00:00:00"/>
    <n v="1"/>
    <s v="не защищена"/>
    <n v="500213"/>
    <x v="237"/>
    <n v="28"/>
    <s v="Подразделение28"/>
    <s v="подразделение_2_уровня28"/>
    <s v="-"/>
    <s v="линейный_руководитель_1"/>
    <n v="7"/>
    <s v="нет"/>
    <m/>
    <m/>
    <m/>
    <n v="233"/>
    <s v="Сысоев Петр Иванович"/>
    <n v="1312"/>
    <s v="Брежнев Савелий Александрович"/>
    <s v="Рабочий"/>
    <s v="Подразделение28"/>
    <x v="2"/>
    <x v="0"/>
    <n v="1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37"/>
    <n v="28"/>
    <s v="Подразделение28"/>
    <s v="подразделение_2_уровня28"/>
    <s v="-"/>
    <s v="линейный_руководитель_1"/>
    <n v="7"/>
    <s v="нет"/>
    <m/>
    <m/>
    <m/>
    <n v="233"/>
    <s v="Сысоев Петр Иванович"/>
    <n v="1313"/>
    <s v="Дорофеев Трофим Александрович"/>
    <s v="Рабочий"/>
    <s v="Подразделение28"/>
    <x v="1"/>
    <x v="0"/>
    <n v="1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37"/>
    <n v="28"/>
    <s v="Подразделение28"/>
    <s v="подразделение_2_уровня28"/>
    <s v="-"/>
    <s v="линейный_руководитель_1"/>
    <n v="7"/>
    <s v="нет"/>
    <m/>
    <m/>
    <m/>
    <n v="233"/>
    <s v="Сысоев Петр Иванович"/>
    <n v="1314"/>
    <s v="Игнатьев Кирилл Богданович"/>
    <s v="Рабочий"/>
    <s v="Подразделение28"/>
    <x v="2"/>
    <x v="0"/>
    <n v="1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37"/>
    <n v="28"/>
    <s v="Подразделение28"/>
    <s v="подразделение_2_уровня28"/>
    <s v="-"/>
    <s v="линейный_руководитель_1"/>
    <n v="7"/>
    <s v="нет"/>
    <m/>
    <m/>
    <m/>
    <n v="233"/>
    <s v="Сысоев Петр Иванович"/>
    <n v="1315"/>
    <s v="Игнатьев Геннадий Кондратьевич"/>
    <s v="Рабочий"/>
    <s v="Подразделение28"/>
    <x v="1"/>
    <x v="0"/>
    <n v="1"/>
    <n v="0"/>
    <m/>
    <m/>
    <s v="не рассматривали"/>
    <s v="протокол-№-08.11.2022"/>
  </r>
  <r>
    <s v="Функциональное направление 5"/>
    <n v="4"/>
    <d v="2020-10-21T00:00:00"/>
    <n v="0"/>
    <s v="не защищена"/>
    <n v="500213"/>
    <x v="237"/>
    <n v="28"/>
    <s v="Подразделение28"/>
    <s v="подразделение_2_уровня28"/>
    <s v="-"/>
    <s v="линейный_руководитель_1"/>
    <n v="7"/>
    <s v="нет"/>
    <m/>
    <m/>
    <m/>
    <n v="233"/>
    <s v="Сысоев Петр Иванович"/>
    <n v="244"/>
    <s v="Макаров Вадим Иванович"/>
    <s v="Рабочий"/>
    <s v="Подразделение28"/>
    <x v="0"/>
    <x v="2"/>
    <n v="1"/>
    <n v="0"/>
    <s v="назначение на равнозначную должность"/>
    <d v="2022-06-14T00:00:00"/>
    <s v="не рассматривали"/>
    <s v="протокол-№-21.10.2020"/>
  </r>
  <r>
    <s v="Функциональное направление 5"/>
    <n v="4"/>
    <d v="2022-11-08T00:00:00"/>
    <n v="1"/>
    <s v="не защищена"/>
    <n v="500213"/>
    <x v="238"/>
    <n v="28"/>
    <s v="Подразделение28"/>
    <s v="подразделение_2_уровня28"/>
    <s v="-"/>
    <s v="линейный_руководитель_1"/>
    <n v="7"/>
    <s v="нет"/>
    <m/>
    <m/>
    <m/>
    <n v="234"/>
    <s v="Нырков Данил Романович"/>
    <n v="1312"/>
    <s v="Брежнев Савелий Александр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38"/>
    <n v="28"/>
    <s v="Подразделение28"/>
    <s v="подразделение_2_уровня28"/>
    <s v="-"/>
    <s v="линейный_руководитель_1"/>
    <n v="7"/>
    <s v="нет"/>
    <m/>
    <m/>
    <m/>
    <n v="234"/>
    <s v="Нырков Данил Романович"/>
    <n v="1313"/>
    <s v="Дорофеев Трофим Александрович"/>
    <s v="Рабочий"/>
    <s v="Подразделение28"/>
    <x v="1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38"/>
    <n v="28"/>
    <s v="Подразделение28"/>
    <s v="подразделение_2_уровня28"/>
    <s v="-"/>
    <s v="линейный_руководитель_1"/>
    <n v="7"/>
    <s v="нет"/>
    <m/>
    <m/>
    <m/>
    <n v="234"/>
    <s v="Нырков Данил Романович"/>
    <n v="1314"/>
    <s v="Игнатьев Кирилл Богдан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38"/>
    <n v="28"/>
    <s v="Подразделение28"/>
    <s v="подразделение_2_уровня28"/>
    <s v="-"/>
    <s v="линейный_руководитель_1"/>
    <n v="7"/>
    <s v="нет"/>
    <m/>
    <m/>
    <m/>
    <n v="234"/>
    <s v="Нырков Данил Романович"/>
    <n v="1315"/>
    <s v="Игнатьев Геннадий Кондратьевич"/>
    <s v="Рабочий"/>
    <s v="Подразделение28"/>
    <x v="1"/>
    <x v="0"/>
    <n v="0"/>
    <n v="0"/>
    <m/>
    <m/>
    <s v="не рассматривали"/>
    <s v="протокол-№-08.11.2022"/>
  </r>
  <r>
    <s v="Функциональное направление 5"/>
    <n v="4"/>
    <d v="2020-10-21T00:00:00"/>
    <n v="0"/>
    <s v="не защищена"/>
    <n v="500213"/>
    <x v="238"/>
    <n v="28"/>
    <s v="Подразделение28"/>
    <s v="подразделение_2_уровня28"/>
    <s v="-"/>
    <s v="линейный_руководитель_1"/>
    <n v="7"/>
    <s v="нет"/>
    <m/>
    <m/>
    <m/>
    <n v="234"/>
    <s v="Нырков Данил Романович"/>
    <n v="244"/>
    <s v="Макаров Вадим Иванович"/>
    <s v="Рабочий"/>
    <s v="Подразделение28"/>
    <x v="0"/>
    <x v="2"/>
    <n v="0"/>
    <n v="0"/>
    <s v="назначение на равнозначную должность"/>
    <d v="2022-06-14T00:00:00"/>
    <s v="не рассматривали"/>
    <s v="протокол-№-21.10.2020"/>
  </r>
  <r>
    <s v="Функциональное направление 5"/>
    <n v="4"/>
    <d v="2022-11-08T00:00:00"/>
    <n v="1"/>
    <s v="не защищена"/>
    <n v="500213"/>
    <x v="239"/>
    <n v="28"/>
    <s v="Подразделение28"/>
    <s v="подразделение_2_уровня28"/>
    <s v="-"/>
    <s v="линейный_руководитель_1"/>
    <n v="7"/>
    <s v="нет"/>
    <m/>
    <m/>
    <m/>
    <n v="235"/>
    <s v="Бураков Степан Кириллович"/>
    <n v="1312"/>
    <s v="Брежнев Савелий Александр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39"/>
    <n v="28"/>
    <s v="Подразделение28"/>
    <s v="подразделение_2_уровня28"/>
    <s v="-"/>
    <s v="линейный_руководитель_1"/>
    <n v="7"/>
    <s v="нет"/>
    <m/>
    <m/>
    <m/>
    <n v="235"/>
    <s v="Бураков Степан Кириллович"/>
    <n v="1313"/>
    <s v="Дорофеев Трофим Александрович"/>
    <s v="Рабочий"/>
    <s v="Подразделение28"/>
    <x v="1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39"/>
    <n v="28"/>
    <s v="Подразделение28"/>
    <s v="подразделение_2_уровня28"/>
    <s v="-"/>
    <s v="линейный_руководитель_1"/>
    <n v="7"/>
    <s v="нет"/>
    <m/>
    <m/>
    <m/>
    <n v="235"/>
    <s v="Бураков Степан Кириллович"/>
    <n v="1314"/>
    <s v="Игнатьев Кирилл Богдан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39"/>
    <n v="28"/>
    <s v="Подразделение28"/>
    <s v="подразделение_2_уровня28"/>
    <s v="-"/>
    <s v="линейный_руководитель_1"/>
    <n v="7"/>
    <s v="нет"/>
    <m/>
    <m/>
    <m/>
    <n v="235"/>
    <s v="Бураков Степан Кириллович"/>
    <n v="1315"/>
    <s v="Игнатьев Геннадий Кондратьевич"/>
    <s v="Рабочий"/>
    <s v="Подразделение28"/>
    <x v="1"/>
    <x v="0"/>
    <n v="0"/>
    <n v="0"/>
    <m/>
    <m/>
    <s v="не рассматривали"/>
    <s v="протокол-№-08.11.2022"/>
  </r>
  <r>
    <s v="Функциональное направление 5"/>
    <n v="4"/>
    <d v="2020-10-21T00:00:00"/>
    <n v="0"/>
    <s v="не защищена"/>
    <n v="500213"/>
    <x v="239"/>
    <n v="28"/>
    <s v="Подразделение28"/>
    <s v="подразделение_2_уровня28"/>
    <s v="-"/>
    <s v="линейный_руководитель_1"/>
    <n v="7"/>
    <s v="нет"/>
    <m/>
    <m/>
    <m/>
    <n v="235"/>
    <s v="Бураков Степан Кириллович"/>
    <n v="244"/>
    <s v="Макаров Вадим Иванович"/>
    <s v="Рабочий"/>
    <s v="Подразделение28"/>
    <x v="0"/>
    <x v="2"/>
    <n v="0"/>
    <n v="0"/>
    <s v="назначение на равнозначную должность"/>
    <d v="2022-06-14T00:00:00"/>
    <s v="не рассматривали"/>
    <s v="протокол-№-21.10.2020"/>
  </r>
  <r>
    <s v="Функциональное направление 5"/>
    <n v="4"/>
    <d v="2022-11-08T00:00:00"/>
    <n v="1"/>
    <s v="не защищена"/>
    <n v="500213"/>
    <x v="240"/>
    <n v="28"/>
    <s v="Подразделение28"/>
    <s v="подразделение_2_уровня28"/>
    <s v="-"/>
    <s v="линейный_руководитель_1"/>
    <n v="7"/>
    <s v="нет"/>
    <m/>
    <m/>
    <m/>
    <n v="236"/>
    <s v="Волков Потап Денисович"/>
    <n v="1312"/>
    <s v="Брежнев Савелий Александр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40"/>
    <n v="28"/>
    <s v="Подразделение28"/>
    <s v="подразделение_2_уровня28"/>
    <s v="-"/>
    <s v="линейный_руководитель_1"/>
    <n v="7"/>
    <s v="нет"/>
    <m/>
    <m/>
    <m/>
    <n v="236"/>
    <s v="Волков Потап Денисович"/>
    <n v="1313"/>
    <s v="Дорофеев Трофим Александрович"/>
    <s v="Рабочий"/>
    <s v="Подразделение28"/>
    <x v="1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40"/>
    <n v="28"/>
    <s v="Подразделение28"/>
    <s v="подразделение_2_уровня28"/>
    <s v="-"/>
    <s v="линейный_руководитель_1"/>
    <n v="7"/>
    <s v="нет"/>
    <m/>
    <m/>
    <m/>
    <n v="236"/>
    <s v="Волков Потап Денисович"/>
    <n v="1314"/>
    <s v="Игнатьев Кирилл Богдан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13"/>
    <x v="240"/>
    <n v="28"/>
    <s v="Подразделение28"/>
    <s v="подразделение_2_уровня28"/>
    <s v="-"/>
    <s v="линейный_руководитель_1"/>
    <n v="7"/>
    <s v="нет"/>
    <m/>
    <m/>
    <m/>
    <n v="236"/>
    <s v="Волков Потап Денисович"/>
    <n v="1315"/>
    <s v="Игнатьев Геннадий Кондратьевич"/>
    <s v="Рабочий"/>
    <s v="Подразделение28"/>
    <x v="1"/>
    <x v="0"/>
    <n v="0"/>
    <n v="0"/>
    <m/>
    <m/>
    <s v="не рассматривали"/>
    <s v="протокол-№-08.11.2022"/>
  </r>
  <r>
    <s v="Функциональное направление 5"/>
    <n v="4"/>
    <d v="2020-10-21T00:00:00"/>
    <n v="0"/>
    <s v="не защищена"/>
    <n v="500213"/>
    <x v="240"/>
    <n v="28"/>
    <s v="Подразделение28"/>
    <s v="подразделение_2_уровня28"/>
    <s v="-"/>
    <s v="линейный_руководитель_1"/>
    <n v="7"/>
    <s v="нет"/>
    <m/>
    <m/>
    <m/>
    <n v="236"/>
    <s v="Волков Потап Денисович"/>
    <n v="244"/>
    <s v="Макаров Вадим Иванович"/>
    <s v="Рабочий"/>
    <s v="Подразделение28"/>
    <x v="0"/>
    <x v="2"/>
    <n v="0"/>
    <n v="0"/>
    <s v="назначение на равнозначную должность"/>
    <d v="2022-06-14T00:00:00"/>
    <s v="не рассматривали"/>
    <s v="протокол-№-21.10.2020"/>
  </r>
  <r>
    <s v="Функциональное направление 5"/>
    <n v="4"/>
    <d v="2022-11-08T00:00:00"/>
    <n v="1"/>
    <s v="не защищена"/>
    <n v="500216"/>
    <x v="241"/>
    <n v="28"/>
    <s v="Подразделение28"/>
    <s v="подразделение_2_уровня28"/>
    <s v="-"/>
    <s v="линейный_руководитель_2"/>
    <n v="7"/>
    <s v="да"/>
    <d v="2022-05-01T00:00:00"/>
    <d v="2022-12-15T00:00:00"/>
    <s v="из резерва (учитываем)"/>
    <n v="237"/>
    <s v="Макаров Корней Лаврович"/>
    <n v="237"/>
    <s v="Макаров Корней Лаврович"/>
    <s v="линейный_руководитель_1"/>
    <s v="Подразделение28"/>
    <x v="1"/>
    <x v="1"/>
    <n v="1"/>
    <n v="1"/>
    <s v="назначение на целевую должность"/>
    <d v="2022-12-15T00:00:00"/>
    <s v="не рассматривали"/>
    <s v="протокол-№-08.11.2022"/>
  </r>
  <r>
    <s v="Функциональное направление 5"/>
    <n v="4"/>
    <d v="2022-11-08T00:00:00"/>
    <n v="1"/>
    <s v="не защищена"/>
    <n v="500217"/>
    <x v="242"/>
    <n v="28"/>
    <s v="Подразделение28"/>
    <s v="подразделение_2_уровня28"/>
    <s v="подразделение_3_уровня28"/>
    <s v="линейный_руководитель_2"/>
    <n v="7"/>
    <s v="нет"/>
    <m/>
    <m/>
    <m/>
    <n v="238"/>
    <s v="Ярославов Корней Юрьевич"/>
    <n v="1316"/>
    <s v="Игнатьев Савелий Кондратьевич"/>
    <s v="Рабочий"/>
    <s v="Подразделение28"/>
    <x v="2"/>
    <x v="0"/>
    <n v="1"/>
    <n v="0"/>
    <m/>
    <m/>
    <s v="не рассматривали"/>
    <s v="протокол-№-08.11.2022"/>
  </r>
  <r>
    <s v="Функциональное направление 5"/>
    <n v="4"/>
    <d v="2020-10-21T00:00:00"/>
    <n v="0"/>
    <s v="не защищена"/>
    <n v="500217"/>
    <x v="242"/>
    <n v="28"/>
    <s v="Подразделение28"/>
    <s v="подразделение_2_уровня28"/>
    <s v="подразделение_3_уровня28"/>
    <s v="линейный_руководитель_2"/>
    <n v="7"/>
    <s v="нет"/>
    <m/>
    <m/>
    <m/>
    <n v="238"/>
    <s v="Ярославов Корней Юрьевич"/>
    <n v="237"/>
    <s v="Макаров Корней Лаврович"/>
    <s v="линейный_руководитель_2"/>
    <s v="Подразделение28"/>
    <x v="1"/>
    <x v="2"/>
    <n v="0"/>
    <n v="0"/>
    <s v="назначение на равнозначную должность"/>
    <d v="2021-07-09T00:00:00"/>
    <s v="не рассматривали"/>
    <s v="протокол-№-21.10.2020"/>
  </r>
  <r>
    <s v="Функциональное направление 5"/>
    <n v="4"/>
    <d v="2022-11-08T00:00:00"/>
    <n v="1"/>
    <s v="не защищена"/>
    <n v="500222"/>
    <x v="243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39"/>
    <s v="Баранкин Емельян Константинович"/>
    <n v="1317"/>
    <s v="Гуськов Роман Герасимович"/>
    <s v="Рабочий"/>
    <s v="Подразделение28"/>
    <x v="0"/>
    <x v="0"/>
    <n v="1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22"/>
    <x v="243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39"/>
    <s v="Баранкин Емельян Константинович"/>
    <n v="1318"/>
    <s v="Коровкин Виталий Владиславович"/>
    <s v="Рабочий"/>
    <s v="Подразделение28"/>
    <x v="2"/>
    <x v="2"/>
    <n v="1"/>
    <n v="0"/>
    <s v="инициатива комитета / руководителя"/>
    <d v="2023-05-25T00:00:00"/>
    <s v="исключение"/>
    <s v="протокол-№-08.11.2022-ДОП"/>
  </r>
  <r>
    <s v="Функциональное направление 5"/>
    <n v="4"/>
    <d v="2022-11-08T00:00:00"/>
    <n v="0"/>
    <s v="не защищена"/>
    <n v="500222"/>
    <x v="243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39"/>
    <s v="Баранкин Емельян Константинович"/>
    <n v="241"/>
    <s v="Баранкин Емельян Кондратьевич"/>
    <s v="Рабочий"/>
    <s v="Подразделение28"/>
    <x v="1"/>
    <x v="1"/>
    <n v="1"/>
    <n v="0"/>
    <s v="назначение на целевую должность"/>
    <d v="2022-12-15T00:00:00"/>
    <s v="не рассматривали"/>
    <s v="протокол-№-08.11.2022"/>
  </r>
  <r>
    <s v="Функциональное направление 5"/>
    <n v="4"/>
    <d v="2022-11-08T00:00:00"/>
    <n v="1"/>
    <s v="не защищена"/>
    <n v="500222"/>
    <x v="24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1317"/>
    <s v="Гуськов Роман Герасимович"/>
    <s v="Рабочий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22"/>
    <x v="24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1318"/>
    <s v="Коровкин Виталий Владиславович"/>
    <s v="Рабочий"/>
    <s v="Подразделение28"/>
    <x v="2"/>
    <x v="2"/>
    <n v="0"/>
    <n v="0"/>
    <s v="инициатива комитета / руководителя"/>
    <d v="2023-05-25T00:00:00"/>
    <s v="исключение"/>
    <s v="протокол-№-08.11.2022-ДОП"/>
  </r>
  <r>
    <s v="Функциональное направление 5"/>
    <n v="4"/>
    <d v="2021-04-05T00:00:00"/>
    <n v="0"/>
    <s v="не защищена"/>
    <n v="500222"/>
    <x v="24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237"/>
    <s v="Макаров Корней Лаврович"/>
    <s v="Рабочий"/>
    <s v="Подразделение28"/>
    <x v="1"/>
    <x v="1"/>
    <n v="1"/>
    <n v="0"/>
    <s v="назначение на целевую должность"/>
    <d v="2021-04-20T00:00:00"/>
    <s v="не рассматривали"/>
    <s v="протокол-№-05.04.2021"/>
  </r>
  <r>
    <s v="Функциональное направление 5"/>
    <n v="4"/>
    <d v="2022-11-08T00:00:00"/>
    <n v="0"/>
    <s v="не защищена"/>
    <n v="500222"/>
    <x v="24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241"/>
    <s v="Баранкин Емельян Кондратьевич"/>
    <s v="Рабочий"/>
    <s v="Подразделение28"/>
    <x v="1"/>
    <x v="1"/>
    <n v="0"/>
    <n v="0"/>
    <s v="назначение на целевую должность"/>
    <d v="2022-12-15T00:00:00"/>
    <s v="не рассматривали"/>
    <s v="протокол-№-08.11.2022"/>
  </r>
  <r>
    <s v="Функциональное направление 5"/>
    <n v="4"/>
    <d v="2021-10-04T00:00:00"/>
    <n v="1"/>
    <s v="не защищена"/>
    <n v="500023"/>
    <x v="245"/>
    <n v="28"/>
    <s v="Подразделение28"/>
    <s v="подразделение_2_уровня28"/>
    <s v="подразделение_3_уровня28"/>
    <s v="руководитель_среднего_уровня_3"/>
    <n v="7"/>
    <s v="да"/>
    <d v="2022-12-15T00:00:00"/>
    <m/>
    <m/>
    <s v="вакансия"/>
    <s v="вакансия"/>
    <n v="1307"/>
    <s v="Игнатьев Трофим Геннадьевич"/>
    <s v="Рабочий"/>
    <s v="Подразделение28"/>
    <x v="0"/>
    <x v="0"/>
    <n v="0"/>
    <n v="0"/>
    <m/>
    <m/>
    <s v="повышение"/>
    <s v="протокол-№-08.11.2022"/>
  </r>
  <r>
    <s v="Функциональное направление 5"/>
    <n v="4"/>
    <d v="2020-10-21T00:00:00"/>
    <n v="0"/>
    <s v="не защищена"/>
    <n v="500023"/>
    <x v="245"/>
    <n v="28"/>
    <s v="Подразделение28"/>
    <s v="подразделение_2_уровня28"/>
    <s v="подразделение_3_уровня28"/>
    <s v="руководитель_среднего_уровня_3"/>
    <n v="7"/>
    <s v="да"/>
    <d v="2022-12-15T00:00:00"/>
    <m/>
    <m/>
    <s v="вакансия"/>
    <s v="вакансия"/>
    <n v="1308"/>
    <s v="Брежнев Арсений Александрович"/>
    <s v="Рабочий"/>
    <s v="Подразделение28"/>
    <x v="0"/>
    <x v="2"/>
    <n v="0"/>
    <n v="0"/>
    <s v="инициатива комитета / руководителя"/>
    <d v="2023-05-25T00:00:00"/>
    <s v="без изменений"/>
    <s v="протокол-№-08.11.2022"/>
  </r>
  <r>
    <s v="Функциональное направление 5"/>
    <n v="4"/>
    <d v="2020-10-21T00:00:00"/>
    <n v="0"/>
    <s v="не защищена"/>
    <n v="500023"/>
    <x v="245"/>
    <n v="28"/>
    <s v="Подразделение28"/>
    <s v="подразделение_2_уровня28"/>
    <s v="подразделение_3_уровня28"/>
    <s v="руководитель_среднего_уровня_3"/>
    <n v="7"/>
    <s v="да"/>
    <d v="2022-12-15T00:00:00"/>
    <m/>
    <m/>
    <s v="вакансия"/>
    <s v="вакансия"/>
    <n v="240"/>
    <s v="Аксенов Степан Егорович"/>
    <s v="линейный_руководитель_2"/>
    <s v="Подразделение28"/>
    <x v="1"/>
    <x v="0"/>
    <n v="0"/>
    <n v="0"/>
    <m/>
    <m/>
    <s v="повышение"/>
    <s v="протокол-№-08.11.2022"/>
  </r>
  <r>
    <s v="Функциональное направление 5"/>
    <n v="4"/>
    <d v="2020-10-21T00:00:00"/>
    <n v="0"/>
    <s v="не защищена"/>
    <n v="500023"/>
    <x v="245"/>
    <n v="28"/>
    <s v="Подразделение28"/>
    <s v="подразделение_2_уровня28"/>
    <s v="подразделение_3_уровня28"/>
    <s v="руководитель_среднего_уровня_3"/>
    <n v="7"/>
    <s v="да"/>
    <d v="2022-12-15T00:00:00"/>
    <m/>
    <m/>
    <s v="вакансия"/>
    <s v="вакансия"/>
    <n v="1305"/>
    <s v="Федотов Афанасий Геннадьевич"/>
    <s v="линейный_руководитель_2"/>
    <s v="Подразделение28"/>
    <x v="1"/>
    <x v="2"/>
    <n v="0"/>
    <n v="0"/>
    <s v="прочее (смерть работника)"/>
    <d v="2022-10-06T00:00:00"/>
    <s v="не рассматривали"/>
    <s v="протокол-№-21.10.2020"/>
  </r>
  <r>
    <s v="Функциональное направление 5"/>
    <n v="4"/>
    <d v="2021-10-04T00:00:00"/>
    <n v="1"/>
    <s v="не защищена"/>
    <n v="500186"/>
    <x v="246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0"/>
    <s v="Аксенов Степан Егорович"/>
    <n v="1307"/>
    <s v="Игнатьев Трофим Геннадьевич"/>
    <s v="Рабочий"/>
    <s v="Подразделение28"/>
    <x v="2"/>
    <x v="0"/>
    <n v="0"/>
    <n v="0"/>
    <m/>
    <m/>
    <s v="без изменений"/>
    <s v="протокол-№-08.11.2022"/>
  </r>
  <r>
    <s v="Функциональное направление 5"/>
    <n v="4"/>
    <d v="2020-10-21T00:00:00"/>
    <n v="0"/>
    <s v="не защищена"/>
    <n v="500186"/>
    <x v="246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0"/>
    <s v="Аксенов Степан Егорович"/>
    <n v="1310"/>
    <s v="Дорофеев Арсений Игнатович"/>
    <s v="Рабочий"/>
    <s v="Подразделение28"/>
    <x v="2"/>
    <x v="0"/>
    <n v="0"/>
    <n v="0"/>
    <m/>
    <m/>
    <s v="без изменений"/>
    <s v="протокол-№-08.11.2022"/>
  </r>
  <r>
    <s v="Функциональное направление 5"/>
    <n v="4"/>
    <d v="2020-10-21T00:00:00"/>
    <n v="0"/>
    <s v="не защищена"/>
    <n v="500186"/>
    <x v="246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0"/>
    <s v="вакансия"/>
    <n v="1311"/>
    <s v="Семенов Юрий Михайлович"/>
    <s v="Рабочий"/>
    <s v="Подразделение28"/>
    <x v="0"/>
    <x v="0"/>
    <n v="0"/>
    <n v="0"/>
    <m/>
    <m/>
    <s v="без изменений"/>
    <s v="протокол-№-08.11.2022"/>
  </r>
  <r>
    <s v="Функциональное направление 5"/>
    <n v="4"/>
    <d v="2022-11-08T00:00:00"/>
    <n v="1"/>
    <s v="не защищена"/>
    <n v="500222"/>
    <x v="247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1317"/>
    <s v="Гуськов Роман Герасимович"/>
    <s v="Рабочий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22"/>
    <x v="247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1318"/>
    <s v="Коровкин Виталий Владиславович"/>
    <s v="Рабочий"/>
    <s v="Подразделение28"/>
    <x v="2"/>
    <x v="2"/>
    <n v="0"/>
    <n v="0"/>
    <s v="инициатива комитета / руководителя"/>
    <d v="2023-05-25T00:00:00"/>
    <s v="исключение"/>
    <s v="протокол-№-08.11.2022-ДОП"/>
  </r>
  <r>
    <s v="Функциональное направление 5"/>
    <n v="4"/>
    <d v="2022-11-08T00:00:00"/>
    <n v="0"/>
    <s v="не защищена"/>
    <n v="500222"/>
    <x v="247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241"/>
    <s v="Баранкин Емельян Кондратьевич"/>
    <s v="Рабочий"/>
    <s v="Подразделение28"/>
    <x v="1"/>
    <x v="1"/>
    <n v="0"/>
    <n v="0"/>
    <s v="назначение на целевую должность"/>
    <d v="2022-12-15T00:00:00"/>
    <s v="не рассматривали"/>
    <s v="протокол-№-08.11.2022"/>
  </r>
  <r>
    <s v="Функциональное направление 5"/>
    <n v="4"/>
    <d v="2022-11-08T00:00:00"/>
    <n v="1"/>
    <s v="не защищена"/>
    <n v="500222"/>
    <x v="248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d v="2022-12-15T00:00:00"/>
    <s v="из резерва (учитываем)"/>
    <n v="241"/>
    <s v="Баранкин Емельян Кондратьевич"/>
    <n v="1317"/>
    <s v="Гуськов Роман Герасимович"/>
    <s v="Рабочий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222"/>
    <x v="248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d v="2022-12-15T00:00:00"/>
    <s v="из резерва (учитываем)"/>
    <n v="241"/>
    <s v="Баранкин Емельян Кондратьевич"/>
    <n v="1318"/>
    <s v="Коровкин Виталий Владиславович"/>
    <s v="Рабочий"/>
    <s v="Подразделение28"/>
    <x v="2"/>
    <x v="2"/>
    <n v="0"/>
    <n v="0"/>
    <s v="инициатива комитета / руководителя"/>
    <d v="2023-05-25T00:00:00"/>
    <s v="исключение"/>
    <s v="протокол-№-08.11.2022-ДОП"/>
  </r>
  <r>
    <s v="Функциональное направление 5"/>
    <n v="4"/>
    <d v="2022-11-08T00:00:00"/>
    <n v="0"/>
    <s v="не защищена"/>
    <n v="500222"/>
    <x v="248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d v="2022-12-15T00:00:00"/>
    <s v="из резерва (учитываем)"/>
    <n v="241"/>
    <s v="Баранкин Емельян Кондратьевич"/>
    <n v="241"/>
    <s v="Баранкин Емельян Кондратьевич"/>
    <s v="Рабочий"/>
    <s v="Подразделение28"/>
    <x v="1"/>
    <x v="1"/>
    <n v="0"/>
    <n v="1"/>
    <s v="назначение на целевую должность"/>
    <d v="2022-12-15T00:00:00"/>
    <s v="не рассматривали"/>
    <s v="протокол-№-08.11.2022"/>
  </r>
  <r>
    <s v="Функциональное направление 5"/>
    <n v="4"/>
    <d v="2022-11-08T00:00:00"/>
    <n v="1"/>
    <s v="не защищена"/>
    <n v="500570"/>
    <x v="249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2"/>
    <s v="Никитин Данил Федотович"/>
    <n v="1319"/>
    <s v="Дмитриев Геннадий Герасимович"/>
    <s v="Рабочий"/>
    <s v="Подразделение28"/>
    <x v="2"/>
    <x v="0"/>
    <n v="1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49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2"/>
    <s v="Никитин Данил Федотович"/>
    <n v="1320"/>
    <s v="Незнамов Константин Михайлович"/>
    <s v="Рабочий"/>
    <s v="Подразделение28"/>
    <x v="0"/>
    <x v="0"/>
    <n v="1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49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2"/>
    <s v="Никитин Данил Федотович"/>
    <n v="1321"/>
    <s v="Дорофеев Глеб Константинович"/>
    <s v="Рабочий"/>
    <s v="Подразделение28"/>
    <x v="0"/>
    <x v="0"/>
    <n v="1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49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2"/>
    <s v="Никитин Данил Федотович"/>
    <n v="1322"/>
    <s v="Кириллов Роман Тарасович"/>
    <s v="Рабочий"/>
    <s v="Подразделение28"/>
    <x v="2"/>
    <x v="0"/>
    <n v="1"/>
    <n v="0"/>
    <m/>
    <m/>
    <s v="не рассматривали"/>
    <s v="протокол-№-08.11.2022"/>
  </r>
  <r>
    <s v="Функциональное направление 5"/>
    <n v="4"/>
    <d v="2020-10-21T00:00:00"/>
    <n v="0"/>
    <s v="не защищена"/>
    <n v="500570"/>
    <x v="249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2"/>
    <s v="Никитин Данил Федотович"/>
    <n v="244"/>
    <s v="Макаров Вадим Иванович"/>
    <s v="Рабочий"/>
    <s v="Подразделение28"/>
    <x v="0"/>
    <x v="1"/>
    <n v="0"/>
    <n v="0"/>
    <s v="назначение на целевую должность"/>
    <d v="2022-06-14T00:00:00"/>
    <s v="не рассматривали"/>
    <s v="протокол-№-21.10.2020"/>
  </r>
  <r>
    <s v="Функциональное направление 5"/>
    <n v="4"/>
    <d v="2022-11-08T00:00:00"/>
    <n v="1"/>
    <s v="не защищена"/>
    <n v="500570"/>
    <x v="250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3"/>
    <s v="Бураков Еремей Кириллович"/>
    <n v="1319"/>
    <s v="Дмитриев Геннадий Герасим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50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3"/>
    <s v="Бураков Еремей Кириллович"/>
    <n v="1320"/>
    <s v="Незнамов Константин Михайлович"/>
    <s v="Рабочий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50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3"/>
    <s v="Бураков Еремей Кириллович"/>
    <n v="1321"/>
    <s v="Дорофеев Глеб Константинович"/>
    <s v="Рабочий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50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3"/>
    <s v="Бураков Еремей Кириллович"/>
    <n v="1322"/>
    <s v="Кириллов Роман Тарас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0-10-21T00:00:00"/>
    <n v="0"/>
    <s v="не защищена"/>
    <n v="500570"/>
    <x v="250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3"/>
    <s v="Бураков Еремей Кириллович"/>
    <n v="244"/>
    <s v="Макаров Вадим Иванович"/>
    <s v="Рабочий"/>
    <s v="Подразделение28"/>
    <x v="0"/>
    <x v="1"/>
    <n v="0"/>
    <n v="0"/>
    <s v="назначение на целевую должность"/>
    <d v="2022-06-14T00:00:00"/>
    <s v="не рассматривали"/>
    <s v="протокол-№-21.10.2020"/>
  </r>
  <r>
    <s v="Функциональное направление 5"/>
    <n v="4"/>
    <d v="2022-11-08T00:00:00"/>
    <n v="1"/>
    <s v="не защищена"/>
    <n v="500570"/>
    <x v="251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5-01T00:00:00"/>
    <d v="2022-06-14T00:00:00"/>
    <s v="из резерва (учитываем)"/>
    <n v="244"/>
    <s v="Макаров Вадим Иванович"/>
    <n v="1319"/>
    <s v="Дмитриев Геннадий Герасим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51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5-01T00:00:00"/>
    <d v="2022-06-14T00:00:00"/>
    <s v="из резерва (учитываем)"/>
    <n v="244"/>
    <s v="Макаров Вадим Иванович"/>
    <n v="1320"/>
    <s v="Незнамов Константин Михайлович"/>
    <s v="Рабочий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51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5-01T00:00:00"/>
    <d v="2022-06-14T00:00:00"/>
    <s v="из резерва (учитываем)"/>
    <n v="244"/>
    <s v="Макаров Вадим Иванович"/>
    <n v="1321"/>
    <s v="Дорофеев Глеб Константинович"/>
    <s v="Рабочий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51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5-01T00:00:00"/>
    <d v="2022-06-14T00:00:00"/>
    <s v="из резерва (учитываем)"/>
    <n v="244"/>
    <s v="Макаров Вадим Иванович"/>
    <n v="1322"/>
    <s v="Кириллов Роман Тарас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0-10-21T00:00:00"/>
    <n v="0"/>
    <s v="не защищена"/>
    <n v="500570"/>
    <x v="251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5-01T00:00:00"/>
    <d v="2022-06-14T00:00:00"/>
    <s v="из резерва (учитываем)"/>
    <n v="244"/>
    <s v="Макаров Вадим Иванович"/>
    <n v="244"/>
    <s v="Макаров Вадим Иванович"/>
    <s v="Рабочий"/>
    <s v="Подразделение28"/>
    <x v="0"/>
    <x v="1"/>
    <n v="0"/>
    <n v="1"/>
    <s v="назначение на целевую должность"/>
    <d v="2022-06-14T00:00:00"/>
    <s v="не рассматривали"/>
    <s v="протокол-№-21.10.2020"/>
  </r>
  <r>
    <s v="Функциональное направление 5"/>
    <n v="4"/>
    <d v="2022-11-08T00:00:00"/>
    <n v="1"/>
    <s v="не защищена"/>
    <n v="500570"/>
    <x v="252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5"/>
    <s v="Зверев Емельян Егорович"/>
    <n v="1319"/>
    <s v="Дмитриев Геннадий Герасим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52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5"/>
    <s v="Зверев Емельян Егорович"/>
    <n v="1320"/>
    <s v="Незнамов Константин Михайлович"/>
    <s v="Рабочий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52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5"/>
    <s v="Зверев Емельян Егорович"/>
    <n v="1321"/>
    <s v="Дорофеев Глеб Константинович"/>
    <s v="Рабочий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5"/>
    <n v="4"/>
    <d v="2022-11-08T00:00:00"/>
    <n v="0"/>
    <s v="не защищена"/>
    <n v="500570"/>
    <x v="252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5"/>
    <s v="Зверев Емельян Егорович"/>
    <n v="1322"/>
    <s v="Кириллов Роман Тарасович"/>
    <s v="Рабочий"/>
    <s v="Подразделение28"/>
    <x v="2"/>
    <x v="0"/>
    <n v="0"/>
    <n v="0"/>
    <m/>
    <m/>
    <s v="не рассматривали"/>
    <s v="протокол-№-08.11.2022"/>
  </r>
  <r>
    <s v="Функциональное направление 5"/>
    <n v="4"/>
    <d v="2020-10-21T00:00:00"/>
    <n v="0"/>
    <s v="не защищена"/>
    <n v="500570"/>
    <x v="252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5"/>
    <s v="Зверев Емельян Егорович"/>
    <n v="244"/>
    <s v="Макаров Вадим Иванович"/>
    <s v="Рабочий"/>
    <s v="Подразделение28"/>
    <x v="0"/>
    <x v="1"/>
    <n v="0"/>
    <n v="0"/>
    <s v="назначение на целевую должность"/>
    <d v="2022-06-14T00:00:00"/>
    <s v="не рассматривали"/>
    <s v="протокол-№-21.10.2020"/>
  </r>
  <r>
    <s v="Функциональное направление 5"/>
    <n v="3"/>
    <d v="2019-04-02T00:00:00"/>
    <n v="1"/>
    <s v="не защищена"/>
    <n v="500578"/>
    <x v="253"/>
    <n v="337"/>
    <s v="Подразделение337"/>
    <s v="-"/>
    <s v="-"/>
    <s v="ТОП_руководитель_2"/>
    <n v="5"/>
    <s v="нет"/>
    <m/>
    <m/>
    <m/>
    <n v="246"/>
    <s v="Михайлов Григорий Корнеевич"/>
    <n v="1323"/>
    <s v="Игнатьев Виталий Михайлович"/>
    <s v="функциональный_руководитель_1"/>
    <s v="Подразделение337"/>
    <x v="0"/>
    <x v="0"/>
    <n v="1"/>
    <n v="0"/>
    <m/>
    <m/>
    <s v="без изменений"/>
    <s v="протокол-№-24.05.2021"/>
  </r>
  <r>
    <s v="Функциональное направление 5"/>
    <n v="3"/>
    <d v="2019-04-02T00:00:00"/>
    <n v="0"/>
    <s v="не защищена"/>
    <n v="500578"/>
    <x v="253"/>
    <n v="337"/>
    <s v="Подразделение337"/>
    <s v="-"/>
    <s v="-"/>
    <s v="ТОП_руководитель_2"/>
    <n v="5"/>
    <s v="нет"/>
    <m/>
    <m/>
    <m/>
    <n v="246"/>
    <s v="Михайлов Григорий Корнеевич"/>
    <n v="247"/>
    <s v="Пальчиков Корней Кондратьевич"/>
    <s v="линейный_руководитель_3"/>
    <s v="Подразделение337"/>
    <x v="0"/>
    <x v="0"/>
    <n v="1"/>
    <n v="0"/>
    <m/>
    <m/>
    <s v="без изменений"/>
    <s v="протокол-№-24.05.2021"/>
  </r>
  <r>
    <s v="Функциональное направление 5"/>
    <n v="3"/>
    <d v="2019-11-07T00:00:00"/>
    <n v="1"/>
    <s v="не защищена"/>
    <n v="500579"/>
    <x v="254"/>
    <n v="337"/>
    <s v="Подразделение337"/>
    <s v="подразделение_2_уровня337"/>
    <s v="-"/>
    <s v="линейный_руководитель_3"/>
    <n v="6"/>
    <s v="нет"/>
    <m/>
    <m/>
    <m/>
    <n v="247"/>
    <s v="Пальчиков Корней Кондратьевич"/>
    <n v="250"/>
    <s v="Ярославов Венедикт Кондратьевич"/>
    <s v="линейный_руководитель_2"/>
    <s v="Подразделение337"/>
    <x v="1"/>
    <x v="0"/>
    <n v="1"/>
    <n v="0"/>
    <m/>
    <m/>
    <s v="повышение"/>
    <s v="протокол-№-23.08.2022"/>
  </r>
  <r>
    <s v="Функциональное направление 5"/>
    <n v="3"/>
    <d v="2018-11-22T00:00:00"/>
    <n v="0"/>
    <s v="не защищена"/>
    <n v="500579"/>
    <x v="254"/>
    <n v="337"/>
    <s v="Подразделение337"/>
    <s v="подразделение_2_уровня337"/>
    <s v="-"/>
    <s v="линейный_руководитель_3"/>
    <n v="6"/>
    <s v="нет"/>
    <m/>
    <m/>
    <m/>
    <n v="247"/>
    <s v="Пальчиков Корней Кондратьевич"/>
    <n v="249"/>
    <s v="Поминов Александр Тимофеевич"/>
    <s v="линейный_руководитель_2"/>
    <s v="Подразделение337"/>
    <x v="0"/>
    <x v="0"/>
    <n v="1"/>
    <n v="0"/>
    <m/>
    <m/>
    <s v="без изменений"/>
    <s v="протокол-№-23.08.2022"/>
  </r>
  <r>
    <s v="Функциональное направление 5"/>
    <n v="4"/>
    <d v="2020-11-06T00:00:00"/>
    <n v="1"/>
    <s v="не защищена"/>
    <n v="500580"/>
    <x v="255"/>
    <n v="337"/>
    <s v="Подразделение337"/>
    <s v="подразделение_2_уровня337"/>
    <s v="-"/>
    <s v="линейный_руководитель_1"/>
    <n v="6"/>
    <s v="нет"/>
    <m/>
    <m/>
    <m/>
    <n v="248"/>
    <s v="Аксенов Емельян Артемович"/>
    <n v="1324"/>
    <s v="Карасев Роман Герасимович"/>
    <s v="Рабочий"/>
    <s v="Подразделение337"/>
    <x v="1"/>
    <x v="0"/>
    <n v="1"/>
    <n v="0"/>
    <m/>
    <m/>
    <s v="повышение"/>
    <s v="протокол-№-16.11.2022"/>
  </r>
  <r>
    <s v="Функциональное направление 5"/>
    <n v="4"/>
    <d v="2022-11-16T00:00:00"/>
    <n v="0"/>
    <s v="не защищена"/>
    <n v="500580"/>
    <x v="255"/>
    <n v="337"/>
    <s v="Подразделение337"/>
    <s v="подразделение_2_уровня337"/>
    <s v="-"/>
    <s v="линейный_руководитель_1"/>
    <n v="6"/>
    <s v="нет"/>
    <m/>
    <m/>
    <m/>
    <n v="248"/>
    <s v="Аксенов Емельян Артемович"/>
    <n v="1325"/>
    <s v="Незнамов Глеб Кузьмич"/>
    <s v="Рабочий"/>
    <s v="Подразделение337"/>
    <x v="2"/>
    <x v="0"/>
    <n v="1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5"/>
    <n v="337"/>
    <s v="Подразделение337"/>
    <s v="подразделение_2_уровня337"/>
    <s v="-"/>
    <s v="линейный_руководитель_1"/>
    <n v="6"/>
    <s v="нет"/>
    <m/>
    <m/>
    <m/>
    <n v="248"/>
    <s v="Аксенов Емельян Артемович"/>
    <n v="1326"/>
    <s v="Дорофеев Кирилл Климович"/>
    <s v="Рабочий"/>
    <s v="Подразделение337"/>
    <x v="2"/>
    <x v="0"/>
    <n v="1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5"/>
    <n v="337"/>
    <s v="Подразделение337"/>
    <s v="подразделение_2_уровня337"/>
    <s v="-"/>
    <s v="линейный_руководитель_1"/>
    <n v="6"/>
    <s v="нет"/>
    <m/>
    <m/>
    <m/>
    <n v="248"/>
    <s v="Аксенов Емельян Артемович"/>
    <n v="1327"/>
    <s v="Игорев Арсений Богданович"/>
    <s v="Рабочий"/>
    <s v="Подразделение337"/>
    <x v="2"/>
    <x v="0"/>
    <n v="1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5"/>
    <n v="337"/>
    <s v="Подразделение337"/>
    <s v="подразделение_2_уровня337"/>
    <s v="-"/>
    <s v="линейный_руководитель_1"/>
    <n v="6"/>
    <s v="нет"/>
    <m/>
    <m/>
    <m/>
    <n v="248"/>
    <s v="Аксенов Емельян Артемович"/>
    <n v="1328"/>
    <s v="Игнатьев Юрий Климович"/>
    <s v="Рабочий"/>
    <s v="Подразделение337"/>
    <x v="2"/>
    <x v="0"/>
    <n v="1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5"/>
    <n v="337"/>
    <s v="Подразделение337"/>
    <s v="подразделение_2_уровня337"/>
    <s v="-"/>
    <s v="линейный_руководитель_1"/>
    <n v="6"/>
    <s v="нет"/>
    <m/>
    <m/>
    <m/>
    <n v="248"/>
    <s v="Аксенов Емельян Артемович"/>
    <n v="1329"/>
    <s v="Федотов Трофим Семенович"/>
    <s v="Рабочий"/>
    <s v="Подразделение337"/>
    <x v="2"/>
    <x v="0"/>
    <n v="1"/>
    <n v="0"/>
    <m/>
    <m/>
    <s v="не рассматривали"/>
    <s v="протокол-№-16.11.2022"/>
  </r>
  <r>
    <s v="Функциональное направление 5"/>
    <n v="4"/>
    <d v="2019-12-09T00:00:00"/>
    <n v="0"/>
    <s v="не защищена"/>
    <n v="500580"/>
    <x v="255"/>
    <n v="337"/>
    <s v="Подразделение337"/>
    <s v="подразделение_2_уровня337"/>
    <s v="-"/>
    <s v="линейный_руководитель_1"/>
    <n v="6"/>
    <s v="нет"/>
    <m/>
    <m/>
    <m/>
    <n v="248"/>
    <s v="Аксенов Емельян Артемович"/>
    <n v="1330"/>
    <s v="Коростелев Роман Ефремович"/>
    <s v="Рабочий"/>
    <s v="Подразделение337"/>
    <x v="1"/>
    <x v="2"/>
    <n v="1"/>
    <n v="0"/>
    <s v="увольнение"/>
    <d v="2022-10-08T00:00:00"/>
    <s v="повышение"/>
    <s v="протокол-№-25.10.2021"/>
  </r>
  <r>
    <s v="Функциональное направление 5"/>
    <n v="4"/>
    <d v="2020-11-06T00:00:00"/>
    <n v="0"/>
    <s v="не защищена"/>
    <n v="500580"/>
    <x v="255"/>
    <n v="337"/>
    <s v="Подразделение337"/>
    <s v="подразделение_2_уровня337"/>
    <s v="-"/>
    <s v="линейный_руководитель_1"/>
    <n v="6"/>
    <s v="нет"/>
    <m/>
    <m/>
    <m/>
    <n v="248"/>
    <s v="Аксенов Емельян Артемович"/>
    <n v="1331"/>
    <s v="Тимофеев Виталий Кондратьевич"/>
    <s v="Рабочий"/>
    <s v="Подразделение337"/>
    <x v="2"/>
    <x v="2"/>
    <n v="1"/>
    <n v="0"/>
    <s v="увольнение"/>
    <d v="2021-11-14T00:00:00"/>
    <s v="без изменений"/>
    <s v="протокол-№-25.10.2021"/>
  </r>
  <r>
    <s v="Функциональное направление 5"/>
    <n v="4"/>
    <d v="2022-11-16T00:00:00"/>
    <n v="0"/>
    <s v="не защищена"/>
    <n v="500580"/>
    <x v="255"/>
    <n v="337"/>
    <s v="Подразделение337"/>
    <s v="подразделение_2_уровня337"/>
    <s v="-"/>
    <s v="линейный_руководитель_1"/>
    <n v="6"/>
    <s v="нет"/>
    <m/>
    <m/>
    <m/>
    <n v="248"/>
    <s v="Аксенов Емельян Артемович"/>
    <n v="1332"/>
    <s v="Степанов Виталий Богданович"/>
    <s v="Рабочий"/>
    <s v="Подразделение337"/>
    <x v="2"/>
    <x v="2"/>
    <n v="1"/>
    <n v="0"/>
    <s v="увольнение"/>
    <d v="2022-12-21T00:00:00"/>
    <s v="не рассматривали"/>
    <s v="протокол-№-16.11.2022"/>
  </r>
  <r>
    <s v="Функциональное направление 5"/>
    <n v="4"/>
    <d v="2020-11-06T00:00:00"/>
    <n v="1"/>
    <s v="не защищена"/>
    <n v="500580"/>
    <x v="256"/>
    <n v="337"/>
    <s v="Подразделение337"/>
    <s v="подразделение_2_уровня337"/>
    <s v="-"/>
    <s v="линейный_руководитель_1"/>
    <n v="6"/>
    <s v="нет"/>
    <m/>
    <m/>
    <m/>
    <n v="249"/>
    <s v="Поминов Александр Тимофеевич"/>
    <n v="1324"/>
    <s v="Карасев Роман Герасимович"/>
    <s v="Рабочий"/>
    <s v="Подразделение337"/>
    <x v="1"/>
    <x v="0"/>
    <n v="0"/>
    <n v="0"/>
    <m/>
    <m/>
    <s v="повышение"/>
    <s v="протокол-№-16.11.2022"/>
  </r>
  <r>
    <s v="Функциональное направление 5"/>
    <n v="4"/>
    <d v="2022-11-16T00:00:00"/>
    <n v="0"/>
    <s v="не защищена"/>
    <n v="500580"/>
    <x v="256"/>
    <n v="337"/>
    <s v="Подразделение337"/>
    <s v="подразделение_2_уровня337"/>
    <s v="-"/>
    <s v="линейный_руководитель_1"/>
    <n v="6"/>
    <s v="нет"/>
    <m/>
    <m/>
    <m/>
    <n v="249"/>
    <s v="Поминов Александр Тимофеевич"/>
    <n v="1325"/>
    <s v="Незнамов Глеб Кузьм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6"/>
    <n v="337"/>
    <s v="Подразделение337"/>
    <s v="подразделение_2_уровня337"/>
    <s v="-"/>
    <s v="линейный_руководитель_1"/>
    <n v="6"/>
    <s v="нет"/>
    <m/>
    <m/>
    <m/>
    <n v="249"/>
    <s v="Поминов Александр Тимофеевич"/>
    <n v="1326"/>
    <s v="Дорофеев Кирилл Клим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6"/>
    <n v="337"/>
    <s v="Подразделение337"/>
    <s v="подразделение_2_уровня337"/>
    <s v="-"/>
    <s v="линейный_руководитель_1"/>
    <n v="6"/>
    <s v="нет"/>
    <m/>
    <m/>
    <m/>
    <n v="249"/>
    <s v="Поминов Александр Тимофеевич"/>
    <n v="1327"/>
    <s v="Игорев Арсений Богдан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6"/>
    <n v="337"/>
    <s v="Подразделение337"/>
    <s v="подразделение_2_уровня337"/>
    <s v="-"/>
    <s v="линейный_руководитель_1"/>
    <n v="6"/>
    <s v="нет"/>
    <m/>
    <m/>
    <m/>
    <n v="249"/>
    <s v="Поминов Александр Тимофеевич"/>
    <n v="1328"/>
    <s v="Игнатьев Юрий Клим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6"/>
    <n v="337"/>
    <s v="Подразделение337"/>
    <s v="подразделение_2_уровня337"/>
    <s v="-"/>
    <s v="линейный_руководитель_1"/>
    <n v="6"/>
    <s v="нет"/>
    <m/>
    <m/>
    <m/>
    <n v="249"/>
    <s v="Поминов Александр Тимофеевич"/>
    <n v="1329"/>
    <s v="Федотов Трофим Семен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19-12-09T00:00:00"/>
    <n v="0"/>
    <s v="не защищена"/>
    <n v="500580"/>
    <x v="256"/>
    <n v="337"/>
    <s v="Подразделение337"/>
    <s v="подразделение_2_уровня337"/>
    <s v="-"/>
    <s v="линейный_руководитель_1"/>
    <n v="6"/>
    <s v="нет"/>
    <m/>
    <m/>
    <m/>
    <n v="249"/>
    <s v="Поминов Александр Тимофеевич"/>
    <n v="1330"/>
    <s v="Коростелев Роман Ефремович"/>
    <s v="Рабочий"/>
    <s v="Подразделение337"/>
    <x v="1"/>
    <x v="2"/>
    <n v="0"/>
    <n v="0"/>
    <s v="увольнение"/>
    <d v="2022-10-08T00:00:00"/>
    <s v="повышение"/>
    <s v="протокол-№-25.10.2021"/>
  </r>
  <r>
    <s v="Функциональное направление 5"/>
    <n v="4"/>
    <d v="2020-11-06T00:00:00"/>
    <n v="0"/>
    <s v="не защищена"/>
    <n v="500580"/>
    <x v="256"/>
    <n v="337"/>
    <s v="Подразделение337"/>
    <s v="подразделение_2_уровня337"/>
    <s v="-"/>
    <s v="линейный_руководитель_1"/>
    <n v="6"/>
    <s v="нет"/>
    <m/>
    <m/>
    <m/>
    <n v="249"/>
    <s v="Поминов Александр Тимофеевич"/>
    <n v="1331"/>
    <s v="Тимофеев Виталий Кондратьевич"/>
    <s v="Рабочий"/>
    <s v="Подразделение337"/>
    <x v="2"/>
    <x v="2"/>
    <n v="0"/>
    <n v="0"/>
    <s v="увольнение"/>
    <d v="2021-11-14T00:00:00"/>
    <s v="без изменений"/>
    <s v="протокол-№-25.10.2021"/>
  </r>
  <r>
    <s v="Функциональное направление 5"/>
    <n v="4"/>
    <d v="2022-11-16T00:00:00"/>
    <n v="0"/>
    <s v="не защищена"/>
    <n v="500580"/>
    <x v="256"/>
    <n v="337"/>
    <s v="Подразделение337"/>
    <s v="подразделение_2_уровня337"/>
    <s v="-"/>
    <s v="линейный_руководитель_1"/>
    <n v="6"/>
    <s v="нет"/>
    <m/>
    <m/>
    <m/>
    <n v="249"/>
    <s v="Поминов Александр Тимофеевич"/>
    <n v="1332"/>
    <s v="Степанов Виталий Богданович"/>
    <s v="Рабочий"/>
    <s v="Подразделение337"/>
    <x v="2"/>
    <x v="2"/>
    <n v="0"/>
    <n v="0"/>
    <s v="увольнение"/>
    <d v="2022-12-21T00:00:00"/>
    <s v="не рассматривали"/>
    <s v="протокол-№-16.11.2022"/>
  </r>
  <r>
    <s v="Функциональное направление 5"/>
    <n v="4"/>
    <d v="2020-11-06T00:00:00"/>
    <n v="1"/>
    <s v="не защищена"/>
    <n v="500580"/>
    <x v="257"/>
    <n v="337"/>
    <s v="Подразделение337"/>
    <s v="подразделение_2_уровня337"/>
    <s v="-"/>
    <s v="линейный_руководитель_1"/>
    <n v="6"/>
    <s v="нет"/>
    <m/>
    <m/>
    <m/>
    <n v="250"/>
    <s v="Ярославов Венедикт Кондратьевич"/>
    <n v="1324"/>
    <s v="Карасев Роман Герасимович"/>
    <s v="Рабочий"/>
    <s v="Подразделение337"/>
    <x v="1"/>
    <x v="0"/>
    <n v="0"/>
    <n v="0"/>
    <m/>
    <m/>
    <s v="повышение"/>
    <s v="протокол-№-16.11.2022"/>
  </r>
  <r>
    <s v="Функциональное направление 5"/>
    <n v="4"/>
    <d v="2022-11-16T00:00:00"/>
    <n v="0"/>
    <s v="не защищена"/>
    <n v="500580"/>
    <x v="257"/>
    <n v="337"/>
    <s v="Подразделение337"/>
    <s v="подразделение_2_уровня337"/>
    <s v="-"/>
    <s v="линейный_руководитель_1"/>
    <n v="6"/>
    <s v="нет"/>
    <m/>
    <m/>
    <m/>
    <n v="250"/>
    <s v="Ярославов Венедикт Кондратьевич"/>
    <n v="1325"/>
    <s v="Незнамов Глеб Кузьм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7"/>
    <n v="337"/>
    <s v="Подразделение337"/>
    <s v="подразделение_2_уровня337"/>
    <s v="-"/>
    <s v="линейный_руководитель_1"/>
    <n v="6"/>
    <s v="нет"/>
    <m/>
    <m/>
    <m/>
    <n v="250"/>
    <s v="Ярославов Венедикт Кондратьевич"/>
    <n v="1326"/>
    <s v="Дорофеев Кирилл Клим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7"/>
    <n v="337"/>
    <s v="Подразделение337"/>
    <s v="подразделение_2_уровня337"/>
    <s v="-"/>
    <s v="линейный_руководитель_1"/>
    <n v="6"/>
    <s v="нет"/>
    <m/>
    <m/>
    <m/>
    <n v="250"/>
    <s v="Ярославов Венедикт Кондратьевич"/>
    <n v="1327"/>
    <s v="Игорев Арсений Богдан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7"/>
    <n v="337"/>
    <s v="Подразделение337"/>
    <s v="подразделение_2_уровня337"/>
    <s v="-"/>
    <s v="линейный_руководитель_1"/>
    <n v="6"/>
    <s v="нет"/>
    <m/>
    <m/>
    <m/>
    <n v="250"/>
    <s v="Ярославов Венедикт Кондратьевич"/>
    <n v="1328"/>
    <s v="Игнатьев Юрий Клим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7"/>
    <n v="337"/>
    <s v="Подразделение337"/>
    <s v="подразделение_2_уровня337"/>
    <s v="-"/>
    <s v="линейный_руководитель_1"/>
    <n v="6"/>
    <s v="нет"/>
    <m/>
    <m/>
    <m/>
    <n v="250"/>
    <s v="Ярославов Венедикт Кондратьевич"/>
    <n v="1329"/>
    <s v="Федотов Трофим Семен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0-11-06T00:00:00"/>
    <n v="0"/>
    <s v="не защищена"/>
    <n v="500580"/>
    <x v="257"/>
    <n v="337"/>
    <s v="Подразделение337"/>
    <s v="подразделение_2_уровня337"/>
    <s v="-"/>
    <s v="линейный_руководитель_1"/>
    <n v="6"/>
    <s v="нет"/>
    <m/>
    <m/>
    <m/>
    <n v="250"/>
    <s v="Ярославов Венедикт Кондратьевич"/>
    <n v="1331"/>
    <s v="Тимофеев Виталий Кондратьевич"/>
    <s v="Рабочий"/>
    <s v="Подразделение337"/>
    <x v="2"/>
    <x v="2"/>
    <n v="0"/>
    <n v="0"/>
    <s v="увольнение"/>
    <d v="2021-11-14T00:00:00"/>
    <s v="без изменений"/>
    <s v="протокол-№-25.10.2021"/>
  </r>
  <r>
    <s v="Функциональное направление 5"/>
    <n v="4"/>
    <d v="2020-11-06T00:00:00"/>
    <n v="0"/>
    <s v="не защищена"/>
    <n v="500580"/>
    <x v="257"/>
    <n v="337"/>
    <s v="Подразделение337"/>
    <s v="подразделение_2_уровня337"/>
    <s v="-"/>
    <s v="линейный_руководитель_1"/>
    <n v="6"/>
    <s v="нет"/>
    <m/>
    <m/>
    <m/>
    <n v="250"/>
    <s v="Ярославов Венедикт Кондратьевич"/>
    <n v="1330"/>
    <s v="Коростелев Роман Ефремович"/>
    <s v="Рабочий"/>
    <s v="Подразделение337"/>
    <x v="1"/>
    <x v="2"/>
    <n v="0"/>
    <n v="0"/>
    <s v="увольнение"/>
    <d v="2022-10-08T00:00:00"/>
    <s v="повышение"/>
    <s v="протокол-№-25.10.2021"/>
  </r>
  <r>
    <s v="Функциональное направление 5"/>
    <n v="4"/>
    <d v="2022-11-16T00:00:00"/>
    <n v="0"/>
    <s v="не защищена"/>
    <n v="500580"/>
    <x v="257"/>
    <n v="337"/>
    <s v="Подразделение337"/>
    <s v="подразделение_2_уровня337"/>
    <s v="-"/>
    <s v="линейный_руководитель_1"/>
    <n v="6"/>
    <s v="нет"/>
    <m/>
    <m/>
    <m/>
    <n v="250"/>
    <s v="Ярославов Венедикт Кондратьевич"/>
    <n v="1332"/>
    <s v="Степанов Виталий Богданович"/>
    <s v="Рабочий"/>
    <s v="Подразделение337"/>
    <x v="2"/>
    <x v="2"/>
    <n v="0"/>
    <n v="0"/>
    <s v="увольнение"/>
    <d v="2022-12-21T00:00:00"/>
    <s v="не рассматривали"/>
    <s v="протокол-№-16.11.2022"/>
  </r>
  <r>
    <s v="Функциональное направление 5"/>
    <n v="4"/>
    <d v="2020-11-06T00:00:00"/>
    <n v="1"/>
    <s v="не защищена"/>
    <n v="500580"/>
    <x v="258"/>
    <n v="337"/>
    <s v="Подразделение337"/>
    <s v="подразделение_2_уровня337"/>
    <s v="-"/>
    <s v="линейный_руководитель_1"/>
    <n v="6"/>
    <s v="нет"/>
    <m/>
    <m/>
    <m/>
    <n v="251"/>
    <s v="Баранкин Федот Юрьевич"/>
    <n v="1324"/>
    <s v="Карасев Роман Герасимович"/>
    <s v="Рабочий"/>
    <s v="Подразделение337"/>
    <x v="1"/>
    <x v="0"/>
    <n v="0"/>
    <n v="0"/>
    <m/>
    <m/>
    <s v="повышение"/>
    <s v="протокол-№-16.11.2022"/>
  </r>
  <r>
    <s v="Функциональное направление 5"/>
    <n v="4"/>
    <d v="2022-11-16T00:00:00"/>
    <n v="0"/>
    <s v="не защищена"/>
    <n v="500580"/>
    <x v="258"/>
    <n v="337"/>
    <s v="Подразделение337"/>
    <s v="подразделение_2_уровня337"/>
    <s v="-"/>
    <s v="линейный_руководитель_1"/>
    <n v="6"/>
    <s v="нет"/>
    <m/>
    <m/>
    <m/>
    <n v="251"/>
    <s v="Баранкин Федот Юрьевич"/>
    <n v="1325"/>
    <s v="Незнамов Глеб Кузьм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8"/>
    <n v="337"/>
    <s v="Подразделение337"/>
    <s v="подразделение_2_уровня337"/>
    <s v="-"/>
    <s v="линейный_руководитель_1"/>
    <n v="6"/>
    <s v="нет"/>
    <m/>
    <m/>
    <m/>
    <n v="251"/>
    <s v="Баранкин Федот Юрьевич"/>
    <n v="1326"/>
    <s v="Дорофеев Кирилл Клим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8"/>
    <n v="337"/>
    <s v="Подразделение337"/>
    <s v="подразделение_2_уровня337"/>
    <s v="-"/>
    <s v="линейный_руководитель_1"/>
    <n v="6"/>
    <s v="нет"/>
    <m/>
    <m/>
    <m/>
    <n v="251"/>
    <s v="Баранкин Федот Юрьевич"/>
    <n v="1327"/>
    <s v="Игорев Арсений Богдан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8"/>
    <n v="337"/>
    <s v="Подразделение337"/>
    <s v="подразделение_2_уровня337"/>
    <s v="-"/>
    <s v="линейный_руководитель_1"/>
    <n v="6"/>
    <s v="нет"/>
    <m/>
    <m/>
    <m/>
    <n v="251"/>
    <s v="Баранкин Федот Юрьевич"/>
    <n v="1328"/>
    <s v="Игнатьев Юрий Клим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2-11-16T00:00:00"/>
    <n v="0"/>
    <s v="не защищена"/>
    <n v="500580"/>
    <x v="258"/>
    <n v="337"/>
    <s v="Подразделение337"/>
    <s v="подразделение_2_уровня337"/>
    <s v="-"/>
    <s v="линейный_руководитель_1"/>
    <n v="6"/>
    <s v="нет"/>
    <m/>
    <m/>
    <m/>
    <n v="251"/>
    <s v="Баранкин Федот Юрьевич"/>
    <n v="1329"/>
    <s v="Федотов Трофим Семенович"/>
    <s v="Рабочий"/>
    <s v="Подразделение337"/>
    <x v="2"/>
    <x v="0"/>
    <n v="0"/>
    <n v="0"/>
    <m/>
    <m/>
    <s v="не рассматривали"/>
    <s v="протокол-№-16.11.2022"/>
  </r>
  <r>
    <s v="Функциональное направление 5"/>
    <n v="4"/>
    <d v="2020-11-06T00:00:00"/>
    <n v="0"/>
    <s v="не защищена"/>
    <n v="500580"/>
    <x v="258"/>
    <n v="337"/>
    <s v="Подразделение337"/>
    <s v="подразделение_2_уровня337"/>
    <s v="-"/>
    <s v="линейный_руководитель_1"/>
    <n v="6"/>
    <s v="нет"/>
    <m/>
    <m/>
    <m/>
    <n v="251"/>
    <s v="Баранкин Федот Юрьевич"/>
    <n v="1331"/>
    <s v="Тимофеев Виталий Кондратьевич"/>
    <s v="Рабочий"/>
    <s v="Подразделение337"/>
    <x v="2"/>
    <x v="2"/>
    <n v="0"/>
    <n v="0"/>
    <s v="увольнение"/>
    <d v="2021-11-14T00:00:00"/>
    <s v="без изменений"/>
    <s v="протокол-№-25.10.2021"/>
  </r>
  <r>
    <s v="Функциональное направление 5"/>
    <n v="4"/>
    <d v="2020-11-06T00:00:00"/>
    <n v="0"/>
    <s v="не защищена"/>
    <n v="500580"/>
    <x v="258"/>
    <n v="337"/>
    <s v="Подразделение337"/>
    <s v="подразделение_2_уровня337"/>
    <s v="-"/>
    <s v="линейный_руководитель_1"/>
    <n v="6"/>
    <s v="нет"/>
    <m/>
    <m/>
    <m/>
    <n v="251"/>
    <s v="Баранкин Федот Юрьевич"/>
    <n v="1330"/>
    <s v="Коростелев Роман Ефремович"/>
    <s v="Рабочий"/>
    <s v="Подразделение337"/>
    <x v="1"/>
    <x v="2"/>
    <n v="0"/>
    <n v="0"/>
    <s v="увольнение"/>
    <d v="2022-10-08T00:00:00"/>
    <s v="повышение"/>
    <s v="протокол-№-25.10.2021"/>
  </r>
  <r>
    <s v="Функциональное направление 5"/>
    <n v="4"/>
    <d v="2022-11-16T00:00:00"/>
    <n v="0"/>
    <s v="не защищена"/>
    <n v="500580"/>
    <x v="258"/>
    <n v="337"/>
    <s v="Подразделение337"/>
    <s v="подразделение_2_уровня337"/>
    <s v="-"/>
    <s v="линейный_руководитель_1"/>
    <n v="6"/>
    <s v="нет"/>
    <m/>
    <m/>
    <m/>
    <n v="251"/>
    <s v="Баранкин Федот Юрьевич"/>
    <n v="1332"/>
    <s v="Степанов Виталий Богданович"/>
    <s v="Рабочий"/>
    <s v="Подразделение337"/>
    <x v="2"/>
    <x v="2"/>
    <n v="0"/>
    <n v="0"/>
    <s v="увольнение"/>
    <d v="2022-12-21T00:00:00"/>
    <s v="не рассматривали"/>
    <s v="протокол-№-16.11.2022"/>
  </r>
  <r>
    <s v="Функциональное направление 5"/>
    <n v="2"/>
    <d v="2022-12-31T00:00:00"/>
    <n v="1"/>
    <s v="не защищена"/>
    <n v="500631"/>
    <x v="259"/>
    <n v="409"/>
    <s v="Подразделение409"/>
    <s v="-"/>
    <s v="-"/>
    <s v="ТОП_руководитель_1"/>
    <n v="3"/>
    <s v="да"/>
    <d v="2022-05-20T00:00:00"/>
    <d v="2022-09-06T00:00:00"/>
    <s v="внутр. сотр. (не учитываем)"/>
    <n v="252"/>
    <s v="Баранкин Константин Романович"/>
    <n v="253"/>
    <s v="Зверев Матвей Лаврович"/>
    <s v="ТОП_руководитель_2"/>
    <s v="Подразделение421"/>
    <x v="2"/>
    <x v="0"/>
    <n v="1"/>
    <n v="0"/>
    <m/>
    <m/>
    <s v="не рассматривали"/>
    <s v="протокол-№-17.01.2023"/>
  </r>
  <r>
    <s v="Функциональное направление 5"/>
    <n v="3"/>
    <d v="2022-08-23T00:00:00"/>
    <n v="1"/>
    <s v="не защищена"/>
    <n v="500682"/>
    <x v="260"/>
    <n v="421"/>
    <s v="Подразделение421"/>
    <s v="подразделение_2_уровня421"/>
    <s v="-"/>
    <s v="ТОП_руководитель_2"/>
    <n v="5"/>
    <s v="нет"/>
    <m/>
    <m/>
    <m/>
    <n v="253"/>
    <s v="Зверев Матвей Лаврович"/>
    <n v="254"/>
    <s v="Тихонов Григорий Александрович"/>
    <s v="руководитель_среднего_уровня_2"/>
    <s v="Подразделение421"/>
    <x v="0"/>
    <x v="0"/>
    <n v="1"/>
    <n v="0"/>
    <m/>
    <m/>
    <s v="не рассматривали"/>
    <s v="протокол-№-23.08.2022"/>
  </r>
  <r>
    <s v="Функциональное направление 5"/>
    <n v="3"/>
    <d v="2022-08-23T00:00:00"/>
    <n v="0"/>
    <s v="не защищена"/>
    <n v="500682"/>
    <x v="260"/>
    <n v="421"/>
    <s v="Подразделение421"/>
    <s v="подразделение_2_уровня421"/>
    <s v="-"/>
    <s v="ТОП_руководитель_2"/>
    <n v="5"/>
    <s v="нет"/>
    <m/>
    <m/>
    <m/>
    <n v="253"/>
    <s v="Зверев Матвей Лаврович"/>
    <n v="266"/>
    <s v="Пальчиков Корней Егорович"/>
    <s v="функциональный_руководитель_1"/>
    <s v="Подразделение421"/>
    <x v="0"/>
    <x v="0"/>
    <n v="1"/>
    <n v="0"/>
    <m/>
    <m/>
    <s v="не рассматривали"/>
    <s v="протокол-№-23.08.2022"/>
  </r>
  <r>
    <s v="Функциональное направление 5"/>
    <n v="3"/>
    <d v="2022-08-23T00:00:00"/>
    <n v="1"/>
    <s v="не защищена"/>
    <n v="500694"/>
    <x v="261"/>
    <n v="421"/>
    <s v="Подразделение421"/>
    <s v="подразделение_2_уровня421"/>
    <s v="-"/>
    <s v="руководитель_среднего_уровня_2"/>
    <n v="6"/>
    <s v="да"/>
    <d v="2022-05-01T00:00:00"/>
    <d v="2022-05-01T00:00:00"/>
    <s v="из резерва (учитываем)"/>
    <n v="254"/>
    <s v="Тихонов Григорий Александрович"/>
    <n v="257"/>
    <s v="Чистяков Григорий Денисович"/>
    <s v="линейный_руководитель_2"/>
    <s v="Подразделение421"/>
    <x v="1"/>
    <x v="0"/>
    <n v="1"/>
    <n v="0"/>
    <m/>
    <m/>
    <s v="не рассматривали"/>
    <s v="протокол-№-23.08.2022"/>
  </r>
  <r>
    <s v="Функциональное направление 5"/>
    <n v="3"/>
    <d v="2022-03-03T00:00:00"/>
    <n v="0"/>
    <s v="не защищена"/>
    <n v="500694"/>
    <x v="261"/>
    <n v="421"/>
    <s v="Подразделение421"/>
    <s v="подразделение_2_уровня421"/>
    <s v="-"/>
    <s v="руководитель_среднего_уровня_2"/>
    <n v="6"/>
    <s v="да"/>
    <d v="2022-05-01T00:00:00"/>
    <d v="2022-05-01T00:00:00"/>
    <s v="из резерва (учитываем)"/>
    <n v="254"/>
    <s v="Тихонов Григорий Александрович"/>
    <n v="254"/>
    <s v="Тихонов Григорий Александрович"/>
    <s v="руководитель_среднего_уровня_2"/>
    <s v="Подразделение421"/>
    <x v="1"/>
    <x v="1"/>
    <n v="1"/>
    <n v="1"/>
    <s v="назначение на целевую должность"/>
    <d v="2022-05-01T00:00:00"/>
    <s v="не рассматривали"/>
    <s v="протокол-№-03.03.2022"/>
  </r>
  <r>
    <s v="Функциональное направление 5"/>
    <n v="4"/>
    <d v="2022-11-01T00:00:00"/>
    <n v="1"/>
    <s v="не защищена"/>
    <n v="500688"/>
    <x v="262"/>
    <n v="421"/>
    <s v="Подразделение421"/>
    <s v="подразделение_2_уровня421"/>
    <s v="-"/>
    <s v="линейный_руководитель_1"/>
    <n v="7"/>
    <s v="да"/>
    <d v="2022-05-01T00:00:00"/>
    <d v="2022-05-01T00:00:00"/>
    <s v="реструктуризация (не учитываем)"/>
    <n v="255"/>
    <s v="Конеев Афанасий Егорович"/>
    <n v="1334"/>
    <s v="Кирюхин Виталий Владиславович"/>
    <s v="Рабочий"/>
    <s v="Подразделение421"/>
    <x v="0"/>
    <x v="0"/>
    <n v="1"/>
    <n v="0"/>
    <m/>
    <m/>
    <s v="не рассматривали"/>
    <s v="протокол-№-01.11.2022"/>
  </r>
  <r>
    <s v="Функциональное направление 5"/>
    <n v="4"/>
    <d v="2021-10-04T00:00:00"/>
    <n v="0"/>
    <s v="не защищена"/>
    <n v="500688"/>
    <x v="262"/>
    <n v="421"/>
    <s v="Подразделение421"/>
    <s v="подразделение_2_уровня421"/>
    <s v="-"/>
    <s v="линейный_руководитель_1"/>
    <n v="7"/>
    <s v="да"/>
    <d v="2022-05-01T00:00:00"/>
    <d v="2022-05-01T00:00:00"/>
    <s v="реструктуризация (не учитываем)"/>
    <n v="255"/>
    <s v="Конеев Афанасий Егорович"/>
    <n v="260"/>
    <s v="Русланов Лавр Юрьевич"/>
    <s v="Рабочий"/>
    <s v="Подразделение421"/>
    <x v="0"/>
    <x v="2"/>
    <n v="1"/>
    <n v="0"/>
    <s v="назначение на равнозначную должность"/>
    <d v="2022-05-01T00:00:00"/>
    <s v="не рассматривали"/>
    <s v="протокол-№-04.10.2021"/>
  </r>
  <r>
    <s v="Функциональное направление 5"/>
    <n v="4"/>
    <d v="2020-10-21T00:00:00"/>
    <n v="0"/>
    <s v="не защищена"/>
    <n v="500688"/>
    <x v="262"/>
    <n v="421"/>
    <s v="Подразделение421"/>
    <s v="подразделение_2_уровня421"/>
    <s v="-"/>
    <s v="линейный_руководитель_1"/>
    <n v="7"/>
    <s v="да"/>
    <d v="2022-05-01T00:00:00"/>
    <d v="2022-05-01T00:00:00"/>
    <s v="реструктуризация (не учитываем)"/>
    <n v="255"/>
    <s v="Конеев Афанасий Егорович"/>
    <n v="1335"/>
    <s v="Тимофеев Афанасий Климович"/>
    <s v="Рабочий"/>
    <s v="Подразделение421"/>
    <x v="0"/>
    <x v="2"/>
    <n v="1"/>
    <n v="0"/>
    <s v="увольнение"/>
    <d v="2021-08-06T00:00:00"/>
    <s v="не рассматривали"/>
    <s v="протокол-№-21.10.2020"/>
  </r>
  <r>
    <s v="Функциональное направление 5"/>
    <n v="4"/>
    <d v="2022-11-01T00:00:00"/>
    <n v="1"/>
    <s v="не защищена"/>
    <n v="500688"/>
    <x v="263"/>
    <n v="421"/>
    <s v="Подразделение421"/>
    <s v="подразделение_2_уровня421"/>
    <s v="-"/>
    <s v="линейный_руководитель_1"/>
    <n v="7"/>
    <s v="нет"/>
    <m/>
    <m/>
    <m/>
    <n v="256"/>
    <s v="Карасев Николай Федотович"/>
    <n v="1334"/>
    <s v="Кирюхин Виталий Владиславович"/>
    <s v="Рабочий"/>
    <s v="Подразделение421"/>
    <x v="0"/>
    <x v="0"/>
    <n v="0"/>
    <n v="0"/>
    <m/>
    <m/>
    <s v="не рассматривали"/>
    <s v="протокол-№-01.11.2022"/>
  </r>
  <r>
    <s v="Функциональное направление 5"/>
    <n v="4"/>
    <d v="2021-10-04T00:00:00"/>
    <n v="0"/>
    <s v="не защищена"/>
    <n v="500688"/>
    <x v="263"/>
    <n v="421"/>
    <s v="Подразделение421"/>
    <s v="подразделение_2_уровня421"/>
    <s v="-"/>
    <s v="линейный_руководитель_1"/>
    <n v="7"/>
    <s v="нет"/>
    <m/>
    <m/>
    <m/>
    <n v="256"/>
    <s v="Карасев Николай Федотович"/>
    <n v="260"/>
    <s v="Русланов Лавр Юрьевич"/>
    <s v="Рабочий"/>
    <s v="Подразделение421"/>
    <x v="0"/>
    <x v="2"/>
    <n v="0"/>
    <n v="0"/>
    <s v="назначение на равнозначную должность"/>
    <d v="2022-05-01T00:00:00"/>
    <s v="не рассматривали"/>
    <s v="протокол-№-04.10.2021"/>
  </r>
  <r>
    <s v="Функциональное направление 5"/>
    <n v="4"/>
    <d v="2020-10-21T00:00:00"/>
    <n v="0"/>
    <s v="не защищена"/>
    <n v="500688"/>
    <x v="263"/>
    <n v="421"/>
    <s v="Подразделение421"/>
    <s v="подразделение_2_уровня421"/>
    <s v="-"/>
    <s v="линейный_руководитель_1"/>
    <n v="7"/>
    <s v="нет"/>
    <m/>
    <m/>
    <m/>
    <n v="256"/>
    <s v="Карасев Николай Федотович"/>
    <n v="1335"/>
    <s v="Тимофеев Афанасий Климович"/>
    <s v="Рабочий"/>
    <s v="Подразделение421"/>
    <x v="0"/>
    <x v="2"/>
    <n v="0"/>
    <n v="0"/>
    <s v="увольнение"/>
    <d v="2021-08-06T00:00:00"/>
    <s v="не рассматривали"/>
    <s v="протокол-№-21.10.2020"/>
  </r>
  <r>
    <s v="Функциональное направление 5"/>
    <n v="4"/>
    <d v="2022-11-01T00:00:00"/>
    <n v="1"/>
    <s v="не защищена"/>
    <n v="500688"/>
    <x v="264"/>
    <n v="421"/>
    <s v="Подразделение421"/>
    <s v="подразделение_2_уровня421"/>
    <s v="-"/>
    <s v="линейный_руководитель_1"/>
    <n v="7"/>
    <s v="да"/>
    <d v="2023-05-25T00:00:00"/>
    <m/>
    <m/>
    <s v="вакансия"/>
    <s v="вакансия"/>
    <n v="1334"/>
    <s v="Кирюхин Виталий Владиславович"/>
    <s v="Рабочий"/>
    <s v="Подразделение421"/>
    <x v="0"/>
    <x v="0"/>
    <n v="0"/>
    <n v="0"/>
    <m/>
    <m/>
    <s v="не рассматривали"/>
    <s v="протокол-№-01.11.2022"/>
  </r>
  <r>
    <s v="Функциональное направление 5"/>
    <n v="4"/>
    <d v="2021-10-04T00:00:00"/>
    <n v="0"/>
    <s v="не защищена"/>
    <n v="500688"/>
    <x v="264"/>
    <n v="421"/>
    <s v="Подразделение421"/>
    <s v="подразделение_2_уровня421"/>
    <s v="-"/>
    <s v="линейный_руководитель_1"/>
    <n v="7"/>
    <s v="да"/>
    <d v="2023-05-25T00:00:00"/>
    <m/>
    <m/>
    <s v="вакансия"/>
    <s v="вакансия"/>
    <n v="260"/>
    <s v="Русланов Лавр Юрьевич"/>
    <s v="Рабочий"/>
    <s v="Подразделение421"/>
    <x v="0"/>
    <x v="2"/>
    <n v="0"/>
    <n v="0"/>
    <s v="назначение на равнозначную должность"/>
    <d v="2022-05-01T00:00:00"/>
    <s v="не рассматривали"/>
    <s v="протокол-№-04.10.2021"/>
  </r>
  <r>
    <s v="Функциональное направление 5"/>
    <n v="4"/>
    <d v="2020-10-21T00:00:00"/>
    <n v="0"/>
    <s v="не защищена"/>
    <n v="500688"/>
    <x v="264"/>
    <n v="421"/>
    <s v="Подразделение421"/>
    <s v="подразделение_2_уровня421"/>
    <s v="-"/>
    <s v="линейный_руководитель_1"/>
    <n v="7"/>
    <s v="да"/>
    <d v="2023-05-25T00:00:00"/>
    <m/>
    <m/>
    <s v="вакансия"/>
    <s v="вакансия"/>
    <n v="1335"/>
    <s v="Тимофеев Афанасий Климович"/>
    <s v="Рабочий"/>
    <s v="Подразделение421"/>
    <x v="0"/>
    <x v="2"/>
    <n v="0"/>
    <n v="0"/>
    <s v="увольнение"/>
    <d v="2021-08-06T00:00:00"/>
    <s v="не рассматривали"/>
    <s v="протокол-№-21.10.2020"/>
  </r>
  <r>
    <s v="Функциональное направление 5"/>
    <n v="4"/>
    <d v="2022-11-01T00:00:00"/>
    <n v="1"/>
    <s v="не защищена"/>
    <n v="500688"/>
    <x v="265"/>
    <n v="421"/>
    <s v="Подразделение421"/>
    <s v="подразделение_2_уровня421"/>
    <s v="-"/>
    <s v="линейный_руководитель_1"/>
    <n v="7"/>
    <s v="да"/>
    <d v="2022-08-01T00:00:00"/>
    <m/>
    <m/>
    <s v="вакансия"/>
    <s v="вакансия"/>
    <n v="1334"/>
    <s v="Кирюхин Виталий Владиславович"/>
    <s v="Рабочий"/>
    <s v="Подразделение421"/>
    <x v="0"/>
    <x v="0"/>
    <n v="0"/>
    <n v="0"/>
    <m/>
    <m/>
    <s v="не рассматривали"/>
    <s v="протокол-№-01.11.2022"/>
  </r>
  <r>
    <s v="Функциональное направление 5"/>
    <n v="4"/>
    <d v="2021-10-04T00:00:00"/>
    <n v="0"/>
    <s v="не защищена"/>
    <n v="500688"/>
    <x v="265"/>
    <n v="421"/>
    <s v="Подразделение421"/>
    <s v="подразделение_2_уровня421"/>
    <s v="-"/>
    <s v="линейный_руководитель_1"/>
    <n v="7"/>
    <s v="да"/>
    <d v="2022-08-01T00:00:00"/>
    <m/>
    <m/>
    <s v="вакансия"/>
    <s v="вакансия"/>
    <n v="260"/>
    <s v="Русланов Лавр Юрьевич"/>
    <s v="Рабочий"/>
    <s v="Подразделение421"/>
    <x v="0"/>
    <x v="2"/>
    <n v="0"/>
    <n v="0"/>
    <s v="назначение на равнозначную должность"/>
    <d v="2022-05-01T00:00:00"/>
    <s v="не рассматривали"/>
    <s v="протокол-№-04.10.2021"/>
  </r>
  <r>
    <s v="Функциональное направление 5"/>
    <n v="4"/>
    <d v="2020-10-21T00:00:00"/>
    <n v="0"/>
    <s v="не защищена"/>
    <n v="500688"/>
    <x v="265"/>
    <n v="421"/>
    <s v="Подразделение421"/>
    <s v="подразделение_2_уровня421"/>
    <s v="-"/>
    <s v="линейный_руководитель_1"/>
    <n v="7"/>
    <s v="да"/>
    <d v="2022-08-01T00:00:00"/>
    <m/>
    <m/>
    <s v="вакансия"/>
    <s v="вакансия"/>
    <n v="1335"/>
    <s v="Тимофеев Афанасий Климович"/>
    <s v="Рабочий"/>
    <s v="Подразделение421"/>
    <x v="0"/>
    <x v="2"/>
    <n v="0"/>
    <n v="0"/>
    <s v="увольнение"/>
    <d v="2021-08-06T00:00:00"/>
    <s v="не рассматривали"/>
    <s v="протокол-№-21.10.2020"/>
  </r>
  <r>
    <s v="Функциональное направление 5"/>
    <n v="4"/>
    <d v="2022-11-01T00:00:00"/>
    <n v="1"/>
    <s v="не защищена"/>
    <n v="500689"/>
    <x v="266"/>
    <n v="421"/>
    <s v="Подразделение421"/>
    <s v="подразделение_2_уровня421"/>
    <s v="подразделение_3_уровня421"/>
    <s v="линейный_руководитель_2"/>
    <n v="7"/>
    <s v="нет"/>
    <m/>
    <m/>
    <m/>
    <n v="257"/>
    <s v="Чистяков Григорий Денисович"/>
    <n v="261"/>
    <s v="Вобликов Емельян Романович"/>
    <s v="Рабочий"/>
    <s v="Подразделение421"/>
    <x v="1"/>
    <x v="1"/>
    <n v="1"/>
    <n v="0"/>
    <s v="назначение на целевую должность"/>
    <d v="2023-01-18T00:00:00"/>
    <s v="не рассматривали"/>
    <s v="протокол-№-01.11.2022"/>
  </r>
  <r>
    <s v="Функциональное направление 5"/>
    <n v="4"/>
    <d v="2020-10-21T00:00:00"/>
    <n v="0"/>
    <s v="не защищена"/>
    <n v="500689"/>
    <x v="266"/>
    <n v="421"/>
    <s v="Подразделение421"/>
    <s v="подразделение_2_уровня421"/>
    <s v="подразделение_3_уровня421"/>
    <s v="линейный_руководитель_2"/>
    <n v="7"/>
    <s v="нет"/>
    <m/>
    <m/>
    <m/>
    <n v="257"/>
    <s v="Чистяков Григорий Денисович"/>
    <n v="1334"/>
    <s v="Кирюхин Виталий Владиславович"/>
    <s v="Рабочий"/>
    <s v="Подразделение421"/>
    <x v="0"/>
    <x v="2"/>
    <n v="1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0-10-21T00:00:00"/>
    <n v="0"/>
    <s v="не защищена"/>
    <n v="500689"/>
    <x v="266"/>
    <n v="421"/>
    <s v="Подразделение421"/>
    <s v="подразделение_2_уровня421"/>
    <s v="подразделение_3_уровня421"/>
    <s v="линейный_руководитель_2"/>
    <n v="7"/>
    <s v="нет"/>
    <m/>
    <m/>
    <m/>
    <n v="257"/>
    <s v="Чистяков Григорий Денисович"/>
    <n v="255"/>
    <s v="Конеев Афанасий Егорович"/>
    <s v="Рабочий"/>
    <s v="Подразделение421"/>
    <x v="0"/>
    <x v="2"/>
    <n v="1"/>
    <n v="0"/>
    <s v="назначение на равнозначную должность"/>
    <d v="2022-05-01T00:00:00"/>
    <s v="не рассматривали"/>
    <s v="протокол-№-21.10.2020"/>
  </r>
  <r>
    <s v="Функциональное направление 5"/>
    <n v="4"/>
    <d v="2020-10-21T00:00:00"/>
    <n v="0"/>
    <s v="не защищена"/>
    <n v="500689"/>
    <x v="266"/>
    <n v="421"/>
    <s v="Подразделение421"/>
    <s v="подразделение_2_уровня421"/>
    <s v="подразделение_3_уровня421"/>
    <s v="линейный_руководитель_2"/>
    <n v="7"/>
    <s v="нет"/>
    <m/>
    <m/>
    <m/>
    <n v="257"/>
    <s v="Чистяков Григорий Денисович"/>
    <n v="1336"/>
    <s v="Степанов Виталий Александрович"/>
    <s v="Рабочий"/>
    <s v="Подразделение421"/>
    <x v="0"/>
    <x v="2"/>
    <n v="1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2-11-01T00:00:00"/>
    <n v="1"/>
    <s v="не защищена"/>
    <n v="500689"/>
    <x v="267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3-05-10T00:00:00"/>
    <d v="2023-05-25T00:00:00"/>
    <s v="ротация (не учитываем)"/>
    <n v="258"/>
    <s v="Русланов Вячеслав Юрьевич"/>
    <n v="261"/>
    <s v="Вобликов Емельян Романович"/>
    <s v="Рабочий"/>
    <s v="Подразделение421"/>
    <x v="1"/>
    <x v="1"/>
    <n v="0"/>
    <n v="0"/>
    <s v="назначение на целевую должность"/>
    <d v="2023-01-18T00:00:00"/>
    <s v="не рассматривали"/>
    <s v="протокол-№-01.11.2022"/>
  </r>
  <r>
    <s v="Функциональное направление 5"/>
    <n v="4"/>
    <d v="2020-10-21T00:00:00"/>
    <n v="0"/>
    <s v="не защищена"/>
    <n v="500689"/>
    <x v="267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3-05-10T00:00:00"/>
    <d v="2023-05-25T00:00:00"/>
    <s v="ротация (не учитываем)"/>
    <n v="258"/>
    <s v="Русланов Вячеслав Юрьевич"/>
    <n v="1334"/>
    <s v="Кирюхин Виталий Владиславович"/>
    <s v="Рабочий"/>
    <s v="Подразделение421"/>
    <x v="0"/>
    <x v="2"/>
    <n v="0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0-10-21T00:00:00"/>
    <n v="0"/>
    <s v="не защищена"/>
    <n v="500689"/>
    <x v="267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3-05-10T00:00:00"/>
    <d v="2023-05-25T00:00:00"/>
    <s v="ротация (не учитываем)"/>
    <n v="258"/>
    <s v="Русланов Вячеслав Юрьевич"/>
    <n v="255"/>
    <s v="Конеев Афанасий Егорович"/>
    <s v="Рабочий"/>
    <s v="Подразделение421"/>
    <x v="0"/>
    <x v="2"/>
    <n v="0"/>
    <n v="0"/>
    <s v="назначение на равнозначную должность"/>
    <d v="2022-05-01T00:00:00"/>
    <s v="не рассматривали"/>
    <s v="протокол-№-21.10.2020"/>
  </r>
  <r>
    <s v="Функциональное направление 5"/>
    <n v="4"/>
    <d v="2020-10-21T00:00:00"/>
    <n v="0"/>
    <s v="не защищена"/>
    <n v="500689"/>
    <x v="267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3-05-10T00:00:00"/>
    <d v="2023-05-25T00:00:00"/>
    <s v="ротация (не учитываем)"/>
    <n v="258"/>
    <s v="Русланов Вячеслав Юрьевич"/>
    <n v="1336"/>
    <s v="Степанов Виталий Александрович"/>
    <s v="Рабочий"/>
    <s v="Подразделение421"/>
    <x v="0"/>
    <x v="2"/>
    <n v="0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2-11-01T00:00:00"/>
    <n v="1"/>
    <s v="не защищена"/>
    <n v="500690"/>
    <x v="268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5-01T00:00:00"/>
    <d v="2022-05-01T00:00:00"/>
    <s v="внутр. сотр. (не учитываем)"/>
    <n v="259"/>
    <s v="Волков Тихон Юрьевич"/>
    <n v="261"/>
    <s v="Вобликов Емельян Романович"/>
    <s v="Рабочий"/>
    <s v="Подразделение421"/>
    <x v="1"/>
    <x v="1"/>
    <n v="0"/>
    <n v="0"/>
    <s v="назначение на целевую должность"/>
    <d v="2023-01-18T00:00:00"/>
    <s v="не рассматривали"/>
    <s v="протокол-№-01.11.2022"/>
  </r>
  <r>
    <s v="Функциональное направление 5"/>
    <n v="4"/>
    <d v="2020-10-21T00:00:00"/>
    <n v="0"/>
    <s v="не защищена"/>
    <n v="500690"/>
    <x v="268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5-01T00:00:00"/>
    <d v="2022-05-01T00:00:00"/>
    <s v="внутр. сотр. (не учитываем)"/>
    <n v="259"/>
    <s v="Волков Тихон Юрьевич"/>
    <n v="1334"/>
    <s v="Кирюхин Виталий Владиславович"/>
    <s v="Рабочий"/>
    <s v="Подразделение421"/>
    <x v="0"/>
    <x v="2"/>
    <n v="0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0-10-21T00:00:00"/>
    <n v="0"/>
    <s v="не защищена"/>
    <n v="500690"/>
    <x v="268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5-01T00:00:00"/>
    <d v="2022-05-01T00:00:00"/>
    <s v="внутр. сотр. (не учитываем)"/>
    <n v="259"/>
    <s v="Волков Тихон Юрьевич"/>
    <n v="255"/>
    <s v="Конеев Афанасий Егорович"/>
    <s v="Рабочий"/>
    <s v="Подразделение421"/>
    <x v="0"/>
    <x v="2"/>
    <n v="0"/>
    <n v="0"/>
    <s v="назначение на равнозначную должность"/>
    <d v="2022-05-01T00:00:00"/>
    <s v="не рассматривали"/>
    <s v="протокол-№-21.10.2020"/>
  </r>
  <r>
    <s v="Функциональное направление 5"/>
    <n v="4"/>
    <d v="2020-10-21T00:00:00"/>
    <n v="0"/>
    <s v="не защищена"/>
    <n v="500690"/>
    <x v="268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5-01T00:00:00"/>
    <d v="2022-05-01T00:00:00"/>
    <s v="внутр. сотр. (не учитываем)"/>
    <n v="259"/>
    <s v="Волков Тихон Юрьевич"/>
    <n v="1336"/>
    <s v="Степанов Виталий Александрович"/>
    <s v="Рабочий"/>
    <s v="Подразделение421"/>
    <x v="0"/>
    <x v="2"/>
    <n v="0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2-11-01T00:00:00"/>
    <n v="1"/>
    <s v="не защищена"/>
    <n v="500690"/>
    <x v="269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5-01T00:00:00"/>
    <d v="2022-05-01T00:00:00"/>
    <s v="внутр. сотр. (не учитываем)"/>
    <n v="260"/>
    <s v="Русланов Лавр Юрьевич"/>
    <n v="261"/>
    <s v="Вобликов Емельян Романович"/>
    <s v="Рабочий"/>
    <s v="Подразделение421"/>
    <x v="1"/>
    <x v="1"/>
    <n v="0"/>
    <n v="0"/>
    <s v="назначение на целевую должность"/>
    <d v="2023-01-18T00:00:00"/>
    <s v="не рассматривали"/>
    <s v="протокол-№-01.11.2022"/>
  </r>
  <r>
    <s v="Функциональное направление 5"/>
    <n v="4"/>
    <d v="2020-10-21T00:00:00"/>
    <n v="0"/>
    <s v="не защищена"/>
    <n v="500690"/>
    <x v="269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5-01T00:00:00"/>
    <d v="2022-05-01T00:00:00"/>
    <s v="внутр. сотр. (не учитываем)"/>
    <n v="260"/>
    <s v="Русланов Лавр Юрьевич"/>
    <n v="1334"/>
    <s v="Кирюхин Виталий Владиславович"/>
    <s v="Рабочий"/>
    <s v="Подразделение421"/>
    <x v="0"/>
    <x v="2"/>
    <n v="0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0-10-21T00:00:00"/>
    <n v="0"/>
    <s v="не защищена"/>
    <n v="500690"/>
    <x v="269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5-01T00:00:00"/>
    <d v="2022-05-01T00:00:00"/>
    <s v="внутр. сотр. (не учитываем)"/>
    <n v="260"/>
    <s v="Русланов Лавр Юрьевич"/>
    <n v="255"/>
    <s v="Конеев Афанасий Егорович"/>
    <s v="Рабочий"/>
    <s v="Подразделение421"/>
    <x v="0"/>
    <x v="2"/>
    <n v="0"/>
    <n v="0"/>
    <s v="назначение на равнозначную должность"/>
    <d v="2022-05-01T00:00:00"/>
    <s v="не рассматривали"/>
    <s v="протокол-№-21.10.2020"/>
  </r>
  <r>
    <s v="Функциональное направление 5"/>
    <n v="4"/>
    <d v="2020-10-21T00:00:00"/>
    <n v="0"/>
    <s v="не защищена"/>
    <n v="500690"/>
    <x v="269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5-01T00:00:00"/>
    <d v="2022-05-01T00:00:00"/>
    <s v="внутр. сотр. (не учитываем)"/>
    <n v="260"/>
    <s v="Русланов Лавр Юрьевич"/>
    <n v="1336"/>
    <s v="Степанов Виталий Александрович"/>
    <s v="Рабочий"/>
    <s v="Подразделение421"/>
    <x v="0"/>
    <x v="2"/>
    <n v="0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2-11-01T00:00:00"/>
    <n v="1"/>
    <s v="не защищена"/>
    <n v="500691"/>
    <x v="270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8-25T00:00:00"/>
    <d v="2023-01-18T00:00:00"/>
    <s v="из резерва (учитываем)"/>
    <n v="261"/>
    <s v="Вобликов Емельян Романович"/>
    <n v="261"/>
    <s v="Вобликов Емельян Романович"/>
    <s v="Рабочий"/>
    <s v="Подразделение421"/>
    <x v="1"/>
    <x v="1"/>
    <n v="0"/>
    <n v="1"/>
    <s v="назначение на целевую должность"/>
    <d v="2023-01-18T00:00:00"/>
    <s v="не рассматривали"/>
    <s v="протокол-№-01.11.2022"/>
  </r>
  <r>
    <s v="Функциональное направление 5"/>
    <n v="4"/>
    <d v="2020-10-21T00:00:00"/>
    <n v="0"/>
    <s v="не защищена"/>
    <n v="500691"/>
    <x v="270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8-25T00:00:00"/>
    <d v="2023-01-18T00:00:00"/>
    <s v="из резерва (учитываем)"/>
    <n v="261"/>
    <s v="Вобликов Емельян Романович"/>
    <n v="1334"/>
    <s v="Кирюхин Виталий Владиславович"/>
    <s v="Рабочий"/>
    <s v="Подразделение421"/>
    <x v="0"/>
    <x v="2"/>
    <n v="0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0-10-21T00:00:00"/>
    <n v="0"/>
    <s v="не защищена"/>
    <n v="500691"/>
    <x v="270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8-25T00:00:00"/>
    <d v="2023-01-18T00:00:00"/>
    <s v="из резерва (учитываем)"/>
    <n v="261"/>
    <s v="Вобликов Емельян Романович"/>
    <n v="255"/>
    <s v="Конеев Афанасий Егорович"/>
    <s v="Рабочий"/>
    <s v="Подразделение421"/>
    <x v="0"/>
    <x v="2"/>
    <n v="0"/>
    <n v="0"/>
    <s v="назначение на равнозначную должность"/>
    <d v="2022-05-01T00:00:00"/>
    <s v="не рассматривали"/>
    <s v="протокол-№-21.10.2020"/>
  </r>
  <r>
    <s v="Функциональное направление 5"/>
    <n v="4"/>
    <d v="2020-10-21T00:00:00"/>
    <n v="0"/>
    <s v="не защищена"/>
    <n v="500691"/>
    <x v="270"/>
    <n v="421"/>
    <s v="Подразделение421"/>
    <s v="подразделение_2_уровня421"/>
    <s v="подразделение_3_уровня421"/>
    <s v="линейный_руководитель_2"/>
    <n v="7"/>
    <s v="да"/>
    <d v="2022-08-25T00:00:00"/>
    <d v="2023-01-18T00:00:00"/>
    <s v="из резерва (учитываем)"/>
    <n v="261"/>
    <s v="Вобликов Емельян Романович"/>
    <n v="1336"/>
    <s v="Степанов Виталий Александрович"/>
    <s v="Рабочий"/>
    <s v="Подразделение421"/>
    <x v="0"/>
    <x v="2"/>
    <n v="0"/>
    <n v="0"/>
    <s v="инициатива комитета / руководителя"/>
    <d v="2021-10-04T00:00:00"/>
    <s v="исключение"/>
    <s v="протокол-№-04.10.2021"/>
  </r>
  <r>
    <s v="Функциональное направление 5"/>
    <n v="4"/>
    <d v="2022-11-01T00:00:00"/>
    <n v="1"/>
    <s v="не защищена"/>
    <n v="500687"/>
    <x v="271"/>
    <n v="421"/>
    <s v="Подразделение421"/>
    <s v="подразделение_2_уровня421"/>
    <s v="-"/>
    <s v="линейный_руководитель_2"/>
    <n v="7"/>
    <s v="да"/>
    <d v="2022-08-25T00:00:00"/>
    <d v="2023-01-18T00:00:00"/>
    <s v="из резерва (учитываем)"/>
    <n v="262"/>
    <s v="Пальчиков Потап Григорьевич"/>
    <n v="1337"/>
    <s v="Игорев Савелий Кузьмич"/>
    <s v="Рабочий"/>
    <s v="Подразделение421"/>
    <x v="2"/>
    <x v="0"/>
    <n v="0"/>
    <n v="0"/>
    <m/>
    <m/>
    <s v="не рассматривали"/>
    <s v="протокол-№-01.11.2022"/>
  </r>
  <r>
    <s v="Функциональное направление 5"/>
    <n v="4"/>
    <d v="2022-11-01T00:00:00"/>
    <n v="0"/>
    <s v="не защищена"/>
    <n v="500687"/>
    <x v="271"/>
    <n v="421"/>
    <s v="Подразделение421"/>
    <s v="подразделение_2_уровня421"/>
    <s v="-"/>
    <s v="линейный_руководитель_2"/>
    <n v="7"/>
    <s v="да"/>
    <d v="2022-08-25T00:00:00"/>
    <d v="2023-01-18T00:00:00"/>
    <s v="из резерва (учитываем)"/>
    <n v="262"/>
    <s v="Пальчиков Потап Григорьевич"/>
    <n v="262"/>
    <s v="Пальчиков Потап Григорьевич"/>
    <s v="Рабочий"/>
    <s v="Подразделение421"/>
    <x v="0"/>
    <x v="1"/>
    <n v="1"/>
    <n v="1"/>
    <s v="назначение на целевую должность"/>
    <d v="2023-01-18T00:00:00"/>
    <s v="не рассматривали"/>
    <s v="протокол-№-01.11.2022"/>
  </r>
  <r>
    <s v="Функциональное направление 5"/>
    <n v="3"/>
    <d v="2022-08-23T00:00:00"/>
    <n v="1"/>
    <s v="не защищена"/>
    <n v="500686"/>
    <x v="272"/>
    <n v="421"/>
    <s v="Подразделение421"/>
    <s v="подразделение_2_уровня421"/>
    <s v="-"/>
    <s v="руководитель_среднего_уровня_4"/>
    <n v="6"/>
    <s v="нет"/>
    <m/>
    <m/>
    <m/>
    <n v="263"/>
    <s v="Баранкин Тихон Семенович"/>
    <n v="264"/>
    <s v="Аксенов Григорий Матвеевич"/>
    <s v="линейный_руководитель_2"/>
    <s v="Подразделение421"/>
    <x v="1"/>
    <x v="0"/>
    <n v="1"/>
    <n v="0"/>
    <m/>
    <m/>
    <s v="не рассматривали"/>
    <s v="протокол-№-23.08.2022"/>
  </r>
  <r>
    <s v="Функциональное направление 5"/>
    <n v="4"/>
    <d v="2022-11-01T00:00:00"/>
    <n v="1"/>
    <s v="не защищена"/>
    <n v="500692"/>
    <x v="273"/>
    <n v="421"/>
    <s v="Подразделение421"/>
    <s v="подразделение_2_уровня421"/>
    <s v="подразделение_3_уровня421"/>
    <s v="линейный_руководитель_2"/>
    <n v="7"/>
    <s v="нет"/>
    <m/>
    <m/>
    <m/>
    <n v="264"/>
    <s v="Аксенов Григорий Матвеевич"/>
    <n v="1339"/>
    <s v="Игнатьев Савелий Михайлович"/>
    <s v="Рабочий"/>
    <s v="Подразделение421"/>
    <x v="0"/>
    <x v="0"/>
    <n v="1"/>
    <n v="0"/>
    <m/>
    <m/>
    <s v="не рассматривали"/>
    <s v="протокол-№-01.11.2022"/>
  </r>
  <r>
    <s v="Функциональное направление 5"/>
    <n v="4"/>
    <d v="2022-11-01T00:00:00"/>
    <n v="1"/>
    <s v="не защищена"/>
    <n v="500693"/>
    <x v="274"/>
    <n v="421"/>
    <s v="Подразделение421"/>
    <s v="подразделение_2_уровня421"/>
    <s v="подразделение_3_уровня421"/>
    <s v="линейный_руководитель_2"/>
    <n v="7"/>
    <s v="нет"/>
    <m/>
    <m/>
    <m/>
    <n v="265"/>
    <s v="Аксенов Федот Лаврович"/>
    <n v="1339"/>
    <s v="Игнатьев Савелий Михайлович"/>
    <s v="Рабочий"/>
    <s v="Подразделение421"/>
    <x v="0"/>
    <x v="0"/>
    <n v="0"/>
    <n v="0"/>
    <m/>
    <m/>
    <s v="не рассматривали"/>
    <s v="протокол-№-01.11.2022"/>
  </r>
  <r>
    <s v="Функциональное направление 5"/>
    <n v="3"/>
    <d v="2022-08-23T00:00:00"/>
    <n v="1"/>
    <s v="не защищена"/>
    <n v="500683"/>
    <x v="275"/>
    <n v="421"/>
    <s v="Подразделение421"/>
    <s v="подразделение_2_уровня421"/>
    <s v="-"/>
    <s v="функциональный_руководитель_1"/>
    <n v="6"/>
    <s v="да"/>
    <d v="2022-05-01T00:00:00"/>
    <d v="2022-08-25T00:00:00"/>
    <s v="из резерва (учитываем)"/>
    <n v="266"/>
    <s v="Пальчиков Корней Егорович"/>
    <n v="257"/>
    <s v="Чистяков Григорий Денисович"/>
    <s v="линейный_руководитель_2"/>
    <s v="Подразделение421"/>
    <x v="0"/>
    <x v="0"/>
    <n v="1"/>
    <n v="0"/>
    <m/>
    <m/>
    <s v="не рассматривали"/>
    <s v="протокол-№-23.08.2022"/>
  </r>
  <r>
    <s v="Функциональное направление 5"/>
    <n v="3"/>
    <d v="2022-08-23T00:00:00"/>
    <n v="0"/>
    <s v="не защищена"/>
    <n v="500683"/>
    <x v="275"/>
    <n v="421"/>
    <s v="Подразделение421"/>
    <s v="подразделение_2_уровня421"/>
    <s v="-"/>
    <s v="функциональный_руководитель_1"/>
    <n v="6"/>
    <s v="да"/>
    <d v="2022-05-01T00:00:00"/>
    <d v="2022-08-25T00:00:00"/>
    <s v="из резерва (учитываем)"/>
    <n v="266"/>
    <s v="Пальчиков Корней Егорович"/>
    <n v="266"/>
    <s v="Пальчиков Корней Егорович"/>
    <s v="функциональный_руководитель_1"/>
    <s v="Подразделение421"/>
    <x v="1"/>
    <x v="1"/>
    <n v="1"/>
    <n v="1"/>
    <s v="назначение на целевую должность"/>
    <d v="2022-08-25T00:00:00"/>
    <s v="не рассматривали"/>
    <s v="протокол-№-23.08.2022"/>
  </r>
  <r>
    <s v="Функциональное направление 5"/>
    <n v="3"/>
    <d v="2022-08-23T00:00:00"/>
    <n v="1"/>
    <s v="не защищена"/>
    <n v="500684"/>
    <x v="276"/>
    <n v="421"/>
    <s v="Подразделение421"/>
    <s v="подразделение_2_уровня421"/>
    <s v="-"/>
    <s v="функциональный_руководитель_1"/>
    <n v="6"/>
    <s v="да"/>
    <d v="2023-03-17T00:00:00"/>
    <d v="2023-05-10T00:00:00"/>
    <s v="внутр. сотр. (не учитываем)"/>
    <n v="267"/>
    <s v="Поминов Потап Романович"/>
    <n v="1340"/>
    <s v="Степанов Ефрем Михайлович"/>
    <s v="Рабочий"/>
    <s v="Подразделение421"/>
    <x v="2"/>
    <x v="0"/>
    <n v="1"/>
    <n v="0"/>
    <m/>
    <m/>
    <s v="понижение"/>
    <s v="протокол-№-23.08.2022-ДОП"/>
  </r>
  <r>
    <s v="Функциональное направление 5"/>
    <n v="3"/>
    <d v="2022-08-23T00:00:00"/>
    <n v="1"/>
    <s v="не защищена"/>
    <n v="500685"/>
    <x v="277"/>
    <n v="421"/>
    <s v="Подразделение421"/>
    <s v="подразделение_2_уровня421"/>
    <s v="-"/>
    <s v="функциональный_руководитель_1"/>
    <n v="6"/>
    <s v="да"/>
    <d v="2022-05-01T00:00:00"/>
    <d v="2022-08-25T00:00:00"/>
    <s v="из резерва (учитываем)"/>
    <n v="268"/>
    <s v="Пальчиков Константин Васильевич"/>
    <n v="257"/>
    <s v="Чистяков Григорий Денисович"/>
    <s v="линейный_руководитель_2"/>
    <s v="Подразделение421"/>
    <x v="0"/>
    <x v="0"/>
    <n v="1"/>
    <n v="0"/>
    <m/>
    <m/>
    <s v="не рассматривали"/>
    <s v="протокол-№-23.08.2022"/>
  </r>
  <r>
    <s v="Функциональное направление 5"/>
    <n v="3"/>
    <d v="2022-08-23T00:00:00"/>
    <n v="0"/>
    <s v="не защищена"/>
    <n v="500685"/>
    <x v="277"/>
    <n v="421"/>
    <s v="Подразделение421"/>
    <s v="подразделение_2_уровня421"/>
    <s v="-"/>
    <s v="функциональный_руководитель_1"/>
    <n v="6"/>
    <s v="да"/>
    <d v="2022-05-01T00:00:00"/>
    <d v="2022-08-25T00:00:00"/>
    <s v="из резерва (учитываем)"/>
    <n v="268"/>
    <s v="Пальчиков Константин Васильевич"/>
    <n v="268"/>
    <s v="Пальчиков Константин Васильевич"/>
    <s v="линейный_руководитель_2"/>
    <s v="Подразделение421"/>
    <x v="1"/>
    <x v="1"/>
    <n v="1"/>
    <n v="1"/>
    <s v="назначение на целевую должность"/>
    <d v="2022-08-25T00:00:00"/>
    <s v="не рассматривали"/>
    <s v="протокол-№-23.08.2022"/>
  </r>
  <r>
    <s v="Функциональное направление 5"/>
    <n v="3"/>
    <d v="2022-08-23T00:00:00"/>
    <n v="1"/>
    <s v="не защищена"/>
    <n v="500169"/>
    <x v="278"/>
    <n v="28"/>
    <s v="Подразделение28"/>
    <s v="подразделение_2_уровня28"/>
    <s v="-"/>
    <s v="функциональный_руководитель_1"/>
    <n v="6"/>
    <s v="да"/>
    <d v="2022-03-11T00:00:00"/>
    <d v="2022-05-01T00:00:00"/>
    <s v="из резерва (учитываем)"/>
    <n v="269"/>
    <s v="Вобликов Руслан Александрович"/>
    <n v="238"/>
    <s v="Ярославов Корней Юрьевич"/>
    <s v="линейный_руководитель_2"/>
    <s v="Подразделение28"/>
    <x v="0"/>
    <x v="0"/>
    <n v="1"/>
    <n v="0"/>
    <m/>
    <m/>
    <s v="не рассматривали"/>
    <s v="протокол-№-23.08.2022"/>
  </r>
  <r>
    <s v="Функциональное направление 5"/>
    <n v="3"/>
    <d v="2020-07-27T00:00:00"/>
    <n v="0"/>
    <s v="не защищена"/>
    <n v="500169"/>
    <x v="278"/>
    <n v="28"/>
    <s v="Подразделение28"/>
    <s v="подразделение_2_уровня28"/>
    <s v="-"/>
    <s v="функциональный_руководитель_1"/>
    <n v="6"/>
    <s v="да"/>
    <d v="2022-03-11T00:00:00"/>
    <d v="2022-05-01T00:00:00"/>
    <s v="из резерва (учитываем)"/>
    <n v="269"/>
    <s v="Вобликов Руслан Александрович"/>
    <n v="1341"/>
    <s v="Брежнев Иван Герасимович"/>
    <s v="руководитель_среднего_уровня_2"/>
    <s v="Подразделение_др7"/>
    <x v="1"/>
    <x v="1"/>
    <n v="1"/>
    <n v="0"/>
    <s v="назначение на целевую должность"/>
    <d v="2020-12-22T00:00:00"/>
    <s v="не рассматривали"/>
    <s v="протокол-№-27.07.2020"/>
  </r>
  <r>
    <s v="Функциональное направление 5"/>
    <n v="3"/>
    <d v="2021-06-22T00:00:00"/>
    <n v="0"/>
    <s v="не защищена"/>
    <n v="500169"/>
    <x v="278"/>
    <n v="28"/>
    <s v="Подразделение28"/>
    <s v="подразделение_2_уровня28"/>
    <s v="-"/>
    <s v="функциональный_руководитель_1"/>
    <n v="6"/>
    <s v="да"/>
    <d v="2022-10-06T00:00:00"/>
    <d v="2022-05-01T00:00:00"/>
    <s v="из резерва (учитываем)"/>
    <n v="269"/>
    <s v="Вобликов Руслан Александрович"/>
    <n v="269"/>
    <s v="Вобликов Руслан Александрович"/>
    <s v="функциональный_руководитель_1"/>
    <s v="Подразделение28"/>
    <x v="0"/>
    <x v="1"/>
    <n v="1"/>
    <n v="1"/>
    <s v="назначение на целевую должность"/>
    <d v="2022-05-01T00:00:00"/>
    <s v="не рассматривали"/>
    <s v="протокол-№-22.06.2021"/>
  </r>
  <r>
    <s v="Функциональное направление 5"/>
    <n v="3"/>
    <d v="2022-08-23T00:00:00"/>
    <n v="1"/>
    <s v="не защищена"/>
    <n v="500695"/>
    <x v="279"/>
    <n v="28"/>
    <s v="Подразделение28"/>
    <s v="подразделение_2_уровня28"/>
    <s v="-"/>
    <s v="функциональный_руководитель_1"/>
    <n v="6"/>
    <s v="нет"/>
    <m/>
    <m/>
    <m/>
    <n v="270"/>
    <s v="Поминов Константин Кириллович"/>
    <n v="238"/>
    <s v="Ярославов Корней Юрьевич"/>
    <s v="линейный_руководитель_2"/>
    <s v="Подразделение28"/>
    <x v="1"/>
    <x v="0"/>
    <n v="1"/>
    <n v="0"/>
    <m/>
    <m/>
    <s v="не рассматривали"/>
    <s v="протокол-№-23.08.2022"/>
  </r>
  <r>
    <s v="Функциональное направление 5"/>
    <n v="3"/>
    <d v="2022-08-23T00:00:00"/>
    <n v="1"/>
    <s v="не защищена"/>
    <n v="500696"/>
    <x v="280"/>
    <n v="28"/>
    <s v="Подразделение28"/>
    <s v="подразделение_2_уровня28"/>
    <s v="-"/>
    <s v="линейный_руководитель_3"/>
    <n v="6"/>
    <s v="нет"/>
    <m/>
    <m/>
    <m/>
    <n v="271"/>
    <s v="Ефремов Дмитрий Кондратьевич"/>
    <n v="269"/>
    <s v="Вобликов Руслан Александрович"/>
    <s v="функциональный_руководитель_1"/>
    <s v="Подразделение28"/>
    <x v="0"/>
    <x v="0"/>
    <n v="1"/>
    <n v="0"/>
    <m/>
    <m/>
    <s v="не рассматривали"/>
    <s v="протокол-№-23.08.2022"/>
  </r>
  <r>
    <s v="Функциональное направление 5"/>
    <n v="3"/>
    <d v="2022-08-23T00:00:00"/>
    <n v="0"/>
    <s v="не защищена"/>
    <n v="500696"/>
    <x v="280"/>
    <n v="28"/>
    <s v="Подразделение28"/>
    <s v="подразделение_2_уровня28"/>
    <s v="-"/>
    <s v="линейный_руководитель_3"/>
    <n v="6"/>
    <s v="нет"/>
    <m/>
    <m/>
    <m/>
    <n v="271"/>
    <s v="Ефремов Дмитрий Кондратьевич"/>
    <n v="226"/>
    <s v="Цаплин Корней Данилович"/>
    <s v="руководитель_среднего_уровня_2"/>
    <s v="Подразделение28"/>
    <x v="1"/>
    <x v="0"/>
    <n v="1"/>
    <n v="0"/>
    <m/>
    <m/>
    <s v="не рассматривали"/>
    <s v="протокол-№-23.08.2022"/>
  </r>
  <r>
    <s v="Функциональное направление 5"/>
    <n v="4"/>
    <d v="2022-11-08T00:00:00"/>
    <n v="1"/>
    <s v="не защищена"/>
    <n v="500697"/>
    <x v="281"/>
    <n v="28"/>
    <s v="Подразделение28"/>
    <s v="подразделение_2_уровня28"/>
    <s v="-"/>
    <s v="функциональный_руководитель_1"/>
    <n v="7"/>
    <s v="да"/>
    <d v="2023-02-10T00:00:00"/>
    <m/>
    <m/>
    <s v="вакансия"/>
    <s v="вакансия"/>
    <n v="1342"/>
    <s v="Незнамов Афанасий Никитинич"/>
    <s v="Рабочий"/>
    <s v="Подразделение28"/>
    <x v="1"/>
    <x v="0"/>
    <n v="1"/>
    <n v="0"/>
    <m/>
    <m/>
    <s v="не рассматривали"/>
    <s v="протокол-№-08.11.2022"/>
  </r>
  <r>
    <s v="Функциональное направление 5"/>
    <n v="4"/>
    <d v="2022-11-08T00:00:00"/>
    <n v="1"/>
    <s v="не защищена"/>
    <n v="500698"/>
    <x v="282"/>
    <n v="28"/>
    <s v="Подразделение28"/>
    <s v="подразделение_2_уровня28"/>
    <s v="-"/>
    <s v="функциональный_руководитель_1"/>
    <n v="7"/>
    <s v="нет"/>
    <m/>
    <m/>
    <m/>
    <n v="272"/>
    <s v="Чистяков Василий Денисович"/>
    <n v="238"/>
    <s v="Ярославов Корней Юрьевич"/>
    <s v="линейный_руководитель_2"/>
    <s v="Подразделение28"/>
    <x v="0"/>
    <x v="0"/>
    <n v="0"/>
    <n v="0"/>
    <m/>
    <m/>
    <s v="не рассматривали"/>
    <s v="протокол-№-08.11.2022"/>
  </r>
  <r>
    <s v="Функциональное направление 6"/>
    <n v="4"/>
    <d v="2021-08-17T00:00:00"/>
    <n v="1"/>
    <s v="не защищена"/>
    <n v="500280"/>
    <x v="283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73"/>
    <s v="Русланов Потап Михайлович"/>
    <n v="1343"/>
    <s v="Игнатьев Савелий Геннадье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0"/>
    <x v="283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73"/>
    <s v="Русланов Потап Михайлович"/>
    <n v="1344"/>
    <s v="Брежнев Саве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1"/>
    <s v="не защищена"/>
    <n v="500281"/>
    <x v="284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74"/>
    <s v="Бураков Григорий Александрович"/>
    <n v="1345"/>
    <s v="Незнамов Савелий Кондратье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1"/>
    <x v="284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74"/>
    <s v="Бураков Григорий Александрович"/>
    <n v="1346"/>
    <s v="Игнатьев Юрий Кондратьевич"/>
    <s v="Рабочий"/>
    <s v="Подразделение13"/>
    <x v="0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81"/>
    <x v="284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74"/>
    <s v="Бураков Григорий Александрович"/>
    <n v="1347"/>
    <s v="Дорофеев Константин Ефремович"/>
    <s v="Рабочий"/>
    <s v="Подразделение13"/>
    <x v="0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1"/>
    <s v="не защищена"/>
    <n v="500282"/>
    <x v="285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75"/>
    <s v="Карасев Еремей Юрьевич"/>
    <n v="1348"/>
    <s v="Незнамов Савелий Михайло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2"/>
    <x v="285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75"/>
    <s v="Карасев Еремей Юрьевич"/>
    <n v="1349"/>
    <s v="Игнатьев Юрий Кондратьевич"/>
    <s v="Рабочий"/>
    <s v="Подразделение13"/>
    <x v="0"/>
    <x v="0"/>
    <n v="0"/>
    <n v="0"/>
    <m/>
    <m/>
    <s v="не рассматривали"/>
    <s v="протокол-№-25.11.2022"/>
  </r>
  <r>
    <s v="Функциональное направление 6"/>
    <n v="3"/>
    <d v="2020-06-10T00:00:00"/>
    <n v="1"/>
    <s v="не защищена"/>
    <n v="500283"/>
    <x v="286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2-05-01T00:00:00"/>
    <s v="ротация (не учитываем)"/>
    <n v="276"/>
    <s v="Сорокин Тихон Владимирович"/>
    <n v="282"/>
    <s v="Чистяков Виталий Лаврович"/>
    <s v="линейный_руководитель_2"/>
    <s v="Подразделение13"/>
    <x v="0"/>
    <x v="0"/>
    <n v="1"/>
    <n v="0"/>
    <m/>
    <m/>
    <s v="без изменений"/>
    <s v="протокол-№-26.05.2022"/>
  </r>
  <r>
    <s v="Функциональное направление 6"/>
    <n v="3"/>
    <d v="2021-05-27T00:00:00"/>
    <n v="0"/>
    <s v="не защищена"/>
    <n v="500283"/>
    <x v="286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2-05-01T00:00:00"/>
    <s v="ротация (не учитываем)"/>
    <n v="276"/>
    <s v="Сорокин Тихон Владимирович"/>
    <n v="281"/>
    <s v="Красных Еремей Филатович"/>
    <s v="линейный_руководитель_2"/>
    <s v="Подразделение13"/>
    <x v="2"/>
    <x v="0"/>
    <n v="1"/>
    <n v="0"/>
    <m/>
    <m/>
    <s v="без изменений"/>
    <s v="протокол-№-26.05.2022"/>
  </r>
  <r>
    <s v="Функциональное направление 6"/>
    <n v="3"/>
    <d v="2022-05-26T00:00:00"/>
    <n v="0"/>
    <s v="не защищена"/>
    <n v="500283"/>
    <x v="286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2-05-01T00:00:00"/>
    <s v="ротация (не учитываем)"/>
    <n v="276"/>
    <s v="Сорокин Тихон Владимирович"/>
    <n v="280"/>
    <s v="Аксенов Афанасий Семенович"/>
    <s v="линейный_руководитель_2"/>
    <s v="Подразделение13"/>
    <x v="0"/>
    <x v="0"/>
    <n v="1"/>
    <n v="0"/>
    <m/>
    <m/>
    <s v="не рассматривали"/>
    <s v="протокол-№-26.05.2022"/>
  </r>
  <r>
    <s v="Функциональное направление 6"/>
    <n v="3"/>
    <d v="2022-05-26T00:00:00"/>
    <n v="0"/>
    <s v="не защищена"/>
    <n v="500283"/>
    <x v="286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2-05-01T00:00:00"/>
    <s v="ротация (не учитываем)"/>
    <n v="276"/>
    <s v="Сорокин Тихон Владимирович"/>
    <n v="1350"/>
    <s v="Дорофеев Кирилл Кондратьевич"/>
    <s v="Рабочий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3"/>
    <d v="2018-11-21T00:00:00"/>
    <n v="0"/>
    <s v="не защищена"/>
    <n v="500283"/>
    <x v="286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3-05-01T00:00:00"/>
    <s v="ротация (не учитываем)"/>
    <n v="276"/>
    <s v="Сорокин Тихон Владимирович"/>
    <n v="276"/>
    <s v="Сорокин Тихон Владимирович"/>
    <s v="линейный_руководитель_2"/>
    <s v="Подразделение13"/>
    <x v="1"/>
    <x v="2"/>
    <n v="1"/>
    <n v="0"/>
    <s v="назначение на равнозначную должность"/>
    <d v="2022-05-26T00:00:00"/>
    <s v="исключение"/>
    <s v="протокол-№-26.05.2022"/>
  </r>
  <r>
    <s v="Функциональное направление 6"/>
    <n v="3"/>
    <d v="2020-06-10T00:00:00"/>
    <n v="0"/>
    <s v="не защищена"/>
    <n v="500283"/>
    <x v="286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2-05-01T00:00:00"/>
    <s v="ротация (не учитываем)"/>
    <n v="276"/>
    <s v="Сорокин Тихон Владимирович"/>
    <n v="1351"/>
    <s v="Степанов Глеб Ильич"/>
    <s v="функциональный_руководитель_1"/>
    <s v="Подразделение13"/>
    <x v="0"/>
    <x v="2"/>
    <n v="1"/>
    <n v="0"/>
    <s v="прочее (перевод в другое СП / на другое предприятие)"/>
    <d v="2021-05-27T00:00:00"/>
    <s v="исключение"/>
    <s v="протокол-№-27.05.2021"/>
  </r>
  <r>
    <s v="Функциональное направление 6"/>
    <n v="4"/>
    <d v="2021-08-17T00:00:00"/>
    <n v="1"/>
    <s v="не защищена"/>
    <n v="500284"/>
    <x v="287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4-24T00:00:00"/>
    <d v="2022-09-01T00:00:00"/>
    <s v="из резерва (учитываем)"/>
    <n v="277"/>
    <s v="Зверев Григорий Афанасьевич"/>
    <n v="1352"/>
    <s v="Брежнев Савелий Клим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7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4-24T00:00:00"/>
    <d v="2022-09-01T00:00:00"/>
    <s v="из резерва (учитываем)"/>
    <n v="277"/>
    <s v="Зверев Григорий Афанасьевич"/>
    <n v="1353"/>
    <s v="Дорофеев Афанасий Кондратье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7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4-24T00:00:00"/>
    <d v="2022-09-01T00:00:00"/>
    <s v="из резерва (учитываем)"/>
    <n v="277"/>
    <s v="Зверев Григорий Афанасьевич"/>
    <n v="1354"/>
    <s v="Степанов Ефрем Игнат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4"/>
    <x v="287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4-24T00:00:00"/>
    <d v="2022-09-01T00:00:00"/>
    <s v="из резерва (учитываем)"/>
    <n v="277"/>
    <s v="Зверев Григорий Афанасьевич"/>
    <n v="1355"/>
    <s v="Игнатьев Константин Климович"/>
    <s v="Рабочий"/>
    <s v="Подразделение13"/>
    <x v="0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84"/>
    <x v="287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4-24T00:00:00"/>
    <d v="2022-09-01T00:00:00"/>
    <s v="из резерва (учитываем)"/>
    <n v="277"/>
    <s v="Зверев Григорий Афанасьевич"/>
    <n v="1356"/>
    <s v="Дорофеев Юрий Геннадьевич"/>
    <s v="Рабочий"/>
    <s v="Подразделение13"/>
    <x v="1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84"/>
    <x v="287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4-24T00:00:00"/>
    <d v="2022-09-01T00:00:00"/>
    <s v="из резерва (учитываем)"/>
    <n v="277"/>
    <s v="Зверев Григорий Афанасьевич"/>
    <n v="407"/>
    <s v="Чистяков Корней Иванович"/>
    <s v="линейный_руководитель_2"/>
    <s v="Подразделение13"/>
    <x v="1"/>
    <x v="1"/>
    <n v="1"/>
    <n v="0"/>
    <s v="назначение на целевую должность"/>
    <d v="2021-12-09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7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4-24T00:00:00"/>
    <d v="2022-09-01T00:00:00"/>
    <s v="из резерва (учитываем)"/>
    <n v="277"/>
    <s v="Зверев Григорий Афанасьевич"/>
    <n v="277"/>
    <s v="Зверев Григорий Афанасьевич"/>
    <s v="Рабочий"/>
    <s v="Подразделение13"/>
    <x v="0"/>
    <x v="1"/>
    <n v="1"/>
    <n v="1"/>
    <s v="назначение на целевую должность"/>
    <d v="2022-09-01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7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4-24T00:00:00"/>
    <d v="2022-09-01T00:00:00"/>
    <s v="из резерва (учитываем)"/>
    <n v="277"/>
    <s v="Зверев Григорий Афанасьевич"/>
    <n v="278"/>
    <s v="Волков Николай Алексеевич"/>
    <s v="Рабочий"/>
    <s v="Подразделение13"/>
    <x v="1"/>
    <x v="1"/>
    <n v="1"/>
    <n v="0"/>
    <s v="назначение на целевую должность"/>
    <d v="2022-07-14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7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4-24T00:00:00"/>
    <d v="2022-09-01T00:00:00"/>
    <s v="из резерва (учитываем)"/>
    <n v="277"/>
    <s v="Зверев Григорий Афанасьевич"/>
    <n v="1357"/>
    <s v="Прохоров Кирилл Климович"/>
    <s v="Рабочий"/>
    <s v="Подразделение13"/>
    <x v="2"/>
    <x v="2"/>
    <n v="1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1"/>
    <s v="не защищена"/>
    <n v="500284"/>
    <x v="288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6-01T00:00:00"/>
    <d v="2022-07-14T00:00:00"/>
    <s v="из резерва (учитываем)"/>
    <n v="278"/>
    <s v="Волков Николай Алексеевич"/>
    <n v="1352"/>
    <s v="Брежнев Савелий Кли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8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6-01T00:00:00"/>
    <d v="2022-07-14T00:00:00"/>
    <s v="из резерва (учитываем)"/>
    <n v="278"/>
    <s v="Волков Николай Алексеевич"/>
    <n v="1353"/>
    <s v="Дорофее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8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6-01T00:00:00"/>
    <d v="2022-07-14T00:00:00"/>
    <s v="из резерва (учитываем)"/>
    <n v="278"/>
    <s v="Волков Николай Алексеевич"/>
    <n v="1354"/>
    <s v="Степанов Ефрем Игнат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4"/>
    <x v="288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6-01T00:00:00"/>
    <d v="2022-07-14T00:00:00"/>
    <s v="из резерва (учитываем)"/>
    <n v="278"/>
    <s v="Волков Николай Алексеевич"/>
    <n v="1355"/>
    <s v="Игнатьев Константин Климович"/>
    <s v="Рабочий"/>
    <s v="Подразделение13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84"/>
    <x v="288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6-01T00:00:00"/>
    <d v="2022-07-14T00:00:00"/>
    <s v="из резерва (учитываем)"/>
    <n v="278"/>
    <s v="Волков Николай Алексеевич"/>
    <n v="1356"/>
    <s v="Дорофеев Юрий Геннадье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84"/>
    <x v="288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6-01T00:00:00"/>
    <d v="2022-07-14T00:00:00"/>
    <s v="из резерва (учитываем)"/>
    <n v="278"/>
    <s v="Волков Николай Алексеевич"/>
    <n v="407"/>
    <s v="Чистяков Корней Иванович"/>
    <s v="линейный_руководитель_2"/>
    <s v="Подразделение13"/>
    <x v="1"/>
    <x v="1"/>
    <n v="0"/>
    <n v="0"/>
    <s v="назначение на целевую должность"/>
    <d v="2021-12-09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8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6-01T00:00:00"/>
    <d v="2022-07-14T00:00:00"/>
    <s v="из резерва (учитываем)"/>
    <n v="278"/>
    <s v="Волков Николай Алексеевич"/>
    <n v="277"/>
    <s v="Зверев Григорий Афанасьевич"/>
    <s v="Рабочий"/>
    <s v="Подразделение13"/>
    <x v="0"/>
    <x v="1"/>
    <n v="0"/>
    <n v="0"/>
    <s v="назначение на целевую должность"/>
    <d v="2022-09-01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8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6-01T00:00:00"/>
    <d v="2022-07-14T00:00:00"/>
    <s v="из резерва (учитываем)"/>
    <n v="278"/>
    <s v="Волков Николай Алексеевич"/>
    <n v="278"/>
    <s v="Волков Николай Алексеевич"/>
    <s v="Рабочий"/>
    <s v="Подразделение13"/>
    <x v="1"/>
    <x v="1"/>
    <n v="0"/>
    <n v="1"/>
    <s v="назначение на целевую должность"/>
    <d v="2022-07-14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8"/>
    <n v="13"/>
    <s v="Подразделение13"/>
    <s v="подразделение_2_уровня13"/>
    <s v="подразделение_3_уровня13"/>
    <s v="линейный_руководитель_1"/>
    <n v="7"/>
    <s v="да"/>
    <d v="2022-06-01T00:00:00"/>
    <d v="2022-07-14T00:00:00"/>
    <s v="из резерва (учитываем)"/>
    <n v="278"/>
    <s v="Волков Николай Алексеевич"/>
    <n v="1357"/>
    <s v="Прохоров Кирилл Климович"/>
    <s v="Рабочий"/>
    <s v="Подразделение13"/>
    <x v="2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1"/>
    <s v="не защищена"/>
    <n v="500284"/>
    <x v="28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79"/>
    <s v="Баранкин Григорий Юрьевич"/>
    <n v="1352"/>
    <s v="Брежнев Савелий Кли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79"/>
    <s v="Баранкин Григорий Юрьевич"/>
    <n v="1353"/>
    <s v="Дорофее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79"/>
    <s v="Баранкин Григорий Юрьевич"/>
    <n v="1354"/>
    <s v="Степанов Ефрем Игнат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4"/>
    <x v="28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79"/>
    <s v="Баранкин Григорий Юрьевич"/>
    <n v="1355"/>
    <s v="Игнатьев Константин Климович"/>
    <s v="Рабочий"/>
    <s v="Подразделение13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84"/>
    <x v="28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79"/>
    <s v="Баранкин Григорий Юрьевич"/>
    <n v="1356"/>
    <s v="Дорофеев Юрий Геннадье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84"/>
    <x v="28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79"/>
    <s v="Баранкин Григорий Юрьевич"/>
    <n v="407"/>
    <s v="Чистяков Корней Иванович"/>
    <s v="линейный_руководитель_2"/>
    <s v="Подразделение13"/>
    <x v="1"/>
    <x v="1"/>
    <n v="0"/>
    <n v="0"/>
    <s v="назначение на целевую должность"/>
    <d v="2021-12-09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79"/>
    <s v="Баранкин Григорий Юрьевич"/>
    <n v="277"/>
    <s v="Зверев Григорий Афанасьевич"/>
    <s v="Рабочий"/>
    <s v="Подразделение13"/>
    <x v="0"/>
    <x v="1"/>
    <n v="0"/>
    <n v="0"/>
    <s v="назначение на целевую должность"/>
    <d v="2022-09-01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79"/>
    <s v="Баранкин Григорий Юрьевич"/>
    <n v="278"/>
    <s v="Волков Николай Алексеевич"/>
    <s v="Рабочий"/>
    <s v="Подразделение13"/>
    <x v="1"/>
    <x v="1"/>
    <n v="0"/>
    <n v="0"/>
    <s v="назначение на целевую должность"/>
    <d v="2022-07-14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28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79"/>
    <s v="Баранкин Григорий Юрьевич"/>
    <n v="1357"/>
    <s v="Прохоров Кирилл Климович"/>
    <s v="Рабочий"/>
    <s v="Подразделение13"/>
    <x v="2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2-11-25T00:00:00"/>
    <n v="1"/>
    <s v="не защищена"/>
    <n v="500285"/>
    <x v="29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80"/>
    <s v="Аксенов Афанасий Семенович"/>
    <n v="407"/>
    <s v="Чистяков Корней Иванович"/>
    <s v="линейный_руководитель_2"/>
    <s v="Подразделение13"/>
    <x v="0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85"/>
    <x v="29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80"/>
    <s v="Аксенов Афанасий Семенович"/>
    <n v="1358"/>
    <s v="Дорофеев Лавр Геннадьевич"/>
    <s v="линейный_руководитель_2"/>
    <s v="Подразделение13"/>
    <x v="1"/>
    <x v="2"/>
    <n v="1"/>
    <n v="0"/>
    <s v="назначение на равнозначную должность"/>
    <d v="2022-11-25T00:00:00"/>
    <s v="исключение"/>
    <s v="протокол-№-25.11.2022"/>
  </r>
  <r>
    <s v="Функциональное направление 6"/>
    <n v="4"/>
    <d v="2021-08-17T00:00:00"/>
    <n v="1"/>
    <s v="не защищена"/>
    <n v="500286"/>
    <x v="291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3-01T00:00:00"/>
    <d v="2022-06-01T00:00:00"/>
    <s v="из резерва (учитываем)"/>
    <n v="281"/>
    <s v="Красных Еремей Филатович"/>
    <n v="1359"/>
    <s v="Исаев Кирилл Михайло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6"/>
    <x v="291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3-01T00:00:00"/>
    <d v="2022-06-01T00:00:00"/>
    <s v="из резерва (учитываем)"/>
    <n v="281"/>
    <s v="Красных Еремей Филатович"/>
    <n v="407"/>
    <s v="Чистяков Корней Иванович"/>
    <s v="линейный_руководитель_2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6"/>
    <x v="291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3-01T00:00:00"/>
    <d v="2022-06-01T00:00:00"/>
    <s v="из резерва (учитываем)"/>
    <n v="281"/>
    <s v="Красных Еремей Филатович"/>
    <n v="281"/>
    <s v="Красных Еремей Филатович"/>
    <s v="линейный_руководитель_2"/>
    <s v="Подразделение13"/>
    <x v="1"/>
    <x v="1"/>
    <n v="1"/>
    <n v="1"/>
    <s v="назначение на целевую должность"/>
    <d v="2022-06-01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87"/>
    <x v="292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82"/>
    <s v="Чистяков Виталий Лаврович"/>
    <n v="1360"/>
    <s v="Исаев Глеб Марк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7"/>
    <x v="292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282"/>
    <s v="Чистяков Виталий Лаврович"/>
    <n v="1350"/>
    <s v="Дорофеев Кирилл Кондратье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88"/>
    <x v="29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3"/>
    <s v="Чистяков Корней Анатольевич"/>
    <n v="1361"/>
    <s v="Незнамов Юрий Геннадье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3"/>
    <s v="Чистяков Корней Анатольевич"/>
    <n v="1362"/>
    <s v="Игнатьев Матвей Михайло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3"/>
    <s v="Чистяков Корней Анатольевич"/>
    <n v="1363"/>
    <s v="Семенов Кирилл Игнато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3"/>
    <s v="Чистяков Корней Анатольевич"/>
    <n v="1364"/>
    <s v="Брежнев Виталий Климо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3"/>
    <s v="Чистяков Корней Анатольевич"/>
    <n v="1360"/>
    <s v="Исаев Глеб Марк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8"/>
    <x v="29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3"/>
    <s v="Чистяков Корней Анатольевич"/>
    <n v="1365"/>
    <s v="Дорофеев Лавр Семенович"/>
    <s v="Рабочий"/>
    <s v="Подразделение13"/>
    <x v="1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88"/>
    <x v="29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3"/>
    <s v="Чистяков Корней Анатольевич"/>
    <n v="1366"/>
    <s v="Коровкин Юрий Александрович"/>
    <s v="Рабочий"/>
    <s v="Подразделение13"/>
    <x v="1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88"/>
    <x v="29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3"/>
    <s v="Чистяков Корней Анатольевич"/>
    <n v="1367"/>
    <s v="Игнатьев Роман Михайлович"/>
    <s v="Рабочий"/>
    <s v="Подразделение13"/>
    <x v="0"/>
    <x v="2"/>
    <n v="1"/>
    <n v="0"/>
    <s v="увольнение"/>
    <d v="2022-10-0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88"/>
    <x v="29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4"/>
    <s v="Баранкин Прохор Кириллович"/>
    <n v="1361"/>
    <s v="Незнамов Юрий Геннадье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4"/>
    <s v="Баранкин Прохор Кириллович"/>
    <n v="1362"/>
    <s v="Игнатьев Матвей Михайл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4"/>
    <s v="Баранкин Прохор Кириллович"/>
    <n v="1363"/>
    <s v="Семенов Кирилл Игнат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4"/>
    <s v="Баранкин Прохор Кириллович"/>
    <n v="1364"/>
    <s v="Брежнев Виталий Клим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4"/>
    <s v="Баранкин Прохор Кириллович"/>
    <n v="1360"/>
    <s v="Исаев Глеб Марк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8"/>
    <x v="29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4"/>
    <s v="Баранкин Прохор Кириллович"/>
    <n v="1365"/>
    <s v="Дорофеев Лавр Семено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88"/>
    <x v="29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4"/>
    <s v="Баранкин Прохор Кириллович"/>
    <n v="1366"/>
    <s v="Коровкин Юрий Александро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88"/>
    <x v="29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4"/>
    <s v="Баранкин Прохор Кириллович"/>
    <n v="1367"/>
    <s v="Игнатьев Роман Михайлович"/>
    <s v="Рабочий"/>
    <s v="Подразделение13"/>
    <x v="0"/>
    <x v="2"/>
    <n v="0"/>
    <n v="0"/>
    <s v="увольнение"/>
    <d v="2022-10-0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88"/>
    <x v="29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5"/>
    <s v="Поминов Корней Александрович"/>
    <n v="1361"/>
    <s v="Незнамов Юрий Геннадье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5"/>
    <s v="Поминов Корней Александрович"/>
    <n v="1362"/>
    <s v="Игнатьев Матвей Михайл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5"/>
    <s v="Поминов Корней Александрович"/>
    <n v="1363"/>
    <s v="Семенов Кирилл Игнат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5"/>
    <s v="Поминов Корней Александрович"/>
    <n v="1364"/>
    <s v="Брежнев Виталий Клим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5"/>
    <s v="Поминов Корней Александрович"/>
    <n v="1360"/>
    <s v="Исаев Глеб Марк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8"/>
    <x v="29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5"/>
    <s v="Поминов Корней Александрович"/>
    <n v="1365"/>
    <s v="Дорофеев Лавр Семено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88"/>
    <x v="29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5"/>
    <s v="Поминов Корней Александрович"/>
    <n v="1366"/>
    <s v="Коровкин Юрий Александро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88"/>
    <x v="29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5"/>
    <s v="Поминов Корней Александрович"/>
    <n v="1367"/>
    <s v="Игнатьев Роман Михайлович"/>
    <s v="Рабочий"/>
    <s v="Подразделение13"/>
    <x v="0"/>
    <x v="2"/>
    <n v="0"/>
    <n v="0"/>
    <s v="увольнение"/>
    <d v="2022-10-0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88"/>
    <x v="29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6"/>
    <s v="Чистяков Герасим Константинович"/>
    <n v="1361"/>
    <s v="Незнамов Юрий Геннадье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6"/>
    <s v="Чистяков Герасим Константинович"/>
    <n v="1362"/>
    <s v="Игнатьев Матвей Михайл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6"/>
    <s v="Чистяков Герасим Константинович"/>
    <n v="1363"/>
    <s v="Семенов Кирилл Игнат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6"/>
    <s v="Чистяков Герасим Константинович"/>
    <n v="1364"/>
    <s v="Брежнев Виталий Клим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8"/>
    <x v="29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6"/>
    <s v="Чистяков Герасим Константинович"/>
    <n v="1360"/>
    <s v="Исаев Глеб Марк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8"/>
    <x v="29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6"/>
    <s v="Чистяков Герасим Константинович"/>
    <n v="1365"/>
    <s v="Дорофеев Лавр Семено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88"/>
    <x v="29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6"/>
    <s v="Чистяков Герасим Константинович"/>
    <n v="1366"/>
    <s v="Коровкин Юрий Александро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88"/>
    <x v="29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286"/>
    <s v="Чистяков Герасим Константинович"/>
    <n v="1367"/>
    <s v="Игнатьев Роман Михайлович"/>
    <s v="Рабочий"/>
    <s v="Подразделение13"/>
    <x v="0"/>
    <x v="2"/>
    <n v="0"/>
    <n v="0"/>
    <s v="увольнение"/>
    <d v="2022-10-02T00:00:00"/>
    <s v="не рассматривали"/>
    <s v="протокол-№-17.08.2021"/>
  </r>
  <r>
    <s v="Функциональное направление 6"/>
    <n v="3"/>
    <d v="2018-11-21T00:00:00"/>
    <n v="1"/>
    <s v="не защищена"/>
    <n v="500289"/>
    <x v="297"/>
    <n v="13"/>
    <s v="Подразделение13"/>
    <s v="подразделение_2_уровня13"/>
    <s v="-"/>
    <s v="руководитель_среднего_уровня_2"/>
    <n v="5"/>
    <s v="нет"/>
    <m/>
    <m/>
    <m/>
    <n v="287"/>
    <s v="Чистяков Алексей Александрович"/>
    <n v="1368"/>
    <s v="Коростелев Савелий Герасимович"/>
    <s v="функциональный_руководитель_1"/>
    <s v="Подразделение13"/>
    <x v="1"/>
    <x v="0"/>
    <n v="1"/>
    <n v="0"/>
    <m/>
    <m/>
    <s v="без изменений"/>
    <s v="протокол-№-26.05.2022"/>
  </r>
  <r>
    <s v="Функциональное направление 6"/>
    <n v="3"/>
    <d v="2019-11-12T00:00:00"/>
    <n v="0"/>
    <s v="не защищена"/>
    <n v="500289"/>
    <x v="297"/>
    <n v="13"/>
    <s v="Подразделение13"/>
    <s v="подразделение_2_уровня13"/>
    <s v="-"/>
    <s v="руководитель_среднего_уровня_2"/>
    <n v="5"/>
    <s v="нет"/>
    <m/>
    <m/>
    <m/>
    <n v="287"/>
    <s v="Чистяков Алексей Александрович"/>
    <n v="290"/>
    <s v="Карасев Никита Филатович"/>
    <s v="линейный_руководитель_2"/>
    <s v="Подразделение13"/>
    <x v="0"/>
    <x v="0"/>
    <n v="1"/>
    <n v="0"/>
    <m/>
    <m/>
    <s v="без изменений"/>
    <s v="протокол-№-26.05.2022"/>
  </r>
  <r>
    <s v="Функциональное направление 6"/>
    <n v="3"/>
    <d v="2021-05-27T00:00:00"/>
    <n v="0"/>
    <s v="не защищена"/>
    <n v="500289"/>
    <x v="297"/>
    <n v="13"/>
    <s v="Подразделение13"/>
    <s v="подразделение_2_уровня13"/>
    <s v="-"/>
    <s v="руководитель_среднего_уровня_2"/>
    <n v="5"/>
    <s v="нет"/>
    <m/>
    <m/>
    <m/>
    <n v="287"/>
    <s v="Чистяков Алексей Александрович"/>
    <n v="288"/>
    <s v="Тихонов Лавр Сидорович"/>
    <s v="линейный_руководитель_2"/>
    <s v="Подразделение13"/>
    <x v="2"/>
    <x v="0"/>
    <n v="1"/>
    <n v="0"/>
    <m/>
    <m/>
    <s v="без изменений"/>
    <s v="протокол-№-26.05.2022"/>
  </r>
  <r>
    <s v="Функциональное направление 6"/>
    <n v="3"/>
    <d v="2022-05-26T00:00:00"/>
    <n v="0"/>
    <s v="не защищена"/>
    <n v="500289"/>
    <x v="297"/>
    <n v="13"/>
    <s v="Подразделение13"/>
    <s v="подразделение_2_уровня13"/>
    <s v="-"/>
    <s v="руководитель_среднего_уровня_2"/>
    <n v="5"/>
    <s v="нет"/>
    <m/>
    <m/>
    <m/>
    <n v="287"/>
    <s v="Чистяков Алексей Александрович"/>
    <n v="291"/>
    <s v="Чистяков Тихон Александрович"/>
    <s v="линейный_руководитель_2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3"/>
    <d v="2022-05-26T00:00:00"/>
    <n v="0"/>
    <s v="не защищена"/>
    <n v="500289"/>
    <x v="297"/>
    <n v="13"/>
    <s v="Подразделение13"/>
    <s v="подразделение_2_уровня13"/>
    <s v="-"/>
    <s v="руководитель_среднего_уровня_2"/>
    <n v="5"/>
    <s v="нет"/>
    <m/>
    <m/>
    <m/>
    <n v="287"/>
    <s v="Чистяков Алексей Александрович"/>
    <n v="1370"/>
    <s v="Гуськов Матвей Владиславович"/>
    <s v="Рабочий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4"/>
    <d v="2021-08-17T00:00:00"/>
    <n v="1"/>
    <s v="не защищена"/>
    <n v="500290"/>
    <x v="298"/>
    <n v="13"/>
    <s v="Подразделение13"/>
    <s v="подразделение_2_уровня13"/>
    <s v="-"/>
    <s v="линейный_руководитель_2"/>
    <n v="7"/>
    <s v="да"/>
    <d v="2022-09-16T00:00:00"/>
    <d v="2022-09-16T00:00:00"/>
    <s v="из резерва (учитываем)"/>
    <n v="288"/>
    <s v="Тихонов Лавр Сидорович"/>
    <n v="1370"/>
    <s v="Гуськов Матвей Владиславо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90"/>
    <x v="298"/>
    <n v="13"/>
    <s v="Подразделение13"/>
    <s v="подразделение_2_уровня13"/>
    <s v="-"/>
    <s v="линейный_руководитель_2"/>
    <n v="7"/>
    <s v="да"/>
    <d v="2022-09-16T00:00:00"/>
    <d v="2022-09-16T00:00:00"/>
    <s v="из резерва (учитываем)"/>
    <n v="288"/>
    <s v="Тихонов Лавр Сидорович"/>
    <n v="288"/>
    <s v="Тихонов Лавр Сидорович"/>
    <s v="линейный_руководитель_2"/>
    <s v="Подразделение13"/>
    <x v="0"/>
    <x v="1"/>
    <n v="1"/>
    <n v="1"/>
    <s v="назначение на целевую должность"/>
    <d v="2022-09-16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91"/>
    <x v="299"/>
    <n v="13"/>
    <s v="Подразделение13"/>
    <s v="подразделение_2_уровня13"/>
    <s v="-"/>
    <s v="линейный_руководитель_1"/>
    <n v="7"/>
    <s v="нет"/>
    <m/>
    <m/>
    <m/>
    <n v="289"/>
    <s v="Поминов Данил Егорович"/>
    <n v="1371"/>
    <s v="Ветров Савелий Михайл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91"/>
    <x v="299"/>
    <n v="13"/>
    <s v="Подразделение13"/>
    <s v="подразделение_2_уровня13"/>
    <s v="-"/>
    <s v="линейный_руководитель_1"/>
    <n v="7"/>
    <s v="нет"/>
    <m/>
    <m/>
    <m/>
    <n v="289"/>
    <s v="Поминов Данил Егорович"/>
    <n v="1370"/>
    <s v="Гуськов Матвей Владислав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91"/>
    <x v="299"/>
    <n v="13"/>
    <s v="Подразделение13"/>
    <s v="подразделение_2_уровня13"/>
    <s v="-"/>
    <s v="линейный_руководитель_1"/>
    <n v="7"/>
    <s v="нет"/>
    <m/>
    <m/>
    <m/>
    <n v="289"/>
    <s v="Поминов Данил Егорович"/>
    <n v="1372"/>
    <s v="Брежнев Савелий Владиславо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91"/>
    <x v="299"/>
    <n v="13"/>
    <s v="Подразделение13"/>
    <s v="подразделение_2_уровня13"/>
    <s v="-"/>
    <s v="линейный_руководитель_1"/>
    <n v="7"/>
    <s v="нет"/>
    <m/>
    <m/>
    <m/>
    <n v="289"/>
    <s v="Поминов Данил Егорович"/>
    <n v="1373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1"/>
    <s v="не защищена"/>
    <n v="500291"/>
    <x v="300"/>
    <n v="13"/>
    <s v="Подразделение13"/>
    <s v="подразделение_2_уровня13"/>
    <s v="-"/>
    <s v="линейный_руководитель_1"/>
    <n v="7"/>
    <s v="нет"/>
    <m/>
    <m/>
    <m/>
    <n v="290"/>
    <s v="Карасев Никита Филатович"/>
    <n v="1371"/>
    <s v="Ветров Савел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91"/>
    <x v="300"/>
    <n v="13"/>
    <s v="Подразделение13"/>
    <s v="подразделение_2_уровня13"/>
    <s v="-"/>
    <s v="линейный_руководитель_1"/>
    <n v="7"/>
    <s v="нет"/>
    <m/>
    <m/>
    <m/>
    <n v="290"/>
    <s v="Карасев Никита Филатович"/>
    <n v="1370"/>
    <s v="Гуськов Матвей Владислав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91"/>
    <x v="300"/>
    <n v="13"/>
    <s v="Подразделение13"/>
    <s v="подразделение_2_уровня13"/>
    <s v="-"/>
    <s v="линейный_руководитель_1"/>
    <n v="7"/>
    <s v="нет"/>
    <m/>
    <m/>
    <m/>
    <n v="290"/>
    <s v="Карасев Никита Филатович"/>
    <n v="1372"/>
    <s v="Брежнев Савелий Владислав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91"/>
    <x v="300"/>
    <n v="13"/>
    <s v="Подразделение13"/>
    <s v="подразделение_2_уровня13"/>
    <s v="-"/>
    <s v="линейный_руководитель_1"/>
    <n v="7"/>
    <s v="нет"/>
    <m/>
    <m/>
    <m/>
    <n v="290"/>
    <s v="Карасев Никита Филатович"/>
    <n v="1373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1"/>
    <s v="не защищена"/>
    <n v="500291"/>
    <x v="301"/>
    <n v="13"/>
    <s v="Подразделение13"/>
    <s v="подразделение_2_уровня13"/>
    <s v="-"/>
    <s v="линейный_руководитель_1"/>
    <n v="7"/>
    <s v="нет"/>
    <m/>
    <m/>
    <m/>
    <n v="291"/>
    <s v="Чистяков Тихон Александрович"/>
    <n v="1371"/>
    <s v="Ветров Савел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91"/>
    <x v="301"/>
    <n v="13"/>
    <s v="Подразделение13"/>
    <s v="подразделение_2_уровня13"/>
    <s v="-"/>
    <s v="линейный_руководитель_1"/>
    <n v="7"/>
    <s v="нет"/>
    <m/>
    <m/>
    <m/>
    <n v="291"/>
    <s v="Чистяков Тихон Александрович"/>
    <n v="1370"/>
    <s v="Гуськов Матвей Владислав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91"/>
    <x v="301"/>
    <n v="13"/>
    <s v="Подразделение13"/>
    <s v="подразделение_2_уровня13"/>
    <s v="-"/>
    <s v="линейный_руководитель_1"/>
    <n v="7"/>
    <s v="нет"/>
    <m/>
    <m/>
    <m/>
    <n v="291"/>
    <s v="Чистяков Тихон Александрович"/>
    <n v="1372"/>
    <s v="Брежнев Савелий Владислав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91"/>
    <x v="301"/>
    <n v="13"/>
    <s v="Подразделение13"/>
    <s v="подразделение_2_уровня13"/>
    <s v="-"/>
    <s v="линейный_руководитель_1"/>
    <n v="7"/>
    <s v="нет"/>
    <m/>
    <m/>
    <m/>
    <n v="291"/>
    <s v="Чистяков Тихон Александрович"/>
    <n v="1373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1"/>
    <s v="не защищена"/>
    <n v="500291"/>
    <x v="302"/>
    <n v="13"/>
    <s v="Подразделение13"/>
    <s v="подразделение_2_уровня13"/>
    <s v="-"/>
    <s v="линейный_руководитель_1"/>
    <n v="7"/>
    <s v="нет"/>
    <m/>
    <m/>
    <m/>
    <n v="292"/>
    <s v="Цветков Алексей Федотович"/>
    <n v="1371"/>
    <s v="Ветров Савел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91"/>
    <x v="302"/>
    <n v="13"/>
    <s v="Подразделение13"/>
    <s v="подразделение_2_уровня13"/>
    <s v="-"/>
    <s v="линейный_руководитель_1"/>
    <n v="7"/>
    <s v="нет"/>
    <m/>
    <m/>
    <m/>
    <n v="292"/>
    <s v="Цветков Алексей Федотович"/>
    <n v="1370"/>
    <s v="Гуськов Матвей Владислав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91"/>
    <x v="302"/>
    <n v="13"/>
    <s v="Подразделение13"/>
    <s v="подразделение_2_уровня13"/>
    <s v="-"/>
    <s v="линейный_руководитель_1"/>
    <n v="7"/>
    <s v="нет"/>
    <m/>
    <m/>
    <m/>
    <n v="292"/>
    <s v="Цветков Алексей Федотович"/>
    <n v="1372"/>
    <s v="Брежнев Савелий Владислав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91"/>
    <x v="302"/>
    <n v="13"/>
    <s v="Подразделение13"/>
    <s v="подразделение_2_уровня13"/>
    <s v="-"/>
    <s v="линейный_руководитель_1"/>
    <n v="7"/>
    <s v="нет"/>
    <m/>
    <m/>
    <m/>
    <n v="292"/>
    <s v="Цветков Алексей Федотович"/>
    <n v="1373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25.11.2022"/>
  </r>
  <r>
    <s v="Функциональное направление 6"/>
    <n v="3"/>
    <d v="2017-12-11T00:00:00"/>
    <n v="1"/>
    <s v="не защищена"/>
    <n v="500439"/>
    <x v="303"/>
    <n v="15"/>
    <s v="Подразделение15"/>
    <s v="подразделение_2_уровня15"/>
    <s v="-"/>
    <s v="ТОП_руководитель_2"/>
    <n v="4"/>
    <s v="да"/>
    <d v="2022-09-08T00:00:00"/>
    <d v="2022-12-06T00:00:00"/>
    <s v="ротация (не учитываем)"/>
    <n v="293"/>
    <s v="Волков Матвей Кондратьевич"/>
    <n v="1374"/>
    <s v="Незнамов Арсений Геннадьевич"/>
    <s v="функциональный_руководитель_1"/>
    <s v="Подразделение15"/>
    <x v="1"/>
    <x v="0"/>
    <n v="1"/>
    <n v="0"/>
    <m/>
    <m/>
    <s v="без изменений"/>
    <s v="протокол-№-24.05.2021"/>
  </r>
  <r>
    <s v="Функциональное направление 6"/>
    <n v="3"/>
    <d v="2017-12-11T00:00:00"/>
    <n v="0"/>
    <s v="не защищена"/>
    <n v="500439"/>
    <x v="303"/>
    <n v="15"/>
    <s v="Подразделение15"/>
    <s v="подразделение_2_уровня15"/>
    <s v="-"/>
    <s v="ТОП_руководитель_2"/>
    <n v="4"/>
    <s v="да"/>
    <d v="2022-09-08T00:00:00"/>
    <d v="2022-12-06T00:00:00"/>
    <s v="ротация (не учитываем)"/>
    <n v="293"/>
    <s v="Волков Матвей Кондратьевич"/>
    <n v="464"/>
    <s v="Поминов Алексей Романович"/>
    <s v="линейный_руководитель_3"/>
    <s v="Подразделение15"/>
    <x v="0"/>
    <x v="0"/>
    <n v="1"/>
    <n v="0"/>
    <m/>
    <m/>
    <s v="без изменений"/>
    <s v="протокол-№-24.05.2021"/>
  </r>
  <r>
    <s v="Функциональное направление 6"/>
    <n v="3"/>
    <d v="2022-05-26T00:00:00"/>
    <n v="0"/>
    <s v="не защищена"/>
    <n v="500439"/>
    <x v="303"/>
    <n v="15"/>
    <s v="Подразделение15"/>
    <s v="подразделение_2_уровня15"/>
    <s v="-"/>
    <s v="ТОП_руководитель_2"/>
    <n v="4"/>
    <s v="да"/>
    <d v="2022-09-08T00:00:00"/>
    <d v="2022-12-06T00:00:00"/>
    <s v="ротация (не учитываем)"/>
    <n v="293"/>
    <s v="Волков Матвей Кондратьевич"/>
    <n v="1375"/>
    <s v="Брежнев Глеб Семенович"/>
    <s v="ТОП_руководитель_3"/>
    <s v="Подразделение_др8"/>
    <x v="0"/>
    <x v="0"/>
    <n v="1"/>
    <n v="0"/>
    <m/>
    <m/>
    <s v="не рассматривали"/>
    <s v="протокол-№-26.05.2022"/>
  </r>
  <r>
    <s v="Функциональное направление 6"/>
    <n v="3"/>
    <d v="2019-11-12T00:00:00"/>
    <n v="1"/>
    <s v="не защищена"/>
    <n v="500440"/>
    <x v="304"/>
    <n v="15"/>
    <s v="Подразделение15"/>
    <s v="подразделение_2_уровня15"/>
    <s v="-"/>
    <s v="линейный_руководитель_3"/>
    <n v="5"/>
    <s v="нет"/>
    <m/>
    <m/>
    <m/>
    <n v="294"/>
    <s v="Волков Петр Денисович"/>
    <n v="330"/>
    <s v="Семенов Николай Матвеевич"/>
    <s v="функциональный_руководитель_3"/>
    <s v="Подразделение15"/>
    <x v="1"/>
    <x v="0"/>
    <n v="1"/>
    <n v="0"/>
    <m/>
    <m/>
    <s v="повышение"/>
    <s v="протокол-№-26.05.2022"/>
  </r>
  <r>
    <s v="Функциональное направление 6"/>
    <n v="3"/>
    <d v="2021-05-27T00:00:00"/>
    <n v="0"/>
    <s v="не защищена"/>
    <n v="500440"/>
    <x v="304"/>
    <n v="15"/>
    <s v="Подразделение15"/>
    <s v="подразделение_2_уровня15"/>
    <s v="-"/>
    <s v="линейный_руководитель_3"/>
    <n v="5"/>
    <s v="нет"/>
    <m/>
    <m/>
    <m/>
    <n v="294"/>
    <s v="Волков Петр Денисович"/>
    <n v="324"/>
    <s v="Пальчиков Тихон Егорович"/>
    <s v="руководитель_среднего_уровня_2"/>
    <s v="Подразделение15"/>
    <x v="0"/>
    <x v="0"/>
    <n v="1"/>
    <n v="0"/>
    <m/>
    <m/>
    <s v="повышение"/>
    <s v="протокол-№-26.05.2022"/>
  </r>
  <r>
    <s v="Функциональное направление 6"/>
    <n v="3"/>
    <d v="2018-11-21T00:00:00"/>
    <n v="0"/>
    <s v="не защищена"/>
    <n v="500440"/>
    <x v="304"/>
    <n v="15"/>
    <s v="Подразделение15"/>
    <s v="подразделение_2_уровня15"/>
    <s v="-"/>
    <s v="линейный_руководитель_3"/>
    <n v="5"/>
    <s v="нет"/>
    <m/>
    <m/>
    <m/>
    <n v="294"/>
    <s v="Волков Петр Денисович"/>
    <n v="1375"/>
    <s v="Брежнев Глеб Семенович"/>
    <s v="ТОП_руководитель_3"/>
    <s v="Подразделение_др8"/>
    <x v="1"/>
    <x v="2"/>
    <n v="1"/>
    <n v="0"/>
    <s v="назначение на должность более высокого уровня"/>
    <d v="2022-12-05T00:00:00"/>
    <s v="без изменений"/>
    <s v="протокол-№-26.05.2022"/>
  </r>
  <r>
    <s v="Функциональное направление 6"/>
    <n v="4"/>
    <d v="2021-08-16T00:00:00"/>
    <n v="1"/>
    <s v="не защищена"/>
    <n v="500441"/>
    <x v="305"/>
    <n v="15"/>
    <s v="Подразделение15"/>
    <s v="подразделение_2_уровня15"/>
    <s v="-"/>
    <s v="руководитель_среднего_уровня_3"/>
    <n v="6"/>
    <s v="да"/>
    <d v="2023-06-12T00:00:00"/>
    <m/>
    <m/>
    <s v="вакансия"/>
    <s v="вакансия"/>
    <n v="318"/>
    <s v="Поминов Константин Федотович"/>
    <s v="линейный_руководитель_2"/>
    <s v="Подразделение15"/>
    <x v="0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5"/>
    <n v="15"/>
    <s v="Подразделение15"/>
    <s v="подразделение_2_уровня15"/>
    <s v="-"/>
    <s v="руководитель_среднего_уровня_3"/>
    <n v="6"/>
    <s v="да"/>
    <d v="2023-06-12T00:00:00"/>
    <m/>
    <m/>
    <s v="вакансия"/>
    <s v="вакансия"/>
    <n v="408"/>
    <s v="Нырков Алексей Романович"/>
    <s v="линейный_руководитель_2"/>
    <s v="Подразделение15"/>
    <x v="0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5"/>
    <n v="15"/>
    <s v="Подразделение15"/>
    <s v="подразделение_2_уровня15"/>
    <s v="-"/>
    <s v="руководитель_среднего_уровня_3"/>
    <n v="6"/>
    <s v="да"/>
    <d v="2023-06-12T00:00:00"/>
    <m/>
    <m/>
    <s v="вакансия"/>
    <s v="вакансия"/>
    <n v="409"/>
    <s v="Нырков Тихон Денисович"/>
    <s v="линейный_руководитель_2"/>
    <s v="Подразделение15"/>
    <x v="0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5"/>
    <n v="15"/>
    <s v="Подразделение15"/>
    <s v="подразделение_2_уровня15"/>
    <s v="-"/>
    <s v="руководитель_среднего_уровня_3"/>
    <n v="6"/>
    <s v="да"/>
    <d v="2023-06-12T00:00:00"/>
    <m/>
    <m/>
    <s v="вакансия"/>
    <s v="вакансия"/>
    <n v="337"/>
    <s v="Аксенов Лавр Романович"/>
    <s v="линейный_руководитель_2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1"/>
    <x v="306"/>
    <n v="15"/>
    <s v="Подразделение15"/>
    <s v="подразделение_2_уровня15"/>
    <s v="-"/>
    <s v="руководитель_среднего_уровня_3"/>
    <n v="6"/>
    <s v="нет"/>
    <m/>
    <m/>
    <m/>
    <n v="295"/>
    <s v="Зверев Потап Денисович"/>
    <n v="318"/>
    <s v="Поминов Константин Федотович"/>
    <s v="линейный_руководитель_2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6"/>
    <n v="15"/>
    <s v="Подразделение15"/>
    <s v="подразделение_2_уровня15"/>
    <s v="-"/>
    <s v="руководитель_среднего_уровня_3"/>
    <n v="6"/>
    <s v="нет"/>
    <m/>
    <m/>
    <m/>
    <n v="295"/>
    <s v="Зверев Потап Денисович"/>
    <n v="408"/>
    <s v="Нырков Алексей Романович"/>
    <s v="линейный_руководитель_2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6"/>
    <n v="15"/>
    <s v="Подразделение15"/>
    <s v="подразделение_2_уровня15"/>
    <s v="-"/>
    <s v="руководитель_среднего_уровня_3"/>
    <n v="6"/>
    <s v="нет"/>
    <m/>
    <m/>
    <m/>
    <n v="295"/>
    <s v="Зверев Потап Денисович"/>
    <n v="409"/>
    <s v="Нырков Тихон Денисович"/>
    <s v="линейный_руководитель_2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6"/>
    <n v="15"/>
    <s v="Подразделение15"/>
    <s v="подразделение_2_уровня15"/>
    <s v="-"/>
    <s v="руководитель_среднего_уровня_3"/>
    <n v="6"/>
    <s v="нет"/>
    <m/>
    <m/>
    <m/>
    <n v="295"/>
    <s v="Зверев Потап Денисович"/>
    <n v="337"/>
    <s v="Аксенов Лавр Романович"/>
    <s v="линейный_руководитель_2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1"/>
    <x v="307"/>
    <n v="15"/>
    <s v="Подразделение15"/>
    <s v="подразделение_2_уровня15"/>
    <s v="-"/>
    <s v="руководитель_среднего_уровня_3"/>
    <n v="6"/>
    <s v="нет"/>
    <m/>
    <m/>
    <m/>
    <n v="296"/>
    <s v="Нырков Петр Юрьевич"/>
    <n v="318"/>
    <s v="Поминов Константин Федотович"/>
    <s v="линейный_руководитель_2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7"/>
    <n v="15"/>
    <s v="Подразделение15"/>
    <s v="подразделение_2_уровня15"/>
    <s v="-"/>
    <s v="руководитель_среднего_уровня_3"/>
    <n v="6"/>
    <s v="нет"/>
    <m/>
    <m/>
    <m/>
    <n v="296"/>
    <s v="Нырков Петр Юрьевич"/>
    <n v="408"/>
    <s v="Нырков Алексей Романович"/>
    <s v="линейный_руководитель_2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7"/>
    <n v="15"/>
    <s v="Подразделение15"/>
    <s v="подразделение_2_уровня15"/>
    <s v="-"/>
    <s v="руководитель_среднего_уровня_3"/>
    <n v="6"/>
    <s v="нет"/>
    <m/>
    <m/>
    <m/>
    <n v="296"/>
    <s v="Нырков Петр Юрьевич"/>
    <n v="409"/>
    <s v="Нырков Тихон Денисович"/>
    <s v="линейный_руководитель_2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7"/>
    <n v="15"/>
    <s v="Подразделение15"/>
    <s v="подразделение_2_уровня15"/>
    <s v="-"/>
    <s v="руководитель_среднего_уровня_3"/>
    <n v="6"/>
    <s v="нет"/>
    <m/>
    <m/>
    <m/>
    <n v="296"/>
    <s v="Нырков Петр Юрьевич"/>
    <n v="337"/>
    <s v="Аксенов Лавр Романович"/>
    <s v="линейный_руководитель_2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1"/>
    <x v="308"/>
    <n v="15"/>
    <s v="Подразделение15"/>
    <s v="подразделение_2_уровня15"/>
    <s v="-"/>
    <s v="руководитель_среднего_уровня_3"/>
    <n v="6"/>
    <s v="нет"/>
    <m/>
    <m/>
    <m/>
    <n v="297"/>
    <s v="Баранкин Тихон Борисович"/>
    <n v="318"/>
    <s v="Поминов Константин Федотович"/>
    <s v="линейный_руководитель_2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8"/>
    <n v="15"/>
    <s v="Подразделение15"/>
    <s v="подразделение_2_уровня15"/>
    <s v="-"/>
    <s v="руководитель_среднего_уровня_3"/>
    <n v="6"/>
    <s v="нет"/>
    <m/>
    <m/>
    <m/>
    <n v="297"/>
    <s v="Баранкин Тихон Борисович"/>
    <n v="408"/>
    <s v="Нырков Алексей Романович"/>
    <s v="линейный_руководитель_2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8"/>
    <n v="15"/>
    <s v="Подразделение15"/>
    <s v="подразделение_2_уровня15"/>
    <s v="-"/>
    <s v="руководитель_среднего_уровня_3"/>
    <n v="6"/>
    <s v="нет"/>
    <m/>
    <m/>
    <m/>
    <n v="297"/>
    <s v="Баранкин Тихон Борисович"/>
    <n v="409"/>
    <s v="Нырков Тихон Денисович"/>
    <s v="линейный_руководитель_2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1"/>
    <x v="308"/>
    <n v="15"/>
    <s v="Подразделение15"/>
    <s v="подразделение_2_уровня15"/>
    <s v="-"/>
    <s v="руководитель_среднего_уровня_3"/>
    <n v="6"/>
    <s v="нет"/>
    <m/>
    <m/>
    <m/>
    <n v="297"/>
    <s v="Баранкин Тихон Борисович"/>
    <n v="337"/>
    <s v="Аксенов Лавр Романович"/>
    <s v="линейный_руководитель_2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2"/>
    <x v="309"/>
    <n v="15"/>
    <s v="Подразделение15"/>
    <s v="подразделение_2_уровня15"/>
    <s v="подразделение_3_уровня15"/>
    <s v="функциональный_руководитель_3"/>
    <n v="7"/>
    <s v="нет"/>
    <m/>
    <m/>
    <m/>
    <n v="298"/>
    <s v="Конеев Федот Анатольевич"/>
    <n v="1376"/>
    <s v="Игорев Арсений Ефремович"/>
    <s v="Специалист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3"/>
    <d v="2018-11-21T00:00:00"/>
    <n v="1"/>
    <s v="не защищена"/>
    <n v="500443"/>
    <x v="310"/>
    <n v="15"/>
    <s v="Подразделение15"/>
    <s v="подразделение_2_уровня15"/>
    <s v="-"/>
    <s v="руководитель_среднего_уровня_2"/>
    <n v="5"/>
    <s v="нет"/>
    <m/>
    <m/>
    <m/>
    <n v="299"/>
    <s v="Зверев Кирилл Денисович"/>
    <n v="303"/>
    <s v="Михайлов Кирилл Тимофеевич"/>
    <s v="линейный_руководитель_2"/>
    <s v="Подразделение15"/>
    <x v="1"/>
    <x v="0"/>
    <n v="1"/>
    <n v="0"/>
    <m/>
    <m/>
    <s v="без изменений"/>
    <s v="протокол-№-26.05.2022"/>
  </r>
  <r>
    <s v="Функциональное направление 6"/>
    <n v="3"/>
    <d v="2020-06-10T00:00:00"/>
    <n v="0"/>
    <s v="не защищена"/>
    <n v="500443"/>
    <x v="310"/>
    <n v="15"/>
    <s v="Подразделение15"/>
    <s v="подразделение_2_уровня15"/>
    <s v="-"/>
    <s v="руководитель_среднего_уровня_2"/>
    <n v="5"/>
    <s v="нет"/>
    <m/>
    <m/>
    <m/>
    <n v="299"/>
    <s v="Зверев Кирилл Денисович"/>
    <n v="1377"/>
    <s v="Игнатьев Арсений Александрович"/>
    <s v="Специалист"/>
    <s v="Подразделение_др9"/>
    <x v="0"/>
    <x v="0"/>
    <n v="1"/>
    <n v="0"/>
    <m/>
    <m/>
    <s v="повышение"/>
    <s v="протокол-№-26.05.2022"/>
  </r>
  <r>
    <s v="Функциональное направление 6"/>
    <n v="3"/>
    <d v="2018-11-21T00:00:00"/>
    <n v="0"/>
    <s v="не защищена"/>
    <n v="500443"/>
    <x v="310"/>
    <n v="15"/>
    <s v="Подразделение15"/>
    <s v="подразделение_2_уровня15"/>
    <s v="-"/>
    <s v="руководитель_среднего_уровня_2"/>
    <n v="5"/>
    <s v="нет"/>
    <m/>
    <m/>
    <m/>
    <n v="299"/>
    <s v="Зверев Кирилл Денисович"/>
    <n v="1378"/>
    <s v="Ветров Глеб Геннадьевич"/>
    <s v="руководитель_среднего_уровня_3"/>
    <s v="Подразделение15"/>
    <x v="1"/>
    <x v="2"/>
    <n v="1"/>
    <n v="0"/>
    <s v="инициатива комитета / руководителя"/>
    <d v="2021-05-27T00:00:00"/>
    <s v="без изменений"/>
    <s v="протокол-№-16.06.2020"/>
  </r>
  <r>
    <s v="Функциональное направление 6"/>
    <n v="4"/>
    <d v="2021-08-16T00:00:00"/>
    <n v="1"/>
    <s v="не защищена"/>
    <n v="500444"/>
    <x v="311"/>
    <n v="15"/>
    <s v="Подразделение15"/>
    <s v="подразделение_2_уровня15"/>
    <s v="-"/>
    <s v="линейный_руководитель_1"/>
    <n v="7"/>
    <s v="нет"/>
    <m/>
    <m/>
    <m/>
    <n v="300"/>
    <s v="Зверев Александр Михайлович"/>
    <n v="1379"/>
    <s v="Коровкин Афанасий Геннадье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1"/>
    <n v="15"/>
    <s v="Подразделение15"/>
    <s v="подразделение_2_уровня15"/>
    <s v="-"/>
    <s v="линейный_руководитель_1"/>
    <n v="7"/>
    <s v="нет"/>
    <m/>
    <m/>
    <m/>
    <n v="300"/>
    <s v="Зверев Александр Михайлович"/>
    <n v="1380"/>
    <s v="Степанов Иван Кондратьевич"/>
    <s v="Рабочий"/>
    <s v="Подразделение15"/>
    <x v="0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1"/>
    <n v="15"/>
    <s v="Подразделение15"/>
    <s v="подразделение_2_уровня15"/>
    <s v="-"/>
    <s v="линейный_руководитель_1"/>
    <n v="7"/>
    <s v="нет"/>
    <m/>
    <m/>
    <m/>
    <n v="300"/>
    <s v="Зверев Александр Михайлович"/>
    <n v="1381"/>
    <s v="Гуськов Роман Кондратьевич"/>
    <s v="Рабочий"/>
    <s v="Подразделение15"/>
    <x v="0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1"/>
    <n v="15"/>
    <s v="Подразделение15"/>
    <s v="подразделение_2_уровня15"/>
    <s v="-"/>
    <s v="линейный_руководитель_1"/>
    <n v="7"/>
    <s v="нет"/>
    <m/>
    <m/>
    <m/>
    <n v="300"/>
    <s v="Зверев Александр Михайлович"/>
    <n v="1382"/>
    <s v="Игнатьев Ефрем Кондратье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1"/>
    <n v="15"/>
    <s v="Подразделение15"/>
    <s v="подразделение_2_уровня15"/>
    <s v="-"/>
    <s v="линейный_руководитель_1"/>
    <n v="7"/>
    <s v="нет"/>
    <m/>
    <m/>
    <m/>
    <n v="300"/>
    <s v="Зверев Александр Михайлович"/>
    <n v="1383"/>
    <s v="Гуськов Юрий Кузьм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1"/>
    <n v="15"/>
    <s v="Подразделение15"/>
    <s v="подразделение_2_уровня15"/>
    <s v="-"/>
    <s v="линейный_руководитель_1"/>
    <n v="7"/>
    <s v="нет"/>
    <m/>
    <m/>
    <m/>
    <n v="300"/>
    <s v="Зверев Александр Михайлович"/>
    <n v="1384"/>
    <s v="Прохоров Константин Богданович"/>
    <s v="Рабочий"/>
    <s v="Подразделение15"/>
    <x v="0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1"/>
    <n v="15"/>
    <s v="Подразделение15"/>
    <s v="подразделение_2_уровня15"/>
    <s v="-"/>
    <s v="линейный_руководитель_1"/>
    <n v="7"/>
    <s v="нет"/>
    <m/>
    <m/>
    <m/>
    <n v="300"/>
    <s v="Зверев Александр Михайлович"/>
    <n v="302"/>
    <s v="Бураков Петр Максимович"/>
    <s v="Рабочий"/>
    <s v="Подразделение15"/>
    <x v="1"/>
    <x v="1"/>
    <n v="1"/>
    <n v="0"/>
    <s v="назначение на целевую должность"/>
    <d v="2022-07-12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4"/>
    <x v="312"/>
    <n v="15"/>
    <s v="Подразделение15"/>
    <s v="подразделение_2_уровня15"/>
    <s v="-"/>
    <s v="линейный_руководитель_1"/>
    <n v="7"/>
    <s v="нет"/>
    <m/>
    <m/>
    <m/>
    <n v="301"/>
    <s v="Михайлов Венедикт Корнеевич"/>
    <n v="1379"/>
    <s v="Коровкин Афанасий Геннад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2"/>
    <n v="15"/>
    <s v="Подразделение15"/>
    <s v="подразделение_2_уровня15"/>
    <s v="-"/>
    <s v="линейный_руководитель_1"/>
    <n v="7"/>
    <s v="нет"/>
    <m/>
    <m/>
    <m/>
    <n v="301"/>
    <s v="Михайлов Венедикт Корнеевич"/>
    <n v="1380"/>
    <s v="Степанов Иван Кондратье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2"/>
    <n v="15"/>
    <s v="Подразделение15"/>
    <s v="подразделение_2_уровня15"/>
    <s v="-"/>
    <s v="линейный_руководитель_1"/>
    <n v="7"/>
    <s v="нет"/>
    <m/>
    <m/>
    <m/>
    <n v="301"/>
    <s v="Михайлов Венедикт Корнеевич"/>
    <n v="1381"/>
    <s v="Гуськов Роман Кондратье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2"/>
    <n v="15"/>
    <s v="Подразделение15"/>
    <s v="подразделение_2_уровня15"/>
    <s v="-"/>
    <s v="линейный_руководитель_1"/>
    <n v="7"/>
    <s v="нет"/>
    <m/>
    <m/>
    <m/>
    <n v="301"/>
    <s v="Михайлов Венедикт Корнеевич"/>
    <n v="1382"/>
    <s v="Игнатьев Ефрем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2"/>
    <n v="15"/>
    <s v="Подразделение15"/>
    <s v="подразделение_2_уровня15"/>
    <s v="-"/>
    <s v="линейный_руководитель_1"/>
    <n v="7"/>
    <s v="нет"/>
    <m/>
    <m/>
    <m/>
    <n v="301"/>
    <s v="Михайлов Венедикт Корнеевич"/>
    <n v="1383"/>
    <s v="Гуськов Юрий Кузьм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2"/>
    <n v="15"/>
    <s v="Подразделение15"/>
    <s v="подразделение_2_уровня15"/>
    <s v="-"/>
    <s v="линейный_руководитель_1"/>
    <n v="7"/>
    <s v="нет"/>
    <m/>
    <m/>
    <m/>
    <n v="301"/>
    <s v="Михайлов Венедикт Корнеевич"/>
    <n v="1384"/>
    <s v="Прохоров Константин Богдано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2"/>
    <n v="15"/>
    <s v="Подразделение15"/>
    <s v="подразделение_2_уровня15"/>
    <s v="-"/>
    <s v="линейный_руководитель_1"/>
    <n v="7"/>
    <s v="нет"/>
    <m/>
    <m/>
    <m/>
    <n v="301"/>
    <s v="Михайлов Венедикт Корнеевич"/>
    <n v="302"/>
    <s v="Бураков Петр Максимович"/>
    <s v="Рабочий"/>
    <s v="Подразделение15"/>
    <x v="1"/>
    <x v="1"/>
    <n v="0"/>
    <n v="0"/>
    <s v="назначение на целевую должность"/>
    <d v="2022-07-12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4"/>
    <x v="313"/>
    <n v="15"/>
    <s v="Подразделение15"/>
    <s v="подразделение_2_уровня15"/>
    <s v="-"/>
    <s v="линейный_руководитель_1"/>
    <n v="7"/>
    <s v="да"/>
    <d v="2022-06-16T00:00:00"/>
    <d v="2022-07-12T00:00:00"/>
    <s v="из резерва (учитываем)"/>
    <n v="302"/>
    <s v="Бураков Петр Максимович"/>
    <n v="1379"/>
    <s v="Коровкин Афанасий Геннад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3"/>
    <n v="15"/>
    <s v="Подразделение15"/>
    <s v="подразделение_2_уровня15"/>
    <s v="-"/>
    <s v="линейный_руководитель_1"/>
    <n v="7"/>
    <s v="да"/>
    <d v="2022-06-16T00:00:00"/>
    <d v="2022-07-12T00:00:00"/>
    <s v="из резерва (учитываем)"/>
    <n v="302"/>
    <s v="Бураков Петр Максимович"/>
    <n v="1380"/>
    <s v="Степанов Иван Кондратье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3"/>
    <n v="15"/>
    <s v="Подразделение15"/>
    <s v="подразделение_2_уровня15"/>
    <s v="-"/>
    <s v="линейный_руководитель_1"/>
    <n v="7"/>
    <s v="да"/>
    <d v="2022-06-16T00:00:00"/>
    <d v="2022-07-12T00:00:00"/>
    <s v="из резерва (учитываем)"/>
    <n v="302"/>
    <s v="Бураков Петр Максимович"/>
    <n v="1381"/>
    <s v="Гуськов Роман Кондратье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3"/>
    <n v="15"/>
    <s v="Подразделение15"/>
    <s v="подразделение_2_уровня15"/>
    <s v="-"/>
    <s v="линейный_руководитель_1"/>
    <n v="7"/>
    <s v="да"/>
    <d v="2022-06-16T00:00:00"/>
    <d v="2022-07-12T00:00:00"/>
    <s v="из резерва (учитываем)"/>
    <n v="302"/>
    <s v="Бураков Петр Максимович"/>
    <n v="1382"/>
    <s v="Игнатьев Ефрем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3"/>
    <n v="15"/>
    <s v="Подразделение15"/>
    <s v="подразделение_2_уровня15"/>
    <s v="-"/>
    <s v="линейный_руководитель_1"/>
    <n v="7"/>
    <s v="да"/>
    <d v="2022-06-16T00:00:00"/>
    <d v="2022-07-12T00:00:00"/>
    <s v="из резерва (учитываем)"/>
    <n v="302"/>
    <s v="Бураков Петр Максимович"/>
    <n v="1383"/>
    <s v="Гуськов Юрий Кузьм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3"/>
    <n v="15"/>
    <s v="Подразделение15"/>
    <s v="подразделение_2_уровня15"/>
    <s v="-"/>
    <s v="линейный_руководитель_1"/>
    <n v="7"/>
    <s v="да"/>
    <d v="2022-06-16T00:00:00"/>
    <d v="2022-07-12T00:00:00"/>
    <s v="из резерва (учитываем)"/>
    <n v="302"/>
    <s v="Бураков Петр Максимович"/>
    <n v="1384"/>
    <s v="Прохоров Константин Богдано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3"/>
    <n v="15"/>
    <s v="Подразделение15"/>
    <s v="подразделение_2_уровня15"/>
    <s v="-"/>
    <s v="линейный_руководитель_1"/>
    <n v="7"/>
    <s v="да"/>
    <d v="2022-06-16T00:00:00"/>
    <d v="2022-07-12T00:00:00"/>
    <s v="из резерва (учитываем)"/>
    <n v="302"/>
    <s v="Бураков Петр Максимович"/>
    <n v="302"/>
    <s v="Бураков Петр Максимович"/>
    <s v="Рабочий"/>
    <s v="Подразделение15"/>
    <x v="1"/>
    <x v="1"/>
    <n v="0"/>
    <n v="1"/>
    <s v="назначение на целевую должность"/>
    <d v="2022-07-12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4"/>
    <x v="314"/>
    <n v="15"/>
    <s v="Подразделение15"/>
    <s v="подразделение_2_уровня15"/>
    <s v="-"/>
    <s v="линейный_руководитель_1"/>
    <n v="7"/>
    <s v="нет"/>
    <m/>
    <m/>
    <m/>
    <n v="303"/>
    <s v="Михайлов Кирилл Тимофеевич"/>
    <n v="1379"/>
    <s v="Коровкин Афанасий Геннад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4"/>
    <n v="15"/>
    <s v="Подразделение15"/>
    <s v="подразделение_2_уровня15"/>
    <s v="-"/>
    <s v="линейный_руководитель_1"/>
    <n v="7"/>
    <s v="нет"/>
    <m/>
    <m/>
    <m/>
    <n v="303"/>
    <s v="Михайлов Кирилл Тимофеевич"/>
    <n v="1380"/>
    <s v="Степанов Иван Кондратье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4"/>
    <n v="15"/>
    <s v="Подразделение15"/>
    <s v="подразделение_2_уровня15"/>
    <s v="-"/>
    <s v="линейный_руководитель_1"/>
    <n v="7"/>
    <s v="нет"/>
    <m/>
    <m/>
    <m/>
    <n v="303"/>
    <s v="Михайлов Кирилл Тимофеевич"/>
    <n v="1381"/>
    <s v="Гуськов Роман Кондратье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4"/>
    <n v="15"/>
    <s v="Подразделение15"/>
    <s v="подразделение_2_уровня15"/>
    <s v="-"/>
    <s v="линейный_руководитель_1"/>
    <n v="7"/>
    <s v="нет"/>
    <m/>
    <m/>
    <m/>
    <n v="303"/>
    <s v="Михайлов Кирилл Тимофеевич"/>
    <n v="1382"/>
    <s v="Игнатьев Ефрем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4"/>
    <n v="15"/>
    <s v="Подразделение15"/>
    <s v="подразделение_2_уровня15"/>
    <s v="-"/>
    <s v="линейный_руководитель_1"/>
    <n v="7"/>
    <s v="нет"/>
    <m/>
    <m/>
    <m/>
    <n v="303"/>
    <s v="Михайлов Кирилл Тимофеевич"/>
    <n v="1383"/>
    <s v="Гуськов Юрий Кузьм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4"/>
    <n v="15"/>
    <s v="Подразделение15"/>
    <s v="подразделение_2_уровня15"/>
    <s v="-"/>
    <s v="линейный_руководитель_1"/>
    <n v="7"/>
    <s v="нет"/>
    <m/>
    <m/>
    <m/>
    <n v="303"/>
    <s v="Михайлов Кирилл Тимофеевич"/>
    <n v="1384"/>
    <s v="Прохоров Константин Богдано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4"/>
    <x v="314"/>
    <n v="15"/>
    <s v="Подразделение15"/>
    <s v="подразделение_2_уровня15"/>
    <s v="-"/>
    <s v="линейный_руководитель_1"/>
    <n v="7"/>
    <s v="нет"/>
    <m/>
    <m/>
    <m/>
    <n v="303"/>
    <s v="Михайлов Кирилл Тимофеевич"/>
    <n v="302"/>
    <s v="Бураков Петр Максимович"/>
    <s v="Рабочий"/>
    <s v="Подразделение15"/>
    <x v="1"/>
    <x v="1"/>
    <n v="0"/>
    <n v="0"/>
    <s v="назначение на целевую должность"/>
    <d v="2022-07-12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5"/>
    <x v="315"/>
    <n v="15"/>
    <s v="Подразделение15"/>
    <s v="подразделение_2_уровня15"/>
    <s v="-"/>
    <s v="линейный_руководитель_2"/>
    <n v="7"/>
    <s v="нет"/>
    <m/>
    <m/>
    <m/>
    <n v="304"/>
    <s v="Пальчиков Валерий Юрьевич"/>
    <n v="1385"/>
    <s v="Игнатьев Кирилл Климо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6"/>
    <x v="316"/>
    <n v="15"/>
    <s v="Подразделение15"/>
    <s v="подразделение_2_уровня15"/>
    <s v="-"/>
    <s v="линейный_руководитель_2"/>
    <n v="7"/>
    <s v="нет"/>
    <m/>
    <m/>
    <m/>
    <n v="305"/>
    <s v="Баранкин Потап Юрьевич"/>
    <n v="1386"/>
    <s v="Коровкин Юрий Игнато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6"/>
    <x v="316"/>
    <n v="15"/>
    <s v="Подразделение15"/>
    <s v="подразделение_2_уровня15"/>
    <s v="-"/>
    <s v="линейный_руководитель_2"/>
    <n v="7"/>
    <s v="нет"/>
    <m/>
    <m/>
    <m/>
    <n v="305"/>
    <s v="Баранкин Потап Юрьевич"/>
    <n v="309"/>
    <s v="Бураков Кирилл Романович"/>
    <s v="линейный_руководитель_2"/>
    <s v="Подразделение15"/>
    <x v="0"/>
    <x v="0"/>
    <n v="1"/>
    <n v="0"/>
    <m/>
    <m/>
    <s v="не рассматривали"/>
    <s v="протокол-№-16.08.2021"/>
  </r>
  <r>
    <s v="Функциональное направление 6"/>
    <n v="3"/>
    <d v="2022-05-26T00:00:00"/>
    <n v="1"/>
    <s v="не защищена"/>
    <n v="500447"/>
    <x v="317"/>
    <n v="15"/>
    <s v="Подразделение15"/>
    <s v="подразделение_2_уровня15"/>
    <s v="-"/>
    <s v="руководитель_среднего_уровня_2"/>
    <n v="5"/>
    <s v="да"/>
    <d v="2021-07-22T00:00:00"/>
    <d v="2021-12-01T00:00:00"/>
    <s v="из резерва (учитываем)"/>
    <n v="306"/>
    <s v="Баранкин Валерий Лаврович"/>
    <n v="312"/>
    <s v="Семенов Петр Юрьевич"/>
    <s v="линейный_руководитель_2"/>
    <s v="Подразделение15"/>
    <x v="2"/>
    <x v="0"/>
    <n v="1"/>
    <n v="0"/>
    <m/>
    <m/>
    <s v="не рассматривали"/>
    <s v="протокол-№-26.05.2022"/>
  </r>
  <r>
    <s v="Функциональное направление 6"/>
    <n v="3"/>
    <d v="2022-05-26T00:00:00"/>
    <n v="0"/>
    <s v="не защищена"/>
    <n v="500447"/>
    <x v="317"/>
    <n v="15"/>
    <s v="Подразделение15"/>
    <s v="подразделение_2_уровня15"/>
    <s v="-"/>
    <s v="руководитель_среднего_уровня_2"/>
    <n v="5"/>
    <s v="да"/>
    <d v="2021-07-22T00:00:00"/>
    <d v="2021-12-01T00:00:00"/>
    <s v="из резерва (учитываем)"/>
    <n v="306"/>
    <s v="Баранкин Валерий Лаврович"/>
    <n v="305"/>
    <s v="Баранкин Потап Юрьевич"/>
    <s v="линейный_руководитель_2"/>
    <s v="Подразделение15"/>
    <x v="2"/>
    <x v="0"/>
    <n v="1"/>
    <n v="0"/>
    <m/>
    <m/>
    <s v="не рассматривали"/>
    <s v="протокол-№-26.05.2022"/>
  </r>
  <r>
    <s v="Функциональное направление 6"/>
    <n v="3"/>
    <d v="2021-05-27T00:00:00"/>
    <n v="0"/>
    <s v="не защищена"/>
    <n v="500447"/>
    <x v="317"/>
    <n v="15"/>
    <s v="Подразделение15"/>
    <s v="подразделение_2_уровня15"/>
    <s v="-"/>
    <s v="руководитель_среднего_уровня_2"/>
    <n v="5"/>
    <s v="да"/>
    <d v="2021-07-22T00:00:00"/>
    <d v="2021-12-01T00:00:00"/>
    <s v="из резерва (учитываем)"/>
    <n v="306"/>
    <s v="Баранкин Валерий Лаврович"/>
    <n v="306"/>
    <s v="Баранкин Валерий Лаврович"/>
    <s v="линейный_руководитель_2"/>
    <s v="Подразделение15"/>
    <x v="1"/>
    <x v="1"/>
    <n v="1"/>
    <n v="1"/>
    <s v="назначение на целевую должность"/>
    <d v="2021-12-01T00:00:00"/>
    <s v="не рассматривали"/>
    <s v="протокол-№-27.05.2021"/>
  </r>
  <r>
    <s v="Функциональное направление 6"/>
    <n v="3"/>
    <d v="2018-11-21T00:00:00"/>
    <n v="0"/>
    <s v="не защищена"/>
    <n v="500447"/>
    <x v="317"/>
    <n v="15"/>
    <s v="Подразделение15"/>
    <s v="подразделение_2_уровня15"/>
    <s v="-"/>
    <s v="руководитель_среднего_уровня_2"/>
    <n v="5"/>
    <s v="да"/>
    <d v="2021-07-22T00:00:00"/>
    <d v="2021-12-01T00:00:00"/>
    <s v="из резерва (учитываем)"/>
    <n v="306"/>
    <s v="Баранкин Валерий Лаврович"/>
    <n v="404"/>
    <s v="Романов Федот Денисович"/>
    <s v="руководитель_среднего_уровня_4"/>
    <s v="Подразделение11"/>
    <x v="1"/>
    <x v="2"/>
    <n v="1"/>
    <n v="0"/>
    <s v="прочее (перевод в другое СП / на другое предприятие)"/>
    <d v="2020-06-16T00:00:00"/>
    <s v="исключение"/>
    <s v="протокол-№-16.06.2020"/>
  </r>
  <r>
    <s v="Функциональное направление 6"/>
    <n v="3"/>
    <d v="2018-11-21T00:00:00"/>
    <n v="0"/>
    <s v="не защищена"/>
    <n v="500447"/>
    <x v="317"/>
    <n v="15"/>
    <s v="Подразделение15"/>
    <s v="подразделение_2_уровня15"/>
    <s v="-"/>
    <s v="руководитель_среднего_уровня_2"/>
    <n v="5"/>
    <s v="да"/>
    <d v="2021-07-22T00:00:00"/>
    <d v="2021-12-01T00:00:00"/>
    <s v="из резерва (учитываем)"/>
    <n v="306"/>
    <s v="Баранкин Валерий Лаврович"/>
    <n v="308"/>
    <s v="Ярославов Степан Егорович"/>
    <s v="линейный_руководитель_2"/>
    <s v="Подразделение15"/>
    <x v="1"/>
    <x v="2"/>
    <n v="1"/>
    <n v="0"/>
    <s v="инициатива комитета / руководителя"/>
    <d v="2022-05-26T00:00:00"/>
    <s v="исключение"/>
    <s v="протокол-№-26.05.2022"/>
  </r>
  <r>
    <s v="Функциональное направление 6"/>
    <n v="4"/>
    <d v="2021-08-16T00:00:00"/>
    <n v="1"/>
    <s v="не защищена"/>
    <n v="500448"/>
    <x v="318"/>
    <n v="15"/>
    <s v="Подразделение15"/>
    <s v="подразделение_2_уровня15"/>
    <s v="-"/>
    <s v="линейный_руководитель_1"/>
    <n v="7"/>
    <s v="нет"/>
    <m/>
    <m/>
    <m/>
    <n v="307"/>
    <s v="Конеев Венедикт Корнеевич"/>
    <n v="1387"/>
    <s v="Степанов Афанасий Геннадьевич"/>
    <s v="Рабочий"/>
    <s v="Подразделение15"/>
    <x v="0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8"/>
    <x v="318"/>
    <n v="15"/>
    <s v="Подразделение15"/>
    <s v="подразделение_2_уровня15"/>
    <s v="-"/>
    <s v="линейный_руководитель_1"/>
    <n v="7"/>
    <s v="нет"/>
    <m/>
    <m/>
    <m/>
    <n v="307"/>
    <s v="Конеев Венедикт Корнеевич"/>
    <n v="1388"/>
    <s v="Ветров Глеб Михайлович"/>
    <s v="Рабочий"/>
    <s v="Подразделение15"/>
    <x v="0"/>
    <x v="0"/>
    <n v="1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48"/>
    <x v="318"/>
    <n v="15"/>
    <s v="Подразделение15"/>
    <s v="подразделение_2_уровня15"/>
    <s v="-"/>
    <s v="линейный_руководитель_1"/>
    <n v="7"/>
    <s v="нет"/>
    <m/>
    <m/>
    <m/>
    <n v="307"/>
    <s v="Конеев Венедикт Корнеевич"/>
    <n v="1389"/>
    <s v="Игорев Глеб Герасимович"/>
    <s v="Рабочий"/>
    <s v="Подразделение15"/>
    <x v="0"/>
    <x v="0"/>
    <n v="1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48"/>
    <x v="318"/>
    <n v="15"/>
    <s v="Подразделение15"/>
    <s v="подразделение_2_уровня15"/>
    <s v="-"/>
    <s v="линейный_руководитель_1"/>
    <n v="7"/>
    <s v="нет"/>
    <m/>
    <m/>
    <m/>
    <n v="307"/>
    <s v="Конеев Венедикт Корнеевич"/>
    <n v="1390"/>
    <s v="Незнамов Роман Семенович"/>
    <s v="Рабочий"/>
    <s v="Подразделение15"/>
    <x v="0"/>
    <x v="2"/>
    <n v="1"/>
    <n v="0"/>
    <s v="инициатива комитета / руководителя"/>
    <d v="2022-11-22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8"/>
    <x v="319"/>
    <n v="15"/>
    <s v="Подразделение15"/>
    <s v="подразделение_2_уровня15"/>
    <s v="-"/>
    <s v="линейный_руководитель_1"/>
    <n v="7"/>
    <s v="нет"/>
    <m/>
    <m/>
    <m/>
    <n v="308"/>
    <s v="Ярославов Степан Егорович"/>
    <n v="1387"/>
    <s v="Степанов Афанасий Геннадье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8"/>
    <x v="319"/>
    <n v="15"/>
    <s v="Подразделение15"/>
    <s v="подразделение_2_уровня15"/>
    <s v="-"/>
    <s v="линейный_руководитель_1"/>
    <n v="7"/>
    <s v="нет"/>
    <m/>
    <m/>
    <m/>
    <n v="308"/>
    <s v="Ярославов Степан Егорович"/>
    <n v="1388"/>
    <s v="Ветров Глеб Михайло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48"/>
    <x v="319"/>
    <n v="15"/>
    <s v="Подразделение15"/>
    <s v="подразделение_2_уровня15"/>
    <s v="-"/>
    <s v="линейный_руководитель_1"/>
    <n v="7"/>
    <s v="нет"/>
    <m/>
    <m/>
    <m/>
    <n v="308"/>
    <s v="Ярославов Степан Егорович"/>
    <n v="1389"/>
    <s v="Игорев Глеб Герасимович"/>
    <s v="Рабочий"/>
    <s v="Подразделение15"/>
    <x v="0"/>
    <x v="0"/>
    <n v="0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48"/>
    <x v="319"/>
    <n v="15"/>
    <s v="Подразделение15"/>
    <s v="подразделение_2_уровня15"/>
    <s v="-"/>
    <s v="линейный_руководитель_1"/>
    <n v="7"/>
    <s v="нет"/>
    <m/>
    <m/>
    <m/>
    <n v="308"/>
    <s v="Ярославов Степан Егорович"/>
    <n v="1390"/>
    <s v="Незнамов Роман Семенович"/>
    <s v="Рабочий"/>
    <s v="Подразделение15"/>
    <x v="0"/>
    <x v="2"/>
    <n v="0"/>
    <n v="0"/>
    <s v="инициатива комитета / руководителя"/>
    <d v="2022-11-22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8"/>
    <x v="320"/>
    <n v="15"/>
    <s v="Подразделение15"/>
    <s v="подразделение_2_уровня15"/>
    <s v="-"/>
    <s v="линейный_руководитель_1"/>
    <n v="7"/>
    <s v="нет"/>
    <m/>
    <m/>
    <m/>
    <n v="309"/>
    <s v="Бураков Кирилл Романович"/>
    <n v="1387"/>
    <s v="Степанов Афанасий Геннадье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8"/>
    <x v="320"/>
    <n v="15"/>
    <s v="Подразделение15"/>
    <s v="подразделение_2_уровня15"/>
    <s v="-"/>
    <s v="линейный_руководитель_1"/>
    <n v="7"/>
    <s v="нет"/>
    <m/>
    <m/>
    <m/>
    <n v="309"/>
    <s v="Бураков Кирилл Романович"/>
    <n v="1388"/>
    <s v="Ветров Глеб Михайло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48"/>
    <x v="320"/>
    <n v="15"/>
    <s v="Подразделение15"/>
    <s v="подразделение_2_уровня15"/>
    <s v="-"/>
    <s v="линейный_руководитель_1"/>
    <n v="7"/>
    <s v="нет"/>
    <m/>
    <m/>
    <m/>
    <n v="309"/>
    <s v="Бураков Кирилл Романович"/>
    <n v="1389"/>
    <s v="Игорев Глеб Герасимович"/>
    <s v="Рабочий"/>
    <s v="Подразделение15"/>
    <x v="0"/>
    <x v="0"/>
    <n v="0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48"/>
    <x v="320"/>
    <n v="15"/>
    <s v="Подразделение15"/>
    <s v="подразделение_2_уровня15"/>
    <s v="-"/>
    <s v="линейный_руководитель_1"/>
    <n v="7"/>
    <s v="нет"/>
    <m/>
    <m/>
    <m/>
    <n v="309"/>
    <s v="Бураков Кирилл Романович"/>
    <n v="1390"/>
    <s v="Незнамов Роман Семенович"/>
    <s v="Рабочий"/>
    <s v="Подразделение15"/>
    <x v="0"/>
    <x v="2"/>
    <n v="0"/>
    <n v="0"/>
    <s v="инициатива комитета / руководителя"/>
    <d v="2022-11-22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8"/>
    <x v="321"/>
    <n v="15"/>
    <s v="Подразделение15"/>
    <s v="подразделение_2_уровня15"/>
    <s v="-"/>
    <s v="линейный_руководитель_1"/>
    <n v="7"/>
    <s v="нет"/>
    <m/>
    <m/>
    <m/>
    <n v="310"/>
    <s v="Журавлев Емельян Максимович"/>
    <n v="1387"/>
    <s v="Степанов Афанасий Геннадье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48"/>
    <x v="321"/>
    <n v="15"/>
    <s v="Подразделение15"/>
    <s v="подразделение_2_уровня15"/>
    <s v="-"/>
    <s v="линейный_руководитель_1"/>
    <n v="7"/>
    <s v="нет"/>
    <m/>
    <m/>
    <m/>
    <n v="310"/>
    <s v="Журавлев Емельян Максимович"/>
    <n v="1388"/>
    <s v="Ветров Глеб Михайлович"/>
    <s v="Рабочий"/>
    <s v="Подразделение15"/>
    <x v="0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48"/>
    <x v="321"/>
    <n v="15"/>
    <s v="Подразделение15"/>
    <s v="подразделение_2_уровня15"/>
    <s v="-"/>
    <s v="линейный_руководитель_1"/>
    <n v="7"/>
    <s v="нет"/>
    <m/>
    <m/>
    <m/>
    <n v="310"/>
    <s v="Журавлев Емельян Максимович"/>
    <n v="1389"/>
    <s v="Игорев Глеб Герасимович"/>
    <s v="Рабочий"/>
    <s v="Подразделение15"/>
    <x v="0"/>
    <x v="0"/>
    <n v="0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48"/>
    <x v="321"/>
    <n v="15"/>
    <s v="Подразделение15"/>
    <s v="подразделение_2_уровня15"/>
    <s v="-"/>
    <s v="линейный_руководитель_1"/>
    <n v="7"/>
    <s v="нет"/>
    <m/>
    <m/>
    <m/>
    <n v="310"/>
    <s v="Журавлев Емельян Максимович"/>
    <n v="1390"/>
    <s v="Незнамов Роман Семенович"/>
    <s v="Рабочий"/>
    <s v="Подразделение15"/>
    <x v="0"/>
    <x v="2"/>
    <n v="0"/>
    <n v="0"/>
    <s v="инициатива комитета / руководителя"/>
    <d v="2022-11-22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49"/>
    <x v="322"/>
    <n v="15"/>
    <s v="Подразделение15"/>
    <s v="подразделение_2_уровня15"/>
    <s v="-"/>
    <s v="линейный_руководитель_2"/>
    <n v="7"/>
    <s v="нет"/>
    <m/>
    <m/>
    <m/>
    <n v="311"/>
    <s v="Тихонов Валерий Михайлович"/>
    <n v="1391"/>
    <s v="Игнатьев Афанасий Геннадье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50"/>
    <x v="323"/>
    <n v="15"/>
    <s v="Подразделение15"/>
    <s v="подразделение_2_уровня15"/>
    <s v="-"/>
    <s v="линейный_руководитель_2"/>
    <n v="7"/>
    <s v="нет"/>
    <m/>
    <m/>
    <m/>
    <n v="312"/>
    <s v="Семенов Петр Юрьевич"/>
    <n v="1392"/>
    <s v="Потапов Савелий Ефремо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3"/>
    <d v="2019-04-02T00:00:00"/>
    <n v="1"/>
    <s v="не защищена"/>
    <n v="500041"/>
    <x v="324"/>
    <n v="238"/>
    <s v="Подразделение238"/>
    <s v="подразделение_2_уровня238"/>
    <s v="-"/>
    <s v="ТОП_руководитель_2"/>
    <n v="5"/>
    <s v="нет"/>
    <m/>
    <m/>
    <m/>
    <n v="313"/>
    <s v="Цветков Тихон Тимофеевич"/>
    <n v="371"/>
    <s v="Баранкин Григорий Григорьевич"/>
    <s v="линейный_руководитель_3"/>
    <s v="Подразделение238"/>
    <x v="1"/>
    <x v="0"/>
    <n v="1"/>
    <n v="0"/>
    <m/>
    <m/>
    <s v="без изменений"/>
    <s v="протокол-№-24.05.2021"/>
  </r>
  <r>
    <s v="Функциональное направление 6"/>
    <n v="3"/>
    <d v="2019-04-02T00:00:00"/>
    <n v="0"/>
    <s v="не защищена"/>
    <n v="500041"/>
    <x v="324"/>
    <n v="238"/>
    <s v="Подразделение238"/>
    <s v="подразделение_2_уровня238"/>
    <s v="-"/>
    <s v="ТОП_руководитель_2"/>
    <n v="5"/>
    <s v="нет"/>
    <m/>
    <m/>
    <m/>
    <n v="313"/>
    <s v="Цветков Тихон Тимофеевич"/>
    <n v="1393"/>
    <s v="Степанов Юрий Маркович"/>
    <s v="функциональный_руководитель_1"/>
    <s v="Подразделение238"/>
    <x v="1"/>
    <x v="0"/>
    <n v="1"/>
    <n v="0"/>
    <m/>
    <m/>
    <s v="без изменений"/>
    <s v="протокол-№-24.05.2021"/>
  </r>
  <r>
    <s v="Функциональное направление 6"/>
    <n v="4"/>
    <d v="2022-11-22T00:00:00"/>
    <n v="1"/>
    <s v="не защищена"/>
    <n v="500451"/>
    <x v="325"/>
    <n v="15"/>
    <s v="Подразделение15"/>
    <s v="подразделение_2_уровня15"/>
    <s v="-"/>
    <s v="линейный_руководитель_2"/>
    <n v="7"/>
    <s v="да"/>
    <d v="2022-09-01T00:00:00"/>
    <d v="2022-09-01T00:00:00"/>
    <s v="внутр. сотр. (не учитываем)"/>
    <n v="314"/>
    <s v="Поминов Алексей Денисович"/>
    <n v="1394"/>
    <s v="Дмитриев Афанасий Геннадье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3"/>
    <d v="2018-11-21T00:00:00"/>
    <n v="1"/>
    <s v="не защищена"/>
    <n v="500452"/>
    <x v="326"/>
    <n v="15"/>
    <s v="Подразделение15"/>
    <s v="подразделение_2_уровня15"/>
    <s v="-"/>
    <s v="руководитель_среднего_уровня_2"/>
    <n v="5"/>
    <s v="нет"/>
    <m/>
    <m/>
    <m/>
    <n v="315"/>
    <s v="Баранкин Тихон Александрович"/>
    <n v="1299"/>
    <s v="Исаев Арсений Никитинич"/>
    <s v="функциональный_руководитель_1"/>
    <s v="Подразделение15"/>
    <x v="1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452"/>
    <x v="326"/>
    <n v="15"/>
    <s v="Подразделение15"/>
    <s v="подразделение_2_уровня15"/>
    <s v="-"/>
    <s v="руководитель_среднего_уровня_2"/>
    <n v="5"/>
    <s v="нет"/>
    <m/>
    <m/>
    <m/>
    <n v="315"/>
    <s v="Баранкин Тихон Александрович"/>
    <n v="314"/>
    <s v="Поминов Алексей Денисович"/>
    <s v="линейный_руководитель_2"/>
    <s v="Подразделение15"/>
    <x v="0"/>
    <x v="0"/>
    <n v="1"/>
    <n v="0"/>
    <m/>
    <m/>
    <s v="повышение"/>
    <s v="протокол-№-26.05.2022"/>
  </r>
  <r>
    <s v="Функциональное направление 6"/>
    <n v="3"/>
    <d v="2022-05-26T00:00:00"/>
    <n v="0"/>
    <s v="не защищена"/>
    <n v="500452"/>
    <x v="326"/>
    <n v="15"/>
    <s v="Подразделение15"/>
    <s v="подразделение_2_уровня15"/>
    <s v="-"/>
    <s v="руководитель_среднего_уровня_2"/>
    <n v="5"/>
    <s v="нет"/>
    <m/>
    <m/>
    <m/>
    <n v="315"/>
    <s v="Баранкин Тихон Александрович"/>
    <n v="1395"/>
    <s v="Степанов Арсений Кондратьевич"/>
    <s v="функциональный_руководитель_1"/>
    <s v="Подразделение15"/>
    <x v="2"/>
    <x v="0"/>
    <n v="1"/>
    <n v="0"/>
    <m/>
    <m/>
    <s v="не рассматривали"/>
    <s v="протокол-№-26.05.2022"/>
  </r>
  <r>
    <s v="Функциональное направление 6"/>
    <n v="3"/>
    <d v="2022-05-26T00:00:00"/>
    <n v="0"/>
    <s v="не защищена"/>
    <n v="500452"/>
    <x v="326"/>
    <n v="15"/>
    <s v="Подразделение15"/>
    <s v="подразделение_2_уровня15"/>
    <s v="-"/>
    <s v="руководитель_среднего_уровня_2"/>
    <n v="5"/>
    <s v="нет"/>
    <m/>
    <m/>
    <m/>
    <n v="315"/>
    <s v="Баранкин Тихон Александрович"/>
    <n v="318"/>
    <s v="Поминов Константин Федотович"/>
    <s v="линейный_руководитель_2"/>
    <s v="Подразделение15"/>
    <x v="2"/>
    <x v="0"/>
    <n v="1"/>
    <n v="0"/>
    <m/>
    <m/>
    <s v="не рассматривали"/>
    <s v="протокол-№-26.05.2022"/>
  </r>
  <r>
    <s v="Функциональное направление 6"/>
    <n v="3"/>
    <d v="2022-05-26T00:00:00"/>
    <n v="0"/>
    <s v="не защищена"/>
    <n v="500452"/>
    <x v="326"/>
    <n v="15"/>
    <s v="Подразделение15"/>
    <s v="подразделение_2_уровня15"/>
    <s v="-"/>
    <s v="руководитель_среднего_уровня_2"/>
    <n v="5"/>
    <s v="нет"/>
    <m/>
    <m/>
    <m/>
    <n v="315"/>
    <s v="Баранкин Тихон Александрович"/>
    <n v="340"/>
    <s v="Вобликов Валерий Максимович"/>
    <s v="линейный_руководитель_2"/>
    <s v="Подразделение15"/>
    <x v="2"/>
    <x v="0"/>
    <n v="1"/>
    <n v="0"/>
    <m/>
    <m/>
    <s v="не рассматривали"/>
    <s v="протокол-№-26.05.2022"/>
  </r>
  <r>
    <s v="Функциональное направление 6"/>
    <n v="3"/>
    <d v="2018-11-21T00:00:00"/>
    <n v="0"/>
    <s v="не защищена"/>
    <n v="500452"/>
    <x v="326"/>
    <n v="15"/>
    <s v="Подразделение15"/>
    <s v="подразделение_2_уровня15"/>
    <s v="-"/>
    <s v="руководитель_среднего_уровня_2"/>
    <n v="5"/>
    <s v="нет"/>
    <m/>
    <m/>
    <m/>
    <n v="315"/>
    <s v="Баранкин Тихон Александрович"/>
    <n v="306"/>
    <s v="Баранкин Валерий Лаврович"/>
    <s v="линейный_руководитель_2"/>
    <s v="Подразделение15"/>
    <x v="1"/>
    <x v="2"/>
    <n v="1"/>
    <n v="0"/>
    <s v="назначение на равнозначную должность"/>
    <d v="2022-05-26T00:00:00"/>
    <s v="исключение"/>
    <s v="протокол-№-26.05.2022"/>
  </r>
  <r>
    <s v="Функциональное направление 6"/>
    <n v="4"/>
    <d v="2021-08-16T00:00:00"/>
    <n v="1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396"/>
    <s v="Гуськов Савелий Михайло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397"/>
    <s v="Степанов Геннадий Богдано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398"/>
    <s v="Дорофеев Савелий Иль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399"/>
    <s v="Ветров Арсений Михайло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400"/>
    <s v="Степанов Кирилл Кондратье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401"/>
    <s v="Игнатьев Ефрем Семено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402"/>
    <s v="Дорофеев Афанасий Владиславо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403"/>
    <s v="Степанов Савелий Александро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404"/>
    <s v="Степанов Константин Кондратье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1405"/>
    <s v="Степанов Захар Богдано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53"/>
    <x v="327"/>
    <n v="15"/>
    <s v="Подразделение15"/>
    <s v="подразделение_2_уровня15"/>
    <s v="-"/>
    <s v="линейный_руководитель_1"/>
    <n v="7"/>
    <s v="нет"/>
    <m/>
    <m/>
    <m/>
    <n v="316"/>
    <s v="Поминов Тихон Федотович"/>
    <n v="317"/>
    <s v="Пальчиков Алексей Кондратьевич"/>
    <s v="линейный_руководитель_1"/>
    <s v="Подразделение15"/>
    <x v="1"/>
    <x v="1"/>
    <n v="1"/>
    <n v="0"/>
    <s v="назначение на целевую должность"/>
    <d v="2022-11-01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396"/>
    <s v="Гуськов Савелий Михайл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397"/>
    <s v="Степанов Геннадий Богдан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398"/>
    <s v="Дорофеев Савелий Иль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399"/>
    <s v="Ветров Арсений Михайл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400"/>
    <s v="Степанов Кирилл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401"/>
    <s v="Игнатьев Ефрем Семен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402"/>
    <s v="Дорофеев Афанасий Владислав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403"/>
    <s v="Степанов Савелий Александр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404"/>
    <s v="Степанов Константин Кондратье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1405"/>
    <s v="Степанов Захар Богдан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53"/>
    <x v="328"/>
    <n v="15"/>
    <s v="Подразделение15"/>
    <s v="подразделение_2_уровня15"/>
    <s v="-"/>
    <s v="линейный_руководитель_1"/>
    <n v="7"/>
    <s v="да"/>
    <d v="2022-09-01T00:00:00"/>
    <d v="2022-11-01T00:00:00"/>
    <s v="из резерва (учитываем)"/>
    <n v="317"/>
    <s v="Пальчиков Алексей Кондратьевич"/>
    <n v="317"/>
    <s v="Пальчиков Алексей Кондратьевич"/>
    <s v="линейный_руководитель_1"/>
    <s v="Подразделение15"/>
    <x v="1"/>
    <x v="1"/>
    <n v="0"/>
    <n v="1"/>
    <s v="назначение на целевую должность"/>
    <d v="2022-11-01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396"/>
    <s v="Гуськов Савелий Михайл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397"/>
    <s v="Степанов Геннадий Богдан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398"/>
    <s v="Дорофеев Савелий Иль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399"/>
    <s v="Ветров Арсений Михайл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400"/>
    <s v="Степанов Кирилл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401"/>
    <s v="Игнатьев Ефрем Семен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402"/>
    <s v="Дорофеев Афанасий Владислав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403"/>
    <s v="Степанов Савелий Александр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404"/>
    <s v="Степанов Константин Кондратье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1405"/>
    <s v="Степанов Захар Богдан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53"/>
    <x v="329"/>
    <n v="15"/>
    <s v="Подразделение15"/>
    <s v="подразделение_2_уровня15"/>
    <s v="-"/>
    <s v="линейный_руководитель_1"/>
    <n v="7"/>
    <s v="нет"/>
    <m/>
    <m/>
    <m/>
    <n v="318"/>
    <s v="Поминов Константин Федотович"/>
    <n v="317"/>
    <s v="Пальчиков Алексей Кондратьевич"/>
    <s v="линейный_руководитель_1"/>
    <s v="Подразделение15"/>
    <x v="1"/>
    <x v="1"/>
    <n v="0"/>
    <n v="0"/>
    <s v="назначение на целевую должность"/>
    <d v="2022-11-01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54"/>
    <x v="330"/>
    <n v="15"/>
    <s v="Подразделение15"/>
    <s v="подразделение_2_уровня15"/>
    <s v="-"/>
    <s v="линейный_руководитель_2"/>
    <n v="7"/>
    <s v="нет"/>
    <m/>
    <m/>
    <m/>
    <n v="319"/>
    <s v="Поминов Алексей Юрьевич"/>
    <n v="1237"/>
    <s v="Филиппов Афанасий Александрович"/>
    <s v="-"/>
    <s v="-"/>
    <x v="3"/>
    <x v="3"/>
    <n v="1"/>
    <n v="0"/>
    <m/>
    <m/>
    <m/>
    <s v="протокол-№-16.08.2021"/>
  </r>
  <r>
    <s v="Функциональное направление 6"/>
    <n v="4"/>
    <d v="2021-08-16T00:00:00"/>
    <n v="1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06"/>
    <s v="Дорофеев Афанасий Михайло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07"/>
    <s v="Степанов Виталий Александро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08"/>
    <s v="Брежнев Арсений Кондратье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09"/>
    <s v="Степанов Виталий Никитин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10"/>
    <s v="Игорев Кирилл Геннадье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11"/>
    <s v="Брежнев Виталий Кондратье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12"/>
    <s v="Степанов Виталий Владиславо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13"/>
    <s v="Игнатьев Афанасий Герасимо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14"/>
    <s v="Игнатьев Матвей Геннадье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6"/>
    <s v="нет"/>
    <m/>
    <m/>
    <m/>
    <n v="320"/>
    <s v="Нырков Илья Ефремович"/>
    <n v="1415"/>
    <s v="Брежнев Арсений Михайло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7"/>
    <s v="нет"/>
    <m/>
    <m/>
    <m/>
    <n v="320"/>
    <s v="Нырков Илья Ефремович"/>
    <n v="322"/>
    <s v="Поминов Владислав Денисович"/>
    <s v="Рабочий"/>
    <s v="Подразделение15"/>
    <x v="1"/>
    <x v="1"/>
    <n v="1"/>
    <n v="0"/>
    <s v="назначение на целевую должность"/>
    <d v="2023-03-01T00:00:00"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1"/>
    <n v="15"/>
    <s v="Подразделение15"/>
    <s v="подразделение_2_уровня15"/>
    <s v="-"/>
    <s v="линейный_руководитель_1"/>
    <n v="7"/>
    <s v="нет"/>
    <m/>
    <m/>
    <m/>
    <n v="320"/>
    <s v="Нырков Илья Ефремович"/>
    <n v="1416"/>
    <s v="Потапов Виталий Геннадьевич"/>
    <s v="Рабочий"/>
    <s v="Подразделение15"/>
    <x v="1"/>
    <x v="2"/>
    <n v="1"/>
    <n v="0"/>
    <s v="прочее (перевод в другое СП / на другое предприятие)"/>
    <d v="2021-12-21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06"/>
    <s v="Дорофеев Афанасий Михайл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07"/>
    <s v="Степанов Виталий Александр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08"/>
    <s v="Брежнев Арсений Кондратье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09"/>
    <s v="Степанов Виталий Никитин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10"/>
    <s v="Игорев Кирилл Геннад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11"/>
    <s v="Брежнев Виталий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12"/>
    <s v="Степанов Виталий Владислав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13"/>
    <s v="Игнатьев Афанасий Герасим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14"/>
    <s v="Игнатьев Матвей Геннадье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6"/>
    <s v="нет"/>
    <m/>
    <m/>
    <m/>
    <n v="321"/>
    <s v="Чистяков Лавр Михайлович"/>
    <n v="1415"/>
    <s v="Брежнев Арсений Михайл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7"/>
    <s v="нет"/>
    <m/>
    <m/>
    <m/>
    <n v="321"/>
    <s v="Чистяков Лавр Михайлович"/>
    <n v="322"/>
    <s v="Поминов Владислав Денисович"/>
    <s v="Рабочий"/>
    <s v="Подразделение15"/>
    <x v="1"/>
    <x v="1"/>
    <n v="0"/>
    <n v="0"/>
    <s v="назначение на целевую должность"/>
    <d v="2023-03-01T00:00:00"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2"/>
    <n v="15"/>
    <s v="Подразделение15"/>
    <s v="подразделение_2_уровня15"/>
    <s v="-"/>
    <s v="линейный_руководитель_1"/>
    <n v="7"/>
    <s v="нет"/>
    <m/>
    <m/>
    <m/>
    <n v="321"/>
    <s v="Чистяков Лавр Михайлович"/>
    <n v="1416"/>
    <s v="Потапов Виталий Геннадьевич"/>
    <s v="Рабочий"/>
    <s v="Подразделение15"/>
    <x v="1"/>
    <x v="2"/>
    <n v="0"/>
    <n v="0"/>
    <s v="прочее (перевод в другое СП / на другое предприятие)"/>
    <d v="2021-12-21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06"/>
    <s v="Дорофеев Афанасий Михайл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07"/>
    <s v="Степанов Виталий Александр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08"/>
    <s v="Брежнев Арсений Кондратье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09"/>
    <s v="Степанов Виталий Никитин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10"/>
    <s v="Игорев Кирилл Геннад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11"/>
    <s v="Брежнев Виталий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12"/>
    <s v="Степанов Виталий Владислав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13"/>
    <s v="Игнатьев Афанасий Герасим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14"/>
    <s v="Игнатьев Матвей Геннадье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6"/>
    <s v="да"/>
    <d v="2022-12-23T00:00:00"/>
    <d v="2023-03-01T00:00:00"/>
    <s v="из резерва (учитываем)"/>
    <n v="322"/>
    <s v="Поминов Владислав Денисович"/>
    <n v="1415"/>
    <s v="Брежнев Арсений Михайл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7"/>
    <s v="да"/>
    <d v="2022-12-23T00:00:00"/>
    <d v="2023-03-01T00:00:00"/>
    <s v="из резерва (учитываем)"/>
    <n v="322"/>
    <s v="Поминов Владислав Денисович"/>
    <n v="322"/>
    <s v="Поминов Владислав Денисович"/>
    <s v="Рабочий"/>
    <s v="Подразделение15"/>
    <x v="1"/>
    <x v="1"/>
    <n v="0"/>
    <n v="1"/>
    <s v="назначение на целевую должность"/>
    <d v="2023-03-01T00:00:00"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3"/>
    <n v="15"/>
    <s v="Подразделение15"/>
    <s v="подразделение_2_уровня15"/>
    <s v="-"/>
    <s v="линейный_руководитель_1"/>
    <n v="7"/>
    <s v="да"/>
    <d v="2022-12-23T00:00:00"/>
    <d v="2023-03-01T00:00:00"/>
    <s v="из резерва (учитываем)"/>
    <n v="322"/>
    <s v="Поминов Владислав Денисович"/>
    <n v="1416"/>
    <s v="Потапов Виталий Геннадьевич"/>
    <s v="Рабочий"/>
    <s v="Подразделение15"/>
    <x v="1"/>
    <x v="2"/>
    <n v="0"/>
    <n v="0"/>
    <s v="прочее (перевод в другое СП / на другое предприятие)"/>
    <d v="2021-12-21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06"/>
    <s v="Дорофеев Афанасий Михайл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07"/>
    <s v="Степанов Виталий Александр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08"/>
    <s v="Брежнев Арсений Кондратье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09"/>
    <s v="Степанов Виталий Никитин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10"/>
    <s v="Игорев Кирилл Геннад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11"/>
    <s v="Брежнев Виталий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12"/>
    <s v="Степанов Виталий Владислав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13"/>
    <s v="Игнатьев Афанасий Герасим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14"/>
    <s v="Игнатьев Матвей Геннадье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6"/>
    <s v="нет"/>
    <m/>
    <m/>
    <m/>
    <n v="323"/>
    <s v="Вобликов Геннадий Филатович"/>
    <n v="1415"/>
    <s v="Брежнев Арсений Михайл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7"/>
    <s v="нет"/>
    <m/>
    <m/>
    <m/>
    <n v="323"/>
    <s v="Вобликов Геннадий Филатович"/>
    <n v="322"/>
    <s v="Поминов Владислав Денисович"/>
    <s v="Рабочий"/>
    <s v="Подразделение15"/>
    <x v="1"/>
    <x v="1"/>
    <n v="0"/>
    <n v="0"/>
    <s v="назначение на целевую должность"/>
    <d v="2023-03-01T00:00:00"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5"/>
    <x v="334"/>
    <n v="15"/>
    <s v="Подразделение15"/>
    <s v="подразделение_2_уровня15"/>
    <s v="-"/>
    <s v="линейный_руководитель_1"/>
    <n v="7"/>
    <s v="нет"/>
    <m/>
    <m/>
    <m/>
    <n v="323"/>
    <s v="Вобликов Геннадий Филатович"/>
    <n v="1416"/>
    <s v="Потапов Виталий Геннадьевич"/>
    <s v="Рабочий"/>
    <s v="Подразделение15"/>
    <x v="1"/>
    <x v="2"/>
    <n v="0"/>
    <n v="0"/>
    <s v="прочее (перевод в другое СП / на другое предприятие)"/>
    <d v="2021-12-21T00:00:00"/>
    <s v="не рассматривали"/>
    <s v="протокол-№-16.08.2021"/>
  </r>
  <r>
    <s v="Функциональное направление 6"/>
    <n v="3"/>
    <d v="2018-11-21T00:00:00"/>
    <n v="1"/>
    <s v="не защищена"/>
    <n v="500456"/>
    <x v="335"/>
    <n v="15"/>
    <s v="Подразделение15"/>
    <s v="подразделение_2_уровня15"/>
    <s v="-"/>
    <s v="руководитель_среднего_уровня_2"/>
    <n v="5"/>
    <s v="нет"/>
    <m/>
    <m/>
    <m/>
    <n v="324"/>
    <s v="Пальчиков Тихон Егорович"/>
    <n v="328"/>
    <s v="Поминов Алексей Владиславович"/>
    <s v="линейный_руководитель_2"/>
    <s v="Подразделение15"/>
    <x v="1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456"/>
    <x v="335"/>
    <n v="15"/>
    <s v="Подразделение15"/>
    <s v="подразделение_2_уровня15"/>
    <s v="-"/>
    <s v="руководитель_среднего_уровня_2"/>
    <n v="5"/>
    <s v="нет"/>
    <m/>
    <m/>
    <m/>
    <n v="324"/>
    <s v="Пальчиков Тихон Егорович"/>
    <n v="327"/>
    <s v="Русланов Еремей Иванович"/>
    <s v="линейный_руководитель_2"/>
    <s v="Подразделение15"/>
    <x v="1"/>
    <x v="0"/>
    <n v="1"/>
    <n v="0"/>
    <m/>
    <m/>
    <s v="без изменений"/>
    <s v="протокол-№-26.05.2022"/>
  </r>
  <r>
    <s v="Функциональное направление 6"/>
    <n v="4"/>
    <d v="2021-08-16T00:00:00"/>
    <n v="1"/>
    <s v="не защищена"/>
    <n v="500457"/>
    <x v="336"/>
    <n v="15"/>
    <s v="Подразделение15"/>
    <s v="подразделение_2_уровня15"/>
    <s v="-"/>
    <s v="линейный_руководитель_1"/>
    <n v="7"/>
    <s v="нет"/>
    <m/>
    <m/>
    <m/>
    <n v="325"/>
    <s v="Красных Дмитрий Максимович"/>
    <n v="1418"/>
    <s v="Коростелев Геннадий Геннадье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336"/>
    <n v="15"/>
    <s v="Подразделение15"/>
    <s v="подразделение_2_уровня15"/>
    <s v="-"/>
    <s v="линейный_руководитель_1"/>
    <n v="7"/>
    <s v="нет"/>
    <m/>
    <m/>
    <m/>
    <n v="325"/>
    <s v="Красных Дмитрий Максимович"/>
    <n v="1419"/>
    <s v="Брежнев Геннадий Семено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336"/>
    <n v="15"/>
    <s v="Подразделение15"/>
    <s v="подразделение_2_уровня15"/>
    <s v="-"/>
    <s v="линейный_руководитель_1"/>
    <n v="7"/>
    <s v="нет"/>
    <m/>
    <m/>
    <m/>
    <n v="325"/>
    <s v="Красных Дмитрий Максимович"/>
    <n v="1420"/>
    <s v="Игнатьев Афанасий Семено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336"/>
    <n v="15"/>
    <s v="Подразделение15"/>
    <s v="подразделение_2_уровня15"/>
    <s v="-"/>
    <s v="линейный_руководитель_1"/>
    <n v="7"/>
    <s v="нет"/>
    <m/>
    <m/>
    <m/>
    <n v="325"/>
    <s v="Красных Дмитрий Максимович"/>
    <n v="1421"/>
    <s v="Коростелев Виталий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57"/>
    <x v="336"/>
    <n v="15"/>
    <s v="Подразделение15"/>
    <s v="подразделение_2_уровня15"/>
    <s v="-"/>
    <s v="линейный_руководитель_1"/>
    <n v="7"/>
    <s v="нет"/>
    <m/>
    <m/>
    <m/>
    <n v="325"/>
    <s v="Красных Дмитрий Максимович"/>
    <n v="1422"/>
    <s v="Тимофеев Арсений Геннадье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4"/>
    <d v="2021-08-16T00:00:00"/>
    <n v="1"/>
    <s v="не защищена"/>
    <n v="500457"/>
    <x v="337"/>
    <n v="15"/>
    <s v="Подразделение15"/>
    <s v="подразделение_2_уровня15"/>
    <s v="-"/>
    <s v="линейный_руководитель_1"/>
    <n v="7"/>
    <s v="нет"/>
    <m/>
    <m/>
    <m/>
    <n v="326"/>
    <s v="Тихонов Тихон Кондратьевич"/>
    <n v="1418"/>
    <s v="Коростелев Геннадий Геннадье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337"/>
    <n v="15"/>
    <s v="Подразделение15"/>
    <s v="подразделение_2_уровня15"/>
    <s v="-"/>
    <s v="линейный_руководитель_1"/>
    <n v="7"/>
    <s v="нет"/>
    <m/>
    <m/>
    <m/>
    <n v="326"/>
    <s v="Тихонов Тихон Кондратьевич"/>
    <n v="1419"/>
    <s v="Брежнев Геннадий Семен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337"/>
    <n v="15"/>
    <s v="Подразделение15"/>
    <s v="подразделение_2_уровня15"/>
    <s v="-"/>
    <s v="линейный_руководитель_1"/>
    <n v="7"/>
    <s v="нет"/>
    <m/>
    <m/>
    <m/>
    <n v="326"/>
    <s v="Тихонов Тихон Кондратьевич"/>
    <n v="1420"/>
    <s v="Игнатьев Афанасий Семен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337"/>
    <n v="15"/>
    <s v="Подразделение15"/>
    <s v="подразделение_2_уровня15"/>
    <s v="-"/>
    <s v="линейный_руководитель_1"/>
    <n v="7"/>
    <s v="нет"/>
    <m/>
    <m/>
    <m/>
    <n v="326"/>
    <s v="Тихонов Тихон Кондратьевич"/>
    <n v="1421"/>
    <s v="Коростелев Виталий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57"/>
    <x v="337"/>
    <n v="15"/>
    <s v="Подразделение15"/>
    <s v="подразделение_2_уровня15"/>
    <s v="-"/>
    <s v="линейный_руководитель_1"/>
    <n v="7"/>
    <s v="нет"/>
    <m/>
    <m/>
    <m/>
    <n v="326"/>
    <s v="Тихонов Тихон Кондратьевич"/>
    <n v="1422"/>
    <s v="Тимофеев Арсений Геннадье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1-08-16T00:00:00"/>
    <n v="1"/>
    <s v="не защищена"/>
    <n v="500457"/>
    <x v="338"/>
    <n v="15"/>
    <s v="Подразделение15"/>
    <s v="подразделение_2_уровня15"/>
    <s v="-"/>
    <s v="линейный_руководитель_1"/>
    <n v="7"/>
    <s v="нет"/>
    <m/>
    <m/>
    <m/>
    <n v="327"/>
    <s v="Русланов Еремей Иванович"/>
    <n v="1418"/>
    <s v="Коростелев Геннадий Геннадье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338"/>
    <n v="15"/>
    <s v="Подразделение15"/>
    <s v="подразделение_2_уровня15"/>
    <s v="-"/>
    <s v="линейный_руководитель_1"/>
    <n v="7"/>
    <s v="нет"/>
    <m/>
    <m/>
    <m/>
    <n v="327"/>
    <s v="Русланов Еремей Иванович"/>
    <n v="1419"/>
    <s v="Брежнев Геннадий Семен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338"/>
    <n v="15"/>
    <s v="Подразделение15"/>
    <s v="подразделение_2_уровня15"/>
    <s v="-"/>
    <s v="линейный_руководитель_1"/>
    <n v="7"/>
    <s v="нет"/>
    <m/>
    <m/>
    <m/>
    <n v="327"/>
    <s v="Русланов Еремей Иванович"/>
    <n v="1420"/>
    <s v="Игнатьев Афанасий Семен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338"/>
    <n v="15"/>
    <s v="Подразделение15"/>
    <s v="подразделение_2_уровня15"/>
    <s v="-"/>
    <s v="линейный_руководитель_1"/>
    <n v="7"/>
    <s v="нет"/>
    <m/>
    <m/>
    <m/>
    <n v="327"/>
    <s v="Русланов Еремей Иванович"/>
    <n v="1421"/>
    <s v="Коростелев Виталий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57"/>
    <x v="338"/>
    <n v="15"/>
    <s v="Подразделение15"/>
    <s v="подразделение_2_уровня15"/>
    <s v="-"/>
    <s v="линейный_руководитель_1"/>
    <n v="7"/>
    <s v="нет"/>
    <m/>
    <m/>
    <m/>
    <n v="327"/>
    <s v="Русланов Еремей Иванович"/>
    <n v="1422"/>
    <s v="Тимофеев Арсений Геннадье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1-08-16T00:00:00"/>
    <n v="1"/>
    <s v="не защищена"/>
    <n v="500458"/>
    <x v="339"/>
    <n v="15"/>
    <s v="Подразделение15"/>
    <s v="подразделение_2_уровня15"/>
    <s v="-"/>
    <s v="линейный_руководитель_2"/>
    <n v="7"/>
    <s v="нет"/>
    <m/>
    <m/>
    <m/>
    <n v="328"/>
    <s v="Поминов Алексей Владиславович"/>
    <n v="1423"/>
    <s v="Незнамов Глеб Кондратье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59"/>
    <x v="340"/>
    <n v="15"/>
    <s v="Подразделение15"/>
    <s v="подразделение_2_уровня15"/>
    <s v="-"/>
    <s v="линейный_руководитель_2"/>
    <n v="7"/>
    <s v="нет"/>
    <m/>
    <m/>
    <m/>
    <n v="329"/>
    <s v="Аксенов Григорий Тимофеевич"/>
    <n v="1424"/>
    <s v="Исаев Виталий Геннадье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60"/>
    <x v="341"/>
    <n v="15"/>
    <s v="Подразделение15"/>
    <s v="подразделение_2_уровня15"/>
    <s v="подразделение_3_уровня15"/>
    <s v="функциональный_руководитель_3"/>
    <n v="7"/>
    <s v="нет"/>
    <m/>
    <m/>
    <m/>
    <n v="330"/>
    <s v="Семенов Николай Матвеевич"/>
    <n v="1425"/>
    <s v="Степанов Геннадий Кондратьевич"/>
    <s v="Специалист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61"/>
    <x v="342"/>
    <n v="15"/>
    <s v="Подразделение15"/>
    <s v="подразделение_2_уровня15"/>
    <s v="-"/>
    <s v="линейный_руководитель_1"/>
    <n v="7"/>
    <s v="нет"/>
    <m/>
    <m/>
    <m/>
    <n v="331"/>
    <s v="Цветков Потап Васильевич"/>
    <n v="1426"/>
    <s v="Дорофеев Захар Александро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1"/>
    <x v="342"/>
    <n v="15"/>
    <s v="Подразделение15"/>
    <s v="подразделение_2_уровня15"/>
    <s v="-"/>
    <s v="линейный_руководитель_1"/>
    <n v="7"/>
    <s v="нет"/>
    <m/>
    <m/>
    <m/>
    <n v="331"/>
    <s v="Цветков Потап Васильевич"/>
    <n v="1427"/>
    <s v="Дмитриев Кирилл Михайлов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1"/>
    <x v="342"/>
    <n v="15"/>
    <s v="Подразделение15"/>
    <s v="подразделение_2_уровня15"/>
    <s v="-"/>
    <s v="линейный_руководитель_1"/>
    <n v="7"/>
    <s v="нет"/>
    <m/>
    <m/>
    <m/>
    <n v="331"/>
    <s v="Цветков Потап Васильевич"/>
    <n v="1428"/>
    <s v="Незнамов Иван Ефремо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61"/>
    <x v="343"/>
    <n v="15"/>
    <s v="Подразделение15"/>
    <s v="подразделение_2_уровня15"/>
    <s v="-"/>
    <s v="линейный_руководитель_1"/>
    <n v="7"/>
    <s v="нет"/>
    <m/>
    <m/>
    <m/>
    <n v="332"/>
    <s v="Баранкин Алексей Иванович"/>
    <n v="1426"/>
    <s v="Дорофеев Захар Александр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1"/>
    <x v="343"/>
    <n v="15"/>
    <s v="Подразделение15"/>
    <s v="подразделение_2_уровня15"/>
    <s v="-"/>
    <s v="линейный_руководитель_1"/>
    <n v="7"/>
    <s v="нет"/>
    <m/>
    <m/>
    <m/>
    <n v="332"/>
    <s v="Баранкин Алексей Иванович"/>
    <n v="1427"/>
    <s v="Дмитриев Кирилл Михайл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1"/>
    <x v="343"/>
    <n v="15"/>
    <s v="Подразделение15"/>
    <s v="подразделение_2_уровня15"/>
    <s v="-"/>
    <s v="линейный_руководитель_1"/>
    <n v="7"/>
    <s v="нет"/>
    <m/>
    <m/>
    <m/>
    <n v="332"/>
    <s v="Баранкин Алексей Иванович"/>
    <n v="1428"/>
    <s v="Незнамов Иван Ефрем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61"/>
    <x v="344"/>
    <n v="15"/>
    <s v="Подразделение15"/>
    <s v="подразделение_2_уровня15"/>
    <s v="-"/>
    <s v="линейный_руководитель_1"/>
    <n v="7"/>
    <s v="нет"/>
    <m/>
    <m/>
    <m/>
    <n v="333"/>
    <s v="Чистяков Григорий Егорович"/>
    <n v="1426"/>
    <s v="Дорофеев Захар Александр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1"/>
    <x v="344"/>
    <n v="15"/>
    <s v="Подразделение15"/>
    <s v="подразделение_2_уровня15"/>
    <s v="-"/>
    <s v="линейный_руководитель_1"/>
    <n v="7"/>
    <s v="нет"/>
    <m/>
    <m/>
    <m/>
    <n v="333"/>
    <s v="Чистяков Григорий Егорович"/>
    <n v="1427"/>
    <s v="Дмитриев Кирилл Михайл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1"/>
    <x v="344"/>
    <n v="15"/>
    <s v="Подразделение15"/>
    <s v="подразделение_2_уровня15"/>
    <s v="-"/>
    <s v="линейный_руководитель_1"/>
    <n v="7"/>
    <s v="нет"/>
    <m/>
    <m/>
    <m/>
    <n v="333"/>
    <s v="Чистяков Григорий Егорович"/>
    <n v="1428"/>
    <s v="Незнамов Иван Ефрем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61"/>
    <x v="345"/>
    <n v="15"/>
    <s v="Подразделение15"/>
    <s v="подразделение_2_уровня15"/>
    <s v="-"/>
    <s v="линейный_руководитель_1"/>
    <n v="7"/>
    <s v="нет"/>
    <m/>
    <m/>
    <m/>
    <n v="334"/>
    <s v="Аксенов Потап Алексеевич"/>
    <n v="1426"/>
    <s v="Дорофеев Захар Александр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1"/>
    <x v="345"/>
    <n v="15"/>
    <s v="Подразделение15"/>
    <s v="подразделение_2_уровня15"/>
    <s v="-"/>
    <s v="линейный_руководитель_1"/>
    <n v="7"/>
    <s v="нет"/>
    <m/>
    <m/>
    <m/>
    <n v="334"/>
    <s v="Аксенов Потап Алексеевич"/>
    <n v="1427"/>
    <s v="Дмитриев Кирилл Михайл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1"/>
    <x v="345"/>
    <n v="15"/>
    <s v="Подразделение15"/>
    <s v="подразделение_2_уровня15"/>
    <s v="-"/>
    <s v="линейный_руководитель_1"/>
    <n v="7"/>
    <s v="нет"/>
    <m/>
    <m/>
    <m/>
    <n v="334"/>
    <s v="Аксенов Потап Алексеевич"/>
    <n v="1428"/>
    <s v="Незнамов Иван Ефрем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3"/>
    <d v="2019-11-12T00:00:00"/>
    <n v="1"/>
    <s v="не защищена"/>
    <n v="500462"/>
    <x v="346"/>
    <n v="15"/>
    <s v="Подразделение15"/>
    <s v="подразделение_2_уровня15"/>
    <s v="-"/>
    <s v="руководитель_среднего_уровня_4"/>
    <n v="6"/>
    <s v="нет"/>
    <m/>
    <m/>
    <m/>
    <n v="335"/>
    <s v="Поминов Потап Александрович"/>
    <n v="1377"/>
    <s v="Игнатьев Арсений Александрович"/>
    <s v="Специалист"/>
    <s v="Подразделение_др9"/>
    <x v="2"/>
    <x v="0"/>
    <n v="1"/>
    <n v="0"/>
    <m/>
    <m/>
    <s v="без изменений"/>
    <s v="протокол-№-26.05.2022"/>
  </r>
  <r>
    <s v="Функциональное направление 6"/>
    <n v="3"/>
    <d v="2022-05-26T00:00:00"/>
    <n v="0"/>
    <s v="не защищена"/>
    <n v="500462"/>
    <x v="346"/>
    <n v="15"/>
    <s v="Подразделение15"/>
    <s v="подразделение_2_уровня15"/>
    <s v="-"/>
    <s v="руководитель_среднего_уровня_4"/>
    <n v="6"/>
    <s v="нет"/>
    <m/>
    <m/>
    <m/>
    <n v="335"/>
    <s v="Поминов Потап Александрович"/>
    <n v="336"/>
    <s v="Сысоев Алексей Иванович"/>
    <s v="линейный_руководитель_2"/>
    <s v="Подразделение15"/>
    <x v="2"/>
    <x v="0"/>
    <n v="1"/>
    <n v="0"/>
    <m/>
    <m/>
    <s v="не рассматривали"/>
    <s v="протокол-№-26.05.2022"/>
  </r>
  <r>
    <s v="Функциональное направление 6"/>
    <n v="3"/>
    <d v="2022-05-26T00:00:00"/>
    <n v="0"/>
    <s v="не защищена"/>
    <n v="500462"/>
    <x v="346"/>
    <n v="15"/>
    <s v="Подразделение15"/>
    <s v="подразделение_2_уровня15"/>
    <s v="-"/>
    <s v="руководитель_среднего_уровня_4"/>
    <n v="6"/>
    <s v="нет"/>
    <m/>
    <m/>
    <m/>
    <n v="335"/>
    <s v="Поминов Потап Александрович"/>
    <n v="1427"/>
    <s v="Дмитриев Кирилл Михайлович"/>
    <s v="Рабочий"/>
    <s v="Подразделение15"/>
    <x v="2"/>
    <x v="0"/>
    <n v="1"/>
    <n v="0"/>
    <m/>
    <m/>
    <s v="не рассматривали"/>
    <s v="протокол-№-26.05.2022"/>
  </r>
  <r>
    <s v="Функциональное направление 6"/>
    <n v="3"/>
    <d v="2019-11-12T00:00:00"/>
    <n v="0"/>
    <s v="не защищена"/>
    <n v="500462"/>
    <x v="346"/>
    <n v="15"/>
    <s v="Подразделение15"/>
    <s v="подразделение_2_уровня15"/>
    <s v="-"/>
    <s v="руководитель_среднего_уровня_4"/>
    <n v="6"/>
    <s v="нет"/>
    <m/>
    <m/>
    <m/>
    <n v="335"/>
    <s v="Поминов Потап Александрович"/>
    <n v="1429"/>
    <s v="Тимофеев Кирилл Александрович"/>
    <s v="Рабочий"/>
    <s v="Подразделение15"/>
    <x v="2"/>
    <x v="2"/>
    <n v="1"/>
    <n v="0"/>
    <s v="увольнение"/>
    <d v="2021-11-09T00:00:00"/>
    <s v="без изменений"/>
    <s v="протокол-№-16.06.2020"/>
  </r>
  <r>
    <s v="Функциональное направление 6"/>
    <n v="3"/>
    <d v="2018-11-21T00:00:00"/>
    <n v="0"/>
    <s v="не защищена"/>
    <n v="500462"/>
    <x v="346"/>
    <n v="15"/>
    <s v="Подразделение15"/>
    <s v="подразделение_2_уровня15"/>
    <s v="-"/>
    <s v="руководитель_среднего_уровня_4"/>
    <n v="6"/>
    <s v="нет"/>
    <m/>
    <m/>
    <m/>
    <n v="335"/>
    <s v="Поминов Потап Александрович"/>
    <n v="1430"/>
    <s v="Брежнев Кирилл Михайлович"/>
    <s v="линейный_руководитель_2"/>
    <s v="Подразделение15"/>
    <x v="1"/>
    <x v="2"/>
    <n v="1"/>
    <n v="0"/>
    <s v="прочее (по состоянию здоровья)"/>
    <d v="2019-11-12T00:00:00"/>
    <s v="не рассматривали"/>
    <s v="протокол-№-21.11.2018"/>
  </r>
  <r>
    <s v="Функциональное направление 6"/>
    <n v="3"/>
    <d v="2019-11-12T00:00:00"/>
    <n v="0"/>
    <s v="не защищена"/>
    <n v="500462"/>
    <x v="346"/>
    <n v="15"/>
    <s v="Подразделение15"/>
    <s v="подразделение_2_уровня15"/>
    <s v="-"/>
    <s v="руководитель_среднего_уровня_4"/>
    <n v="6"/>
    <s v="нет"/>
    <m/>
    <m/>
    <m/>
    <n v="335"/>
    <s v="Поминов Потап Александрович"/>
    <n v="340"/>
    <s v="Вобликов Валерий Максимович"/>
    <s v="линейный_руководитель_2"/>
    <s v="Подразделение15"/>
    <x v="2"/>
    <x v="2"/>
    <n v="1"/>
    <n v="0"/>
    <s v="инициатива комитета / руководителя"/>
    <d v="2022-05-26T00:00:00"/>
    <s v="исключение"/>
    <s v="протокол-№-26.05.2022"/>
  </r>
  <r>
    <s v="Функциональное направление 6"/>
    <n v="4"/>
    <d v="2021-08-16T00:00:00"/>
    <n v="1"/>
    <s v="не защищена"/>
    <n v="500463"/>
    <x v="347"/>
    <n v="15"/>
    <s v="Подразделение15"/>
    <s v="подразделение_2_уровня15"/>
    <s v="-"/>
    <s v="линейный_руководитель_2"/>
    <n v="7"/>
    <s v="нет"/>
    <m/>
    <m/>
    <m/>
    <n v="336"/>
    <s v="Сысоев Алексей Иванович"/>
    <n v="1429"/>
    <s v="Тимофеев Кирилл Александрович"/>
    <s v="Рабочий"/>
    <s v="Подразделение15"/>
    <x v="1"/>
    <x v="2"/>
    <n v="1"/>
    <n v="0"/>
    <s v="увольнение"/>
    <d v="2021-11-09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64"/>
    <x v="348"/>
    <n v="15"/>
    <s v="Подразделение15"/>
    <s v="подразделение_2_уровня15"/>
    <s v="-"/>
    <s v="линейный_руководитель_2"/>
    <n v="7"/>
    <s v="да"/>
    <d v="2022-09-01T00:00:00"/>
    <d v="2022-09-01T00:00:00"/>
    <s v="из резерва (учитываем)"/>
    <n v="337"/>
    <s v="Аксенов Лавр Романович"/>
    <n v="1394"/>
    <s v="Дмитриев Афанасий Геннад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64"/>
    <x v="348"/>
    <n v="15"/>
    <s v="Подразделение15"/>
    <s v="подразделение_2_уровня15"/>
    <s v="-"/>
    <s v="линейный_руководитель_2"/>
    <n v="7"/>
    <s v="да"/>
    <d v="2022-09-01T00:00:00"/>
    <d v="2022-09-01T00:00:00"/>
    <s v="из резерва (учитываем)"/>
    <n v="337"/>
    <s v="Аксенов Лавр Романович"/>
    <n v="1431"/>
    <s v="Федотов Захар Геннадье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64"/>
    <x v="348"/>
    <n v="15"/>
    <s v="Подразделение15"/>
    <s v="подразделение_2_уровня15"/>
    <s v="-"/>
    <s v="линейный_руководитель_2"/>
    <n v="7"/>
    <s v="да"/>
    <d v="2022-09-01T00:00:00"/>
    <d v="2022-09-01T00:00:00"/>
    <s v="из резерва (учитываем)"/>
    <n v="337"/>
    <s v="Аксенов Лавр Романович"/>
    <n v="337"/>
    <s v="Аксенов Лавр Романович"/>
    <s v="линейный_руководитель_2"/>
    <s v="Подразделение15"/>
    <x v="1"/>
    <x v="1"/>
    <n v="1"/>
    <n v="1"/>
    <s v="назначение на целевую должность"/>
    <d v="2022-09-01T00:00:00"/>
    <s v="не рассматривали"/>
    <s v="протокол-№-16.08.2021"/>
  </r>
  <r>
    <s v="Функциональное направление 6"/>
    <n v="4"/>
    <d v="2022-11-22T00:00:00"/>
    <n v="1"/>
    <s v="не защищена"/>
    <n v="500465"/>
    <x v="349"/>
    <n v="15"/>
    <s v="Подразделение15"/>
    <s v="подразделение_2_уровня15"/>
    <s v="-"/>
    <s v="линейный_руководитель_2"/>
    <n v="7"/>
    <s v="да"/>
    <d v="2022-10-17T00:00:00"/>
    <d v="2022-10-17T00:00:00"/>
    <s v="из резерва (учитываем)"/>
    <n v="338"/>
    <s v="Волков Матвей Михайлович"/>
    <n v="1432"/>
    <s v="Брежнев Савелий Геннадье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65"/>
    <x v="349"/>
    <n v="15"/>
    <s v="Подразделение15"/>
    <s v="подразделение_2_уровня15"/>
    <s v="-"/>
    <s v="линейный_руководитель_2"/>
    <n v="7"/>
    <s v="да"/>
    <d v="2022-10-17T00:00:00"/>
    <d v="2022-10-17T00:00:00"/>
    <s v="из резерва (учитываем)"/>
    <n v="338"/>
    <s v="Волков Матвей Михайлович"/>
    <n v="1433"/>
    <s v="Дорофеев Юрий Богданович"/>
    <s v="Рабочий"/>
    <s v="Подразделение15"/>
    <x v="2"/>
    <x v="0"/>
    <n v="1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65"/>
    <x v="349"/>
    <n v="15"/>
    <s v="Подразделение15"/>
    <s v="подразделение_2_уровня15"/>
    <s v="-"/>
    <s v="линейный_руководитель_2"/>
    <n v="7"/>
    <s v="да"/>
    <d v="2022-10-17T00:00:00"/>
    <d v="2022-10-17T00:00:00"/>
    <s v="из резерва (учитываем)"/>
    <n v="338"/>
    <s v="Волков Матвей Михайлович"/>
    <n v="338"/>
    <s v="Волков Матвей Михайлович"/>
    <s v="Рабочий"/>
    <s v="Подразделение15"/>
    <x v="1"/>
    <x v="1"/>
    <n v="1"/>
    <n v="1"/>
    <s v="назначение на целевую должность"/>
    <d v="2022-10-17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66"/>
    <x v="350"/>
    <n v="15"/>
    <s v="Подразделение15"/>
    <s v="подразделение_2_уровня15"/>
    <s v="-"/>
    <s v="линейный_руководитель_2"/>
    <n v="7"/>
    <s v="нет"/>
    <m/>
    <m/>
    <m/>
    <n v="339"/>
    <s v="Поминов Степан Юрьевич"/>
    <n v="1434"/>
    <s v="Степанов Роман Ильич"/>
    <s v="Рабочий"/>
    <s v="Подразделение15"/>
    <x v="1"/>
    <x v="0"/>
    <n v="1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66"/>
    <x v="350"/>
    <n v="15"/>
    <s v="Подразделение15"/>
    <s v="подразделение_2_уровня15"/>
    <s v="-"/>
    <s v="линейный_руководитель_2"/>
    <n v="7"/>
    <s v="нет"/>
    <m/>
    <m/>
    <m/>
    <n v="339"/>
    <s v="Поминов Степан Юрьевич"/>
    <n v="1432"/>
    <s v="Брежнев Савелий Геннадье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1-08-16T00:00:00"/>
    <n v="1"/>
    <s v="не защищена"/>
    <n v="500467"/>
    <x v="351"/>
    <n v="15"/>
    <s v="Подразделение15"/>
    <s v="подразделение_2_уровня15"/>
    <s v="-"/>
    <s v="линейный_руководитель_2"/>
    <n v="7"/>
    <s v="да"/>
    <d v="2021-12-01T00:00:00"/>
    <d v="2022-01-01T00:00:00"/>
    <s v="из резерва (учитываем)"/>
    <n v="340"/>
    <s v="Вобликов Валерий Максимович"/>
    <n v="1435"/>
    <s v="Дорофеев Кирилл Геннадьевич"/>
    <s v="Рабочий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7"/>
    <x v="351"/>
    <n v="15"/>
    <s v="Подразделение15"/>
    <s v="подразделение_2_уровня15"/>
    <s v="-"/>
    <s v="линейный_руководитель_2"/>
    <n v="7"/>
    <s v="да"/>
    <d v="2021-12-01T00:00:00"/>
    <d v="2022-01-01T00:00:00"/>
    <s v="из резерва (учитываем)"/>
    <n v="340"/>
    <s v="Вобликов Валерий Максимович"/>
    <n v="1436"/>
    <s v="Кириллов Роман Александрович"/>
    <s v="функциональный_руководитель_1"/>
    <s v="Подразделение15"/>
    <x v="2"/>
    <x v="0"/>
    <n v="1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67"/>
    <x v="351"/>
    <n v="15"/>
    <s v="Подразделение15"/>
    <s v="подразделение_2_уровня15"/>
    <s v="-"/>
    <s v="линейный_руководитель_2"/>
    <n v="7"/>
    <s v="да"/>
    <d v="2021-12-01T00:00:00"/>
    <d v="2022-01-01T00:00:00"/>
    <s v="из резерва (учитываем)"/>
    <n v="340"/>
    <s v="Вобликов Валерий Максимович"/>
    <n v="340"/>
    <s v="Вобликов Валерий Максимович"/>
    <s v="линейный_руководитель_2"/>
    <s v="Подразделение15"/>
    <x v="1"/>
    <x v="1"/>
    <n v="1"/>
    <n v="1"/>
    <s v="назначение на целевую должность"/>
    <d v="2022-01-01T00:00:00"/>
    <s v="не рассматривали"/>
    <s v="протокол-№-16.08.2021"/>
  </r>
  <r>
    <s v="Функциональное направление 6"/>
    <n v="3"/>
    <d v="2020-06-10T00:00:00"/>
    <n v="1"/>
    <s v="не защищена"/>
    <n v="500192"/>
    <x v="352"/>
    <n v="12"/>
    <s v="Подразделение12"/>
    <s v="подразделение_2_уровня12"/>
    <s v="-"/>
    <s v="руководитель_среднего_уровня_4"/>
    <n v="5"/>
    <s v="нет"/>
    <m/>
    <m/>
    <m/>
    <n v="341"/>
    <s v="Нырков Григорий Иванович"/>
    <n v="1437"/>
    <s v="Ветров Константин Герасимович"/>
    <s v="функциональный_руководитель_1"/>
    <s v="Подразделение12"/>
    <x v="2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192"/>
    <x v="352"/>
    <n v="12"/>
    <s v="Подразделение12"/>
    <s v="подразделение_2_уровня12"/>
    <s v="-"/>
    <s v="руководитель_среднего_уровня_4"/>
    <n v="5"/>
    <s v="нет"/>
    <m/>
    <m/>
    <m/>
    <n v="341"/>
    <s v="Нырков Григорий Иванович"/>
    <n v="360"/>
    <s v="Баранкин Тихон Юрьевич"/>
    <s v="линейный_руководитель_2"/>
    <s v="Подразделение12"/>
    <x v="0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192"/>
    <x v="352"/>
    <n v="12"/>
    <s v="Подразделение12"/>
    <s v="подразделение_2_уровня12"/>
    <s v="-"/>
    <s v="руководитель_среднего_уровня_4"/>
    <n v="5"/>
    <s v="нет"/>
    <m/>
    <m/>
    <m/>
    <n v="341"/>
    <s v="Нырков Григорий Иванович"/>
    <n v="355"/>
    <s v="Аксенов Еремей Александрович"/>
    <s v="руководитель_среднего_уровня_3"/>
    <s v="Подразделение12"/>
    <x v="1"/>
    <x v="0"/>
    <n v="1"/>
    <n v="0"/>
    <m/>
    <m/>
    <s v="повышение"/>
    <s v="протокол-№-26.05.2022"/>
  </r>
  <r>
    <s v="Функциональное направление 6"/>
    <n v="3"/>
    <d v="2021-05-27T00:00:00"/>
    <n v="0"/>
    <s v="не защищена"/>
    <n v="500192"/>
    <x v="352"/>
    <n v="12"/>
    <s v="Подразделение12"/>
    <s v="подразделение_2_уровня12"/>
    <s v="-"/>
    <s v="руководитель_среднего_уровня_4"/>
    <n v="5"/>
    <s v="нет"/>
    <m/>
    <m/>
    <m/>
    <n v="341"/>
    <s v="Нырков Григорий Иванович"/>
    <n v="1438"/>
    <s v="Игнатьев Виталий Геннадьевич"/>
    <s v="функциональный_руководитель_1"/>
    <s v="Подразделение12"/>
    <x v="0"/>
    <x v="0"/>
    <n v="1"/>
    <n v="0"/>
    <m/>
    <m/>
    <s v="повышение"/>
    <s v="протокол-№-26.05.2022"/>
  </r>
  <r>
    <s v="Функциональное направление 6"/>
    <n v="3"/>
    <d v="2022-05-26T00:00:00"/>
    <n v="0"/>
    <s v="не защищена"/>
    <n v="500192"/>
    <x v="352"/>
    <n v="12"/>
    <s v="Подразделение12"/>
    <s v="подразделение_2_уровня12"/>
    <s v="-"/>
    <s v="руководитель_среднего_уровня_4"/>
    <n v="5"/>
    <s v="нет"/>
    <m/>
    <m/>
    <m/>
    <n v="341"/>
    <s v="Нырков Григорий Иванович"/>
    <n v="350"/>
    <s v="Баранкин Степан Александрович"/>
    <s v="линейный_руководитель_2"/>
    <s v="Подразделение12"/>
    <x v="2"/>
    <x v="0"/>
    <n v="1"/>
    <n v="0"/>
    <m/>
    <m/>
    <s v="не рассматривали"/>
    <s v="протокол-№-26.05.2022"/>
  </r>
  <r>
    <s v="Функциональное направление 6"/>
    <n v="3"/>
    <d v="2018-11-21T00:00:00"/>
    <n v="0"/>
    <s v="не защищена"/>
    <n v="500192"/>
    <x v="352"/>
    <n v="12"/>
    <s v="Подразделение12"/>
    <s v="подразделение_2_уровня12"/>
    <s v="-"/>
    <s v="руководитель_среднего_уровня_4"/>
    <n v="5"/>
    <s v="нет"/>
    <m/>
    <m/>
    <m/>
    <n v="341"/>
    <s v="Нырков Григорий Иванович"/>
    <n v="351"/>
    <s v="Поминов Алексей Константинович"/>
    <s v="функциональный_руководитель_1"/>
    <s v="Подразделение12"/>
    <x v="1"/>
    <x v="2"/>
    <n v="1"/>
    <n v="0"/>
    <s v="назначение на должность более высокого уровня"/>
    <d v="2022-12-06T00:00:00"/>
    <s v="без изменений"/>
    <s v="протокол-№-26.05.2022"/>
  </r>
  <r>
    <s v="Функциональное направление 6"/>
    <n v="4"/>
    <d v="2021-08-23T00:00:00"/>
    <n v="1"/>
    <s v="не защищена"/>
    <n v="500193"/>
    <x v="353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42"/>
    <s v="Романов Григорий Александрович"/>
    <n v="1439"/>
    <s v="Незнамов Виталий Кондратьевич"/>
    <s v="Рабочий"/>
    <s v="Подразделение12"/>
    <x v="1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3"/>
    <x v="353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42"/>
    <s v="Романов Григорий Александрович"/>
    <n v="1440"/>
    <s v="Игнатьев Юрий Герасимович"/>
    <s v="Рабочий"/>
    <s v="Подразделение12"/>
    <x v="0"/>
    <x v="0"/>
    <n v="1"/>
    <n v="0"/>
    <m/>
    <m/>
    <s v="не рассматривали"/>
    <s v="протокол-№-23.08.2021"/>
  </r>
  <r>
    <s v="Функциональное направление 6"/>
    <n v="3"/>
    <d v="2018-11-21T00:00:00"/>
    <n v="1"/>
    <s v="не защищена"/>
    <n v="500194"/>
    <x v="354"/>
    <n v="12"/>
    <s v="Подразделение12"/>
    <s v="подразделение_2_уровня12"/>
    <s v="-"/>
    <s v="руководитель_среднего_уровня_4"/>
    <n v="5"/>
    <s v="нет"/>
    <m/>
    <m/>
    <m/>
    <n v="343"/>
    <s v="Баранкин Кирилл Максимович"/>
    <n v="342"/>
    <s v="Романов Григорий Александрович"/>
    <s v="линейный_руководитель_2"/>
    <s v="Подразделение12"/>
    <x v="1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194"/>
    <x v="354"/>
    <n v="12"/>
    <s v="Подразделение12"/>
    <s v="подразделение_2_уровня12"/>
    <s v="-"/>
    <s v="руководитель_среднего_уровня_4"/>
    <n v="5"/>
    <s v="нет"/>
    <m/>
    <m/>
    <m/>
    <n v="343"/>
    <s v="Баранкин Кирилл Максимович"/>
    <n v="344"/>
    <s v="Аксенов Тихон Денисович"/>
    <s v="линейный_руководитель_2"/>
    <s v="Подразделение12"/>
    <x v="1"/>
    <x v="0"/>
    <n v="1"/>
    <n v="0"/>
    <m/>
    <m/>
    <s v="без изменений"/>
    <s v="протокол-№-26.05.2022"/>
  </r>
  <r>
    <s v="Функциональное направление 6"/>
    <n v="3"/>
    <d v="2020-06-10T00:00:00"/>
    <n v="0"/>
    <s v="не защищена"/>
    <n v="500194"/>
    <x v="354"/>
    <n v="12"/>
    <s v="Подразделение12"/>
    <s v="подразделение_2_уровня12"/>
    <s v="-"/>
    <s v="руководитель_среднего_уровня_4"/>
    <n v="5"/>
    <s v="нет"/>
    <m/>
    <m/>
    <m/>
    <n v="343"/>
    <s v="Баранкин Кирилл Максимович"/>
    <n v="457"/>
    <s v="Волков Еремей Максимович"/>
    <s v="линейный_руководитель_2"/>
    <s v="Подразделение12"/>
    <x v="2"/>
    <x v="0"/>
    <n v="1"/>
    <n v="0"/>
    <m/>
    <m/>
    <s v="без изменений"/>
    <s v="протокол-№-26.05.2022"/>
  </r>
  <r>
    <s v="Функциональное направление 6"/>
    <n v="4"/>
    <d v="2021-08-23T00:00:00"/>
    <n v="1"/>
    <s v="не защищена"/>
    <n v="500195"/>
    <x v="355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44"/>
    <s v="Аксенов Тихон Денисович"/>
    <n v="1443"/>
    <s v="Степанов Глеб Владиславович"/>
    <s v="Рабочий"/>
    <s v="Подразделение12"/>
    <x v="1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5"/>
    <x v="355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44"/>
    <s v="Аксенов Тихон Денисович"/>
    <n v="1444"/>
    <s v="Дорофеев Виталий Геннадьевич"/>
    <s v="Рабочий"/>
    <s v="Подразделение12"/>
    <x v="0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45"/>
    <s v="Игнатьев Геннадий Геннадьевич"/>
    <s v="Рабочий"/>
    <s v="Подразделение12"/>
    <x v="0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46"/>
    <s v="Игорев Афанасий Владиславович"/>
    <s v="Специалист"/>
    <s v="Подразделение12"/>
    <x v="0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47"/>
    <s v="Степанов Глеб Геннадьевич"/>
    <s v="Рабочий"/>
    <s v="Подразделение12"/>
    <x v="2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48"/>
    <s v="Игнатьев Савелий Александрович"/>
    <s v="Рабочий"/>
    <s v="Подразделение12"/>
    <x v="0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49"/>
    <s v="Коростелев Савелий Никитинич"/>
    <s v="Рабочий"/>
    <s v="Подразделение12"/>
    <x v="2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50"/>
    <s v="Брежнев Афанасий Геннадьевич"/>
    <s v="Рабочий"/>
    <s v="Подразделение12"/>
    <x v="2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51"/>
    <s v="Брежнев Савелий Кондрат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2-11-24T00:00:00"/>
    <n v="0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52"/>
    <s v="Незнамов Геннадий Геннадьевич"/>
    <s v="Рабочий"/>
    <s v="Подразделение12"/>
    <x v="0"/>
    <x v="0"/>
    <n v="1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53"/>
    <s v="Игнатьев Глеб Семенович"/>
    <s v="Рабочий"/>
    <s v="Подразделение12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196"/>
    <x v="356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5"/>
    <s v="Баранкин Тихон Романович"/>
    <n v="1454"/>
    <s v="Дорофеев Матвей Михайлович"/>
    <s v="Рабочий"/>
    <s v="Подразделение12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45"/>
    <s v="Игнатьев Геннадий Геннад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46"/>
    <s v="Игорев Афанасий Владиславович"/>
    <s v="Специалист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47"/>
    <s v="Степанов Глеб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48"/>
    <s v="Игнатьев Савелий Александро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49"/>
    <s v="Коростелев Савелий Никитин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50"/>
    <s v="Брежнев Афанасий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51"/>
    <s v="Брежнев Савелий Кондрат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2-11-24T00:00:00"/>
    <n v="0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52"/>
    <s v="Незнамов Геннад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53"/>
    <s v="Игнатьев Глеб Семен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196"/>
    <x v="357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6"/>
    <s v="Аксенов Лавр Кириллович"/>
    <n v="1454"/>
    <s v="Дорофеев Матвей Михайл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45"/>
    <s v="Игнатьев Геннадий Геннад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46"/>
    <s v="Игорев Афанасий Владиславович"/>
    <s v="Специалист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47"/>
    <s v="Степанов Глеб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48"/>
    <s v="Игнатьев Савелий Александро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49"/>
    <s v="Коростелев Савелий Никитин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50"/>
    <s v="Брежнев Афанасий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51"/>
    <s v="Брежнев Савелий Кондрат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2-11-24T00:00:00"/>
    <n v="0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52"/>
    <s v="Незнамов Геннад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53"/>
    <s v="Игнатьев Глеб Семен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196"/>
    <x v="358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7"/>
    <s v="Баранкин Емельян Корнеевич"/>
    <n v="1454"/>
    <s v="Дорофеев Матвей Михайл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445"/>
    <s v="Игнатьев Геннадий Геннад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446"/>
    <s v="Игорев Афанасий Владиславович"/>
    <s v="Специалист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447"/>
    <s v="Степанов Глеб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448"/>
    <s v="Игнатьев Савелий Александро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449"/>
    <s v="Коростелев Савелий Никитин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450"/>
    <s v="Брежнев Афанасий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451"/>
    <s v="Брежнев Савелий Кондрат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2-11-24T00:00:00"/>
    <n v="0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452"/>
    <s v="Незнамов Геннад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453"/>
    <s v="Игнатьев Глеб Семен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196"/>
    <x v="359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348"/>
    <s v="Поминов Еремей Кириллович"/>
    <n v="1237"/>
    <s v="Филиппов Афанасий Александрович"/>
    <s v="-"/>
    <s v="-"/>
    <x v="3"/>
    <x v="3"/>
    <n v="1"/>
    <n v="0"/>
    <m/>
    <m/>
    <m/>
    <s v="протокол-№-25.11.2022"/>
  </r>
  <r>
    <s v="Функциональное направление 6"/>
    <n v="4"/>
    <d v="2021-08-23T00:00:00"/>
    <n v="1"/>
    <s v="не защищена"/>
    <n v="500197"/>
    <x v="360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49"/>
    <s v="Волков Григорий Егорович"/>
    <n v="1455"/>
    <s v="Ветров Афанасий Герасимович"/>
    <s v="Рабочий"/>
    <s v="Подразделение12"/>
    <x v="1"/>
    <x v="0"/>
    <n v="1"/>
    <n v="0"/>
    <m/>
    <m/>
    <s v="повышение"/>
    <s v="протокол-№-25.11.2022"/>
  </r>
  <r>
    <s v="Функциональное направление 6"/>
    <n v="4"/>
    <d v="2021-08-23T00:00:00"/>
    <n v="0"/>
    <s v="не защищена"/>
    <n v="500197"/>
    <x v="360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49"/>
    <s v="Волков Григорий Егорович"/>
    <n v="1456"/>
    <s v="Незнамов Виталий Александрович"/>
    <s v="Рабочий"/>
    <s v="Подразделение12"/>
    <x v="0"/>
    <x v="0"/>
    <n v="1"/>
    <n v="0"/>
    <m/>
    <m/>
    <s v="повышение"/>
    <s v="протокол-№-25.11.2022"/>
  </r>
  <r>
    <s v="Функциональное направление 6"/>
    <n v="4"/>
    <d v="2021-08-23T00:00:00"/>
    <n v="1"/>
    <s v="не защищена"/>
    <n v="500198"/>
    <x v="361"/>
    <n v="12"/>
    <s v="Подразделение12"/>
    <s v="подразделение_2_уровня12"/>
    <s v="подразделение_3_уровня12"/>
    <s v="линейный_руководитель_2"/>
    <n v="7"/>
    <s v="да"/>
    <d v="2021-07-19T00:00:00"/>
    <d v="2023-01-13T00:00:00"/>
    <s v="внутр. сотр. из списка КР (учитываем)"/>
    <n v="350"/>
    <s v="Баранкин Степан Александрович"/>
    <n v="1438"/>
    <s v="Игнатьев Виталий Геннадьевич"/>
    <s v="функциональный_руководитель_1"/>
    <s v="Подразделение12"/>
    <x v="1"/>
    <x v="0"/>
    <n v="1"/>
    <n v="0"/>
    <m/>
    <m/>
    <s v="не рассматривали"/>
    <s v="протокол-№-23.08.2021"/>
  </r>
  <r>
    <s v="Функциональное направление 6"/>
    <n v="3"/>
    <d v="2017-12-11T00:00:00"/>
    <n v="1"/>
    <s v="не защищена"/>
    <n v="500199"/>
    <x v="362"/>
    <n v="12"/>
    <s v="Подразделение12"/>
    <s v="подразделение_2_уровня12"/>
    <s v="-"/>
    <s v="ТОП_руководитель_2"/>
    <n v="4"/>
    <s v="да"/>
    <d v="2022-12-01T00:00:00"/>
    <d v="2022-12-06T00:00:00"/>
    <s v="из резерва (учитываем)"/>
    <n v="351"/>
    <s v="Поминов Алексей Константинович"/>
    <n v="352"/>
    <s v="Русланов Григорий Иванович"/>
    <s v="линейный_руководитель_3"/>
    <s v="Подразделение12"/>
    <x v="1"/>
    <x v="0"/>
    <n v="1"/>
    <n v="0"/>
    <m/>
    <m/>
    <s v="без изменений"/>
    <s v="протокол-№-24.05.2021"/>
  </r>
  <r>
    <s v="Функциональное направление 6"/>
    <n v="3"/>
    <d v="2017-12-11T00:00:00"/>
    <n v="0"/>
    <s v="не защищена"/>
    <n v="500199"/>
    <x v="362"/>
    <n v="12"/>
    <s v="Подразделение12"/>
    <s v="подразделение_2_уровня12"/>
    <s v="-"/>
    <s v="ТОП_руководитель_2"/>
    <n v="4"/>
    <s v="да"/>
    <d v="2022-12-01T00:00:00"/>
    <d v="2022-12-06T00:00:00"/>
    <s v="из резерва (учитываем)"/>
    <n v="351"/>
    <s v="Поминов Алексей Константинович"/>
    <n v="363"/>
    <s v="Михайлов Венедикт Иванович"/>
    <s v="руководитель_среднего_уровня_4"/>
    <s v="Подразделение12"/>
    <x v="1"/>
    <x v="0"/>
    <n v="1"/>
    <n v="0"/>
    <m/>
    <m/>
    <s v="без изменений"/>
    <s v="протокол-№-24.05.2021"/>
  </r>
  <r>
    <s v="Функциональное направление 6"/>
    <n v="3"/>
    <d v="2022-05-26T00:00:00"/>
    <n v="0"/>
    <s v="не защищена"/>
    <n v="500199"/>
    <x v="362"/>
    <n v="12"/>
    <s v="Подразделение12"/>
    <s v="подразделение_2_уровня12"/>
    <s v="-"/>
    <s v="ТОП_руководитель_2"/>
    <n v="4"/>
    <s v="да"/>
    <d v="2022-12-01T00:00:00"/>
    <d v="2022-12-06T00:00:00"/>
    <s v="из резерва (учитываем)"/>
    <n v="351"/>
    <s v="Поминов Алексей Константинович"/>
    <n v="351"/>
    <s v="Поминов Алексей Константинович"/>
    <s v="функциональный_руководитель_1"/>
    <s v="Подразделение12"/>
    <x v="2"/>
    <x v="1"/>
    <n v="1"/>
    <n v="1"/>
    <s v="назначение на целевую должность"/>
    <d v="2022-12-06T00:00:00"/>
    <s v="не рассматривали"/>
    <s v="протокол-№-26.05.2022"/>
  </r>
  <r>
    <s v="Функциональное направление 6"/>
    <n v="3"/>
    <d v="2017-12-11T00:00:00"/>
    <n v="0"/>
    <s v="не защищена"/>
    <n v="500199"/>
    <x v="362"/>
    <n v="12"/>
    <s v="Подразделение12"/>
    <s v="подразделение_2_уровня12"/>
    <s v="-"/>
    <s v="ТОП_руководитель_2"/>
    <n v="4"/>
    <s v="да"/>
    <d v="2022-12-01T00:00:00"/>
    <d v="2022-12-06T00:00:00"/>
    <s v="из резерва (учитываем)"/>
    <n v="351"/>
    <s v="Поминов Алексей Константинович"/>
    <n v="1457"/>
    <s v="Игнатьев Лавр Александрович"/>
    <s v="функциональный_руководитель_2"/>
    <s v="Подразделение_др10"/>
    <x v="0"/>
    <x v="2"/>
    <n v="1"/>
    <n v="0"/>
    <s v="прочее (перевод в другое СП / на другое предприятие)"/>
    <d v="2021-05-24T00:00:00"/>
    <s v="исключение"/>
    <s v="протокол-№-24.05.2021"/>
  </r>
  <r>
    <s v="Функциональное направление 6"/>
    <n v="3"/>
    <d v="2019-11-12T00:00:00"/>
    <n v="1"/>
    <s v="не защищена"/>
    <n v="500200"/>
    <x v="363"/>
    <n v="12"/>
    <s v="Подразделение12"/>
    <s v="подразделение_2_уровня12"/>
    <s v="-"/>
    <s v="линейный_руководитель_3"/>
    <n v="5"/>
    <s v="нет"/>
    <m/>
    <m/>
    <m/>
    <n v="352"/>
    <s v="Русланов Григорий Иванович"/>
    <n v="341"/>
    <s v="Нырков Григорий Иванович"/>
    <s v="руководитель_среднего_уровня_4"/>
    <s v="Подразделение12"/>
    <x v="2"/>
    <x v="0"/>
    <n v="1"/>
    <n v="0"/>
    <m/>
    <m/>
    <s v="без изменений"/>
    <s v="протокол-№-26.05.2022"/>
  </r>
  <r>
    <s v="Функциональное направление 6"/>
    <n v="3"/>
    <d v="2021-05-27T00:00:00"/>
    <n v="0"/>
    <s v="не защищена"/>
    <n v="500200"/>
    <x v="363"/>
    <n v="12"/>
    <s v="Подразделение12"/>
    <s v="подразделение_2_уровня12"/>
    <s v="-"/>
    <s v="линейный_руководитель_3"/>
    <n v="5"/>
    <s v="нет"/>
    <m/>
    <m/>
    <m/>
    <n v="352"/>
    <s v="Русланов Григорий Иванович"/>
    <n v="342"/>
    <s v="Романов Григорий Александрович"/>
    <s v="линейный_руководитель_2"/>
    <s v="Подразделение12"/>
    <x v="2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200"/>
    <x v="363"/>
    <n v="12"/>
    <s v="Подразделение12"/>
    <s v="подразделение_2_уровня12"/>
    <s v="-"/>
    <s v="линейный_руководитель_3"/>
    <n v="5"/>
    <s v="нет"/>
    <m/>
    <m/>
    <m/>
    <n v="352"/>
    <s v="Русланов Григорий Иванович"/>
    <n v="351"/>
    <s v="Поминов Алексей Константинович"/>
    <s v="функциональный_руководитель_1"/>
    <s v="Подразделение12"/>
    <x v="0"/>
    <x v="2"/>
    <n v="1"/>
    <n v="0"/>
    <s v="назначение на должность более высокого уровня"/>
    <d v="2022-12-06T00:00:00"/>
    <s v="без изменений"/>
    <s v="протокол-№-26.05.2022"/>
  </r>
  <r>
    <s v="Функциональное направление 6"/>
    <n v="3"/>
    <d v="2018-11-21T00:00:00"/>
    <n v="0"/>
    <s v="не защищена"/>
    <n v="500200"/>
    <x v="363"/>
    <n v="12"/>
    <s v="Подразделение12"/>
    <s v="подразделение_2_уровня12"/>
    <s v="-"/>
    <s v="линейный_руководитель_3"/>
    <n v="5"/>
    <s v="нет"/>
    <m/>
    <m/>
    <m/>
    <n v="352"/>
    <s v="Русланов Григорий Иванович"/>
    <n v="1300"/>
    <s v="Ветров Виталий Кондратьевич"/>
    <s v="функциональный_руководитель_3"/>
    <s v="Подразделение202"/>
    <x v="1"/>
    <x v="2"/>
    <n v="1"/>
    <n v="0"/>
    <s v="инициатива комитета / руководителя"/>
    <d v="2021-05-27T00:00:00"/>
    <s v="исключение"/>
    <s v="протокол-№-16.06.2020"/>
  </r>
  <r>
    <s v="Функциональное направление 6"/>
    <n v="4"/>
    <d v="2021-08-23T00:00:00"/>
    <n v="1"/>
    <s v="не защищена"/>
    <n v="500201"/>
    <x v="364"/>
    <n v="12"/>
    <s v="Подразделение12"/>
    <s v="подразделение_2_уровня12"/>
    <s v="-"/>
    <s v="руководитель_среднего_уровня_3"/>
    <n v="6"/>
    <s v="нет"/>
    <m/>
    <m/>
    <m/>
    <n v="353"/>
    <s v="Волков Корней Романович"/>
    <n v="357"/>
    <s v="Баранкин Николай Иванович"/>
    <s v="линейный_руководитель_2"/>
    <s v="Подразделение12"/>
    <x v="1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4"/>
    <n v="12"/>
    <s v="Подразделение12"/>
    <s v="подразделение_2_уровня12"/>
    <s v="-"/>
    <s v="руководитель_среднего_уровня_3"/>
    <n v="6"/>
    <s v="нет"/>
    <m/>
    <m/>
    <m/>
    <n v="353"/>
    <s v="Волков Корней Романович"/>
    <n v="350"/>
    <s v="Баранкин Степан Александрович"/>
    <s v="линейный_руководитель_2"/>
    <s v="Подразделение12"/>
    <x v="1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4"/>
    <n v="12"/>
    <s v="Подразделение12"/>
    <s v="подразделение_2_уровня12"/>
    <s v="-"/>
    <s v="руководитель_среднего_уровня_3"/>
    <n v="6"/>
    <s v="нет"/>
    <m/>
    <m/>
    <m/>
    <n v="353"/>
    <s v="Волков Корней Романович"/>
    <n v="359"/>
    <s v="Бураков Валерий Денисович"/>
    <s v="линейный_руководитель_2"/>
    <s v="Подразделение12"/>
    <x v="1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4"/>
    <n v="12"/>
    <s v="Подразделение12"/>
    <s v="подразделение_2_уровня12"/>
    <s v="-"/>
    <s v="руководитель_среднего_уровня_3"/>
    <n v="6"/>
    <s v="нет"/>
    <m/>
    <m/>
    <m/>
    <n v="353"/>
    <s v="Волков Корней Романович"/>
    <n v="360"/>
    <s v="Баранкин Тихон Юрьевич"/>
    <s v="линейный_руководитель_2"/>
    <s v="Подразделение12"/>
    <x v="1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201"/>
    <x v="365"/>
    <n v="12"/>
    <s v="Подразделение12"/>
    <s v="подразделение_2_уровня12"/>
    <s v="-"/>
    <s v="руководитель_среднего_уровня_3"/>
    <n v="6"/>
    <s v="нет"/>
    <m/>
    <m/>
    <m/>
    <n v="354"/>
    <s v="Баранкин Александр Иванович"/>
    <n v="357"/>
    <s v="Баранкин Николай Ивано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5"/>
    <n v="12"/>
    <s v="Подразделение12"/>
    <s v="подразделение_2_уровня12"/>
    <s v="-"/>
    <s v="руководитель_среднего_уровня_3"/>
    <n v="6"/>
    <s v="нет"/>
    <m/>
    <m/>
    <m/>
    <n v="354"/>
    <s v="Баранкин Александр Иванович"/>
    <n v="350"/>
    <s v="Баранкин Степан Александро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5"/>
    <n v="12"/>
    <s v="Подразделение12"/>
    <s v="подразделение_2_уровня12"/>
    <s v="-"/>
    <s v="руководитель_среднего_уровня_3"/>
    <n v="6"/>
    <s v="нет"/>
    <m/>
    <m/>
    <m/>
    <n v="354"/>
    <s v="Баранкин Александр Иванович"/>
    <n v="359"/>
    <s v="Бураков Валерий Денисо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5"/>
    <n v="12"/>
    <s v="Подразделение12"/>
    <s v="подразделение_2_уровня12"/>
    <s v="-"/>
    <s v="руководитель_среднего_уровня_3"/>
    <n v="6"/>
    <s v="нет"/>
    <m/>
    <m/>
    <m/>
    <n v="354"/>
    <s v="Баранкин Александр Иванович"/>
    <n v="360"/>
    <s v="Баранкин Тихон Юрье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201"/>
    <x v="366"/>
    <n v="12"/>
    <s v="Подразделение12"/>
    <s v="подразделение_2_уровня12"/>
    <s v="-"/>
    <s v="руководитель_среднего_уровня_3"/>
    <n v="6"/>
    <s v="нет"/>
    <m/>
    <m/>
    <m/>
    <n v="355"/>
    <s v="Аксенов Еремей Александрович"/>
    <n v="357"/>
    <s v="Баранкин Николай Ивано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6"/>
    <n v="12"/>
    <s v="Подразделение12"/>
    <s v="подразделение_2_уровня12"/>
    <s v="-"/>
    <s v="руководитель_среднего_уровня_3"/>
    <n v="6"/>
    <s v="нет"/>
    <m/>
    <m/>
    <m/>
    <n v="355"/>
    <s v="Аксенов Еремей Александрович"/>
    <n v="350"/>
    <s v="Баранкин Степан Александро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6"/>
    <n v="12"/>
    <s v="Подразделение12"/>
    <s v="подразделение_2_уровня12"/>
    <s v="-"/>
    <s v="руководитель_среднего_уровня_3"/>
    <n v="6"/>
    <s v="нет"/>
    <m/>
    <m/>
    <m/>
    <n v="355"/>
    <s v="Аксенов Еремей Александрович"/>
    <n v="359"/>
    <s v="Бураков Валерий Денисо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6"/>
    <n v="12"/>
    <s v="Подразделение12"/>
    <s v="подразделение_2_уровня12"/>
    <s v="-"/>
    <s v="руководитель_среднего_уровня_3"/>
    <n v="6"/>
    <s v="нет"/>
    <m/>
    <m/>
    <m/>
    <n v="355"/>
    <s v="Аксенов Еремей Александрович"/>
    <n v="360"/>
    <s v="Баранкин Тихон Юрье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201"/>
    <x v="367"/>
    <n v="12"/>
    <s v="Подразделение12"/>
    <s v="подразделение_2_уровня12"/>
    <s v="-"/>
    <s v="руководитель_среднего_уровня_3"/>
    <n v="6"/>
    <s v="нет"/>
    <m/>
    <m/>
    <m/>
    <n v="356"/>
    <s v="Баранкин Венедикт Константинович"/>
    <n v="357"/>
    <s v="Баранкин Николай Ивано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7"/>
    <n v="12"/>
    <s v="Подразделение12"/>
    <s v="подразделение_2_уровня12"/>
    <s v="-"/>
    <s v="руководитель_среднего_уровня_3"/>
    <n v="6"/>
    <s v="нет"/>
    <m/>
    <m/>
    <m/>
    <n v="356"/>
    <s v="Баранкин Венедикт Константинович"/>
    <n v="350"/>
    <s v="Баранкин Степан Александро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7"/>
    <n v="12"/>
    <s v="Подразделение12"/>
    <s v="подразделение_2_уровня12"/>
    <s v="-"/>
    <s v="руководитель_среднего_уровня_3"/>
    <n v="6"/>
    <s v="нет"/>
    <m/>
    <m/>
    <m/>
    <n v="356"/>
    <s v="Баранкин Венедикт Константинович"/>
    <n v="359"/>
    <s v="Бураков Валерий Денисо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1"/>
    <x v="367"/>
    <n v="12"/>
    <s v="Подразделение12"/>
    <s v="подразделение_2_уровня12"/>
    <s v="-"/>
    <s v="руководитель_среднего_уровня_3"/>
    <n v="6"/>
    <s v="нет"/>
    <m/>
    <m/>
    <m/>
    <n v="356"/>
    <s v="Баранкин Венедикт Константинович"/>
    <n v="360"/>
    <s v="Баранкин Тихон Юрьевич"/>
    <s v="линейный_руководитель_2"/>
    <s v="Подразделение12"/>
    <x v="1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202"/>
    <x v="368"/>
    <n v="12"/>
    <s v="Подразделение12"/>
    <s v="подразделение_2_уровня12"/>
    <s v="-"/>
    <s v="линейный_руководитель_1"/>
    <n v="7"/>
    <s v="нет"/>
    <m/>
    <m/>
    <m/>
    <n v="357"/>
    <s v="Баранкин Николай Иванович"/>
    <n v="1458"/>
    <s v="Игнатьев Афанасий Богданович"/>
    <s v="Рабочий"/>
    <s v="Подразделение12"/>
    <x v="1"/>
    <x v="0"/>
    <n v="1"/>
    <n v="0"/>
    <m/>
    <m/>
    <s v="повышение"/>
    <s v="протокол-№-25.11.2022"/>
  </r>
  <r>
    <s v="Функциональное направление 6"/>
    <n v="4"/>
    <d v="2022-11-24T00:00:00"/>
    <n v="0"/>
    <s v="не защищена"/>
    <n v="500202"/>
    <x v="368"/>
    <n v="12"/>
    <s v="Подразделение12"/>
    <s v="подразделение_2_уровня12"/>
    <s v="-"/>
    <s v="линейный_руководитель_1"/>
    <n v="7"/>
    <s v="нет"/>
    <m/>
    <m/>
    <m/>
    <n v="357"/>
    <s v="Баранкин Николай Иванович"/>
    <n v="1459"/>
    <s v="Дорофеев Афанасий Геннадьевич"/>
    <s v="Рабочий"/>
    <s v="Подразделение12"/>
    <x v="0"/>
    <x v="0"/>
    <n v="1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202"/>
    <x v="368"/>
    <n v="12"/>
    <s v="Подразделение12"/>
    <s v="подразделение_2_уровня12"/>
    <s v="-"/>
    <s v="линейный_руководитель_1"/>
    <n v="7"/>
    <s v="нет"/>
    <m/>
    <m/>
    <m/>
    <n v="357"/>
    <s v="Баранкин Николай Иванович"/>
    <n v="1460"/>
    <s v="Брежнев Матвей Ефремович"/>
    <s v="Рабочий"/>
    <s v="Подразделение12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202"/>
    <x v="369"/>
    <n v="12"/>
    <s v="Подразделение12"/>
    <s v="подразделение_2_уровня12"/>
    <s v="-"/>
    <s v="линейный_руководитель_1"/>
    <n v="7"/>
    <s v="нет"/>
    <m/>
    <m/>
    <m/>
    <n v="358"/>
    <s v="Баранкин Алексей Александрович"/>
    <n v="1458"/>
    <s v="Игнатьев Афанасий Богданович"/>
    <s v="Рабочий"/>
    <s v="Подразделение12"/>
    <x v="1"/>
    <x v="0"/>
    <n v="0"/>
    <n v="0"/>
    <m/>
    <m/>
    <s v="повышение"/>
    <s v="протокол-№-25.11.2022"/>
  </r>
  <r>
    <s v="Функциональное направление 6"/>
    <n v="4"/>
    <d v="2022-11-24T00:00:00"/>
    <n v="0"/>
    <s v="не защищена"/>
    <n v="500202"/>
    <x v="369"/>
    <n v="12"/>
    <s v="Подразделение12"/>
    <s v="подразделение_2_уровня12"/>
    <s v="-"/>
    <s v="линейный_руководитель_1"/>
    <n v="7"/>
    <s v="нет"/>
    <m/>
    <m/>
    <m/>
    <n v="358"/>
    <s v="Баранкин Алексей Александрович"/>
    <n v="1459"/>
    <s v="Дорофеев Афанас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202"/>
    <x v="369"/>
    <n v="12"/>
    <s v="Подразделение12"/>
    <s v="подразделение_2_уровня12"/>
    <s v="-"/>
    <s v="линейный_руководитель_1"/>
    <n v="7"/>
    <s v="нет"/>
    <m/>
    <m/>
    <m/>
    <n v="358"/>
    <s v="Баранкин Алексей Александрович"/>
    <n v="1460"/>
    <s v="Брежнев Матвей Ефрем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202"/>
    <x v="370"/>
    <n v="12"/>
    <s v="Подразделение12"/>
    <s v="подразделение_2_уровня12"/>
    <s v="-"/>
    <s v="линейный_руководитель_1"/>
    <n v="7"/>
    <s v="да"/>
    <d v="2023-01-13T00:00:00"/>
    <d v="2023-01-16T00:00:00"/>
    <s v="ротация (не учитываем)"/>
    <n v="359"/>
    <s v="Бураков Валерий Денисович"/>
    <n v="1458"/>
    <s v="Игнатьев Афанасий Богданович"/>
    <s v="Рабочий"/>
    <s v="Подразделение12"/>
    <x v="1"/>
    <x v="0"/>
    <n v="0"/>
    <n v="0"/>
    <m/>
    <m/>
    <s v="повышение"/>
    <s v="протокол-№-25.11.2022"/>
  </r>
  <r>
    <s v="Функциональное направление 6"/>
    <n v="4"/>
    <d v="2022-11-24T00:00:00"/>
    <n v="0"/>
    <s v="не защищена"/>
    <n v="500202"/>
    <x v="370"/>
    <n v="12"/>
    <s v="Подразделение12"/>
    <s v="подразделение_2_уровня12"/>
    <s v="-"/>
    <s v="линейный_руководитель_1"/>
    <n v="7"/>
    <s v="да"/>
    <d v="2023-01-13T00:00:00"/>
    <d v="2023-01-16T00:00:00"/>
    <s v="ротация (не учитываем)"/>
    <n v="359"/>
    <s v="Бураков Валерий Денисович"/>
    <n v="1459"/>
    <s v="Дорофеев Афанас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202"/>
    <x v="370"/>
    <n v="12"/>
    <s v="Подразделение12"/>
    <s v="подразделение_2_уровня12"/>
    <s v="-"/>
    <s v="линейный_руководитель_1"/>
    <n v="7"/>
    <s v="да"/>
    <d v="2023-01-13T00:00:00"/>
    <d v="2023-01-16T00:00:00"/>
    <s v="ротация (не учитываем)"/>
    <n v="359"/>
    <s v="Бураков Валерий Денисович"/>
    <n v="1460"/>
    <s v="Брежнев Матвей Ефрем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202"/>
    <x v="371"/>
    <n v="12"/>
    <s v="Подразделение12"/>
    <s v="подразделение_2_уровня12"/>
    <s v="-"/>
    <s v="линейный_руководитель_1"/>
    <n v="7"/>
    <s v="нет"/>
    <m/>
    <m/>
    <m/>
    <n v="360"/>
    <s v="Баранкин Тихон Юрьевич"/>
    <n v="1458"/>
    <s v="Игнатьев Афанасий Богданович"/>
    <s v="Рабочий"/>
    <s v="Подразделение12"/>
    <x v="1"/>
    <x v="0"/>
    <n v="0"/>
    <n v="0"/>
    <m/>
    <m/>
    <s v="повышение"/>
    <s v="протокол-№-25.11.2022"/>
  </r>
  <r>
    <s v="Функциональное направление 6"/>
    <n v="4"/>
    <d v="2022-11-24T00:00:00"/>
    <n v="0"/>
    <s v="не защищена"/>
    <n v="500202"/>
    <x v="371"/>
    <n v="12"/>
    <s v="Подразделение12"/>
    <s v="подразделение_2_уровня12"/>
    <s v="-"/>
    <s v="линейный_руководитель_1"/>
    <n v="7"/>
    <s v="нет"/>
    <m/>
    <m/>
    <m/>
    <n v="360"/>
    <s v="Баранкин Тихон Юрьевич"/>
    <n v="1459"/>
    <s v="Дорофеев Афанас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202"/>
    <x v="371"/>
    <n v="12"/>
    <s v="Подразделение12"/>
    <s v="подразделение_2_уровня12"/>
    <s v="-"/>
    <s v="линейный_руководитель_1"/>
    <n v="7"/>
    <s v="нет"/>
    <m/>
    <m/>
    <m/>
    <n v="360"/>
    <s v="Баранкин Тихон Юрьевич"/>
    <n v="1460"/>
    <s v="Брежнев Матвей Ефрем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203"/>
    <x v="372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61"/>
    <s v="Зверев Виталий Денисович"/>
    <n v="1461"/>
    <s v="Степанов Юрий Климович"/>
    <s v="Рабочий"/>
    <s v="Подразделение12"/>
    <x v="1"/>
    <x v="0"/>
    <n v="1"/>
    <n v="0"/>
    <m/>
    <m/>
    <s v="повышение"/>
    <s v="протокол-№-25.11.2022"/>
  </r>
  <r>
    <s v="Функциональное направление 6"/>
    <n v="4"/>
    <d v="2021-08-23T00:00:00"/>
    <n v="0"/>
    <s v="не защищена"/>
    <n v="500203"/>
    <x v="372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61"/>
    <s v="Зверев Виталий Денисович"/>
    <n v="1462"/>
    <s v="Кириллов Савелий Ефремович"/>
    <s v="Рабочий"/>
    <s v="Подразделение12"/>
    <x v="2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3"/>
    <x v="372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61"/>
    <s v="Зверев Виталий Денисович"/>
    <n v="1463"/>
    <s v="Гуськов Виталий Кондратьевич"/>
    <s v="Рабочий"/>
    <s v="Подразделение12"/>
    <x v="1"/>
    <x v="0"/>
    <n v="1"/>
    <n v="0"/>
    <m/>
    <m/>
    <s v="повышение"/>
    <s v="протокол-№-25.11.2022"/>
  </r>
  <r>
    <s v="Функциональное направление 6"/>
    <n v="4"/>
    <d v="2022-11-24T00:00:00"/>
    <n v="1"/>
    <s v="не защищена"/>
    <n v="500204"/>
    <x v="373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62"/>
    <s v="Ефремов Григорий Кондратьевич"/>
    <n v="1464"/>
    <s v="Игнатьев Юрий Кондратьевич"/>
    <s v="Рабочий"/>
    <s v="Подразделение12"/>
    <x v="1"/>
    <x v="0"/>
    <n v="0"/>
    <n v="0"/>
    <m/>
    <m/>
    <s v="не рассматривали"/>
    <s v="протокол-№-25.11.2022"/>
  </r>
  <r>
    <s v="Функциональное направление 6"/>
    <n v="3"/>
    <d v="2018-11-21T00:00:00"/>
    <n v="1"/>
    <s v="не защищена"/>
    <n v="500205"/>
    <x v="374"/>
    <n v="12"/>
    <s v="Подразделение12"/>
    <s v="подразделение_2_уровня12"/>
    <s v="-"/>
    <s v="руководитель_среднего_уровня_4"/>
    <n v="5"/>
    <s v="нет"/>
    <m/>
    <m/>
    <m/>
    <n v="363"/>
    <s v="Михайлов Венедикт Иванович"/>
    <n v="1437"/>
    <s v="Ветров Константин Герасимович"/>
    <s v="функциональный_руководитель_1"/>
    <s v="Подразделение12"/>
    <x v="1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205"/>
    <x v="374"/>
    <n v="12"/>
    <s v="Подразделение12"/>
    <s v="подразделение_2_уровня12"/>
    <s v="-"/>
    <s v="руководитель_среднего_уровня_4"/>
    <n v="5"/>
    <s v="нет"/>
    <m/>
    <m/>
    <m/>
    <n v="363"/>
    <s v="Михайлов Венедикт Иванович"/>
    <n v="369"/>
    <s v="Баранкин Потап Кондратьевич"/>
    <s v="линейный_руководитель_2"/>
    <s v="Подразделение12"/>
    <x v="1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205"/>
    <x v="374"/>
    <n v="12"/>
    <s v="Подразделение12"/>
    <s v="подразделение_2_уровня12"/>
    <s v="-"/>
    <s v="руководитель_среднего_уровня_4"/>
    <n v="5"/>
    <s v="нет"/>
    <m/>
    <m/>
    <m/>
    <n v="363"/>
    <s v="Михайлов Венедикт Иванович"/>
    <n v="1466"/>
    <s v="Игнатьев Савелий Кондратьевич"/>
    <s v="Специалист"/>
    <s v="Подразделение12"/>
    <x v="1"/>
    <x v="0"/>
    <n v="1"/>
    <n v="0"/>
    <m/>
    <m/>
    <s v="повышение"/>
    <s v="протокол-№-26.05.2022"/>
  </r>
  <r>
    <s v="Функциональное направление 6"/>
    <n v="3"/>
    <d v="2022-05-26T00:00:00"/>
    <n v="0"/>
    <s v="не защищена"/>
    <n v="500205"/>
    <x v="374"/>
    <n v="12"/>
    <s v="Подразделение12"/>
    <s v="подразделение_2_уровня12"/>
    <s v="-"/>
    <s v="руководитель_среднего_уровня_4"/>
    <n v="5"/>
    <s v="нет"/>
    <m/>
    <m/>
    <m/>
    <n v="363"/>
    <s v="Михайлов Венедикт Иванович"/>
    <n v="1467"/>
    <s v="Дорофеев Кирилл Кондратьевич"/>
    <s v="функциональный_руководитель_2"/>
    <s v="Подразделение_др11"/>
    <x v="2"/>
    <x v="0"/>
    <n v="1"/>
    <n v="0"/>
    <m/>
    <m/>
    <s v="не рассматривали"/>
    <s v="протокол-№-26.05.2022"/>
  </r>
  <r>
    <s v="Функциональное направление 6"/>
    <n v="4"/>
    <d v="2021-08-23T00:00:00"/>
    <n v="1"/>
    <s v="не защищена"/>
    <n v="500206"/>
    <x v="375"/>
    <n v="12"/>
    <s v="Подразделение12"/>
    <s v="подразделение_2_уровня12"/>
    <s v="-"/>
    <s v="линейный_руководитель_1"/>
    <n v="7"/>
    <s v="да"/>
    <d v="2021-07-19T00:00:00"/>
    <d v="2021-10-23T00:00:00"/>
    <s v="из резерва (учитываем)"/>
    <n v="364"/>
    <s v="Сысоев Еремей Иванович"/>
    <n v="366"/>
    <s v="Баранкин Кирилл Юрьевич"/>
    <s v="Рабочий"/>
    <s v="Подразделение12"/>
    <x v="0"/>
    <x v="1"/>
    <n v="1"/>
    <n v="0"/>
    <s v="назначение на целевую должность"/>
    <d v="2023-03-19T00:00:00"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6"/>
    <x v="375"/>
    <n v="12"/>
    <s v="Подразделение12"/>
    <s v="подразделение_2_уровня12"/>
    <s v="-"/>
    <s v="линейный_руководитель_1"/>
    <n v="7"/>
    <s v="да"/>
    <d v="2021-07-19T00:00:00"/>
    <d v="2021-10-23T00:00:00"/>
    <s v="из резерва (учитываем)"/>
    <n v="364"/>
    <s v="Сысоев Еремей Иванович"/>
    <n v="364"/>
    <s v="Сысоев Еремей Иванович"/>
    <s v="линейный_руководитель_2"/>
    <s v="Подразделение12"/>
    <x v="1"/>
    <x v="1"/>
    <n v="1"/>
    <n v="1"/>
    <s v="назначение на целевую должность"/>
    <d v="2021-10-23T00:00:00"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206"/>
    <x v="376"/>
    <n v="12"/>
    <s v="Подразделение12"/>
    <s v="подразделение_2_уровня12"/>
    <s v="-"/>
    <s v="линейный_руководитель_1"/>
    <n v="7"/>
    <s v="да"/>
    <d v="2023-01-16T00:00:00"/>
    <d v="2023-03-18T00:00:00"/>
    <s v="ротация (не учитываем)"/>
    <n v="365"/>
    <s v="Поминов Григорий Романович"/>
    <n v="366"/>
    <s v="Баранкин Кирилл Юрьевич"/>
    <s v="Рабочий"/>
    <s v="Подразделение12"/>
    <x v="0"/>
    <x v="1"/>
    <n v="0"/>
    <n v="0"/>
    <s v="назначение на целевую должность"/>
    <d v="2023-03-19T00:00:00"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6"/>
    <x v="376"/>
    <n v="12"/>
    <s v="Подразделение12"/>
    <s v="подразделение_2_уровня12"/>
    <s v="-"/>
    <s v="линейный_руководитель_1"/>
    <n v="7"/>
    <s v="да"/>
    <d v="2023-01-16T00:00:00"/>
    <d v="2023-03-18T00:00:00"/>
    <s v="ротация (не учитываем)"/>
    <n v="365"/>
    <s v="Поминов Григорий Романович"/>
    <n v="364"/>
    <s v="Сысоев Еремей Иванович"/>
    <s v="линейный_руководитель_2"/>
    <s v="Подразделение12"/>
    <x v="1"/>
    <x v="1"/>
    <n v="0"/>
    <n v="0"/>
    <s v="назначение на целевую должность"/>
    <d v="2021-10-23T00:00:00"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206"/>
    <x v="377"/>
    <n v="12"/>
    <s v="Подразделение12"/>
    <s v="подразделение_2_уровня12"/>
    <s v="-"/>
    <s v="линейный_руководитель_1"/>
    <n v="7"/>
    <s v="да"/>
    <d v="2023-03-18T00:00:00"/>
    <d v="2023-03-19T00:00:00"/>
    <s v="из резерва (учитываем)"/>
    <n v="366"/>
    <s v="Баранкин Кирилл Юрьевич"/>
    <n v="366"/>
    <s v="Баранкин Кирилл Юрьевич"/>
    <s v="Рабочий"/>
    <s v="Подразделение12"/>
    <x v="0"/>
    <x v="1"/>
    <n v="0"/>
    <n v="1"/>
    <s v="назначение на целевую должность"/>
    <d v="2023-03-19T00:00:00"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6"/>
    <x v="377"/>
    <n v="12"/>
    <s v="Подразделение12"/>
    <s v="подразделение_2_уровня12"/>
    <s v="-"/>
    <s v="линейный_руководитель_1"/>
    <n v="7"/>
    <s v="да"/>
    <d v="2023-03-18T00:00:00"/>
    <d v="2023-03-19T00:00:00"/>
    <s v="из резерва (учитываем)"/>
    <n v="366"/>
    <s v="Баранкин Кирилл Юрьевич"/>
    <n v="364"/>
    <s v="Сысоев Еремей Иванович"/>
    <s v="линейный_руководитель_2"/>
    <s v="Подразделение12"/>
    <x v="1"/>
    <x v="1"/>
    <n v="0"/>
    <n v="0"/>
    <s v="назначение на целевую должность"/>
    <d v="2021-10-23T00:00:00"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206"/>
    <x v="378"/>
    <n v="12"/>
    <s v="Подразделение12"/>
    <s v="подразделение_2_уровня12"/>
    <s v="-"/>
    <s v="линейный_руководитель_1"/>
    <n v="7"/>
    <s v="нет"/>
    <m/>
    <m/>
    <m/>
    <n v="367"/>
    <s v="Нырков Константин Юрьевич"/>
    <n v="366"/>
    <s v="Баранкин Кирилл Юрьевич"/>
    <s v="Рабочий"/>
    <s v="Подразделение12"/>
    <x v="0"/>
    <x v="1"/>
    <n v="0"/>
    <n v="0"/>
    <s v="назначение на целевую должность"/>
    <d v="2023-03-19T00:00:00"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206"/>
    <x v="378"/>
    <n v="12"/>
    <s v="Подразделение12"/>
    <s v="подразделение_2_уровня12"/>
    <s v="-"/>
    <s v="линейный_руководитель_1"/>
    <n v="7"/>
    <s v="нет"/>
    <m/>
    <m/>
    <m/>
    <n v="367"/>
    <s v="Нырков Константин Юрьевич"/>
    <n v="364"/>
    <s v="Сысоев Еремей Иванович"/>
    <s v="линейный_руководитель_2"/>
    <s v="Подразделение12"/>
    <x v="1"/>
    <x v="1"/>
    <n v="0"/>
    <n v="0"/>
    <s v="назначение на целевую должность"/>
    <d v="2021-10-23T00:00:00"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207"/>
    <x v="379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68"/>
    <s v="Вобликов Александр Юрьевич"/>
    <n v="1468"/>
    <s v="Игорев Афанасий Кондратьевич"/>
    <s v="Рабочий"/>
    <s v="Подразделение12"/>
    <x v="1"/>
    <x v="0"/>
    <n v="1"/>
    <n v="0"/>
    <m/>
    <m/>
    <s v="не рассматривали"/>
    <s v="протокол-№-23.08.2021"/>
  </r>
  <r>
    <s v="Функциональное направление 6"/>
    <n v="4"/>
    <d v="2021-08-23T00:00:00"/>
    <n v="1"/>
    <s v="не защищена"/>
    <n v="500208"/>
    <x v="380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69"/>
    <s v="Баранкин Потап Кондратьевич"/>
    <n v="367"/>
    <s v="Нырков Константин Юрьевич"/>
    <s v="линейный_руководитель_2"/>
    <s v="Подразделение12"/>
    <x v="1"/>
    <x v="0"/>
    <n v="1"/>
    <n v="0"/>
    <m/>
    <m/>
    <s v="не рассматривали"/>
    <s v="протокол-№-23.08.2021"/>
  </r>
  <r>
    <s v="Функциональное направление 6"/>
    <n v="4"/>
    <d v="2022-11-24T00:00:00"/>
    <n v="0"/>
    <s v="не защищена"/>
    <n v="500208"/>
    <x v="380"/>
    <n v="12"/>
    <s v="Подразделение12"/>
    <s v="подразделение_2_уровня12"/>
    <s v="подразделение_3_уровня12"/>
    <s v="линейный_руководитель_2"/>
    <n v="7"/>
    <s v="нет"/>
    <m/>
    <m/>
    <m/>
    <n v="369"/>
    <s v="Баранкин Потап Кондратьевич"/>
    <n v="364"/>
    <s v="Сысоев Еремей Иванович"/>
    <s v="линейный_руководитель_2"/>
    <s v="Подразделение12"/>
    <x v="0"/>
    <x v="0"/>
    <n v="1"/>
    <n v="0"/>
    <m/>
    <m/>
    <s v="не рассматривали"/>
    <s v="протокол-№-24.11.2022"/>
  </r>
  <r>
    <s v="Функциональное направление 6"/>
    <n v="3"/>
    <d v="2018-11-21T00:00:00"/>
    <n v="1"/>
    <s v="не защищена"/>
    <n v="500218"/>
    <x v="381"/>
    <n v="12"/>
    <s v="Подразделение12"/>
    <s v="подразделение_2_уровня12"/>
    <s v="-"/>
    <s v="руководитель_среднего_уровня_4"/>
    <n v="5"/>
    <s v="нет"/>
    <m/>
    <m/>
    <m/>
    <n v="370"/>
    <s v="Пальчиков Венедикт Денисович"/>
    <n v="361"/>
    <s v="Зверев Виталий Денисович"/>
    <s v="линейный_руководитель_2"/>
    <s v="Подразделение12"/>
    <x v="1"/>
    <x v="0"/>
    <n v="1"/>
    <n v="0"/>
    <m/>
    <m/>
    <s v="без изменений"/>
    <s v="протокол-№-26.05.2022"/>
  </r>
  <r>
    <s v="Функциональное направление 6"/>
    <n v="3"/>
    <d v="2020-06-10T00:00:00"/>
    <n v="0"/>
    <s v="не защищена"/>
    <n v="500218"/>
    <x v="381"/>
    <n v="12"/>
    <s v="Подразделение12"/>
    <s v="подразделение_2_уровня12"/>
    <s v="-"/>
    <s v="руководитель_среднего_уровня_4"/>
    <n v="5"/>
    <s v="нет"/>
    <m/>
    <m/>
    <m/>
    <n v="370"/>
    <s v="Пальчиков Венедикт Денисович"/>
    <n v="350"/>
    <s v="Баранкин Степан Александрович"/>
    <s v="линейный_руководитель_2"/>
    <s v="Подразделение12"/>
    <x v="2"/>
    <x v="0"/>
    <n v="1"/>
    <n v="0"/>
    <m/>
    <m/>
    <s v="без изменений"/>
    <s v="протокол-№-26.05.2022"/>
  </r>
  <r>
    <s v="Функциональное направление 6"/>
    <n v="3"/>
    <d v="2020-06-10T00:00:00"/>
    <n v="0"/>
    <s v="не защищена"/>
    <n v="500218"/>
    <x v="381"/>
    <n v="12"/>
    <s v="Подразделение12"/>
    <s v="подразделение_2_уровня12"/>
    <s v="-"/>
    <s v="руководитель_среднего_уровня_4"/>
    <n v="5"/>
    <s v="нет"/>
    <m/>
    <m/>
    <m/>
    <n v="370"/>
    <s v="Пальчиков Венедикт Денисович"/>
    <n v="1469"/>
    <s v="Ветров Афанасий Геннадьевич"/>
    <s v="Рабочий"/>
    <s v="Подразделение_др12"/>
    <x v="2"/>
    <x v="2"/>
    <n v="1"/>
    <n v="0"/>
    <s v="прочее (перевод в другое СП / на другое предприятие)"/>
    <d v="2022-05-26T00:00:00"/>
    <s v="исключение"/>
    <s v="протокол-№-26.05.2022"/>
  </r>
  <r>
    <s v="Функциональное направление 6"/>
    <n v="3"/>
    <d v="2020-06-10T00:00:00"/>
    <n v="1"/>
    <s v="не защищена"/>
    <n v="500219"/>
    <x v="382"/>
    <n v="238"/>
    <s v="Подразделение238"/>
    <s v="подразделение_2_уровня238"/>
    <s v="-"/>
    <s v="линейный_руководитель_3"/>
    <n v="6"/>
    <s v="нет"/>
    <m/>
    <m/>
    <m/>
    <n v="371"/>
    <s v="Баранкин Григорий Григорьевич"/>
    <n v="1470"/>
    <s v="Игнатьев Кирилл Кондратьевич"/>
    <s v="функциональный_руководитель_1"/>
    <s v="Подразделение238"/>
    <x v="0"/>
    <x v="0"/>
    <n v="1"/>
    <n v="0"/>
    <m/>
    <m/>
    <s v="повышение"/>
    <s v="протокол-№-26.05.2022"/>
  </r>
  <r>
    <s v="Функциональное направление 6"/>
    <n v="3"/>
    <d v="2020-06-10T00:00:00"/>
    <n v="0"/>
    <s v="не защищена"/>
    <n v="500219"/>
    <x v="382"/>
    <n v="238"/>
    <s v="Подразделение238"/>
    <s v="подразделение_2_уровня238"/>
    <s v="-"/>
    <s v="линейный_руководитель_3"/>
    <n v="6"/>
    <s v="нет"/>
    <m/>
    <m/>
    <m/>
    <n v="371"/>
    <s v="Баранкин Григорий Григорьевич"/>
    <n v="1471"/>
    <s v="Ветров Кирилл Геннадьевич"/>
    <s v="Специалист"/>
    <s v="Подразделение238"/>
    <x v="2"/>
    <x v="0"/>
    <n v="1"/>
    <n v="0"/>
    <m/>
    <m/>
    <s v="без изменений"/>
    <s v="протокол-№-26.05.2022"/>
  </r>
  <r>
    <s v="Функциональное направление 6"/>
    <n v="4"/>
    <d v="2022-11-29T00:00:00"/>
    <n v="1"/>
    <s v="не защищена"/>
    <n v="500221"/>
    <x v="383"/>
    <n v="238"/>
    <s v="Подразделение238"/>
    <s v="подразделение_2_уровня238"/>
    <s v="-"/>
    <s v="линейный_руководитель_2"/>
    <n v="7"/>
    <s v="нет"/>
    <m/>
    <m/>
    <m/>
    <n v="372"/>
    <s v="Михайлов Тихон Борисович"/>
    <n v="1472"/>
    <s v="Дмитриев Виталий Геннадьевич"/>
    <s v="Рабочий"/>
    <s v="Подразделение238"/>
    <x v="2"/>
    <x v="0"/>
    <n v="1"/>
    <n v="0"/>
    <m/>
    <m/>
    <s v="не рассматривали"/>
    <s v="протокол-№-29.11.2022"/>
  </r>
  <r>
    <s v="Функциональное направление 6"/>
    <n v="4"/>
    <d v="2022-11-29T00:00:00"/>
    <n v="0"/>
    <s v="не защищена"/>
    <n v="500221"/>
    <x v="383"/>
    <n v="238"/>
    <s v="Подразделение238"/>
    <s v="подразделение_2_уровня238"/>
    <s v="-"/>
    <s v="линейный_руководитель_2"/>
    <n v="7"/>
    <s v="нет"/>
    <m/>
    <m/>
    <m/>
    <n v="372"/>
    <s v="Михайлов Тихон Борисович"/>
    <n v="1473"/>
    <s v="Игнатьев Виталий Михайлович"/>
    <s v="Рабочий"/>
    <s v="Подразделение238"/>
    <x v="0"/>
    <x v="0"/>
    <n v="1"/>
    <n v="0"/>
    <m/>
    <m/>
    <s v="не рассматривали"/>
    <s v="протокол-№-29.11.2022"/>
  </r>
  <r>
    <s v="Функциональное направление 6"/>
    <n v="4"/>
    <d v="2022-11-29T00:00:00"/>
    <n v="0"/>
    <s v="не защищена"/>
    <n v="500221"/>
    <x v="383"/>
    <n v="238"/>
    <s v="Подразделение238"/>
    <s v="подразделение_2_уровня238"/>
    <s v="-"/>
    <s v="линейный_руководитель_2"/>
    <n v="7"/>
    <s v="нет"/>
    <m/>
    <m/>
    <m/>
    <n v="372"/>
    <s v="Михайлов Тихон Борисович"/>
    <n v="1474"/>
    <s v="Дорофеев Роман Геннадьевич"/>
    <s v="Рабочий"/>
    <s v="Подразделение238"/>
    <x v="2"/>
    <x v="0"/>
    <n v="1"/>
    <n v="0"/>
    <m/>
    <m/>
    <s v="не рассматривали"/>
    <s v="протокол-№-29.11.2022"/>
  </r>
  <r>
    <s v="Функциональное направление 6"/>
    <n v="3"/>
    <d v="2018-11-21T00:00:00"/>
    <n v="1"/>
    <s v="не защищена"/>
    <n v="500046"/>
    <x v="384"/>
    <n v="219"/>
    <s v="Подразделение219"/>
    <s v="подразделение_2_уровня219"/>
    <s v="-"/>
    <s v="линейный_руководитель_3"/>
    <n v="5"/>
    <s v="нет"/>
    <m/>
    <m/>
    <m/>
    <n v="373"/>
    <s v="Поминов Николай Юрьевич"/>
    <n v="1475"/>
    <s v="Игнатьев Арсений Богданович"/>
    <s v="функциональный_руководитель_1"/>
    <s v="Подразделение219"/>
    <x v="1"/>
    <x v="0"/>
    <n v="1"/>
    <n v="0"/>
    <m/>
    <m/>
    <s v="без изменений"/>
    <s v="протокол-№-26.05.2022"/>
  </r>
  <r>
    <s v="Функциональное направление 6"/>
    <n v="3"/>
    <d v="2018-03-15T00:00:00"/>
    <n v="1"/>
    <s v="не защищена"/>
    <n v="500223"/>
    <x v="385"/>
    <n v="11"/>
    <s v="Подразделение11"/>
    <s v="подразделение_2_уровня11"/>
    <s v="-"/>
    <s v="ТОП_руководитель_2"/>
    <n v="4"/>
    <s v="нет"/>
    <m/>
    <m/>
    <m/>
    <n v="374"/>
    <s v="Поминов Тихон Иванович"/>
    <n v="399"/>
    <s v="Нырков Емельян Кириллович"/>
    <s v="руководитель_среднего_уровня_4"/>
    <s v="Подразделение11"/>
    <x v="2"/>
    <x v="0"/>
    <n v="1"/>
    <n v="0"/>
    <m/>
    <m/>
    <s v="понижение"/>
    <s v="протокол-№-08.09.2021"/>
  </r>
  <r>
    <s v="Функциональное направление 6"/>
    <n v="3"/>
    <d v="2018-09-25T00:00:00"/>
    <n v="0"/>
    <s v="не защищена"/>
    <n v="500223"/>
    <x v="385"/>
    <n v="11"/>
    <s v="Подразделение11"/>
    <s v="подразделение_2_уровня11"/>
    <s v="-"/>
    <s v="ТОП_руководитель_2"/>
    <n v="4"/>
    <s v="нет"/>
    <m/>
    <m/>
    <m/>
    <n v="374"/>
    <s v="Поминов Тихон Иванович"/>
    <n v="376"/>
    <s v="Романов Кирилл Егорович"/>
    <s v="линейный_руководитель_3"/>
    <s v="Подразделение11"/>
    <x v="0"/>
    <x v="0"/>
    <n v="1"/>
    <n v="0"/>
    <m/>
    <m/>
    <s v="без изменений"/>
    <s v="протокол-№-08.09.2021"/>
  </r>
  <r>
    <s v="Функциональное направление 6"/>
    <n v="3"/>
    <d v="2018-03-15T00:00:00"/>
    <n v="0"/>
    <s v="не защищена"/>
    <n v="500223"/>
    <x v="385"/>
    <n v="11"/>
    <s v="Подразделение11"/>
    <s v="подразделение_2_уровня11"/>
    <s v="-"/>
    <s v="ТОП_руководитель_2"/>
    <n v="4"/>
    <s v="нет"/>
    <m/>
    <m/>
    <m/>
    <n v="374"/>
    <s v="Поминов Тихон Иванович"/>
    <n v="1476"/>
    <s v="Незнамов Афанасий Ефремович"/>
    <s v="линейный_руководитель_3"/>
    <s v="Подразделение11"/>
    <x v="1"/>
    <x v="2"/>
    <n v="1"/>
    <n v="0"/>
    <s v="увольнение"/>
    <d v="2021-04-06T00:00:00"/>
    <s v="без изменений"/>
    <s v="протокол-№-30.04.2019"/>
  </r>
  <r>
    <s v="Функциональное направление 6"/>
    <n v="3"/>
    <d v="2018-03-15T00:00:00"/>
    <n v="0"/>
    <s v="не защищена"/>
    <n v="500223"/>
    <x v="385"/>
    <n v="11"/>
    <s v="Подразделение11"/>
    <s v="подразделение_2_уровня11"/>
    <s v="-"/>
    <s v="ТОП_руководитель_2"/>
    <n v="4"/>
    <s v="нет"/>
    <m/>
    <m/>
    <m/>
    <n v="374"/>
    <s v="Поминов Тихон Иванович"/>
    <n v="375"/>
    <s v="Пальчиков Лавр Юрьевич"/>
    <s v="руководитель_среднего_уровня_4"/>
    <s v="Подразделение11"/>
    <x v="0"/>
    <x v="2"/>
    <n v="1"/>
    <n v="0"/>
    <s v="прочее ()"/>
    <d v="2021-09-08T00:00:00"/>
    <s v="исключение"/>
    <s v="протокол-№-08.09.2021"/>
  </r>
  <r>
    <s v="Функциональное направление 6"/>
    <s v="2 - 3"/>
    <d v="2019-04-30T00:00:00"/>
    <n v="1"/>
    <s v="не защищена"/>
    <n v="500224"/>
    <x v="386"/>
    <n v="11"/>
    <s v="Подразделение11"/>
    <s v="подразделение_2_уровня11"/>
    <s v="-"/>
    <s v="линейный_руководитель_3"/>
    <n v="6"/>
    <s v="да"/>
    <d v="2021-04-06T00:00:00"/>
    <d v="2021-07-23T00:00:00"/>
    <s v="внутр. сотр. из списка КР (учитываем)"/>
    <n v="375"/>
    <s v="Пальчиков Лавр Юрьевич"/>
    <n v="391"/>
    <s v="Бураков Николай Иванович"/>
    <s v="линейный_руководитель_2"/>
    <s v="Подразделение11"/>
    <x v="2"/>
    <x v="0"/>
    <n v="1"/>
    <n v="0"/>
    <m/>
    <m/>
    <s v="не рассматривали"/>
    <s v="протокол-№-30.04.2019"/>
  </r>
  <r>
    <s v="Функциональное направление 6"/>
    <s v="2 - 3"/>
    <d v="2020-11-30T00:00:00"/>
    <n v="0"/>
    <s v="не защищена"/>
    <n v="500224"/>
    <x v="386"/>
    <n v="11"/>
    <s v="Подразделение11"/>
    <s v="подразделение_2_уровня11"/>
    <s v="-"/>
    <s v="линейный_руководитель_3"/>
    <n v="6"/>
    <s v="да"/>
    <d v="2021-04-06T00:00:00"/>
    <d v="2021-07-23T00:00:00"/>
    <s v="внутр. сотр. из списка КР (учитываем)"/>
    <n v="375"/>
    <s v="Пальчиков Лавр Юрьевич"/>
    <n v="1477"/>
    <s v="Степанов Арсений Кондратьевич"/>
    <s v="функциональный_руководитель_1"/>
    <s v="Подразделение11"/>
    <x v="2"/>
    <x v="0"/>
    <n v="1"/>
    <n v="0"/>
    <m/>
    <m/>
    <s v="без изменений"/>
    <s v="протокол-№-08.09.2021"/>
  </r>
  <r>
    <s v="Функциональное направление 6"/>
    <s v="2 - 3"/>
    <d v="2018-03-15T00:00:00"/>
    <n v="0"/>
    <s v="не защищена"/>
    <n v="500224"/>
    <x v="386"/>
    <n v="11"/>
    <s v="Подразделение11"/>
    <s v="подразделение_2_уровня11"/>
    <s v="-"/>
    <s v="линейный_руководитель_3"/>
    <n v="6"/>
    <s v="да"/>
    <d v="2021-04-06T00:00:00"/>
    <d v="2021-07-23T00:00:00"/>
    <s v="внутр. сотр. из списка КР (учитываем)"/>
    <n v="375"/>
    <s v="Пальчиков Лавр Юрьевич"/>
    <n v="1478"/>
    <s v="Кириллов Юрий Богданович"/>
    <s v="функциональный_руководитель_1"/>
    <s v="Подразделение_др13"/>
    <x v="1"/>
    <x v="2"/>
    <n v="1"/>
    <n v="0"/>
    <s v="прочее (перевод в другое СП / на другое предприятие)"/>
    <d v="2019-04-30T00:00:00"/>
    <s v="исключение"/>
    <s v="протокол-№-30.04.2019"/>
  </r>
  <r>
    <s v="Функциональное направление 6"/>
    <s v="2 - 3"/>
    <d v="2018-03-15T00:00:00"/>
    <n v="0"/>
    <s v="не защищена"/>
    <n v="500224"/>
    <x v="386"/>
    <n v="11"/>
    <s v="Подразделение11"/>
    <s v="подразделение_2_уровня11"/>
    <s v="-"/>
    <s v="линейный_руководитель_3"/>
    <n v="6"/>
    <s v="да"/>
    <d v="2021-04-06T00:00:00"/>
    <d v="2021-07-23T00:00:00"/>
    <s v="внутр. сотр. из списка КР (учитываем)"/>
    <n v="375"/>
    <s v="Пальчиков Лавр Юрьевич"/>
    <n v="382"/>
    <s v="Чистяков Венедикт Семенович"/>
    <s v="руководитель_среднего_уровня_4"/>
    <s v="Подразделение11"/>
    <x v="0"/>
    <x v="2"/>
    <n v="1"/>
    <n v="0"/>
    <s v="прочее (по состоянию здоровья)"/>
    <d v="2021-09-08T00:00:00"/>
    <s v="исключение"/>
    <s v="протокол-№-08.09.2021"/>
  </r>
  <r>
    <s v="Функциональное направление 6"/>
    <s v="2 - 3"/>
    <d v="2018-03-15T00:00:00"/>
    <n v="1"/>
    <s v="не защищена"/>
    <n v="500225"/>
    <x v="387"/>
    <n v="11"/>
    <s v="Подразделение11"/>
    <s v="подразделение_2_уровня11"/>
    <s v="-"/>
    <s v="линейный_руководитель_3"/>
    <n v="6"/>
    <s v="нет"/>
    <m/>
    <m/>
    <m/>
    <n v="376"/>
    <s v="Романов Кирилл Егорович"/>
    <n v="1479"/>
    <s v="Брежнев Савелий Семенович"/>
    <s v="Специалист"/>
    <s v="Подразделение11"/>
    <x v="0"/>
    <x v="0"/>
    <n v="1"/>
    <n v="0"/>
    <m/>
    <m/>
    <s v="без изменений"/>
    <s v="протокол-№-08.09.2021"/>
  </r>
  <r>
    <s v="Функциональное направление 6"/>
    <s v="2 - 3"/>
    <d v="2018-03-15T00:00:00"/>
    <n v="1"/>
    <s v="не защищена"/>
    <n v="500226"/>
    <x v="388"/>
    <n v="11"/>
    <s v="Подразделение11"/>
    <s v="подразделение_2_уровня11"/>
    <s v="-"/>
    <s v="руководитель_среднего_уровня_4"/>
    <n v="6"/>
    <s v="нет"/>
    <m/>
    <m/>
    <m/>
    <n v="377"/>
    <s v="Ефремов Данил Максимович"/>
    <n v="1480"/>
    <s v="Ветров Геннадий Богданович"/>
    <s v="функциональный_руководитель_1"/>
    <s v="Подразделение_др8"/>
    <x v="1"/>
    <x v="2"/>
    <n v="1"/>
    <n v="0"/>
    <s v="прочее (перевод в другое СП / на другое предприятие)"/>
    <d v="2019-04-30T00:00:00"/>
    <s v="исключение"/>
    <s v="протокол-№-30.04.2019"/>
  </r>
  <r>
    <s v="Функциональное направление 6"/>
    <s v="2 - 3"/>
    <d v="2020-11-30T00:00:00"/>
    <n v="0"/>
    <s v="не защищена"/>
    <n v="500226"/>
    <x v="388"/>
    <n v="11"/>
    <s v="Подразделение11"/>
    <s v="подразделение_2_уровня11"/>
    <s v="-"/>
    <s v="руководитель_среднего_уровня_4"/>
    <n v="6"/>
    <s v="нет"/>
    <m/>
    <m/>
    <m/>
    <n v="377"/>
    <s v="Ефремов Данил Максимович"/>
    <n v="1481"/>
    <s v="Игнатьев Кирилл Геннадьевич"/>
    <s v="функциональный_руководитель_1"/>
    <s v="Подразделение11"/>
    <x v="0"/>
    <x v="2"/>
    <n v="1"/>
    <n v="0"/>
    <s v="прочее ()"/>
    <d v="2021-09-08T00:00:00"/>
    <s v="исключение"/>
    <s v="протокол-№-08.09.2021"/>
  </r>
  <r>
    <s v="Функциональное направление 6"/>
    <n v="4"/>
    <d v="2021-08-18T00:00:00"/>
    <n v="1"/>
    <s v="не защищена"/>
    <n v="500227"/>
    <x v="389"/>
    <n v="11"/>
    <s v="Подразделение11"/>
    <s v="подразделение_2_уровня11"/>
    <s v="-"/>
    <s v="линейный_руководитель_1"/>
    <n v="7"/>
    <s v="нет"/>
    <m/>
    <m/>
    <m/>
    <n v="378"/>
    <s v="Карасев Афанасий Юрьевич"/>
    <n v="1482"/>
    <s v="Дорофеев Виталий Геннадьевич"/>
    <s v="Рабочий"/>
    <s v="Подразделение11"/>
    <x v="0"/>
    <x v="0"/>
    <n v="1"/>
    <n v="0"/>
    <m/>
    <m/>
    <s v="не рассматривали"/>
    <s v="протокол-№-18.08.2021"/>
  </r>
  <r>
    <s v="Функциональное направление 6"/>
    <n v="4"/>
    <d v="2022-11-23T00:00:00"/>
    <n v="0"/>
    <s v="не защищена"/>
    <n v="500227"/>
    <x v="389"/>
    <n v="11"/>
    <s v="Подразделение11"/>
    <s v="подразделение_2_уровня11"/>
    <s v="-"/>
    <s v="линейный_руководитель_1"/>
    <n v="7"/>
    <s v="нет"/>
    <m/>
    <m/>
    <m/>
    <n v="378"/>
    <s v="Карасев Афанасий Юрьевич"/>
    <n v="1483"/>
    <s v="Брежнев Виталий Богданович"/>
    <s v="Рабочий"/>
    <s v="Подразделение11"/>
    <x v="2"/>
    <x v="0"/>
    <n v="1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27"/>
    <x v="389"/>
    <n v="11"/>
    <s v="Подразделение11"/>
    <s v="подразделение_2_уровня11"/>
    <s v="-"/>
    <s v="линейный_руководитель_1"/>
    <n v="7"/>
    <s v="нет"/>
    <m/>
    <m/>
    <m/>
    <n v="378"/>
    <s v="Карасев Афанасий Юрьевич"/>
    <n v="1484"/>
    <s v="Брежнев Афанасий Кондратьевич"/>
    <s v="Рабочий"/>
    <s v="Подразделение11"/>
    <x v="0"/>
    <x v="0"/>
    <n v="1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27"/>
    <x v="389"/>
    <n v="11"/>
    <s v="Подразделение11"/>
    <s v="подразделение_2_уровня11"/>
    <s v="-"/>
    <s v="линейный_руководитель_1"/>
    <n v="7"/>
    <s v="нет"/>
    <m/>
    <m/>
    <m/>
    <n v="378"/>
    <s v="Карасев Афанасий Юрьевич"/>
    <n v="1485"/>
    <s v="Степанов Савелий Геннадьевич"/>
    <s v="Рабочий"/>
    <s v="Подразделение11"/>
    <x v="0"/>
    <x v="2"/>
    <n v="1"/>
    <n v="0"/>
    <s v="увольнение"/>
    <d v="2022-10-08T00:00:00"/>
    <s v="не рассматривали"/>
    <s v="протокол-№-18.08.2021"/>
  </r>
  <r>
    <s v="Функциональное направление 6"/>
    <n v="4"/>
    <d v="2021-08-18T00:00:00"/>
    <n v="1"/>
    <s v="не защищена"/>
    <n v="500227"/>
    <x v="390"/>
    <n v="11"/>
    <s v="Подразделение11"/>
    <s v="подразделение_2_уровня11"/>
    <s v="-"/>
    <s v="линейный_руководитель_1"/>
    <n v="7"/>
    <s v="нет"/>
    <m/>
    <m/>
    <m/>
    <n v="379"/>
    <s v="Баранкин Николай Лаврович"/>
    <n v="1482"/>
    <s v="Дорофеев Виталий Геннадье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2-11-23T00:00:00"/>
    <n v="0"/>
    <s v="не защищена"/>
    <n v="500227"/>
    <x v="390"/>
    <n v="11"/>
    <s v="Подразделение11"/>
    <s v="подразделение_2_уровня11"/>
    <s v="-"/>
    <s v="линейный_руководитель_1"/>
    <n v="7"/>
    <s v="нет"/>
    <m/>
    <m/>
    <m/>
    <n v="379"/>
    <s v="Баранкин Николай Лаврович"/>
    <n v="1483"/>
    <s v="Брежнев Виталий Богдан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27"/>
    <x v="390"/>
    <n v="11"/>
    <s v="Подразделение11"/>
    <s v="подразделение_2_уровня11"/>
    <s v="-"/>
    <s v="линейный_руководитель_1"/>
    <n v="7"/>
    <s v="нет"/>
    <m/>
    <m/>
    <m/>
    <n v="379"/>
    <s v="Баранкин Николай Лаврович"/>
    <n v="1484"/>
    <s v="Брежнев Афанасий Кондратьевич"/>
    <s v="Рабочий"/>
    <s v="Подразделение11"/>
    <x v="0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27"/>
    <x v="390"/>
    <n v="11"/>
    <s v="Подразделение11"/>
    <s v="подразделение_2_уровня11"/>
    <s v="-"/>
    <s v="линейный_руководитель_1"/>
    <n v="7"/>
    <s v="нет"/>
    <m/>
    <m/>
    <m/>
    <n v="379"/>
    <s v="Баранкин Николай Лаврович"/>
    <n v="1485"/>
    <s v="Степанов Савелий Геннадьевич"/>
    <s v="Рабочий"/>
    <s v="Подразделение11"/>
    <x v="0"/>
    <x v="2"/>
    <n v="0"/>
    <n v="0"/>
    <s v="увольнение"/>
    <d v="2022-10-08T00:00:00"/>
    <s v="не рассматривали"/>
    <s v="протокол-№-18.08.2021"/>
  </r>
  <r>
    <s v="Функциональное направление 6"/>
    <n v="4"/>
    <d v="2021-08-18T00:00:00"/>
    <n v="1"/>
    <s v="не защищена"/>
    <n v="500227"/>
    <x v="391"/>
    <n v="11"/>
    <s v="Подразделение11"/>
    <s v="подразделение_2_уровня11"/>
    <s v="-"/>
    <s v="линейный_руководитель_1"/>
    <n v="7"/>
    <s v="нет"/>
    <m/>
    <m/>
    <m/>
    <n v="380"/>
    <s v="Волков Николай Денисович"/>
    <n v="1482"/>
    <s v="Дорофеев Виталий Геннадье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2-11-23T00:00:00"/>
    <n v="0"/>
    <s v="не защищена"/>
    <n v="500227"/>
    <x v="391"/>
    <n v="11"/>
    <s v="Подразделение11"/>
    <s v="подразделение_2_уровня11"/>
    <s v="-"/>
    <s v="линейный_руководитель_1"/>
    <n v="7"/>
    <s v="нет"/>
    <m/>
    <m/>
    <m/>
    <n v="380"/>
    <s v="Волков Николай Денисович"/>
    <n v="1483"/>
    <s v="Брежнев Виталий Богдан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27"/>
    <x v="391"/>
    <n v="11"/>
    <s v="Подразделение11"/>
    <s v="подразделение_2_уровня11"/>
    <s v="-"/>
    <s v="линейный_руководитель_1"/>
    <n v="7"/>
    <s v="нет"/>
    <m/>
    <m/>
    <m/>
    <n v="380"/>
    <s v="Волков Николай Денисович"/>
    <n v="1484"/>
    <s v="Брежнев Афанасий Кондратьевич"/>
    <s v="Рабочий"/>
    <s v="Подразделение11"/>
    <x v="0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27"/>
    <x v="391"/>
    <n v="11"/>
    <s v="Подразделение11"/>
    <s v="подразделение_2_уровня11"/>
    <s v="-"/>
    <s v="линейный_руководитель_1"/>
    <n v="7"/>
    <s v="нет"/>
    <m/>
    <m/>
    <m/>
    <n v="380"/>
    <s v="Волков Николай Денисович"/>
    <n v="1485"/>
    <s v="Степанов Савелий Геннадьевич"/>
    <s v="Рабочий"/>
    <s v="Подразделение11"/>
    <x v="0"/>
    <x v="2"/>
    <n v="0"/>
    <n v="0"/>
    <s v="увольнение"/>
    <d v="2022-10-08T00:00:00"/>
    <s v="не рассматривали"/>
    <s v="протокол-№-18.08.2021"/>
  </r>
  <r>
    <s v="Функциональное направление 6"/>
    <n v="4"/>
    <d v="2021-08-18T00:00:00"/>
    <n v="1"/>
    <s v="не защищена"/>
    <n v="500227"/>
    <x v="392"/>
    <n v="11"/>
    <s v="Подразделение11"/>
    <s v="подразделение_2_уровня11"/>
    <s v="-"/>
    <s v="линейный_руководитель_1"/>
    <n v="7"/>
    <s v="нет"/>
    <m/>
    <m/>
    <m/>
    <n v="381"/>
    <s v="Аксенов Потап Максимович"/>
    <n v="1482"/>
    <s v="Дорофеев Виталий Геннадье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2-11-23T00:00:00"/>
    <n v="0"/>
    <s v="не защищена"/>
    <n v="500227"/>
    <x v="392"/>
    <n v="11"/>
    <s v="Подразделение11"/>
    <s v="подразделение_2_уровня11"/>
    <s v="-"/>
    <s v="линейный_руководитель_1"/>
    <n v="7"/>
    <s v="нет"/>
    <m/>
    <m/>
    <m/>
    <n v="381"/>
    <s v="Аксенов Потап Максимович"/>
    <n v="1483"/>
    <s v="Брежнев Виталий Богдан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27"/>
    <x v="392"/>
    <n v="11"/>
    <s v="Подразделение11"/>
    <s v="подразделение_2_уровня11"/>
    <s v="-"/>
    <s v="линейный_руководитель_1"/>
    <n v="7"/>
    <s v="нет"/>
    <m/>
    <m/>
    <m/>
    <n v="381"/>
    <s v="Аксенов Потап Максимович"/>
    <n v="1484"/>
    <s v="Брежнев Афанасий Кондратьевич"/>
    <s v="Рабочий"/>
    <s v="Подразделение11"/>
    <x v="0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27"/>
    <x v="392"/>
    <n v="11"/>
    <s v="Подразделение11"/>
    <s v="подразделение_2_уровня11"/>
    <s v="-"/>
    <s v="линейный_руководитель_1"/>
    <n v="7"/>
    <s v="нет"/>
    <m/>
    <m/>
    <m/>
    <n v="381"/>
    <s v="Аксенов Потап Максимович"/>
    <n v="1485"/>
    <s v="Степанов Савелий Геннадьевич"/>
    <s v="Рабочий"/>
    <s v="Подразделение11"/>
    <x v="0"/>
    <x v="2"/>
    <n v="0"/>
    <n v="0"/>
    <s v="увольнение"/>
    <d v="2022-10-08T00:00:00"/>
    <s v="не рассматривали"/>
    <s v="протокол-№-18.08.2021"/>
  </r>
  <r>
    <s v="Функциональное направление 6"/>
    <s v="2 - 3"/>
    <d v="2018-03-15T00:00:00"/>
    <n v="1"/>
    <s v="не защищена"/>
    <n v="500228"/>
    <x v="393"/>
    <n v="11"/>
    <s v="Подразделение11"/>
    <s v="подразделение_2_уровня11"/>
    <s v="-"/>
    <s v="руководитель_среднего_уровня_4"/>
    <n v="6"/>
    <s v="нет"/>
    <m/>
    <m/>
    <m/>
    <n v="382"/>
    <s v="Чистяков Венедикт Семенович"/>
    <n v="1486"/>
    <s v="Исаев Глеб Ефремович"/>
    <s v="линейный_руководитель_2"/>
    <s v="Подразделение11"/>
    <x v="1"/>
    <x v="2"/>
    <n v="1"/>
    <n v="0"/>
    <s v="увольнение"/>
    <d v="2023-05-15T00:00:00"/>
    <s v="без изменений"/>
    <s v="протокол-№-08.09.2021"/>
  </r>
  <r>
    <s v="Функциональное направление 6"/>
    <s v="2 - 3"/>
    <d v="2018-03-15T00:00:00"/>
    <n v="0"/>
    <s v="не защищена"/>
    <n v="500228"/>
    <x v="393"/>
    <n v="11"/>
    <s v="Подразделение11"/>
    <s v="подразделение_2_уровня11"/>
    <s v="-"/>
    <s v="руководитель_среднего_уровня_4"/>
    <n v="6"/>
    <s v="нет"/>
    <m/>
    <m/>
    <m/>
    <n v="382"/>
    <s v="Чистяков Венедикт Семенович"/>
    <n v="386"/>
    <s v="Вобликов Федот Максимович"/>
    <s v="линейный_руководитель_2"/>
    <s v="Подразделение11"/>
    <x v="0"/>
    <x v="0"/>
    <n v="1"/>
    <n v="0"/>
    <m/>
    <m/>
    <s v="без изменений"/>
    <s v="протокол-№-08.09.2021"/>
  </r>
  <r>
    <s v="Функциональное направление 6"/>
    <n v="4"/>
    <d v="2021-08-18T00:00:00"/>
    <n v="1"/>
    <s v="не защищена"/>
    <n v="500229"/>
    <x v="394"/>
    <n v="11"/>
    <s v="Подразделение11"/>
    <s v="подразделение_2_уровня11"/>
    <s v="-"/>
    <s v="линейный_руководитель_2"/>
    <n v="7"/>
    <s v="да"/>
    <d v="2023-06-03T00:00:00"/>
    <d v="2023-06-03T00:00:00"/>
    <s v="из резерва (учитываем)"/>
    <n v="383"/>
    <s v="Аксенов Валерий Денисович"/>
    <n v="383"/>
    <s v="Аксенов Валерий Денисович"/>
    <s v="Рабочий"/>
    <s v="Подразделение11"/>
    <x v="1"/>
    <x v="1"/>
    <n v="1"/>
    <n v="1"/>
    <s v="назначение на целевую должность"/>
    <d v="2023-06-03T00:00:00"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29"/>
    <x v="394"/>
    <n v="11"/>
    <s v="Подразделение11"/>
    <s v="подразделение_2_уровня11"/>
    <s v="-"/>
    <s v="линейный_руководитель_2"/>
    <n v="7"/>
    <s v="да"/>
    <d v="2023-06-03T00:00:00"/>
    <d v="2023-06-03T00:00:00"/>
    <s v="из резерва (учитываем)"/>
    <n v="383"/>
    <s v="Аксенов Валерий Денисович"/>
    <n v="1488"/>
    <s v="Игнатьев Савелий Кондратьевич"/>
    <s v="Рабочий"/>
    <s v="Подразделение11"/>
    <x v="0"/>
    <x v="0"/>
    <n v="0"/>
    <n v="0"/>
    <m/>
    <m/>
    <s v="повышение"/>
    <s v="протокол-№-23.11.2022"/>
  </r>
  <r>
    <s v="Функциональное направление 6"/>
    <n v="4"/>
    <d v="2021-08-18T00:00:00"/>
    <n v="1"/>
    <s v="не защищена"/>
    <n v="500230"/>
    <x v="395"/>
    <n v="11"/>
    <s v="Подразделение11"/>
    <s v="подразделение_2_уровня11"/>
    <s v="-"/>
    <s v="линейный_руководитель_1"/>
    <n v="7"/>
    <s v="нет"/>
    <m/>
    <m/>
    <m/>
    <n v="384"/>
    <s v="Поминов Тихон Александрович"/>
    <n v="383"/>
    <s v="Аксенов Валерий Денисович"/>
    <s v="Рабочий"/>
    <s v="Подразделение11"/>
    <x v="1"/>
    <x v="2"/>
    <n v="1"/>
    <n v="0"/>
    <s v="назначение на целевую должность"/>
    <d v="2023-06-03T00:00:00"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0"/>
    <x v="395"/>
    <n v="11"/>
    <s v="Подразделение11"/>
    <s v="подразделение_2_уровня11"/>
    <s v="-"/>
    <s v="линейный_руководитель_1"/>
    <n v="7"/>
    <s v="нет"/>
    <m/>
    <m/>
    <m/>
    <n v="384"/>
    <s v="Поминов Тихон Александрович"/>
    <n v="387"/>
    <s v="Нырков Тихон Григорьевич"/>
    <s v="Рабочий"/>
    <s v="Подразделение11"/>
    <x v="1"/>
    <x v="1"/>
    <n v="1"/>
    <n v="0"/>
    <s v="назначение на целевую должность"/>
    <d v="2023-06-01T00:00:00"/>
    <s v="повышение"/>
    <s v="протокол-№-23.11.2022"/>
  </r>
  <r>
    <s v="Функциональное направление 6"/>
    <n v="4"/>
    <d v="2022-12-23T00:00:00"/>
    <n v="0"/>
    <s v="не защищена"/>
    <n v="500230"/>
    <x v="395"/>
    <n v="11"/>
    <s v="Подразделение11"/>
    <s v="подразделение_2_уровня11"/>
    <s v="-"/>
    <s v="линейный_руководитель_1"/>
    <n v="7"/>
    <s v="нет"/>
    <m/>
    <m/>
    <m/>
    <n v="384"/>
    <s v="Поминов Тихон Александрович"/>
    <n v="1489"/>
    <s v="Гуськов Кирилл Геннадьевич"/>
    <s v="Рабочий"/>
    <s v="Подразделение11"/>
    <x v="0"/>
    <x v="0"/>
    <n v="1"/>
    <n v="0"/>
    <m/>
    <m/>
    <s v="не рассматривали"/>
    <s v="протокол-№-23.11.2022"/>
  </r>
  <r>
    <s v="Функциональное направление 6"/>
    <n v="4"/>
    <d v="2022-12-23T00:00:00"/>
    <n v="0"/>
    <s v="не защищена"/>
    <n v="500230"/>
    <x v="395"/>
    <n v="11"/>
    <s v="Подразделение11"/>
    <s v="подразделение_2_уровня11"/>
    <s v="-"/>
    <s v="линейный_руководитель_1"/>
    <n v="7"/>
    <s v="нет"/>
    <m/>
    <m/>
    <m/>
    <n v="384"/>
    <s v="Поминов Тихон Александрович"/>
    <n v="1490"/>
    <s v="Дорофеев Кирилл Герасимович"/>
    <s v="Рабочий"/>
    <s v="Подразделение11"/>
    <x v="2"/>
    <x v="0"/>
    <n v="1"/>
    <n v="0"/>
    <m/>
    <m/>
    <s v="не рассматривали"/>
    <s v="протокол-№-23.11.2022"/>
  </r>
  <r>
    <s v="Функциональное направление 6"/>
    <n v="4"/>
    <d v="2021-08-18T00:00:00"/>
    <n v="1"/>
    <s v="не защищена"/>
    <n v="500230"/>
    <x v="396"/>
    <n v="11"/>
    <s v="Подразделение11"/>
    <s v="подразделение_2_уровня11"/>
    <s v="-"/>
    <s v="линейный_руководитель_1"/>
    <n v="7"/>
    <s v="нет"/>
    <m/>
    <m/>
    <m/>
    <n v="385"/>
    <s v="Аксенов Григорий Владимирович"/>
    <n v="383"/>
    <s v="Аксенов Валерий Денисович"/>
    <s v="Рабочий"/>
    <s v="Подразделение11"/>
    <x v="1"/>
    <x v="2"/>
    <n v="0"/>
    <n v="0"/>
    <s v="назначение на целевую должность"/>
    <d v="2023-06-03T00:00:00"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0"/>
    <x v="396"/>
    <n v="11"/>
    <s v="Подразделение11"/>
    <s v="подразделение_2_уровня11"/>
    <s v="-"/>
    <s v="линейный_руководитель_1"/>
    <n v="7"/>
    <s v="нет"/>
    <m/>
    <m/>
    <m/>
    <n v="385"/>
    <s v="Аксенов Григорий Владимирович"/>
    <n v="387"/>
    <s v="Нырков Тихон Григорьевич"/>
    <s v="Рабочий"/>
    <s v="Подразделение11"/>
    <x v="1"/>
    <x v="1"/>
    <n v="0"/>
    <n v="0"/>
    <s v="назначение на целевую должность"/>
    <d v="2023-06-01T00:00:00"/>
    <s v="повышение"/>
    <s v="протокол-№-23.11.2022"/>
  </r>
  <r>
    <s v="Функциональное направление 6"/>
    <n v="4"/>
    <d v="2022-12-23T00:00:00"/>
    <n v="0"/>
    <s v="не защищена"/>
    <n v="500230"/>
    <x v="396"/>
    <n v="11"/>
    <s v="Подразделение11"/>
    <s v="подразделение_2_уровня11"/>
    <s v="-"/>
    <s v="линейный_руководитель_1"/>
    <n v="7"/>
    <s v="нет"/>
    <m/>
    <m/>
    <m/>
    <n v="385"/>
    <s v="Аксенов Григорий Владимирович"/>
    <n v="1489"/>
    <s v="Гуськов Кирилл Геннадьевич"/>
    <s v="Рабочий"/>
    <s v="Подразделение11"/>
    <x v="0"/>
    <x v="0"/>
    <n v="0"/>
    <n v="0"/>
    <m/>
    <m/>
    <s v="не рассматривали"/>
    <s v="протокол-№-23.11.2022"/>
  </r>
  <r>
    <s v="Функциональное направление 6"/>
    <n v="4"/>
    <d v="2022-12-23T00:00:00"/>
    <n v="0"/>
    <s v="не защищена"/>
    <n v="500230"/>
    <x v="396"/>
    <n v="11"/>
    <s v="Подразделение11"/>
    <s v="подразделение_2_уровня11"/>
    <s v="-"/>
    <s v="линейный_руководитель_1"/>
    <n v="7"/>
    <s v="нет"/>
    <m/>
    <m/>
    <m/>
    <n v="385"/>
    <s v="Аксенов Григорий Владимирович"/>
    <n v="1490"/>
    <s v="Дорофеев Кирилл Гераси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1"/>
    <s v="не защищена"/>
    <n v="500230"/>
    <x v="397"/>
    <n v="11"/>
    <s v="Подразделение11"/>
    <s v="подразделение_2_уровня11"/>
    <s v="-"/>
    <s v="линейный_руководитель_1"/>
    <n v="7"/>
    <s v="нет"/>
    <m/>
    <m/>
    <m/>
    <n v="386"/>
    <s v="Вобликов Федот Максимович"/>
    <n v="383"/>
    <s v="Аксенов Валерий Денисович"/>
    <s v="Рабочий"/>
    <s v="Подразделение11"/>
    <x v="1"/>
    <x v="2"/>
    <n v="0"/>
    <n v="0"/>
    <s v="назначение на целевую должность"/>
    <d v="2023-06-03T00:00:00"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0"/>
    <x v="397"/>
    <n v="11"/>
    <s v="Подразделение11"/>
    <s v="подразделение_2_уровня11"/>
    <s v="-"/>
    <s v="линейный_руководитель_1"/>
    <n v="7"/>
    <s v="нет"/>
    <m/>
    <m/>
    <m/>
    <n v="386"/>
    <s v="Вобликов Федот Максимович"/>
    <n v="387"/>
    <s v="Нырков Тихон Григорьевич"/>
    <s v="Рабочий"/>
    <s v="Подразделение11"/>
    <x v="1"/>
    <x v="1"/>
    <n v="0"/>
    <n v="0"/>
    <s v="назначение на целевую должность"/>
    <d v="2023-06-01T00:00:00"/>
    <s v="повышение"/>
    <s v="протокол-№-23.11.2022"/>
  </r>
  <r>
    <s v="Функциональное направление 6"/>
    <n v="4"/>
    <d v="2022-12-23T00:00:00"/>
    <n v="0"/>
    <s v="не защищена"/>
    <n v="500230"/>
    <x v="397"/>
    <n v="11"/>
    <s v="Подразделение11"/>
    <s v="подразделение_2_уровня11"/>
    <s v="-"/>
    <s v="линейный_руководитель_1"/>
    <n v="7"/>
    <s v="нет"/>
    <m/>
    <m/>
    <m/>
    <n v="386"/>
    <s v="Вобликов Федот Максимович"/>
    <n v="1489"/>
    <s v="Гуськов Кирилл Геннадьевич"/>
    <s v="Рабочий"/>
    <s v="Подразделение11"/>
    <x v="0"/>
    <x v="0"/>
    <n v="0"/>
    <n v="0"/>
    <m/>
    <m/>
    <s v="не рассматривали"/>
    <s v="протокол-№-23.11.2022"/>
  </r>
  <r>
    <s v="Функциональное направление 6"/>
    <n v="4"/>
    <d v="2022-12-23T00:00:00"/>
    <n v="0"/>
    <s v="не защищена"/>
    <n v="500230"/>
    <x v="397"/>
    <n v="11"/>
    <s v="Подразделение11"/>
    <s v="подразделение_2_уровня11"/>
    <s v="-"/>
    <s v="линейный_руководитель_1"/>
    <n v="7"/>
    <s v="нет"/>
    <m/>
    <m/>
    <m/>
    <n v="386"/>
    <s v="Вобликов Федот Максимович"/>
    <n v="1490"/>
    <s v="Дорофеев Кирилл Гераси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1"/>
    <s v="не защищена"/>
    <n v="500230"/>
    <x v="398"/>
    <n v="11"/>
    <s v="Подразделение11"/>
    <s v="подразделение_2_уровня11"/>
    <s v="-"/>
    <s v="линейный_руководитель_1"/>
    <n v="7"/>
    <s v="да"/>
    <d v="2023-05-15T00:00:00"/>
    <d v="2023-06-01T00:00:00"/>
    <s v="из резерва (учитываем)"/>
    <n v="387"/>
    <s v="Нырков Тихон Григорьевич"/>
    <n v="383"/>
    <s v="Аксенов Валерий Денисович"/>
    <s v="Рабочий"/>
    <s v="Подразделение11"/>
    <x v="1"/>
    <x v="2"/>
    <n v="0"/>
    <n v="0"/>
    <s v="назначение на целевую должность"/>
    <d v="2023-06-03T00:00:00"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0"/>
    <x v="398"/>
    <n v="11"/>
    <s v="Подразделение11"/>
    <s v="подразделение_2_уровня11"/>
    <s v="-"/>
    <s v="линейный_руководитель_1"/>
    <n v="7"/>
    <s v="да"/>
    <d v="2023-05-15T00:00:00"/>
    <d v="2023-06-01T00:00:00"/>
    <s v="из резерва (учитываем)"/>
    <n v="387"/>
    <s v="Нырков Тихон Григорьевич"/>
    <n v="387"/>
    <s v="Нырков Тихон Григорьевич"/>
    <s v="Рабочий"/>
    <s v="Подразделение11"/>
    <x v="1"/>
    <x v="1"/>
    <n v="0"/>
    <n v="1"/>
    <s v="назначение на целевую должность"/>
    <d v="2023-06-01T00:00:00"/>
    <s v="повышение"/>
    <s v="протокол-№-23.11.2022"/>
  </r>
  <r>
    <s v="Функциональное направление 6"/>
    <n v="4"/>
    <d v="2022-12-23T00:00:00"/>
    <n v="0"/>
    <s v="не защищена"/>
    <n v="500230"/>
    <x v="398"/>
    <n v="11"/>
    <s v="Подразделение11"/>
    <s v="подразделение_2_уровня11"/>
    <s v="-"/>
    <s v="линейный_руководитель_1"/>
    <n v="7"/>
    <s v="да"/>
    <d v="2023-05-15T00:00:00"/>
    <d v="2023-06-01T00:00:00"/>
    <s v="из резерва (учитываем)"/>
    <n v="387"/>
    <s v="Нырков Тихон Григорьевич"/>
    <n v="1489"/>
    <s v="Гуськов Кирилл Геннадьевич"/>
    <s v="Рабочий"/>
    <s v="Подразделение11"/>
    <x v="0"/>
    <x v="0"/>
    <n v="0"/>
    <n v="0"/>
    <m/>
    <m/>
    <s v="не рассматривали"/>
    <s v="протокол-№-23.11.2022"/>
  </r>
  <r>
    <s v="Функциональное направление 6"/>
    <n v="4"/>
    <d v="2022-12-23T00:00:00"/>
    <n v="0"/>
    <s v="не защищена"/>
    <n v="500230"/>
    <x v="398"/>
    <n v="11"/>
    <s v="Подразделение11"/>
    <s v="подразделение_2_уровня11"/>
    <s v="-"/>
    <s v="линейный_руководитель_1"/>
    <n v="7"/>
    <s v="да"/>
    <d v="2023-05-15T00:00:00"/>
    <d v="2023-06-01T00:00:00"/>
    <s v="из резерва (учитываем)"/>
    <n v="387"/>
    <s v="Нырков Тихон Григорьевич"/>
    <n v="1490"/>
    <s v="Дорофеев Кирилл Гераси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5T00:00:00"/>
    <n v="1"/>
    <s v="не защищена"/>
    <n v="500531"/>
    <x v="399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5-14T00:00:00"/>
    <d v="2022-10-19T00:00:00"/>
    <s v="из резерва (учитываем)"/>
    <n v="388"/>
    <s v="Зверев Константин Иванович"/>
    <n v="1491"/>
    <s v="Ветров Савелий Семено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531"/>
    <x v="399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5-14T00:00:00"/>
    <d v="2022-10-19T00:00:00"/>
    <s v="из резерва (учитываем)"/>
    <n v="388"/>
    <s v="Зверев Константин Иванович"/>
    <n v="388"/>
    <s v="Зверев Константин Иванович"/>
    <s v="Рабочий"/>
    <s v="Подразделение13"/>
    <x v="1"/>
    <x v="1"/>
    <n v="1"/>
    <n v="1"/>
    <s v="назначение на целевую должность"/>
    <d v="2022-10-19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531"/>
    <x v="399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5-14T00:00:00"/>
    <d v="2022-10-19T00:00:00"/>
    <s v="из резерва (учитываем)"/>
    <n v="388"/>
    <s v="Зверев Константин Иванович"/>
    <n v="406"/>
    <s v="Поминов Венедикт Тимофеевич"/>
    <s v="Рабочий"/>
    <s v="Подразделение13"/>
    <x v="2"/>
    <x v="2"/>
    <n v="1"/>
    <n v="0"/>
    <s v="назначение на равнозначную должность"/>
    <d v="2022-11-25T00:00:00"/>
    <s v="исключение"/>
    <s v="протокол-№-25.11.2022"/>
  </r>
  <r>
    <s v="Функциональное направление 6"/>
    <n v="4"/>
    <d v="2021-08-17T00:00:00"/>
    <n v="1"/>
    <s v="не защищена"/>
    <n v="500532"/>
    <x v="400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1-10T00:00:00"/>
    <d v="2022-03-01T00:00:00"/>
    <s v="из резерва (учитываем)"/>
    <n v="389"/>
    <s v="Журавлев Григорий Юрьевич"/>
    <n v="1372"/>
    <s v="Брежнев Савелий Владиславо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532"/>
    <x v="400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1-10T00:00:00"/>
    <d v="2022-03-01T00:00:00"/>
    <s v="из резерва (учитываем)"/>
    <n v="389"/>
    <s v="Журавлев Григорий Юрьевич"/>
    <n v="1492"/>
    <s v="Степанов Виталий Александрович"/>
    <s v="Специалист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532"/>
    <x v="400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1-10T00:00:00"/>
    <d v="2022-03-01T00:00:00"/>
    <s v="из резерва (учитываем)"/>
    <n v="389"/>
    <s v="Журавлев Григорий Юрьевич"/>
    <n v="389"/>
    <s v="Журавлев Григорий Юрьевич"/>
    <s v="линейный_руководитель_2"/>
    <s v="Подразделение13"/>
    <x v="1"/>
    <x v="1"/>
    <n v="1"/>
    <n v="1"/>
    <s v="назначение на целевую должность"/>
    <d v="2022-03-01T00:00:00"/>
    <s v="не рассматривали"/>
    <s v="протокол-№-17.08.2021"/>
  </r>
  <r>
    <s v="Функциональное направление 6"/>
    <n v="4"/>
    <d v="2022-11-23T00:00:00"/>
    <n v="1"/>
    <s v="не защищена"/>
    <n v="500232"/>
    <x v="401"/>
    <n v="11"/>
    <s v="Подразделение11"/>
    <s v="подразделение_2_уровня11"/>
    <s v="-"/>
    <s v="линейный_руководитель_1"/>
    <n v="7"/>
    <s v="нет"/>
    <m/>
    <m/>
    <s v="ротация (не учитываем)"/>
    <n v="390"/>
    <s v="Аксенов Алексей Кириллович"/>
    <n v="1493"/>
    <s v="Тимофеев Роман Ефремович"/>
    <s v="Рабочий"/>
    <s v="Подразделение11"/>
    <x v="2"/>
    <x v="0"/>
    <n v="1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32"/>
    <x v="401"/>
    <n v="11"/>
    <s v="Подразделение11"/>
    <s v="подразделение_2_уровня11"/>
    <s v="-"/>
    <s v="линейный_руководитель_1"/>
    <n v="7"/>
    <s v="нет"/>
    <m/>
    <m/>
    <s v="ротация (не учитываем)"/>
    <n v="390"/>
    <s v="Аксенов Алексей Кириллович"/>
    <n v="1494"/>
    <s v="Ветров Савелий Михайлович"/>
    <s v="Рабочий"/>
    <s v="Подразделение202"/>
    <x v="2"/>
    <x v="2"/>
    <n v="0"/>
    <n v="0"/>
    <s v="прочее (перевод в другое СП / на другое предприятие)"/>
    <d v="2022-11-23T00:00:00"/>
    <s v="исключение"/>
    <s v="протокол-№-23.11.2022"/>
  </r>
  <r>
    <s v="Функциональное направление 6"/>
    <n v="4"/>
    <d v="2022-11-23T00:00:00"/>
    <n v="1"/>
    <s v="не защищена"/>
    <n v="500232"/>
    <x v="402"/>
    <n v="11"/>
    <s v="Подразделение11"/>
    <s v="подразделение_2_уровня11"/>
    <s v="-"/>
    <s v="линейный_руководитель_1"/>
    <n v="7"/>
    <s v="да"/>
    <d v="2023-06-10T00:00:00"/>
    <m/>
    <m/>
    <s v="вакансия"/>
    <s v="вакансия"/>
    <n v="1493"/>
    <s v="Тимофеев Роман Ефре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32"/>
    <x v="402"/>
    <n v="11"/>
    <s v="Подразделение11"/>
    <s v="подразделение_2_уровня11"/>
    <s v="-"/>
    <s v="линейный_руководитель_1"/>
    <n v="7"/>
    <s v="да"/>
    <d v="2023-06-10T00:00:00"/>
    <m/>
    <m/>
    <s v="вакансия"/>
    <s v="вакансия"/>
    <n v="1494"/>
    <s v="Ветров Савелий Михайлович"/>
    <s v="Рабочий"/>
    <s v="Подразделение202"/>
    <x v="2"/>
    <x v="2"/>
    <n v="0"/>
    <n v="0"/>
    <s v="прочее (перевод в другое СП / на другое предприятие)"/>
    <d v="2022-11-23T00:00:00"/>
    <s v="исключение"/>
    <s v="протокол-№-23.11.2022"/>
  </r>
  <r>
    <s v="Функциональное направление 6"/>
    <n v="4"/>
    <d v="2022-11-23T00:00:00"/>
    <n v="1"/>
    <s v="не защищена"/>
    <n v="500232"/>
    <x v="403"/>
    <n v="11"/>
    <s v="Подразделение11"/>
    <s v="подразделение_2_уровня11"/>
    <s v="-"/>
    <s v="линейный_руководитель_1"/>
    <n v="7"/>
    <s v="нет"/>
    <m/>
    <m/>
    <m/>
    <n v="391"/>
    <s v="Бураков Николай Иванович"/>
    <n v="1493"/>
    <s v="Тимофеев Роман Ефре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32"/>
    <x v="403"/>
    <n v="11"/>
    <s v="Подразделение11"/>
    <s v="подразделение_2_уровня11"/>
    <s v="-"/>
    <s v="линейный_руководитель_1"/>
    <n v="7"/>
    <s v="нет"/>
    <m/>
    <m/>
    <m/>
    <n v="391"/>
    <s v="Бураков Николай Иванович"/>
    <n v="1494"/>
    <s v="Ветров Савелий Михайлович"/>
    <s v="Рабочий"/>
    <s v="Подразделение202"/>
    <x v="2"/>
    <x v="2"/>
    <n v="0"/>
    <n v="0"/>
    <s v="прочее (перевод в другое СП / на другое предприятие)"/>
    <d v="2022-11-23T00:00:00"/>
    <s v="исключение"/>
    <s v="протокол-№-23.11.2022"/>
  </r>
  <r>
    <s v="Функциональное направление 6"/>
    <n v="4"/>
    <d v="2022-11-23T00:00:00"/>
    <n v="1"/>
    <s v="не защищена"/>
    <n v="500232"/>
    <x v="404"/>
    <n v="11"/>
    <s v="Подразделение11"/>
    <s v="подразделение_2_уровня11"/>
    <s v="-"/>
    <s v="линейный_руководитель_1"/>
    <n v="7"/>
    <s v="нет"/>
    <m/>
    <m/>
    <m/>
    <n v="392"/>
    <s v="Бураков Степан Иванович"/>
    <n v="1493"/>
    <s v="Тимофеев Роман Ефре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32"/>
    <x v="404"/>
    <n v="11"/>
    <s v="Подразделение11"/>
    <s v="подразделение_2_уровня11"/>
    <s v="-"/>
    <s v="линейный_руководитель_1"/>
    <n v="7"/>
    <s v="нет"/>
    <m/>
    <m/>
    <m/>
    <n v="392"/>
    <s v="Бураков Степан Иванович"/>
    <n v="1494"/>
    <s v="Ветров Савелий Михайлович"/>
    <s v="Рабочий"/>
    <s v="Подразделение202"/>
    <x v="2"/>
    <x v="2"/>
    <n v="0"/>
    <n v="0"/>
    <s v="прочее (перевод в другое СП / на другое предприятие)"/>
    <d v="2022-11-23T00:00:00"/>
    <s v="исключение"/>
    <s v="протокол-№-23.11.2022"/>
  </r>
  <r>
    <s v="Функциональное направление 6"/>
    <s v="2 - 3"/>
    <d v="2020-11-30T00:00:00"/>
    <n v="1"/>
    <s v="не защищена"/>
    <n v="500233"/>
    <x v="405"/>
    <n v="11"/>
    <s v="Подразделение11"/>
    <s v="подразделение_2_уровня11"/>
    <s v="-"/>
    <s v="руководитель_среднего_уровня_4"/>
    <n v="6"/>
    <s v="да"/>
    <d v="2021-07-23T00:00:00"/>
    <d v="2021-08-09T00:00:00"/>
    <s v="из резерва (учитываем)"/>
    <n v="393"/>
    <s v="Волков Тихон Александрович"/>
    <n v="1495"/>
    <s v="Степанов Савелий Климович"/>
    <s v="Специалист"/>
    <s v="Подразделение11"/>
    <x v="2"/>
    <x v="0"/>
    <n v="1"/>
    <n v="0"/>
    <m/>
    <m/>
    <s v="понижение"/>
    <s v="протокол-№-08.09.2021"/>
  </r>
  <r>
    <s v="Функциональное направление 6"/>
    <s v="2 - 3"/>
    <d v="2018-03-15T00:00:00"/>
    <n v="0"/>
    <s v="не защищена"/>
    <n v="500233"/>
    <x v="405"/>
    <n v="11"/>
    <s v="Подразделение11"/>
    <s v="подразделение_2_уровня11"/>
    <s v="-"/>
    <s v="руководитель_среднего_уровня_4"/>
    <n v="6"/>
    <s v="да"/>
    <d v="2021-07-23T00:00:00"/>
    <d v="2021-08-09T00:00:00"/>
    <s v="из резерва (учитываем)"/>
    <n v="393"/>
    <s v="Волков Тихон Александрович"/>
    <n v="393"/>
    <s v="Волков Тихон Александрович"/>
    <s v="линейный_руководитель_2"/>
    <s v="Подразделение11"/>
    <x v="0"/>
    <x v="1"/>
    <n v="1"/>
    <n v="1"/>
    <s v="назначение на целевую должность"/>
    <d v="2021-08-09T00:00:00"/>
    <s v="без изменений"/>
    <s v="протокол-№-30.04.2019"/>
  </r>
  <r>
    <s v="Функциональное направление 6"/>
    <s v="2 - 3"/>
    <d v="2020-11-30T00:00:00"/>
    <n v="0"/>
    <s v="не защищена"/>
    <n v="500233"/>
    <x v="405"/>
    <n v="11"/>
    <s v="Подразделение11"/>
    <s v="подразделение_2_уровня11"/>
    <s v="-"/>
    <s v="руководитель_среднего_уровня_4"/>
    <n v="6"/>
    <s v="да"/>
    <d v="2021-07-23T00:00:00"/>
    <d v="2021-08-09T00:00:00"/>
    <s v="из резерва (учитываем)"/>
    <n v="393"/>
    <s v="Волков Тихон Александрович"/>
    <n v="394"/>
    <s v="Конеев Потап Юрьевич"/>
    <s v="линейный_руководитель_2"/>
    <s v="Подразделение11"/>
    <x v="0"/>
    <x v="2"/>
    <n v="1"/>
    <n v="0"/>
    <s v="прочее ()"/>
    <d v="2021-08-09T00:00:00"/>
    <s v="исключение"/>
    <s v="протокол-№-08.09.2021"/>
  </r>
  <r>
    <s v="Функциональное направление 6"/>
    <n v="4"/>
    <d v="2021-08-18T00:00:00"/>
    <n v="1"/>
    <s v="не защищена"/>
    <n v="500234"/>
    <x v="406"/>
    <n v="11"/>
    <s v="Подразделение11"/>
    <s v="подразделение_2_уровня11"/>
    <s v="-"/>
    <s v="линейный_руководитель_2"/>
    <n v="7"/>
    <s v="нет"/>
    <m/>
    <m/>
    <m/>
    <n v="394"/>
    <s v="Конеев Потап Юрьевич"/>
    <n v="395"/>
    <s v="Вобликов Венедикт Денисович"/>
    <s v="линейный_руководитель_2"/>
    <s v="Подразделение11"/>
    <x v="0"/>
    <x v="0"/>
    <n v="1"/>
    <n v="0"/>
    <m/>
    <m/>
    <s v="не рассматривали"/>
    <s v="протокол-№-18.08.2021"/>
  </r>
  <r>
    <s v="Функциональное направление 6"/>
    <n v="4"/>
    <d v="2022-11-23T00:00:00"/>
    <n v="0"/>
    <s v="не защищена"/>
    <n v="500234"/>
    <x v="406"/>
    <n v="11"/>
    <s v="Подразделение11"/>
    <s v="подразделение_2_уровня11"/>
    <s v="-"/>
    <s v="линейный_руководитель_2"/>
    <n v="7"/>
    <s v="нет"/>
    <m/>
    <m/>
    <m/>
    <n v="394"/>
    <s v="Конеев Потап Юрьевич"/>
    <n v="396"/>
    <s v="Нырков Николай Кириллович"/>
    <s v="линейный_руководитель_2"/>
    <s v="Подразделение11"/>
    <x v="0"/>
    <x v="0"/>
    <n v="1"/>
    <n v="0"/>
    <m/>
    <m/>
    <s v="не рассматривали"/>
    <s v="протокол-№-23.11.2022"/>
  </r>
  <r>
    <s v="Функциональное направление 6"/>
    <n v="4"/>
    <d v="2021-08-18T00:00:00"/>
    <n v="1"/>
    <s v="не защищена"/>
    <n v="500235"/>
    <x v="407"/>
    <n v="11"/>
    <s v="Подразделение11"/>
    <s v="подразделение_2_уровня11"/>
    <s v="-"/>
    <s v="линейный_руководитель_1"/>
    <n v="7"/>
    <s v="нет"/>
    <m/>
    <m/>
    <m/>
    <n v="395"/>
    <s v="Вобликов Венедикт Денисович"/>
    <n v="1496"/>
    <s v="Игорев Виталий Маркович"/>
    <s v="Рабочий"/>
    <s v="Подразделение11"/>
    <x v="0"/>
    <x v="0"/>
    <n v="1"/>
    <n v="0"/>
    <m/>
    <m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5"/>
    <x v="407"/>
    <n v="11"/>
    <s v="Подразделение11"/>
    <s v="подразделение_2_уровня11"/>
    <s v="-"/>
    <s v="линейный_руководитель_1"/>
    <n v="7"/>
    <s v="нет"/>
    <m/>
    <m/>
    <m/>
    <n v="395"/>
    <s v="Вобликов Венедикт Денисович"/>
    <n v="398"/>
    <s v="Баранкин Петр Романович"/>
    <s v="Рабочий"/>
    <s v="Подразделение11"/>
    <x v="1"/>
    <x v="1"/>
    <n v="1"/>
    <n v="0"/>
    <s v="назначение на целевую должность"/>
    <d v="2021-10-01T00:00:00"/>
    <s v="не рассматривали"/>
    <s v="протокол-№-18.08.2021"/>
  </r>
  <r>
    <s v="Функциональное направление 6"/>
    <n v="4"/>
    <d v="2021-08-18T00:00:00"/>
    <n v="1"/>
    <s v="не защищена"/>
    <n v="500235"/>
    <x v="408"/>
    <n v="11"/>
    <s v="Подразделение11"/>
    <s v="подразделение_2_уровня11"/>
    <s v="-"/>
    <s v="линейный_руководитель_1"/>
    <n v="7"/>
    <s v="нет"/>
    <m/>
    <m/>
    <m/>
    <n v="396"/>
    <s v="Нырков Николай Кириллович"/>
    <n v="1496"/>
    <s v="Игорев Виталий Марко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5"/>
    <x v="408"/>
    <n v="11"/>
    <s v="Подразделение11"/>
    <s v="подразделение_2_уровня11"/>
    <s v="-"/>
    <s v="линейный_руководитель_1"/>
    <n v="7"/>
    <s v="нет"/>
    <m/>
    <m/>
    <m/>
    <n v="396"/>
    <s v="Нырков Николай Кириллович"/>
    <n v="398"/>
    <s v="Баранкин Петр Романович"/>
    <s v="Рабочий"/>
    <s v="Подразделение11"/>
    <x v="1"/>
    <x v="1"/>
    <n v="0"/>
    <n v="0"/>
    <s v="назначение на целевую должность"/>
    <d v="2021-10-01T00:00:00"/>
    <s v="не рассматривали"/>
    <s v="протокол-№-18.08.2021"/>
  </r>
  <r>
    <s v="Функциональное направление 6"/>
    <n v="4"/>
    <d v="2021-08-18T00:00:00"/>
    <n v="1"/>
    <s v="не защищена"/>
    <n v="500235"/>
    <x v="409"/>
    <n v="11"/>
    <s v="Подразделение11"/>
    <s v="подразделение_2_уровня11"/>
    <s v="-"/>
    <s v="линейный_руководитель_1"/>
    <n v="7"/>
    <s v="нет"/>
    <m/>
    <m/>
    <m/>
    <n v="397"/>
    <s v="Конеев Кирилл Кириллович"/>
    <n v="1496"/>
    <s v="Игорев Виталий Марко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5"/>
    <x v="409"/>
    <n v="11"/>
    <s v="Подразделение11"/>
    <s v="подразделение_2_уровня11"/>
    <s v="-"/>
    <s v="линейный_руководитель_1"/>
    <n v="7"/>
    <s v="нет"/>
    <m/>
    <m/>
    <m/>
    <n v="397"/>
    <s v="Конеев Кирилл Кириллович"/>
    <n v="398"/>
    <s v="Баранкин Петр Романович"/>
    <s v="Рабочий"/>
    <s v="Подразделение11"/>
    <x v="1"/>
    <x v="1"/>
    <n v="0"/>
    <n v="0"/>
    <s v="назначение на целевую должность"/>
    <d v="2021-10-01T00:00:00"/>
    <s v="не рассматривали"/>
    <s v="протокол-№-18.08.2021"/>
  </r>
  <r>
    <s v="Функциональное направление 6"/>
    <n v="4"/>
    <d v="2021-08-18T00:00:00"/>
    <n v="1"/>
    <s v="не защищена"/>
    <n v="500235"/>
    <x v="410"/>
    <n v="11"/>
    <s v="Подразделение11"/>
    <s v="подразделение_2_уровня11"/>
    <s v="-"/>
    <s v="линейный_руководитель_1"/>
    <n v="7"/>
    <s v="да"/>
    <d v="2021-08-09T00:00:00"/>
    <d v="2021-10-01T00:00:00"/>
    <s v="из резерва (учитываем)"/>
    <n v="398"/>
    <s v="Баранкин Петр Романович"/>
    <n v="1496"/>
    <s v="Игорев Виталий Марко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5"/>
    <x v="410"/>
    <n v="11"/>
    <s v="Подразделение11"/>
    <s v="подразделение_2_уровня11"/>
    <s v="-"/>
    <s v="линейный_руководитель_1"/>
    <n v="7"/>
    <s v="да"/>
    <d v="2021-08-09T00:00:00"/>
    <d v="2021-10-01T00:00:00"/>
    <s v="из резерва (учитываем)"/>
    <n v="398"/>
    <s v="Баранкин Петр Романович"/>
    <n v="398"/>
    <s v="Баранкин Петр Романович"/>
    <s v="Рабочий"/>
    <s v="Подразделение11"/>
    <x v="1"/>
    <x v="1"/>
    <n v="0"/>
    <n v="1"/>
    <s v="назначение на целевую должность"/>
    <d v="2021-10-01T00:00:00"/>
    <s v="не рассматривали"/>
    <s v="протокол-№-18.08.2021"/>
  </r>
  <r>
    <s v="Функциональное направление 6"/>
    <s v="2 - 3"/>
    <d v="2018-03-15T00:00:00"/>
    <n v="1"/>
    <s v="не защищена"/>
    <n v="500236"/>
    <x v="411"/>
    <n v="11"/>
    <s v="Подразделение11"/>
    <s v="подразделение_2_уровня11"/>
    <s v="-"/>
    <s v="руководитель_среднего_уровня_4"/>
    <n v="6"/>
    <s v="нет"/>
    <m/>
    <m/>
    <m/>
    <n v="399"/>
    <s v="Нырков Емельян Кириллович"/>
    <n v="1497"/>
    <s v="Степанов Константин Богданович"/>
    <s v="функциональный_руководитель_1"/>
    <s v="Подразделение11"/>
    <x v="1"/>
    <x v="0"/>
    <n v="1"/>
    <n v="0"/>
    <m/>
    <m/>
    <s v="без изменений"/>
    <s v="протокол-№-08.09.2021"/>
  </r>
  <r>
    <s v="Функциональное направление 6"/>
    <s v="2 - 3"/>
    <d v="2018-03-15T00:00:00"/>
    <n v="0"/>
    <s v="не защищена"/>
    <n v="500236"/>
    <x v="411"/>
    <n v="11"/>
    <s v="Подразделение11"/>
    <s v="подразделение_2_уровня11"/>
    <s v="-"/>
    <s v="руководитель_среднего_уровня_4"/>
    <n v="6"/>
    <s v="нет"/>
    <m/>
    <m/>
    <m/>
    <n v="399"/>
    <s v="Нырков Емельян Кириллович"/>
    <n v="461"/>
    <s v="Баранкин Федот Максимович"/>
    <s v="линейный_руководитель_2"/>
    <s v="Подразделение11"/>
    <x v="2"/>
    <x v="0"/>
    <n v="1"/>
    <n v="0"/>
    <m/>
    <m/>
    <s v="без изменений"/>
    <s v="протокол-№-08.09.2021"/>
  </r>
  <r>
    <s v="Функциональное направление 6"/>
    <n v="4"/>
    <d v="2021-08-18T00:00:00"/>
    <n v="1"/>
    <s v="не защищена"/>
    <n v="500237"/>
    <x v="412"/>
    <n v="11"/>
    <s v="Подразделение11"/>
    <s v="подразделение_2_уровня11"/>
    <s v="-"/>
    <s v="линейный_руководитель_1"/>
    <n v="7"/>
    <s v="нет"/>
    <m/>
    <m/>
    <m/>
    <n v="400"/>
    <s v="Ефремов Федот Анатольевич"/>
    <n v="1498"/>
    <s v="Дорофеев Виталий Кондратьевич"/>
    <s v="Рабочий"/>
    <s v="Подразделение11"/>
    <x v="2"/>
    <x v="0"/>
    <n v="1"/>
    <n v="0"/>
    <m/>
    <m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7"/>
    <x v="412"/>
    <n v="11"/>
    <s v="Подразделение11"/>
    <s v="подразделение_2_уровня11"/>
    <s v="-"/>
    <s v="линейный_руководитель_1"/>
    <n v="7"/>
    <s v="нет"/>
    <m/>
    <m/>
    <m/>
    <n v="400"/>
    <s v="Ефремов Федот Анатольевич"/>
    <n v="1499"/>
    <s v="Дорофеев Виталий Кондратье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2-11-23T00:00:00"/>
    <n v="0"/>
    <s v="не защищена"/>
    <n v="500237"/>
    <x v="412"/>
    <n v="11"/>
    <s v="Подразделение11"/>
    <s v="подразделение_2_уровня11"/>
    <s v="-"/>
    <s v="линейный_руководитель_1"/>
    <n v="7"/>
    <s v="нет"/>
    <m/>
    <m/>
    <m/>
    <n v="400"/>
    <s v="Ефремов Федот Анатольевич"/>
    <n v="1500"/>
    <s v="Ветров Савелий Ефремович"/>
    <s v="Рабочий"/>
    <s v="Подразделение11"/>
    <x v="2"/>
    <x v="0"/>
    <n v="1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37"/>
    <x v="412"/>
    <n v="11"/>
    <s v="Подразделение11"/>
    <s v="подразделение_2_уровня11"/>
    <s v="-"/>
    <s v="линейный_руководитель_1"/>
    <n v="7"/>
    <s v="нет"/>
    <m/>
    <m/>
    <m/>
    <n v="400"/>
    <s v="Ефремов Федот Анатольевич"/>
    <n v="1501"/>
    <s v="Брежнев Роман Геннадьевич"/>
    <s v="Рабочий"/>
    <s v="Подразделение11"/>
    <x v="2"/>
    <x v="0"/>
    <n v="1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37"/>
    <x v="412"/>
    <n v="11"/>
    <s v="Подразделение11"/>
    <s v="подразделение_2_уровня11"/>
    <s v="-"/>
    <s v="линейный_руководитель_1"/>
    <n v="7"/>
    <s v="нет"/>
    <m/>
    <m/>
    <m/>
    <n v="400"/>
    <s v="Ефремов Федот Анатольевич"/>
    <n v="1502"/>
    <s v="Брежнев Савелий Ефремович"/>
    <s v="Рабочий"/>
    <s v="Подразделение11"/>
    <x v="2"/>
    <x v="0"/>
    <n v="1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37"/>
    <x v="412"/>
    <n v="11"/>
    <s v="Подразделение11"/>
    <s v="подразделение_2_уровня11"/>
    <s v="-"/>
    <s v="линейный_руководитель_1"/>
    <n v="7"/>
    <s v="нет"/>
    <m/>
    <m/>
    <m/>
    <n v="400"/>
    <s v="Ефремов Федот Анатольевич"/>
    <n v="402"/>
    <s v="Русланов Валерий Филатович"/>
    <s v="Рабочий"/>
    <s v="Подразделение11"/>
    <x v="0"/>
    <x v="1"/>
    <n v="1"/>
    <n v="0"/>
    <s v="назначение на целевую должность"/>
    <d v="2022-07-21T00:00:00"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7"/>
    <x v="412"/>
    <n v="11"/>
    <s v="Подразделение11"/>
    <s v="подразделение_2_уровня11"/>
    <s v="-"/>
    <s v="линейный_руководитель_1"/>
    <n v="7"/>
    <s v="нет"/>
    <m/>
    <m/>
    <m/>
    <n v="400"/>
    <s v="Ефремов Федот Анатольевич"/>
    <n v="461"/>
    <s v="Баранкин Федот Максимович"/>
    <s v="линейный_руководитель_2"/>
    <s v="Подразделение11"/>
    <x v="1"/>
    <x v="2"/>
    <n v="1"/>
    <n v="0"/>
    <s v="назначение на равнозначную должность"/>
    <d v="2022-11-23T00:00:00"/>
    <s v="не рассматривали"/>
    <s v="протокол-№-18.08.2021"/>
  </r>
  <r>
    <s v="Функциональное направление 6"/>
    <n v="4"/>
    <d v="2021-08-18T00:00:00"/>
    <n v="1"/>
    <s v="не защищена"/>
    <n v="500237"/>
    <x v="413"/>
    <n v="11"/>
    <s v="Подразделение11"/>
    <s v="подразделение_2_уровня11"/>
    <s v="-"/>
    <s v="линейный_руководитель_1"/>
    <n v="7"/>
    <s v="нет"/>
    <m/>
    <m/>
    <m/>
    <n v="401"/>
    <s v="Баранкин Кирилл Иванович"/>
    <n v="1498"/>
    <s v="Дорофеев Виталий Кондратьевич"/>
    <s v="Рабочий"/>
    <s v="Подразделение11"/>
    <x v="2"/>
    <x v="0"/>
    <n v="0"/>
    <n v="0"/>
    <m/>
    <m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7"/>
    <x v="413"/>
    <n v="11"/>
    <s v="Подразделение11"/>
    <s v="подразделение_2_уровня11"/>
    <s v="-"/>
    <s v="линейный_руководитель_1"/>
    <n v="7"/>
    <s v="нет"/>
    <m/>
    <m/>
    <m/>
    <n v="401"/>
    <s v="Баранкин Кирилл Иванович"/>
    <n v="1499"/>
    <s v="Дорофеев Виталий Кондратье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2-11-23T00:00:00"/>
    <n v="0"/>
    <s v="не защищена"/>
    <n v="500237"/>
    <x v="413"/>
    <n v="11"/>
    <s v="Подразделение11"/>
    <s v="подразделение_2_уровня11"/>
    <s v="-"/>
    <s v="линейный_руководитель_1"/>
    <n v="7"/>
    <s v="нет"/>
    <m/>
    <m/>
    <m/>
    <n v="401"/>
    <s v="Баранкин Кирилл Иванович"/>
    <n v="1500"/>
    <s v="Ветров Савелий Ефре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37"/>
    <x v="413"/>
    <n v="11"/>
    <s v="Подразделение11"/>
    <s v="подразделение_2_уровня11"/>
    <s v="-"/>
    <s v="линейный_руководитель_1"/>
    <n v="7"/>
    <s v="нет"/>
    <m/>
    <m/>
    <m/>
    <n v="401"/>
    <s v="Баранкин Кирилл Иванович"/>
    <n v="1501"/>
    <s v="Брежнев Роман Геннадье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37"/>
    <x v="413"/>
    <n v="11"/>
    <s v="Подразделение11"/>
    <s v="подразделение_2_уровня11"/>
    <s v="-"/>
    <s v="линейный_руководитель_1"/>
    <n v="7"/>
    <s v="нет"/>
    <m/>
    <m/>
    <m/>
    <n v="401"/>
    <s v="Баранкин Кирилл Иванович"/>
    <n v="1502"/>
    <s v="Брежнев Савелий Ефре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37"/>
    <x v="413"/>
    <n v="11"/>
    <s v="Подразделение11"/>
    <s v="подразделение_2_уровня11"/>
    <s v="-"/>
    <s v="линейный_руководитель_1"/>
    <n v="7"/>
    <s v="нет"/>
    <m/>
    <m/>
    <m/>
    <n v="401"/>
    <s v="Баранкин Кирилл Иванович"/>
    <n v="402"/>
    <s v="Русланов Валерий Филатович"/>
    <s v="Рабочий"/>
    <s v="Подразделение11"/>
    <x v="0"/>
    <x v="1"/>
    <n v="0"/>
    <n v="0"/>
    <s v="назначение на целевую должность"/>
    <d v="2022-07-21T00:00:00"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7"/>
    <x v="413"/>
    <n v="11"/>
    <s v="Подразделение11"/>
    <s v="подразделение_2_уровня11"/>
    <s v="-"/>
    <s v="линейный_руководитель_1"/>
    <n v="7"/>
    <s v="нет"/>
    <m/>
    <m/>
    <m/>
    <n v="401"/>
    <s v="Баранкин Кирилл Иванович"/>
    <n v="461"/>
    <s v="Баранкин Федот Максимович"/>
    <s v="линейный_руководитель_2"/>
    <s v="Подразделение11"/>
    <x v="1"/>
    <x v="2"/>
    <n v="0"/>
    <n v="0"/>
    <s v="назначение на равнозначную должность"/>
    <d v="2022-11-23T00:00:00"/>
    <s v="не рассматривали"/>
    <s v="протокол-№-18.08.2021"/>
  </r>
  <r>
    <s v="Функциональное направление 6"/>
    <n v="4"/>
    <d v="2021-08-18T00:00:00"/>
    <n v="1"/>
    <s v="не защищена"/>
    <n v="500237"/>
    <x v="414"/>
    <n v="11"/>
    <s v="Подразделение11"/>
    <s v="подразделение_2_уровня11"/>
    <s v="-"/>
    <s v="линейный_руководитель_1"/>
    <n v="7"/>
    <s v="да"/>
    <d v="2022-03-24T00:00:00"/>
    <d v="2022-07-21T00:00:00"/>
    <s v="из резерва (учитываем)"/>
    <n v="402"/>
    <s v="Русланов Валерий Филатович"/>
    <n v="1498"/>
    <s v="Дорофеев Виталий Кондратьевич"/>
    <s v="Рабочий"/>
    <s v="Подразделение11"/>
    <x v="2"/>
    <x v="0"/>
    <n v="0"/>
    <n v="0"/>
    <m/>
    <m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7"/>
    <x v="414"/>
    <n v="11"/>
    <s v="Подразделение11"/>
    <s v="подразделение_2_уровня11"/>
    <s v="-"/>
    <s v="линейный_руководитель_1"/>
    <n v="7"/>
    <s v="да"/>
    <d v="2022-03-24T00:00:00"/>
    <d v="2022-07-21T00:00:00"/>
    <s v="из резерва (учитываем)"/>
    <n v="402"/>
    <s v="Русланов Валерий Филатович"/>
    <n v="1499"/>
    <s v="Дорофеев Виталий Кондратье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2-11-23T00:00:00"/>
    <n v="0"/>
    <s v="не защищена"/>
    <n v="500237"/>
    <x v="414"/>
    <n v="11"/>
    <s v="Подразделение11"/>
    <s v="подразделение_2_уровня11"/>
    <s v="-"/>
    <s v="линейный_руководитель_1"/>
    <n v="7"/>
    <s v="да"/>
    <d v="2022-03-24T00:00:00"/>
    <d v="2022-07-21T00:00:00"/>
    <s v="из резерва (учитываем)"/>
    <n v="402"/>
    <s v="Русланов Валерий Филатович"/>
    <n v="1500"/>
    <s v="Ветров Савелий Ефре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37"/>
    <x v="414"/>
    <n v="11"/>
    <s v="Подразделение11"/>
    <s v="подразделение_2_уровня11"/>
    <s v="-"/>
    <s v="линейный_руководитель_1"/>
    <n v="7"/>
    <s v="да"/>
    <d v="2022-03-24T00:00:00"/>
    <d v="2022-07-21T00:00:00"/>
    <s v="из резерва (учитываем)"/>
    <n v="402"/>
    <s v="Русланов Валерий Филатович"/>
    <n v="1501"/>
    <s v="Брежнев Роман Геннадье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37"/>
    <x v="414"/>
    <n v="11"/>
    <s v="Подразделение11"/>
    <s v="подразделение_2_уровня11"/>
    <s v="-"/>
    <s v="линейный_руководитель_1"/>
    <n v="7"/>
    <s v="да"/>
    <d v="2022-03-24T00:00:00"/>
    <d v="2022-07-21T00:00:00"/>
    <s v="из резерва (учитываем)"/>
    <n v="402"/>
    <s v="Русланов Валерий Филатович"/>
    <n v="1502"/>
    <s v="Брежнев Савелий Ефре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37"/>
    <x v="414"/>
    <n v="11"/>
    <s v="Подразделение11"/>
    <s v="подразделение_2_уровня11"/>
    <s v="-"/>
    <s v="линейный_руководитель_1"/>
    <n v="7"/>
    <s v="да"/>
    <d v="2022-03-24T00:00:00"/>
    <d v="2022-07-21T00:00:00"/>
    <s v="из резерва (учитываем)"/>
    <n v="402"/>
    <s v="Русланов Валерий Филатович"/>
    <n v="402"/>
    <s v="Русланов Валерий Филатович"/>
    <s v="Рабочий"/>
    <s v="Подразделение11"/>
    <x v="0"/>
    <x v="1"/>
    <n v="0"/>
    <n v="1"/>
    <s v="назначение на целевую должность"/>
    <d v="2022-07-21T00:00:00"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7"/>
    <x v="414"/>
    <n v="11"/>
    <s v="Подразделение11"/>
    <s v="подразделение_2_уровня11"/>
    <s v="-"/>
    <s v="линейный_руководитель_1"/>
    <n v="7"/>
    <s v="да"/>
    <d v="2022-03-24T00:00:00"/>
    <d v="2022-07-21T00:00:00"/>
    <s v="из резерва (учитываем)"/>
    <n v="402"/>
    <s v="Русланов Валерий Филатович"/>
    <n v="461"/>
    <s v="Баранкин Федот Максимович"/>
    <s v="линейный_руководитель_2"/>
    <s v="Подразделение11"/>
    <x v="1"/>
    <x v="2"/>
    <n v="0"/>
    <n v="0"/>
    <s v="назначение на равнозначную должность"/>
    <d v="2022-11-23T00:00:00"/>
    <s v="не рассматривали"/>
    <s v="протокол-№-18.08.2021"/>
  </r>
  <r>
    <s v="Функциональное направление 6"/>
    <n v="4"/>
    <d v="2021-08-18T00:00:00"/>
    <n v="1"/>
    <s v="не защищена"/>
    <n v="500237"/>
    <x v="415"/>
    <n v="11"/>
    <s v="Подразделение11"/>
    <s v="подразделение_2_уровня11"/>
    <s v="-"/>
    <s v="линейный_руководитель_1"/>
    <n v="7"/>
    <s v="нет"/>
    <m/>
    <m/>
    <m/>
    <n v="403"/>
    <s v="Волков Степан Тимофеевич"/>
    <n v="1498"/>
    <s v="Дорофеев Виталий Кондратьевич"/>
    <s v="Рабочий"/>
    <s v="Подразделение11"/>
    <x v="2"/>
    <x v="0"/>
    <n v="0"/>
    <n v="0"/>
    <m/>
    <m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7"/>
    <x v="415"/>
    <n v="11"/>
    <s v="Подразделение11"/>
    <s v="подразделение_2_уровня11"/>
    <s v="-"/>
    <s v="линейный_руководитель_1"/>
    <n v="7"/>
    <s v="нет"/>
    <m/>
    <m/>
    <m/>
    <n v="403"/>
    <s v="Волков Степан Тимофеевич"/>
    <n v="1499"/>
    <s v="Дорофеев Виталий Кондратьевич"/>
    <s v="Рабочий"/>
    <s v="Подразделение11"/>
    <x v="0"/>
    <x v="0"/>
    <n v="0"/>
    <n v="0"/>
    <m/>
    <m/>
    <s v="не рассматривали"/>
    <s v="протокол-№-18.08.2021"/>
  </r>
  <r>
    <s v="Функциональное направление 6"/>
    <n v="4"/>
    <d v="2022-11-23T00:00:00"/>
    <n v="0"/>
    <s v="не защищена"/>
    <n v="500237"/>
    <x v="415"/>
    <n v="11"/>
    <s v="Подразделение11"/>
    <s v="подразделение_2_уровня11"/>
    <s v="-"/>
    <s v="линейный_руководитель_1"/>
    <n v="7"/>
    <s v="нет"/>
    <m/>
    <m/>
    <m/>
    <n v="403"/>
    <s v="Волков Степан Тимофеевич"/>
    <n v="1500"/>
    <s v="Ветров Савелий Ефре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37"/>
    <x v="415"/>
    <n v="11"/>
    <s v="Подразделение11"/>
    <s v="подразделение_2_уровня11"/>
    <s v="-"/>
    <s v="линейный_руководитель_1"/>
    <n v="7"/>
    <s v="нет"/>
    <m/>
    <m/>
    <m/>
    <n v="403"/>
    <s v="Волков Степан Тимофеевич"/>
    <n v="1501"/>
    <s v="Брежнев Роман Геннадье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2-11-23T00:00:00"/>
    <n v="0"/>
    <s v="не защищена"/>
    <n v="500237"/>
    <x v="415"/>
    <n v="11"/>
    <s v="Подразделение11"/>
    <s v="подразделение_2_уровня11"/>
    <s v="-"/>
    <s v="линейный_руководитель_1"/>
    <n v="7"/>
    <s v="нет"/>
    <m/>
    <m/>
    <m/>
    <n v="403"/>
    <s v="Волков Степан Тимофеевич"/>
    <n v="1502"/>
    <s v="Брежнев Савелий Ефремович"/>
    <s v="Рабочий"/>
    <s v="Подразделение11"/>
    <x v="2"/>
    <x v="0"/>
    <n v="0"/>
    <n v="0"/>
    <m/>
    <m/>
    <s v="не рассматривали"/>
    <s v="протокол-№-23.11.2022"/>
  </r>
  <r>
    <s v="Функциональное направление 6"/>
    <n v="4"/>
    <d v="2021-08-18T00:00:00"/>
    <n v="0"/>
    <s v="не защищена"/>
    <n v="500237"/>
    <x v="415"/>
    <n v="11"/>
    <s v="Подразделение11"/>
    <s v="подразделение_2_уровня11"/>
    <s v="-"/>
    <s v="линейный_руководитель_1"/>
    <n v="7"/>
    <s v="нет"/>
    <m/>
    <m/>
    <m/>
    <n v="403"/>
    <s v="Волков Степан Тимофеевич"/>
    <n v="402"/>
    <s v="Русланов Валерий Филатович"/>
    <s v="Рабочий"/>
    <s v="Подразделение11"/>
    <x v="0"/>
    <x v="1"/>
    <n v="0"/>
    <n v="0"/>
    <s v="назначение на целевую должность"/>
    <d v="2022-07-21T00:00:00"/>
    <s v="не рассматривали"/>
    <s v="протокол-№-18.08.2021"/>
  </r>
  <r>
    <s v="Функциональное направление 6"/>
    <n v="4"/>
    <d v="2021-08-18T00:00:00"/>
    <n v="0"/>
    <s v="не защищена"/>
    <n v="500237"/>
    <x v="415"/>
    <n v="11"/>
    <s v="Подразделение11"/>
    <s v="подразделение_2_уровня11"/>
    <s v="-"/>
    <s v="линейный_руководитель_1"/>
    <n v="7"/>
    <s v="нет"/>
    <m/>
    <m/>
    <m/>
    <n v="403"/>
    <s v="Волков Степан Тимофеевич"/>
    <n v="461"/>
    <s v="Баранкин Федот Максимович"/>
    <s v="линейный_руководитель_2"/>
    <s v="Подразделение11"/>
    <x v="1"/>
    <x v="2"/>
    <n v="0"/>
    <n v="0"/>
    <s v="назначение на равнозначную должность"/>
    <d v="2022-11-23T00:00:00"/>
    <s v="не рассматривали"/>
    <s v="протокол-№-18.08.2021"/>
  </r>
  <r>
    <s v="Функциональное направление 6"/>
    <s v="2 - 3"/>
    <d v="2018-03-15T00:00:00"/>
    <n v="1"/>
    <s v="не защищена"/>
    <n v="500231"/>
    <x v="416"/>
    <n v="11"/>
    <s v="Подразделение11"/>
    <s v="подразделение_2_уровня11"/>
    <s v="-"/>
    <s v="руководитель_среднего_уровня_4"/>
    <n v="6"/>
    <s v="да"/>
    <d v="2020-02-01T00:00:00"/>
    <d v="2020-02-01T00:00:00"/>
    <s v="внутр. сотр. из списка КР (учитываем)"/>
    <n v="404"/>
    <s v="Романов Федот Денисович"/>
    <n v="1503"/>
    <s v="Брежнев Кирилл Геннадьевич"/>
    <s v="линейный_руководитель_2"/>
    <s v="Подразделение11"/>
    <x v="0"/>
    <x v="2"/>
    <n v="1"/>
    <n v="0"/>
    <s v="инициатива комитета / руководителя"/>
    <d v="2019-04-30T00:00:00"/>
    <s v="исключение"/>
    <s v="протокол-№-30.04.2019"/>
  </r>
  <r>
    <s v="Функциональное направление 6"/>
    <s v="2 - 3"/>
    <d v="2018-03-15T00:00:00"/>
    <n v="0"/>
    <s v="не защищена"/>
    <n v="500231"/>
    <x v="416"/>
    <n v="11"/>
    <s v="Подразделение11"/>
    <s v="подразделение_2_уровня11"/>
    <s v="-"/>
    <s v="руководитель_среднего_уровня_4"/>
    <n v="6"/>
    <s v="да"/>
    <d v="2020-02-01T00:00:00"/>
    <d v="2020-02-01T00:00:00"/>
    <s v="внутр. сотр. из списка КР (учитываем)"/>
    <n v="404"/>
    <s v="Романов Федот Денисович"/>
    <n v="1504"/>
    <s v="Ветров Виталий Ефремович"/>
    <s v="функциональный_руководитель_1"/>
    <s v="Подразделение11"/>
    <x v="0"/>
    <x v="2"/>
    <n v="1"/>
    <n v="0"/>
    <s v="инициатива комитета / руководителя"/>
    <d v="2021-09-08T00:00:00"/>
    <s v="исключение"/>
    <s v="протокол-№-08.09.2021"/>
  </r>
  <r>
    <s v="Функциональное направление 6"/>
    <n v="4"/>
    <d v="2021-08-17T00:00:00"/>
    <n v="1"/>
    <s v="не защищена"/>
    <n v="500260"/>
    <x v="417"/>
    <n v="13"/>
    <s v="Подразделение13"/>
    <s v="подразделение_2_уровня13"/>
    <s v="-"/>
    <s v="линейный_руководитель_1"/>
    <n v="7"/>
    <s v="нет"/>
    <m/>
    <m/>
    <m/>
    <n v="405"/>
    <s v="Баранкин Лавр Юрьевич"/>
    <n v="1505"/>
    <s v="Незнамов Афанасий Александр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0"/>
    <x v="417"/>
    <n v="13"/>
    <s v="Подразделение13"/>
    <s v="подразделение_2_уровня13"/>
    <s v="-"/>
    <s v="линейный_руководитель_1"/>
    <n v="7"/>
    <s v="нет"/>
    <m/>
    <m/>
    <m/>
    <n v="405"/>
    <s v="Баранкин Лавр Юрьевич"/>
    <n v="1506"/>
    <s v="Степанов Савелий Герасим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0"/>
    <x v="417"/>
    <n v="13"/>
    <s v="Подразделение13"/>
    <s v="подразделение_2_уровня13"/>
    <s v="-"/>
    <s v="линейный_руководитель_1"/>
    <n v="7"/>
    <s v="нет"/>
    <m/>
    <m/>
    <m/>
    <n v="405"/>
    <s v="Баранкин Лавр Юрьевич"/>
    <n v="419"/>
    <s v="Ефремов Потап Романович"/>
    <s v="Рабочий"/>
    <s v="Подразделение13"/>
    <x v="1"/>
    <x v="1"/>
    <n v="1"/>
    <n v="0"/>
    <s v="назначение на целевую должность"/>
    <d v="2022-09-11T00:00:00"/>
    <s v="не рассматривали"/>
    <s v="протокол-№-17.08.2021"/>
  </r>
  <r>
    <s v="Функциональное направление 6"/>
    <n v="4"/>
    <d v="2022-09-21T00:00:00"/>
    <n v="0"/>
    <s v="не защищена"/>
    <n v="500260"/>
    <x v="417"/>
    <n v="13"/>
    <s v="Подразделение13"/>
    <s v="подразделение_2_уровня13"/>
    <s v="-"/>
    <s v="линейный_руководитель_1"/>
    <n v="7"/>
    <s v="нет"/>
    <m/>
    <m/>
    <m/>
    <n v="405"/>
    <s v="Баранкин Лавр Юрьевич"/>
    <n v="418"/>
    <s v="Вобликов Петр Борисович"/>
    <s v="линейный_руководитель_2"/>
    <s v="Подразделение13"/>
    <x v="1"/>
    <x v="1"/>
    <n v="1"/>
    <n v="0"/>
    <s v="назначение на целевую должность"/>
    <d v="2022-11-05T00:00:00"/>
    <s v="не рассматривали"/>
    <s v="протокол-№-21.09.2022"/>
  </r>
  <r>
    <s v="Функциональное направление 6"/>
    <n v="4"/>
    <d v="2021-08-17T00:00:00"/>
    <n v="0"/>
    <s v="не защищена"/>
    <n v="500260"/>
    <x v="417"/>
    <n v="13"/>
    <s v="Подразделение13"/>
    <s v="подразделение_2_уровня13"/>
    <s v="-"/>
    <s v="линейный_руководитель_1"/>
    <n v="7"/>
    <s v="нет"/>
    <m/>
    <m/>
    <m/>
    <n v="405"/>
    <s v="Баранкин Лавр Юрьевич"/>
    <n v="1507"/>
    <s v="Ветров Виталий Герасимович"/>
    <s v="Рабочий"/>
    <s v="Подразделение13"/>
    <x v="2"/>
    <x v="2"/>
    <n v="1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1"/>
    <s v="не защищена"/>
    <n v="500269"/>
    <x v="418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3-01T00:00:00"/>
    <d v="2022-05-11T00:00:00"/>
    <s v="из резерва (учитываем)"/>
    <n v="406"/>
    <s v="Поминов Венедикт Тимофеевич"/>
    <n v="1508"/>
    <s v="Коровкин Савелий Александрович"/>
    <s v="Рабочий"/>
    <s v="Подразделение13"/>
    <x v="0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69"/>
    <x v="418"/>
    <n v="13"/>
    <s v="Подразделение13"/>
    <s v="подразделение_2_уровня13"/>
    <s v="подразделение_3_уровня13"/>
    <s v="линейный_руководитель_2"/>
    <n v="7"/>
    <s v="да"/>
    <d v="2022-03-01T00:00:00"/>
    <d v="2022-05-11T00:00:00"/>
    <s v="из резерва (учитываем)"/>
    <n v="406"/>
    <s v="Поминов Венедикт Тимофеевич"/>
    <n v="406"/>
    <s v="Поминов Венедикт Тимофеевич"/>
    <s v="Рабочий"/>
    <s v="Подразделение13"/>
    <x v="1"/>
    <x v="1"/>
    <n v="0"/>
    <n v="1"/>
    <s v="назначение на целевую должность"/>
    <d v="2022-05-11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84"/>
    <x v="419"/>
    <n v="13"/>
    <s v="Подразделение13"/>
    <s v="подразделение_2_уровня13"/>
    <s v="подразделение_3_уровня13"/>
    <s v="линейный_руководитель_1"/>
    <n v="7"/>
    <s v="да"/>
    <d v="2021-12-08T00:00:00"/>
    <d v="2021-12-09T00:00:00"/>
    <s v="из резерва (учитываем)"/>
    <n v="407"/>
    <s v="Чистяков Корней Иванович"/>
    <n v="1352"/>
    <s v="Брежнев Савелий Кли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419"/>
    <n v="13"/>
    <s v="Подразделение13"/>
    <s v="подразделение_2_уровня13"/>
    <s v="подразделение_3_уровня13"/>
    <s v="линейный_руководитель_1"/>
    <n v="7"/>
    <s v="да"/>
    <d v="2021-12-08T00:00:00"/>
    <d v="2021-12-09T00:00:00"/>
    <s v="из резерва (учитываем)"/>
    <n v="407"/>
    <s v="Чистяков Корней Иванович"/>
    <n v="1353"/>
    <s v="Дорофее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419"/>
    <n v="13"/>
    <s v="Подразделение13"/>
    <s v="подразделение_2_уровня13"/>
    <s v="подразделение_3_уровня13"/>
    <s v="линейный_руководитель_1"/>
    <n v="7"/>
    <s v="да"/>
    <d v="2021-12-08T00:00:00"/>
    <d v="2021-12-09T00:00:00"/>
    <s v="из резерва (учитываем)"/>
    <n v="407"/>
    <s v="Чистяков Корней Иванович"/>
    <n v="1354"/>
    <s v="Степанов Ефрем Игнат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84"/>
    <x v="419"/>
    <n v="13"/>
    <s v="Подразделение13"/>
    <s v="подразделение_2_уровня13"/>
    <s v="подразделение_3_уровня13"/>
    <s v="линейный_руководитель_1"/>
    <n v="7"/>
    <s v="да"/>
    <d v="2021-12-08T00:00:00"/>
    <d v="2021-12-09T00:00:00"/>
    <s v="из резерва (учитываем)"/>
    <n v="407"/>
    <s v="Чистяков Корней Иванович"/>
    <n v="1355"/>
    <s v="Игнатьев Константин Климович"/>
    <s v="Рабочий"/>
    <s v="Подразделение13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84"/>
    <x v="419"/>
    <n v="13"/>
    <s v="Подразделение13"/>
    <s v="подразделение_2_уровня13"/>
    <s v="подразделение_3_уровня13"/>
    <s v="линейный_руководитель_1"/>
    <n v="7"/>
    <s v="да"/>
    <d v="2021-12-08T00:00:00"/>
    <d v="2021-12-09T00:00:00"/>
    <s v="из резерва (учитываем)"/>
    <n v="407"/>
    <s v="Чистяков Корней Иванович"/>
    <n v="1356"/>
    <s v="Дорофеев Юрий Геннадье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84"/>
    <x v="419"/>
    <n v="13"/>
    <s v="Подразделение13"/>
    <s v="подразделение_2_уровня13"/>
    <s v="подразделение_3_уровня13"/>
    <s v="линейный_руководитель_1"/>
    <n v="7"/>
    <s v="да"/>
    <d v="2021-12-08T00:00:00"/>
    <d v="2021-12-09T00:00:00"/>
    <s v="из резерва (учитываем)"/>
    <n v="407"/>
    <s v="Чистяков Корней Иванович"/>
    <n v="277"/>
    <s v="Зверев Григорий Афанасьевич"/>
    <s v="Рабочий"/>
    <s v="Подразделение13"/>
    <x v="0"/>
    <x v="1"/>
    <n v="0"/>
    <n v="0"/>
    <s v="назначение на целевую должность"/>
    <d v="2022-09-01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419"/>
    <n v="13"/>
    <s v="Подразделение13"/>
    <s v="подразделение_2_уровня13"/>
    <s v="подразделение_3_уровня13"/>
    <s v="линейный_руководитель_1"/>
    <n v="7"/>
    <s v="да"/>
    <d v="2021-12-08T00:00:00"/>
    <d v="2021-12-09T00:00:00"/>
    <s v="из резерва (учитываем)"/>
    <n v="407"/>
    <s v="Чистяков Корней Иванович"/>
    <n v="278"/>
    <s v="Волков Николай Алексеевич"/>
    <s v="Рабочий"/>
    <s v="Подразделение13"/>
    <x v="1"/>
    <x v="1"/>
    <n v="0"/>
    <n v="0"/>
    <s v="назначение на целевую должность"/>
    <d v="2022-07-14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419"/>
    <n v="13"/>
    <s v="Подразделение13"/>
    <s v="подразделение_2_уровня13"/>
    <s v="подразделение_3_уровня13"/>
    <s v="линейный_руководитель_1"/>
    <n v="7"/>
    <s v="да"/>
    <d v="2021-12-08T00:00:00"/>
    <d v="2021-12-09T00:00:00"/>
    <s v="из резерва (учитываем)"/>
    <n v="407"/>
    <s v="Чистяков Корней Иванович"/>
    <n v="407"/>
    <s v="Чистяков Корней Иванович"/>
    <s v="линейный_руководитель_2"/>
    <s v="Подразделение13"/>
    <x v="1"/>
    <x v="1"/>
    <n v="0"/>
    <n v="1"/>
    <s v="назначение на целевую должность"/>
    <d v="2021-12-09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84"/>
    <x v="419"/>
    <n v="13"/>
    <s v="Подразделение13"/>
    <s v="подразделение_2_уровня13"/>
    <s v="подразделение_3_уровня13"/>
    <s v="линейный_руководитель_1"/>
    <n v="7"/>
    <s v="да"/>
    <d v="2021-12-08T00:00:00"/>
    <d v="2021-12-09T00:00:00"/>
    <s v="из резерва (учитываем)"/>
    <n v="407"/>
    <s v="Чистяков Корней Иванович"/>
    <n v="1357"/>
    <s v="Прохоров Кирилл Климович"/>
    <s v="Рабочий"/>
    <s v="Подразделение13"/>
    <x v="2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6T00:00:00"/>
    <n v="1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396"/>
    <s v="Гуськов Савелий Михайл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397"/>
    <s v="Степанов Геннадий Богдан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398"/>
    <s v="Дорофеев Савелий Иль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399"/>
    <s v="Ветров Арсений Михайл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400"/>
    <s v="Степанов Кирилл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401"/>
    <s v="Игнатьев Ефрем Семен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402"/>
    <s v="Дорофеев Афанасий Владислав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403"/>
    <s v="Степанов Савелий Александр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404"/>
    <s v="Степанов Константин Кондратье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2-11-22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1405"/>
    <s v="Степанов Захар Богдано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4"/>
    <d v="2021-08-16T00:00:00"/>
    <n v="0"/>
    <s v="не защищена"/>
    <n v="500453"/>
    <x v="420"/>
    <n v="15"/>
    <s v="Подразделение15"/>
    <s v="подразделение_2_уровня15"/>
    <s v="-"/>
    <s v="линейный_руководитель_1"/>
    <n v="7"/>
    <s v="нет"/>
    <m/>
    <m/>
    <m/>
    <n v="408"/>
    <s v="Нырков Алексей Романович"/>
    <n v="317"/>
    <s v="Пальчиков Алексей Кондратьевич"/>
    <s v="линейный_руководитель_1"/>
    <s v="Подразделение15"/>
    <x v="1"/>
    <x v="1"/>
    <n v="0"/>
    <n v="0"/>
    <s v="назначение на целевую должность"/>
    <d v="2022-11-01T00:00:00"/>
    <s v="не рассматривали"/>
    <s v="протокол-№-16.08.2021"/>
  </r>
  <r>
    <s v="Функциональное направление 6"/>
    <n v="4"/>
    <d v="2021-08-16T00:00:00"/>
    <n v="1"/>
    <s v="не защищена"/>
    <n v="500457"/>
    <x v="421"/>
    <n v="15"/>
    <s v="Подразделение15"/>
    <s v="подразделение_2_уровня15"/>
    <s v="-"/>
    <s v="линейный_руководитель_1"/>
    <n v="7"/>
    <s v="нет"/>
    <m/>
    <m/>
    <m/>
    <n v="409"/>
    <s v="Нырков Тихон Денисович"/>
    <n v="1418"/>
    <s v="Коростелев Геннадий Геннадье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421"/>
    <n v="15"/>
    <s v="Подразделение15"/>
    <s v="подразделение_2_уровня15"/>
    <s v="-"/>
    <s v="линейный_руководитель_1"/>
    <n v="7"/>
    <s v="нет"/>
    <m/>
    <m/>
    <m/>
    <n v="409"/>
    <s v="Нырков Тихон Денисович"/>
    <n v="1419"/>
    <s v="Брежнев Геннадий Семенович"/>
    <s v="Рабочий"/>
    <s v="Подразделение15"/>
    <x v="2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421"/>
    <n v="15"/>
    <s v="Подразделение15"/>
    <s v="подразделение_2_уровня15"/>
    <s v="-"/>
    <s v="линейный_руководитель_1"/>
    <n v="7"/>
    <s v="нет"/>
    <m/>
    <m/>
    <m/>
    <n v="409"/>
    <s v="Нырков Тихон Денисович"/>
    <n v="1420"/>
    <s v="Игнатьев Афанасий Семено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1-08-16T00:00:00"/>
    <n v="0"/>
    <s v="не защищена"/>
    <n v="500457"/>
    <x v="421"/>
    <n v="15"/>
    <s v="Подразделение15"/>
    <s v="подразделение_2_уровня15"/>
    <s v="-"/>
    <s v="линейный_руководитель_1"/>
    <n v="7"/>
    <s v="нет"/>
    <m/>
    <m/>
    <m/>
    <n v="409"/>
    <s v="Нырков Тихон Денисович"/>
    <n v="1421"/>
    <s v="Коростелев Виталий Кондратьевич"/>
    <s v="Рабочий"/>
    <s v="Подразделение15"/>
    <x v="1"/>
    <x v="0"/>
    <n v="0"/>
    <n v="0"/>
    <m/>
    <m/>
    <s v="не рассматривали"/>
    <s v="протокол-№-16.08.2021"/>
  </r>
  <r>
    <s v="Функциональное направление 6"/>
    <n v="4"/>
    <d v="2022-11-22T00:00:00"/>
    <n v="0"/>
    <s v="не защищена"/>
    <n v="500457"/>
    <x v="421"/>
    <n v="15"/>
    <s v="Подразделение15"/>
    <s v="подразделение_2_уровня15"/>
    <s v="-"/>
    <s v="линейный_руководитель_1"/>
    <n v="7"/>
    <s v="нет"/>
    <m/>
    <m/>
    <m/>
    <n v="409"/>
    <s v="Нырков Тихон Денисович"/>
    <n v="1422"/>
    <s v="Тимофеев Арсений Геннадьевич"/>
    <s v="Рабочий"/>
    <s v="Подразделение15"/>
    <x v="2"/>
    <x v="0"/>
    <n v="0"/>
    <n v="0"/>
    <m/>
    <m/>
    <s v="не рассматривали"/>
    <s v="протокол-№-22.11.2022"/>
  </r>
  <r>
    <s v="Функциональное направление 6"/>
    <n v="3"/>
    <d v="2017-12-11T00:00:00"/>
    <n v="1"/>
    <s v="не защищена"/>
    <n v="500255"/>
    <x v="422"/>
    <n v="13"/>
    <s v="Подразделение13"/>
    <s v="подразделение_2_уровня13"/>
    <s v="-"/>
    <s v="ТОП_руководитель_2"/>
    <n v="4"/>
    <s v="да"/>
    <d v="2019-05-01T00:00:00"/>
    <d v="2019-11-05T00:00:00"/>
    <s v="из резерва (учитываем)"/>
    <n v="410"/>
    <s v="Русланов Венедикт Владиславович"/>
    <n v="1509"/>
    <s v="Незнамов Виталий Кондратьевич"/>
    <s v="функциональный_руководитель_1"/>
    <s v="Подразделение13"/>
    <x v="0"/>
    <x v="0"/>
    <n v="1"/>
    <n v="0"/>
    <m/>
    <m/>
    <s v="без изменений"/>
    <s v="протокол-№-24.05.2021"/>
  </r>
  <r>
    <s v="Функциональное направление 6"/>
    <n v="3"/>
    <d v="2017-12-11T00:00:00"/>
    <n v="0"/>
    <s v="не защищена"/>
    <n v="500255"/>
    <x v="422"/>
    <n v="13"/>
    <s v="Подразделение13"/>
    <s v="подразделение_2_уровня13"/>
    <s v="-"/>
    <s v="ТОП_руководитель_2"/>
    <n v="4"/>
    <s v="да"/>
    <d v="2019-05-01T00:00:00"/>
    <d v="2019-11-05T00:00:00"/>
    <s v="из резерва (учитываем)"/>
    <n v="410"/>
    <s v="Русланов Венедикт Владиславович"/>
    <n v="411"/>
    <s v="Пальчиков Алексей Филатович"/>
    <s v="линейный_руководитель_3"/>
    <s v="Подразделение13"/>
    <x v="0"/>
    <x v="0"/>
    <n v="1"/>
    <n v="0"/>
    <m/>
    <m/>
    <s v="без изменений"/>
    <s v="протокол-№-24.05.2021"/>
  </r>
  <r>
    <s v="Функциональное направление 6"/>
    <n v="3"/>
    <d v="2021-05-24T00:00:00"/>
    <n v="0"/>
    <s v="не защищена"/>
    <n v="500255"/>
    <x v="422"/>
    <n v="13"/>
    <s v="Подразделение13"/>
    <s v="подразделение_2_уровня13"/>
    <s v="-"/>
    <s v="ТОП_руководитель_2"/>
    <n v="4"/>
    <s v="да"/>
    <d v="2019-05-01T00:00:00"/>
    <d v="2019-11-05T00:00:00"/>
    <s v="из резерва (учитываем)"/>
    <n v="410"/>
    <s v="Русланов Венедикт Владиславович"/>
    <n v="1510"/>
    <s v="Коростелев Юрий Ефремович"/>
    <s v="ТОП_руководитель_3"/>
    <s v="Подразделение219"/>
    <x v="2"/>
    <x v="0"/>
    <n v="1"/>
    <n v="0"/>
    <m/>
    <m/>
    <s v="не рассматривали"/>
    <s v="протокол-№-24.05.2021"/>
  </r>
  <r>
    <s v="Функциональное направление 6"/>
    <n v="3"/>
    <d v="2022-05-26T00:00:00"/>
    <n v="0"/>
    <s v="не защищена"/>
    <n v="500255"/>
    <x v="422"/>
    <n v="13"/>
    <s v="Подразделение13"/>
    <s v="подразделение_2_уровня13"/>
    <s v="-"/>
    <s v="ТОП_руководитель_2"/>
    <n v="4"/>
    <s v="да"/>
    <d v="2019-05-01T00:00:00"/>
    <d v="2019-11-05T00:00:00"/>
    <s v="из резерва (учитываем)"/>
    <n v="410"/>
    <s v="Русланов Венедикт Владиславович"/>
    <n v="466"/>
    <s v="Русланов Валерий Александрович"/>
    <s v="линейный_руководитель_3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3"/>
    <d v="2017-12-11T00:00:00"/>
    <n v="0"/>
    <s v="не защищена"/>
    <n v="500255"/>
    <x v="422"/>
    <n v="13"/>
    <s v="Подразделение13"/>
    <s v="подразделение_2_уровня13"/>
    <s v="-"/>
    <s v="ТОП_руководитель_2"/>
    <n v="4"/>
    <s v="да"/>
    <d v="2019-11-05T00:00:00"/>
    <d v="2019-11-05T00:00:00"/>
    <s v="из резерва (учитываем)"/>
    <n v="410"/>
    <s v="Русланов Венедикт Владиславович"/>
    <n v="410"/>
    <s v="Русланов Венедикт Владиславович"/>
    <s v="ТОП_руководитель_2"/>
    <s v="Подразделение13"/>
    <x v="1"/>
    <x v="1"/>
    <n v="1"/>
    <n v="1"/>
    <s v="назначение на целевую должность"/>
    <d v="2019-11-05T00:00:00"/>
    <s v="повышение"/>
    <s v="протокол-№-02.04.2019"/>
  </r>
  <r>
    <s v="Функциональное направление 6"/>
    <n v="3"/>
    <d v="2019-11-12T00:00:00"/>
    <n v="1"/>
    <s v="не защищена"/>
    <n v="500256"/>
    <x v="423"/>
    <n v="13"/>
    <s v="Подразделение13"/>
    <s v="подразделение_2_уровня13"/>
    <s v="-"/>
    <s v="линейный_руководитель_3"/>
    <n v="5"/>
    <s v="да"/>
    <d v="2019-03-01T00:00:00"/>
    <d v="2019-03-01T00:00:00"/>
    <s v="внутр. сотр. (учитываем)"/>
    <n v="411"/>
    <s v="Пальчиков Алексей Филатович"/>
    <n v="1511"/>
    <s v="Ветров Кирилл Михайлович"/>
    <s v="функциональный_руководитель_2"/>
    <s v="Подразделение219"/>
    <x v="0"/>
    <x v="0"/>
    <n v="1"/>
    <n v="0"/>
    <m/>
    <m/>
    <s v="повышение"/>
    <s v="протокол-№-26.05.2022"/>
  </r>
  <r>
    <s v="Функциональное направление 6"/>
    <n v="3"/>
    <d v="2018-11-21T00:00:00"/>
    <n v="0"/>
    <s v="не защищена"/>
    <n v="500256"/>
    <x v="423"/>
    <n v="13"/>
    <s v="Подразделение13"/>
    <s v="подразделение_2_уровня13"/>
    <s v="-"/>
    <s v="линейный_руководитель_3"/>
    <n v="5"/>
    <s v="да"/>
    <d v="2019-03-01T00:00:00"/>
    <d v="2019-03-01T00:00:00"/>
    <s v="внутр. сотр. (учитываем)"/>
    <n v="411"/>
    <s v="Пальчиков Алексей Филатович"/>
    <n v="466"/>
    <s v="Русланов Валерий Александрович"/>
    <s v="линейный_руководитель_3"/>
    <s v="Подразделение13"/>
    <x v="1"/>
    <x v="0"/>
    <n v="1"/>
    <n v="0"/>
    <m/>
    <m/>
    <s v="повышение"/>
    <s v="протокол-№-26.05.2022"/>
  </r>
  <r>
    <s v="Функциональное направление 6"/>
    <n v="4"/>
    <d v="2021-08-17T00:00:00"/>
    <n v="1"/>
    <s v="не защищена"/>
    <n v="500257"/>
    <x v="424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2"/>
    <s v="Романов Венедикт Романович"/>
    <n v="438"/>
    <s v="Цветков Тихон Денисович"/>
    <s v="линейный_руководитель_2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4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2"/>
    <s v="Романов Венедикт Романович"/>
    <n v="439"/>
    <s v="Журавлев Григорий Иванович"/>
    <s v="линейный_руководитель_2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4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2"/>
    <s v="Романов Венедикт Романович"/>
    <n v="440"/>
    <s v="Поминов Тихон Романович"/>
    <s v="линейный_руководитель_2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4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2"/>
    <s v="Романов Венедикт Романович"/>
    <n v="451"/>
    <s v="Баранкин Венедикт Романович"/>
    <s v="линейный_руководитель_2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57"/>
    <x v="425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3"/>
    <s v="Волков Потап Егорович"/>
    <n v="438"/>
    <s v="Цветков Тихон Денисович"/>
    <s v="линейный_руководитель_2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5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3"/>
    <s v="Волков Потап Егорович"/>
    <n v="439"/>
    <s v="Журавлев Григорий Иванович"/>
    <s v="линейный_руководитель_2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5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3"/>
    <s v="Волков Потап Егорович"/>
    <n v="440"/>
    <s v="Поминов Тихон Романович"/>
    <s v="линейный_руководитель_2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5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3"/>
    <s v="Волков Потап Егорович"/>
    <n v="451"/>
    <s v="Баранкин Венедикт Романович"/>
    <s v="линейный_руководитель_2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57"/>
    <x v="426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4"/>
    <s v="Ефремов Венедикт Максимович"/>
    <n v="438"/>
    <s v="Цветков Тихон Денисович"/>
    <s v="линейный_руководитель_2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6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4"/>
    <s v="Ефремов Венедикт Максимович"/>
    <n v="439"/>
    <s v="Журавлев Григорий Иванович"/>
    <s v="линейный_руководитель_2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6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4"/>
    <s v="Ефремов Венедикт Максимович"/>
    <n v="440"/>
    <s v="Поминов Тихон Романович"/>
    <s v="линейный_руководитель_2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6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4"/>
    <s v="Ефремов Венедикт Максимович"/>
    <n v="451"/>
    <s v="Баранкин Венедикт Романович"/>
    <s v="линейный_руководитель_2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57"/>
    <x v="427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5"/>
    <s v="Аксенов Александр Романович"/>
    <n v="438"/>
    <s v="Цветков Тихон Денисович"/>
    <s v="линейный_руководитель_2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7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5"/>
    <s v="Аксенов Александр Романович"/>
    <n v="439"/>
    <s v="Журавлев Григорий Иванович"/>
    <s v="линейный_руководитель_2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7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5"/>
    <s v="Аксенов Александр Романович"/>
    <n v="440"/>
    <s v="Поминов Тихон Романович"/>
    <s v="линейный_руководитель_2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57"/>
    <x v="427"/>
    <n v="13"/>
    <s v="Подразделение13"/>
    <s v="подразделение_2_уровня13"/>
    <s v="подразделение_3_уровня13"/>
    <s v="руководитель_среднего_уровня_3"/>
    <n v="6"/>
    <s v="нет"/>
    <m/>
    <m/>
    <m/>
    <n v="415"/>
    <s v="Аксенов Александр Романович"/>
    <n v="451"/>
    <s v="Баранкин Венедикт Романович"/>
    <s v="линейный_руководитель_2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58"/>
    <x v="428"/>
    <n v="13"/>
    <s v="Подразделение13"/>
    <s v="подразделение_2_уровня13"/>
    <s v="подразделение_3_уровня13"/>
    <s v="функциональный_руководитель_3"/>
    <n v="6"/>
    <s v="нет"/>
    <m/>
    <m/>
    <m/>
    <n v="416"/>
    <s v="Поминов Алексей Александрович"/>
    <n v="1512"/>
    <s v="Игнатьев Савелий Кондратьевич"/>
    <s v="Специалист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3"/>
    <d v="2018-11-21T00:00:00"/>
    <n v="1"/>
    <s v="не защищена"/>
    <n v="500259"/>
    <x v="429"/>
    <n v="13"/>
    <s v="Подразделение13"/>
    <s v="подразделение_2_уровня13"/>
    <s v="-"/>
    <s v="руководитель_среднего_уровня_2"/>
    <n v="5"/>
    <s v="да"/>
    <d v="2023-05-22T00:00:00"/>
    <d v="2023-06-01T00:00:00"/>
    <s v="из резерва (учитываем)"/>
    <n v="417"/>
    <s v="Поминов Александр Александрович"/>
    <n v="417"/>
    <s v="Поминов Александр Александрович"/>
    <s v="линейный_руководитель_2"/>
    <s v="Подразделение13"/>
    <x v="1"/>
    <x v="1"/>
    <n v="1"/>
    <n v="1"/>
    <s v="назначение на целевую должность"/>
    <d v="2023-06-01T00:00:00"/>
    <s v="без изменений"/>
    <s v="протокол-№-26.05.2022"/>
  </r>
  <r>
    <s v="Функциональное направление 6"/>
    <n v="3"/>
    <d v="2021-05-27T00:00:00"/>
    <n v="0"/>
    <s v="не защищена"/>
    <n v="500259"/>
    <x v="429"/>
    <n v="13"/>
    <s v="Подразделение13"/>
    <s v="подразделение_2_уровня13"/>
    <s v="-"/>
    <s v="руководитель_среднего_уровня_2"/>
    <n v="5"/>
    <s v="да"/>
    <d v="2023-05-22T00:00:00"/>
    <d v="2023-06-01T00:00:00"/>
    <s v="из резерва (учитываем)"/>
    <n v="417"/>
    <s v="Поминов Александр Александрович"/>
    <n v="1513"/>
    <s v="Дмитриев Геннадий Кондратьевич"/>
    <s v="функциональный_руководитель_1"/>
    <s v="Подразделение_др7"/>
    <x v="0"/>
    <x v="0"/>
    <n v="1"/>
    <n v="0"/>
    <m/>
    <m/>
    <s v="без изменений"/>
    <s v="протокол-№-26.05.2022"/>
  </r>
  <r>
    <s v="Функциональное направление 6"/>
    <n v="3"/>
    <d v="2022-05-26T00:00:00"/>
    <n v="0"/>
    <s v="не защищена"/>
    <n v="500259"/>
    <x v="429"/>
    <n v="13"/>
    <s v="Подразделение13"/>
    <s v="подразделение_2_уровня13"/>
    <s v="-"/>
    <s v="руководитель_среднего_уровня_2"/>
    <n v="5"/>
    <s v="да"/>
    <d v="2023-05-22T00:00:00"/>
    <d v="2023-06-01T00:00:00"/>
    <s v="из резерва (учитываем)"/>
    <n v="417"/>
    <s v="Поминов Александр Александрович"/>
    <n v="421"/>
    <s v="Баранкин Венедикт Михайлович"/>
    <s v="линейный_руководитель_2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3"/>
    <d v="2022-05-26T00:00:00"/>
    <n v="0"/>
    <s v="не защищена"/>
    <n v="500259"/>
    <x v="429"/>
    <n v="13"/>
    <s v="Подразделение13"/>
    <s v="подразделение_2_уровня13"/>
    <s v="-"/>
    <s v="руководитель_среднего_уровня_2"/>
    <n v="5"/>
    <s v="да"/>
    <d v="2023-05-22T00:00:00"/>
    <d v="2023-06-01T00:00:00"/>
    <s v="из резерва (учитываем)"/>
    <n v="417"/>
    <s v="Поминов Александр Александрович"/>
    <n v="1514"/>
    <s v="Дмитриев Виталий Геннадьевич"/>
    <s v="функциональный_руководитель_1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3"/>
    <d v="2018-11-21T00:00:00"/>
    <n v="0"/>
    <s v="не защищена"/>
    <n v="500259"/>
    <x v="429"/>
    <n v="13"/>
    <s v="Подразделение13"/>
    <s v="подразделение_2_уровня13"/>
    <s v="-"/>
    <s v="руководитель_среднего_уровня_2"/>
    <n v="5"/>
    <s v="да"/>
    <d v="2023-05-22T00:00:00"/>
    <d v="2023-06-01T00:00:00"/>
    <s v="из резерва (учитываем)"/>
    <n v="417"/>
    <s v="Поминов Александр Александрович"/>
    <n v="1515"/>
    <s v="Степанов Геннадий Михайлович"/>
    <s v="линейный_руководитель_2"/>
    <s v="Подразделение13"/>
    <x v="0"/>
    <x v="2"/>
    <n v="1"/>
    <n v="0"/>
    <s v="увольнение"/>
    <d v="2021-09-04T00:00:00"/>
    <s v="без изменений"/>
    <s v="протокол-№-16.06.2020"/>
  </r>
  <r>
    <s v="Функциональное направление 6"/>
    <n v="4"/>
    <d v="2021-08-17T00:00:00"/>
    <n v="1"/>
    <s v="не защищена"/>
    <n v="500260"/>
    <x v="430"/>
    <n v="13"/>
    <s v="Подразделение13"/>
    <s v="подразделение_2_уровня13"/>
    <s v="-"/>
    <s v="линейный_руководитель_1"/>
    <n v="7"/>
    <s v="да"/>
    <d v="2022-09-01T00:00:00"/>
    <d v="2022-11-05T00:00:00"/>
    <s v="из резерва (учитываем)"/>
    <n v="418"/>
    <s v="Вобликов Петр Борисович"/>
    <n v="1505"/>
    <s v="Незнамов Афанасий Александр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0"/>
    <x v="430"/>
    <n v="13"/>
    <s v="Подразделение13"/>
    <s v="подразделение_2_уровня13"/>
    <s v="-"/>
    <s v="линейный_руководитель_1"/>
    <n v="7"/>
    <s v="да"/>
    <d v="2022-09-01T00:00:00"/>
    <d v="2022-11-05T00:00:00"/>
    <s v="из резерва (учитываем)"/>
    <n v="418"/>
    <s v="Вобликов Петр Борисович"/>
    <n v="1506"/>
    <s v="Степанов Савелий Гераси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0"/>
    <x v="430"/>
    <n v="13"/>
    <s v="Подразделение13"/>
    <s v="подразделение_2_уровня13"/>
    <s v="-"/>
    <s v="линейный_руководитель_1"/>
    <n v="7"/>
    <s v="да"/>
    <d v="2022-09-01T00:00:00"/>
    <d v="2022-11-05T00:00:00"/>
    <s v="из резерва (учитываем)"/>
    <n v="418"/>
    <s v="Вобликов Петр Борисович"/>
    <n v="419"/>
    <s v="Ефремов Потап Романович"/>
    <s v="Рабочий"/>
    <s v="Подразделение13"/>
    <x v="1"/>
    <x v="1"/>
    <n v="0"/>
    <n v="0"/>
    <s v="назначение на целевую должность"/>
    <d v="2022-09-11T00:00:00"/>
    <s v="не рассматривали"/>
    <s v="протокол-№-17.08.2021"/>
  </r>
  <r>
    <s v="Функциональное направление 6"/>
    <n v="4"/>
    <d v="2022-09-21T00:00:00"/>
    <n v="0"/>
    <s v="не защищена"/>
    <n v="500260"/>
    <x v="430"/>
    <n v="13"/>
    <s v="Подразделение13"/>
    <s v="подразделение_2_уровня13"/>
    <s v="-"/>
    <s v="линейный_руководитель_1"/>
    <n v="7"/>
    <s v="да"/>
    <d v="2022-09-01T00:00:00"/>
    <d v="2022-11-05T00:00:00"/>
    <s v="из резерва (учитываем)"/>
    <n v="418"/>
    <s v="Вобликов Петр Борисович"/>
    <n v="418"/>
    <s v="Вобликов Петр Борисович"/>
    <s v="линейный_руководитель_2"/>
    <s v="Подразделение13"/>
    <x v="1"/>
    <x v="1"/>
    <n v="0"/>
    <n v="1"/>
    <s v="назначение на целевую должность"/>
    <d v="2022-11-05T00:00:00"/>
    <s v="не рассматривали"/>
    <s v="протокол-№-21.09.2022"/>
  </r>
  <r>
    <s v="Функциональное направление 6"/>
    <n v="4"/>
    <d v="2021-08-17T00:00:00"/>
    <n v="0"/>
    <s v="не защищена"/>
    <n v="500260"/>
    <x v="430"/>
    <n v="13"/>
    <s v="Подразделение13"/>
    <s v="подразделение_2_уровня13"/>
    <s v="-"/>
    <s v="линейный_руководитель_1"/>
    <n v="7"/>
    <s v="да"/>
    <d v="2022-09-01T00:00:00"/>
    <d v="2022-11-05T00:00:00"/>
    <s v="из резерва (учитываем)"/>
    <n v="418"/>
    <s v="Вобликов Петр Борисович"/>
    <n v="1507"/>
    <s v="Ветров Виталий Герасимович"/>
    <s v="Рабочий"/>
    <s v="Подразделение13"/>
    <x v="2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1"/>
    <s v="не защищена"/>
    <n v="500260"/>
    <x v="431"/>
    <n v="13"/>
    <s v="Подразделение13"/>
    <s v="подразделение_2_уровня13"/>
    <s v="-"/>
    <s v="линейный_руководитель_1"/>
    <n v="7"/>
    <s v="да"/>
    <d v="2022-08-26T00:00:00"/>
    <d v="2022-09-11T00:00:00"/>
    <s v="из резерва (учитываем)"/>
    <n v="419"/>
    <s v="Ефремов Потап Романович"/>
    <n v="1505"/>
    <s v="Незнамов Афанасий Александр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0"/>
    <x v="431"/>
    <n v="13"/>
    <s v="Подразделение13"/>
    <s v="подразделение_2_уровня13"/>
    <s v="-"/>
    <s v="линейный_руководитель_1"/>
    <n v="7"/>
    <s v="да"/>
    <d v="2022-08-26T00:00:00"/>
    <d v="2022-09-11T00:00:00"/>
    <s v="из резерва (учитываем)"/>
    <n v="419"/>
    <s v="Ефремов Потап Романович"/>
    <n v="1506"/>
    <s v="Степанов Савелий Гераси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0"/>
    <x v="431"/>
    <n v="13"/>
    <s v="Подразделение13"/>
    <s v="подразделение_2_уровня13"/>
    <s v="-"/>
    <s v="линейный_руководитель_1"/>
    <n v="7"/>
    <s v="да"/>
    <d v="2022-08-26T00:00:00"/>
    <d v="2022-09-11T00:00:00"/>
    <s v="из резерва (учитываем)"/>
    <n v="419"/>
    <s v="Ефремов Потап Романович"/>
    <n v="419"/>
    <s v="Ефремов Потап Романович"/>
    <s v="Рабочий"/>
    <s v="Подразделение13"/>
    <x v="1"/>
    <x v="1"/>
    <n v="0"/>
    <n v="1"/>
    <s v="назначение на целевую должность"/>
    <d v="2022-09-11T00:00:00"/>
    <s v="не рассматривали"/>
    <s v="протокол-№-17.08.2021"/>
  </r>
  <r>
    <s v="Функциональное направление 6"/>
    <n v="4"/>
    <d v="2022-09-21T00:00:00"/>
    <n v="0"/>
    <s v="не защищена"/>
    <n v="500260"/>
    <x v="431"/>
    <n v="13"/>
    <s v="Подразделение13"/>
    <s v="подразделение_2_уровня13"/>
    <s v="-"/>
    <s v="линейный_руководитель_1"/>
    <n v="7"/>
    <s v="да"/>
    <d v="2022-08-26T00:00:00"/>
    <d v="2022-09-11T00:00:00"/>
    <s v="из резерва (учитываем)"/>
    <n v="419"/>
    <s v="Ефремов Потап Романович"/>
    <n v="418"/>
    <s v="Вобликов Петр Борисович"/>
    <s v="линейный_руководитель_2"/>
    <s v="Подразделение13"/>
    <x v="1"/>
    <x v="1"/>
    <n v="0"/>
    <n v="0"/>
    <s v="назначение на целевую должность"/>
    <d v="2022-11-05T00:00:00"/>
    <s v="не рассматривали"/>
    <s v="протокол-№-21.09.2022"/>
  </r>
  <r>
    <s v="Функциональное направление 6"/>
    <n v="4"/>
    <d v="2021-08-17T00:00:00"/>
    <n v="0"/>
    <s v="не защищена"/>
    <n v="500260"/>
    <x v="431"/>
    <n v="13"/>
    <s v="Подразделение13"/>
    <s v="подразделение_2_уровня13"/>
    <s v="-"/>
    <s v="линейный_руководитель_1"/>
    <n v="7"/>
    <s v="да"/>
    <d v="2022-08-26T00:00:00"/>
    <d v="2022-09-11T00:00:00"/>
    <s v="из резерва (учитываем)"/>
    <n v="419"/>
    <s v="Ефремов Потап Романович"/>
    <n v="1507"/>
    <s v="Ветров Виталий Герасимович"/>
    <s v="Рабочий"/>
    <s v="Подразделение13"/>
    <x v="2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1"/>
    <s v="не защищена"/>
    <n v="500260"/>
    <x v="432"/>
    <n v="13"/>
    <s v="Подразделение13"/>
    <s v="подразделение_2_уровня13"/>
    <s v="-"/>
    <s v="линейный_руководитель_1"/>
    <n v="7"/>
    <s v="нет"/>
    <m/>
    <m/>
    <m/>
    <n v="420"/>
    <s v="Поминов Валерий Тимофеевич"/>
    <n v="1505"/>
    <s v="Незнамов Афанасий Александр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0"/>
    <x v="432"/>
    <n v="13"/>
    <s v="Подразделение13"/>
    <s v="подразделение_2_уровня13"/>
    <s v="-"/>
    <s v="линейный_руководитель_1"/>
    <n v="7"/>
    <s v="нет"/>
    <m/>
    <m/>
    <m/>
    <n v="420"/>
    <s v="Поминов Валерий Тимофеевич"/>
    <n v="1506"/>
    <s v="Степанов Савелий Гераси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0"/>
    <x v="432"/>
    <n v="13"/>
    <s v="Подразделение13"/>
    <s v="подразделение_2_уровня13"/>
    <s v="-"/>
    <s v="линейный_руководитель_1"/>
    <n v="7"/>
    <s v="нет"/>
    <m/>
    <m/>
    <m/>
    <n v="420"/>
    <s v="Поминов Валерий Тимофеевич"/>
    <n v="419"/>
    <s v="Ефремов Потап Романович"/>
    <s v="Рабочий"/>
    <s v="Подразделение13"/>
    <x v="1"/>
    <x v="1"/>
    <n v="0"/>
    <n v="0"/>
    <s v="назначение на целевую должность"/>
    <d v="2022-09-11T00:00:00"/>
    <s v="не рассматривали"/>
    <s v="протокол-№-17.08.2021"/>
  </r>
  <r>
    <s v="Функциональное направление 6"/>
    <n v="4"/>
    <d v="2022-09-21T00:00:00"/>
    <n v="0"/>
    <s v="не защищена"/>
    <n v="500260"/>
    <x v="432"/>
    <n v="13"/>
    <s v="Подразделение13"/>
    <s v="подразделение_2_уровня13"/>
    <s v="-"/>
    <s v="линейный_руководитель_1"/>
    <n v="7"/>
    <s v="нет"/>
    <m/>
    <m/>
    <m/>
    <n v="420"/>
    <s v="Поминов Валерий Тимофеевич"/>
    <n v="418"/>
    <s v="Вобликов Петр Борисович"/>
    <s v="линейный_руководитель_2"/>
    <s v="Подразделение13"/>
    <x v="1"/>
    <x v="1"/>
    <n v="0"/>
    <n v="0"/>
    <s v="назначение на целевую должность"/>
    <d v="2022-11-05T00:00:00"/>
    <s v="не рассматривали"/>
    <s v="протокол-№-21.09.2022"/>
  </r>
  <r>
    <s v="Функциональное направление 6"/>
    <n v="4"/>
    <d v="2021-08-17T00:00:00"/>
    <n v="0"/>
    <s v="не защищена"/>
    <n v="500260"/>
    <x v="432"/>
    <n v="13"/>
    <s v="Подразделение13"/>
    <s v="подразделение_2_уровня13"/>
    <s v="-"/>
    <s v="линейный_руководитель_1"/>
    <n v="7"/>
    <s v="нет"/>
    <m/>
    <m/>
    <m/>
    <n v="420"/>
    <s v="Поминов Валерий Тимофеевич"/>
    <n v="1507"/>
    <s v="Ветров Виталий Герасимович"/>
    <s v="Рабочий"/>
    <s v="Подразделение13"/>
    <x v="2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1"/>
    <s v="не защищена"/>
    <n v="500261"/>
    <x v="433"/>
    <n v="13"/>
    <s v="Подразделение13"/>
    <s v="подразделение_2_уровня13"/>
    <s v="-"/>
    <s v="линейный_руководитель_2"/>
    <n v="7"/>
    <s v="да"/>
    <d v="2021-09-04T00:00:00"/>
    <d v="2022-09-01T00:00:00"/>
    <s v="внутр. сотр. (учитываем)"/>
    <n v="421"/>
    <s v="Баранкин Венедикт Михайлович"/>
    <n v="1505"/>
    <s v="Незнамов Афанасий Александро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61"/>
    <x v="433"/>
    <n v="13"/>
    <s v="Подразделение13"/>
    <s v="подразделение_2_уровня13"/>
    <s v="-"/>
    <s v="линейный_руководитель_2"/>
    <n v="7"/>
    <s v="да"/>
    <d v="2021-09-04T00:00:00"/>
    <d v="2022-09-01T00:00:00"/>
    <s v="внутр. сотр. (учитываем)"/>
    <n v="421"/>
    <s v="Баранкин Венедикт Михайлович"/>
    <n v="418"/>
    <s v="Вобликов Петр Борисович"/>
    <s v="линейный_руководитель_2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61"/>
    <x v="433"/>
    <n v="13"/>
    <s v="Подразделение13"/>
    <s v="подразделение_2_уровня13"/>
    <s v="-"/>
    <s v="линейный_руководитель_2"/>
    <n v="7"/>
    <s v="да"/>
    <d v="2021-09-04T00:00:00"/>
    <d v="2022-09-01T00:00:00"/>
    <s v="внутр. сотр. (учитываем)"/>
    <n v="421"/>
    <s v="Баранкин Венедикт Михайлович"/>
    <n v="1514"/>
    <s v="Дмитриев Виталий Геннадьевич"/>
    <s v="функциональный_руководитель_1"/>
    <s v="Подразделение13"/>
    <x v="1"/>
    <x v="2"/>
    <n v="0"/>
    <n v="0"/>
    <s v="назначение на равнозначную должность"/>
    <d v="2022-11-25T00:00:00"/>
    <s v="исключение"/>
    <s v="протокол-№-25.11.2022"/>
  </r>
  <r>
    <s v="Функциональное направление 6"/>
    <n v="3"/>
    <d v="2019-11-12T00:00:00"/>
    <n v="1"/>
    <s v="не защищена"/>
    <n v="500262"/>
    <x v="434"/>
    <n v="13"/>
    <s v="Подразделение13"/>
    <s v="подразделение_2_уровня13"/>
    <s v="-"/>
    <s v="руководитель_среднего_уровня_2"/>
    <n v="5"/>
    <s v="да"/>
    <d v="2019-03-11T00:00:00"/>
    <d v="2019-05-13T00:00:00"/>
    <s v="из резерва (учитываем)"/>
    <n v="422"/>
    <s v="Русланов Потап Иванович"/>
    <n v="427"/>
    <s v="Красных Венедикт Григорьевич"/>
    <s v="линейный_руководитель_2"/>
    <s v="Подразделение13"/>
    <x v="1"/>
    <x v="0"/>
    <n v="1"/>
    <n v="0"/>
    <m/>
    <m/>
    <s v="повышение"/>
    <s v="протокол-№-26.05.2022"/>
  </r>
  <r>
    <s v="Функциональное направление 6"/>
    <n v="3"/>
    <d v="2021-05-27T00:00:00"/>
    <n v="0"/>
    <s v="не защищена"/>
    <n v="500262"/>
    <x v="434"/>
    <n v="13"/>
    <s v="Подразделение13"/>
    <s v="подразделение_2_уровня13"/>
    <s v="-"/>
    <s v="руководитель_среднего_уровня_2"/>
    <n v="5"/>
    <s v="да"/>
    <d v="2019-03-11T00:00:00"/>
    <d v="2019-05-13T00:00:00"/>
    <s v="из резерва (учитываем)"/>
    <n v="422"/>
    <s v="Русланов Потап Иванович"/>
    <n v="1516"/>
    <s v="Игнатьев Арсений Александрович"/>
    <s v="функциональный_руководитель_1"/>
    <s v="Подразделение13"/>
    <x v="0"/>
    <x v="0"/>
    <n v="1"/>
    <n v="0"/>
    <m/>
    <m/>
    <s v="повышение"/>
    <s v="протокол-№-26.05.2022"/>
  </r>
  <r>
    <s v="Функциональное направление 6"/>
    <n v="3"/>
    <d v="2022-05-26T00:00:00"/>
    <n v="0"/>
    <s v="не защищена"/>
    <n v="500262"/>
    <x v="434"/>
    <n v="13"/>
    <s v="Подразделение13"/>
    <s v="подразделение_2_уровня13"/>
    <s v="-"/>
    <s v="руководитель_среднего_уровня_2"/>
    <n v="5"/>
    <s v="да"/>
    <d v="2019-03-11T00:00:00"/>
    <d v="2019-05-13T00:00:00"/>
    <s v="из резерва (учитываем)"/>
    <n v="422"/>
    <s v="Русланов Потап Иванович"/>
    <n v="1517"/>
    <s v="Брежнев Арсений Геннадьевич"/>
    <s v="Специалист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3"/>
    <d v="2018-11-21T00:00:00"/>
    <n v="0"/>
    <s v="не защищена"/>
    <n v="500262"/>
    <x v="434"/>
    <n v="13"/>
    <s v="Подразделение13"/>
    <s v="подразделение_2_уровня13"/>
    <s v="-"/>
    <s v="руководитель_среднего_уровня_2"/>
    <n v="5"/>
    <s v="да"/>
    <d v="2019-03-11T00:00:00"/>
    <d v="2019-05-13T00:00:00"/>
    <s v="из резерва (учитываем)"/>
    <n v="422"/>
    <s v="Русланов Потап Иванович"/>
    <n v="422"/>
    <s v="Русланов Потап Иванович"/>
    <s v="линейный_руководитель_2"/>
    <s v="Подразделение13"/>
    <x v="0"/>
    <x v="1"/>
    <n v="1"/>
    <n v="1"/>
    <s v="назначение на целевую должность"/>
    <d v="2019-03-11T00:00:00"/>
    <s v="не рассматривали"/>
    <s v="протокол-№-21.11.2018"/>
  </r>
  <r>
    <s v="Функциональное направление 6"/>
    <n v="3"/>
    <d v="2019-11-12T00:00:00"/>
    <n v="0"/>
    <s v="не защищена"/>
    <n v="500262"/>
    <x v="434"/>
    <n v="13"/>
    <s v="Подразделение13"/>
    <s v="подразделение_2_уровня13"/>
    <s v="-"/>
    <s v="руководитель_среднего_уровня_2"/>
    <n v="5"/>
    <s v="да"/>
    <d v="2019-03-11T00:00:00"/>
    <d v="2019-05-13T00:00:00"/>
    <s v="из резерва (учитываем)"/>
    <n v="422"/>
    <s v="Русланов Потап Иванович"/>
    <n v="1368"/>
    <s v="Коростелев Савелий Герасимович"/>
    <s v="функциональный_руководитель_1"/>
    <s v="Подразделение13"/>
    <x v="2"/>
    <x v="2"/>
    <n v="1"/>
    <n v="0"/>
    <s v="самоотвод"/>
    <d v="2021-05-27T00:00:00"/>
    <s v="без изменений"/>
    <s v="протокол-№-16.06.2020"/>
  </r>
  <r>
    <s v="Функциональное направление 6"/>
    <n v="4"/>
    <d v="2021-08-17T00:00:00"/>
    <n v="1"/>
    <s v="не защищена"/>
    <n v="500263"/>
    <x v="435"/>
    <n v="13"/>
    <s v="Подразделение13"/>
    <s v="подразделение_2_уровня13"/>
    <s v="-"/>
    <s v="линейный_руководитель_1"/>
    <n v="7"/>
    <s v="нет"/>
    <m/>
    <m/>
    <m/>
    <n v="423"/>
    <s v="Аксенов Степан Юрьевич"/>
    <n v="1518"/>
    <s v="Коростелев Геннадий Ефрем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3"/>
    <x v="435"/>
    <n v="13"/>
    <s v="Подразделение13"/>
    <s v="подразделение_2_уровня13"/>
    <s v="-"/>
    <s v="линейный_руководитель_1"/>
    <n v="7"/>
    <s v="нет"/>
    <m/>
    <m/>
    <m/>
    <n v="423"/>
    <s v="Аксенов Степан Юрьевич"/>
    <n v="1519"/>
    <s v="Игнатьев Юрий Герасим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3"/>
    <x v="435"/>
    <n v="13"/>
    <s v="Подразделение13"/>
    <s v="подразделение_2_уровня13"/>
    <s v="-"/>
    <s v="линейный_руководитель_1"/>
    <n v="7"/>
    <s v="нет"/>
    <m/>
    <m/>
    <m/>
    <n v="423"/>
    <s v="Аксенов Степан Юрьевич"/>
    <n v="1520"/>
    <s v="Дорофеев Афанасий Геннадье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63"/>
    <x v="436"/>
    <n v="13"/>
    <s v="Подразделение13"/>
    <s v="подразделение_2_уровня13"/>
    <s v="-"/>
    <s v="линейный_руководитель_1"/>
    <n v="7"/>
    <s v="нет"/>
    <m/>
    <m/>
    <m/>
    <n v="424"/>
    <s v="Зверев Тихон Максимович"/>
    <n v="1518"/>
    <s v="Коростелев Геннадий Ефре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3"/>
    <x v="436"/>
    <n v="13"/>
    <s v="Подразделение13"/>
    <s v="подразделение_2_уровня13"/>
    <s v="-"/>
    <s v="линейный_руководитель_1"/>
    <n v="7"/>
    <s v="нет"/>
    <m/>
    <m/>
    <m/>
    <n v="424"/>
    <s v="Зверев Тихон Максимович"/>
    <n v="1519"/>
    <s v="Игнатьев Юрий Гераси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3"/>
    <x v="436"/>
    <n v="13"/>
    <s v="Подразделение13"/>
    <s v="подразделение_2_уровня13"/>
    <s v="-"/>
    <s v="линейный_руководитель_1"/>
    <n v="7"/>
    <s v="нет"/>
    <m/>
    <m/>
    <m/>
    <n v="424"/>
    <s v="Зверев Тихон Максимович"/>
    <n v="1520"/>
    <s v="Дорофеев Афанасий Геннадье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63"/>
    <x v="437"/>
    <n v="13"/>
    <s v="Подразделение13"/>
    <s v="подразделение_2_уровня13"/>
    <s v="-"/>
    <s v="линейный_руководитель_1"/>
    <n v="7"/>
    <s v="нет"/>
    <m/>
    <m/>
    <m/>
    <n v="425"/>
    <s v="Романов Степан Кондратьевич"/>
    <n v="1518"/>
    <s v="Коростелев Геннадий Ефре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3"/>
    <x v="437"/>
    <n v="13"/>
    <s v="Подразделение13"/>
    <s v="подразделение_2_уровня13"/>
    <s v="-"/>
    <s v="линейный_руководитель_1"/>
    <n v="7"/>
    <s v="нет"/>
    <m/>
    <m/>
    <m/>
    <n v="425"/>
    <s v="Романов Степан Кондратьевич"/>
    <n v="1519"/>
    <s v="Игнатьев Юрий Гераси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3"/>
    <x v="437"/>
    <n v="13"/>
    <s v="Подразделение13"/>
    <s v="подразделение_2_уровня13"/>
    <s v="-"/>
    <s v="линейный_руководитель_1"/>
    <n v="7"/>
    <s v="нет"/>
    <m/>
    <m/>
    <m/>
    <n v="425"/>
    <s v="Романов Степан Кондратьевич"/>
    <n v="1520"/>
    <s v="Дорофеев Афанасий Геннадье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63"/>
    <x v="438"/>
    <n v="13"/>
    <s v="Подразделение13"/>
    <s v="подразделение_2_уровня13"/>
    <s v="-"/>
    <s v="линейный_руководитель_1"/>
    <n v="7"/>
    <s v="нет"/>
    <m/>
    <m/>
    <m/>
    <n v="426"/>
    <s v="Русланов Григорий Егорович"/>
    <n v="1518"/>
    <s v="Коростелев Геннадий Ефре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3"/>
    <x v="438"/>
    <n v="13"/>
    <s v="Подразделение13"/>
    <s v="подразделение_2_уровня13"/>
    <s v="-"/>
    <s v="линейный_руководитель_1"/>
    <n v="7"/>
    <s v="нет"/>
    <m/>
    <m/>
    <m/>
    <n v="426"/>
    <s v="Русланов Григорий Егорович"/>
    <n v="1519"/>
    <s v="Игнатьев Юрий Герасим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3"/>
    <x v="438"/>
    <n v="13"/>
    <s v="Подразделение13"/>
    <s v="подразделение_2_уровня13"/>
    <s v="-"/>
    <s v="линейный_руководитель_1"/>
    <n v="7"/>
    <s v="нет"/>
    <m/>
    <m/>
    <m/>
    <n v="426"/>
    <s v="Русланов Григорий Егорович"/>
    <n v="1520"/>
    <s v="Дорофеев Афанасий Геннадье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64"/>
    <x v="439"/>
    <n v="13"/>
    <s v="Подразделение13"/>
    <s v="подразделение_2_уровня13"/>
    <s v="-"/>
    <s v="линейный_руководитель_2"/>
    <n v="7"/>
    <s v="нет"/>
    <m/>
    <m/>
    <m/>
    <n v="427"/>
    <s v="Красных Венедикт Григорьевич"/>
    <n v="1517"/>
    <s v="Брежнев Арсений Геннадьевич"/>
    <s v="Специалист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3"/>
    <d v="2018-11-21T00:00:00"/>
    <n v="1"/>
    <s v="не защищена"/>
    <n v="500265"/>
    <x v="440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3-05-01T00:00:00"/>
    <s v="из резерва (учитываем)"/>
    <n v="428"/>
    <s v="Волков Константин Денисович"/>
    <n v="1521"/>
    <s v="Потапов Афанасий Александрович"/>
    <s v="Специалист"/>
    <s v="Подразделение13"/>
    <x v="2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265"/>
    <x v="440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3-05-01T00:00:00"/>
    <s v="из резерва (учитываем)"/>
    <n v="428"/>
    <s v="Волков Константин Денисович"/>
    <n v="1522"/>
    <s v="Коростелев Кирилл Никитинич"/>
    <s v="функциональный_руководитель_2"/>
    <s v="Подразделение219"/>
    <x v="1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265"/>
    <x v="440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3-05-01T00:00:00"/>
    <s v="из резерва (учитываем)"/>
    <n v="428"/>
    <s v="Волков Константин Денисович"/>
    <n v="428"/>
    <s v="Волков Константин Денисович"/>
    <s v="линейный_руководитель_2"/>
    <s v="Подразделение13"/>
    <x v="1"/>
    <x v="1"/>
    <n v="1"/>
    <n v="1"/>
    <s v="назначение на целевую должность"/>
    <d v="2023-05-01T00:00:00"/>
    <s v="без изменений"/>
    <s v="протокол-№-26.05.2022"/>
  </r>
  <r>
    <s v="Функциональное направление 6"/>
    <n v="3"/>
    <d v="2022-05-26T00:00:00"/>
    <n v="0"/>
    <s v="не защищена"/>
    <n v="500265"/>
    <x v="440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3-05-01T00:00:00"/>
    <s v="из резерва (учитываем)"/>
    <n v="428"/>
    <s v="Волков Константин Денисович"/>
    <n v="431"/>
    <s v="Аксенов Потап Александрович"/>
    <s v="линейный_руководитель_2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3"/>
    <d v="2022-05-26T00:00:00"/>
    <n v="0"/>
    <s v="не защищена"/>
    <n v="500265"/>
    <x v="440"/>
    <n v="13"/>
    <s v="Подразделение13"/>
    <s v="подразделение_2_уровня13"/>
    <s v="-"/>
    <s v="руководитель_среднего_уровня_2"/>
    <n v="5"/>
    <s v="да"/>
    <d v="2022-12-31T00:00:00"/>
    <d v="2023-05-01T00:00:00"/>
    <s v="из резерва (учитываем)"/>
    <n v="428"/>
    <s v="Волков Константин Денисович"/>
    <n v="429"/>
    <s v="Бураков Алексей Юрьевич"/>
    <s v="линейный_руководитель_2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4"/>
    <d v="2021-08-17T00:00:00"/>
    <n v="1"/>
    <s v="не защищена"/>
    <n v="500266"/>
    <x v="441"/>
    <n v="13"/>
    <s v="Подразделение13"/>
    <s v="подразделение_2_уровня13"/>
    <s v="-"/>
    <s v="линейный_руководитель_1"/>
    <n v="7"/>
    <s v="да"/>
    <d v="2023-06-09T00:00:00"/>
    <m/>
    <m/>
    <s v="вакансия"/>
    <s v="вакансия"/>
    <n v="1523"/>
    <s v="Брежнев Константин Геннадье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6"/>
    <x v="441"/>
    <n v="13"/>
    <s v="Подразделение13"/>
    <s v="подразделение_2_уровня13"/>
    <s v="-"/>
    <s v="линейный_руководитель_1"/>
    <n v="7"/>
    <s v="да"/>
    <d v="2023-06-09T00:00:00"/>
    <m/>
    <m/>
    <s v="вакансия"/>
    <s v="вакансия"/>
    <n v="1524"/>
    <s v="Дорофеев Афанас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66"/>
    <x v="441"/>
    <n v="13"/>
    <s v="Подразделение13"/>
    <s v="подразделение_2_уровня13"/>
    <s v="-"/>
    <s v="линейный_руководитель_1"/>
    <n v="7"/>
    <s v="да"/>
    <d v="2023-06-09T00:00:00"/>
    <m/>
    <m/>
    <s v="вакансия"/>
    <s v="вакансия"/>
    <n v="1508"/>
    <s v="Коровкин Савелий Александрович"/>
    <s v="Рабочий"/>
    <s v="Подразделение13"/>
    <x v="1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66"/>
    <x v="441"/>
    <n v="13"/>
    <s v="Подразделение13"/>
    <s v="подразделение_2_уровня13"/>
    <s v="-"/>
    <s v="линейный_руководитель_1"/>
    <n v="7"/>
    <s v="да"/>
    <d v="2023-06-09T00:00:00"/>
    <m/>
    <m/>
    <s v="вакансия"/>
    <s v="вакансия"/>
    <n v="1525"/>
    <s v="Степанов Роман Геннадье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66"/>
    <x v="441"/>
    <n v="13"/>
    <s v="Подразделение13"/>
    <s v="подразделение_2_уровня13"/>
    <s v="-"/>
    <s v="линейный_руководитель_1"/>
    <n v="7"/>
    <s v="да"/>
    <d v="2023-06-09T00:00:00"/>
    <m/>
    <m/>
    <s v="вакансия"/>
    <s v="вакансия"/>
    <n v="429"/>
    <s v="Бураков Алексей Юрьевич"/>
    <s v="линейный_руководитель_2"/>
    <s v="Подразделение13"/>
    <x v="1"/>
    <x v="1"/>
    <n v="1"/>
    <n v="0"/>
    <s v="назначение на целевую должность"/>
    <d v="2021-12-08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6"/>
    <x v="441"/>
    <n v="13"/>
    <s v="Подразделение13"/>
    <s v="подразделение_2_уровня13"/>
    <s v="-"/>
    <s v="линейный_руководитель_1"/>
    <n v="7"/>
    <s v="да"/>
    <d v="2023-06-09T00:00:00"/>
    <m/>
    <m/>
    <s v="вакансия"/>
    <s v="вакансия"/>
    <n v="1526"/>
    <s v="Дмитриев Юрий Михайлович"/>
    <s v="Рабочий"/>
    <s v="Подразделение13"/>
    <x v="0"/>
    <x v="2"/>
    <n v="1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66"/>
    <x v="442"/>
    <n v="13"/>
    <s v="Подразделение13"/>
    <s v="подразделение_2_уровня13"/>
    <s v="-"/>
    <s v="линейный_руководитель_1"/>
    <n v="7"/>
    <s v="да"/>
    <d v="2021-07-12T00:00:00"/>
    <d v="2021-12-08T00:00:00"/>
    <s v="из резерва (учитываем)"/>
    <n v="429"/>
    <s v="Бураков Алексей Юрьевич"/>
    <n v="1523"/>
    <s v="Брежнев Константин Геннад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6"/>
    <x v="442"/>
    <n v="13"/>
    <s v="Подразделение13"/>
    <s v="подразделение_2_уровня13"/>
    <s v="-"/>
    <s v="линейный_руководитель_1"/>
    <n v="7"/>
    <s v="да"/>
    <d v="2021-07-12T00:00:00"/>
    <d v="2021-12-08T00:00:00"/>
    <s v="из резерва (учитываем)"/>
    <n v="429"/>
    <s v="Бураков Алексей Юрьевич"/>
    <n v="1524"/>
    <s v="Дорофеев Афанас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66"/>
    <x v="442"/>
    <n v="13"/>
    <s v="Подразделение13"/>
    <s v="подразделение_2_уровня13"/>
    <s v="-"/>
    <s v="линейный_руководитель_1"/>
    <n v="7"/>
    <s v="да"/>
    <d v="2021-07-12T00:00:00"/>
    <d v="2021-12-08T00:00:00"/>
    <s v="из резерва (учитываем)"/>
    <n v="429"/>
    <s v="Бураков Алексей Юрьевич"/>
    <n v="1508"/>
    <s v="Коровкин Савелий Александро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66"/>
    <x v="442"/>
    <n v="13"/>
    <s v="Подразделение13"/>
    <s v="подразделение_2_уровня13"/>
    <s v="-"/>
    <s v="линейный_руководитель_1"/>
    <n v="7"/>
    <s v="да"/>
    <d v="2021-07-12T00:00:00"/>
    <d v="2021-12-08T00:00:00"/>
    <s v="из резерва (учитываем)"/>
    <n v="429"/>
    <s v="Бураков Алексей Юрьевич"/>
    <n v="1525"/>
    <s v="Степанов Роман Геннад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66"/>
    <x v="442"/>
    <n v="13"/>
    <s v="Подразделение13"/>
    <s v="подразделение_2_уровня13"/>
    <s v="-"/>
    <s v="линейный_руководитель_1"/>
    <n v="7"/>
    <s v="да"/>
    <d v="2021-07-12T00:00:00"/>
    <d v="2021-12-08T00:00:00"/>
    <s v="из резерва (учитываем)"/>
    <n v="429"/>
    <s v="Бураков Алексей Юрьевич"/>
    <n v="429"/>
    <s v="Бураков Алексей Юрьевич"/>
    <s v="линейный_руководитель_2"/>
    <s v="Подразделение13"/>
    <x v="1"/>
    <x v="1"/>
    <n v="0"/>
    <n v="1"/>
    <s v="назначение на целевую должность"/>
    <d v="2021-12-08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6"/>
    <x v="442"/>
    <n v="13"/>
    <s v="Подразделение13"/>
    <s v="подразделение_2_уровня13"/>
    <s v="-"/>
    <s v="линейный_руководитель_1"/>
    <n v="7"/>
    <s v="да"/>
    <d v="2021-07-12T00:00:00"/>
    <d v="2021-12-08T00:00:00"/>
    <s v="из резерва (учитываем)"/>
    <n v="429"/>
    <s v="Бураков Алексей Юрьевич"/>
    <n v="1526"/>
    <s v="Дмитриев Юрий Михайло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66"/>
    <x v="443"/>
    <n v="13"/>
    <s v="Подразделение13"/>
    <s v="подразделение_2_уровня13"/>
    <s v="-"/>
    <s v="линейный_руководитель_1"/>
    <n v="7"/>
    <s v="нет"/>
    <m/>
    <m/>
    <m/>
    <n v="430"/>
    <s v="Баранкин Федот Владиславович"/>
    <n v="1523"/>
    <s v="Брежнев Константин Геннад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6"/>
    <x v="443"/>
    <n v="13"/>
    <s v="Подразделение13"/>
    <s v="подразделение_2_уровня13"/>
    <s v="-"/>
    <s v="линейный_руководитель_1"/>
    <n v="7"/>
    <s v="нет"/>
    <m/>
    <m/>
    <m/>
    <n v="430"/>
    <s v="Баранкин Федот Владиславович"/>
    <n v="1524"/>
    <s v="Дорофеев Афанас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66"/>
    <x v="443"/>
    <n v="13"/>
    <s v="Подразделение13"/>
    <s v="подразделение_2_уровня13"/>
    <s v="-"/>
    <s v="линейный_руководитель_1"/>
    <n v="7"/>
    <s v="нет"/>
    <m/>
    <m/>
    <m/>
    <n v="430"/>
    <s v="Баранкин Федот Владиславович"/>
    <n v="1508"/>
    <s v="Коровкин Савелий Александро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66"/>
    <x v="443"/>
    <n v="13"/>
    <s v="Подразделение13"/>
    <s v="подразделение_2_уровня13"/>
    <s v="-"/>
    <s v="линейный_руководитель_1"/>
    <n v="7"/>
    <s v="нет"/>
    <m/>
    <m/>
    <m/>
    <n v="430"/>
    <s v="Баранкин Федот Владиславович"/>
    <n v="1525"/>
    <s v="Степанов Роман Геннад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66"/>
    <x v="443"/>
    <n v="13"/>
    <s v="Подразделение13"/>
    <s v="подразделение_2_уровня13"/>
    <s v="-"/>
    <s v="линейный_руководитель_1"/>
    <n v="7"/>
    <s v="нет"/>
    <m/>
    <m/>
    <m/>
    <n v="430"/>
    <s v="Баранкин Федот Владиславович"/>
    <n v="429"/>
    <s v="Бураков Алексей Юрьевич"/>
    <s v="линейный_руководитель_2"/>
    <s v="Подразделение13"/>
    <x v="1"/>
    <x v="1"/>
    <n v="0"/>
    <n v="0"/>
    <s v="назначение на целевую должность"/>
    <d v="2021-12-08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6"/>
    <x v="443"/>
    <n v="13"/>
    <s v="Подразделение13"/>
    <s v="подразделение_2_уровня13"/>
    <s v="-"/>
    <s v="линейный_руководитель_1"/>
    <n v="7"/>
    <s v="нет"/>
    <m/>
    <m/>
    <m/>
    <n v="430"/>
    <s v="Баранкин Федот Владиславович"/>
    <n v="1526"/>
    <s v="Дмитриев Юрий Михайло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66"/>
    <x v="444"/>
    <n v="13"/>
    <s v="Подразделение13"/>
    <s v="подразделение_2_уровня13"/>
    <s v="-"/>
    <s v="линейный_руководитель_1"/>
    <n v="7"/>
    <s v="да"/>
    <d v="2022-12-31T00:00:00"/>
    <m/>
    <m/>
    <s v="вакансия"/>
    <s v="вакансия"/>
    <n v="1523"/>
    <s v="Брежнев Константин Геннад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6"/>
    <x v="444"/>
    <n v="13"/>
    <s v="Подразделение13"/>
    <s v="подразделение_2_уровня13"/>
    <s v="-"/>
    <s v="линейный_руководитель_1"/>
    <n v="7"/>
    <s v="да"/>
    <d v="2022-12-31T00:00:00"/>
    <m/>
    <m/>
    <s v="вакансия"/>
    <s v="вакансия"/>
    <n v="1524"/>
    <s v="Дорофеев Афанас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66"/>
    <x v="444"/>
    <n v="13"/>
    <s v="Подразделение13"/>
    <s v="подразделение_2_уровня13"/>
    <s v="-"/>
    <s v="линейный_руководитель_1"/>
    <n v="7"/>
    <s v="да"/>
    <d v="2022-12-31T00:00:00"/>
    <m/>
    <m/>
    <s v="вакансия"/>
    <s v="вакансия"/>
    <n v="1508"/>
    <s v="Коровкин Савелий Александрович"/>
    <s v="Рабочий"/>
    <s v="Подразделение13"/>
    <x v="1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66"/>
    <x v="444"/>
    <n v="13"/>
    <s v="Подразделение13"/>
    <s v="подразделение_2_уровня13"/>
    <s v="-"/>
    <s v="линейный_руководитель_1"/>
    <n v="7"/>
    <s v="да"/>
    <d v="2022-12-31T00:00:00"/>
    <m/>
    <m/>
    <s v="вакансия"/>
    <s v="вакансия"/>
    <n v="1525"/>
    <s v="Степанов Роман Геннад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66"/>
    <x v="444"/>
    <n v="13"/>
    <s v="Подразделение13"/>
    <s v="подразделение_2_уровня13"/>
    <s v="-"/>
    <s v="линейный_руководитель_1"/>
    <n v="7"/>
    <s v="да"/>
    <d v="2022-12-31T00:00:00"/>
    <m/>
    <m/>
    <s v="вакансия"/>
    <s v="вакансия"/>
    <n v="429"/>
    <s v="Бураков Алексей Юрьевич"/>
    <s v="линейный_руководитель_2"/>
    <s v="Подразделение13"/>
    <x v="1"/>
    <x v="1"/>
    <n v="0"/>
    <n v="0"/>
    <s v="назначение на целевую должность"/>
    <d v="2021-12-08T00:00:00"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66"/>
    <x v="444"/>
    <n v="13"/>
    <s v="Подразделение13"/>
    <s v="подразделение_2_уровня13"/>
    <s v="-"/>
    <s v="линейный_руководитель_1"/>
    <n v="7"/>
    <s v="да"/>
    <d v="2022-12-31T00:00:00"/>
    <m/>
    <m/>
    <s v="вакансия"/>
    <s v="вакансия"/>
    <n v="1526"/>
    <s v="Дмитриев Юрий Михайло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67"/>
    <x v="445"/>
    <n v="13"/>
    <s v="Подразделение13"/>
    <s v="подразделение_2_уровня13"/>
    <s v="-"/>
    <s v="линейный_руководитель_2"/>
    <n v="7"/>
    <s v="да"/>
    <d v="2023-05-01T00:00:00"/>
    <d v="2023-06-09T00:00:00"/>
    <s v="внутр. сотр. из списка КР (учитываем)"/>
    <n v="431"/>
    <s v="Аксенов Потап Александрович"/>
    <n v="429"/>
    <s v="Бураков Алексей Юрьевич"/>
    <s v="линейный_руководитель_2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1"/>
    <s v="не защищена"/>
    <n v="500268"/>
    <x v="446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2"/>
    <s v="Поминов Константин Юрьевич"/>
    <n v="1508"/>
    <s v="Коровкин Савелий Александрович"/>
    <s v="Рабочий"/>
    <s v="Подразделение13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68"/>
    <x v="446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2"/>
    <s v="Поминов Константин Юрьевич"/>
    <n v="406"/>
    <s v="Поминов Венедикт Тимофеевич"/>
    <s v="Рабочий"/>
    <s v="Подразделение13"/>
    <x v="1"/>
    <x v="2"/>
    <n v="0"/>
    <n v="0"/>
    <s v="назначение на равнозначную должность"/>
    <d v="2022-11-25T00:00:00"/>
    <s v="исключение"/>
    <s v="протокол-№-25.11.2022"/>
  </r>
  <r>
    <s v="Функциональное направление 6"/>
    <n v="3"/>
    <d v="2019-11-12T00:00:00"/>
    <n v="1"/>
    <s v="не защищена"/>
    <n v="500270"/>
    <x v="447"/>
    <n v="13"/>
    <s v="Подразделение13"/>
    <s v="подразделение_2_уровня13"/>
    <s v="-"/>
    <s v="руководитель_среднего_уровня_2"/>
    <n v="5"/>
    <s v="да"/>
    <d v="2019-03-05T00:00:00"/>
    <d v="2019-03-05T00:00:00"/>
    <s v="из резерва (учитываем)"/>
    <n v="433"/>
    <s v="Романов Федот Владимирович"/>
    <n v="439"/>
    <s v="Журавлев Григорий Иванович"/>
    <s v="линейный_руководитель_2"/>
    <s v="Подразделение13"/>
    <x v="2"/>
    <x v="0"/>
    <n v="1"/>
    <n v="0"/>
    <m/>
    <m/>
    <s v="без изменений"/>
    <s v="протокол-№-26.05.2022"/>
  </r>
  <r>
    <s v="Функциональное направление 6"/>
    <n v="3"/>
    <d v="2019-11-12T00:00:00"/>
    <n v="0"/>
    <s v="не защищена"/>
    <n v="500270"/>
    <x v="447"/>
    <n v="13"/>
    <s v="Подразделение13"/>
    <s v="подразделение_2_уровня13"/>
    <s v="-"/>
    <s v="руководитель_среднего_уровня_2"/>
    <n v="5"/>
    <s v="да"/>
    <d v="2019-03-05T00:00:00"/>
    <d v="2019-03-05T00:00:00"/>
    <s v="из резерва (учитываем)"/>
    <n v="433"/>
    <s v="Романов Федот Владимирович"/>
    <n v="445"/>
    <s v="Поминов Григорий Михайлович"/>
    <s v="линейный_руководитель_2"/>
    <s v="Подразделение13"/>
    <x v="0"/>
    <x v="0"/>
    <n v="1"/>
    <n v="0"/>
    <m/>
    <m/>
    <s v="повышение"/>
    <s v="протокол-№-26.05.2022"/>
  </r>
  <r>
    <s v="Функциональное направление 6"/>
    <n v="3"/>
    <d v="2022-05-26T00:00:00"/>
    <n v="0"/>
    <s v="не защищена"/>
    <n v="500270"/>
    <x v="447"/>
    <n v="13"/>
    <s v="Подразделение13"/>
    <s v="подразделение_2_уровня13"/>
    <s v="-"/>
    <s v="руководитель_среднего_уровня_2"/>
    <n v="5"/>
    <s v="да"/>
    <d v="2019-03-05T00:00:00"/>
    <d v="2019-03-05T00:00:00"/>
    <s v="из резерва (учитываем)"/>
    <n v="433"/>
    <s v="Романов Федот Владимирович"/>
    <n v="436"/>
    <s v="Конеев Венедикт Денисович"/>
    <s v="линейный_руководитель_2"/>
    <s v="Подразделение13"/>
    <x v="2"/>
    <x v="0"/>
    <n v="1"/>
    <n v="0"/>
    <m/>
    <m/>
    <s v="не рассматривали"/>
    <s v="протокол-№-26.05.2022"/>
  </r>
  <r>
    <s v="Функциональное направление 6"/>
    <n v="3"/>
    <d v="2018-11-21T00:00:00"/>
    <n v="0"/>
    <s v="не защищена"/>
    <n v="500270"/>
    <x v="447"/>
    <n v="13"/>
    <s v="Подразделение13"/>
    <s v="подразделение_2_уровня13"/>
    <s v="-"/>
    <s v="руководитель_среднего_уровня_2"/>
    <n v="5"/>
    <s v="да"/>
    <d v="2019-03-05T00:00:00"/>
    <d v="2019-03-05T00:00:00"/>
    <s v="из резерва (учитываем)"/>
    <n v="433"/>
    <s v="Романов Федот Владимирович"/>
    <n v="433"/>
    <s v="Романов Федот Владимирович"/>
    <s v="линейный_руководитель_2"/>
    <s v="Подразделение13"/>
    <x v="0"/>
    <x v="1"/>
    <n v="1"/>
    <n v="1"/>
    <s v="назначение на целевую должность"/>
    <d v="2019-03-05T00:00:00"/>
    <s v="не рассматривали"/>
    <s v="протокол-№-21.11.2018"/>
  </r>
  <r>
    <s v="Функциональное направление 6"/>
    <n v="4"/>
    <d v="2021-08-17T00:00:00"/>
    <n v="1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27"/>
    <s v="Коростелев Савелий Геннадье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28"/>
    <s v="Дмитриев Геннадий Ефремо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29"/>
    <s v="Ветров Геннадий Семен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30"/>
    <s v="Незнамов Афанасий Кондратье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32"/>
    <s v="Ветров Иван Александро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33"/>
    <s v="Незнамов Кирилл Михайло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34"/>
    <s v="Степанов Матвей Богдано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36"/>
    <s v="Игнатьев Виталий Кондратье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37"/>
    <s v="Игнатьев Виталий Александрович"/>
    <s v="Рабочий"/>
    <s v="Подразделение13"/>
    <x v="1"/>
    <x v="2"/>
    <n v="1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1"/>
    <x v="44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34"/>
    <s v="Аксенов Потап Романович"/>
    <n v="1538"/>
    <s v="Степанов Афанасий Кондратьевич"/>
    <s v="Рабочий"/>
    <s v="Подразделение13"/>
    <x v="0"/>
    <x v="2"/>
    <n v="1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2"/>
    <x v="44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5"/>
    <s v="Волков Николай Борисович"/>
    <n v="1537"/>
    <s v="Игнатьев Виталий Александро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4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5"/>
    <s v="Волков Николай Борисович"/>
    <n v="1527"/>
    <s v="Коростелев Савелий Геннадье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4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5"/>
    <s v="Волков Николай Борисович"/>
    <n v="1528"/>
    <s v="Дмитриев Геннадий Ефремо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4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5"/>
    <s v="Волков Николай Борисович"/>
    <n v="1529"/>
    <s v="Ветров Геннадий Семенович"/>
    <s v="Рабочий"/>
    <s v="Подразделение13"/>
    <x v="0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4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5"/>
    <s v="Волков Николай Борисович"/>
    <n v="1530"/>
    <s v="Незнамов Афанасий Кондратьевич"/>
    <s v="Рабочий"/>
    <s v="Подразделение13"/>
    <x v="2"/>
    <x v="0"/>
    <n v="1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4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5"/>
    <s v="Волков Николай Борис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49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5"/>
    <s v="Волков Николай Борисович"/>
    <n v="1538"/>
    <s v="Степанов Афанасий Кондратьевич"/>
    <s v="Рабочий"/>
    <s v="Подразделение13"/>
    <x v="0"/>
    <x v="2"/>
    <n v="1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2"/>
    <x v="450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6"/>
    <s v="Конеев Венедикт Денисович"/>
    <n v="1537"/>
    <s v="Игнатьев Виталий Александро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50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6"/>
    <s v="Конеев Венедикт Денис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50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6"/>
    <s v="Конеев Венедикт Денис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50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6"/>
    <s v="Конеев Венедикт Денис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50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6"/>
    <s v="Конеев Венедикт Денис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50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6"/>
    <s v="Конеев Венедикт Денис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2"/>
    <x v="450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6"/>
    <s v="Конеев Венедикт Денис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32"/>
    <s v="Ветров Иван Александро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33"/>
    <s v="Незнамов Кирилл Михайло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34"/>
    <s v="Степанов Матвей Богдано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35"/>
    <s v="Кириллов Виталий Герасимо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36"/>
    <s v="Игнатьев Виталий Кондратье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3"/>
    <x v="451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7"/>
    <s v="Пальчиков Александр Федот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3"/>
    <x v="45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8"/>
    <s v="Цветков Тихон Денис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3"/>
    <x v="45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39"/>
    <s v="Журавлев Григорий Иван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3"/>
    <x v="45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0"/>
    <s v="Поминов Тихон Роман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4"/>
    <x v="455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1"/>
    <s v="Баранкин Геннадий Константин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4"/>
    <x v="45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2"/>
    <s v="Вобликов Николай Борис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4"/>
    <x v="45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3"/>
    <s v="Михайлов Николай Лавр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5"/>
    <x v="458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4"/>
    <s v="Волков Тихон Денисович"/>
    <n v="1539"/>
    <s v="Тимофеев Виталий Геннадьевич"/>
    <s v="Рабочий"/>
    <s v="Подразделение13"/>
    <x v="1"/>
    <x v="0"/>
    <n v="1"/>
    <n v="0"/>
    <m/>
    <m/>
    <s v="не рассматривали"/>
    <s v="протокол-№-17.08.2021"/>
  </r>
  <r>
    <s v="Функциональное направление 6"/>
    <n v="4"/>
    <d v="2022-11-25T00:00:00"/>
    <n v="1"/>
    <s v="не защищена"/>
    <n v="500276"/>
    <x v="459"/>
    <n v="13"/>
    <s v="Подразделение13"/>
    <s v="подразделение_2_уровня13"/>
    <s v="подразделение_3_уровня13"/>
    <s v="линейный_руководитель_2"/>
    <n v="7"/>
    <s v="да"/>
    <d v="2023-06-01T00:00:00"/>
    <m/>
    <m/>
    <s v="вакансия"/>
    <s v="вакансия"/>
    <n v="1540"/>
    <s v="Ветров Афанасий Михайлович"/>
    <s v="Рабочий"/>
    <s v="Подразделение13"/>
    <x v="2"/>
    <x v="0"/>
    <n v="1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6"/>
    <x v="459"/>
    <n v="13"/>
    <s v="Подразделение13"/>
    <s v="подразделение_2_уровня13"/>
    <s v="подразделение_3_уровня13"/>
    <s v="линейный_руководитель_2"/>
    <n v="7"/>
    <s v="да"/>
    <d v="2023-06-01T00:00:00"/>
    <m/>
    <m/>
    <s v="вакансия"/>
    <s v="вакансия"/>
    <n v="1541"/>
    <s v="Исаев Савелий Геннадьевич"/>
    <s v="Рабочий"/>
    <s v="Подразделение13"/>
    <x v="2"/>
    <x v="2"/>
    <n v="1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7"/>
    <x v="460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5"/>
    <s v="Поминов Григорий Михайл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8"/>
    <x v="461"/>
    <n v="13"/>
    <s v="Подразделение13"/>
    <s v="подразделение_2_уровня13"/>
    <s v="подразделение_3_уровня13"/>
    <s v="линейный_руководитель_2"/>
    <n v="7"/>
    <s v="нет"/>
    <m/>
    <m/>
    <m/>
    <n v="446"/>
    <s v="Бураков Тихон Владислав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9"/>
    <x v="462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7"/>
    <s v="Волков Григорий Иван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9"/>
    <x v="463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8"/>
    <s v="Русланов Еремей Анатолье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9"/>
    <x v="464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49"/>
    <s v="Волков Тихон Борис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2"/>
    <d v="2017-12-11T00:00:00"/>
    <n v="1"/>
    <s v="не защищена"/>
    <n v="500551"/>
    <x v="465"/>
    <n v="219"/>
    <s v="Подразделение219"/>
    <s v="подразделение_2_уровня219"/>
    <s v="-"/>
    <s v="ТОП_руководитель_1"/>
    <n v="3"/>
    <s v="да"/>
    <d v="2019-05-01T00:00:00"/>
    <d v="2019-05-01T00:00:00"/>
    <s v="из резерва (учитываем)"/>
    <n v="450"/>
    <s v="Волков Константин Максимович"/>
    <n v="293"/>
    <s v="Волков Матвей Кондратьевич"/>
    <s v="ТОП_руководитель_2"/>
    <s v="Подразделение15"/>
    <x v="1"/>
    <x v="0"/>
    <n v="1"/>
    <n v="0"/>
    <m/>
    <m/>
    <s v="без изменений"/>
    <s v="протокол-№-31.12.2022"/>
  </r>
  <r>
    <s v="Функциональное направление 6"/>
    <n v="2"/>
    <d v="2021-05-24T00:00:00"/>
    <n v="0"/>
    <s v="не защищена"/>
    <n v="500551"/>
    <x v="465"/>
    <n v="219"/>
    <s v="Подразделение219"/>
    <s v="подразделение_2_уровня219"/>
    <s v="-"/>
    <s v="ТОП_руководитель_1"/>
    <n v="3"/>
    <s v="да"/>
    <d v="2019-05-01T00:00:00"/>
    <d v="2019-05-01T00:00:00"/>
    <s v="из резерва (учитываем)"/>
    <n v="450"/>
    <s v="Волков Константин Максимович"/>
    <n v="410"/>
    <s v="Русланов Венедикт Владиславович"/>
    <s v="ТОП_руководитель_2"/>
    <s v="Подразделение13"/>
    <x v="0"/>
    <x v="0"/>
    <n v="1"/>
    <n v="0"/>
    <m/>
    <m/>
    <s v="повышение"/>
    <s v="протокол-№-31.12.2022"/>
  </r>
  <r>
    <s v="Функциональное направление 6"/>
    <n v="2"/>
    <d v="2017-12-11T00:00:00"/>
    <n v="0"/>
    <s v="не защищена"/>
    <n v="500551"/>
    <x v="465"/>
    <n v="219"/>
    <s v="Подразделение219"/>
    <s v="подразделение_2_уровня219"/>
    <s v="-"/>
    <s v="ТОП_руководитель_1"/>
    <n v="3"/>
    <s v="да"/>
    <d v="2019-05-01T00:00:00"/>
    <d v="2019-05-01T00:00:00"/>
    <s v="из резерва (учитываем)"/>
    <n v="450"/>
    <s v="Волков Константин Максимович"/>
    <n v="450"/>
    <s v="Волков Константин Максимович"/>
    <s v="ТОП_руководитель_2"/>
    <s v="Подразделение219"/>
    <x v="1"/>
    <x v="1"/>
    <n v="1"/>
    <n v="1"/>
    <s v="назначение на целевую должность"/>
    <d v="2019-05-01T00:00:00"/>
    <s v="повышение"/>
    <s v="протокол-№-31.12.2022"/>
  </r>
  <r>
    <s v="Функциональное направление 6"/>
    <n v="2"/>
    <d v="2017-12-11T00:00:00"/>
    <n v="0"/>
    <s v="не защищена"/>
    <n v="500551"/>
    <x v="465"/>
    <n v="219"/>
    <s v="Подразделение219"/>
    <s v="подразделение_2_уровня219"/>
    <s v="-"/>
    <s v="ТОП_руководитель_1"/>
    <n v="3"/>
    <s v="да"/>
    <d v="2019-05-01T00:00:00"/>
    <d v="2019-05-01T00:00:00"/>
    <s v="из резерва (учитываем)"/>
    <n v="450"/>
    <s v="Волков Константин Максимович"/>
    <n v="463"/>
    <s v="Цветков Николай Константинович"/>
    <s v="ТОП_руководитель_2"/>
    <s v="Подразделение219"/>
    <x v="1"/>
    <x v="2"/>
    <n v="1"/>
    <n v="0"/>
    <s v="инициатива комитета / руководителя"/>
    <d v="2022-12-31T00:00:00"/>
    <s v="исключение"/>
    <s v="протокол-№-31.12.2022"/>
  </r>
  <r>
    <s v="Функциональное направление 6"/>
    <n v="4"/>
    <d v="2021-08-17T00:00:00"/>
    <n v="1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4"/>
    <x v="466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1"/>
    <s v="Баранкин Венедикт Роман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4"/>
    <d v="2021-08-17T00:00:00"/>
    <n v="1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27"/>
    <s v="Коростелев Савелий Геннадьевич"/>
    <s v="Рабочий"/>
    <s v="Подразделение13"/>
    <x v="1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28"/>
    <s v="Дмитриев Геннадий Ефремо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29"/>
    <s v="Ветров Геннадий Семен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30"/>
    <s v="Незнамов Афанасий Кондратьевич"/>
    <s v="Рабочий"/>
    <s v="Подразделение13"/>
    <x v="2"/>
    <x v="0"/>
    <n v="0"/>
    <n v="0"/>
    <m/>
    <m/>
    <s v="не рассматривали"/>
    <s v="протокол-№-17.08.2021"/>
  </r>
  <r>
    <s v="Функциональное направление 6"/>
    <n v="4"/>
    <d v="2021-08-17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31"/>
    <s v="Коростелев Геннадий Михайлович"/>
    <s v="Рабочий"/>
    <s v="Подразделение13"/>
    <x v="0"/>
    <x v="0"/>
    <n v="0"/>
    <n v="0"/>
    <m/>
    <m/>
    <s v="не рассматривали"/>
    <s v="протокол-№-17.08.2021"/>
  </r>
  <r>
    <s v="Функциональное направление 6"/>
    <n v="4"/>
    <d v="2022-11-25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32"/>
    <s v="Ветров Иван Александр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33"/>
    <s v="Незнамов Кирилл Михайл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34"/>
    <s v="Степанов Матвей Богдан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35"/>
    <s v="Кириллов Виталий Герасимо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5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36"/>
    <s v="Игнатьев Виталий Кондратьевич"/>
    <s v="Рабочий"/>
    <s v="Подразделение13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17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37"/>
    <s v="Игнатьев Виталий Александрович"/>
    <s v="Рабочий"/>
    <s v="Подразделение13"/>
    <x v="1"/>
    <x v="2"/>
    <n v="0"/>
    <n v="0"/>
    <s v="инициатива комитета / руководителя"/>
    <d v="2022-11-25T00:00:00"/>
    <s v="исключение"/>
    <s v="протокол-№-25.11.2022"/>
  </r>
  <r>
    <s v="Функциональное направление 6"/>
    <n v="4"/>
    <d v="2021-08-17T00:00:00"/>
    <n v="0"/>
    <s v="не защищена"/>
    <n v="500279"/>
    <x v="467"/>
    <n v="13"/>
    <s v="Подразделение13"/>
    <s v="подразделение_2_уровня13"/>
    <s v="подразделение_3_уровня13"/>
    <s v="линейный_руководитель_1"/>
    <n v="7"/>
    <s v="нет"/>
    <m/>
    <m/>
    <m/>
    <n v="452"/>
    <s v="Конеев Венедикт Максимович"/>
    <n v="1538"/>
    <s v="Степанов Афанасий Кондратьевич"/>
    <s v="Рабочий"/>
    <s v="Подразделение13"/>
    <x v="0"/>
    <x v="2"/>
    <n v="0"/>
    <n v="0"/>
    <s v="самоотвод"/>
    <d v="2021-12-22T00:00:00"/>
    <s v="не рассматривали"/>
    <s v="протокол-№-17.08.2021"/>
  </r>
  <r>
    <s v="Функциональное направление 6"/>
    <n v="3"/>
    <d v="2020-06-10T00:00:00"/>
    <n v="1"/>
    <s v="не защищена"/>
    <n v="500581"/>
    <x v="468"/>
    <n v="238"/>
    <s v="Подразделение238"/>
    <s v="подразделение_2_уровня238"/>
    <s v="-"/>
    <s v="руководитель_среднего_уровня_4"/>
    <n v="6"/>
    <s v="нет"/>
    <m/>
    <m/>
    <m/>
    <n v="453"/>
    <s v="Журавлев Валерий Александрович"/>
    <n v="454"/>
    <s v="Волков Кирилл Юрьевич"/>
    <s v="линейный_руководитель_2"/>
    <s v="Подразделение238"/>
    <x v="0"/>
    <x v="0"/>
    <n v="1"/>
    <n v="0"/>
    <m/>
    <m/>
    <s v="без изменений"/>
    <s v="протокол-№-26.05.2022"/>
  </r>
  <r>
    <s v="Функциональное направление 6"/>
    <n v="3"/>
    <d v="2020-06-10T00:00:00"/>
    <n v="0"/>
    <s v="не защищена"/>
    <n v="500581"/>
    <x v="468"/>
    <n v="238"/>
    <s v="Подразделение238"/>
    <s v="подразделение_2_уровня238"/>
    <s v="-"/>
    <s v="руководитель_среднего_уровня_4"/>
    <n v="6"/>
    <s v="нет"/>
    <m/>
    <m/>
    <m/>
    <n v="453"/>
    <s v="Журавлев Валерий Александрович"/>
    <n v="455"/>
    <s v="Нырков Степан Денисович"/>
    <s v="линейный_руководитель_2"/>
    <s v="Подразделение238"/>
    <x v="0"/>
    <x v="0"/>
    <n v="1"/>
    <n v="0"/>
    <m/>
    <m/>
    <s v="без изменений"/>
    <s v="протокол-№-26.05.2022"/>
  </r>
  <r>
    <s v="Функциональное направление 6"/>
    <n v="3"/>
    <d v="2020-06-10T00:00:00"/>
    <n v="0"/>
    <s v="не защищена"/>
    <n v="500581"/>
    <x v="468"/>
    <n v="238"/>
    <s v="Подразделение238"/>
    <s v="подразделение_2_уровня238"/>
    <s v="-"/>
    <s v="руководитель_среднего_уровня_4"/>
    <n v="6"/>
    <s v="нет"/>
    <m/>
    <m/>
    <m/>
    <n v="453"/>
    <s v="Журавлев Валерий Александрович"/>
    <n v="1542"/>
    <s v="Дорофеев Виталий Александрович"/>
    <s v="линейный_руководитель_2"/>
    <s v="Подразделение238"/>
    <x v="2"/>
    <x v="2"/>
    <n v="1"/>
    <n v="0"/>
    <s v="увольнение"/>
    <d v="2021-07-01T00:00:00"/>
    <s v="не рассматривали"/>
    <s v="протокол-№-26.05.2022"/>
  </r>
  <r>
    <s v="Функциональное направление 6"/>
    <n v="4"/>
    <d v="2022-11-29T00:00:00"/>
    <n v="1"/>
    <s v="не защищена"/>
    <n v="500583"/>
    <x v="469"/>
    <n v="238"/>
    <s v="Подразделение238"/>
    <s v="подразделение_2_уровня238"/>
    <s v="-"/>
    <s v="линейный_руководитель_2"/>
    <n v="7"/>
    <s v="нет"/>
    <m/>
    <m/>
    <m/>
    <n v="454"/>
    <s v="Волков Кирилл Юрьевич"/>
    <n v="1543"/>
    <s v="Дмитриев Геннадий Ефремович"/>
    <s v="Рабочий"/>
    <s v="Подразделение238"/>
    <x v="0"/>
    <x v="0"/>
    <n v="0"/>
    <n v="0"/>
    <m/>
    <m/>
    <s v="не рассматривали"/>
    <s v="протокол-№-29.11.2022"/>
  </r>
  <r>
    <s v="Функциональное направление 6"/>
    <n v="4"/>
    <d v="2022-11-29T00:00:00"/>
    <n v="0"/>
    <s v="не защищена"/>
    <n v="500583"/>
    <x v="469"/>
    <n v="238"/>
    <s v="Подразделение238"/>
    <s v="подразделение_2_уровня238"/>
    <s v="-"/>
    <s v="линейный_руководитель_2"/>
    <n v="7"/>
    <s v="нет"/>
    <m/>
    <m/>
    <m/>
    <n v="454"/>
    <s v="Волков Кирилл Юрьевич"/>
    <n v="1544"/>
    <s v="Игнатьев Савелий Герасимович"/>
    <s v="Рабочий"/>
    <s v="Подразделение238"/>
    <x v="0"/>
    <x v="0"/>
    <n v="1"/>
    <n v="0"/>
    <m/>
    <m/>
    <s v="не рассматривали"/>
    <s v="протокол-№-29.11.2022"/>
  </r>
  <r>
    <s v="Функциональное направление 6"/>
    <n v="4"/>
    <d v="2022-11-29T00:00:00"/>
    <n v="1"/>
    <s v="не защищена"/>
    <n v="500582"/>
    <x v="470"/>
    <n v="238"/>
    <s v="Подразделение238"/>
    <s v="подразделение_2_уровня238"/>
    <s v="-"/>
    <s v="линейный_руководитель_2"/>
    <n v="7"/>
    <s v="нет"/>
    <m/>
    <m/>
    <m/>
    <n v="455"/>
    <s v="Нырков Степан Денисович"/>
    <n v="1545"/>
    <s v="Брежнев Виталий Кондратьевич"/>
    <s v="Рабочий"/>
    <s v="Подразделение238"/>
    <x v="0"/>
    <x v="0"/>
    <n v="1"/>
    <n v="0"/>
    <m/>
    <m/>
    <s v="не рассматривали"/>
    <s v="протокол-№-29.11.2022"/>
  </r>
  <r>
    <s v="Функциональное направление 6"/>
    <n v="4"/>
    <d v="2021-08-23T00:00:00"/>
    <n v="1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45"/>
    <s v="Игнатьев Геннадий Геннад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46"/>
    <s v="Игорев Афанасий Владиславович"/>
    <s v="Специалист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47"/>
    <s v="Степанов Глеб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48"/>
    <s v="Игнатьев Савелий Александро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49"/>
    <s v="Коростелев Савелий Никитин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50"/>
    <s v="Брежнев Афанасий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51"/>
    <s v="Брежнев Савелий Кондрат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2-11-24T00:00:00"/>
    <n v="0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52"/>
    <s v="Незнамов Геннад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53"/>
    <s v="Игнатьев Глеб Семен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614"/>
    <x v="471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6"/>
    <s v="Баранкин Николай Романович"/>
    <n v="1454"/>
    <s v="Дорофеев Матвей Михайл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45"/>
    <s v="Игнатьев Геннадий Геннад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46"/>
    <s v="Игорев Афанасий Владиславович"/>
    <s v="Специалист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47"/>
    <s v="Степанов Глеб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48"/>
    <s v="Игнатьев Савелий Александро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49"/>
    <s v="Коростелев Савелий Никитин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50"/>
    <s v="Брежнев Афанасий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51"/>
    <s v="Брежнев Савелий Кондрат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2-11-24T00:00:00"/>
    <n v="0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52"/>
    <s v="Незнамов Геннад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53"/>
    <s v="Игнатьев Глеб Семен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614"/>
    <x v="472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7"/>
    <s v="Волков Еремей Максимович"/>
    <n v="1454"/>
    <s v="Дорофеев Матвей Михайл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45"/>
    <s v="Игнатьев Геннадий Геннад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46"/>
    <s v="Игорев Афанасий Владиславович"/>
    <s v="Специалист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47"/>
    <s v="Степанов Глеб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48"/>
    <s v="Игнатьев Савелий Александро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49"/>
    <s v="Коростелев Савелий Никитин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50"/>
    <s v="Брежнев Афанасий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51"/>
    <s v="Брежнев Савелий Кондрат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2-11-24T00:00:00"/>
    <n v="0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52"/>
    <s v="Незнамов Геннад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53"/>
    <s v="Игнатьев Глеб Семен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614"/>
    <x v="473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8"/>
    <s v="Михайлов Тихон Юрьевич"/>
    <n v="1454"/>
    <s v="Дорофеев Матвей Михайл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1-08-23T00:00:00"/>
    <n v="1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45"/>
    <s v="Игнатьев Геннадий Геннад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46"/>
    <s v="Игорев Афанасий Владиславович"/>
    <s v="Специалист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47"/>
    <s v="Степанов Глеб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48"/>
    <s v="Игнатьев Савелий Александро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49"/>
    <s v="Коростелев Савелий Никитин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50"/>
    <s v="Брежнев Афанасий Геннадьевич"/>
    <s v="Рабочий"/>
    <s v="Подразделение12"/>
    <x v="2"/>
    <x v="0"/>
    <n v="0"/>
    <n v="0"/>
    <m/>
    <m/>
    <s v="не рассматривали"/>
    <s v="протокол-№-23.08.2021"/>
  </r>
  <r>
    <s v="Функциональное направление 6"/>
    <n v="4"/>
    <d v="2021-08-23T00:00:00"/>
    <n v="0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51"/>
    <s v="Брежнев Савелий Кондратьевич"/>
    <s v="Рабочий"/>
    <s v="Подразделение12"/>
    <x v="0"/>
    <x v="0"/>
    <n v="0"/>
    <n v="0"/>
    <m/>
    <m/>
    <s v="не рассматривали"/>
    <s v="протокол-№-23.08.2021"/>
  </r>
  <r>
    <s v="Функциональное направление 6"/>
    <n v="4"/>
    <d v="2022-11-24T00:00:00"/>
    <n v="0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52"/>
    <s v="Незнамов Геннадий Геннадьевич"/>
    <s v="Рабочий"/>
    <s v="Подразделение12"/>
    <x v="0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53"/>
    <s v="Игнатьев Глеб Семен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4T00:00:00"/>
    <n v="0"/>
    <s v="не защищена"/>
    <n v="500614"/>
    <x v="474"/>
    <n v="12"/>
    <s v="Подразделение12"/>
    <s v="подразделение_2_уровня12"/>
    <s v="подразделение_3_уровня12"/>
    <s v="линейный_руководитель_1"/>
    <n v="7"/>
    <s v="нет"/>
    <m/>
    <m/>
    <m/>
    <n v="459"/>
    <s v="Поминов Венедикт Егорович"/>
    <n v="1454"/>
    <s v="Дорофеев Матвей Михайлович"/>
    <s v="Рабочий"/>
    <s v="Подразделение12"/>
    <x v="2"/>
    <x v="0"/>
    <n v="0"/>
    <n v="0"/>
    <m/>
    <m/>
    <s v="не рассматривали"/>
    <s v="протокол-№-25.11.2022"/>
  </r>
  <r>
    <s v="Функциональное направление 6"/>
    <n v="4"/>
    <d v="2022-11-23T00:00:00"/>
    <n v="1"/>
    <s v="не защищена"/>
    <n v="500636"/>
    <x v="475"/>
    <n v="11"/>
    <s v="Подразделение11"/>
    <s v="подразделение_2_уровня11"/>
    <s v="подразделение_3_уровня11"/>
    <s v="линейный_руководитель_2"/>
    <n v="7"/>
    <s v="нет"/>
    <m/>
    <m/>
    <m/>
    <n v="460"/>
    <s v="Бураков Тихон Романович"/>
    <n v="1498"/>
    <s v="Дорофеев Виталий Кондратьевич"/>
    <s v="Рабочий"/>
    <s v="Подразделение11"/>
    <x v="0"/>
    <x v="0"/>
    <n v="1"/>
    <n v="0"/>
    <m/>
    <m/>
    <s v="не рассматривали"/>
    <s v="протокол-№-23.11.2022"/>
  </r>
  <r>
    <s v="Функциональное направление 6"/>
    <n v="4"/>
    <d v="2022-11-23T00:00:00"/>
    <n v="1"/>
    <s v="не защищена"/>
    <n v="500712"/>
    <x v="476"/>
    <n v="11"/>
    <s v="Подразделение11"/>
    <s v="подразделение_2_уровня11"/>
    <s v="подразделение_3_уровня11"/>
    <s v="линейный_руководитель_2"/>
    <n v="7"/>
    <s v="нет"/>
    <m/>
    <m/>
    <m/>
    <n v="461"/>
    <s v="Баранкин Федот Максимович"/>
    <n v="401"/>
    <s v="Баранкин Кирилл Иванович"/>
    <s v="линейный_руководитель_2"/>
    <s v="Подразделение11"/>
    <x v="1"/>
    <x v="0"/>
    <n v="1"/>
    <n v="0"/>
    <m/>
    <m/>
    <s v="не рассматривали"/>
    <s v="протокол-№-23.11.2022"/>
  </r>
  <r>
    <s v="Функциональное направление 6"/>
    <n v="3"/>
    <d v="2022-05-26T00:00:00"/>
    <n v="1"/>
    <s v="не защищена"/>
    <n v="500713"/>
    <x v="477"/>
    <n v="219"/>
    <s v="Подразделение219"/>
    <s v="-"/>
    <s v="-"/>
    <s v="руководитель_среднего_уровня_1"/>
    <n v="4"/>
    <s v="нет"/>
    <m/>
    <m/>
    <m/>
    <n v="462"/>
    <s v="Зверев Константин Александрович"/>
    <n v="1237"/>
    <s v="Филиппов Афанасий Александрович"/>
    <s v="-"/>
    <s v="-"/>
    <x v="3"/>
    <x v="3"/>
    <n v="1"/>
    <n v="0"/>
    <m/>
    <m/>
    <m/>
    <s v="протокол-№-26.05.2022"/>
  </r>
  <r>
    <s v="Функциональное направление 6"/>
    <n v="3"/>
    <d v="2022-05-26T00:00:00"/>
    <n v="1"/>
    <s v="не защищена"/>
    <n v="500722"/>
    <x v="478"/>
    <n v="219"/>
    <s v="Подразделение219"/>
    <s v="-"/>
    <s v="-"/>
    <s v="руководитель_среднего_уровня_1"/>
    <n v="4"/>
    <s v="нет"/>
    <m/>
    <m/>
    <m/>
    <n v="463"/>
    <s v="Цветков Николай Константинович"/>
    <n v="1237"/>
    <s v="Филиппов Афанасий Александрович"/>
    <s v="-"/>
    <s v="-"/>
    <x v="3"/>
    <x v="3"/>
    <n v="1"/>
    <n v="0"/>
    <m/>
    <m/>
    <m/>
    <s v="протокол-№-26.05.2022"/>
  </r>
  <r>
    <s v="Функциональное направление 6"/>
    <n v="3"/>
    <d v="2018-11-21T00:00:00"/>
    <n v="1"/>
    <s v="не защищена"/>
    <n v="500724"/>
    <x v="479"/>
    <n v="15"/>
    <s v="Подразделение15"/>
    <s v="подразделение_2_уровня15"/>
    <s v="-"/>
    <s v="линейный_руководитель_3"/>
    <n v="5"/>
    <s v="да"/>
    <d v="2022-12-31T00:00:00"/>
    <d v="2022-12-31T00:00:00"/>
    <s v="реструктуризация (не учитываем)"/>
    <n v="464"/>
    <s v="Поминов Алексей Романович"/>
    <n v="1546"/>
    <s v="Дорофеев Савелий Геннадьевич"/>
    <s v="Специалист"/>
    <s v="Подразделение15"/>
    <x v="1"/>
    <x v="0"/>
    <n v="1"/>
    <n v="0"/>
    <m/>
    <m/>
    <s v="повышение"/>
    <s v="протокол-№-26.05.2022"/>
  </r>
  <r>
    <s v="Функциональное направление 6"/>
    <n v="3"/>
    <d v="2018-11-21T00:00:00"/>
    <n v="0"/>
    <s v="не защищена"/>
    <n v="500724"/>
    <x v="479"/>
    <n v="15"/>
    <s v="Подразделение15"/>
    <s v="подразделение_2_уровня15"/>
    <s v="-"/>
    <s v="линейный_руководитель_3"/>
    <n v="5"/>
    <s v="да"/>
    <d v="2022-12-31T00:00:00"/>
    <d v="2022-12-31T00:00:00"/>
    <s v="реструктуризация (не учитываем)"/>
    <n v="464"/>
    <s v="Поминов Алексей Романович"/>
    <n v="1547"/>
    <s v="Дмитриев Виталий Герасимович"/>
    <s v="функциональный_руководитель_1"/>
    <s v="Подразделение15"/>
    <x v="1"/>
    <x v="0"/>
    <n v="1"/>
    <n v="0"/>
    <m/>
    <m/>
    <s v="без изменений"/>
    <s v="протокол-№-26.05.2022"/>
  </r>
  <r>
    <s v="Функциональное направление 6"/>
    <n v="3"/>
    <d v="2021-05-27T00:00:00"/>
    <n v="0"/>
    <s v="не защищена"/>
    <n v="500724"/>
    <x v="479"/>
    <n v="15"/>
    <s v="Подразделение15"/>
    <s v="подразделение_2_уровня15"/>
    <s v="-"/>
    <s v="линейный_руководитель_3"/>
    <n v="5"/>
    <s v="да"/>
    <d v="2022-12-31T00:00:00"/>
    <d v="2022-12-31T00:00:00"/>
    <s v="реструктуризация (не учитываем)"/>
    <n v="464"/>
    <s v="Поминов Алексей Романович"/>
    <n v="315"/>
    <s v="Баранкин Тихон Александрович"/>
    <s v="руководитель_среднего_уровня_2"/>
    <s v="Подразделение15"/>
    <x v="0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1"/>
    <s v="не защищена"/>
    <n v="500725"/>
    <x v="480"/>
    <n v="12"/>
    <s v="Подразделение12"/>
    <s v="подразделение_2_уровня12"/>
    <s v="-"/>
    <s v="линейный_руководитель_3"/>
    <n v="5"/>
    <s v="нет"/>
    <m/>
    <m/>
    <m/>
    <n v="465"/>
    <s v="Зверев Венедикт Константинович"/>
    <n v="1548"/>
    <s v="Брежнев Виталий Климович"/>
    <s v="функциональный_руководитель_2"/>
    <s v="Подразделение219"/>
    <x v="0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725"/>
    <x v="480"/>
    <n v="12"/>
    <s v="Подразделение12"/>
    <s v="подразделение_2_уровня12"/>
    <s v="-"/>
    <s v="линейный_руководитель_3"/>
    <n v="5"/>
    <s v="нет"/>
    <m/>
    <m/>
    <m/>
    <n v="465"/>
    <s v="Зверев Венедикт Константинович"/>
    <n v="1549"/>
    <s v="Дмитриев Геннадий Геннадьевич"/>
    <s v="функциональный_руководитель_1"/>
    <s v="Подразделение12"/>
    <x v="1"/>
    <x v="0"/>
    <n v="1"/>
    <n v="0"/>
    <m/>
    <m/>
    <s v="без изменений"/>
    <s v="протокол-№-26.05.2022"/>
  </r>
  <r>
    <s v="Функциональное направление 6"/>
    <n v="3"/>
    <d v="2018-11-21T00:00:00"/>
    <n v="0"/>
    <s v="не защищена"/>
    <n v="500725"/>
    <x v="480"/>
    <n v="12"/>
    <s v="Подразделение12"/>
    <s v="подразделение_2_уровня12"/>
    <s v="-"/>
    <s v="линейный_руководитель_3"/>
    <n v="5"/>
    <s v="нет"/>
    <m/>
    <m/>
    <m/>
    <n v="465"/>
    <s v="Зверев Венедикт Константинович"/>
    <n v="1550"/>
    <s v="Незнамов Афанасий Александрович"/>
    <s v="функциональный_руководитель_1"/>
    <s v="Подразделение219"/>
    <x v="0"/>
    <x v="2"/>
    <n v="1"/>
    <n v="0"/>
    <s v="прочее (перевод в другое СП / на другое предприятие)"/>
    <d v="2022-05-26T00:00:00"/>
    <s v="исключение"/>
    <s v="протокол-№-26.05.2022"/>
  </r>
  <r>
    <s v="Функциональное направление 6"/>
    <n v="3"/>
    <d v="2018-11-21T00:00:00"/>
    <n v="1"/>
    <s v="не защищена"/>
    <n v="500726"/>
    <x v="481"/>
    <n v="13"/>
    <s v="Подразделение13"/>
    <s v="подразделение_2_уровня13"/>
    <s v="-"/>
    <s v="линейный_руководитель_3"/>
    <n v="5"/>
    <s v="да"/>
    <d v="2022-12-31T00:00:00"/>
    <d v="2022-12-31T00:00:00"/>
    <s v="реструктуризация (не учитываем)"/>
    <n v="466"/>
    <s v="Русланов Валерий Александрович"/>
    <n v="1551"/>
    <s v="Коростелев Арсений Кондратьевич"/>
    <s v="функциональный_руководитель_1"/>
    <s v="Подразделение13"/>
    <x v="1"/>
    <x v="0"/>
    <n v="1"/>
    <n v="0"/>
    <m/>
    <m/>
    <s v="без изменений"/>
    <s v="протокол-№-26.05.2022"/>
  </r>
  <r>
    <s v="Функциональное направление 6"/>
    <n v="3"/>
    <d v="2020-06-10T00:00:00"/>
    <n v="0"/>
    <s v="не защищена"/>
    <n v="500726"/>
    <x v="481"/>
    <n v="13"/>
    <s v="Подразделение13"/>
    <s v="подразделение_2_уровня13"/>
    <s v="-"/>
    <s v="линейный_руководитель_3"/>
    <n v="5"/>
    <s v="да"/>
    <d v="2022-12-31T00:00:00"/>
    <d v="2022-12-31T00:00:00"/>
    <s v="реструктуризация (не учитываем)"/>
    <n v="466"/>
    <s v="Русланов Валерий Александрович"/>
    <n v="1552"/>
    <s v="Брежнев Юрий Михайлович"/>
    <s v="функциональный_руководитель_1"/>
    <s v="Подразделение13"/>
    <x v="0"/>
    <x v="0"/>
    <n v="1"/>
    <n v="0"/>
    <m/>
    <m/>
    <s v="без изменений"/>
    <s v="протокол-№-26.05.2022"/>
  </r>
  <r>
    <s v="Функциональное направление 6"/>
    <n v="3"/>
    <d v="2021-05-27T00:00:00"/>
    <n v="0"/>
    <s v="не защищена"/>
    <n v="500726"/>
    <x v="481"/>
    <n v="13"/>
    <s v="Подразделение13"/>
    <s v="подразделение_2_уровня13"/>
    <s v="-"/>
    <s v="линейный_руководитель_3"/>
    <n v="5"/>
    <s v="да"/>
    <d v="2022-12-31T00:00:00"/>
    <d v="2022-12-31T00:00:00"/>
    <s v="реструктуризация (не учитываем)"/>
    <n v="466"/>
    <s v="Русланов Валерий Александрович"/>
    <n v="1553"/>
    <s v="Брежнев Матвей Геннадьевич"/>
    <s v="функциональный_руководитель_1"/>
    <s v="Подразделение13"/>
    <x v="0"/>
    <x v="0"/>
    <n v="1"/>
    <n v="0"/>
    <m/>
    <m/>
    <s v="повышение"/>
    <s v="протокол-№-26.05.2022"/>
  </r>
  <r>
    <s v="Функциональное направление 6"/>
    <n v="3"/>
    <d v="2018-11-21T00:00:00"/>
    <n v="0"/>
    <s v="не защищена"/>
    <n v="500726"/>
    <x v="481"/>
    <n v="13"/>
    <s v="Подразделение13"/>
    <s v="подразделение_2_уровня13"/>
    <s v="-"/>
    <s v="линейный_руководитель_3"/>
    <n v="5"/>
    <s v="да"/>
    <d v="2022-12-31T00:00:00"/>
    <d v="2022-12-31T00:00:00"/>
    <s v="реструктуризация (не учитываем)"/>
    <n v="466"/>
    <s v="Русланов Валерий Александрович"/>
    <n v="1510"/>
    <s v="Коростелев Юрий Ефремович"/>
    <s v="ТОП_руководитель_3"/>
    <s v="Подразделение219"/>
    <x v="0"/>
    <x v="1"/>
    <n v="1"/>
    <n v="0"/>
    <s v="назначение на целевую должность"/>
    <d v="2020-02-10T00:00:00"/>
    <s v="не рассматривали"/>
    <s v="протокол-№-21.11.2018"/>
  </r>
  <r>
    <s v="Функциональное направление 7"/>
    <n v="3"/>
    <d v="2020-10-08T00:00:00"/>
    <n v="1"/>
    <s v="не защищена"/>
    <n v="500004"/>
    <x v="482"/>
    <n v="41"/>
    <s v="Подразделение41"/>
    <s v="подразделение_2_уровня41"/>
    <s v="-"/>
    <s v="ТОП_руководитель_2"/>
    <n v="5"/>
    <s v="нет"/>
    <m/>
    <m/>
    <m/>
    <n v="467"/>
    <s v="Поминов Потап Иванович"/>
    <n v="1554"/>
    <s v="Дмитриев Виталий Геннадьевич"/>
    <s v="функциональный_руководитель_1"/>
    <s v="Подразделение41"/>
    <x v="0"/>
    <x v="0"/>
    <n v="1"/>
    <n v="0"/>
    <m/>
    <m/>
    <s v="повышение"/>
    <s v="протокол-№-08.08.2022"/>
  </r>
  <r>
    <s v="Функциональное направление 7"/>
    <n v="3"/>
    <d v="2020-10-08T00:00:00"/>
    <n v="0"/>
    <s v="не защищена"/>
    <n v="500004"/>
    <x v="482"/>
    <n v="41"/>
    <s v="Подразделение41"/>
    <s v="подразделение_2_уровня41"/>
    <s v="-"/>
    <s v="ТОП_руководитель_2"/>
    <n v="5"/>
    <s v="нет"/>
    <m/>
    <m/>
    <m/>
    <n v="467"/>
    <s v="Поминов Потап Иванович"/>
    <n v="1555"/>
    <s v="Дмитриев Роман Александрович"/>
    <s v="функциональный_руководитель_1"/>
    <s v="Подразделение41"/>
    <x v="0"/>
    <x v="0"/>
    <n v="1"/>
    <n v="0"/>
    <m/>
    <m/>
    <s v="повышение"/>
    <s v="протокол-№-08.08.2022"/>
  </r>
  <r>
    <s v="Функциональное направление 8"/>
    <n v="4"/>
    <d v="2022-01-27T00:00:00"/>
    <n v="1"/>
    <s v="не защищена"/>
    <n v="500122"/>
    <x v="483"/>
    <n v="31"/>
    <s v="Подразделение31"/>
    <s v="подразделение_2_уровня31"/>
    <s v="-"/>
    <s v="линейный_руководитель_2"/>
    <n v="7"/>
    <s v="нет"/>
    <m/>
    <m/>
    <m/>
    <n v="468"/>
    <s v="Нырков Федот Максимович"/>
    <n v="1556"/>
    <s v="Брежнев Юрий Владиславович"/>
    <s v="Рабочий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22"/>
    <x v="483"/>
    <n v="31"/>
    <s v="Подразделение31"/>
    <s v="подразделение_2_уровня31"/>
    <s v="-"/>
    <s v="линейный_руководитель_2"/>
    <n v="7"/>
    <s v="нет"/>
    <m/>
    <m/>
    <m/>
    <n v="468"/>
    <s v="Нырков Федот Максимович"/>
    <n v="1557"/>
    <s v="Игнатьев Афанасий Ефремович"/>
    <s v="Рабочий"/>
    <s v="Подразделение31"/>
    <x v="1"/>
    <x v="0"/>
    <n v="1"/>
    <n v="0"/>
    <m/>
    <m/>
    <s v="не рассматривали"/>
    <s v="протокол-№-27.01.2022"/>
  </r>
  <r>
    <s v="Функциональное направление 8"/>
    <n v="4"/>
    <d v="2021-12-27T00:00:00"/>
    <n v="1"/>
    <s v="не защищена"/>
    <n v="500138"/>
    <x v="484"/>
    <n v="33"/>
    <s v="Подразделение33"/>
    <s v="подразделение_2_уровня33"/>
    <s v="-"/>
    <s v="линейный_руководитель_3"/>
    <n v="6"/>
    <s v="нет"/>
    <m/>
    <m/>
    <m/>
    <n v="469"/>
    <s v="Чистяков Тихон Иванович"/>
    <n v="1558"/>
    <s v="Брежнев Виталий Богдано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2-12-27T00:00:00"/>
    <n v="1"/>
    <s v="не защищена"/>
    <n v="500139"/>
    <x v="485"/>
    <n v="33"/>
    <s v="Подразделение33"/>
    <s v="-"/>
    <s v="-"/>
    <s v="функциональный_руководитель_1"/>
    <n v="6"/>
    <s v="нет"/>
    <m/>
    <m/>
    <m/>
    <n v="470"/>
    <s v="Волков Федот Романович"/>
    <n v="1559"/>
    <s v="Брежнев Глеб Александрович"/>
    <s v="Рабочий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139"/>
    <x v="485"/>
    <n v="33"/>
    <s v="Подразделение33"/>
    <s v="-"/>
    <s v="-"/>
    <s v="функциональный_руководитель_1"/>
    <n v="6"/>
    <s v="нет"/>
    <m/>
    <m/>
    <m/>
    <n v="470"/>
    <s v="Волков Федот Романович"/>
    <n v="567"/>
    <s v="Русланов Николай Романович"/>
    <s v="линейный_руководитель_2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139"/>
    <x v="485"/>
    <n v="33"/>
    <s v="Подразделение33"/>
    <s v="-"/>
    <s v="-"/>
    <s v="функциональный_руководитель_1"/>
    <n v="6"/>
    <s v="нет"/>
    <m/>
    <m/>
    <m/>
    <n v="470"/>
    <s v="Волков Федот Романович"/>
    <n v="1560"/>
    <s v="Игнатьев Юрий Александрович"/>
    <s v="Специалист"/>
    <s v="Подразделение_др3"/>
    <x v="2"/>
    <x v="2"/>
    <n v="1"/>
    <n v="0"/>
    <s v="прочее (перевод в другое СП / на другое предприятие)"/>
    <d v="2022-12-27T00:00:00"/>
    <s v="исключение"/>
    <s v="протокол-№-27.12.2022"/>
  </r>
  <r>
    <s v="Функциональное направление 8"/>
    <n v="4"/>
    <d v="2021-12-27T00:00:00"/>
    <n v="1"/>
    <s v="не защищена"/>
    <n v="500140"/>
    <x v="486"/>
    <n v="33"/>
    <s v="Подразделение33"/>
    <s v="подразделение_2_уровня33"/>
    <s v="-"/>
    <s v="руководитель_среднего_уровня_4"/>
    <n v="6"/>
    <s v="нет"/>
    <m/>
    <m/>
    <m/>
    <n v="471"/>
    <s v="Русланов Тихон Денисович"/>
    <n v="585"/>
    <s v="Русланов Николай Денисович"/>
    <s v="линейный_руководитель_2"/>
    <s v="Подразделение33"/>
    <x v="1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141"/>
    <x v="487"/>
    <n v="33"/>
    <s v="Подразделение33"/>
    <s v="подразделение_2_уровня33"/>
    <s v="-"/>
    <s v="руководитель_среднего_уровня_4"/>
    <n v="6"/>
    <s v="нет"/>
    <m/>
    <m/>
    <m/>
    <n v="472"/>
    <s v="Баранкин Венедикт Григорьевич"/>
    <n v="1561"/>
    <s v="Дмитриев Виталий Александрович"/>
    <s v="Специалист"/>
    <s v="Подразделение33"/>
    <x v="0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144"/>
    <x v="488"/>
    <n v="33"/>
    <s v="Подразделение33"/>
    <s v="подразделение_2_уровня33"/>
    <s v="-"/>
    <s v="линейный_руководитель_1"/>
    <n v="7"/>
    <s v="да"/>
    <d v="2023-01-16T00:00:00"/>
    <d v="2023-01-16T00:00:00"/>
    <s v="из резерва (учитываем)"/>
    <n v="473"/>
    <s v="Баранкин Потап Григорьевич"/>
    <n v="1562"/>
    <s v="Незнамов Виталий Ефремович"/>
    <s v="Рабочий"/>
    <s v="Подразделение33"/>
    <x v="0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144"/>
    <x v="488"/>
    <n v="33"/>
    <s v="Подразделение33"/>
    <s v="подразделение_2_уровня33"/>
    <s v="-"/>
    <s v="линейный_руководитель_1"/>
    <n v="7"/>
    <s v="да"/>
    <d v="2023-01-16T00:00:00"/>
    <d v="2023-01-16T00:00:00"/>
    <s v="из резерва (учитываем)"/>
    <n v="473"/>
    <s v="Баранкин Потап Григорьевич"/>
    <n v="1563"/>
    <s v="Брежнев Лавр Александро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144"/>
    <x v="488"/>
    <n v="33"/>
    <s v="Подразделение33"/>
    <s v="подразделение_2_уровня33"/>
    <s v="-"/>
    <s v="линейный_руководитель_1"/>
    <n v="7"/>
    <s v="да"/>
    <d v="2023-01-16T00:00:00"/>
    <d v="2023-01-16T00:00:00"/>
    <s v="из резерва (учитываем)"/>
    <n v="473"/>
    <s v="Баранкин Потап Григорьевич"/>
    <n v="621"/>
    <s v="Волков Кирилл Александрович"/>
    <s v="линейный_руководитель_2"/>
    <s v="Подразделение33"/>
    <x v="1"/>
    <x v="1"/>
    <n v="1"/>
    <n v="0"/>
    <s v="назначение на целевую должность"/>
    <d v="2023-02-03T00:00:00"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144"/>
    <x v="488"/>
    <n v="33"/>
    <s v="Подразделение33"/>
    <s v="подразделение_2_уровня33"/>
    <s v="-"/>
    <s v="линейный_руководитель_1"/>
    <n v="7"/>
    <s v="да"/>
    <d v="2023-01-16T00:00:00"/>
    <d v="2023-01-16T00:00:00"/>
    <s v="из резерва (учитываем)"/>
    <n v="473"/>
    <s v="Баранкин Потап Григорьевич"/>
    <n v="473"/>
    <s v="Баранкин Потап Григорьевич"/>
    <s v="Рабочий"/>
    <s v="Подразделение33"/>
    <x v="1"/>
    <x v="1"/>
    <n v="1"/>
    <n v="1"/>
    <s v="назначение на целевую должность"/>
    <d v="2023-01-16T00:00:00"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144"/>
    <x v="489"/>
    <n v="33"/>
    <s v="Подразделение33"/>
    <s v="подразделение_2_уровня33"/>
    <s v="-"/>
    <s v="линейный_руководитель_1"/>
    <n v="7"/>
    <s v="да"/>
    <d v="2023-04-15T00:00:00"/>
    <d v="2023-05-05T00:00:00"/>
    <s v="внутр. сотр. (учитываем)"/>
    <n v="474"/>
    <s v="Баранкин Тихон Иванович"/>
    <n v="1562"/>
    <s v="Незнамов Виталий Ефремо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144"/>
    <x v="489"/>
    <n v="33"/>
    <s v="Подразделение33"/>
    <s v="подразделение_2_уровня33"/>
    <s v="-"/>
    <s v="линейный_руководитель_1"/>
    <n v="7"/>
    <s v="да"/>
    <d v="2023-04-15T00:00:00"/>
    <d v="2023-05-05T00:00:00"/>
    <s v="внутр. сотр. (учитываем)"/>
    <n v="474"/>
    <s v="Баранкин Тихон Иванович"/>
    <n v="1563"/>
    <s v="Брежнев Лавр Александр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144"/>
    <x v="489"/>
    <n v="33"/>
    <s v="Подразделение33"/>
    <s v="подразделение_2_уровня33"/>
    <s v="-"/>
    <s v="линейный_руководитель_1"/>
    <n v="7"/>
    <s v="да"/>
    <d v="2023-04-15T00:00:00"/>
    <d v="2023-05-05T00:00:00"/>
    <s v="внутр. сотр. (учитываем)"/>
    <n v="474"/>
    <s v="Баранкин Тихон Иванович"/>
    <n v="621"/>
    <s v="Волков Кирилл Александрович"/>
    <s v="линейный_руководитель_2"/>
    <s v="Подразделение33"/>
    <x v="1"/>
    <x v="1"/>
    <n v="0"/>
    <n v="0"/>
    <s v="назначение на целевую должность"/>
    <d v="2023-02-03T00:00:00"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144"/>
    <x v="489"/>
    <n v="33"/>
    <s v="Подразделение33"/>
    <s v="подразделение_2_уровня33"/>
    <s v="-"/>
    <s v="линейный_руководитель_1"/>
    <n v="7"/>
    <s v="да"/>
    <d v="2023-04-15T00:00:00"/>
    <d v="2023-05-05T00:00:00"/>
    <s v="внутр. сотр. (учитываем)"/>
    <n v="474"/>
    <s v="Баранкин Тихон Иванович"/>
    <n v="473"/>
    <s v="Баранкин Потап Григорьевич"/>
    <s v="Рабочий"/>
    <s v="Подразделение33"/>
    <x v="1"/>
    <x v="1"/>
    <n v="0"/>
    <n v="0"/>
    <s v="назначение на целевую должность"/>
    <d v="2023-01-16T00:00:00"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145"/>
    <x v="490"/>
    <n v="33"/>
    <s v="Подразделение33"/>
    <s v="подразделение_2_уровня33"/>
    <s v="-"/>
    <s v="руководитель_среднего_уровня_4"/>
    <n v="6"/>
    <s v="да"/>
    <d v="2022-12-27T00:00:00"/>
    <d v="2023-01-16T00:00:00"/>
    <s v="из резерва (учитываем)"/>
    <n v="475"/>
    <s v="Зверев Тихон Борисович"/>
    <n v="621"/>
    <s v="Волков Кирилл Александрович"/>
    <s v="Специалист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145"/>
    <x v="490"/>
    <n v="33"/>
    <s v="Подразделение33"/>
    <s v="подразделение_2_уровня33"/>
    <s v="-"/>
    <s v="руководитель_среднего_уровня_4"/>
    <n v="6"/>
    <s v="да"/>
    <d v="2022-12-27T00:00:00"/>
    <d v="2023-01-16T00:00:00"/>
    <s v="из резерва (учитываем)"/>
    <n v="475"/>
    <s v="Зверев Тихон Борисович"/>
    <n v="602"/>
    <s v="Поминов Федот Денисович"/>
    <s v="линейный_руководитель_2"/>
    <s v="Подразделение33"/>
    <x v="0"/>
    <x v="0"/>
    <n v="1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145"/>
    <x v="490"/>
    <n v="33"/>
    <s v="Подразделение33"/>
    <s v="подразделение_2_уровня33"/>
    <s v="-"/>
    <s v="руководитель_среднего_уровня_4"/>
    <n v="6"/>
    <s v="да"/>
    <d v="2022-12-27T00:00:00"/>
    <d v="2023-01-16T00:00:00"/>
    <s v="из резерва (учитываем)"/>
    <n v="475"/>
    <s v="Зверев Тихон Борисович"/>
    <n v="475"/>
    <s v="Зверев Тихон Борисович"/>
    <s v="линейный_руководитель_2"/>
    <s v="Подразделение33"/>
    <x v="1"/>
    <x v="1"/>
    <n v="1"/>
    <n v="1"/>
    <s v="назначение на целевую должность"/>
    <d v="2023-01-16T00:00:00"/>
    <s v="не рассматривали"/>
    <s v="протокол-№-27.12.2022"/>
  </r>
  <r>
    <s v="Функциональное направление 7"/>
    <n v="3"/>
    <d v="2018-10-26T00:00:00"/>
    <n v="1"/>
    <s v="не защищена"/>
    <n v="500025"/>
    <x v="491"/>
    <n v="32"/>
    <s v="Подразделение32"/>
    <s v="подразделение_2_уровня32"/>
    <s v="-"/>
    <s v="ТОП_руководитель_2"/>
    <n v="4"/>
    <s v="нет"/>
    <m/>
    <m/>
    <m/>
    <n v="476"/>
    <s v="Конеев Потап Романович"/>
    <n v="487"/>
    <s v="Конеев Николай Анатольевич"/>
    <s v="руководитель_среднего_уровня_2"/>
    <s v="Подразделение32"/>
    <x v="1"/>
    <x v="0"/>
    <n v="1"/>
    <n v="0"/>
    <m/>
    <m/>
    <s v="без изменений"/>
    <s v="протокол-№-29.11.2022"/>
  </r>
  <r>
    <s v="Функциональное направление 7"/>
    <n v="3"/>
    <d v="2018-10-26T00:00:00"/>
    <n v="0"/>
    <s v="не защищена"/>
    <n v="500025"/>
    <x v="491"/>
    <n v="32"/>
    <s v="Подразделение32"/>
    <s v="подразделение_2_уровня32"/>
    <s v="-"/>
    <s v="ТОП_руководитель_2"/>
    <n v="4"/>
    <s v="нет"/>
    <m/>
    <m/>
    <m/>
    <n v="476"/>
    <s v="Конеев Потап Романович"/>
    <n v="1564"/>
    <s v="Брежнев Виталий Михайлович"/>
    <s v="руководитель_среднего_уровня_4"/>
    <s v="Подразделение32"/>
    <x v="2"/>
    <x v="0"/>
    <n v="1"/>
    <n v="0"/>
    <m/>
    <m/>
    <s v="без изменений"/>
    <s v="протокол-№-29.11.2022"/>
  </r>
  <r>
    <s v="Функциональное направление 7"/>
    <n v="3"/>
    <d v="2022-11-29T00:00:00"/>
    <n v="0"/>
    <s v="не защищена"/>
    <n v="500025"/>
    <x v="491"/>
    <n v="32"/>
    <s v="Подразделение32"/>
    <s v="подразделение_2_уровня32"/>
    <s v="-"/>
    <s v="ТОП_руководитель_2"/>
    <n v="4"/>
    <s v="нет"/>
    <m/>
    <m/>
    <m/>
    <n v="476"/>
    <s v="Конеев Потап Романович"/>
    <n v="479"/>
    <s v="Волков Тихон Романович"/>
    <s v="руководитель_среднего_уровня_2"/>
    <s v="Подразделение32"/>
    <x v="0"/>
    <x v="0"/>
    <n v="1"/>
    <n v="0"/>
    <m/>
    <m/>
    <s v="не рассматривали"/>
    <s v="протокол-№-29.11.2022"/>
  </r>
  <r>
    <s v="Функциональное направление 8"/>
    <n v="3"/>
    <d v="2018-10-26T00:00:00"/>
    <n v="1"/>
    <s v="не защищена"/>
    <n v="500026"/>
    <x v="492"/>
    <n v="34"/>
    <s v="Подразделение34"/>
    <s v="подразделение_2_уровня34"/>
    <s v="-"/>
    <s v="ТОП_руководитель_2"/>
    <n v="5"/>
    <s v="нет"/>
    <m/>
    <m/>
    <m/>
    <n v="477"/>
    <s v="Чистяков Кирилл Иванович"/>
    <n v="529"/>
    <s v="Зверев Тихон Кондратьевич"/>
    <s v="руководитель_среднего_уровня_4"/>
    <s v="Подразделение34"/>
    <x v="1"/>
    <x v="0"/>
    <n v="1"/>
    <n v="0"/>
    <m/>
    <m/>
    <s v="без изменений"/>
    <s v="протокол-№-08.08.2022"/>
  </r>
  <r>
    <s v="Функциональное направление 8"/>
    <n v="3"/>
    <d v="2018-10-26T00:00:00"/>
    <n v="0"/>
    <s v="не защищена"/>
    <n v="500026"/>
    <x v="492"/>
    <n v="34"/>
    <s v="Подразделение34"/>
    <s v="подразделение_2_уровня34"/>
    <s v="-"/>
    <s v="ТОП_руководитель_2"/>
    <n v="5"/>
    <s v="нет"/>
    <m/>
    <m/>
    <m/>
    <n v="477"/>
    <s v="Чистяков Кирилл Иванович"/>
    <n v="517"/>
    <s v="Русланов Еремей Романович"/>
    <s v="линейный_руководитель_3"/>
    <s v="Подразделение34"/>
    <x v="0"/>
    <x v="0"/>
    <n v="1"/>
    <n v="0"/>
    <m/>
    <m/>
    <s v="без изменений"/>
    <s v="протокол-№-08.08.2022"/>
  </r>
  <r>
    <s v="Функциональное направление 7"/>
    <n v="3"/>
    <d v="2020-10-08T00:00:00"/>
    <n v="1"/>
    <s v="не защищена"/>
    <n v="500147"/>
    <x v="493"/>
    <n v="32"/>
    <s v="Подразделение32"/>
    <s v="подразделение_2_уровня32"/>
    <s v="-"/>
    <s v="руководитель_среднего_уровня_2"/>
    <n v="5"/>
    <s v="нет"/>
    <m/>
    <m/>
    <m/>
    <n v="479"/>
    <s v="Волков Тихон Романович"/>
    <n v="1565"/>
    <s v="Степанов Афанасий Геннадьевич"/>
    <s v="руководитель_среднего_уровня_4"/>
    <s v="Подразделение32"/>
    <x v="1"/>
    <x v="2"/>
    <n v="1"/>
    <n v="0"/>
    <s v="увольнение"/>
    <d v="2023-06-06T00:00:00"/>
    <s v="повышение"/>
    <s v="протокол-№-08.10.2020"/>
  </r>
  <r>
    <s v="Функциональное направление 7"/>
    <n v="3"/>
    <d v="2022-06-21T00:00:00"/>
    <n v="0"/>
    <s v="не защищена"/>
    <n v="500147"/>
    <x v="493"/>
    <n v="32"/>
    <s v="Подразделение32"/>
    <s v="подразделение_2_уровня32"/>
    <s v="-"/>
    <s v="руководитель_среднего_уровня_2"/>
    <n v="5"/>
    <s v="нет"/>
    <m/>
    <m/>
    <m/>
    <n v="479"/>
    <s v="Волков Тихон Романович"/>
    <n v="1566"/>
    <s v="Игнатьев Виталий Геннадьевич"/>
    <s v="руководитель_среднего_уровня_4"/>
    <s v="Подразделение32"/>
    <x v="1"/>
    <x v="0"/>
    <n v="1"/>
    <n v="0"/>
    <m/>
    <m/>
    <s v="не рассматривали"/>
    <s v="протокол-№-21.06.2022"/>
  </r>
  <r>
    <s v="Функциональное направление 7"/>
    <n v="3"/>
    <d v="2019-12-26T00:00:00"/>
    <n v="1"/>
    <s v="не защищена"/>
    <n v="500029"/>
    <x v="494"/>
    <n v="213"/>
    <s v="Подразделение213"/>
    <s v="подразделение_2_уровня213"/>
    <s v="-"/>
    <s v="ТОП_руководитель_2"/>
    <n v="4"/>
    <s v="нет"/>
    <m/>
    <m/>
    <m/>
    <n v="480"/>
    <s v="Романов Кирилл Владимирович"/>
    <n v="1567"/>
    <s v="Ветров Савелий Геннадьевич"/>
    <s v="линейный_руководитель_3"/>
    <s v="Подразделение213"/>
    <x v="1"/>
    <x v="0"/>
    <n v="1"/>
    <n v="0"/>
    <m/>
    <m/>
    <s v="повышение"/>
    <s v="протокол-№-29.11.2022"/>
  </r>
  <r>
    <s v="Функциональное направление 7"/>
    <n v="3"/>
    <d v="2019-12-26T00:00:00"/>
    <n v="0"/>
    <s v="не защищена"/>
    <n v="500029"/>
    <x v="494"/>
    <n v="213"/>
    <s v="Подразделение213"/>
    <s v="подразделение_2_уровня213"/>
    <s v="-"/>
    <s v="ТОП_руководитель_2"/>
    <n v="4"/>
    <s v="нет"/>
    <m/>
    <m/>
    <m/>
    <n v="480"/>
    <s v="Романов Кирилл Владимирович"/>
    <n v="578"/>
    <s v="Бураков Валерий Григорьевич"/>
    <s v="руководитель_среднего_уровня_2"/>
    <s v="Подразделение213"/>
    <x v="0"/>
    <x v="0"/>
    <n v="1"/>
    <n v="0"/>
    <m/>
    <m/>
    <s v="повышение"/>
    <s v="протокол-№-29.11.2022"/>
  </r>
  <r>
    <s v="Функциональное направление 7"/>
    <n v="3"/>
    <d v="2019-12-26T00:00:00"/>
    <n v="0"/>
    <s v="не защищена"/>
    <n v="500029"/>
    <x v="494"/>
    <n v="213"/>
    <s v="Подразделение213"/>
    <s v="подразделение_2_уровня213"/>
    <s v="-"/>
    <s v="ТОП_руководитель_2"/>
    <n v="4"/>
    <s v="нет"/>
    <m/>
    <m/>
    <m/>
    <n v="480"/>
    <s v="Романов Кирилл Владимирович"/>
    <n v="625"/>
    <s v="Романов Кирилл Кириллович"/>
    <s v="руководитель_среднего_уровня_2"/>
    <s v="Подразделение213"/>
    <x v="0"/>
    <x v="0"/>
    <n v="1"/>
    <n v="0"/>
    <m/>
    <m/>
    <s v="повышение"/>
    <s v="протокол-№-29.11.2022"/>
  </r>
  <r>
    <s v="Функциональное направление 7"/>
    <n v="3"/>
    <d v="2019-12-11T00:00:00"/>
    <n v="1"/>
    <s v="не защищена"/>
    <n v="500030"/>
    <x v="495"/>
    <n v="218"/>
    <s v="Подразделение218"/>
    <s v="подразделение_2_уровня218"/>
    <s v="-"/>
    <s v="ТОП_руководитель_2"/>
    <n v="4"/>
    <s v="нет"/>
    <m/>
    <m/>
    <m/>
    <n v="481"/>
    <s v="Русланов Тихон Константинович"/>
    <n v="570"/>
    <s v="Конеев Тихон Владимирович"/>
    <s v="руководитель_среднего_уровня_2"/>
    <s v="Подразделение218"/>
    <x v="2"/>
    <x v="0"/>
    <n v="1"/>
    <n v="0"/>
    <m/>
    <m/>
    <s v="без изменений"/>
    <s v="протокол-№-29.11.2022"/>
  </r>
  <r>
    <s v="Функциональное направление 7"/>
    <n v="3"/>
    <d v="2019-12-11T00:00:00"/>
    <n v="0"/>
    <s v="не защищена"/>
    <n v="500030"/>
    <x v="495"/>
    <n v="218"/>
    <s v="Подразделение218"/>
    <s v="подразделение_2_уровня218"/>
    <s v="-"/>
    <s v="ТОП_руководитель_2"/>
    <n v="4"/>
    <s v="нет"/>
    <m/>
    <m/>
    <m/>
    <n v="481"/>
    <s v="Русланов Тихон Константинович"/>
    <n v="1568"/>
    <s v="Дорофеев Савелий Богданович"/>
    <s v="линейный_руководитель_3"/>
    <s v="Подразделение218"/>
    <x v="1"/>
    <x v="0"/>
    <n v="1"/>
    <n v="0"/>
    <m/>
    <m/>
    <s v="повышение"/>
    <s v="протокол-№-29.11.2022"/>
  </r>
  <r>
    <s v="Функциональное направление 7"/>
    <n v="3"/>
    <d v="2022-11-29T00:00:00"/>
    <n v="0"/>
    <s v="не защищена"/>
    <n v="500030"/>
    <x v="495"/>
    <n v="218"/>
    <s v="Подразделение218"/>
    <s v="подразделение_2_уровня218"/>
    <s v="-"/>
    <s v="ТОП_руководитель_2"/>
    <n v="4"/>
    <s v="нет"/>
    <m/>
    <m/>
    <m/>
    <n v="481"/>
    <s v="Русланов Тихон Константинович"/>
    <n v="574"/>
    <s v="Вобликов Валерий Григорьевич"/>
    <s v="руководитель_среднего_уровня_2"/>
    <s v="Подразделение218"/>
    <x v="2"/>
    <x v="0"/>
    <n v="1"/>
    <n v="0"/>
    <m/>
    <m/>
    <s v="не рассматривали"/>
    <s v="протокол-№-29.11.2022"/>
  </r>
  <r>
    <s v="Функциональное направление 7"/>
    <n v="3"/>
    <d v="2018-04-24T00:00:00"/>
    <n v="0"/>
    <s v="не защищена"/>
    <n v="500030"/>
    <x v="495"/>
    <n v="218"/>
    <s v="Подразделение218"/>
    <s v="подразделение_2_уровня218"/>
    <s v="-"/>
    <s v="ТОП_руководитель_2"/>
    <n v="4"/>
    <s v="нет"/>
    <m/>
    <m/>
    <m/>
    <n v="481"/>
    <s v="Русланов Тихон Константинович"/>
    <n v="1569"/>
    <s v="Игнатьев Афанасий Никитинич"/>
    <s v="функциональный_руководитель_2"/>
    <s v="Подразделение218"/>
    <x v="2"/>
    <x v="2"/>
    <n v="1"/>
    <n v="0"/>
    <s v="прочее (перевод в другое СП / на другое предприятие)"/>
    <d v="2022-11-29T00:00:00"/>
    <s v="исключение"/>
    <s v="протокол-№-29.11.2022"/>
  </r>
  <r>
    <s v="Функциональное направление 7"/>
    <n v="3"/>
    <d v="2018-04-24T00:00:00"/>
    <n v="1"/>
    <s v="не защищена"/>
    <n v="500031"/>
    <x v="496"/>
    <n v="214"/>
    <s v="Подразделение214"/>
    <s v="подразделение_2_уровня214"/>
    <s v="-"/>
    <s v="ТОП_руководитель_2"/>
    <n v="4"/>
    <s v="нет"/>
    <m/>
    <m/>
    <m/>
    <n v="482"/>
    <s v="Бураков Валерий Юрьевич"/>
    <n v="568"/>
    <s v="Баранкин Валерий Денисович"/>
    <s v="руководитель_среднего_уровня_2"/>
    <s v="Подразделение214"/>
    <x v="1"/>
    <x v="0"/>
    <n v="1"/>
    <n v="0"/>
    <m/>
    <m/>
    <s v="повышение"/>
    <s v="протокол-№-29.11.2022"/>
  </r>
  <r>
    <s v="Функциональное направление 7"/>
    <n v="3"/>
    <d v="2022-11-29T00:00:00"/>
    <n v="0"/>
    <s v="не защищена"/>
    <n v="500031"/>
    <x v="496"/>
    <n v="214"/>
    <s v="Подразделение214"/>
    <s v="подразделение_2_уровня214"/>
    <s v="-"/>
    <s v="ТОП_руководитель_2"/>
    <n v="4"/>
    <s v="нет"/>
    <m/>
    <m/>
    <m/>
    <n v="482"/>
    <s v="Бураков Валерий Юрьевич"/>
    <n v="572"/>
    <s v="Романов Тихон Тимофеевич"/>
    <s v="руководитель_среднего_уровня_2"/>
    <s v="Подразделение214"/>
    <x v="2"/>
    <x v="0"/>
    <n v="1"/>
    <n v="0"/>
    <m/>
    <m/>
    <s v="не рассматривали"/>
    <s v="протокол-№-29.11.2022"/>
  </r>
  <r>
    <s v="Функциональное направление 7"/>
    <n v="3"/>
    <d v="2018-04-24T00:00:00"/>
    <n v="0"/>
    <s v="не защищена"/>
    <n v="500031"/>
    <x v="496"/>
    <n v="214"/>
    <s v="Подразделение214"/>
    <s v="подразделение_2_уровня214"/>
    <s v="-"/>
    <s v="ТОП_руководитель_2"/>
    <n v="4"/>
    <s v="нет"/>
    <m/>
    <m/>
    <m/>
    <n v="482"/>
    <s v="Бураков Валерий Юрьевич"/>
    <n v="1571"/>
    <s v="Степанов Глеб Ефремович"/>
    <s v="ТОП_руководитель_2"/>
    <s v="Подразделение_др1"/>
    <x v="2"/>
    <x v="2"/>
    <n v="1"/>
    <n v="0"/>
    <s v="назначение на должность более высокого уровня"/>
    <d v="2022-11-29T00:00:00"/>
    <s v="без изменений"/>
    <s v="протокол-№-11.12.2019"/>
  </r>
  <r>
    <s v="Функциональное направление 8"/>
    <n v="3"/>
    <d v="2020-10-08T00:00:00"/>
    <n v="1"/>
    <s v="не защищена"/>
    <n v="500032"/>
    <x v="497"/>
    <n v="33"/>
    <s v="Подразделение33"/>
    <s v="подразделение_2_уровня33"/>
    <s v="-"/>
    <s v="ТОП_руководитель_2"/>
    <n v="5"/>
    <s v="нет"/>
    <m/>
    <m/>
    <m/>
    <n v="483"/>
    <s v="Нырков Николай Григорьевич"/>
    <n v="472"/>
    <s v="Баранкин Венедикт Григорьевич"/>
    <s v="руководитель_среднего_уровня_4"/>
    <s v="Подразделение33"/>
    <x v="0"/>
    <x v="0"/>
    <n v="1"/>
    <n v="0"/>
    <m/>
    <m/>
    <s v="повышение"/>
    <s v="протокол-№-08.08.2022"/>
  </r>
  <r>
    <s v="Функциональное направление 8"/>
    <n v="3"/>
    <d v="2020-10-06T00:00:00"/>
    <n v="0"/>
    <s v="не защищена"/>
    <n v="500032"/>
    <x v="497"/>
    <n v="33"/>
    <s v="Подразделение33"/>
    <s v="подразделение_2_уровня33"/>
    <s v="-"/>
    <s v="ТОП_руководитель_2"/>
    <n v="5"/>
    <s v="нет"/>
    <m/>
    <m/>
    <m/>
    <n v="483"/>
    <s v="Нырков Николай Григорьевич"/>
    <n v="471"/>
    <s v="Русланов Тихон Денисович"/>
    <s v="руководитель_среднего_уровня_4"/>
    <s v="Подразделение33"/>
    <x v="0"/>
    <x v="0"/>
    <n v="1"/>
    <n v="0"/>
    <m/>
    <m/>
    <s v="без изменений"/>
    <s v="протокол-№-08.08.2022"/>
  </r>
  <r>
    <s v="Функциональное направление 7"/>
    <n v="3"/>
    <d v="2018-10-26T00:00:00"/>
    <n v="1"/>
    <s v="не защищена"/>
    <n v="500148"/>
    <x v="498"/>
    <n v="32"/>
    <s v="Подразделение32"/>
    <s v="подразделение_2_уровня32"/>
    <s v="-"/>
    <s v="руководитель_среднего_уровня_2"/>
    <n v="5"/>
    <s v="нет"/>
    <m/>
    <m/>
    <m/>
    <n v="484"/>
    <s v="Бураков Валерий Анатольевич"/>
    <n v="1572"/>
    <s v="Незнамов Савелий Климович"/>
    <s v="руководитель_среднего_уровня_4"/>
    <s v="Подразделение32"/>
    <x v="1"/>
    <x v="0"/>
    <n v="1"/>
    <n v="0"/>
    <m/>
    <m/>
    <s v="без изменений"/>
    <s v="протокол-№-21.06.2022"/>
  </r>
  <r>
    <s v="Функциональное направление 7"/>
    <n v="3"/>
    <d v="2022-06-21T00:00:00"/>
    <n v="0"/>
    <s v="не защищена"/>
    <n v="500148"/>
    <x v="498"/>
    <n v="32"/>
    <s v="Подразделение32"/>
    <s v="подразделение_2_уровня32"/>
    <s v="-"/>
    <s v="руководитель_среднего_уровня_2"/>
    <n v="5"/>
    <s v="нет"/>
    <m/>
    <m/>
    <m/>
    <n v="484"/>
    <s v="Бураков Валерий Анатольевич"/>
    <n v="1573"/>
    <s v="Тимофеев Савелий Богданович"/>
    <s v="функциональный_руководитель_1"/>
    <s v="Подразделение32"/>
    <x v="2"/>
    <x v="0"/>
    <n v="1"/>
    <n v="0"/>
    <m/>
    <m/>
    <s v="без изменений"/>
    <s v="протокол-№-21.06.2022"/>
  </r>
  <r>
    <s v="Функциональное направление 8"/>
    <n v="3"/>
    <d v="2018-10-26T00:00:00"/>
    <n v="1"/>
    <s v="не защищена"/>
    <n v="500033"/>
    <x v="499"/>
    <n v="36"/>
    <s v="Подразделение36"/>
    <s v="подразделение_2_уровня36"/>
    <s v="-"/>
    <s v="ТОП_руководитель_2"/>
    <n v="5"/>
    <s v="да"/>
    <d v="2022-05-26T00:00:00"/>
    <d v="2022-06-07T00:00:00"/>
    <s v="из резерва (учитываем)"/>
    <n v="485"/>
    <s v="Баранкин Валерий Кондратьевич"/>
    <n v="1574"/>
    <s v="Игнатьев Виталий Богданович"/>
    <s v="Рабочий"/>
    <s v="Подразделение36"/>
    <x v="2"/>
    <x v="0"/>
    <n v="1"/>
    <n v="0"/>
    <m/>
    <m/>
    <s v="без изменений"/>
    <s v="протокол-№-08.08.2022"/>
  </r>
  <r>
    <s v="Функциональное направление 8"/>
    <n v="3"/>
    <d v="2018-10-26T00:00:00"/>
    <n v="0"/>
    <s v="не защищена"/>
    <n v="500033"/>
    <x v="499"/>
    <n v="36"/>
    <s v="Подразделение36"/>
    <s v="подразделение_2_уровня36"/>
    <s v="-"/>
    <s v="ТОП_руководитель_2"/>
    <n v="5"/>
    <s v="да"/>
    <d v="2022-05-26T00:00:00"/>
    <d v="2022-06-07T00:00:00"/>
    <s v="из резерва (учитываем)"/>
    <n v="485"/>
    <s v="Баранкин Валерий Кондратьевич"/>
    <n v="614"/>
    <s v="Баранкин Тихон Анатольевич"/>
    <s v="линейный_руководитель_3"/>
    <s v="Подразделение94"/>
    <x v="2"/>
    <x v="0"/>
    <n v="1"/>
    <n v="0"/>
    <m/>
    <m/>
    <s v="без изменений"/>
    <s v="протокол-№-08.08.2022"/>
  </r>
  <r>
    <s v="Функциональное направление 8"/>
    <n v="3"/>
    <d v="2020-10-08T00:00:00"/>
    <n v="0"/>
    <s v="не защищена"/>
    <n v="500033"/>
    <x v="499"/>
    <n v="36"/>
    <s v="Подразделение36"/>
    <s v="подразделение_2_уровня36"/>
    <s v="-"/>
    <s v="ТОП_руководитель_2"/>
    <n v="5"/>
    <s v="да"/>
    <d v="2022-05-26T00:00:00"/>
    <d v="2022-06-07T00:00:00"/>
    <s v="из резерва (учитываем)"/>
    <n v="485"/>
    <s v="Баранкин Валерий Кондратьевич"/>
    <n v="1575"/>
    <s v="Ветров Виталий Герасимович"/>
    <s v="руководитель_среднего_уровня_4"/>
    <s v="Подразделение36"/>
    <x v="0"/>
    <x v="0"/>
    <n v="1"/>
    <n v="0"/>
    <m/>
    <m/>
    <s v="повышение"/>
    <s v="протокол-№-08.08.2022"/>
  </r>
  <r>
    <s v="Функциональное направление 8"/>
    <n v="3"/>
    <d v="2018-10-26T00:00:00"/>
    <n v="0"/>
    <s v="не защищена"/>
    <n v="500033"/>
    <x v="499"/>
    <n v="36"/>
    <s v="Подразделение36"/>
    <s v="подразделение_2_уровня36"/>
    <s v="-"/>
    <s v="ТОП_руководитель_2"/>
    <n v="5"/>
    <s v="да"/>
    <d v="2022-05-26T00:00:00"/>
    <d v="2022-06-07T00:00:00"/>
    <s v="из резерва (учитываем)"/>
    <n v="485"/>
    <s v="Баранкин Валерий Кондратьевич"/>
    <n v="485"/>
    <s v="Баранкин Валерий Кондратьевич"/>
    <s v="руководитель_среднего_уровня_4"/>
    <s v="Подразделение36"/>
    <x v="0"/>
    <x v="1"/>
    <n v="1"/>
    <n v="1"/>
    <s v="назначение на целевую должность"/>
    <d v="2022-06-07T00:00:00"/>
    <s v="повышение"/>
    <s v="протокол-№-08.10.2020"/>
  </r>
  <r>
    <s v="Функциональное направление 8"/>
    <n v="3"/>
    <d v="2018-10-26T00:00:00"/>
    <n v="1"/>
    <s v="не защищена"/>
    <n v="500034"/>
    <x v="500"/>
    <n v="47"/>
    <s v="Подразделение47"/>
    <s v="подразделение_2_уровня47"/>
    <s v="-"/>
    <s v="ТОП_руководитель_2"/>
    <n v="5"/>
    <s v="да"/>
    <d v="2021-09-01T00:00:00"/>
    <d v="2021-09-01T00:00:00"/>
    <s v="из резерва (учитываем)"/>
    <n v="486"/>
    <s v="Романов Венедикт Юрьевич"/>
    <n v="497"/>
    <s v="Баранкин Федот Владимирович"/>
    <s v="функциональный_руководитель_1"/>
    <s v="Подразделение94"/>
    <x v="1"/>
    <x v="0"/>
    <n v="1"/>
    <n v="0"/>
    <m/>
    <m/>
    <s v="без изменений"/>
    <s v="протокол-№-08.08.2022"/>
  </r>
  <r>
    <s v="Функциональное направление 8"/>
    <n v="3"/>
    <d v="2018-10-26T00:00:00"/>
    <n v="0"/>
    <s v="не защищена"/>
    <n v="500034"/>
    <x v="500"/>
    <n v="47"/>
    <s v="Подразделение47"/>
    <s v="подразделение_2_уровня47"/>
    <s v="-"/>
    <s v="ТОП_руководитель_2"/>
    <n v="5"/>
    <s v="да"/>
    <d v="2021-09-01T00:00:00"/>
    <d v="2021-09-01T00:00:00"/>
    <s v="из резерва (учитываем)"/>
    <n v="486"/>
    <s v="Романов Венедикт Юрьевич"/>
    <n v="1576"/>
    <s v="Степанов Юрий Геннадьевич"/>
    <s v="руководитель_среднего_уровня_4"/>
    <s v="Подразделение47"/>
    <x v="0"/>
    <x v="0"/>
    <n v="1"/>
    <n v="0"/>
    <m/>
    <m/>
    <s v="повышение"/>
    <s v="протокол-№-08.08.2022"/>
  </r>
  <r>
    <s v="Функциональное направление 8"/>
    <n v="3"/>
    <d v="2018-10-26T00:00:00"/>
    <n v="0"/>
    <s v="не защищена"/>
    <n v="500034"/>
    <x v="500"/>
    <n v="47"/>
    <s v="Подразделение47"/>
    <s v="подразделение_2_уровня47"/>
    <s v="-"/>
    <s v="ТОП_руководитель_2"/>
    <n v="5"/>
    <s v="да"/>
    <d v="2021-09-01T00:00:00"/>
    <d v="2021-09-01T00:00:00"/>
    <s v="из резерва (учитываем)"/>
    <n v="486"/>
    <s v="Романов Венедикт Юрьевич"/>
    <n v="486"/>
    <s v="Романов Венедикт Юрьевич"/>
    <s v="линейный_руководитель_3"/>
    <s v="Подразделение47"/>
    <x v="0"/>
    <x v="1"/>
    <n v="1"/>
    <n v="1"/>
    <s v="назначение на целевую должность"/>
    <d v="2021-09-01T00:00:00"/>
    <s v="повышение"/>
    <s v="протокол-№-08.10.2020"/>
  </r>
  <r>
    <s v="Функциональное направление 7"/>
    <n v="3"/>
    <d v="2020-10-08T00:00:00"/>
    <n v="1"/>
    <s v="не защищена"/>
    <n v="500149"/>
    <x v="501"/>
    <n v="32"/>
    <s v="Подразделение32"/>
    <s v="подразделение_2_уровня32"/>
    <s v="-"/>
    <s v="руководитель_среднего_уровня_2"/>
    <n v="5"/>
    <s v="нет"/>
    <m/>
    <m/>
    <m/>
    <n v="487"/>
    <s v="Конеев Николай Анатольевич"/>
    <n v="1566"/>
    <s v="Игнатьев Виталий Геннадьевич"/>
    <s v="руководитель_среднего_уровня_4"/>
    <s v="Подразделение32"/>
    <x v="1"/>
    <x v="0"/>
    <n v="1"/>
    <n v="0"/>
    <m/>
    <m/>
    <s v="повышение"/>
    <s v="протокол-№-21.06.2022"/>
  </r>
  <r>
    <s v="Функциональное направление 7"/>
    <n v="3"/>
    <d v="2022-06-21T00:00:00"/>
    <n v="0"/>
    <s v="не защищена"/>
    <n v="500149"/>
    <x v="501"/>
    <n v="32"/>
    <s v="Подразделение32"/>
    <s v="подразделение_2_уровня32"/>
    <s v="-"/>
    <s v="руководитель_среднего_уровня_2"/>
    <n v="5"/>
    <s v="нет"/>
    <m/>
    <m/>
    <m/>
    <n v="487"/>
    <s v="Конеев Николай Анатольевич"/>
    <n v="1577"/>
    <s v="Незнамов Константин Геннадьевич"/>
    <s v="руководитель_среднего_уровня_4"/>
    <s v="Подразделение32"/>
    <x v="2"/>
    <x v="0"/>
    <n v="1"/>
    <n v="0"/>
    <m/>
    <m/>
    <s v="не рассматривали"/>
    <s v="протокол-№-21.06.2022"/>
  </r>
  <r>
    <s v="Функциональное направление 8"/>
    <n v="4"/>
    <d v="2022-01-27T00:00:00"/>
    <n v="1"/>
    <s v="не защищена"/>
    <n v="500150"/>
    <x v="502"/>
    <n v="31"/>
    <s v="Подразделение31"/>
    <s v="подразделение_2_уровня31"/>
    <s v="-"/>
    <s v="функциональный_руководитель_1"/>
    <n v="6"/>
    <s v="нет"/>
    <m/>
    <m/>
    <m/>
    <n v="488"/>
    <s v="Цветков Николай Иванович"/>
    <n v="468"/>
    <s v="Нырков Федот Максимович"/>
    <s v="линейный_руководитель_2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7"/>
    <n v="2"/>
    <d v="2019-12-11T00:00:00"/>
    <n v="1"/>
    <s v="не защищена"/>
    <n v="500546"/>
    <x v="503"/>
    <n v="262"/>
    <s v="Подразделение262"/>
    <s v="подразделение_2_уровня262"/>
    <s v="-"/>
    <s v="ТОП_руководитель_1"/>
    <n v="3"/>
    <s v="нет"/>
    <m/>
    <m/>
    <m/>
    <n v="489"/>
    <s v="Аксенов Кирилл Денисович"/>
    <n v="613"/>
    <s v="Вобликов Алексей Иванович"/>
    <s v="ТОП_руководитель_3"/>
    <s v="Подразделение262"/>
    <x v="0"/>
    <x v="0"/>
    <n v="1"/>
    <n v="0"/>
    <m/>
    <m/>
    <s v="без изменений"/>
    <s v="протокол-№-21.12.2022"/>
  </r>
  <r>
    <s v="Функциональное направление 7"/>
    <n v="2"/>
    <d v="2019-12-11T00:00:00"/>
    <n v="0"/>
    <s v="не защищена"/>
    <n v="500546"/>
    <x v="503"/>
    <n v="262"/>
    <s v="Подразделение262"/>
    <s v="подразделение_2_уровня262"/>
    <s v="-"/>
    <s v="ТОП_руководитель_1"/>
    <n v="3"/>
    <s v="нет"/>
    <m/>
    <m/>
    <m/>
    <n v="489"/>
    <s v="Аксенов Кирилл Денисович"/>
    <n v="482"/>
    <s v="Бураков Валерий Юрьевич"/>
    <s v="ТОП_руководитель_2"/>
    <s v="Подразделение214"/>
    <x v="0"/>
    <x v="0"/>
    <n v="1"/>
    <n v="0"/>
    <m/>
    <m/>
    <s v="без изменений"/>
    <s v="протокол-№-21.12.2022"/>
  </r>
  <r>
    <s v="Функциональное направление 7"/>
    <n v="2"/>
    <d v="2019-12-11T00:00:00"/>
    <n v="0"/>
    <s v="не защищена"/>
    <n v="500546"/>
    <x v="503"/>
    <n v="262"/>
    <s v="Подразделение262"/>
    <s v="подразделение_2_уровня262"/>
    <s v="-"/>
    <s v="ТОП_руководитель_1"/>
    <n v="3"/>
    <s v="нет"/>
    <m/>
    <m/>
    <m/>
    <n v="489"/>
    <s v="Аксенов Кирилл Денисович"/>
    <n v="587"/>
    <s v="Волков Григорий Юрьевич"/>
    <s v="ТОП_руководитель_3"/>
    <s v="Подразделение358"/>
    <x v="0"/>
    <x v="0"/>
    <n v="1"/>
    <n v="0"/>
    <m/>
    <m/>
    <s v="без изменений"/>
    <s v="протокол-№-21.12.2022"/>
  </r>
  <r>
    <s v="Функциональное направление 7"/>
    <n v="2"/>
    <d v="2019-12-11T00:00:00"/>
    <n v="0"/>
    <s v="не защищена"/>
    <n v="500546"/>
    <x v="503"/>
    <n v="262"/>
    <s v="Подразделение262"/>
    <s v="подразделение_2_уровня262"/>
    <s v="-"/>
    <s v="ТОП_руководитель_1"/>
    <n v="3"/>
    <s v="нет"/>
    <m/>
    <m/>
    <m/>
    <n v="489"/>
    <s v="Аксенов Кирилл Денисович"/>
    <n v="606"/>
    <s v="Баранкин Алексей Денисович"/>
    <s v="ТОП_руководитель_3"/>
    <s v="Подразделение381"/>
    <x v="2"/>
    <x v="2"/>
    <n v="1"/>
    <n v="0"/>
    <s v="инициатива комитета / руководителя"/>
    <d v="2022-12-21T00:00:00"/>
    <s v="исключение"/>
    <s v="протокол-№-21.12.2022"/>
  </r>
  <r>
    <s v="Функциональное направление 8"/>
    <n v="3"/>
    <d v="2018-10-26T00:00:00"/>
    <n v="1"/>
    <s v="не защищена"/>
    <n v="500024"/>
    <x v="504"/>
    <n v="31"/>
    <s v="Подразделение31"/>
    <s v="подразделение_2_уровня31"/>
    <s v="-"/>
    <s v="ТОП_руководитель_2"/>
    <n v="5"/>
    <s v="нет"/>
    <m/>
    <m/>
    <m/>
    <n v="490"/>
    <s v="Волков Лавр Тимофеевич"/>
    <n v="546"/>
    <s v="Баранкин Кирилл Денисович"/>
    <s v="руководитель_среднего_уровня_4"/>
    <s v="Подразделение31"/>
    <x v="2"/>
    <x v="0"/>
    <n v="1"/>
    <n v="0"/>
    <m/>
    <m/>
    <s v="без изменений"/>
    <s v="протокол-№-08.08.2022"/>
  </r>
  <r>
    <s v="Функциональное направление 8"/>
    <n v="3"/>
    <d v="2020-10-08T00:00:00"/>
    <n v="0"/>
    <s v="не защищена"/>
    <n v="500024"/>
    <x v="504"/>
    <n v="31"/>
    <s v="Подразделение31"/>
    <s v="подразделение_2_уровня31"/>
    <s v="-"/>
    <s v="ТОП_руководитель_2"/>
    <n v="5"/>
    <s v="нет"/>
    <m/>
    <m/>
    <m/>
    <n v="490"/>
    <s v="Волков Лавр Тимофеевич"/>
    <n v="500"/>
    <s v="Аксенов Тихон Иванович"/>
    <s v="функциональный_руководитель_1"/>
    <s v="Подразделение94"/>
    <x v="2"/>
    <x v="0"/>
    <n v="1"/>
    <n v="0"/>
    <m/>
    <m/>
    <s v="без изменений"/>
    <s v="протокол-№-08.08.2022"/>
  </r>
  <r>
    <s v="Функциональное направление 8"/>
    <n v="3"/>
    <d v="2022-08-08T00:00:00"/>
    <n v="0"/>
    <s v="не защищена"/>
    <n v="500024"/>
    <x v="504"/>
    <n v="31"/>
    <s v="Подразделение31"/>
    <s v="подразделение_2_уровня31"/>
    <s v="-"/>
    <s v="ТОП_руководитель_2"/>
    <n v="5"/>
    <s v="нет"/>
    <m/>
    <m/>
    <m/>
    <n v="490"/>
    <s v="Волков Лавр Тимофеевич"/>
    <n v="539"/>
    <s v="Цветков Николай Тимофеевич"/>
    <s v="функциональный_руководитель_1"/>
    <s v="Подразделение31"/>
    <x v="2"/>
    <x v="0"/>
    <n v="1"/>
    <n v="0"/>
    <m/>
    <m/>
    <s v="не рассматривали"/>
    <s v="протокол-№-08.08.2022"/>
  </r>
  <r>
    <s v="Функциональное направление 8"/>
    <n v="3"/>
    <d v="2020-10-08T00:00:00"/>
    <n v="1"/>
    <s v="не защищена"/>
    <n v="500087"/>
    <x v="505"/>
    <n v="94"/>
    <s v="Подразделение94"/>
    <s v="подразделение_2_уровня94"/>
    <s v="-"/>
    <s v="линейный_руководитель_3"/>
    <n v="5"/>
    <s v="нет"/>
    <m/>
    <m/>
    <m/>
    <n v="491"/>
    <s v="Баранкин Венедикт Лаврович"/>
    <n v="509"/>
    <s v="Вобликов Еремей Максимович"/>
    <s v="функциональный_руководитель_3"/>
    <s v="Подразделение94"/>
    <x v="1"/>
    <x v="0"/>
    <n v="1"/>
    <n v="0"/>
    <m/>
    <m/>
    <s v="без изменений"/>
    <s v="протокол-№-08.08.2022"/>
  </r>
  <r>
    <s v="Функциональное направление 8"/>
    <n v="3"/>
    <d v="2018-04-24T00:00:00"/>
    <n v="1"/>
    <s v="не защищена"/>
    <n v="500735"/>
    <x v="506"/>
    <n v="94"/>
    <s v="Подразделение94"/>
    <s v="подразделение_2_уровня94"/>
    <s v="-"/>
    <s v="ТОП_руководитель_3"/>
    <n v="4"/>
    <s v="нет"/>
    <m/>
    <m/>
    <m/>
    <n v="492"/>
    <s v="Волков Валерий Романович"/>
    <n v="1579"/>
    <s v="Игнатьев Матвей Александрович"/>
    <s v="ТОП_руководитель_3"/>
    <s v="Подразделение_др14"/>
    <x v="1"/>
    <x v="0"/>
    <n v="1"/>
    <n v="0"/>
    <m/>
    <m/>
    <s v="повышение"/>
    <s v="протокол-№-29.11.2022"/>
  </r>
  <r>
    <s v="Функциональное направление 8"/>
    <n v="3"/>
    <d v="2018-04-24T00:00:00"/>
    <n v="0"/>
    <s v="не защищена"/>
    <n v="500735"/>
    <x v="506"/>
    <n v="94"/>
    <s v="Подразделение94"/>
    <s v="подразделение_2_уровня94"/>
    <s v="-"/>
    <s v="ТОП_руководитель_3"/>
    <n v="4"/>
    <s v="нет"/>
    <m/>
    <m/>
    <m/>
    <n v="492"/>
    <s v="Волков Валерий Романович"/>
    <n v="490"/>
    <s v="Волков Лавр Тимофеевич"/>
    <s v="ТОП_руководитель_2"/>
    <s v="Подразделение31"/>
    <x v="1"/>
    <x v="0"/>
    <n v="1"/>
    <n v="0"/>
    <m/>
    <m/>
    <s v="повышение"/>
    <s v="протокол-№-29.11.2022"/>
  </r>
  <r>
    <s v="Функциональное направление 8"/>
    <n v="3"/>
    <d v="2019-12-26T00:00:00"/>
    <n v="0"/>
    <s v="не защищена"/>
    <n v="500735"/>
    <x v="506"/>
    <n v="94"/>
    <s v="Подразделение94"/>
    <s v="подразделение_2_уровня94"/>
    <s v="-"/>
    <s v="ТОП_руководитель_3"/>
    <n v="4"/>
    <s v="нет"/>
    <m/>
    <m/>
    <m/>
    <n v="492"/>
    <s v="Волков Валерий Романович"/>
    <n v="1580"/>
    <s v="Тимофеев Савелий Богданович"/>
    <s v="руководитель_среднего_уровня_1"/>
    <s v="Подразделение_др15"/>
    <x v="0"/>
    <x v="0"/>
    <n v="1"/>
    <n v="0"/>
    <m/>
    <m/>
    <s v="повышение"/>
    <s v="протокол-№-29.11.2022"/>
  </r>
  <r>
    <s v="Функциональное направление 8"/>
    <n v="3"/>
    <d v="2022-11-29T00:00:00"/>
    <n v="0"/>
    <s v="не защищена"/>
    <n v="500735"/>
    <x v="506"/>
    <n v="94"/>
    <s v="Подразделение94"/>
    <s v="подразделение_2_уровня94"/>
    <s v="-"/>
    <s v="ТОП_руководитель_3"/>
    <n v="4"/>
    <s v="нет"/>
    <m/>
    <m/>
    <m/>
    <n v="492"/>
    <s v="Волков Валерий Романович"/>
    <n v="483"/>
    <s v="Нырков Николай Григорьевич"/>
    <s v="ТОП_руководитель_2"/>
    <s v="Подразделение33"/>
    <x v="2"/>
    <x v="0"/>
    <n v="1"/>
    <n v="0"/>
    <m/>
    <m/>
    <s v="не рассматривали"/>
    <s v="протокол-№-29.11.2022"/>
  </r>
  <r>
    <s v="Функциональное направление 8"/>
    <n v="3"/>
    <d v="2022-11-29T00:00:00"/>
    <n v="0"/>
    <s v="не защищена"/>
    <n v="500735"/>
    <x v="506"/>
    <n v="94"/>
    <s v="Подразделение94"/>
    <s v="подразделение_2_уровня94"/>
    <s v="-"/>
    <s v="ТОП_руководитель_3"/>
    <n v="4"/>
    <s v="нет"/>
    <m/>
    <m/>
    <m/>
    <n v="492"/>
    <s v="Волков Валерий Романович"/>
    <n v="622"/>
    <s v="Волков Валерий Кириллович"/>
    <s v="руководитель_среднего_уровня_1"/>
    <s v="Подразделение94"/>
    <x v="2"/>
    <x v="0"/>
    <n v="1"/>
    <n v="0"/>
    <m/>
    <m/>
    <s v="не рассматривали"/>
    <s v="протокол-№-29.11.2022"/>
  </r>
  <r>
    <s v="Функциональное направление 8"/>
    <n v="4"/>
    <d v="2022-12-27T00:00:00"/>
    <n v="1"/>
    <s v="не защищена"/>
    <n v="500736"/>
    <x v="507"/>
    <n v="94"/>
    <s v="Подразделение94"/>
    <s v="-"/>
    <s v="-"/>
    <s v="функциональный_руководитель_1"/>
    <n v="6"/>
    <s v="нет"/>
    <m/>
    <m/>
    <m/>
    <n v="494"/>
    <s v="Бураков Тихон Денисович"/>
    <n v="1581"/>
    <s v="Степанов Юрий Ефремович"/>
    <s v="Специалист"/>
    <s v="Подразделение9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0T00:00:00"/>
    <n v="0"/>
    <s v="не защищена"/>
    <n v="500736"/>
    <x v="507"/>
    <n v="94"/>
    <s v="Подразделение94"/>
    <s v="-"/>
    <s v="-"/>
    <s v="функциональный_руководитель_1"/>
    <n v="6"/>
    <s v="нет"/>
    <m/>
    <m/>
    <m/>
    <n v="494"/>
    <s v="Бураков Тихон Денисович"/>
    <n v="1582"/>
    <s v="Брежнев Кирилл Богданович"/>
    <s v="Специалист"/>
    <s v="Подразделение218"/>
    <x v="0"/>
    <x v="2"/>
    <n v="1"/>
    <n v="0"/>
    <s v="прочее (перевод в другое СП / на другое предприятие)"/>
    <d v="2022-12-27T00:00:00"/>
    <s v="исключение"/>
    <s v="протокол-№-27.12.2022"/>
  </r>
  <r>
    <s v="Функциональное направление 8"/>
    <n v="4"/>
    <d v="2021-12-20T00:00:00"/>
    <n v="0"/>
    <s v="не защищена"/>
    <n v="500736"/>
    <x v="507"/>
    <n v="94"/>
    <s v="Подразделение94"/>
    <s v="-"/>
    <s v="-"/>
    <s v="функциональный_руководитель_1"/>
    <n v="6"/>
    <s v="нет"/>
    <m/>
    <m/>
    <m/>
    <n v="494"/>
    <s v="Бураков Тихон Денисович"/>
    <n v="1583"/>
    <s v="Брежнев Кирилл Геннадьевич"/>
    <s v="Специалист"/>
    <s v="Подразделение94"/>
    <x v="2"/>
    <x v="2"/>
    <n v="1"/>
    <n v="0"/>
    <s v="самоотвод"/>
    <d v="2022-12-27T00:00:00"/>
    <s v="исключение"/>
    <s v="протокол-№-27.12.2022"/>
  </r>
  <r>
    <s v="Функциональное направление 8"/>
    <n v="4"/>
    <d v="2022-12-27T00:00:00"/>
    <n v="1"/>
    <s v="не защищена"/>
    <n v="500748"/>
    <x v="508"/>
    <n v="94"/>
    <s v="Подразделение94"/>
    <s v="подразделение_2_уровня94"/>
    <s v="-"/>
    <s v="функциональный_руководитель_1"/>
    <n v="6"/>
    <s v="нет"/>
    <m/>
    <m/>
    <m/>
    <n v="495"/>
    <s v="Баранкин Кирилл Григорьевич"/>
    <n v="1584"/>
    <s v="Брежнев Виталий Семенович"/>
    <s v="Специалист"/>
    <s v="Подразделение262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0T00:00:00"/>
    <n v="0"/>
    <s v="не защищена"/>
    <n v="500748"/>
    <x v="508"/>
    <n v="94"/>
    <s v="Подразделение94"/>
    <s v="подразделение_2_уровня94"/>
    <s v="-"/>
    <s v="функциональный_руководитель_1"/>
    <n v="6"/>
    <s v="нет"/>
    <m/>
    <m/>
    <m/>
    <n v="495"/>
    <s v="Баранкин Кирилл Григорьевич"/>
    <n v="561"/>
    <s v="Баранкин Тихон Владимирович"/>
    <s v="Рабочий"/>
    <s v="Подразделение33"/>
    <x v="2"/>
    <x v="2"/>
    <n v="1"/>
    <n v="0"/>
    <s v="назначение на равнозначную должность"/>
    <d v="2022-12-27T00:00:00"/>
    <s v="исключение"/>
    <s v="протокол-№-27.12.2022"/>
  </r>
  <r>
    <s v="Функциональное направление 8"/>
    <n v="4"/>
    <d v="2022-12-27T00:00:00"/>
    <n v="1"/>
    <s v="не защищена"/>
    <n v="500749"/>
    <x v="509"/>
    <n v="94"/>
    <s v="Подразделение94"/>
    <s v="подразделение_2_уровня94"/>
    <s v="-"/>
    <s v="функциональный_руководитель_1"/>
    <n v="6"/>
    <s v="нет"/>
    <m/>
    <m/>
    <m/>
    <n v="496"/>
    <s v="Аксенов Кирилл Романович"/>
    <n v="1585"/>
    <s v="Брежнев Арсений Кондратьевич"/>
    <s v="линейный_руководитель_2"/>
    <s v="Подразделение36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749"/>
    <x v="509"/>
    <n v="94"/>
    <s v="Подразделение94"/>
    <s v="подразделение_2_уровня94"/>
    <s v="-"/>
    <s v="функциональный_руководитель_1"/>
    <n v="6"/>
    <s v="нет"/>
    <m/>
    <m/>
    <m/>
    <n v="496"/>
    <s v="Аксенов Кирилл Романович"/>
    <n v="1586"/>
    <s v="Ветров Виталий Александрович"/>
    <s v="Специалист"/>
    <s v="Подразделение36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0T00:00:00"/>
    <n v="0"/>
    <s v="не защищена"/>
    <n v="500749"/>
    <x v="509"/>
    <n v="94"/>
    <s v="Подразделение94"/>
    <s v="подразделение_2_уровня94"/>
    <s v="-"/>
    <s v="функциональный_руководитель_1"/>
    <n v="6"/>
    <s v="нет"/>
    <m/>
    <m/>
    <m/>
    <n v="496"/>
    <s v="Аксенов Кирилл Романович"/>
    <n v="614"/>
    <s v="Баранкин Тихон Анатольевич"/>
    <s v="линейный_руководитель_3"/>
    <s v="Подразделение94"/>
    <x v="1"/>
    <x v="2"/>
    <n v="1"/>
    <n v="0"/>
    <s v="назначение на равнозначную должность"/>
    <d v="2022-05-18T00:00:00"/>
    <s v="исключение"/>
    <s v="протокол-№-27.12.2022"/>
  </r>
  <r>
    <s v="Функциональное направление 8"/>
    <n v="4"/>
    <d v="2022-12-27T00:00:00"/>
    <n v="1"/>
    <s v="не защищена"/>
    <n v="500750"/>
    <x v="510"/>
    <n v="94"/>
    <s v="Подразделение94"/>
    <s v="подразделение_2_уровня94"/>
    <s v="-"/>
    <s v="функциональный_руководитель_1"/>
    <n v="6"/>
    <s v="нет"/>
    <m/>
    <m/>
    <m/>
    <n v="497"/>
    <s v="Баранкин Федот Владимирович"/>
    <n v="1587"/>
    <s v="Ветров Афанасий Кондратьевич"/>
    <s v="линейный_руководитель_2"/>
    <s v="Подразделение47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750"/>
    <x v="510"/>
    <n v="94"/>
    <s v="Подразделение94"/>
    <s v="подразделение_2_уровня94"/>
    <s v="-"/>
    <s v="функциональный_руководитель_1"/>
    <n v="6"/>
    <s v="нет"/>
    <m/>
    <m/>
    <m/>
    <n v="497"/>
    <s v="Баранкин Федот Владимирович"/>
    <n v="1588"/>
    <s v="Ветров Савелий Ефремович"/>
    <s v="функциональный_руководитель_2"/>
    <s v="Подразделение_др14"/>
    <x v="2"/>
    <x v="2"/>
    <n v="0"/>
    <n v="0"/>
    <s v="назначение на равнозначную должность"/>
    <d v="2023-02-01T00:00:00"/>
    <s v="не рассматривали"/>
    <s v="протокол-№-27.12.2022"/>
  </r>
  <r>
    <s v="Функциональное направление 8"/>
    <n v="4"/>
    <d v="2021-12-20T00:00:00"/>
    <n v="0"/>
    <s v="не защищена"/>
    <n v="500750"/>
    <x v="510"/>
    <n v="94"/>
    <s v="Подразделение94"/>
    <s v="подразделение_2_уровня94"/>
    <s v="-"/>
    <s v="функциональный_руководитель_1"/>
    <n v="6"/>
    <s v="нет"/>
    <m/>
    <m/>
    <m/>
    <n v="497"/>
    <s v="Баранкин Федот Владимирович"/>
    <n v="1589"/>
    <s v="Ветров Афанасий Семенович"/>
    <s v="руководитель_среднего_уровня_4"/>
    <s v="Подразделение47"/>
    <x v="0"/>
    <x v="2"/>
    <n v="1"/>
    <n v="0"/>
    <s v="самоотвод"/>
    <d v="2022-12-27T00:00:00"/>
    <s v="исключение"/>
    <s v="протокол-№-27.12.2022"/>
  </r>
  <r>
    <s v="Функциональное направление 8"/>
    <n v="4"/>
    <d v="2022-12-27T00:00:00"/>
    <n v="1"/>
    <s v="не защищена"/>
    <n v="500741"/>
    <x v="511"/>
    <n v="94"/>
    <s v="Подразделение94"/>
    <s v="подразделение_2_уровня94"/>
    <s v="-"/>
    <s v="функциональный_руководитель_1"/>
    <n v="6"/>
    <s v="нет"/>
    <m/>
    <m/>
    <m/>
    <n v="498"/>
    <s v="Вобликов Валерий Иванович"/>
    <n v="513"/>
    <s v="Зверев Федот Григорьевич"/>
    <s v="функциональный_руководитель_3"/>
    <s v="Подразделение9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0T00:00:00"/>
    <n v="0"/>
    <s v="не защищена"/>
    <n v="500741"/>
    <x v="511"/>
    <n v="94"/>
    <s v="Подразделение94"/>
    <s v="подразделение_2_уровня94"/>
    <s v="-"/>
    <s v="функциональный_руководитель_1"/>
    <n v="6"/>
    <s v="нет"/>
    <m/>
    <m/>
    <m/>
    <n v="498"/>
    <s v="Вобликов Валерий Иванович"/>
    <n v="1590"/>
    <s v="Брежнев Геннадий Геннадьевич"/>
    <s v="функциональный_руководитель_2"/>
    <s v="Подразделение_др14"/>
    <x v="0"/>
    <x v="2"/>
    <n v="1"/>
    <n v="0"/>
    <s v="прочее (перевод в другое СП / на другое предприятие)"/>
    <d v="2023-01-13T00:00:00"/>
    <s v="не рассматривали"/>
    <s v="протокол-№-20.12.2021"/>
  </r>
  <r>
    <s v="Функциональное направление 8"/>
    <n v="4"/>
    <d v="2021-12-20T00:00:00"/>
    <n v="1"/>
    <s v="не защищена"/>
    <n v="500751"/>
    <x v="512"/>
    <n v="94"/>
    <s v="Подразделение94"/>
    <s v="подразделение_2_уровня94"/>
    <s v="-"/>
    <s v="функциональный_руководитель_1"/>
    <n v="6"/>
    <s v="нет"/>
    <m/>
    <m/>
    <m/>
    <n v="499"/>
    <s v="Вобликов Константин Денисович"/>
    <n v="1591"/>
    <s v="Кириллов Лавр Богданович"/>
    <s v="Специалист"/>
    <s v="Подразделение94"/>
    <x v="0"/>
    <x v="0"/>
    <n v="1"/>
    <n v="0"/>
    <m/>
    <m/>
    <s v="не рассматривали"/>
    <s v="протокол-№-20.12.2021"/>
  </r>
  <r>
    <s v="Функциональное направление 8"/>
    <n v="4"/>
    <d v="2021-12-20T00:00:00"/>
    <n v="0"/>
    <s v="не защищена"/>
    <n v="500751"/>
    <x v="512"/>
    <n v="94"/>
    <s v="Подразделение94"/>
    <s v="подразделение_2_уровня94"/>
    <s v="-"/>
    <s v="функциональный_руководитель_1"/>
    <n v="6"/>
    <s v="нет"/>
    <m/>
    <m/>
    <m/>
    <n v="499"/>
    <s v="Вобликов Константин Денисович"/>
    <n v="1592"/>
    <s v="Степанов Савелий Александрович"/>
    <s v="Рабочий"/>
    <s v="Подразделение34"/>
    <x v="2"/>
    <x v="0"/>
    <n v="1"/>
    <n v="0"/>
    <m/>
    <m/>
    <s v="не рассматривали"/>
    <s v="протокол-№-20.12.2021"/>
  </r>
  <r>
    <s v="Функциональное направление 8"/>
    <n v="4"/>
    <d v="2021-12-20T00:00:00"/>
    <n v="1"/>
    <s v="не защищена"/>
    <n v="500752"/>
    <x v="513"/>
    <n v="94"/>
    <s v="Подразделение94"/>
    <s v="подразделение_2_уровня94"/>
    <s v="-"/>
    <s v="функциональный_руководитель_1"/>
    <n v="6"/>
    <s v="нет"/>
    <m/>
    <m/>
    <m/>
    <n v="500"/>
    <s v="Аксенов Тихон Иванович"/>
    <n v="588"/>
    <s v="Пальчиков Еремей Юрьевич"/>
    <s v="функциональный_руководитель_3"/>
    <s v="Подразделение94"/>
    <x v="0"/>
    <x v="0"/>
    <n v="1"/>
    <n v="0"/>
    <m/>
    <m/>
    <s v="не рассматривали"/>
    <s v="протокол-№-20.12.2021"/>
  </r>
  <r>
    <s v="Функциональное направление 8"/>
    <n v="4"/>
    <d v="2022-12-27T00:00:00"/>
    <n v="0"/>
    <s v="не защищена"/>
    <n v="500752"/>
    <x v="513"/>
    <n v="94"/>
    <s v="Подразделение94"/>
    <s v="подразделение_2_уровня94"/>
    <s v="-"/>
    <s v="функциональный_руководитель_1"/>
    <n v="6"/>
    <s v="нет"/>
    <m/>
    <m/>
    <m/>
    <n v="500"/>
    <s v="Аксенов Тихон Иванович"/>
    <n v="1593"/>
    <s v="Дорофеев Виталий Климович"/>
    <s v="Специалист"/>
    <s v="Подразделение9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752"/>
    <x v="513"/>
    <n v="94"/>
    <s v="Подразделение94"/>
    <s v="подразделение_2_уровня94"/>
    <s v="-"/>
    <s v="функциональный_руководитель_1"/>
    <n v="6"/>
    <s v="нет"/>
    <m/>
    <m/>
    <m/>
    <n v="500"/>
    <s v="Аксенов Тихон Иванович"/>
    <n v="1594"/>
    <s v="Незнамов Арсений Кондратьевич"/>
    <s v="Специалист"/>
    <s v="Подразделение36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0T00:00:00"/>
    <n v="1"/>
    <s v="не защищена"/>
    <n v="500753"/>
    <x v="514"/>
    <n v="94"/>
    <s v="Подразделение94"/>
    <s v="подразделение_2_уровня94"/>
    <s v="-"/>
    <s v="функциональный_руководитель_1"/>
    <n v="6"/>
    <s v="нет"/>
    <m/>
    <m/>
    <m/>
    <n v="501"/>
    <s v="Баранкин Емельян Иванович"/>
    <n v="538"/>
    <s v="Волков Николай Михайлович"/>
    <s v="функциональный_руководитель_1"/>
    <s v="Подразделение31"/>
    <x v="0"/>
    <x v="0"/>
    <n v="1"/>
    <n v="0"/>
    <m/>
    <m/>
    <s v="не рассматривали"/>
    <s v="протокол-№-20.12.2021"/>
  </r>
  <r>
    <s v="Функциональное направление 8"/>
    <n v="4"/>
    <d v="2021-12-20T00:00:00"/>
    <n v="1"/>
    <s v="не защищена"/>
    <n v="500754"/>
    <x v="515"/>
    <n v="94"/>
    <s v="Подразделение94"/>
    <s v="подразделение_2_уровня94"/>
    <s v="-"/>
    <s v="функциональный_руководитель_1"/>
    <n v="6"/>
    <s v="нет"/>
    <m/>
    <m/>
    <m/>
    <n v="502"/>
    <s v="Цветков Валерий Григорьевич"/>
    <n v="1595"/>
    <s v="Кириллов Роман Геннадьевич"/>
    <s v="Рабочий"/>
    <s v="Подразделение33"/>
    <x v="2"/>
    <x v="0"/>
    <n v="1"/>
    <n v="0"/>
    <m/>
    <m/>
    <s v="не рассматривали"/>
    <s v="протокол-№-20.12.2021"/>
  </r>
  <r>
    <s v="Функциональное направление 8"/>
    <n v="4"/>
    <d v="2021-12-20T00:00:00"/>
    <n v="0"/>
    <s v="не защищена"/>
    <n v="500754"/>
    <x v="515"/>
    <n v="94"/>
    <s v="Подразделение94"/>
    <s v="подразделение_2_уровня94"/>
    <s v="-"/>
    <s v="функциональный_руководитель_1"/>
    <n v="6"/>
    <s v="нет"/>
    <m/>
    <m/>
    <m/>
    <n v="502"/>
    <s v="Цветков Валерий Григорьевич"/>
    <n v="1596"/>
    <s v="Ветров Савелий Ефремович"/>
    <s v="Специалист"/>
    <s v="Подразделение94"/>
    <x v="2"/>
    <x v="0"/>
    <n v="0"/>
    <n v="0"/>
    <m/>
    <m/>
    <s v="не рассматривали"/>
    <s v="протокол-№-20.12.2021"/>
  </r>
  <r>
    <s v="Функциональное направление 8"/>
    <n v="4"/>
    <d v="2021-12-20T00:00:00"/>
    <n v="1"/>
    <s v="не защищена"/>
    <n v="500755"/>
    <x v="516"/>
    <n v="94"/>
    <s v="Подразделение94"/>
    <s v="подразделение_2_уровня94"/>
    <s v="-"/>
    <s v="функциональный_руководитель_1"/>
    <n v="6"/>
    <s v="нет"/>
    <m/>
    <m/>
    <m/>
    <n v="503"/>
    <s v="Нырков Кирилл Анатольевич"/>
    <n v="472"/>
    <s v="Баранкин Венедикт Григорьевич"/>
    <s v="руководитель_среднего_уровня_4"/>
    <s v="Подразделение33"/>
    <x v="0"/>
    <x v="0"/>
    <n v="1"/>
    <n v="0"/>
    <m/>
    <m/>
    <s v="не рассматривали"/>
    <s v="протокол-№-20.12.2021"/>
  </r>
  <r>
    <s v="Функциональное направление 8"/>
    <n v="4"/>
    <d v="2022-12-27T00:00:00"/>
    <n v="0"/>
    <s v="не защищена"/>
    <n v="500755"/>
    <x v="516"/>
    <n v="94"/>
    <s v="Подразделение94"/>
    <s v="подразделение_2_уровня94"/>
    <s v="-"/>
    <s v="функциональный_руководитель_1"/>
    <n v="6"/>
    <s v="нет"/>
    <m/>
    <m/>
    <m/>
    <n v="503"/>
    <s v="Нырков Кирилл Анатольевич"/>
    <n v="1574"/>
    <s v="Игнатьев Виталий Богданович"/>
    <s v="Рабочий"/>
    <s v="Подразделение36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0T00:00:00"/>
    <n v="1"/>
    <s v="не защищена"/>
    <n v="500756"/>
    <x v="517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04"/>
    <s v="Конеев Григорий Михайлович"/>
    <n v="1597"/>
    <s v="Брежнев Арсений Кондратьевич"/>
    <s v="Специалист"/>
    <s v="Подразделение94"/>
    <x v="0"/>
    <x v="0"/>
    <n v="1"/>
    <n v="0"/>
    <m/>
    <m/>
    <s v="не рассматривали"/>
    <s v="протокол-№-20.12.2021"/>
  </r>
  <r>
    <s v="Функциональное направление 8"/>
    <n v="3"/>
    <d v="2020-12-08T00:00:00"/>
    <n v="1"/>
    <s v="не защищена"/>
    <n v="500742"/>
    <x v="518"/>
    <n v="94"/>
    <s v="Подразделение94"/>
    <s v="подразделение_2_уровня94"/>
    <s v="-"/>
    <s v="линейный_руководитель_3"/>
    <n v="5"/>
    <s v="да"/>
    <d v="2023-01-13T00:00:00"/>
    <d v="2023-01-23T00:00:00"/>
    <s v="из резерва (учитываем)"/>
    <n v="505"/>
    <s v="Пальчиков Григорий Денисович"/>
    <n v="539"/>
    <s v="Цветков Николай Тимофеевич"/>
    <s v="функциональный_руководитель_1"/>
    <s v="Подразделение31"/>
    <x v="0"/>
    <x v="0"/>
    <n v="1"/>
    <n v="0"/>
    <m/>
    <m/>
    <s v="без изменений"/>
    <s v="протокол-№-08.08.2022"/>
  </r>
  <r>
    <s v="Функциональное направление 8"/>
    <n v="3"/>
    <d v="2020-10-08T00:00:00"/>
    <n v="0"/>
    <s v="не защищена"/>
    <n v="500742"/>
    <x v="518"/>
    <n v="94"/>
    <s v="Подразделение94"/>
    <s v="подразделение_2_уровня94"/>
    <s v="-"/>
    <s v="линейный_руководитель_3"/>
    <n v="5"/>
    <s v="да"/>
    <d v="2023-01-13T00:00:00"/>
    <d v="2023-01-23T00:00:00"/>
    <s v="из резерва (учитываем)"/>
    <n v="505"/>
    <s v="Пальчиков Григорий Денисович"/>
    <n v="505"/>
    <s v="Пальчиков Григорий Денисович"/>
    <s v="функциональный_руководитель_3"/>
    <s v="Подразделение94"/>
    <x v="1"/>
    <x v="1"/>
    <n v="1"/>
    <n v="1"/>
    <s v="назначение на целевую должность"/>
    <d v="2023-01-23T00:00:00"/>
    <s v="повышение"/>
    <s v="протокол-№-08.08.2022"/>
  </r>
  <r>
    <s v="Функциональное направление 8"/>
    <n v="4"/>
    <d v="2021-12-20T00:00:00"/>
    <n v="1"/>
    <s v="не защищена"/>
    <n v="500745"/>
    <x v="519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06"/>
    <s v="Нырков Александр Кириллович"/>
    <n v="1598"/>
    <s v="Кириллов Юрий Геннадьевич"/>
    <s v="функциональный_руководитель_2"/>
    <s v="Подразделение_др14"/>
    <x v="0"/>
    <x v="2"/>
    <n v="1"/>
    <n v="0"/>
    <s v="прочее (перевод в другое СП / на другое предприятие)"/>
    <d v="2023-01-13T00:00:00"/>
    <s v="не рассматривали"/>
    <s v="протокол-№-20.12.2021"/>
  </r>
  <r>
    <s v="Функциональное направление 8"/>
    <n v="4"/>
    <d v="2021-12-20T00:00:00"/>
    <n v="1"/>
    <s v="не защищена"/>
    <n v="500743"/>
    <x v="520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07"/>
    <s v="Баранкин Валерий Григорьевич"/>
    <n v="588"/>
    <s v="Пальчиков Еремей Юрьевич"/>
    <s v="функциональный_руководитель_3"/>
    <s v="Подразделение94"/>
    <x v="0"/>
    <x v="0"/>
    <n v="1"/>
    <n v="0"/>
    <m/>
    <m/>
    <s v="не рассматривали"/>
    <s v="протокол-№-20.12.2021"/>
  </r>
  <r>
    <s v="Функциональное направление 8"/>
    <n v="4"/>
    <d v="2021-12-20T00:00:00"/>
    <n v="0"/>
    <s v="не защищена"/>
    <n v="500743"/>
    <x v="520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07"/>
    <s v="Баранкин Валерий Григорьевич"/>
    <n v="1599"/>
    <s v="Игнатьев Виталий Геннадьевич"/>
    <s v="Специалист"/>
    <s v="Подразделение94"/>
    <x v="0"/>
    <x v="0"/>
    <n v="1"/>
    <n v="0"/>
    <m/>
    <m/>
    <s v="не рассматривали"/>
    <s v="протокол-№-20.12.2021"/>
  </r>
  <r>
    <s v="Функциональное направление 8"/>
    <n v="4"/>
    <d v="2021-12-20T00:00:00"/>
    <n v="1"/>
    <s v="не защищена"/>
    <n v="500737"/>
    <x v="521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08"/>
    <s v="Поминов Валерий Денисович"/>
    <n v="1600"/>
    <s v="Незнамов Виталий Александрович"/>
    <s v="Специалист"/>
    <s v="Подразделение94"/>
    <x v="0"/>
    <x v="2"/>
    <n v="1"/>
    <n v="0"/>
    <s v="увольнение"/>
    <d v="2023-02-11T00:00:00"/>
    <s v="не рассматривали"/>
    <s v="протокол-№-20.12.2021"/>
  </r>
  <r>
    <s v="Функциональное направление 8"/>
    <n v="4"/>
    <d v="2021-12-20T00:00:00"/>
    <n v="1"/>
    <s v="не защищена"/>
    <n v="500738"/>
    <x v="522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09"/>
    <s v="Вобликов Еремей Максимович"/>
    <n v="1601"/>
    <s v="Ветров Константин Ефремович"/>
    <s v="функциональный_руководитель_3"/>
    <s v="Подразделение94"/>
    <x v="0"/>
    <x v="2"/>
    <n v="1"/>
    <n v="0"/>
    <s v="назначение на равнозначную должность"/>
    <d v="2023-03-20T00:00:00"/>
    <s v="не рассматривали"/>
    <s v="протокол-№-20.12.2021"/>
  </r>
  <r>
    <s v="Функциональное направление 8"/>
    <n v="4"/>
    <d v="2022-12-27T00:00:00"/>
    <n v="0"/>
    <s v="не защищена"/>
    <n v="500738"/>
    <x v="522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09"/>
    <s v="Вобликов Еремей Максимович"/>
    <n v="1602"/>
    <s v="Ветров Юрий Герасимович"/>
    <s v="Специалист"/>
    <s v="Подразделение9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1"/>
    <s v="не защищена"/>
    <n v="500739"/>
    <x v="523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10"/>
    <s v="Вобликов Константин Александрович"/>
    <n v="1603"/>
    <s v="Кириллов Виталий Кондратьевич"/>
    <s v="Специалист"/>
    <s v="Подразделение9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739"/>
    <x v="523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10"/>
    <s v="Вобликов Константин Александрович"/>
    <n v="1604"/>
    <s v="Степанов Роман Семенович"/>
    <s v="Специалист"/>
    <s v="Подразделение9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0T00:00:00"/>
    <n v="0"/>
    <s v="не защищена"/>
    <n v="500739"/>
    <x v="523"/>
    <n v="94"/>
    <s v="Подразделение94"/>
    <s v="подразделение_2_уровня94"/>
    <s v="подразделение_3_уровня94"/>
    <s v="функциональный_руководитель_3"/>
    <n v="6"/>
    <s v="да"/>
    <d v="2022-02-12T00:00:00"/>
    <d v="2022-03-01T00:00:00"/>
    <s v="из резерва (учитываем)"/>
    <n v="510"/>
    <s v="Вобликов Константин Александрович"/>
    <n v="510"/>
    <s v="Вобликов Константин Александрович"/>
    <s v="Специалист"/>
    <s v="Подразделение94"/>
    <x v="0"/>
    <x v="1"/>
    <n v="1"/>
    <n v="1"/>
    <s v="назначение на целевую должность"/>
    <d v="2022-03-01T00:00:00"/>
    <s v="исключение"/>
    <s v="протокол-№-27.12.2022"/>
  </r>
  <r>
    <s v="Функциональное направление 8"/>
    <n v="3"/>
    <d v="2022-08-08T00:00:00"/>
    <n v="1"/>
    <s v="не защищена"/>
    <n v="500757"/>
    <x v="524"/>
    <n v="94"/>
    <s v="Подразделение94"/>
    <s v="подразделение_2_уровня94"/>
    <s v="-"/>
    <s v="линейный_руководитель_3"/>
    <n v="5"/>
    <s v="да"/>
    <d v="2021-03-01T00:00:00"/>
    <d v="2022-01-26T00:00:00"/>
    <s v="из резерва (учитываем)"/>
    <n v="511"/>
    <s v="Баранкин Федот Денисович"/>
    <n v="514"/>
    <s v="Нырков Константин Романович"/>
    <s v="функциональный_руководитель_3"/>
    <s v="Подразделение94"/>
    <x v="2"/>
    <x v="0"/>
    <n v="1"/>
    <n v="0"/>
    <m/>
    <m/>
    <s v="не рассматривали"/>
    <s v="протокол-№-08.08.2022"/>
  </r>
  <r>
    <s v="Функциональное направление 8"/>
    <n v="3"/>
    <d v="2022-08-08T00:00:00"/>
    <n v="0"/>
    <s v="не защищена"/>
    <n v="500757"/>
    <x v="524"/>
    <n v="94"/>
    <s v="Подразделение94"/>
    <s v="подразделение_2_уровня94"/>
    <s v="-"/>
    <s v="линейный_руководитель_3"/>
    <n v="5"/>
    <s v="да"/>
    <d v="2021-03-01T00:00:00"/>
    <d v="2022-01-26T00:00:00"/>
    <s v="из резерва (учитываем)"/>
    <n v="511"/>
    <s v="Баранкин Федот Денисович"/>
    <n v="513"/>
    <s v="Зверев Федот Григорьевич"/>
    <s v="функциональный_руководитель_3"/>
    <s v="Подразделение94"/>
    <x v="2"/>
    <x v="0"/>
    <n v="1"/>
    <n v="0"/>
    <m/>
    <m/>
    <s v="не рассматривали"/>
    <s v="протокол-№-08.08.2022"/>
  </r>
  <r>
    <s v="Функциональное направление 8"/>
    <n v="3"/>
    <d v="2020-10-08T00:00:00"/>
    <n v="0"/>
    <s v="не защищена"/>
    <n v="500757"/>
    <x v="524"/>
    <n v="94"/>
    <s v="Подразделение94"/>
    <s v="подразделение_2_уровня94"/>
    <s v="-"/>
    <s v="линейный_руководитель_3"/>
    <n v="5"/>
    <s v="да"/>
    <d v="2021-03-01T00:00:00"/>
    <d v="2022-01-26T00:00:00"/>
    <s v="из резерва (учитываем)"/>
    <n v="511"/>
    <s v="Баранкин Федот Денисович"/>
    <n v="511"/>
    <s v="Баранкин Федот Денисович"/>
    <s v="линейный_руководитель_3"/>
    <s v="Подразделение94"/>
    <x v="2"/>
    <x v="1"/>
    <n v="1"/>
    <n v="1"/>
    <s v="назначение на целевую должность"/>
    <d v="2022-01-26T00:00:00"/>
    <s v="не рассматривали"/>
    <s v="протокол-№-08.08.2022"/>
  </r>
  <r>
    <s v="Функциональное направление 8"/>
    <n v="4"/>
    <d v="2021-12-20T00:00:00"/>
    <n v="1"/>
    <s v="не защищена"/>
    <n v="500760"/>
    <x v="525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12"/>
    <s v="Баранкин Кирилл Кондратьевич"/>
    <n v="1605"/>
    <s v="Ветров Виталий Геннадьевич"/>
    <s v="Специалист"/>
    <s v="Подразделение94"/>
    <x v="2"/>
    <x v="0"/>
    <n v="1"/>
    <n v="0"/>
    <m/>
    <m/>
    <s v="не рассматривали"/>
    <s v="протокол-№-20.12.2021"/>
  </r>
  <r>
    <s v="Функциональное направление 8"/>
    <n v="4"/>
    <d v="2022-12-27T00:00:00"/>
    <n v="1"/>
    <s v="не защищена"/>
    <n v="500759"/>
    <x v="526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13"/>
    <s v="Зверев Федот Григорьевич"/>
    <n v="1606"/>
    <s v="Степанов Юрий Кондратьевич"/>
    <s v="Специалист"/>
    <s v="Подразделение9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1"/>
    <s v="не защищена"/>
    <n v="500761"/>
    <x v="527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14"/>
    <s v="Нырков Константин Романович"/>
    <n v="1607"/>
    <s v="Тимофеев Виталий Маркович"/>
    <s v="Специалист"/>
    <s v="Подразделение9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0T00:00:00"/>
    <n v="0"/>
    <s v="не защищена"/>
    <n v="500761"/>
    <x v="527"/>
    <n v="94"/>
    <s v="Подразделение94"/>
    <s v="подразделение_2_уровня94"/>
    <s v="подразделение_3_уровня94"/>
    <s v="функциональный_руководитель_3"/>
    <n v="6"/>
    <s v="нет"/>
    <m/>
    <m/>
    <m/>
    <n v="514"/>
    <s v="Нырков Константин Романович"/>
    <n v="513"/>
    <s v="Зверев Федот Григорьевич"/>
    <s v="функциональный_руководитель_3"/>
    <s v="Подразделение94"/>
    <x v="2"/>
    <x v="2"/>
    <n v="1"/>
    <n v="0"/>
    <s v="назначение на равнозначную должность"/>
    <d v="2022-04-28T00:00:00"/>
    <s v="исключение"/>
    <s v="протокол-№-27.12.2022"/>
  </r>
  <r>
    <s v="Функциональное направление 8"/>
    <n v="4"/>
    <d v="2021-12-20T00:00:00"/>
    <n v="1"/>
    <s v="не защищена"/>
    <n v="500758"/>
    <x v="528"/>
    <n v="94"/>
    <s v="Подразделение94"/>
    <s v="подразделение_2_уровня94"/>
    <s v="подразделение_3_уровня94"/>
    <s v="функциональный_руководитель_3"/>
    <n v="7"/>
    <s v="да"/>
    <d v="2022-01-26T00:00:00"/>
    <d v="2022-01-26T00:00:00"/>
    <s v="из резерва (учитываем)"/>
    <n v="515"/>
    <s v="Ефремов Николай Константинович"/>
    <n v="1608"/>
    <s v="Брежнев Геннадий Герасимович"/>
    <s v="функциональный_руководитель_3"/>
    <s v="Подразделение94"/>
    <x v="0"/>
    <x v="2"/>
    <n v="1"/>
    <n v="0"/>
    <s v="назначение на равнозначную должность"/>
    <d v="2023-03-20T00:00:00"/>
    <s v="не рассматривали"/>
    <s v="протокол-№-20.12.2021"/>
  </r>
  <r>
    <s v="Функциональное направление 8"/>
    <n v="4"/>
    <d v="2021-12-20T00:00:00"/>
    <n v="0"/>
    <s v="не защищена"/>
    <n v="500758"/>
    <x v="528"/>
    <n v="94"/>
    <s v="Подразделение94"/>
    <s v="подразделение_2_уровня94"/>
    <s v="подразделение_3_уровня94"/>
    <s v="функциональный_руководитель_3"/>
    <n v="7"/>
    <s v="да"/>
    <d v="2022-01-26T00:00:00"/>
    <d v="2022-01-26T00:00:00"/>
    <s v="из резерва (учитываем)"/>
    <n v="515"/>
    <s v="Ефремов Николай Константинович"/>
    <n v="1609"/>
    <s v="Дорофеев Константин Ефремович"/>
    <s v="Специалист"/>
    <s v="Подразделение94"/>
    <x v="0"/>
    <x v="0"/>
    <n v="1"/>
    <n v="0"/>
    <m/>
    <m/>
    <s v="не рассматривали"/>
    <s v="протокол-№-20.12.2021"/>
  </r>
  <r>
    <s v="Функциональное направление 8"/>
    <n v="4"/>
    <d v="2021-12-20T00:00:00"/>
    <n v="0"/>
    <s v="не защищена"/>
    <n v="500758"/>
    <x v="528"/>
    <n v="94"/>
    <s v="Подразделение94"/>
    <s v="подразделение_2_уровня94"/>
    <s v="подразделение_3_уровня94"/>
    <s v="функциональный_руководитель_3"/>
    <n v="7"/>
    <s v="да"/>
    <d v="2022-01-26T00:00:00"/>
    <d v="2022-01-26T00:00:00"/>
    <s v="из резерва (учитываем)"/>
    <n v="515"/>
    <s v="Ефремов Николай Константинович"/>
    <n v="515"/>
    <s v="Ефремов Николай Константинович"/>
    <s v="Специалист"/>
    <s v="Подразделение94"/>
    <x v="1"/>
    <x v="1"/>
    <n v="1"/>
    <n v="1"/>
    <s v="назначение на целевую должность"/>
    <d v="2022-01-26T00:00:00"/>
    <s v="исключение"/>
    <s v="протокол-№-27.12.2022"/>
  </r>
  <r>
    <s v="Функциональное направление 8"/>
    <n v="4"/>
    <d v="2022-01-26T00:00:00"/>
    <n v="1"/>
    <s v="не защищена"/>
    <n v="500088"/>
    <x v="529"/>
    <n v="34"/>
    <s v="Подразделение34"/>
    <s v="подразделение_2_уровня34"/>
    <s v="-"/>
    <s v="функциональный_руководитель_1"/>
    <n v="6"/>
    <s v="нет"/>
    <m/>
    <m/>
    <m/>
    <n v="516"/>
    <s v="Аксенов Венедикт Тимофеевич"/>
    <n v="1581"/>
    <s v="Степанов Юрий Ефремович"/>
    <s v="Специалист"/>
    <s v="Подразделение94"/>
    <x v="2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89"/>
    <x v="530"/>
    <n v="34"/>
    <s v="Подразделение34"/>
    <s v="подразделение_2_уровня34"/>
    <s v="-"/>
    <s v="линейный_руководитель_3"/>
    <n v="6"/>
    <s v="нет"/>
    <m/>
    <m/>
    <m/>
    <n v="517"/>
    <s v="Русланов Еремей Романович"/>
    <n v="1581"/>
    <s v="Степанов Юрий Ефремович"/>
    <s v="Специалист"/>
    <s v="Подразделение94"/>
    <x v="2"/>
    <x v="0"/>
    <n v="1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0"/>
    <x v="531"/>
    <n v="34"/>
    <s v="Подразделение34"/>
    <s v="подразделение_2_уровня34"/>
    <s v="-"/>
    <s v="руководитель_среднего_уровня_4"/>
    <n v="6"/>
    <s v="нет"/>
    <m/>
    <m/>
    <m/>
    <n v="518"/>
    <s v="Аксенов Федот Александрович"/>
    <n v="520"/>
    <s v="Баранкин Константин Денисович"/>
    <s v="линейный_руководитель_2"/>
    <s v="Подразделение34"/>
    <x v="1"/>
    <x v="0"/>
    <n v="1"/>
    <n v="0"/>
    <m/>
    <m/>
    <s v="не рассматривали"/>
    <s v="протокол-№-26.01.2022"/>
  </r>
  <r>
    <s v="Функциональное направление 8"/>
    <n v="4"/>
    <d v="2022-12-27T00:00:00"/>
    <n v="1"/>
    <s v="не защищена"/>
    <n v="500091"/>
    <x v="532"/>
    <n v="34"/>
    <s v="Подразделение34"/>
    <s v="подразделение_2_уровня34"/>
    <s v="-"/>
    <s v="линейный_руководитель_2"/>
    <n v="7"/>
    <s v="нет"/>
    <m/>
    <m/>
    <m/>
    <n v="519"/>
    <s v="Аксенов Александр Максимович"/>
    <n v="1610"/>
    <s v="Тимофеев Константин Ефремович"/>
    <s v="Рабочий"/>
    <s v="Подразделение34"/>
    <x v="0"/>
    <x v="0"/>
    <n v="1"/>
    <n v="0"/>
    <m/>
    <m/>
    <s v="не рассматривали"/>
    <s v="протокол-№-27.12.2022"/>
  </r>
  <r>
    <s v="Функциональное направление 8"/>
    <n v="4"/>
    <d v="2022-01-26T00:00:00"/>
    <n v="0"/>
    <s v="не защищена"/>
    <n v="500091"/>
    <x v="532"/>
    <n v="34"/>
    <s v="Подразделение34"/>
    <s v="подразделение_2_уровня34"/>
    <s v="-"/>
    <s v="линейный_руководитель_2"/>
    <n v="7"/>
    <s v="нет"/>
    <m/>
    <m/>
    <m/>
    <n v="519"/>
    <s v="Аксенов Александр Максимович"/>
    <n v="1611"/>
    <s v="Исаев Виталий Геннадьевич"/>
    <s v="Рабочий"/>
    <s v="Подразделение36"/>
    <x v="2"/>
    <x v="2"/>
    <n v="0"/>
    <n v="0"/>
    <s v="увольнение"/>
    <d v="2022-11-02T00:00:00"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2"/>
    <x v="533"/>
    <n v="34"/>
    <s v="Подразделение34"/>
    <s v="подразделение_2_уровня34"/>
    <s v="-"/>
    <s v="линейный_руководитель_2"/>
    <n v="7"/>
    <s v="нет"/>
    <m/>
    <m/>
    <m/>
    <n v="520"/>
    <s v="Баранкин Константин Денисович"/>
    <n v="1610"/>
    <s v="Тимофеев Константин Ефремович"/>
    <s v="Рабочий"/>
    <s v="Подразделение34"/>
    <x v="0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3"/>
    <x v="534"/>
    <n v="34"/>
    <s v="Подразделение34"/>
    <s v="подразделение_2_уровня34"/>
    <s v="-"/>
    <s v="линейный_руководитель_2"/>
    <n v="7"/>
    <s v="нет"/>
    <m/>
    <m/>
    <m/>
    <n v="521"/>
    <s v="Романов Тихон Романович"/>
    <n v="1613"/>
    <s v="Дорофеев Виталий Семенович"/>
    <s v="Рабочий"/>
    <s v="Подразделение34"/>
    <x v="0"/>
    <x v="0"/>
    <n v="1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4"/>
    <x v="535"/>
    <n v="34"/>
    <s v="Подразделение34"/>
    <s v="подразделение_2_уровня34"/>
    <s v="-"/>
    <s v="руководитель_среднего_уровня_4"/>
    <n v="6"/>
    <s v="да"/>
    <d v="2022-06-14T00:00:00"/>
    <d v="2022-09-01T00:00:00"/>
    <s v="из резерва (учитываем)"/>
    <n v="522"/>
    <s v="Баранкин Алексей Юрьевич"/>
    <n v="525"/>
    <s v="Баранкин Федот Тимофеевич"/>
    <s v="линейный_руководитель_2"/>
    <s v="Подразделение34"/>
    <x v="1"/>
    <x v="0"/>
    <n v="1"/>
    <n v="0"/>
    <m/>
    <m/>
    <s v="не рассматривали"/>
    <s v="протокол-№-26.01.2022"/>
  </r>
  <r>
    <s v="Функциональное направление 8"/>
    <n v="4"/>
    <d v="2022-07-01T00:00:00"/>
    <n v="0"/>
    <s v="не защищена"/>
    <n v="500094"/>
    <x v="535"/>
    <n v="34"/>
    <s v="Подразделение34"/>
    <s v="подразделение_2_уровня34"/>
    <s v="-"/>
    <s v="руководитель_среднего_уровня_4"/>
    <n v="6"/>
    <s v="да"/>
    <d v="2022-06-14T00:00:00"/>
    <d v="2022-09-01T00:00:00"/>
    <s v="из резерва (учитываем)"/>
    <n v="522"/>
    <s v="Баранкин Алексей Юрьевич"/>
    <n v="522"/>
    <s v="Баранкин Алексей Юрьевич"/>
    <s v="линейный_руководитель_2"/>
    <s v="Подразделение34"/>
    <x v="1"/>
    <x v="1"/>
    <n v="1"/>
    <n v="1"/>
    <s v="назначение на целевую должность"/>
    <d v="2022-09-01T00:00:00"/>
    <s v="не рассматривали"/>
    <s v="протокол-№-01.07.2022"/>
  </r>
  <r>
    <s v="Функциональное направление 8"/>
    <n v="4"/>
    <d v="2022-01-26T00:00:00"/>
    <n v="1"/>
    <s v="не защищена"/>
    <n v="500095"/>
    <x v="536"/>
    <n v="34"/>
    <s v="Подразделение34"/>
    <s v="подразделение_2_уровня34"/>
    <s v="-"/>
    <s v="линейный_руководитель_1"/>
    <n v="7"/>
    <s v="нет"/>
    <m/>
    <m/>
    <m/>
    <n v="523"/>
    <s v="Поминов Федот Федотович"/>
    <n v="1614"/>
    <s v="Незнамов Виталий Геннадьевич"/>
    <s v="Рабочий"/>
    <s v="Подразделение34"/>
    <x v="0"/>
    <x v="0"/>
    <n v="1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5"/>
    <x v="537"/>
    <n v="34"/>
    <s v="Подразделение34"/>
    <s v="подразделение_2_уровня34"/>
    <s v="-"/>
    <s v="линейный_руководитель_1"/>
    <n v="7"/>
    <s v="нет"/>
    <m/>
    <m/>
    <m/>
    <n v="524"/>
    <s v="Волков Венедикт Иванович"/>
    <n v="1614"/>
    <s v="Незнамов Виталий Геннадьевич"/>
    <s v="Рабочий"/>
    <s v="Подразделение34"/>
    <x v="0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6"/>
    <x v="538"/>
    <n v="34"/>
    <s v="Подразделение34"/>
    <s v="подразделение_2_уровня34"/>
    <s v="-"/>
    <s v="линейный_руководитель_1"/>
    <n v="7"/>
    <s v="нет"/>
    <m/>
    <m/>
    <m/>
    <n v="525"/>
    <s v="Баранкин Федот Тимофеевич"/>
    <n v="1615"/>
    <s v="Брежнев Савелий Ефремович"/>
    <s v="Рабочий"/>
    <s v="Подразделение34"/>
    <x v="1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0"/>
    <s v="не защищена"/>
    <n v="500096"/>
    <x v="538"/>
    <n v="34"/>
    <s v="Подразделение34"/>
    <s v="подразделение_2_уровня34"/>
    <s v="-"/>
    <s v="линейный_руководитель_1"/>
    <n v="7"/>
    <s v="нет"/>
    <m/>
    <m/>
    <m/>
    <n v="525"/>
    <s v="Баранкин Федот Тимофеевич"/>
    <n v="1616"/>
    <s v="Игнатьев Савелий Ефремович"/>
    <s v="Рабочий"/>
    <s v="Подразделение34"/>
    <x v="2"/>
    <x v="0"/>
    <n v="1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6"/>
    <x v="539"/>
    <n v="34"/>
    <s v="Подразделение34"/>
    <s v="подразделение_2_уровня34"/>
    <s v="-"/>
    <s v="линейный_руководитель_1"/>
    <n v="7"/>
    <s v="нет"/>
    <m/>
    <m/>
    <m/>
    <n v="526"/>
    <s v="Русланов Венедикт Денисович"/>
    <n v="1615"/>
    <s v="Брежнев Савелий Ефремович"/>
    <s v="Рабочий"/>
    <s v="Подразделение34"/>
    <x v="1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0"/>
    <s v="не защищена"/>
    <n v="500096"/>
    <x v="539"/>
    <n v="34"/>
    <s v="Подразделение34"/>
    <s v="подразделение_2_уровня34"/>
    <s v="-"/>
    <s v="линейный_руководитель_1"/>
    <n v="7"/>
    <s v="нет"/>
    <m/>
    <m/>
    <m/>
    <n v="526"/>
    <s v="Русланов Венедикт Денисович"/>
    <n v="1616"/>
    <s v="Игнатьев Савелий Ефремович"/>
    <s v="Рабочий"/>
    <s v="Подразделение34"/>
    <x v="2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6"/>
    <x v="540"/>
    <n v="34"/>
    <s v="Подразделение34"/>
    <s v="подразделение_2_уровня34"/>
    <s v="-"/>
    <s v="линейный_руководитель_1"/>
    <n v="7"/>
    <s v="нет"/>
    <m/>
    <m/>
    <m/>
    <n v="527"/>
    <s v="Цветков Тихон Романович"/>
    <n v="1615"/>
    <s v="Брежнев Савелий Ефремович"/>
    <s v="Рабочий"/>
    <s v="Подразделение34"/>
    <x v="1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0"/>
    <s v="не защищена"/>
    <n v="500096"/>
    <x v="540"/>
    <n v="34"/>
    <s v="Подразделение34"/>
    <s v="подразделение_2_уровня34"/>
    <s v="-"/>
    <s v="линейный_руководитель_1"/>
    <n v="7"/>
    <s v="нет"/>
    <m/>
    <m/>
    <m/>
    <n v="527"/>
    <s v="Цветков Тихон Романович"/>
    <n v="1616"/>
    <s v="Игнатьев Савелий Ефремович"/>
    <s v="Рабочий"/>
    <s v="Подразделение34"/>
    <x v="2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6"/>
    <x v="541"/>
    <n v="34"/>
    <s v="Подразделение34"/>
    <s v="подразделение_2_уровня34"/>
    <s v="-"/>
    <s v="линейный_руководитель_1"/>
    <n v="7"/>
    <s v="нет"/>
    <m/>
    <m/>
    <m/>
    <n v="528"/>
    <s v="Баранкин Венедикт Кириллович"/>
    <n v="1615"/>
    <s v="Брежнев Савелий Ефремович"/>
    <s v="Рабочий"/>
    <s v="Подразделение34"/>
    <x v="1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0"/>
    <s v="не защищена"/>
    <n v="500096"/>
    <x v="541"/>
    <n v="34"/>
    <s v="Подразделение34"/>
    <s v="подразделение_2_уровня34"/>
    <s v="-"/>
    <s v="линейный_руководитель_1"/>
    <n v="7"/>
    <s v="нет"/>
    <m/>
    <m/>
    <m/>
    <n v="528"/>
    <s v="Баранкин Венедикт Кириллович"/>
    <n v="1616"/>
    <s v="Игнатьев Савелий Ефремович"/>
    <s v="Рабочий"/>
    <s v="Подразделение34"/>
    <x v="2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7"/>
    <x v="542"/>
    <n v="34"/>
    <s v="Подразделение34"/>
    <s v="подразделение_2_уровня34"/>
    <s v="-"/>
    <s v="руководитель_среднего_уровня_4"/>
    <n v="6"/>
    <s v="нет"/>
    <m/>
    <m/>
    <m/>
    <n v="529"/>
    <s v="Зверев Тихон Кондратьевич"/>
    <n v="535"/>
    <s v="Поминов Еремей Романович"/>
    <s v="линейный_руководитель_2"/>
    <s v="Подразделение34"/>
    <x v="1"/>
    <x v="0"/>
    <n v="1"/>
    <n v="0"/>
    <m/>
    <m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8"/>
    <x v="543"/>
    <n v="34"/>
    <s v="Подразделение34"/>
    <s v="подразделение_2_уровня34"/>
    <s v="-"/>
    <s v="линейный_руководитель_1"/>
    <n v="7"/>
    <s v="да"/>
    <d v="2022-10-07T00:00:00"/>
    <d v="2022-10-07T00:00:00"/>
    <s v="из резерва (учитываем)"/>
    <n v="530"/>
    <s v="Русланов Тихон Григорьевич"/>
    <n v="1617"/>
    <s v="Брежнев Виталий Герасимович"/>
    <s v="Рабочий"/>
    <s v="Подразделение3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01-26T00:00:00"/>
    <n v="0"/>
    <s v="не защищена"/>
    <n v="500098"/>
    <x v="543"/>
    <n v="34"/>
    <s v="Подразделение34"/>
    <s v="подразделение_2_уровня34"/>
    <s v="-"/>
    <s v="линейный_руководитель_1"/>
    <n v="7"/>
    <s v="да"/>
    <d v="2022-10-07T00:00:00"/>
    <d v="2022-10-07T00:00:00"/>
    <s v="из резерва (учитываем)"/>
    <n v="530"/>
    <s v="Русланов Тихон Григорьевич"/>
    <n v="1618"/>
    <s v="Ветров Глеб Александрович"/>
    <s v="Рабочий"/>
    <s v="Подразделение34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01-26T00:00:00"/>
    <n v="0"/>
    <s v="не защищена"/>
    <n v="500098"/>
    <x v="543"/>
    <n v="34"/>
    <s v="Подразделение34"/>
    <s v="подразделение_2_уровня34"/>
    <s v="-"/>
    <s v="линейный_руководитель_1"/>
    <n v="7"/>
    <s v="да"/>
    <d v="2022-10-07T00:00:00"/>
    <d v="2022-10-07T00:00:00"/>
    <s v="из резерва (учитываем)"/>
    <n v="530"/>
    <s v="Русланов Тихон Григорьевич"/>
    <n v="530"/>
    <s v="Русланов Тихон Григорьевич"/>
    <s v="Рабочий"/>
    <s v="Подразделение34"/>
    <x v="0"/>
    <x v="1"/>
    <n v="1"/>
    <n v="1"/>
    <s v="назначение на целевую должность"/>
    <d v="2022-10-07T00:00:00"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8"/>
    <x v="544"/>
    <n v="34"/>
    <s v="Подразделение34"/>
    <s v="подразделение_2_уровня34"/>
    <s v="-"/>
    <s v="линейный_руководитель_1"/>
    <n v="7"/>
    <s v="нет"/>
    <m/>
    <m/>
    <m/>
    <n v="531"/>
    <s v="Романов Тихон Александрович"/>
    <n v="1618"/>
    <s v="Ветров Глеб Александрович"/>
    <s v="Рабочий"/>
    <s v="Подразделение34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01-26T00:00:00"/>
    <n v="0"/>
    <s v="не защищена"/>
    <n v="500098"/>
    <x v="544"/>
    <n v="34"/>
    <s v="Подразделение34"/>
    <s v="подразделение_2_уровня34"/>
    <s v="-"/>
    <s v="линейный_руководитель_1"/>
    <n v="7"/>
    <s v="нет"/>
    <m/>
    <m/>
    <m/>
    <n v="531"/>
    <s v="Романов Тихон Александрович"/>
    <n v="1617"/>
    <s v="Брежнев Виталий Герасимович"/>
    <s v="Рабочий"/>
    <s v="Подразделение34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01-26T00:00:00"/>
    <n v="0"/>
    <s v="не защищена"/>
    <n v="500098"/>
    <x v="544"/>
    <n v="34"/>
    <s v="Подразделение34"/>
    <s v="подразделение_2_уровня34"/>
    <s v="-"/>
    <s v="линейный_руководитель_1"/>
    <n v="7"/>
    <s v="нет"/>
    <m/>
    <m/>
    <m/>
    <n v="531"/>
    <s v="Романов Тихон Александрович"/>
    <n v="530"/>
    <s v="Русланов Тихон Григорьевич"/>
    <s v="Рабочий"/>
    <s v="Подразделение34"/>
    <x v="0"/>
    <x v="2"/>
    <n v="0"/>
    <n v="0"/>
    <s v="назначение на равнозначную должность"/>
    <d v="2022-10-07T00:00:00"/>
    <s v="не рассматривали"/>
    <s v="протокол-№-26.01.2022"/>
  </r>
  <r>
    <s v="Функциональное направление 8"/>
    <n v="4"/>
    <d v="2022-01-26T00:00:00"/>
    <n v="1"/>
    <s v="не защищена"/>
    <n v="500099"/>
    <x v="545"/>
    <n v="34"/>
    <s v="Подразделение34"/>
    <s v="подразделение_2_уровня34"/>
    <s v="-"/>
    <s v="линейный_руководитель_1"/>
    <n v="7"/>
    <s v="нет"/>
    <m/>
    <m/>
    <m/>
    <n v="532"/>
    <s v="Русланов Николай Михайлович"/>
    <n v="1619"/>
    <s v="Ветров Роман Александрович"/>
    <s v="Рабочий"/>
    <s v="Подразделение34"/>
    <x v="1"/>
    <x v="0"/>
    <n v="1"/>
    <n v="0"/>
    <m/>
    <m/>
    <s v="не рассматривали"/>
    <s v="протокол-№-26.01.2022"/>
  </r>
  <r>
    <s v="Функциональное направление 8"/>
    <n v="4"/>
    <d v="2022-01-26T00:00:00"/>
    <n v="0"/>
    <s v="не защищена"/>
    <n v="500099"/>
    <x v="545"/>
    <n v="34"/>
    <s v="Подразделение34"/>
    <s v="подразделение_2_уровня34"/>
    <s v="-"/>
    <s v="линейный_руководитель_1"/>
    <n v="7"/>
    <s v="нет"/>
    <m/>
    <m/>
    <m/>
    <n v="532"/>
    <s v="Русланов Николай Михайлович"/>
    <n v="1592"/>
    <s v="Степанов Савелий Александрович"/>
    <s v="Рабочий"/>
    <s v="Подразделение34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01-26T00:00:00"/>
    <n v="1"/>
    <s v="не защищена"/>
    <n v="500099"/>
    <x v="546"/>
    <n v="34"/>
    <s v="Подразделение34"/>
    <s v="подразделение_2_уровня34"/>
    <s v="-"/>
    <s v="линейный_руководитель_1"/>
    <n v="7"/>
    <s v="нет"/>
    <m/>
    <m/>
    <m/>
    <n v="533"/>
    <s v="Волков Тихон Владиславович"/>
    <n v="1619"/>
    <s v="Ветров Роман Александрович"/>
    <s v="Рабочий"/>
    <s v="Подразделение34"/>
    <x v="1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0"/>
    <s v="не защищена"/>
    <n v="500099"/>
    <x v="546"/>
    <n v="34"/>
    <s v="Подразделение34"/>
    <s v="подразделение_2_уровня34"/>
    <s v="-"/>
    <s v="линейный_руководитель_1"/>
    <n v="7"/>
    <s v="нет"/>
    <m/>
    <m/>
    <m/>
    <n v="533"/>
    <s v="Волков Тихон Владиславович"/>
    <n v="1592"/>
    <s v="Степанов Савелий Александрович"/>
    <s v="Рабочий"/>
    <s v="Подразделение34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01-26T00:00:00"/>
    <n v="1"/>
    <s v="не защищена"/>
    <n v="500099"/>
    <x v="547"/>
    <n v="34"/>
    <s v="Подразделение34"/>
    <s v="подразделение_2_уровня34"/>
    <s v="-"/>
    <s v="линейный_руководитель_1"/>
    <n v="7"/>
    <s v="нет"/>
    <m/>
    <m/>
    <m/>
    <n v="534"/>
    <s v="Конеев Алексей Денисович"/>
    <n v="1619"/>
    <s v="Ветров Роман Александрович"/>
    <s v="Рабочий"/>
    <s v="Подразделение34"/>
    <x v="1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0"/>
    <s v="не защищена"/>
    <n v="500099"/>
    <x v="547"/>
    <n v="34"/>
    <s v="Подразделение34"/>
    <s v="подразделение_2_уровня34"/>
    <s v="-"/>
    <s v="линейный_руководитель_1"/>
    <n v="7"/>
    <s v="нет"/>
    <m/>
    <m/>
    <m/>
    <n v="534"/>
    <s v="Конеев Алексей Денисович"/>
    <n v="1592"/>
    <s v="Степанов Савелий Александрович"/>
    <s v="Рабочий"/>
    <s v="Подразделение34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01-26T00:00:00"/>
    <n v="1"/>
    <s v="не защищена"/>
    <n v="500099"/>
    <x v="548"/>
    <n v="34"/>
    <s v="Подразделение34"/>
    <s v="подразделение_2_уровня34"/>
    <s v="-"/>
    <s v="линейный_руководитель_1"/>
    <n v="7"/>
    <s v="нет"/>
    <m/>
    <m/>
    <m/>
    <n v="535"/>
    <s v="Поминов Еремей Романович"/>
    <n v="1619"/>
    <s v="Ветров Роман Александрович"/>
    <s v="Рабочий"/>
    <s v="Подразделение34"/>
    <x v="1"/>
    <x v="0"/>
    <n v="0"/>
    <n v="0"/>
    <m/>
    <m/>
    <s v="не рассматривали"/>
    <s v="протокол-№-26.01.2022"/>
  </r>
  <r>
    <s v="Функциональное направление 8"/>
    <n v="4"/>
    <d v="2022-01-26T00:00:00"/>
    <n v="0"/>
    <s v="не защищена"/>
    <n v="500099"/>
    <x v="548"/>
    <n v="34"/>
    <s v="Подразделение34"/>
    <s v="подразделение_2_уровня34"/>
    <s v="-"/>
    <s v="линейный_руководитель_1"/>
    <n v="7"/>
    <s v="нет"/>
    <m/>
    <m/>
    <m/>
    <n v="535"/>
    <s v="Поминов Еремей Романович"/>
    <n v="1592"/>
    <s v="Степанов Савелий Александрович"/>
    <s v="Рабочий"/>
    <s v="Подразделение34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01-27T00:00:00"/>
    <n v="1"/>
    <s v="не защищена"/>
    <n v="500100"/>
    <x v="549"/>
    <n v="31"/>
    <s v="Подразделение31"/>
    <s v="подразделение_2_уровня31"/>
    <s v="-"/>
    <s v="функциональный_руководитель_1"/>
    <n v="6"/>
    <s v="нет"/>
    <m/>
    <m/>
    <m/>
    <n v="536"/>
    <s v="Русланов Тихон Иванович"/>
    <n v="556"/>
    <s v="Нырков Валерий Григорьевич"/>
    <s v="линейный_руководитель_2"/>
    <s v="Подразделение31"/>
    <x v="2"/>
    <x v="0"/>
    <n v="1"/>
    <n v="0"/>
    <m/>
    <m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100"/>
    <x v="549"/>
    <n v="31"/>
    <s v="Подразделение31"/>
    <s v="подразделение_2_уровня31"/>
    <s v="-"/>
    <s v="функциональный_руководитель_1"/>
    <n v="6"/>
    <s v="нет"/>
    <m/>
    <m/>
    <m/>
    <n v="536"/>
    <s v="Русланов Тихон Иванович"/>
    <n v="543"/>
    <s v="Поминов Николай Романович"/>
    <s v="линейный_руководитель_2"/>
    <s v="Подразделение31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00"/>
    <x v="549"/>
    <n v="31"/>
    <s v="Подразделение31"/>
    <s v="подразделение_2_уровня31"/>
    <s v="-"/>
    <s v="функциональный_руководитель_1"/>
    <n v="6"/>
    <s v="нет"/>
    <m/>
    <m/>
    <m/>
    <n v="536"/>
    <s v="Русланов Тихон Иванович"/>
    <n v="1582"/>
    <s v="Брежнев Кирилл Богданович"/>
    <s v="Специалист"/>
    <s v="Подразделение218"/>
    <x v="0"/>
    <x v="2"/>
    <n v="0"/>
    <n v="0"/>
    <s v="прочее (перевод в другое СП / на другое предприятие)"/>
    <d v="2022-12-27T00:00:00"/>
    <s v="не рассматривали"/>
    <s v="протокол-№-27.12.2022"/>
  </r>
  <r>
    <s v="Функциональное направление 8"/>
    <n v="4"/>
    <d v="2022-01-27T00:00:00"/>
    <n v="1"/>
    <s v="не защищена"/>
    <n v="500101"/>
    <x v="550"/>
    <n v="31"/>
    <s v="Подразделение31"/>
    <s v="подразделение_2_уровня31"/>
    <s v="-"/>
    <s v="линейный_руководитель_3"/>
    <n v="6"/>
    <s v="нет"/>
    <m/>
    <m/>
    <m/>
    <n v="537"/>
    <s v="Русланов Тихон Максимович"/>
    <n v="539"/>
    <s v="Цветков Николай Тимофеевич"/>
    <s v="функциональный_руководитель_1"/>
    <s v="Подразделение31"/>
    <x v="1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1"/>
    <x v="550"/>
    <n v="31"/>
    <s v="Подразделение31"/>
    <s v="подразделение_2_уровня31"/>
    <s v="-"/>
    <s v="линейный_руководитель_3"/>
    <n v="6"/>
    <s v="нет"/>
    <m/>
    <m/>
    <m/>
    <n v="537"/>
    <s v="Русланов Тихон Максимович"/>
    <n v="1621"/>
    <s v="Ветров Виталий Александрович"/>
    <s v="Специалист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12-27T00:00:00"/>
    <n v="1"/>
    <s v="не защищена"/>
    <n v="500102"/>
    <x v="551"/>
    <n v="31"/>
    <s v="Подразделение31"/>
    <s v="подразделение_2_уровня31"/>
    <s v="-"/>
    <s v="функциональный_руководитель_1"/>
    <n v="7"/>
    <s v="да"/>
    <d v="2022-10-04T00:00:00"/>
    <d v="2022-11-18T00:00:00"/>
    <s v="из резерва (учитываем)"/>
    <n v="538"/>
    <s v="Волков Николай Михайлович"/>
    <n v="1622"/>
    <s v="Ветров Виталий Геннадьевич"/>
    <s v="Специалист"/>
    <s v="Подразделение31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02"/>
    <x v="551"/>
    <n v="31"/>
    <s v="Подразделение31"/>
    <s v="подразделение_2_уровня31"/>
    <s v="-"/>
    <s v="функциональный_руководитель_1"/>
    <n v="7"/>
    <s v="да"/>
    <d v="2022-10-04T00:00:00"/>
    <d v="2022-11-18T00:00:00"/>
    <s v="из резерва (учитываем)"/>
    <n v="538"/>
    <s v="Волков Николай Михайлович"/>
    <n v="538"/>
    <s v="Волков Николай Михайлович"/>
    <s v="функциональный_руководитель_1"/>
    <s v="Подразделение31"/>
    <x v="0"/>
    <x v="1"/>
    <n v="0"/>
    <n v="1"/>
    <s v="назначение на целевую должность"/>
    <d v="2022-11-18T00:00:00"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03"/>
    <x v="552"/>
    <n v="31"/>
    <s v="Подразделение31"/>
    <s v="подразделение_2_уровня31"/>
    <s v="-"/>
    <s v="функциональный_руководитель_1"/>
    <n v="7"/>
    <s v="нет"/>
    <m/>
    <m/>
    <m/>
    <n v="539"/>
    <s v="Цветков Николай Тимофеевич"/>
    <n v="1623"/>
    <s v="Дмитриев Савелий Ефремович"/>
    <s v="Специалист"/>
    <s v="Подразделение31"/>
    <x v="1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3"/>
    <x v="552"/>
    <n v="31"/>
    <s v="Подразделение31"/>
    <s v="подразделение_2_уровня31"/>
    <s v="-"/>
    <s v="функциональный_руководитель_1"/>
    <n v="7"/>
    <s v="нет"/>
    <m/>
    <m/>
    <m/>
    <n v="539"/>
    <s v="Цветков Николай Тимофеевич"/>
    <n v="1621"/>
    <s v="Ветров Виталий Александрович"/>
    <s v="Специалист"/>
    <s v="Подразделение31"/>
    <x v="1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04"/>
    <x v="553"/>
    <n v="31"/>
    <s v="Подразделение31"/>
    <s v="подразделение_2_уровня31"/>
    <s v="-"/>
    <s v="руководитель_среднего_уровня_4"/>
    <n v="6"/>
    <s v="нет"/>
    <m/>
    <m/>
    <m/>
    <n v="540"/>
    <s v="Волков Алексей Денисович"/>
    <n v="544"/>
    <s v="Русланов Емельян Максимович"/>
    <s v="линейный_руководитель_2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05"/>
    <x v="554"/>
    <n v="31"/>
    <s v="Подразделение31"/>
    <s v="подразделение_2_уровня31"/>
    <s v="-"/>
    <s v="линейный_руководитель_1"/>
    <n v="7"/>
    <s v="нет"/>
    <m/>
    <m/>
    <m/>
    <n v="541"/>
    <s v="Чистяков Григорий Юрьевич"/>
    <n v="1624"/>
    <s v="Степанов Афанасий Александрович"/>
    <s v="Рабочий"/>
    <s v="Подразделение31"/>
    <x v="2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5"/>
    <x v="554"/>
    <n v="31"/>
    <s v="Подразделение31"/>
    <s v="подразделение_2_уровня31"/>
    <s v="-"/>
    <s v="линейный_руководитель_1"/>
    <n v="7"/>
    <s v="нет"/>
    <m/>
    <m/>
    <m/>
    <n v="541"/>
    <s v="Чистяков Григорий Юрьевич"/>
    <n v="1625"/>
    <s v="Дорофеев Лавр Кондратьевич"/>
    <s v="Рабочий"/>
    <s v="Подразделение31"/>
    <x v="2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5"/>
    <x v="554"/>
    <n v="31"/>
    <s v="Подразделение31"/>
    <s v="подразделение_2_уровня31"/>
    <s v="-"/>
    <s v="линейный_руководитель_1"/>
    <n v="7"/>
    <s v="нет"/>
    <m/>
    <m/>
    <m/>
    <n v="541"/>
    <s v="Чистяков Григорий Юрьевич"/>
    <n v="1626"/>
    <s v="Незнамов Геннадий Михайлович"/>
    <s v="Рабочий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5"/>
    <x v="554"/>
    <n v="31"/>
    <s v="Подразделение31"/>
    <s v="подразделение_2_уровня31"/>
    <s v="-"/>
    <s v="линейный_руководитель_1"/>
    <n v="7"/>
    <s v="нет"/>
    <m/>
    <m/>
    <m/>
    <n v="541"/>
    <s v="Чистяков Григорий Юрьевич"/>
    <n v="626"/>
    <s v="Романов Константин Михайлович"/>
    <s v="линейный_руководитель_2"/>
    <s v="Подразделение31"/>
    <x v="2"/>
    <x v="1"/>
    <n v="1"/>
    <n v="0"/>
    <s v="назначение на равнозначную должность"/>
    <d v="2023-03-06T00:00:00"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05"/>
    <x v="555"/>
    <n v="31"/>
    <s v="Подразделение31"/>
    <s v="подразделение_2_уровня31"/>
    <s v="-"/>
    <s v="линейный_руководитель_1"/>
    <n v="7"/>
    <s v="нет"/>
    <m/>
    <m/>
    <m/>
    <n v="542"/>
    <s v="Русланов Кирилл Егорович"/>
    <n v="1624"/>
    <s v="Степанов Афанасий Александрович"/>
    <s v="Рабочий"/>
    <s v="Подразделение31"/>
    <x v="2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5"/>
    <x v="555"/>
    <n v="31"/>
    <s v="Подразделение31"/>
    <s v="подразделение_2_уровня31"/>
    <s v="-"/>
    <s v="линейный_руководитель_1"/>
    <n v="7"/>
    <s v="нет"/>
    <m/>
    <m/>
    <m/>
    <n v="542"/>
    <s v="Русланов Кирилл Егорович"/>
    <n v="1625"/>
    <s v="Дорофеев Лавр Кондратьевич"/>
    <s v="Рабочий"/>
    <s v="Подразделение31"/>
    <x v="2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5"/>
    <x v="555"/>
    <n v="31"/>
    <s v="Подразделение31"/>
    <s v="подразделение_2_уровня31"/>
    <s v="-"/>
    <s v="линейный_руководитель_1"/>
    <n v="7"/>
    <s v="нет"/>
    <m/>
    <m/>
    <m/>
    <n v="542"/>
    <s v="Русланов Кирилл Егорович"/>
    <n v="1626"/>
    <s v="Незнамов Геннадий Михайлович"/>
    <s v="Рабочий"/>
    <s v="Подразделение31"/>
    <x v="0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5"/>
    <x v="555"/>
    <n v="31"/>
    <s v="Подразделение31"/>
    <s v="подразделение_2_уровня31"/>
    <s v="-"/>
    <s v="линейный_руководитель_1"/>
    <n v="7"/>
    <s v="нет"/>
    <m/>
    <m/>
    <m/>
    <n v="542"/>
    <s v="Русланов Кирилл Егорович"/>
    <n v="626"/>
    <s v="Романов Константин Михайлович"/>
    <s v="линейный_руководитель_2"/>
    <s v="Подразделение31"/>
    <x v="2"/>
    <x v="2"/>
    <n v="0"/>
    <n v="0"/>
    <s v="назначение на равнозначную должность"/>
    <d v="2023-03-06T00:00:00"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06"/>
    <x v="556"/>
    <n v="31"/>
    <s v="Подразделение31"/>
    <s v="подразделение_2_уровня31"/>
    <s v="-"/>
    <s v="линейный_руководитель_2"/>
    <n v="7"/>
    <s v="нет"/>
    <m/>
    <m/>
    <m/>
    <n v="543"/>
    <s v="Поминов Николай Романович"/>
    <n v="1624"/>
    <s v="Степанов Афанасий Александрович"/>
    <s v="Рабочий"/>
    <s v="Подразделение31"/>
    <x v="2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6"/>
    <x v="556"/>
    <n v="31"/>
    <s v="Подразделение31"/>
    <s v="подразделение_2_уровня31"/>
    <s v="-"/>
    <s v="линейный_руководитель_2"/>
    <n v="7"/>
    <s v="нет"/>
    <m/>
    <m/>
    <m/>
    <n v="543"/>
    <s v="Поминов Николай Романович"/>
    <n v="626"/>
    <s v="Романов Константин Михайлович"/>
    <s v="линейный_руководитель_2"/>
    <s v="Подразделение31"/>
    <x v="2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6"/>
    <x v="556"/>
    <n v="31"/>
    <s v="Подразделение31"/>
    <s v="подразделение_2_уровня31"/>
    <s v="-"/>
    <s v="линейный_руководитель_2"/>
    <n v="7"/>
    <s v="нет"/>
    <m/>
    <m/>
    <m/>
    <n v="543"/>
    <s v="Поминов Николай Романович"/>
    <n v="1625"/>
    <s v="Дорофеев Лавр Кондратьевич"/>
    <s v="Рабочий"/>
    <s v="Подразделение31"/>
    <x v="2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6"/>
    <x v="556"/>
    <n v="31"/>
    <s v="Подразделение31"/>
    <s v="подразделение_2_уровня31"/>
    <s v="-"/>
    <s v="линейный_руководитель_2"/>
    <n v="7"/>
    <s v="нет"/>
    <m/>
    <m/>
    <m/>
    <n v="543"/>
    <s v="Поминов Николай Романович"/>
    <n v="1626"/>
    <s v="Незнамов Геннадий Михайлович"/>
    <s v="Рабочий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07"/>
    <x v="557"/>
    <n v="31"/>
    <s v="Подразделение31"/>
    <s v="подразделение_2_уровня31"/>
    <s v="-"/>
    <s v="линейный_руководитель_2"/>
    <n v="7"/>
    <s v="нет"/>
    <m/>
    <m/>
    <m/>
    <n v="544"/>
    <s v="Русланов Емельян Максимович"/>
    <n v="1626"/>
    <s v="Незнамов Геннадий Михайлович"/>
    <s v="Рабочий"/>
    <s v="Подразделение31"/>
    <x v="0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7"/>
    <x v="557"/>
    <n v="31"/>
    <s v="Подразделение31"/>
    <s v="подразделение_2_уровня31"/>
    <s v="-"/>
    <s v="линейный_руководитель_2"/>
    <n v="7"/>
    <s v="нет"/>
    <m/>
    <m/>
    <m/>
    <n v="544"/>
    <s v="Русланов Емельян Максимович"/>
    <n v="1627"/>
    <s v="Незнамов Виталий Кондратьевич"/>
    <s v="Рабочий"/>
    <s v="Подразделение31"/>
    <x v="2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7"/>
    <x v="557"/>
    <n v="31"/>
    <s v="Подразделение31"/>
    <s v="подразделение_2_уровня31"/>
    <s v="-"/>
    <s v="линейный_руководитель_2"/>
    <n v="7"/>
    <s v="нет"/>
    <m/>
    <m/>
    <m/>
    <n v="544"/>
    <s v="Русланов Емельян Максимович"/>
    <n v="1628"/>
    <s v="Коростелев Савелий Геннадьевич"/>
    <s v="Рабочий"/>
    <s v="Подразделение31"/>
    <x v="0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08"/>
    <x v="558"/>
    <n v="31"/>
    <s v="Подразделение31"/>
    <s v="подразделение_2_уровня31"/>
    <s v="-"/>
    <s v="линейный_руководитель_2"/>
    <n v="7"/>
    <s v="нет"/>
    <m/>
    <m/>
    <m/>
    <n v="545"/>
    <s v="Волков Алексей Михайлович"/>
    <n v="1628"/>
    <s v="Коростелев Савелий Геннадьевич"/>
    <s v="Рабочий"/>
    <s v="Подразделение31"/>
    <x v="0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8"/>
    <x v="558"/>
    <n v="31"/>
    <s v="Подразделение31"/>
    <s v="подразделение_2_уровня31"/>
    <s v="-"/>
    <s v="линейный_руководитель_2"/>
    <n v="7"/>
    <s v="нет"/>
    <m/>
    <m/>
    <m/>
    <n v="545"/>
    <s v="Волков Алексей Михайлович"/>
    <n v="1626"/>
    <s v="Незнамов Геннадий Михайлович"/>
    <s v="Рабочий"/>
    <s v="Подразделение31"/>
    <x v="2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09"/>
    <x v="559"/>
    <n v="31"/>
    <s v="Подразделение31"/>
    <s v="подразделение_2_уровня31"/>
    <s v="-"/>
    <s v="руководитель_среднего_уровня_4"/>
    <n v="6"/>
    <s v="нет"/>
    <m/>
    <m/>
    <m/>
    <n v="546"/>
    <s v="Баранкин Кирилл Денисович"/>
    <n v="550"/>
    <s v="Волков Кирилл Романович"/>
    <s v="линейный_руководитель_2"/>
    <s v="Подразделение31"/>
    <x v="1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09"/>
    <x v="559"/>
    <n v="31"/>
    <s v="Подразделение31"/>
    <s v="подразделение_2_уровня31"/>
    <s v="-"/>
    <s v="руководитель_среднего_уровня_4"/>
    <n v="6"/>
    <s v="нет"/>
    <m/>
    <m/>
    <m/>
    <n v="546"/>
    <s v="Баранкин Кирилл Денисович"/>
    <n v="548"/>
    <s v="Баранкин Тихон Григорьевич"/>
    <s v="линейный_руководитель_2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10"/>
    <x v="560"/>
    <n v="31"/>
    <s v="Подразделение31"/>
    <s v="подразделение_2_уровня31"/>
    <s v="-"/>
    <s v="линейный_руководитель_1"/>
    <n v="7"/>
    <s v="нет"/>
    <m/>
    <m/>
    <m/>
    <n v="548"/>
    <s v="Баранкин Тихон Григорьевич"/>
    <n v="1630"/>
    <s v="Дмитриев Афанасий Михайлович"/>
    <s v="Рабочий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0"/>
    <x v="560"/>
    <n v="31"/>
    <s v="Подразделение31"/>
    <s v="подразделение_2_уровня31"/>
    <s v="-"/>
    <s v="линейный_руководитель_1"/>
    <n v="7"/>
    <s v="нет"/>
    <m/>
    <m/>
    <m/>
    <n v="548"/>
    <s v="Баранкин Тихон Григорьевич"/>
    <n v="1631"/>
    <s v="Игнатьев Матвей Геннадьевич"/>
    <s v="Рабочий"/>
    <s v="Подразделение31"/>
    <x v="1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10"/>
    <x v="561"/>
    <n v="31"/>
    <s v="Подразделение31"/>
    <s v="подразделение_2_уровня31"/>
    <s v="-"/>
    <s v="линейный_руководитель_1"/>
    <n v="7"/>
    <s v="нет"/>
    <m/>
    <m/>
    <m/>
    <n v="549"/>
    <s v="Волков Федот Денисович"/>
    <n v="1630"/>
    <s v="Дмитриев Афанасий Михайлович"/>
    <s v="Рабочий"/>
    <s v="Подразделение31"/>
    <x v="0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0"/>
    <x v="561"/>
    <n v="31"/>
    <s v="Подразделение31"/>
    <s v="подразделение_2_уровня31"/>
    <s v="-"/>
    <s v="линейный_руководитель_1"/>
    <n v="7"/>
    <s v="нет"/>
    <m/>
    <m/>
    <m/>
    <n v="549"/>
    <s v="Волков Федот Денисович"/>
    <n v="1631"/>
    <s v="Игнатьев Матвей Геннадьевич"/>
    <s v="Рабочий"/>
    <s v="Подразделение31"/>
    <x v="1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11"/>
    <x v="562"/>
    <n v="31"/>
    <s v="Подразделение31"/>
    <s v="подразделение_2_уровня31"/>
    <s v="-"/>
    <s v="линейный_руководитель_2"/>
    <n v="7"/>
    <s v="нет"/>
    <m/>
    <m/>
    <m/>
    <n v="550"/>
    <s v="Волков Кирилл Романович"/>
    <n v="1630"/>
    <s v="Дмитриев Афанасий Михайлович"/>
    <s v="Рабочий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1"/>
    <x v="562"/>
    <n v="31"/>
    <s v="Подразделение31"/>
    <s v="подразделение_2_уровня31"/>
    <s v="-"/>
    <s v="линейный_руководитель_2"/>
    <n v="7"/>
    <s v="нет"/>
    <m/>
    <m/>
    <m/>
    <n v="550"/>
    <s v="Волков Кирилл Романович"/>
    <n v="1631"/>
    <s v="Игнатьев Матвей Геннадьевич"/>
    <s v="Рабочий"/>
    <s v="Подразделение31"/>
    <x v="1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12"/>
    <x v="563"/>
    <n v="31"/>
    <s v="Подразделение31"/>
    <s v="подразделение_2_уровня31"/>
    <s v="-"/>
    <s v="руководитель_среднего_уровня_4"/>
    <n v="6"/>
    <s v="нет"/>
    <m/>
    <m/>
    <m/>
    <n v="551"/>
    <s v="Романов Григорий Михайлович"/>
    <n v="552"/>
    <s v="Вобликов Тихон Максимович"/>
    <s v="линейный_руководитель_2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12-27T00:00:00"/>
    <n v="1"/>
    <s v="не защищена"/>
    <n v="500113"/>
    <x v="564"/>
    <n v="31"/>
    <s v="Подразделение31"/>
    <s v="подразделение_2_уровня31"/>
    <s v="-"/>
    <s v="линейный_руководитель_1"/>
    <n v="7"/>
    <s v="нет"/>
    <m/>
    <m/>
    <m/>
    <n v="552"/>
    <s v="Вобликов Тихон Максимович"/>
    <n v="554"/>
    <s v="Русланов Венедикт Романович"/>
    <s v="Рабочий"/>
    <s v="Подразделение31"/>
    <x v="2"/>
    <x v="1"/>
    <n v="1"/>
    <n v="0"/>
    <s v="назначение на целевую должность"/>
    <d v="2023-01-30T00:00:00"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3"/>
    <x v="564"/>
    <n v="31"/>
    <s v="Подразделение31"/>
    <s v="подразделение_2_уровня31"/>
    <s v="-"/>
    <s v="линейный_руководитель_1"/>
    <n v="7"/>
    <s v="нет"/>
    <m/>
    <m/>
    <m/>
    <n v="552"/>
    <s v="Вобликов Тихон Максимович"/>
    <n v="1632"/>
    <s v="Дорофеев Арсений Михайлович"/>
    <s v="Рабочий"/>
    <s v="Подразделение31"/>
    <x v="0"/>
    <x v="2"/>
    <n v="1"/>
    <n v="0"/>
    <s v="инициатива комитета / руководителя"/>
    <d v="2022-12-27T00:00:00"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3"/>
    <x v="564"/>
    <n v="31"/>
    <s v="Подразделение31"/>
    <s v="подразделение_2_уровня31"/>
    <s v="-"/>
    <s v="линейный_руководитель_1"/>
    <n v="7"/>
    <s v="нет"/>
    <m/>
    <m/>
    <m/>
    <n v="552"/>
    <s v="Вобликов Тихон Максимович"/>
    <n v="1633"/>
    <s v="Ветров Геннадий Семенович"/>
    <s v="Рабочий"/>
    <s v="Подразделение31"/>
    <x v="0"/>
    <x v="2"/>
    <n v="0"/>
    <n v="0"/>
    <s v="самоотвод"/>
    <d v="2023-01-31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3"/>
    <x v="564"/>
    <n v="31"/>
    <s v="Подразделение31"/>
    <s v="подразделение_2_уровня31"/>
    <s v="-"/>
    <s v="линейный_руководитель_1"/>
    <n v="7"/>
    <s v="нет"/>
    <m/>
    <m/>
    <m/>
    <n v="552"/>
    <s v="Вобликов Тихон Максимович"/>
    <n v="1634"/>
    <s v="Брежнев Константин Александрович"/>
    <s v="Рабочий"/>
    <s v="Подразделение31"/>
    <x v="0"/>
    <x v="2"/>
    <n v="1"/>
    <n v="0"/>
    <s v="увольнение"/>
    <d v="2022-03-01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3"/>
    <x v="564"/>
    <n v="31"/>
    <s v="Подразделение31"/>
    <s v="подразделение_2_уровня31"/>
    <s v="-"/>
    <s v="линейный_руководитель_1"/>
    <n v="7"/>
    <s v="нет"/>
    <m/>
    <m/>
    <m/>
    <n v="552"/>
    <s v="Вобликов Тихон Максимович"/>
    <n v="553"/>
    <s v="Волков Константин Владиславович"/>
    <s v="линейный_руководитель_2"/>
    <s v="Подразделение31"/>
    <x v="1"/>
    <x v="2"/>
    <n v="1"/>
    <n v="0"/>
    <s v="назначение на целевую должность"/>
    <d v="2022-09-02T00:00:00"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13"/>
    <x v="565"/>
    <n v="31"/>
    <s v="Подразделение31"/>
    <s v="подразделение_2_уровня31"/>
    <s v="-"/>
    <s v="линейный_руководитель_1"/>
    <n v="7"/>
    <s v="да"/>
    <d v="2022-03-14T00:00:00"/>
    <d v="2022-09-02T00:00:00"/>
    <s v="из резерва (учитываем)"/>
    <n v="553"/>
    <s v="Волков Константин Владиславович"/>
    <n v="553"/>
    <s v="Волков Константин Владиславович"/>
    <s v="линейный_руководитель_2"/>
    <s v="Подразделение31"/>
    <x v="1"/>
    <x v="1"/>
    <n v="0"/>
    <n v="1"/>
    <s v="назначение на целевую должность"/>
    <d v="2022-09-02T00:00:00"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113"/>
    <x v="565"/>
    <n v="31"/>
    <s v="Подразделение31"/>
    <s v="подразделение_2_уровня31"/>
    <s v="-"/>
    <s v="линейный_руководитель_1"/>
    <n v="7"/>
    <s v="да"/>
    <d v="2022-03-14T00:00:00"/>
    <d v="2022-09-02T00:00:00"/>
    <s v="из резерва (учитываем)"/>
    <n v="553"/>
    <s v="Волков Константин Владиславович"/>
    <n v="554"/>
    <s v="Русланов Венедикт Романович"/>
    <s v="Рабочий"/>
    <s v="Подразделение31"/>
    <x v="2"/>
    <x v="1"/>
    <n v="0"/>
    <n v="0"/>
    <s v="назначение на целевую должность"/>
    <d v="2023-01-30T00:00:00"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3"/>
    <x v="565"/>
    <n v="31"/>
    <s v="Подразделение31"/>
    <s v="подразделение_2_уровня31"/>
    <s v="-"/>
    <s v="линейный_руководитель_1"/>
    <n v="7"/>
    <s v="да"/>
    <d v="2022-03-14T00:00:00"/>
    <d v="2022-09-02T00:00:00"/>
    <s v="из резерва (учитываем)"/>
    <n v="553"/>
    <s v="Волков Константин Владиславович"/>
    <n v="1632"/>
    <s v="Дорофеев Арсений Михайлович"/>
    <s v="Рабочий"/>
    <s v="Подразделение31"/>
    <x v="0"/>
    <x v="2"/>
    <n v="0"/>
    <n v="0"/>
    <s v="инициатива комитета / руководителя"/>
    <d v="2022-12-27T00:00:00"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3"/>
    <x v="565"/>
    <n v="31"/>
    <s v="Подразделение31"/>
    <s v="подразделение_2_уровня31"/>
    <s v="-"/>
    <s v="линейный_руководитель_1"/>
    <n v="7"/>
    <s v="да"/>
    <d v="2022-03-14T00:00:00"/>
    <d v="2022-09-02T00:00:00"/>
    <s v="из резерва (учитываем)"/>
    <n v="553"/>
    <s v="Волков Константин Владиславович"/>
    <n v="1633"/>
    <s v="Ветров Геннадий Семенович"/>
    <s v="Рабочий"/>
    <s v="Подразделение31"/>
    <x v="0"/>
    <x v="2"/>
    <n v="0"/>
    <n v="0"/>
    <s v="самоотвод"/>
    <d v="2023-01-31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3"/>
    <x v="565"/>
    <n v="31"/>
    <s v="Подразделение31"/>
    <s v="подразделение_2_уровня31"/>
    <s v="-"/>
    <s v="линейный_руководитель_1"/>
    <n v="7"/>
    <s v="да"/>
    <d v="2022-03-14T00:00:00"/>
    <d v="2022-09-02T00:00:00"/>
    <s v="из резерва (учитываем)"/>
    <n v="553"/>
    <s v="Волков Константин Владиславович"/>
    <n v="1634"/>
    <s v="Брежнев Константин Александрович"/>
    <s v="Рабочий"/>
    <s v="Подразделение31"/>
    <x v="0"/>
    <x v="2"/>
    <n v="0"/>
    <n v="0"/>
    <s v="увольнение"/>
    <d v="2022-03-01T00:00:00"/>
    <s v="не рассматривали"/>
    <s v="протокол-№-27.01.2022"/>
  </r>
  <r>
    <s v="Функциональное направление 8"/>
    <n v="4"/>
    <d v="2022-12-27T00:00:00"/>
    <n v="1"/>
    <s v="не защищена"/>
    <n v="500113"/>
    <x v="566"/>
    <n v="31"/>
    <s v="Подразделение31"/>
    <s v="подразделение_2_уровня31"/>
    <s v="-"/>
    <s v="линейный_руководитель_1"/>
    <n v="7"/>
    <s v="да"/>
    <d v="2022-12-19T00:00:00"/>
    <m/>
    <m/>
    <s v="вакансия"/>
    <s v="вакансия"/>
    <n v="554"/>
    <s v="Русланов Венедикт Романович"/>
    <s v="Рабочий"/>
    <s v="Подразделение31"/>
    <x v="2"/>
    <x v="1"/>
    <n v="0"/>
    <n v="0"/>
    <s v="назначение на целевую должность"/>
    <d v="2023-01-30T00:00:00"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3"/>
    <x v="566"/>
    <n v="31"/>
    <s v="Подразделение31"/>
    <s v="подразделение_2_уровня31"/>
    <s v="-"/>
    <s v="линейный_руководитель_1"/>
    <n v="7"/>
    <s v="да"/>
    <d v="2022-12-19T00:00:00"/>
    <m/>
    <m/>
    <s v="вакансия"/>
    <s v="вакансия"/>
    <n v="1632"/>
    <s v="Дорофеев Арсений Михайлович"/>
    <s v="Рабочий"/>
    <s v="Подразделение31"/>
    <x v="0"/>
    <x v="2"/>
    <n v="0"/>
    <n v="0"/>
    <s v="инициатива комитета / руководителя"/>
    <d v="2022-12-27T00:00:00"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3"/>
    <x v="566"/>
    <n v="31"/>
    <s v="Подразделение31"/>
    <s v="подразделение_2_уровня31"/>
    <s v="-"/>
    <s v="линейный_руководитель_1"/>
    <n v="7"/>
    <s v="да"/>
    <d v="2022-12-19T00:00:00"/>
    <m/>
    <m/>
    <s v="вакансия"/>
    <s v="вакансия"/>
    <n v="1633"/>
    <s v="Ветров Геннадий Семенович"/>
    <s v="Рабочий"/>
    <s v="Подразделение31"/>
    <x v="0"/>
    <x v="2"/>
    <n v="0"/>
    <n v="0"/>
    <s v="самоотвод"/>
    <d v="2023-01-31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3"/>
    <x v="566"/>
    <n v="31"/>
    <s v="Подразделение31"/>
    <s v="подразделение_2_уровня31"/>
    <s v="-"/>
    <s v="линейный_руководитель_1"/>
    <n v="7"/>
    <s v="да"/>
    <d v="2022-12-19T00:00:00"/>
    <m/>
    <m/>
    <s v="вакансия"/>
    <s v="вакансия"/>
    <n v="1634"/>
    <s v="Брежнев Константин Александрович"/>
    <s v="Рабочий"/>
    <s v="Подразделение31"/>
    <x v="0"/>
    <x v="2"/>
    <n v="0"/>
    <n v="0"/>
    <s v="увольнение"/>
    <d v="2022-03-01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3"/>
    <x v="566"/>
    <n v="31"/>
    <s v="Подразделение31"/>
    <s v="подразделение_2_уровня31"/>
    <s v="-"/>
    <s v="линейный_руководитель_1"/>
    <n v="7"/>
    <s v="да"/>
    <d v="2022-12-19T00:00:00"/>
    <m/>
    <m/>
    <s v="вакансия"/>
    <s v="вакансия"/>
    <n v="553"/>
    <s v="Волков Константин Владиславович"/>
    <s v="линейный_руководитель_2"/>
    <s v="Подразделение31"/>
    <x v="1"/>
    <x v="2"/>
    <n v="0"/>
    <n v="0"/>
    <s v="назначение на целевую должность"/>
    <d v="2022-09-02T00:00:00"/>
    <s v="не рассматривали"/>
    <s v="протокол-№-27.01.2022"/>
  </r>
  <r>
    <s v="Функциональное направление 8"/>
    <n v="4"/>
    <d v="2022-12-27T00:00:00"/>
    <n v="1"/>
    <s v="не защищена"/>
    <n v="500113"/>
    <x v="567"/>
    <n v="31"/>
    <s v="Подразделение31"/>
    <s v="подразделение_2_уровня31"/>
    <s v="-"/>
    <s v="линейный_руководитель_1"/>
    <n v="7"/>
    <s v="да"/>
    <d v="2022-12-09T00:00:00"/>
    <d v="2023-01-30T00:00:00"/>
    <s v="из резерва (учитываем)"/>
    <n v="554"/>
    <s v="Русланов Венедикт Романович"/>
    <n v="554"/>
    <s v="Русланов Венедикт Романович"/>
    <s v="Рабочий"/>
    <s v="Подразделение31"/>
    <x v="2"/>
    <x v="1"/>
    <n v="0"/>
    <n v="1"/>
    <s v="назначение на целевую должность"/>
    <d v="2023-01-30T00:00:00"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3"/>
    <x v="567"/>
    <n v="31"/>
    <s v="Подразделение31"/>
    <s v="подразделение_2_уровня31"/>
    <s v="-"/>
    <s v="линейный_руководитель_1"/>
    <n v="7"/>
    <s v="да"/>
    <d v="2022-12-09T00:00:00"/>
    <d v="2023-01-30T00:00:00"/>
    <s v="из резерва (учитываем)"/>
    <n v="554"/>
    <s v="Русланов Венедикт Романович"/>
    <n v="1632"/>
    <s v="Дорофеев Арсений Михайлович"/>
    <s v="Рабочий"/>
    <s v="Подразделение31"/>
    <x v="0"/>
    <x v="2"/>
    <n v="0"/>
    <n v="0"/>
    <s v="инициатива комитета / руководителя"/>
    <d v="2022-12-27T00:00:00"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3"/>
    <x v="567"/>
    <n v="31"/>
    <s v="Подразделение31"/>
    <s v="подразделение_2_уровня31"/>
    <s v="-"/>
    <s v="линейный_руководитель_1"/>
    <n v="7"/>
    <s v="да"/>
    <d v="2022-12-09T00:00:00"/>
    <d v="2023-01-30T00:00:00"/>
    <s v="из резерва (учитываем)"/>
    <n v="554"/>
    <s v="Русланов Венедикт Романович"/>
    <n v="1633"/>
    <s v="Ветров Геннадий Семенович"/>
    <s v="Рабочий"/>
    <s v="Подразделение31"/>
    <x v="0"/>
    <x v="2"/>
    <n v="0"/>
    <n v="0"/>
    <s v="самоотвод"/>
    <d v="2023-01-31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3"/>
    <x v="567"/>
    <n v="31"/>
    <s v="Подразделение31"/>
    <s v="подразделение_2_уровня31"/>
    <s v="-"/>
    <s v="линейный_руководитель_1"/>
    <n v="7"/>
    <s v="да"/>
    <d v="2022-12-09T00:00:00"/>
    <d v="2023-01-30T00:00:00"/>
    <s v="из резерва (учитываем)"/>
    <n v="554"/>
    <s v="Русланов Венедикт Романович"/>
    <n v="1634"/>
    <s v="Брежнев Константин Александрович"/>
    <s v="Рабочий"/>
    <s v="Подразделение31"/>
    <x v="0"/>
    <x v="2"/>
    <n v="0"/>
    <n v="0"/>
    <s v="увольнение"/>
    <d v="2022-03-01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3"/>
    <x v="567"/>
    <n v="31"/>
    <s v="Подразделение31"/>
    <s v="подразделение_2_уровня31"/>
    <s v="-"/>
    <s v="линейный_руководитель_1"/>
    <n v="7"/>
    <s v="да"/>
    <d v="2022-12-09T00:00:00"/>
    <d v="2023-01-30T00:00:00"/>
    <s v="из резерва (учитываем)"/>
    <n v="554"/>
    <s v="Русланов Венедикт Романович"/>
    <n v="553"/>
    <s v="Волков Константин Владиславович"/>
    <s v="линейный_руководитель_2"/>
    <s v="Подразделение31"/>
    <x v="1"/>
    <x v="2"/>
    <n v="0"/>
    <n v="0"/>
    <s v="назначение на целевую должность"/>
    <d v="2022-09-02T00:00:00"/>
    <s v="не рассматривали"/>
    <s v="протокол-№-27.01.2022"/>
  </r>
  <r>
    <s v="Функциональное направление 8"/>
    <n v="4"/>
    <d v="2022-12-27T00:00:00"/>
    <n v="1"/>
    <s v="не защищена"/>
    <n v="500114"/>
    <x v="568"/>
    <n v="31"/>
    <s v="Подразделение31"/>
    <s v="подразделение_2_уровня31"/>
    <s v="-"/>
    <s v="линейный_руководитель_2"/>
    <n v="7"/>
    <s v="да"/>
    <d v="2022-04-25T00:00:00"/>
    <d v="2022-05-17T00:00:00"/>
    <s v="из резерва (учитываем)"/>
    <n v="555"/>
    <s v="Поминов Тихон Кириллович"/>
    <n v="1635"/>
    <s v="Тимофеев Матвей Ефремович"/>
    <s v="Рабочий"/>
    <s v="Подразделение31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114"/>
    <x v="568"/>
    <n v="31"/>
    <s v="Подразделение31"/>
    <s v="подразделение_2_уровня31"/>
    <s v="-"/>
    <s v="линейный_руководитель_2"/>
    <n v="7"/>
    <s v="да"/>
    <d v="2022-04-25T00:00:00"/>
    <d v="2022-05-17T00:00:00"/>
    <s v="из резерва (учитываем)"/>
    <n v="555"/>
    <s v="Поминов Тихон Кириллович"/>
    <n v="1636"/>
    <s v="Брежнев Геннадий Геннадьевич"/>
    <s v="Рабочий"/>
    <s v="Подразделение31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4"/>
    <x v="568"/>
    <n v="31"/>
    <s v="Подразделение31"/>
    <s v="подразделение_2_уровня31"/>
    <s v="-"/>
    <s v="линейный_руководитель_2"/>
    <n v="7"/>
    <s v="да"/>
    <d v="2022-04-25T00:00:00"/>
    <d v="2022-05-17T00:00:00"/>
    <s v="из резерва (учитываем)"/>
    <n v="555"/>
    <s v="Поминов Тихон Кириллович"/>
    <n v="555"/>
    <s v="Поминов Тихон Кириллович"/>
    <s v="Рабочий"/>
    <s v="Подразделение31"/>
    <x v="1"/>
    <x v="1"/>
    <n v="1"/>
    <n v="1"/>
    <s v="назначение на целевую должность"/>
    <d v="2022-05-17T00:00:00"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15"/>
    <x v="569"/>
    <n v="31"/>
    <s v="Подразделение31"/>
    <s v="подразделение_2_уровня31"/>
    <s v="подразделение_3_уровня31"/>
    <s v="линейный_руководитель_2"/>
    <n v="7"/>
    <s v="да"/>
    <d v="2022-04-12T00:00:00"/>
    <d v="2022-05-17T00:00:00"/>
    <s v="из резерва (учитываем)"/>
    <n v="556"/>
    <s v="Нырков Валерий Григорьевич"/>
    <n v="553"/>
    <s v="Волков Константин Владиславович"/>
    <s v="линейный_руководитель_2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115"/>
    <x v="569"/>
    <n v="31"/>
    <s v="Подразделение31"/>
    <s v="подразделение_2_уровня31"/>
    <s v="подразделение_3_уровня31"/>
    <s v="линейный_руководитель_2"/>
    <n v="7"/>
    <s v="да"/>
    <d v="2022-04-12T00:00:00"/>
    <d v="2022-05-17T00:00:00"/>
    <s v="из резерва (учитываем)"/>
    <n v="556"/>
    <s v="Нырков Валерий Григорьевич"/>
    <n v="1637"/>
    <s v="Игнатьев Юрий Михайлович"/>
    <s v="Рабочий"/>
    <s v="Подразделение31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115"/>
    <x v="569"/>
    <n v="31"/>
    <s v="Подразделение31"/>
    <s v="подразделение_2_уровня31"/>
    <s v="подразделение_3_уровня31"/>
    <s v="линейный_руководитель_2"/>
    <n v="7"/>
    <s v="да"/>
    <d v="2022-04-12T00:00:00"/>
    <d v="2022-05-17T00:00:00"/>
    <s v="из резерва (учитываем)"/>
    <n v="556"/>
    <s v="Нырков Валерий Григорьевич"/>
    <n v="556"/>
    <s v="Нырков Валерий Григорьевич"/>
    <s v="линейный_руководитель_2"/>
    <s v="Подразделение31"/>
    <x v="1"/>
    <x v="1"/>
    <n v="1"/>
    <n v="1"/>
    <s v="назначение на целевую должность"/>
    <d v="2022-05-17T00:00:00"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16"/>
    <x v="570"/>
    <n v="31"/>
    <s v="Подразделение31"/>
    <s v="подразделение_2_уровня31"/>
    <s v="-"/>
    <s v="руководитель_среднего_уровня_4"/>
    <n v="6"/>
    <s v="нет"/>
    <m/>
    <m/>
    <m/>
    <n v="557"/>
    <s v="Русланов Емельян Григорьевич"/>
    <n v="559"/>
    <s v="Волков Алексей Анатольевич"/>
    <s v="линейный_руководитель_2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116"/>
    <x v="570"/>
    <n v="31"/>
    <s v="Подразделение31"/>
    <s v="подразделение_2_уровня31"/>
    <s v="-"/>
    <s v="руководитель_среднего_уровня_4"/>
    <n v="6"/>
    <s v="нет"/>
    <m/>
    <m/>
    <m/>
    <n v="557"/>
    <s v="Русланов Емельян Григорьевич"/>
    <n v="558"/>
    <s v="Русланов Венедикт Иванович"/>
    <s v="линейный_руководитель_2"/>
    <s v="Подразделение31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01-27T00:00:00"/>
    <n v="1"/>
    <s v="не защищена"/>
    <n v="500117"/>
    <x v="571"/>
    <n v="31"/>
    <s v="Подразделение31"/>
    <s v="подразделение_2_уровня31"/>
    <s v="-"/>
    <s v="линейный_руководитель_2"/>
    <n v="7"/>
    <s v="да"/>
    <d v="2021-12-27T00:00:00"/>
    <d v="2022-06-11T00:00:00"/>
    <s v="из резерва (учитываем)"/>
    <n v="558"/>
    <s v="Русланов Венедикт Иванович"/>
    <n v="558"/>
    <s v="Русланов Венедикт Иванович"/>
    <s v="линейный_руководитель_2"/>
    <s v="Подразделение31"/>
    <x v="0"/>
    <x v="1"/>
    <n v="1"/>
    <n v="1"/>
    <s v="назначение на целевую должность"/>
    <d v="2022-06-11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7"/>
    <x v="571"/>
    <n v="31"/>
    <s v="Подразделение31"/>
    <s v="подразделение_2_уровня31"/>
    <s v="-"/>
    <s v="линейный_руководитель_2"/>
    <n v="7"/>
    <s v="да"/>
    <d v="2021-12-27T00:00:00"/>
    <d v="2022-06-11T00:00:00"/>
    <s v="из резерва (учитываем)"/>
    <n v="558"/>
    <s v="Русланов Венедикт Иванович"/>
    <n v="612"/>
    <s v="Волков Алексей Тимофеевич"/>
    <s v="Рабочий"/>
    <s v="Подразделение31"/>
    <x v="1"/>
    <x v="2"/>
    <n v="1"/>
    <n v="0"/>
    <s v="назначение на равнозначную должность"/>
    <d v="2022-02-14T00:00:00"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18"/>
    <x v="572"/>
    <n v="31"/>
    <s v="Подразделение31"/>
    <s v="подразделение_2_уровня31"/>
    <s v="-"/>
    <s v="линейный_руководитель_2"/>
    <n v="7"/>
    <s v="нет"/>
    <m/>
    <m/>
    <m/>
    <n v="559"/>
    <s v="Волков Алексей Анатольевич"/>
    <n v="612"/>
    <s v="Волков Алексей Тимофеевич"/>
    <s v="Рабочий"/>
    <s v="Подразделение31"/>
    <x v="1"/>
    <x v="2"/>
    <n v="0"/>
    <n v="0"/>
    <s v="назначение на равнозначную должность"/>
    <d v="2022-02-14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8"/>
    <x v="572"/>
    <n v="31"/>
    <s v="Подразделение31"/>
    <s v="подразделение_2_уровня31"/>
    <s v="-"/>
    <s v="линейный_руководитель_2"/>
    <n v="7"/>
    <s v="нет"/>
    <m/>
    <m/>
    <m/>
    <n v="559"/>
    <s v="Волков Алексей Анатольевич"/>
    <n v="558"/>
    <s v="Русланов Венедикт Иванович"/>
    <s v="линейный_руководитель_2"/>
    <s v="Подразделение31"/>
    <x v="0"/>
    <x v="2"/>
    <n v="0"/>
    <n v="0"/>
    <s v="назначение на целевую должность"/>
    <d v="2022-06-11T00:00:00"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19"/>
    <x v="573"/>
    <n v="31"/>
    <s v="Подразделение31"/>
    <s v="подразделение_2_уровня31"/>
    <s v="-"/>
    <s v="руководитель_среднего_уровня_4"/>
    <n v="6"/>
    <s v="нет"/>
    <m/>
    <m/>
    <m/>
    <n v="560"/>
    <s v="Зверев Кирилл Александрович"/>
    <n v="1638"/>
    <s v="Ветров Арсений Геннадьевич"/>
    <s v="линейный_руководитель_2"/>
    <s v="Подразделение31"/>
    <x v="0"/>
    <x v="2"/>
    <n v="1"/>
    <n v="0"/>
    <s v="увольнение"/>
    <d v="2023-05-01T00:00:00"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19"/>
    <x v="573"/>
    <n v="31"/>
    <s v="Подразделение31"/>
    <s v="подразделение_2_уровня31"/>
    <s v="-"/>
    <s v="руководитель_среднего_уровня_4"/>
    <n v="6"/>
    <s v="нет"/>
    <m/>
    <m/>
    <m/>
    <n v="560"/>
    <s v="Зверев Кирилл Александрович"/>
    <n v="615"/>
    <s v="Бураков Венедикт Иванович"/>
    <s v="линейный_руководитель_2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1"/>
    <s v="не защищена"/>
    <n v="500121"/>
    <x v="574"/>
    <n v="31"/>
    <s v="Подразделение31"/>
    <s v="подразделение_2_уровня31"/>
    <s v="-"/>
    <s v="линейный_руководитель_2"/>
    <n v="7"/>
    <s v="да"/>
    <d v="2023-02-14T00:00:00"/>
    <m/>
    <m/>
    <s v="вакансия"/>
    <s v="вакансия"/>
    <n v="1237"/>
    <s v="Филиппов Афанасий Александрович"/>
    <s v="-"/>
    <s v="-"/>
    <x v="3"/>
    <x v="3"/>
    <n v="0"/>
    <n v="0"/>
    <m/>
    <m/>
    <m/>
    <s v="протокол-№-27.01.2022"/>
  </r>
  <r>
    <s v="Функциональное направление 8"/>
    <n v="4"/>
    <d v="2022-12-27T00:00:00"/>
    <n v="1"/>
    <s v="не защищена"/>
    <n v="500558"/>
    <x v="575"/>
    <n v="33"/>
    <s v="Подразделение33"/>
    <s v="-"/>
    <s v="-"/>
    <s v="функциональный_руководитель_1"/>
    <n v="6"/>
    <s v="да"/>
    <d v="2022-07-01T00:00:00"/>
    <d v="2022-07-25T00:00:00"/>
    <s v="внутр. сотр. (не учитываем)"/>
    <n v="561"/>
    <s v="Баранкин Тихон Владимирович"/>
    <n v="567"/>
    <s v="Русланов Николай Романович"/>
    <s v="линейный_руководитель_2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8"/>
    <x v="575"/>
    <n v="33"/>
    <s v="Подразделение33"/>
    <s v="-"/>
    <s v="-"/>
    <s v="функциональный_руководитель_1"/>
    <n v="6"/>
    <s v="да"/>
    <d v="2022-07-01T00:00:00"/>
    <d v="2022-07-25T00:00:00"/>
    <s v="внутр. сотр. (не учитываем)"/>
    <n v="561"/>
    <s v="Баранкин Тихон Владимирович"/>
    <n v="1639"/>
    <s v="Ветров Афанасий Ефремович"/>
    <s v="Специалист"/>
    <s v="Подразделение_др7"/>
    <x v="2"/>
    <x v="2"/>
    <n v="1"/>
    <n v="0"/>
    <s v="прочее (перевод в другое СП / на другое предприятие)"/>
    <d v="2022-12-27T00:00:00"/>
    <s v="исключение"/>
    <s v="протокол-№-27.12.2022"/>
  </r>
  <r>
    <s v="Функциональное направление 8"/>
    <n v="4"/>
    <d v="2021-12-27T00:00:00"/>
    <n v="1"/>
    <s v="не защищена"/>
    <n v="500552"/>
    <x v="576"/>
    <n v="33"/>
    <s v="Подразделение33"/>
    <s v="подразделение_2_уровня33"/>
    <s v="-"/>
    <s v="руководитель_среднего_уровня_4"/>
    <n v="6"/>
    <s v="нет"/>
    <m/>
    <m/>
    <m/>
    <n v="562"/>
    <s v="Вобликов Тихон Юрьевич"/>
    <n v="617"/>
    <s v="Волков Константин Романович"/>
    <s v="функциональный_руководитель_1"/>
    <s v="Подразделение33"/>
    <x v="0"/>
    <x v="0"/>
    <n v="1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2"/>
    <x v="576"/>
    <n v="33"/>
    <s v="Подразделение33"/>
    <s v="подразделение_2_уровня33"/>
    <s v="-"/>
    <s v="руководитель_среднего_уровня_4"/>
    <n v="6"/>
    <s v="нет"/>
    <m/>
    <m/>
    <m/>
    <n v="562"/>
    <s v="Вобликов Тихон Юрьевич"/>
    <n v="594"/>
    <s v="Вобликов Константин Григорьевич"/>
    <s v="линейный_руководитель_2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553"/>
    <x v="577"/>
    <n v="33"/>
    <s v="Подразделение33"/>
    <s v="подразделение_2_уровня33"/>
    <s v="-"/>
    <s v="линейный_руководитель_1"/>
    <n v="7"/>
    <s v="да"/>
    <d v="2023-06-09T00:00:00"/>
    <m/>
    <m/>
    <s v="вакансия"/>
    <s v="вакансия"/>
    <n v="1640"/>
    <s v="Дорофеев Лавр Богдано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53"/>
    <x v="577"/>
    <n v="33"/>
    <s v="Подразделение33"/>
    <s v="подразделение_2_уровня33"/>
    <s v="-"/>
    <s v="линейный_руководитель_1"/>
    <n v="7"/>
    <s v="да"/>
    <d v="2023-06-09T00:00:00"/>
    <m/>
    <m/>
    <s v="вакансия"/>
    <s v="вакансия"/>
    <n v="1641"/>
    <s v="Коростелев Юрий Геннадье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3"/>
    <x v="577"/>
    <n v="33"/>
    <s v="Подразделение33"/>
    <s v="подразделение_2_уровня33"/>
    <s v="-"/>
    <s v="линейный_руководитель_1"/>
    <n v="7"/>
    <s v="да"/>
    <d v="2023-06-09T00:00:00"/>
    <m/>
    <m/>
    <s v="вакансия"/>
    <s v="вакансия"/>
    <n v="1642"/>
    <s v="Степанов Лавр Богданович"/>
    <s v="Рабочий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3"/>
    <x v="577"/>
    <n v="33"/>
    <s v="Подразделение33"/>
    <s v="подразделение_2_уровня33"/>
    <s v="-"/>
    <s v="линейный_руководитель_1"/>
    <n v="7"/>
    <s v="да"/>
    <d v="2023-06-09T00:00:00"/>
    <m/>
    <m/>
    <s v="вакансия"/>
    <s v="вакансия"/>
    <n v="1643"/>
    <s v="Брежнев Виталий Ефремович"/>
    <s v="Рабочий"/>
    <s v="Подразделение33"/>
    <x v="1"/>
    <x v="1"/>
    <n v="1"/>
    <n v="0"/>
    <s v="назначение на целевую должность"/>
    <d v="2023-02-03T00:00:00"/>
    <s v="повышение"/>
    <s v="протокол-№-27.12.2022"/>
  </r>
  <r>
    <s v="Функциональное направление 8"/>
    <n v="4"/>
    <d v="2022-12-27T00:00:00"/>
    <n v="0"/>
    <s v="не защищена"/>
    <n v="500553"/>
    <x v="577"/>
    <n v="33"/>
    <s v="Подразделение33"/>
    <s v="подразделение_2_уровня33"/>
    <s v="-"/>
    <s v="линейный_руководитель_1"/>
    <n v="7"/>
    <s v="да"/>
    <d v="2023-06-09T00:00:00"/>
    <m/>
    <m/>
    <s v="вакансия"/>
    <s v="вакансия"/>
    <n v="621"/>
    <s v="Волков Кирилл Александрович"/>
    <s v="линейный_руководитель_2"/>
    <s v="Подразделение33"/>
    <x v="1"/>
    <x v="1"/>
    <n v="0"/>
    <n v="0"/>
    <s v="назначение на целевую должность"/>
    <d v="2023-02-03T00:00:00"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553"/>
    <x v="578"/>
    <n v="33"/>
    <s v="Подразделение33"/>
    <s v="подразделение_2_уровня33"/>
    <s v="-"/>
    <s v="линейный_руководитель_1"/>
    <n v="7"/>
    <s v="нет"/>
    <m/>
    <m/>
    <m/>
    <n v="563"/>
    <s v="Зверев Валерий Григорьевич"/>
    <n v="1640"/>
    <s v="Дорофеев Лавр Богдан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53"/>
    <x v="578"/>
    <n v="33"/>
    <s v="Подразделение33"/>
    <s v="подразделение_2_уровня33"/>
    <s v="-"/>
    <s v="линейный_руководитель_1"/>
    <n v="7"/>
    <s v="нет"/>
    <m/>
    <m/>
    <m/>
    <n v="563"/>
    <s v="Зверев Валерий Григорьевич"/>
    <n v="1641"/>
    <s v="Коростелев Юрий Геннадье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3"/>
    <x v="578"/>
    <n v="33"/>
    <s v="Подразделение33"/>
    <s v="подразделение_2_уровня33"/>
    <s v="-"/>
    <s v="линейный_руководитель_1"/>
    <n v="7"/>
    <s v="нет"/>
    <m/>
    <m/>
    <m/>
    <n v="563"/>
    <s v="Зверев Валерий Григорьевич"/>
    <n v="1642"/>
    <s v="Степанов Лавр Богдано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3"/>
    <x v="578"/>
    <n v="33"/>
    <s v="Подразделение33"/>
    <s v="подразделение_2_уровня33"/>
    <s v="-"/>
    <s v="линейный_руководитель_1"/>
    <n v="7"/>
    <s v="нет"/>
    <m/>
    <m/>
    <m/>
    <n v="563"/>
    <s v="Зверев Валерий Григорьевич"/>
    <n v="1643"/>
    <s v="Брежнев Виталий Ефремович"/>
    <s v="Рабочий"/>
    <s v="Подразделение33"/>
    <x v="1"/>
    <x v="1"/>
    <n v="0"/>
    <n v="0"/>
    <s v="назначение на целевую должность"/>
    <d v="2023-02-03T00:00:00"/>
    <s v="повышение"/>
    <s v="протокол-№-27.12.2022"/>
  </r>
  <r>
    <s v="Функциональное направление 8"/>
    <n v="4"/>
    <d v="2022-12-27T00:00:00"/>
    <n v="0"/>
    <s v="не защищена"/>
    <n v="500553"/>
    <x v="578"/>
    <n v="33"/>
    <s v="Подразделение33"/>
    <s v="подразделение_2_уровня33"/>
    <s v="-"/>
    <s v="линейный_руководитель_1"/>
    <n v="7"/>
    <s v="нет"/>
    <m/>
    <m/>
    <m/>
    <n v="563"/>
    <s v="Зверев Валерий Григорьевич"/>
    <n v="621"/>
    <s v="Волков Кирилл Александрович"/>
    <s v="линейный_руководитель_2"/>
    <s v="Подразделение33"/>
    <x v="1"/>
    <x v="1"/>
    <n v="0"/>
    <n v="0"/>
    <s v="назначение на целевую должность"/>
    <d v="2023-02-03T00:00:00"/>
    <s v="не рассматривали"/>
    <s v="протокол-№-27.12.2022"/>
  </r>
  <r>
    <s v="Функциональное направление 8"/>
    <n v="4"/>
    <d v="2022-12-27T00:00:00"/>
    <n v="1"/>
    <s v="не защищена"/>
    <n v="500554"/>
    <x v="579"/>
    <n v="33"/>
    <s v="Подразделение33"/>
    <s v="подразделение_2_уровня33"/>
    <s v="-"/>
    <s v="руководитель_среднего_уровня_4"/>
    <n v="6"/>
    <s v="да"/>
    <d v="2021-12-20T00:00:00"/>
    <d v="2022-04-29T00:00:00"/>
    <s v="из резерва (учитываем)"/>
    <n v="564"/>
    <s v="Конеев Константин Романович"/>
    <n v="599"/>
    <s v="Цветков Федот Григорьевич"/>
    <s v="линейный_руководитель_2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4"/>
    <x v="579"/>
    <n v="33"/>
    <s v="Подразделение33"/>
    <s v="подразделение_2_уровня33"/>
    <s v="-"/>
    <s v="руководитель_среднего_уровня_4"/>
    <n v="6"/>
    <s v="да"/>
    <d v="2021-12-20T00:00:00"/>
    <d v="2022-04-29T00:00:00"/>
    <s v="из резерва (учитываем)"/>
    <n v="564"/>
    <s v="Конеев Константин Романович"/>
    <n v="564"/>
    <s v="Конеев Константин Романович"/>
    <s v="линейный_руководитель_2"/>
    <s v="Подразделение33"/>
    <x v="1"/>
    <x v="1"/>
    <n v="1"/>
    <n v="1"/>
    <s v="назначение на целевую должность"/>
    <d v="2022-04-29T00:00:00"/>
    <s v="исключение"/>
    <s v="протокол-№-27.12.2022"/>
  </r>
  <r>
    <s v="Функциональное направление 8"/>
    <n v="4"/>
    <d v="2021-12-27T00:00:00"/>
    <n v="1"/>
    <s v="не защищена"/>
    <n v="500609"/>
    <x v="580"/>
    <n v="33"/>
    <s v="Подразделение33"/>
    <s v="подразделение_2_уровня33"/>
    <s v="-"/>
    <s v="руководитель_среднего_уровня_4"/>
    <n v="6"/>
    <s v="нет"/>
    <m/>
    <m/>
    <m/>
    <n v="565"/>
    <s v="Поминов Кирилл Григорьевич"/>
    <n v="585"/>
    <s v="Русланов Николай Денисович"/>
    <s v="линейный_руководитель_2"/>
    <s v="Подразделение33"/>
    <x v="1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609"/>
    <x v="580"/>
    <n v="33"/>
    <s v="Подразделение33"/>
    <s v="подразделение_2_уровня33"/>
    <s v="-"/>
    <s v="руководитель_среднего_уровня_4"/>
    <n v="6"/>
    <s v="нет"/>
    <m/>
    <m/>
    <m/>
    <n v="565"/>
    <s v="Поминов Кирилл Григорьевич"/>
    <n v="567"/>
    <s v="Русланов Николай Романович"/>
    <s v="линейный_руководитель_2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556"/>
    <x v="581"/>
    <n v="33"/>
    <s v="Подразделение33"/>
    <s v="подразделение_2_уровня33"/>
    <s v="подразделение_3_уровня33"/>
    <s v="линейный_руководитель_2"/>
    <n v="6"/>
    <s v="нет"/>
    <m/>
    <m/>
    <m/>
    <n v="566"/>
    <s v="Зверев Венедикт Александрович"/>
    <n v="1644"/>
    <s v="Игнатьев Геннадий Кондратьевич"/>
    <s v="Рабочий"/>
    <s v="Подразделение33"/>
    <x v="0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557"/>
    <x v="582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567"/>
    <s v="Русланов Николай Романович"/>
    <n v="1645"/>
    <s v="Тимофеев Геннадий Семено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7"/>
    <x v="582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567"/>
    <s v="Русланов Николай Романович"/>
    <n v="1646"/>
    <s v="Игнатьев Матвей Геннадье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7"/>
    <n v="3"/>
    <d v="2022-06-21T00:00:00"/>
    <n v="1"/>
    <s v="не защищена"/>
    <n v="500559"/>
    <x v="583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68"/>
    <s v="Баранкин Валерий Денисович"/>
    <n v="1647"/>
    <s v="Ветров Геннадий Ефремович"/>
    <s v="линейный_руководитель_3"/>
    <s v="Подразделение214"/>
    <x v="2"/>
    <x v="0"/>
    <n v="1"/>
    <n v="0"/>
    <m/>
    <m/>
    <s v="не рассматривали"/>
    <s v="протокол-№-21.06.2022"/>
  </r>
  <r>
    <s v="Функциональное направление 7"/>
    <n v="3"/>
    <d v="2022-06-21T00:00:00"/>
    <n v="0"/>
    <s v="не защищена"/>
    <n v="500559"/>
    <x v="583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68"/>
    <s v="Баранкин Валерий Денисович"/>
    <n v="1648"/>
    <s v="Незнамов Виталий Ефремович"/>
    <s v="руководитель_среднего_уровня_4"/>
    <s v="Подразделение214"/>
    <x v="2"/>
    <x v="0"/>
    <n v="1"/>
    <n v="0"/>
    <m/>
    <m/>
    <s v="не рассматривали"/>
    <s v="протокол-№-21.06.2022"/>
  </r>
  <r>
    <s v="Функциональное направление 7"/>
    <n v="3"/>
    <d v="2020-10-08T00:00:00"/>
    <n v="0"/>
    <s v="не защищена"/>
    <n v="500559"/>
    <x v="583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68"/>
    <s v="Баранкин Валерий Денисович"/>
    <n v="1649"/>
    <s v="Незнамов Геннадий Александрович"/>
    <s v="Рабочий"/>
    <s v="Подразделение_др1"/>
    <x v="2"/>
    <x v="2"/>
    <n v="1"/>
    <n v="0"/>
    <s v="инициатива комитета / руководителя"/>
    <d v="2022-06-21T00:00:00"/>
    <s v="исключение"/>
    <s v="протокол-№-21.06.2022"/>
  </r>
  <r>
    <s v="Функциональное направление 7"/>
    <n v="3"/>
    <d v="2018-10-26T00:00:00"/>
    <n v="0"/>
    <s v="не защищена"/>
    <n v="500559"/>
    <x v="583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68"/>
    <s v="Баранкин Валерий Денисович"/>
    <n v="1650"/>
    <s v="Тимофеев Виталий Ефремович"/>
    <s v="линейный_руководитель_3"/>
    <s v="Подразделение214"/>
    <x v="0"/>
    <x v="2"/>
    <n v="1"/>
    <n v="0"/>
    <s v="инициатива комитета / руководителя"/>
    <d v="2022-06-21T00:00:00"/>
    <s v="исключение"/>
    <s v="протокол-№-21.06.2022"/>
  </r>
  <r>
    <s v="Функциональное направление 7"/>
    <n v="3"/>
    <d v="2022-06-21T00:00:00"/>
    <n v="1"/>
    <s v="не защищена"/>
    <n v="500561"/>
    <x v="584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69"/>
    <s v="Поминов Тихон Анатольевич"/>
    <n v="1651"/>
    <s v="Степанов Афанасий Геннадьевич"/>
    <s v="линейный_руководитель_3"/>
    <s v="Подразделение218"/>
    <x v="2"/>
    <x v="0"/>
    <n v="1"/>
    <n v="0"/>
    <m/>
    <m/>
    <s v="без изменений"/>
    <s v="протокол-№-21.06.2022"/>
  </r>
  <r>
    <s v="Функциональное направление 7"/>
    <n v="3"/>
    <d v="2018-10-26T00:00:00"/>
    <n v="0"/>
    <s v="не защищена"/>
    <n v="500561"/>
    <x v="584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69"/>
    <s v="Поминов Тихон Анатольевич"/>
    <n v="1652"/>
    <s v="Степанов Лавр Ефремович"/>
    <s v="руководитель_среднего_уровня_4"/>
    <s v="Подразделение_др16"/>
    <x v="0"/>
    <x v="2"/>
    <n v="1"/>
    <n v="0"/>
    <s v="назначение на равнозначную должность"/>
    <d v="2022-05-01T00:00:00"/>
    <s v="не рассматривали"/>
    <s v="протокол-№-08.10.2020"/>
  </r>
  <r>
    <s v="Функциональное направление 7"/>
    <n v="3"/>
    <d v="2019-01-01T00:00:00"/>
    <n v="0"/>
    <s v="не защищена"/>
    <n v="500561"/>
    <x v="584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69"/>
    <s v="Поминов Тихон Анатольевич"/>
    <n v="1653"/>
    <s v="Исаев Юрий Геннадьевич"/>
    <s v="линейный_руководитель_3"/>
    <s v="Подразделение218"/>
    <x v="2"/>
    <x v="2"/>
    <n v="1"/>
    <n v="0"/>
    <s v="инициатива комитета / руководителя"/>
    <d v="2022-06-21T00:00:00"/>
    <s v="исключение"/>
    <s v="протокол-№-21.06.2022"/>
  </r>
  <r>
    <s v="Функциональное направление 7"/>
    <n v="3"/>
    <d v="2020-10-08T00:00:00"/>
    <n v="1"/>
    <s v="не защищена"/>
    <n v="500560"/>
    <x v="585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70"/>
    <s v="Конеев Тихон Владимирович"/>
    <n v="1654"/>
    <s v="Ветров Виталий Богданович"/>
    <s v="руководитель_среднего_уровня_4"/>
    <s v="Подразделение_др16"/>
    <x v="1"/>
    <x v="2"/>
    <n v="1"/>
    <n v="0"/>
    <s v="прочее (перевод в другое СП / на другое предприятие)"/>
    <d v="2023-05-16T00:00:00"/>
    <s v="без изменений"/>
    <s v="протокол-№-21.06.2022"/>
  </r>
  <r>
    <s v="Функциональное направление 7"/>
    <n v="3"/>
    <d v="2020-10-08T00:00:00"/>
    <n v="0"/>
    <s v="не защищена"/>
    <n v="500560"/>
    <x v="585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70"/>
    <s v="Конеев Тихон Владимирович"/>
    <n v="1655"/>
    <s v="Дмитриев Кирилл Александрович"/>
    <s v="линейный_руководитель_3"/>
    <s v="Подразделение218"/>
    <x v="0"/>
    <x v="0"/>
    <n v="1"/>
    <n v="0"/>
    <m/>
    <m/>
    <s v="без изменений"/>
    <s v="протокол-№-21.06.2022"/>
  </r>
  <r>
    <s v="Функциональное направление 7"/>
    <n v="3"/>
    <d v="2018-10-26T00:00:00"/>
    <n v="1"/>
    <s v="не защищена"/>
    <n v="500562"/>
    <x v="586"/>
    <n v="213"/>
    <s v="Подразделение213"/>
    <s v="подразделение_2_уровня213"/>
    <s v="-"/>
    <s v="руководитель_среднего_уровня_2"/>
    <n v="5"/>
    <s v="нет"/>
    <m/>
    <m/>
    <m/>
    <n v="571"/>
    <s v="Цветков Константин Григорьевич"/>
    <n v="1656"/>
    <s v="Ветров Савелий Семенович"/>
    <s v="руководитель_среднего_уровня_4"/>
    <s v="Подразделение213"/>
    <x v="2"/>
    <x v="0"/>
    <n v="1"/>
    <n v="0"/>
    <m/>
    <m/>
    <s v="без изменений"/>
    <s v="протокол-№-21.06.2022"/>
  </r>
  <r>
    <s v="Функциональное направление 7"/>
    <n v="3"/>
    <d v="2018-10-26T00:00:00"/>
    <n v="0"/>
    <s v="не защищена"/>
    <n v="500562"/>
    <x v="586"/>
    <n v="213"/>
    <s v="Подразделение213"/>
    <s v="подразделение_2_уровня213"/>
    <s v="-"/>
    <s v="руководитель_среднего_уровня_2"/>
    <n v="5"/>
    <s v="нет"/>
    <m/>
    <m/>
    <m/>
    <n v="571"/>
    <s v="Цветков Константин Григорьевич"/>
    <n v="1657"/>
    <s v="Исаев Афанасий Семенович"/>
    <s v="руководитель_среднего_уровня_4"/>
    <s v="Подразделение213"/>
    <x v="2"/>
    <x v="0"/>
    <n v="1"/>
    <n v="0"/>
    <m/>
    <m/>
    <s v="без изменений"/>
    <s v="протокол-№-21.06.2022"/>
  </r>
  <r>
    <s v="Функциональное направление 7"/>
    <n v="3"/>
    <d v="2022-06-21T00:00:00"/>
    <n v="0"/>
    <s v="не защищена"/>
    <n v="500562"/>
    <x v="586"/>
    <n v="213"/>
    <s v="Подразделение213"/>
    <s v="подразделение_2_уровня213"/>
    <s v="-"/>
    <s v="руководитель_среднего_уровня_2"/>
    <n v="5"/>
    <s v="нет"/>
    <m/>
    <m/>
    <m/>
    <n v="571"/>
    <s v="Цветков Константин Григорьевич"/>
    <n v="1658"/>
    <s v="Ветров Геннадий Геннадьевич"/>
    <s v="линейный_руководитель_3"/>
    <s v="Подразделение213"/>
    <x v="2"/>
    <x v="0"/>
    <n v="1"/>
    <n v="0"/>
    <m/>
    <m/>
    <s v="не рассматривали"/>
    <s v="протокол-№-21.06.2022"/>
  </r>
  <r>
    <s v="Функциональное направление 7"/>
    <n v="3"/>
    <d v="2020-10-08T00:00:00"/>
    <n v="1"/>
    <s v="не защищена"/>
    <n v="500571"/>
    <x v="587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72"/>
    <s v="Романов Тихон Тимофеевич"/>
    <n v="1659"/>
    <s v="Тимофеев Роман Александрович"/>
    <s v="руководитель_среднего_уровня_4"/>
    <s v="Подразделение214"/>
    <x v="0"/>
    <x v="0"/>
    <n v="1"/>
    <n v="0"/>
    <m/>
    <m/>
    <s v="без изменений"/>
    <s v="протокол-№-21.06.2022"/>
  </r>
  <r>
    <s v="Функциональное направление 7"/>
    <n v="3"/>
    <d v="2020-10-08T00:00:00"/>
    <n v="1"/>
    <s v="не защищена"/>
    <n v="500563"/>
    <x v="588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73"/>
    <s v="Русланов Тихон Кондратьевич"/>
    <n v="1660"/>
    <s v="Дмитриев Афанасий Александрович"/>
    <s v="линейный_руководитель_3"/>
    <s v="Подразделение218"/>
    <x v="0"/>
    <x v="0"/>
    <n v="1"/>
    <n v="0"/>
    <m/>
    <m/>
    <s v="без изменений"/>
    <s v="протокол-№-21.06.2022"/>
  </r>
  <r>
    <s v="Функциональное направление 7"/>
    <n v="3"/>
    <d v="2020-10-08T00:00:00"/>
    <n v="1"/>
    <s v="не защищена"/>
    <n v="500564"/>
    <x v="589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74"/>
    <s v="Вобликов Валерий Григорьевич"/>
    <n v="1661"/>
    <s v="Исаев Савелий Геннадьевич"/>
    <s v="линейный_руководитель_3"/>
    <s v="Подразделение218"/>
    <x v="1"/>
    <x v="0"/>
    <n v="1"/>
    <n v="0"/>
    <m/>
    <m/>
    <s v="без изменений"/>
    <s v="протокол-№-21.06.2022"/>
  </r>
  <r>
    <s v="Функциональное направление 7"/>
    <n v="3"/>
    <d v="2020-10-08T00:00:00"/>
    <n v="0"/>
    <s v="не защищена"/>
    <n v="500564"/>
    <x v="589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74"/>
    <s v="Вобликов Валерий Григорьевич"/>
    <n v="1662"/>
    <s v="Ветров Виталий Маркович"/>
    <s v="руководитель_среднего_уровня_4"/>
    <s v="Подразделение_др16"/>
    <x v="2"/>
    <x v="2"/>
    <n v="1"/>
    <n v="0"/>
    <s v="прочее (перевод в другое СП / на другое предприятие)"/>
    <d v="2023-05-16T00:00:00"/>
    <s v="без изменений"/>
    <s v="протокол-№-21.06.2022"/>
  </r>
  <r>
    <s v="Функциональное направление 7"/>
    <n v="3"/>
    <d v="2022-06-21T00:00:00"/>
    <n v="1"/>
    <s v="не защищена"/>
    <n v="500565"/>
    <x v="590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75"/>
    <s v="Русланов Алексей Тимофеевич"/>
    <n v="1663"/>
    <s v="Игнатьев Геннадий Богданович"/>
    <s v="линейный_руководитель_3"/>
    <s v="Подразделение214"/>
    <x v="0"/>
    <x v="0"/>
    <n v="1"/>
    <n v="0"/>
    <m/>
    <m/>
    <s v="не рассматривали"/>
    <s v="протокол-№-21.06.2022"/>
  </r>
  <r>
    <s v="Функциональное направление 7"/>
    <n v="3"/>
    <d v="2018-10-26T00:00:00"/>
    <n v="0"/>
    <s v="не защищена"/>
    <n v="500565"/>
    <x v="590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75"/>
    <s v="Русланов Алексей Тимофеевич"/>
    <n v="1664"/>
    <s v="Степанов Виталий Кондратьевич"/>
    <s v="руководитель_среднего_уровня_4"/>
    <s v="Подразделение_др1"/>
    <x v="0"/>
    <x v="2"/>
    <n v="1"/>
    <n v="0"/>
    <s v="инициатива комитета / руководителя"/>
    <d v="2022-06-21T00:00:00"/>
    <s v="исключение"/>
    <s v="протокол-№-21.06.2022"/>
  </r>
  <r>
    <s v="Функциональное направление 7"/>
    <n v="3"/>
    <d v="2020-10-08T00:00:00"/>
    <n v="1"/>
    <s v="не защищена"/>
    <n v="500566"/>
    <x v="591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76"/>
    <s v="Русланов Тихон Юрьевич"/>
    <n v="1665"/>
    <s v="Брежнев Савелий Семенович"/>
    <s v="линейный_руководитель_3"/>
    <s v="Подразделение218"/>
    <x v="0"/>
    <x v="0"/>
    <n v="1"/>
    <n v="0"/>
    <m/>
    <m/>
    <s v="без изменений"/>
    <s v="протокол-№-21.06.2022"/>
  </r>
  <r>
    <s v="Функциональное направление 7"/>
    <n v="3"/>
    <d v="2018-10-26T00:00:00"/>
    <n v="0"/>
    <s v="не защищена"/>
    <n v="500566"/>
    <x v="591"/>
    <n v="218"/>
    <s v="Подразделение218"/>
    <s v="подразделение_2_уровня218"/>
    <s v="-"/>
    <s v="руководитель_среднего_уровня_2"/>
    <n v="5"/>
    <s v="нет"/>
    <m/>
    <m/>
    <m/>
    <n v="576"/>
    <s v="Русланов Тихон Юрьевич"/>
    <n v="1666"/>
    <s v="Ветров Юрий Михайлович"/>
    <s v="линейный_руководитель_3"/>
    <s v="Подразделение_др7"/>
    <x v="0"/>
    <x v="2"/>
    <n v="1"/>
    <n v="0"/>
    <s v="назначение на равнозначную должность"/>
    <d v="2022-06-06T00:00:00"/>
    <s v="не рассматривали"/>
    <s v="протокол-№-08.10.2020"/>
  </r>
  <r>
    <s v="Функциональное направление 7"/>
    <n v="3"/>
    <d v="2018-10-26T00:00:00"/>
    <n v="1"/>
    <s v="не защищена"/>
    <n v="500567"/>
    <x v="592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77"/>
    <s v="Вобликов Кирилл Денисович"/>
    <n v="1667"/>
    <s v="Тимофеев Глеб Ефремович"/>
    <s v="функциональный_руководитель_1"/>
    <s v="Подразделение214"/>
    <x v="1"/>
    <x v="2"/>
    <n v="1"/>
    <n v="0"/>
    <s v="прочее (смерть работника)"/>
    <d v="2023-03-27T00:00:00"/>
    <s v="повышение"/>
    <s v="протокол-№-21.06.2022"/>
  </r>
  <r>
    <s v="Функциональное направление 7"/>
    <n v="3"/>
    <d v="2022-06-21T00:00:00"/>
    <n v="0"/>
    <s v="не защищена"/>
    <n v="500567"/>
    <x v="592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77"/>
    <s v="Вобликов Кирилл Денисович"/>
    <n v="1668"/>
    <s v="Степанов Матвей Ефремович"/>
    <s v="линейный_руководитель_3"/>
    <s v="Подразделение214"/>
    <x v="0"/>
    <x v="0"/>
    <n v="1"/>
    <n v="0"/>
    <m/>
    <m/>
    <s v="не рассматривали"/>
    <s v="протокол-№-21.06.2022"/>
  </r>
  <r>
    <s v="Функциональное направление 7"/>
    <n v="3"/>
    <d v="2022-06-21T00:00:00"/>
    <n v="0"/>
    <s v="не защищена"/>
    <n v="500567"/>
    <x v="592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77"/>
    <s v="Вобликов Кирилл Денисович"/>
    <n v="1669"/>
    <s v="Незнамов Афанасий Климович"/>
    <s v="руководитель_среднего_уровня_4"/>
    <s v="Подразделение214"/>
    <x v="2"/>
    <x v="0"/>
    <n v="1"/>
    <n v="0"/>
    <m/>
    <m/>
    <s v="не рассматривали"/>
    <s v="протокол-№-21.06.2022"/>
  </r>
  <r>
    <s v="Функциональное направление 7"/>
    <n v="3"/>
    <d v="2018-10-26T00:00:00"/>
    <n v="0"/>
    <s v="не защищена"/>
    <n v="500567"/>
    <x v="592"/>
    <n v="214"/>
    <s v="Подразделение214"/>
    <s v="подразделение_2_уровня214"/>
    <s v="-"/>
    <s v="руководитель_среднего_уровня_2"/>
    <n v="5"/>
    <s v="нет"/>
    <m/>
    <m/>
    <m/>
    <n v="577"/>
    <s v="Вобликов Кирилл Денисович"/>
    <n v="1670"/>
    <s v="Незнамов Юрий Александрович"/>
    <s v="руководитель_среднего_уровня_4"/>
    <s v="Подразделение_др1"/>
    <x v="2"/>
    <x v="2"/>
    <n v="1"/>
    <n v="0"/>
    <s v="инициатива комитета / руководителя"/>
    <d v="2022-06-21T00:00:00"/>
    <s v="исключение"/>
    <s v="протокол-№-21.06.2022"/>
  </r>
  <r>
    <s v="Функциональное направление 7"/>
    <n v="3"/>
    <d v="2018-10-26T00:00:00"/>
    <n v="1"/>
    <s v="не защищена"/>
    <n v="500568"/>
    <x v="593"/>
    <n v="213"/>
    <s v="Подразделение213"/>
    <s v="подразделение_2_уровня213"/>
    <s v="-"/>
    <s v="руководитель_среднего_уровня_2"/>
    <n v="5"/>
    <s v="нет"/>
    <m/>
    <m/>
    <m/>
    <n v="578"/>
    <s v="Бураков Валерий Григорьевич"/>
    <n v="1671"/>
    <s v="Игнатьев Виталий Герасимович"/>
    <s v="руководитель_среднего_уровня_4"/>
    <s v="Подразделение213"/>
    <x v="2"/>
    <x v="0"/>
    <n v="1"/>
    <n v="0"/>
    <m/>
    <m/>
    <s v="без изменений"/>
    <s v="протокол-№-21.06.2022"/>
  </r>
  <r>
    <s v="Функциональное направление 7"/>
    <n v="3"/>
    <d v="2018-10-26T00:00:00"/>
    <n v="0"/>
    <s v="не защищена"/>
    <n v="500568"/>
    <x v="593"/>
    <n v="213"/>
    <s v="Подразделение213"/>
    <s v="подразделение_2_уровня213"/>
    <s v="-"/>
    <s v="руководитель_среднего_уровня_2"/>
    <n v="5"/>
    <s v="нет"/>
    <m/>
    <m/>
    <m/>
    <n v="578"/>
    <s v="Бураков Валерий Григорьевич"/>
    <n v="1672"/>
    <s v="Незнамов Савелий Михайлович"/>
    <s v="руководитель_среднего_уровня_4"/>
    <s v="Подразделение_др17"/>
    <x v="2"/>
    <x v="2"/>
    <n v="1"/>
    <n v="0"/>
    <s v="прочее (перевод в другое СП / на другое предприятие)"/>
    <d v="2023-05-16T00:00:00"/>
    <s v="без изменений"/>
    <s v="протокол-№-21.06.2022"/>
  </r>
  <r>
    <s v="Функциональное направление 7"/>
    <n v="3"/>
    <d v="2022-06-21T00:00:00"/>
    <n v="0"/>
    <s v="не защищена"/>
    <n v="500568"/>
    <x v="593"/>
    <n v="213"/>
    <s v="Подразделение213"/>
    <s v="подразделение_2_уровня213"/>
    <s v="-"/>
    <s v="руководитель_среднего_уровня_2"/>
    <n v="5"/>
    <s v="нет"/>
    <m/>
    <m/>
    <m/>
    <n v="578"/>
    <s v="Бураков Валерий Григорьевич"/>
    <n v="1673"/>
    <s v="Тимофеев Геннадий Александрович"/>
    <s v="линейный_руководитель_3"/>
    <s v="Подразделение213"/>
    <x v="2"/>
    <x v="0"/>
    <n v="1"/>
    <n v="0"/>
    <m/>
    <m/>
    <s v="не рассматривали"/>
    <s v="протокол-№-21.06.2022"/>
  </r>
  <r>
    <s v="Функциональное направление 7"/>
    <n v="3"/>
    <d v="2018-10-26T00:00:00"/>
    <n v="0"/>
    <s v="не защищена"/>
    <n v="500568"/>
    <x v="593"/>
    <n v="213"/>
    <s v="Подразделение213"/>
    <s v="подразделение_2_уровня213"/>
    <s v="-"/>
    <s v="руководитель_среднего_уровня_2"/>
    <n v="5"/>
    <s v="нет"/>
    <m/>
    <m/>
    <m/>
    <n v="578"/>
    <s v="Бураков Валерий Григорьевич"/>
    <n v="1674"/>
    <s v="Ветров Савелий Богданович"/>
    <s v="линейный_руководитель_3"/>
    <s v="Подразделение_др17"/>
    <x v="0"/>
    <x v="2"/>
    <n v="1"/>
    <n v="0"/>
    <s v="назначение на равнозначную должность"/>
    <d v="2022-06-21T00:00:00"/>
    <s v="исключение"/>
    <s v="протокол-№-21.06.2022"/>
  </r>
  <r>
    <s v="Функциональное направление 7"/>
    <n v="3"/>
    <d v="2018-10-26T00:00:00"/>
    <n v="1"/>
    <s v="не защищена"/>
    <n v="500569"/>
    <x v="594"/>
    <n v="213"/>
    <s v="Подразделение213"/>
    <s v="подразделение_2_уровня213"/>
    <s v="-"/>
    <s v="руководитель_среднего_уровня_2"/>
    <n v="5"/>
    <s v="нет"/>
    <m/>
    <m/>
    <m/>
    <n v="579"/>
    <s v="Зверев Кирилл Анатольевич"/>
    <n v="1675"/>
    <s v="Исаев Савелий Ефремович"/>
    <s v="линейный_руководитель_3"/>
    <s v="Подразделение213"/>
    <x v="1"/>
    <x v="0"/>
    <n v="1"/>
    <n v="0"/>
    <m/>
    <m/>
    <s v="повышение"/>
    <s v="протокол-№-21.06.2022"/>
  </r>
  <r>
    <s v="Функциональное направление 7"/>
    <n v="3"/>
    <d v="2018-10-26T00:00:00"/>
    <n v="0"/>
    <s v="не защищена"/>
    <n v="500569"/>
    <x v="594"/>
    <n v="213"/>
    <s v="Подразделение213"/>
    <s v="подразделение_2_уровня213"/>
    <s v="-"/>
    <s v="руководитель_среднего_уровня_2"/>
    <n v="5"/>
    <s v="нет"/>
    <m/>
    <m/>
    <m/>
    <n v="579"/>
    <s v="Зверев Кирилл Анатольевич"/>
    <n v="1676"/>
    <s v="Дмитриев Савелий Александрович"/>
    <s v="руководитель_среднего_уровня_4"/>
    <s v="Подразделение213"/>
    <x v="2"/>
    <x v="0"/>
    <n v="1"/>
    <n v="0"/>
    <m/>
    <m/>
    <s v="понижение"/>
    <s v="протокол-№-21.06.2022"/>
  </r>
  <r>
    <s v="Функциональное направление 8"/>
    <n v="4"/>
    <d v="2021-12-27T00:00:00"/>
    <n v="1"/>
    <s v="не защищена"/>
    <n v="500584"/>
    <x v="595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0"/>
    <s v="Конеев Алексей Владиславович"/>
    <n v="1677"/>
    <s v="Степанов Константин Александрович"/>
    <s v="Рабочий"/>
    <s v="Подразделение33"/>
    <x v="0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84"/>
    <x v="595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0"/>
    <s v="Конеев Алексей Владиславович"/>
    <n v="1644"/>
    <s v="Игнатьев Геннадий Кондратье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584"/>
    <x v="596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1"/>
    <s v="Пальчиков Федот Александрович"/>
    <n v="1677"/>
    <s v="Степанов Константин Александро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84"/>
    <x v="596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1"/>
    <s v="Пальчиков Федот Александрович"/>
    <n v="1644"/>
    <s v="Игнатьев Геннадий Кондратье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584"/>
    <x v="597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2"/>
    <s v="Баранкин Кирилл Романович"/>
    <n v="1677"/>
    <s v="Степанов Константин Александро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84"/>
    <x v="597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2"/>
    <s v="Баранкин Кирилл Романович"/>
    <n v="1644"/>
    <s v="Игнатьев Геннадий Кондратье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584"/>
    <x v="598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3"/>
    <s v="Волков Алексей Юрьевич"/>
    <n v="1677"/>
    <s v="Степанов Константин Александро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84"/>
    <x v="598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3"/>
    <s v="Волков Алексей Юрьевич"/>
    <n v="1644"/>
    <s v="Игнатьев Геннадий Кондратье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585"/>
    <x v="599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4"/>
    <s v="Нырков Валерий Александрович"/>
    <n v="1677"/>
    <s v="Степанов Константин Александро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85"/>
    <x v="599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4"/>
    <s v="Нырков Валерий Александрович"/>
    <n v="1644"/>
    <s v="Игнатьев Геннадий Кондратье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585"/>
    <x v="600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5"/>
    <s v="Русланов Николай Денисович"/>
    <n v="1677"/>
    <s v="Степанов Константин Александро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85"/>
    <x v="600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85"/>
    <s v="Русланов Николай Денисович"/>
    <n v="1644"/>
    <s v="Игнатьев Геннадий Кондратьевич"/>
    <s v="Рабочий"/>
    <s v="Подразделение33"/>
    <x v="0"/>
    <x v="0"/>
    <n v="0"/>
    <n v="0"/>
    <m/>
    <m/>
    <s v="не рассматривали"/>
    <s v="протокол-№-27.12.2021"/>
  </r>
  <r>
    <s v="Функциональное направление 8"/>
    <n v="4"/>
    <d v="2021-12-20T00:00:00"/>
    <n v="1"/>
    <s v="не защищена"/>
    <n v="500746"/>
    <x v="601"/>
    <n v="94"/>
    <s v="Подразделение94"/>
    <s v="подразделение_2_уровня94"/>
    <s v="подразделение_3_уровня94"/>
    <s v="линейный_руководитель_2"/>
    <n v="6"/>
    <s v="нет"/>
    <m/>
    <m/>
    <m/>
    <n v="586"/>
    <s v="Поминов Тихон Григорьевич"/>
    <n v="1678"/>
    <s v="Ветров Константин Кондратьевич"/>
    <s v="Рабочий"/>
    <s v="Подразделение94"/>
    <x v="2"/>
    <x v="0"/>
    <n v="1"/>
    <n v="0"/>
    <m/>
    <m/>
    <s v="не рассматривали"/>
    <s v="протокол-№-20.12.2021"/>
  </r>
  <r>
    <s v="Функциональное направление 7"/>
    <n v="3"/>
    <d v="2019-12-26T00:00:00"/>
    <n v="1"/>
    <s v="не защищена"/>
    <n v="500587"/>
    <x v="602"/>
    <n v="358"/>
    <s v="Подразделение358"/>
    <s v="подразделение_2_уровня358"/>
    <s v="-"/>
    <s v="ТОП_руководитель_3"/>
    <n v="5"/>
    <s v="нет"/>
    <m/>
    <m/>
    <m/>
    <n v="587"/>
    <s v="Волков Григорий Юрьевич"/>
    <n v="1679"/>
    <s v="Ветров Афанасий Климович"/>
    <s v="линейный_руководитель_3"/>
    <s v="Подразделение_др18"/>
    <x v="2"/>
    <x v="0"/>
    <n v="1"/>
    <n v="0"/>
    <m/>
    <m/>
    <s v="без изменений"/>
    <s v="протокол-№-29.11.2022"/>
  </r>
  <r>
    <s v="Функциональное направление 7"/>
    <n v="3"/>
    <d v="2022-11-29T00:00:00"/>
    <n v="0"/>
    <s v="не защищена"/>
    <n v="500587"/>
    <x v="602"/>
    <n v="358"/>
    <s v="Подразделение358"/>
    <s v="подразделение_2_уровня358"/>
    <s v="-"/>
    <s v="ТОП_руководитель_3"/>
    <n v="5"/>
    <s v="нет"/>
    <m/>
    <m/>
    <m/>
    <n v="587"/>
    <s v="Волков Григорий Юрьевич"/>
    <n v="1680"/>
    <s v="Ветров Виталий Семенович"/>
    <s v="линейный_руководитель_3"/>
    <s v="Подразделение214"/>
    <x v="2"/>
    <x v="0"/>
    <n v="1"/>
    <n v="0"/>
    <m/>
    <m/>
    <s v="не рассматривали"/>
    <s v="протокол-№-29.11.2022"/>
  </r>
  <r>
    <s v="Функциональное направление 7"/>
    <n v="3"/>
    <d v="2022-11-29T00:00:00"/>
    <n v="0"/>
    <s v="не защищена"/>
    <n v="500587"/>
    <x v="602"/>
    <n v="358"/>
    <s v="Подразделение358"/>
    <s v="подразделение_2_уровня358"/>
    <s v="-"/>
    <s v="ТОП_руководитель_3"/>
    <n v="5"/>
    <s v="нет"/>
    <m/>
    <m/>
    <m/>
    <n v="587"/>
    <s v="Волков Григорий Юрьевич"/>
    <n v="1681"/>
    <s v="Ветров Константин Герасимович"/>
    <s v="функциональный_руководитель_1"/>
    <s v="Подразделение358"/>
    <x v="0"/>
    <x v="0"/>
    <n v="1"/>
    <n v="0"/>
    <m/>
    <m/>
    <s v="не рассматривали"/>
    <s v="протокол-№-29.11.2022"/>
  </r>
  <r>
    <s v="Функциональное направление 8"/>
    <n v="4"/>
    <d v="2021-12-20T00:00:00"/>
    <n v="1"/>
    <s v="не защищена"/>
    <n v="500744"/>
    <x v="603"/>
    <n v="94"/>
    <s v="Подразделение94"/>
    <s v="подразделение_2_уровня94"/>
    <s v="подразделение_3_уровня94"/>
    <s v="функциональный_руководитель_3"/>
    <n v="7"/>
    <s v="да"/>
    <d v="2023-01-23T00:00:00"/>
    <d v="2023-01-23T00:00:00"/>
    <s v="из резерва (учитываем)"/>
    <n v="588"/>
    <s v="Пальчиков Еремей Юрьевич"/>
    <n v="1599"/>
    <s v="Игнатьев Виталий Геннадьевич"/>
    <s v="Специалист"/>
    <s v="Подразделение94"/>
    <x v="0"/>
    <x v="0"/>
    <n v="0"/>
    <n v="0"/>
    <m/>
    <m/>
    <s v="не рассматривали"/>
    <s v="протокол-№-20.12.2021"/>
  </r>
  <r>
    <s v="Функциональное направление 8"/>
    <n v="4"/>
    <d v="2021-12-20T00:00:00"/>
    <n v="0"/>
    <s v="не защищена"/>
    <n v="500744"/>
    <x v="603"/>
    <n v="94"/>
    <s v="Подразделение94"/>
    <s v="подразделение_2_уровня94"/>
    <s v="подразделение_3_уровня94"/>
    <s v="функциональный_руководитель_3"/>
    <n v="7"/>
    <s v="да"/>
    <d v="2023-01-23T00:00:00"/>
    <d v="2023-01-23T00:00:00"/>
    <s v="из резерва (учитываем)"/>
    <n v="588"/>
    <s v="Пальчиков Еремей Юрьевич"/>
    <n v="588"/>
    <s v="Пальчиков Еремей Юрьевич"/>
    <s v="функциональный_руководитель_3"/>
    <s v="Подразделение94"/>
    <x v="1"/>
    <x v="1"/>
    <n v="0"/>
    <n v="1"/>
    <s v="назначение на целевую должность"/>
    <d v="2023-01-23T00:00:00"/>
    <s v="не рассматривали"/>
    <s v="протокол-№-20.12.2021"/>
  </r>
  <r>
    <s v="Функциональное направление 7"/>
    <n v="3"/>
    <d v="2022-11-29T00:00:00"/>
    <n v="1"/>
    <s v="не защищена"/>
    <n v="500595"/>
    <x v="604"/>
    <n v="380"/>
    <s v="Подразделение380"/>
    <s v="подразделение_2_уровня380"/>
    <s v="-"/>
    <s v="ТОП_руководитель_3"/>
    <n v="4"/>
    <s v="нет"/>
    <m/>
    <m/>
    <m/>
    <n v="589"/>
    <s v="Цветков Тихон Владимирович"/>
    <n v="591"/>
    <s v="Вобликов Кирилл Юрьевич"/>
    <s v="линейный_руководитель_3"/>
    <s v="Подразделение380"/>
    <x v="2"/>
    <x v="0"/>
    <n v="1"/>
    <n v="0"/>
    <m/>
    <m/>
    <s v="не рассматривали"/>
    <s v="протокол-№-29.11.2022"/>
  </r>
  <r>
    <s v="Функциональное направление 7"/>
    <n v="3"/>
    <d v="2022-11-29T00:00:00"/>
    <n v="0"/>
    <s v="не защищена"/>
    <n v="500595"/>
    <x v="604"/>
    <n v="380"/>
    <s v="Подразделение380"/>
    <s v="подразделение_2_уровня380"/>
    <s v="-"/>
    <s v="ТОП_руководитель_3"/>
    <n v="4"/>
    <s v="нет"/>
    <m/>
    <m/>
    <m/>
    <n v="589"/>
    <s v="Цветков Тихон Владимирович"/>
    <n v="590"/>
    <s v="Волков Федот Иванович"/>
    <s v="линейный_руководитель_3"/>
    <s v="Подразделение380"/>
    <x v="2"/>
    <x v="0"/>
    <n v="1"/>
    <n v="0"/>
    <m/>
    <m/>
    <s v="не рассматривали"/>
    <s v="протокол-№-29.11.2022"/>
  </r>
  <r>
    <s v="Функциональное направление 7"/>
    <n v="3"/>
    <d v="2022-06-21T00:00:00"/>
    <n v="1"/>
    <s v="не защищена"/>
    <n v="500596"/>
    <x v="605"/>
    <n v="380"/>
    <s v="Подразделение380"/>
    <s v="подразделение_2_уровня380"/>
    <s v="-"/>
    <s v="линейный_руководитель_3"/>
    <n v="6"/>
    <s v="нет"/>
    <m/>
    <m/>
    <m/>
    <n v="590"/>
    <s v="Волков Федот Иванович"/>
    <n v="1682"/>
    <s v="Тимофеев Юрий Кондратьевич"/>
    <s v="функциональный_руководитель_1"/>
    <s v="Подразделение380"/>
    <x v="2"/>
    <x v="0"/>
    <n v="1"/>
    <n v="0"/>
    <m/>
    <m/>
    <s v="не рассматривали"/>
    <s v="протокол-№-21.06.2022"/>
  </r>
  <r>
    <s v="Функциональное направление 7"/>
    <n v="3"/>
    <d v="2022-06-21T00:00:00"/>
    <n v="1"/>
    <s v="не защищена"/>
    <n v="500597"/>
    <x v="606"/>
    <n v="380"/>
    <s v="Подразделение380"/>
    <s v="подразделение_2_уровня380"/>
    <s v="-"/>
    <s v="линейный_руководитель_3"/>
    <n v="6"/>
    <s v="нет"/>
    <m/>
    <m/>
    <m/>
    <n v="591"/>
    <s v="Вобликов Кирилл Юрьевич"/>
    <n v="1683"/>
    <s v="Незнамов Глеб Богданович"/>
    <s v="Специалист"/>
    <s v="Подразделение380"/>
    <x v="0"/>
    <x v="0"/>
    <n v="1"/>
    <n v="0"/>
    <m/>
    <m/>
    <s v="не рассматривали"/>
    <s v="протокол-№-21.06.2022"/>
  </r>
  <r>
    <s v="Функциональное направление 7"/>
    <n v="3"/>
    <d v="2022-06-21T00:00:00"/>
    <n v="0"/>
    <s v="не защищена"/>
    <n v="500597"/>
    <x v="606"/>
    <n v="380"/>
    <s v="Подразделение380"/>
    <s v="подразделение_2_уровня380"/>
    <s v="-"/>
    <s v="линейный_руководитель_3"/>
    <n v="6"/>
    <s v="нет"/>
    <m/>
    <m/>
    <m/>
    <n v="591"/>
    <s v="Вобликов Кирилл Юрьевич"/>
    <n v="1684"/>
    <s v="Незнамов Виталий Ефремович"/>
    <s v="Специалист"/>
    <s v="Подразделение380"/>
    <x v="2"/>
    <x v="0"/>
    <n v="1"/>
    <n v="0"/>
    <m/>
    <m/>
    <s v="не рассматривали"/>
    <s v="протокол-№-21.06.2022"/>
  </r>
  <r>
    <s v="Функциональное направление 7"/>
    <n v="3"/>
    <d v="2020-10-08T00:00:00"/>
    <n v="1"/>
    <s v="не защищена"/>
    <n v="500594"/>
    <x v="607"/>
    <n v="379"/>
    <s v="Подразделение379"/>
    <s v="подразделение_2_уровня379"/>
    <s v="-"/>
    <s v="ТОП_руководитель_2"/>
    <n v="5"/>
    <s v="нет"/>
    <m/>
    <m/>
    <m/>
    <n v="592"/>
    <s v="Романов Тихон Григорьевич"/>
    <n v="1685"/>
    <s v="Ветров Савелий Ефремович"/>
    <s v="руководитель_среднего_уровня_4"/>
    <s v="Подразделение379"/>
    <x v="0"/>
    <x v="0"/>
    <n v="1"/>
    <n v="0"/>
    <m/>
    <m/>
    <s v="повышение"/>
    <s v="протокол-№-08.08.2022"/>
  </r>
  <r>
    <s v="Функциональное направление 7"/>
    <n v="3"/>
    <d v="2022-08-08T00:00:00"/>
    <n v="0"/>
    <s v="не защищена"/>
    <n v="500594"/>
    <x v="607"/>
    <n v="379"/>
    <s v="Подразделение379"/>
    <s v="подразделение_2_уровня379"/>
    <s v="-"/>
    <s v="ТОП_руководитель_2"/>
    <n v="5"/>
    <s v="нет"/>
    <m/>
    <m/>
    <m/>
    <n v="592"/>
    <s v="Романов Тихон Григорьевич"/>
    <n v="1686"/>
    <s v="Брежнев Константин Геннадьевич"/>
    <s v="руководитель_среднего_уровня_4"/>
    <s v="Подразделение379"/>
    <x v="2"/>
    <x v="0"/>
    <n v="1"/>
    <n v="0"/>
    <m/>
    <m/>
    <s v="не рассматривали"/>
    <s v="протокол-№-08.08.2022"/>
  </r>
  <r>
    <s v="Функциональное направление 8"/>
    <n v="4"/>
    <d v="2021-12-27T00:00:00"/>
    <n v="1"/>
    <s v="не защищена"/>
    <n v="500553"/>
    <x v="608"/>
    <n v="33"/>
    <s v="Подразделение33"/>
    <s v="подразделение_2_уровня33"/>
    <s v="-"/>
    <s v="линейный_руководитель_1"/>
    <n v="7"/>
    <s v="нет"/>
    <m/>
    <m/>
    <m/>
    <n v="593"/>
    <s v="Чистяков Кирилл Денисович"/>
    <n v="1640"/>
    <s v="Дорофеев Лавр Богдан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53"/>
    <x v="608"/>
    <n v="33"/>
    <s v="Подразделение33"/>
    <s v="подразделение_2_уровня33"/>
    <s v="-"/>
    <s v="линейный_руководитель_1"/>
    <n v="7"/>
    <s v="нет"/>
    <m/>
    <m/>
    <m/>
    <n v="593"/>
    <s v="Чистяков Кирилл Денисович"/>
    <n v="1641"/>
    <s v="Коростелев Юрий Геннадье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3"/>
    <x v="608"/>
    <n v="33"/>
    <s v="Подразделение33"/>
    <s v="подразделение_2_уровня33"/>
    <s v="-"/>
    <s v="линейный_руководитель_1"/>
    <n v="7"/>
    <s v="нет"/>
    <m/>
    <m/>
    <m/>
    <n v="593"/>
    <s v="Чистяков Кирилл Денисович"/>
    <n v="1642"/>
    <s v="Степанов Лавр Богдано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3"/>
    <x v="608"/>
    <n v="33"/>
    <s v="Подразделение33"/>
    <s v="подразделение_2_уровня33"/>
    <s v="-"/>
    <s v="линейный_руководитель_1"/>
    <n v="7"/>
    <s v="нет"/>
    <m/>
    <m/>
    <m/>
    <n v="593"/>
    <s v="Чистяков Кирилл Денисович"/>
    <n v="1643"/>
    <s v="Брежнев Виталий Ефремович"/>
    <s v="Рабочий"/>
    <s v="Подразделение33"/>
    <x v="1"/>
    <x v="1"/>
    <n v="0"/>
    <n v="0"/>
    <s v="назначение на целевую должность"/>
    <d v="2023-02-03T00:00:00"/>
    <s v="повышение"/>
    <s v="протокол-№-27.12.2022"/>
  </r>
  <r>
    <s v="Функциональное направление 8"/>
    <n v="4"/>
    <d v="2022-12-27T00:00:00"/>
    <n v="0"/>
    <s v="не защищена"/>
    <n v="500553"/>
    <x v="608"/>
    <n v="33"/>
    <s v="Подразделение33"/>
    <s v="подразделение_2_уровня33"/>
    <s v="-"/>
    <s v="линейный_руководитель_1"/>
    <n v="7"/>
    <s v="нет"/>
    <m/>
    <m/>
    <m/>
    <n v="593"/>
    <s v="Чистяков Кирилл Денисович"/>
    <n v="621"/>
    <s v="Волков Кирилл Александрович"/>
    <s v="линейный_руководитель_2"/>
    <s v="Подразделение33"/>
    <x v="1"/>
    <x v="1"/>
    <n v="0"/>
    <n v="0"/>
    <s v="назначение на целевую должность"/>
    <d v="2023-02-03T00:00:00"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553"/>
    <x v="609"/>
    <n v="33"/>
    <s v="Подразделение33"/>
    <s v="подразделение_2_уровня33"/>
    <s v="-"/>
    <s v="линейный_руководитель_1"/>
    <n v="7"/>
    <s v="нет"/>
    <m/>
    <m/>
    <m/>
    <n v="594"/>
    <s v="Вобликов Константин Григорьевич"/>
    <n v="1640"/>
    <s v="Дорофеев Лавр Богдан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53"/>
    <x v="609"/>
    <n v="33"/>
    <s v="Подразделение33"/>
    <s v="подразделение_2_уровня33"/>
    <s v="-"/>
    <s v="линейный_руководитель_1"/>
    <n v="7"/>
    <s v="нет"/>
    <m/>
    <m/>
    <m/>
    <n v="594"/>
    <s v="Вобликов Константин Григорьевич"/>
    <n v="1641"/>
    <s v="Коростелев Юрий Геннадье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3"/>
    <x v="609"/>
    <n v="33"/>
    <s v="Подразделение33"/>
    <s v="подразделение_2_уровня33"/>
    <s v="-"/>
    <s v="линейный_руководитель_1"/>
    <n v="7"/>
    <s v="нет"/>
    <m/>
    <m/>
    <m/>
    <n v="594"/>
    <s v="Вобликов Константин Григорьевич"/>
    <n v="1642"/>
    <s v="Степанов Лавр Богдано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3"/>
    <x v="609"/>
    <n v="33"/>
    <s v="Подразделение33"/>
    <s v="подразделение_2_уровня33"/>
    <s v="-"/>
    <s v="линейный_руководитель_1"/>
    <n v="7"/>
    <s v="нет"/>
    <m/>
    <m/>
    <m/>
    <n v="594"/>
    <s v="Вобликов Константин Григорьевич"/>
    <n v="1643"/>
    <s v="Брежнев Виталий Ефремович"/>
    <s v="Рабочий"/>
    <s v="Подразделение33"/>
    <x v="1"/>
    <x v="1"/>
    <n v="0"/>
    <n v="0"/>
    <s v="назначение на целевую должность"/>
    <d v="2023-02-03T00:00:00"/>
    <s v="повышение"/>
    <s v="протокол-№-27.12.2022"/>
  </r>
  <r>
    <s v="Функциональное направление 8"/>
    <n v="4"/>
    <d v="2022-12-27T00:00:00"/>
    <n v="0"/>
    <s v="не защищена"/>
    <n v="500553"/>
    <x v="609"/>
    <n v="33"/>
    <s v="Подразделение33"/>
    <s v="подразделение_2_уровня33"/>
    <s v="-"/>
    <s v="линейный_руководитель_1"/>
    <n v="7"/>
    <s v="нет"/>
    <m/>
    <m/>
    <m/>
    <n v="594"/>
    <s v="Вобликов Константин Григорьевич"/>
    <n v="621"/>
    <s v="Волков Кирилл Александрович"/>
    <s v="линейный_руководитель_2"/>
    <s v="Подразделение33"/>
    <x v="1"/>
    <x v="1"/>
    <n v="0"/>
    <n v="0"/>
    <s v="назначение на целевую должность"/>
    <d v="2023-02-03T00:00:00"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603"/>
    <x v="610"/>
    <n v="33"/>
    <s v="Подразделение33"/>
    <s v="подразделение_2_уровня33"/>
    <s v="-"/>
    <s v="руководитель_среднего_уровня_4"/>
    <n v="6"/>
    <s v="нет"/>
    <m/>
    <m/>
    <m/>
    <n v="595"/>
    <s v="Баранкин Федот Григорьевич"/>
    <n v="1687"/>
    <s v="Дмитриев Савелий Геннадьевич"/>
    <s v="Специалист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603"/>
    <x v="610"/>
    <n v="33"/>
    <s v="Подразделение33"/>
    <s v="подразделение_2_уровня33"/>
    <s v="-"/>
    <s v="руководитель_среднего_уровня_4"/>
    <n v="6"/>
    <s v="нет"/>
    <m/>
    <m/>
    <m/>
    <n v="595"/>
    <s v="Баранкин Федот Григорьевич"/>
    <n v="1688"/>
    <s v="Тимофеев Савелий Семенович"/>
    <s v="функциональный_руководитель_1"/>
    <s v="Подразделение_др14"/>
    <x v="2"/>
    <x v="2"/>
    <n v="1"/>
    <n v="0"/>
    <s v="прочее (перевод в другое СП / на другое предприятие)"/>
    <d v="2022-12-27T00:00:00"/>
    <s v="исключение"/>
    <s v="протокол-№-27.12.2022"/>
  </r>
  <r>
    <s v="Функциональное направление 8"/>
    <n v="4"/>
    <d v="2022-12-27T00:00:00"/>
    <n v="1"/>
    <s v="не защищена"/>
    <n v="500604"/>
    <x v="611"/>
    <n v="33"/>
    <s v="Подразделение33"/>
    <s v="подразделение_2_уровня33"/>
    <s v="подразделение_3_уровня33"/>
    <s v="линейный_руководитель_2"/>
    <n v="7"/>
    <s v="да"/>
    <d v="2022-06-14T00:00:00"/>
    <d v="2022-07-20T00:00:00"/>
    <s v="из резерва (учитываем)"/>
    <n v="596"/>
    <s v="Русланов Алексей Григорьевич"/>
    <n v="1689"/>
    <s v="Брежнев Лавр Александрович"/>
    <s v="Рабочий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604"/>
    <x v="611"/>
    <n v="33"/>
    <s v="Подразделение33"/>
    <s v="подразделение_2_уровня33"/>
    <s v="подразделение_3_уровня33"/>
    <s v="линейный_руководитель_2"/>
    <n v="7"/>
    <s v="да"/>
    <d v="2022-06-14T00:00:00"/>
    <d v="2022-07-20T00:00:00"/>
    <s v="из резерва (учитываем)"/>
    <n v="596"/>
    <s v="Русланов Алексей Григорьевич"/>
    <n v="596"/>
    <s v="Русланов Алексей Григорьевич"/>
    <s v="Рабочий"/>
    <s v="Подразделение33"/>
    <x v="2"/>
    <x v="1"/>
    <n v="1"/>
    <n v="1"/>
    <s v="назначение на целевую должность"/>
    <d v="2022-07-20T00:00:00"/>
    <s v="исключение"/>
    <s v="протокол-№-27.12.2022"/>
  </r>
  <r>
    <s v="Функциональное направление 8"/>
    <n v="4"/>
    <d v="2021-12-27T00:00:00"/>
    <n v="1"/>
    <s v="не защищена"/>
    <n v="500605"/>
    <x v="612"/>
    <n v="33"/>
    <s v="Подразделение33"/>
    <s v="подразделение_2_уровня33"/>
    <s v="подразделение_3_уровня33"/>
    <s v="линейный_руководитель_1"/>
    <n v="7"/>
    <s v="да"/>
    <d v="2022-06-06T00:00:00"/>
    <d v="2022-06-20T00:00:00"/>
    <s v="внутр. сотр. (не учитываем)"/>
    <n v="597"/>
    <s v="Цветков Константин Романович"/>
    <n v="1690"/>
    <s v="Ветров Савелий Ефрем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605"/>
    <x v="612"/>
    <n v="33"/>
    <s v="Подразделение33"/>
    <s v="подразделение_2_уровня33"/>
    <s v="подразделение_3_уровня33"/>
    <s v="линейный_руководитель_1"/>
    <n v="7"/>
    <s v="да"/>
    <d v="2022-06-06T00:00:00"/>
    <d v="2022-06-20T00:00:00"/>
    <s v="внутр. сотр. (не учитываем)"/>
    <n v="597"/>
    <s v="Цветков Константин Романович"/>
    <n v="1691"/>
    <s v="Ветров Константин Кондратьевич"/>
    <s v="Рабочий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605"/>
    <x v="613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98"/>
    <s v="Вобликов Емельян Константинович"/>
    <n v="1690"/>
    <s v="Ветров Савелий Ефрем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605"/>
    <x v="613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98"/>
    <s v="Вобликов Емельян Константинович"/>
    <n v="1691"/>
    <s v="Ветров Константин Кондратье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599"/>
    <x v="614"/>
    <n v="33"/>
    <s v="Подразделение33"/>
    <s v="подразделение_2_уровня33"/>
    <s v="подразделение_3_уровня33"/>
    <s v="линейный_руководитель_2"/>
    <n v="7"/>
    <s v="да"/>
    <d v="2022-06-06T00:00:00"/>
    <m/>
    <m/>
    <s v="вакансия"/>
    <s v="вакансия"/>
    <n v="1692"/>
    <s v="Ветров Виталий Геннадье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99"/>
    <x v="614"/>
    <n v="33"/>
    <s v="Подразделение33"/>
    <s v="подразделение_2_уровня33"/>
    <s v="подразделение_3_уровня33"/>
    <s v="линейный_руководитель_2"/>
    <n v="7"/>
    <s v="да"/>
    <d v="2022-06-06T00:00:00"/>
    <m/>
    <m/>
    <s v="вакансия"/>
    <s v="вакансия"/>
    <n v="1693"/>
    <s v="Тимофеев Виталий Герасимо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99"/>
    <x v="614"/>
    <n v="33"/>
    <s v="Подразделение33"/>
    <s v="подразделение_2_уровня33"/>
    <s v="подразделение_3_уровня33"/>
    <s v="линейный_руководитель_2"/>
    <n v="7"/>
    <s v="да"/>
    <d v="2022-06-06T00:00:00"/>
    <m/>
    <m/>
    <s v="вакансия"/>
    <s v="вакансия"/>
    <n v="561"/>
    <s v="Баранкин Тихон Владимирович"/>
    <s v="Рабочий"/>
    <s v="Подразделение33"/>
    <x v="1"/>
    <x v="2"/>
    <n v="1"/>
    <n v="0"/>
    <s v="прочее ()"/>
    <d v="2022-12-27T00:00:00"/>
    <s v="исключение"/>
    <s v="протокол-№-27.12.2022"/>
  </r>
  <r>
    <s v="Функциональное направление 8"/>
    <n v="4"/>
    <d v="2021-12-27T00:00:00"/>
    <n v="1"/>
    <s v="не защищена"/>
    <n v="500555"/>
    <x v="615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99"/>
    <s v="Цветков Федот Григорьевич"/>
    <n v="1694"/>
    <s v="Ветров Матвей Геннадьевич"/>
    <s v="Рабочий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555"/>
    <x v="615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99"/>
    <s v="Цветков Федот Григорьевич"/>
    <n v="1695"/>
    <s v="Незнамов Юрий Ефремович"/>
    <s v="Рабочий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1"/>
    <s v="не защищена"/>
    <n v="500555"/>
    <x v="616"/>
    <n v="33"/>
    <s v="Подразделение33"/>
    <s v="подразделение_2_уровня33"/>
    <s v="подразделение_3_уровня33"/>
    <s v="линейный_руководитель_1"/>
    <n v="7"/>
    <s v="да"/>
    <d v="2022-04-29T00:00:00"/>
    <d v="2022-04-29T00:00:00"/>
    <s v="из резерва (учитываем)"/>
    <n v="600"/>
    <s v="Волков Тихон Григорьевич"/>
    <n v="1695"/>
    <s v="Незнамов Юрий Ефремо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5"/>
    <x v="615"/>
    <n v="33"/>
    <s v="Подразделение33"/>
    <s v="подразделение_2_уровня33"/>
    <s v="подразделение_3_уровня33"/>
    <s v="линейный_руководитель_1"/>
    <n v="7"/>
    <s v="нет"/>
    <m/>
    <m/>
    <m/>
    <n v="599"/>
    <s v="Цветков Федот Григорьевич"/>
    <n v="600"/>
    <s v="Волков Тихон Григорьевич"/>
    <s v="Рабочий"/>
    <s v="Подразделение33"/>
    <x v="0"/>
    <x v="2"/>
    <n v="1"/>
    <n v="0"/>
    <s v="назначение на равнозначную должность"/>
    <d v="2022-04-29T00:00:00"/>
    <s v="исключение"/>
    <s v="протокол-№-27.12.2022"/>
  </r>
  <r>
    <s v="Функциональное направление 8"/>
    <n v="4"/>
    <d v="2021-12-27T00:00:00"/>
    <n v="0"/>
    <s v="не защищена"/>
    <n v="500555"/>
    <x v="616"/>
    <n v="33"/>
    <s v="Подразделение33"/>
    <s v="подразделение_2_уровня33"/>
    <s v="подразделение_3_уровня33"/>
    <s v="линейный_руководитель_1"/>
    <n v="7"/>
    <s v="да"/>
    <d v="2022-04-29T00:00:00"/>
    <d v="2022-04-29T00:00:00"/>
    <s v="из резерва (учитываем)"/>
    <n v="600"/>
    <s v="Волков Тихон Григорьевич"/>
    <n v="1694"/>
    <s v="Ветров Матвей Геннадье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55"/>
    <x v="616"/>
    <n v="33"/>
    <s v="Подразделение33"/>
    <s v="подразделение_2_уровня33"/>
    <s v="подразделение_3_уровня33"/>
    <s v="линейный_руководитель_1"/>
    <n v="7"/>
    <s v="да"/>
    <d v="2022-04-29T00:00:00"/>
    <d v="2022-04-29T00:00:00"/>
    <s v="из резерва (учитываем)"/>
    <n v="600"/>
    <s v="Волков Тихон Григорьевич"/>
    <n v="600"/>
    <s v="Волков Тихон Григорьевич"/>
    <s v="Рабочий"/>
    <s v="Подразделение33"/>
    <x v="0"/>
    <x v="1"/>
    <n v="0"/>
    <n v="1"/>
    <s v="назначение на целевую должность"/>
    <d v="2022-04-29T00:00:00"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606"/>
    <x v="617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601"/>
    <s v="Ефремов Федот Романович"/>
    <n v="1696"/>
    <s v="Тимофеев Геннадий Александрович"/>
    <s v="Рабочий"/>
    <s v="Подразделение33"/>
    <x v="0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606"/>
    <x v="617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601"/>
    <s v="Ефремов Федот Романович"/>
    <n v="1697"/>
    <s v="Брежнев Глеб Ефремо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607"/>
    <x v="618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602"/>
    <s v="Поминов Федот Денисович"/>
    <n v="1646"/>
    <s v="Игнатьев Матвей Геннадьевич"/>
    <s v="Рабочий"/>
    <s v="Подразделение33"/>
    <x v="1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142"/>
    <x v="619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603"/>
    <s v="Русланов Федот Денисович"/>
    <n v="1698"/>
    <s v="Брежнев Кирилл Александрович"/>
    <s v="Рабочий"/>
    <s v="Подразделение33"/>
    <x v="0"/>
    <x v="0"/>
    <n v="1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142"/>
    <x v="619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603"/>
    <s v="Русланов Федот Денисович"/>
    <n v="1699"/>
    <s v="Дмитриев Савелий Ефремович"/>
    <s v="Рабочий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142"/>
    <x v="619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603"/>
    <s v="Русланов Федот Денисович"/>
    <n v="1700"/>
    <s v="Брежнев Геннадий Богданович"/>
    <s v="Рабочий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608"/>
    <x v="620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604"/>
    <s v="Поминов Венедикт Кириллович"/>
    <n v="1701"/>
    <s v="Незнамов Арсений Александро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1"/>
    <s v="не защищена"/>
    <n v="500143"/>
    <x v="621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605"/>
    <s v="Вобликов Тихон Денисович"/>
    <n v="1702"/>
    <s v="Тимофеев Савелий Александрович"/>
    <s v="Рабочий"/>
    <s v="Подразделение33"/>
    <x v="2"/>
    <x v="0"/>
    <n v="1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143"/>
    <x v="621"/>
    <n v="33"/>
    <s v="Подразделение33"/>
    <s v="подразделение_2_уровня33"/>
    <s v="подразделение_3_уровня33"/>
    <s v="линейный_руководитель_2"/>
    <n v="7"/>
    <s v="нет"/>
    <m/>
    <m/>
    <m/>
    <n v="605"/>
    <s v="Вобликов Тихон Денисович"/>
    <n v="1703"/>
    <s v="Исаев Виталий Александрович"/>
    <s v="Рабочий"/>
    <s v="Подразделение33"/>
    <x v="1"/>
    <x v="0"/>
    <n v="1"/>
    <n v="0"/>
    <m/>
    <m/>
    <s v="не рассматривали"/>
    <s v="протокол-№-27.12.2021"/>
  </r>
  <r>
    <s v="Функциональное направление 7"/>
    <n v="3"/>
    <d v="2020-12-17T00:00:00"/>
    <n v="1"/>
    <s v="не защищена"/>
    <n v="500600"/>
    <x v="622"/>
    <n v="381"/>
    <s v="Подразделение381"/>
    <s v="подразделение_2_уровня381"/>
    <s v="-"/>
    <s v="ТОП_руководитель_3"/>
    <n v="4"/>
    <s v="нет"/>
    <m/>
    <m/>
    <m/>
    <n v="606"/>
    <s v="Баранкин Алексей Денисович"/>
    <n v="1704"/>
    <s v="Кириллов Геннадий Кондратьевич"/>
    <s v="функциональный_руководитель_1"/>
    <s v="Подразделение381"/>
    <x v="0"/>
    <x v="0"/>
    <n v="1"/>
    <n v="0"/>
    <m/>
    <m/>
    <s v="без изменений"/>
    <s v="протокол-№-29.11.2022"/>
  </r>
  <r>
    <s v="Функциональное направление 7"/>
    <n v="3"/>
    <d v="2022-11-29T00:00:00"/>
    <n v="0"/>
    <s v="не защищена"/>
    <n v="500600"/>
    <x v="622"/>
    <n v="381"/>
    <s v="Подразделение381"/>
    <s v="подразделение_2_уровня381"/>
    <s v="-"/>
    <s v="ТОП_руководитель_3"/>
    <n v="4"/>
    <s v="нет"/>
    <m/>
    <m/>
    <m/>
    <n v="606"/>
    <s v="Баранкин Алексей Денисович"/>
    <n v="1705"/>
    <s v="Ветров Виталий Ефремович"/>
    <s v="функциональный_руководитель_1"/>
    <s v="Подразделение381"/>
    <x v="2"/>
    <x v="0"/>
    <n v="1"/>
    <n v="0"/>
    <m/>
    <m/>
    <s v="не рассматривали"/>
    <s v="протокол-№-29.11.2022"/>
  </r>
  <r>
    <s v="Функциональное направление 7"/>
    <n v="3"/>
    <d v="2018-10-26T00:00:00"/>
    <n v="0"/>
    <s v="не защищена"/>
    <n v="500600"/>
    <x v="622"/>
    <n v="381"/>
    <s v="Подразделение381"/>
    <s v="подразделение_2_уровня381"/>
    <s v="-"/>
    <s v="ТОП_руководитель_3"/>
    <n v="4"/>
    <s v="нет"/>
    <m/>
    <m/>
    <m/>
    <n v="606"/>
    <s v="Баранкин Алексей Денисович"/>
    <n v="1706"/>
    <s v="Ветров Роман Геннадьевич"/>
    <s v="руководитель_среднего_уровня_1"/>
    <s v="Подразделение_др15"/>
    <x v="0"/>
    <x v="2"/>
    <n v="1"/>
    <n v="0"/>
    <s v="прочее (перевод в другое СП / на другое предприятие)"/>
    <d v="2022-11-29T00:00:00"/>
    <s v="исключение"/>
    <s v="протокол-№-29.11.2022"/>
  </r>
  <r>
    <s v="Функциональное направление 7"/>
    <n v="3"/>
    <d v="2022-06-21T00:00:00"/>
    <n v="1"/>
    <s v="не защищена"/>
    <n v="500598"/>
    <x v="623"/>
    <n v="381"/>
    <s v="Подразделение381"/>
    <s v="подразделение_2_уровня381"/>
    <s v="-"/>
    <s v="линейный_руководитель_3"/>
    <n v="6"/>
    <s v="нет"/>
    <m/>
    <m/>
    <m/>
    <n v="607"/>
    <s v="Конеев Еремей Григорьевич"/>
    <n v="1705"/>
    <s v="Ветров Виталий Ефремович"/>
    <s v="функциональный_руководитель_1"/>
    <s v="Подразделение381"/>
    <x v="1"/>
    <x v="0"/>
    <n v="1"/>
    <n v="0"/>
    <m/>
    <m/>
    <s v="не рассматривали"/>
    <s v="протокол-№-21.06.2022"/>
  </r>
  <r>
    <s v="Функциональное направление 7"/>
    <n v="3"/>
    <d v="2022-06-21T00:00:00"/>
    <n v="1"/>
    <s v="не защищена"/>
    <n v="500601"/>
    <x v="624"/>
    <n v="381"/>
    <s v="Подразделение381"/>
    <s v="подразделение_2_уровня381"/>
    <s v="-"/>
    <s v="линейный_руководитель_3"/>
    <n v="6"/>
    <s v="нет"/>
    <m/>
    <m/>
    <m/>
    <n v="608"/>
    <s v="Русланов Николай Тимофеевич"/>
    <n v="1707"/>
    <s v="Ветров Виталий Александрович"/>
    <s v="Специалист"/>
    <s v="Подразделение381"/>
    <x v="2"/>
    <x v="0"/>
    <n v="1"/>
    <n v="0"/>
    <m/>
    <m/>
    <s v="без изменений"/>
    <s v="протокол-№-21.06.2022"/>
  </r>
  <r>
    <s v="Функциональное направление 7"/>
    <n v="3"/>
    <d v="2022-06-21T00:00:00"/>
    <n v="0"/>
    <s v="не защищена"/>
    <n v="500601"/>
    <x v="624"/>
    <n v="381"/>
    <s v="Подразделение381"/>
    <s v="подразделение_2_уровня381"/>
    <s v="-"/>
    <s v="линейный_руководитель_3"/>
    <n v="6"/>
    <s v="нет"/>
    <m/>
    <m/>
    <m/>
    <n v="608"/>
    <s v="Русланов Николай Тимофеевич"/>
    <n v="1708"/>
    <s v="Незнамов Лавр Ефремович"/>
    <s v="Специалист"/>
    <s v="Подразделение381"/>
    <x v="0"/>
    <x v="0"/>
    <n v="1"/>
    <n v="0"/>
    <m/>
    <m/>
    <s v="повышение"/>
    <s v="протокол-№-21.06.2022"/>
  </r>
  <r>
    <s v="Функциональное направление 8"/>
    <n v="3"/>
    <d v="2022-08-08T00:00:00"/>
    <n v="1"/>
    <s v="не защищена"/>
    <n v="500615"/>
    <x v="625"/>
    <n v="81"/>
    <s v="Подразделение81"/>
    <s v="подразделение_2_уровня81"/>
    <s v="-"/>
    <s v="ТОП_руководитель_2"/>
    <n v="5"/>
    <s v="нет"/>
    <m/>
    <m/>
    <m/>
    <n v="609"/>
    <s v="Вобликов Венедикт Григорьевич"/>
    <n v="1709"/>
    <s v="Ветров Геннадий Герасимович"/>
    <s v="функциональный_руководитель_1"/>
    <s v="Подразделение81"/>
    <x v="0"/>
    <x v="0"/>
    <n v="1"/>
    <n v="0"/>
    <m/>
    <m/>
    <s v="не рассматривали"/>
    <s v="протокол-№-08.08.2022"/>
  </r>
  <r>
    <s v="Функциональное направление 8"/>
    <n v="4"/>
    <d v="2022-01-27T00:00:00"/>
    <n v="1"/>
    <s v="не защищена"/>
    <n v="500628"/>
    <x v="626"/>
    <n v="31"/>
    <s v="Подразделение31"/>
    <s v="подразделение_2_уровня31"/>
    <s v="-"/>
    <s v="руководитель_среднего_уровня_4"/>
    <n v="6"/>
    <s v="нет"/>
    <m/>
    <m/>
    <m/>
    <n v="610"/>
    <s v="Волков Венедикт Максимович"/>
    <n v="611"/>
    <s v="Вобликов Тихон Александрович"/>
    <s v="линейный_руководитель_2"/>
    <s v="Подразделение31"/>
    <x v="1"/>
    <x v="0"/>
    <n v="1"/>
    <n v="0"/>
    <m/>
    <m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628"/>
    <x v="626"/>
    <n v="31"/>
    <s v="Подразделение31"/>
    <s v="подразделение_2_уровня31"/>
    <s v="-"/>
    <s v="руководитель_среднего_уровня_4"/>
    <n v="6"/>
    <s v="нет"/>
    <m/>
    <m/>
    <m/>
    <n v="610"/>
    <s v="Волков Венедикт Максимович"/>
    <n v="1710"/>
    <s v="Степанов Афанасий Геннадьевич"/>
    <s v="Специалист"/>
    <s v="Подразделение31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1"/>
    <s v="не защищена"/>
    <n v="500629"/>
    <x v="627"/>
    <n v="31"/>
    <s v="Подразделение31"/>
    <s v="подразделение_2_уровня31"/>
    <s v="-"/>
    <s v="линейный_руководитель_1"/>
    <n v="7"/>
    <s v="нет"/>
    <m/>
    <m/>
    <m/>
    <n v="611"/>
    <s v="Вобликов Тихон Александрович"/>
    <n v="1711"/>
    <s v="Дорофеев Виталий Богданович"/>
    <s v="Рабочий"/>
    <s v="Подразделение31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629"/>
    <x v="627"/>
    <n v="31"/>
    <s v="Подразделение31"/>
    <s v="подразделение_2_уровня31"/>
    <s v="-"/>
    <s v="линейный_руководитель_1"/>
    <n v="7"/>
    <s v="нет"/>
    <m/>
    <m/>
    <m/>
    <n v="611"/>
    <s v="Вобликов Тихон Александрович"/>
    <n v="626"/>
    <s v="Романов Константин Михайлович"/>
    <s v="Рабочий"/>
    <s v="Подразделение31"/>
    <x v="2"/>
    <x v="1"/>
    <n v="0"/>
    <n v="0"/>
    <s v="назначение на целевую должность"/>
    <d v="2023-03-06T00:00:00"/>
    <s v="не рассматривали"/>
    <s v="протокол-№-27.12.2022"/>
  </r>
  <r>
    <s v="Функциональное направление 8"/>
    <n v="4"/>
    <d v="2022-12-27T00:00:00"/>
    <n v="1"/>
    <s v="не защищена"/>
    <n v="500629"/>
    <x v="628"/>
    <n v="31"/>
    <s v="Подразделение31"/>
    <s v="подразделение_2_уровня31"/>
    <s v="-"/>
    <s v="линейный_руководитель_1"/>
    <n v="7"/>
    <s v="да"/>
    <d v="2022-02-14T00:00:00"/>
    <d v="2022-02-14T00:00:00"/>
    <s v="из резерва (учитываем)"/>
    <n v="612"/>
    <s v="Волков Алексей Тимофеевич"/>
    <n v="1711"/>
    <s v="Дорофеев Виталий Богданович"/>
    <s v="Рабочий"/>
    <s v="Подразделение31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01-27T00:00:00"/>
    <n v="0"/>
    <s v="не защищена"/>
    <n v="500629"/>
    <x v="628"/>
    <n v="31"/>
    <s v="Подразделение31"/>
    <s v="подразделение_2_уровня31"/>
    <s v="-"/>
    <s v="линейный_руководитель_1"/>
    <n v="7"/>
    <s v="да"/>
    <d v="2022-02-14T00:00:00"/>
    <d v="2022-02-14T00:00:00"/>
    <s v="из резерва (учитываем)"/>
    <n v="612"/>
    <s v="Волков Алексей Тимофеевич"/>
    <n v="612"/>
    <s v="Волков Алексей Тимофеевич"/>
    <s v="Рабочий"/>
    <s v="Подразделение31"/>
    <x v="1"/>
    <x v="1"/>
    <n v="1"/>
    <n v="1"/>
    <s v="назначение на целевую должность"/>
    <d v="2022-02-14T00:00:00"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629"/>
    <x v="628"/>
    <n v="31"/>
    <s v="Подразделение31"/>
    <s v="подразделение_2_уровня31"/>
    <s v="-"/>
    <s v="линейный_руководитель_1"/>
    <n v="7"/>
    <s v="да"/>
    <d v="2022-02-14T00:00:00"/>
    <d v="2022-02-14T00:00:00"/>
    <s v="из резерва (учитываем)"/>
    <n v="612"/>
    <s v="Волков Алексей Тимофеевич"/>
    <n v="626"/>
    <s v="Романов Константин Михайлович"/>
    <s v="Рабочий"/>
    <s v="Подразделение31"/>
    <x v="2"/>
    <x v="1"/>
    <n v="0"/>
    <n v="0"/>
    <s v="назначение на целевую должность"/>
    <d v="2023-03-06T00:00:00"/>
    <s v="не рассматривали"/>
    <s v="протокол-№-27.12.2022"/>
  </r>
  <r>
    <s v="Функциональное направление 7"/>
    <n v="3"/>
    <d v="2022-11-29T00:00:00"/>
    <n v="1"/>
    <s v="не защищена"/>
    <n v="500681"/>
    <x v="629"/>
    <n v="262"/>
    <s v="Подразделение262"/>
    <s v="подразделение_2_уровня262"/>
    <s v="-"/>
    <s v="ТОП_руководитель_3"/>
    <n v="4"/>
    <s v="нет"/>
    <m/>
    <m/>
    <m/>
    <n v="613"/>
    <s v="Вобликов Алексей Иванович"/>
    <n v="1712"/>
    <s v="Ветров Виталий Михайлович"/>
    <s v="руководитель_среднего_уровня_1"/>
    <s v="Подразделение262"/>
    <x v="0"/>
    <x v="0"/>
    <n v="1"/>
    <n v="0"/>
    <m/>
    <m/>
    <s v="не рассматривали"/>
    <s v="протокол-№-29.11.2022"/>
  </r>
  <r>
    <s v="Функциональное направление 8"/>
    <n v="4"/>
    <d v="2022-12-27T00:00:00"/>
    <n v="1"/>
    <s v="не защищена"/>
    <n v="500740"/>
    <x v="630"/>
    <n v="94"/>
    <s v="Подразделение94"/>
    <s v="подразделение_2_уровня94"/>
    <s v="-"/>
    <s v="линейный_руководитель_3"/>
    <n v="6"/>
    <s v="нет"/>
    <m/>
    <m/>
    <m/>
    <n v="614"/>
    <s v="Баранкин Тихон Анатольевич"/>
    <n v="1594"/>
    <s v="Незнамов Арсений Кондратьевич"/>
    <s v="Специалист"/>
    <s v="Подразделение36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01-27T00:00:00"/>
    <n v="1"/>
    <s v="не защищена"/>
    <n v="500120"/>
    <x v="631"/>
    <n v="31"/>
    <s v="Подразделение31"/>
    <s v="подразделение_2_уровня31"/>
    <s v="-"/>
    <s v="линейный_руководитель_1"/>
    <n v="7"/>
    <s v="да"/>
    <d v="2023-05-01T00:00:00"/>
    <m/>
    <m/>
    <s v="вакансия"/>
    <s v="вакансия"/>
    <n v="1713"/>
    <s v="Кириллов Юрий Кондратьевич"/>
    <s v="Рабочий"/>
    <s v="Подразделение31"/>
    <x v="0"/>
    <x v="0"/>
    <n v="1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20"/>
    <x v="631"/>
    <n v="31"/>
    <s v="Подразделение31"/>
    <s v="подразделение_2_уровня31"/>
    <s v="-"/>
    <s v="линейный_руководитель_1"/>
    <n v="7"/>
    <s v="да"/>
    <d v="2023-05-01T00:00:00"/>
    <m/>
    <m/>
    <s v="вакансия"/>
    <s v="вакансия"/>
    <n v="616"/>
    <s v="Русланов Степан Денисович"/>
    <s v="Рабочий"/>
    <s v="Подразделение31"/>
    <x v="0"/>
    <x v="1"/>
    <n v="1"/>
    <n v="0"/>
    <s v="назначение на целевую должность"/>
    <d v="2023-05-15T00:00:00"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120"/>
    <x v="631"/>
    <n v="31"/>
    <s v="Подразделение31"/>
    <s v="подразделение_2_уровня31"/>
    <s v="-"/>
    <s v="линейный_руководитель_1"/>
    <n v="7"/>
    <s v="да"/>
    <d v="2023-05-01T00:00:00"/>
    <m/>
    <m/>
    <s v="вакансия"/>
    <s v="вакансия"/>
    <n v="1714"/>
    <s v="Тимофеев Виталий Семенович"/>
    <s v="Рабочий"/>
    <s v="Подразделение31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2-01-27T00:00:00"/>
    <n v="1"/>
    <s v="не защищена"/>
    <n v="500120"/>
    <x v="632"/>
    <n v="31"/>
    <s v="Подразделение31"/>
    <s v="подразделение_2_уровня31"/>
    <s v="-"/>
    <s v="линейный_руководитель_1"/>
    <n v="7"/>
    <s v="нет"/>
    <m/>
    <m/>
    <m/>
    <n v="615"/>
    <s v="Бураков Венедикт Иванович"/>
    <n v="1713"/>
    <s v="Кириллов Юрий Кондратьевич"/>
    <s v="Рабочий"/>
    <s v="Подразделение31"/>
    <x v="0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20"/>
    <x v="632"/>
    <n v="31"/>
    <s v="Подразделение31"/>
    <s v="подразделение_2_уровня31"/>
    <s v="-"/>
    <s v="линейный_руководитель_1"/>
    <n v="7"/>
    <s v="нет"/>
    <m/>
    <m/>
    <m/>
    <n v="615"/>
    <s v="Бураков Венедикт Иванович"/>
    <n v="616"/>
    <s v="Русланов Степан Денисович"/>
    <s v="Рабочий"/>
    <s v="Подразделение31"/>
    <x v="0"/>
    <x v="1"/>
    <n v="0"/>
    <n v="0"/>
    <s v="назначение на целевую должность"/>
    <d v="2023-05-15T00:00:00"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120"/>
    <x v="632"/>
    <n v="31"/>
    <s v="Подразделение31"/>
    <s v="подразделение_2_уровня31"/>
    <s v="-"/>
    <s v="линейный_руководитель_1"/>
    <n v="7"/>
    <s v="нет"/>
    <m/>
    <m/>
    <m/>
    <n v="615"/>
    <s v="Бураков Венедикт Иванович"/>
    <n v="1714"/>
    <s v="Тимофеев Виталий Семенович"/>
    <s v="Рабочий"/>
    <s v="Подразделение31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01-27T00:00:00"/>
    <n v="1"/>
    <s v="не защищена"/>
    <n v="500120"/>
    <x v="633"/>
    <n v="31"/>
    <s v="Подразделение31"/>
    <s v="подразделение_2_уровня31"/>
    <s v="-"/>
    <s v="линейный_руководитель_1"/>
    <n v="7"/>
    <s v="да"/>
    <d v="2022-10-14T00:00:00"/>
    <d v="2023-05-15T00:00:00"/>
    <s v="из резерва (учитываем)"/>
    <n v="616"/>
    <s v="Русланов Степан Денисович"/>
    <n v="1713"/>
    <s v="Кириллов Юрий Кондратьевич"/>
    <s v="Рабочий"/>
    <s v="Подразделение31"/>
    <x v="0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20"/>
    <x v="633"/>
    <n v="31"/>
    <s v="Подразделение31"/>
    <s v="подразделение_2_уровня31"/>
    <s v="-"/>
    <s v="линейный_руководитель_1"/>
    <n v="7"/>
    <s v="да"/>
    <d v="2022-10-14T00:00:00"/>
    <d v="2023-05-15T00:00:00"/>
    <s v="из резерва (учитываем)"/>
    <n v="616"/>
    <s v="Русланов Степан Денисович"/>
    <n v="616"/>
    <s v="Русланов Степан Денисович"/>
    <s v="Рабочий"/>
    <s v="Подразделение31"/>
    <x v="0"/>
    <x v="1"/>
    <n v="0"/>
    <n v="1"/>
    <s v="назначение на целевую должность"/>
    <d v="2023-05-15T00:00:00"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120"/>
    <x v="633"/>
    <n v="31"/>
    <s v="Подразделение31"/>
    <s v="подразделение_2_уровня31"/>
    <s v="-"/>
    <s v="линейный_руководитель_1"/>
    <n v="7"/>
    <s v="да"/>
    <d v="2022-10-14T00:00:00"/>
    <d v="2023-05-15T00:00:00"/>
    <s v="из резерва (учитываем)"/>
    <n v="616"/>
    <s v="Русланов Степан Денисович"/>
    <n v="1714"/>
    <s v="Тимофеев Виталий Семенович"/>
    <s v="Рабочий"/>
    <s v="Подразделение31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01-27T00:00:00"/>
    <n v="1"/>
    <s v="не защищена"/>
    <n v="500120"/>
    <x v="634"/>
    <n v="31"/>
    <s v="Подразделение31"/>
    <s v="подразделение_2_уровня31"/>
    <s v="-"/>
    <s v="линейный_руководитель_1"/>
    <n v="7"/>
    <s v="да"/>
    <d v="2023-03-27T00:00:00"/>
    <m/>
    <m/>
    <s v="вакансия"/>
    <s v="вакансия"/>
    <n v="1713"/>
    <s v="Кириллов Юрий Кондратьевич"/>
    <s v="Рабочий"/>
    <s v="Подразделение31"/>
    <x v="0"/>
    <x v="0"/>
    <n v="0"/>
    <n v="0"/>
    <m/>
    <m/>
    <s v="не рассматривали"/>
    <s v="протокол-№-27.01.2022"/>
  </r>
  <r>
    <s v="Функциональное направление 8"/>
    <n v="4"/>
    <d v="2022-01-27T00:00:00"/>
    <n v="0"/>
    <s v="не защищена"/>
    <n v="500120"/>
    <x v="634"/>
    <n v="31"/>
    <s v="Подразделение31"/>
    <s v="подразделение_2_уровня31"/>
    <s v="-"/>
    <s v="линейный_руководитель_1"/>
    <n v="7"/>
    <s v="да"/>
    <d v="2023-03-27T00:00:00"/>
    <m/>
    <m/>
    <s v="вакансия"/>
    <s v="вакансия"/>
    <n v="616"/>
    <s v="Русланов Степан Денисович"/>
    <s v="Рабочий"/>
    <s v="Подразделение31"/>
    <x v="0"/>
    <x v="1"/>
    <n v="0"/>
    <n v="0"/>
    <s v="назначение на целевую должность"/>
    <d v="2023-05-15T00:00:00"/>
    <s v="не рассматривали"/>
    <s v="протокол-№-27.01.2022"/>
  </r>
  <r>
    <s v="Функциональное направление 8"/>
    <n v="4"/>
    <d v="2022-12-27T00:00:00"/>
    <n v="0"/>
    <s v="не защищена"/>
    <n v="500120"/>
    <x v="634"/>
    <n v="31"/>
    <s v="Подразделение31"/>
    <s v="подразделение_2_уровня31"/>
    <s v="-"/>
    <s v="линейный_руководитель_1"/>
    <n v="7"/>
    <s v="да"/>
    <d v="2023-03-27T00:00:00"/>
    <m/>
    <m/>
    <s v="вакансия"/>
    <s v="вакансия"/>
    <n v="1714"/>
    <s v="Тимофеев Виталий Семенович"/>
    <s v="Рабочий"/>
    <s v="Подразделение31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12-27T00:00:00"/>
    <n v="1"/>
    <s v="не защищена"/>
    <n v="500711"/>
    <x v="635"/>
    <n v="33"/>
    <s v="Подразделение33"/>
    <s v="подразделение_2_уровня33"/>
    <s v="-"/>
    <s v="функциональный_руководитель_1"/>
    <n v="6"/>
    <s v="нет"/>
    <m/>
    <m/>
    <m/>
    <n v="617"/>
    <s v="Волков Константин Романович"/>
    <n v="1558"/>
    <s v="Брежнев Виталий Богданович"/>
    <s v="Рабочий"/>
    <s v="Подразделение33"/>
    <x v="2"/>
    <x v="0"/>
    <n v="1"/>
    <n v="0"/>
    <m/>
    <m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553"/>
    <x v="636"/>
    <n v="33"/>
    <s v="Подразделение33"/>
    <s v="подразделение_2_уровня33"/>
    <s v="-"/>
    <s v="линейный_руководитель_1"/>
    <n v="7"/>
    <s v="да"/>
    <d v="2022-06-08T00:00:00"/>
    <d v="2022-06-08T00:00:00"/>
    <s v="внутр. сотр. (учитываем)"/>
    <n v="618"/>
    <s v="Баранкин Федот Романович"/>
    <n v="1640"/>
    <s v="Дорофеев Лавр Богдан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53"/>
    <x v="636"/>
    <n v="33"/>
    <s v="Подразделение33"/>
    <s v="подразделение_2_уровня33"/>
    <s v="-"/>
    <s v="линейный_руководитель_1"/>
    <n v="7"/>
    <s v="да"/>
    <d v="2022-06-08T00:00:00"/>
    <d v="2022-06-08T00:00:00"/>
    <s v="внутр. сотр. (учитываем)"/>
    <n v="618"/>
    <s v="Баранкин Федот Романович"/>
    <n v="1641"/>
    <s v="Коростелев Юрий Геннадье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3"/>
    <x v="636"/>
    <n v="33"/>
    <s v="Подразделение33"/>
    <s v="подразделение_2_уровня33"/>
    <s v="-"/>
    <s v="линейный_руководитель_1"/>
    <n v="7"/>
    <s v="да"/>
    <d v="2022-06-08T00:00:00"/>
    <d v="2022-06-08T00:00:00"/>
    <s v="внутр. сотр. (учитываем)"/>
    <n v="618"/>
    <s v="Баранкин Федот Романович"/>
    <n v="1642"/>
    <s v="Степанов Лавр Богдано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3"/>
    <x v="636"/>
    <n v="33"/>
    <s v="Подразделение33"/>
    <s v="подразделение_2_уровня33"/>
    <s v="-"/>
    <s v="линейный_руководитель_1"/>
    <n v="7"/>
    <s v="да"/>
    <d v="2022-06-08T00:00:00"/>
    <d v="2022-06-08T00:00:00"/>
    <s v="внутр. сотр. (учитываем)"/>
    <n v="618"/>
    <s v="Баранкин Федот Романович"/>
    <n v="1643"/>
    <s v="Брежнев Виталий Ефремович"/>
    <s v="Рабочий"/>
    <s v="Подразделение33"/>
    <x v="1"/>
    <x v="1"/>
    <n v="0"/>
    <n v="0"/>
    <s v="назначение на целевую должность"/>
    <d v="2023-02-03T00:00:00"/>
    <s v="повышение"/>
    <s v="протокол-№-27.12.2022"/>
  </r>
  <r>
    <s v="Функциональное направление 8"/>
    <n v="4"/>
    <d v="2022-12-27T00:00:00"/>
    <n v="0"/>
    <s v="не защищена"/>
    <n v="500553"/>
    <x v="636"/>
    <n v="33"/>
    <s v="Подразделение33"/>
    <s v="подразделение_2_уровня33"/>
    <s v="-"/>
    <s v="линейный_руководитель_1"/>
    <n v="7"/>
    <s v="да"/>
    <d v="2022-06-08T00:00:00"/>
    <d v="2022-06-08T00:00:00"/>
    <s v="внутр. сотр. (учитываем)"/>
    <n v="618"/>
    <s v="Баранкин Федот Романович"/>
    <n v="621"/>
    <s v="Волков Кирилл Александрович"/>
    <s v="линейный_руководитель_2"/>
    <s v="Подразделение33"/>
    <x v="1"/>
    <x v="1"/>
    <n v="0"/>
    <n v="0"/>
    <s v="назначение на целевую должность"/>
    <d v="2023-02-03T00:00:00"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553"/>
    <x v="637"/>
    <n v="33"/>
    <s v="Подразделение33"/>
    <s v="подразделение_2_уровня33"/>
    <s v="-"/>
    <s v="линейный_руководитель_1"/>
    <n v="7"/>
    <s v="нет"/>
    <m/>
    <m/>
    <m/>
    <n v="619"/>
    <s v="Русланов Григорий Григорьевич"/>
    <n v="1640"/>
    <s v="Дорофеев Лавр Богдан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53"/>
    <x v="637"/>
    <n v="33"/>
    <s v="Подразделение33"/>
    <s v="подразделение_2_уровня33"/>
    <s v="-"/>
    <s v="линейный_руководитель_1"/>
    <n v="7"/>
    <s v="нет"/>
    <m/>
    <m/>
    <m/>
    <n v="619"/>
    <s v="Русланов Григорий Григорьевич"/>
    <n v="1641"/>
    <s v="Коростелев Юрий Геннадье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3"/>
    <x v="637"/>
    <n v="33"/>
    <s v="Подразделение33"/>
    <s v="подразделение_2_уровня33"/>
    <s v="-"/>
    <s v="линейный_руководитель_1"/>
    <n v="7"/>
    <s v="нет"/>
    <m/>
    <m/>
    <m/>
    <n v="619"/>
    <s v="Русланов Григорий Григорьевич"/>
    <n v="1642"/>
    <s v="Степанов Лавр Богдано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3"/>
    <x v="637"/>
    <n v="33"/>
    <s v="Подразделение33"/>
    <s v="подразделение_2_уровня33"/>
    <s v="-"/>
    <s v="линейный_руководитель_1"/>
    <n v="7"/>
    <s v="нет"/>
    <m/>
    <m/>
    <m/>
    <n v="619"/>
    <s v="Русланов Григорий Григорьевич"/>
    <n v="1643"/>
    <s v="Брежнев Виталий Ефремович"/>
    <s v="Рабочий"/>
    <s v="Подразделение33"/>
    <x v="1"/>
    <x v="1"/>
    <n v="0"/>
    <n v="0"/>
    <s v="назначение на целевую должность"/>
    <d v="2023-02-03T00:00:00"/>
    <s v="повышение"/>
    <s v="протокол-№-27.12.2022"/>
  </r>
  <r>
    <s v="Функциональное направление 8"/>
    <n v="4"/>
    <d v="2022-12-27T00:00:00"/>
    <n v="0"/>
    <s v="не защищена"/>
    <n v="500553"/>
    <x v="637"/>
    <n v="33"/>
    <s v="Подразделение33"/>
    <s v="подразделение_2_уровня33"/>
    <s v="-"/>
    <s v="линейный_руководитель_1"/>
    <n v="7"/>
    <s v="нет"/>
    <m/>
    <m/>
    <m/>
    <n v="619"/>
    <s v="Русланов Григорий Григорьевич"/>
    <n v="621"/>
    <s v="Волков Кирилл Александрович"/>
    <s v="линейный_руководитель_2"/>
    <s v="Подразделение33"/>
    <x v="1"/>
    <x v="1"/>
    <n v="0"/>
    <n v="0"/>
    <s v="назначение на целевую должность"/>
    <d v="2023-02-03T00:00:00"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553"/>
    <x v="638"/>
    <n v="33"/>
    <s v="Подразделение33"/>
    <s v="подразделение_2_уровня33"/>
    <s v="-"/>
    <s v="линейный_руководитель_1"/>
    <n v="7"/>
    <s v="нет"/>
    <m/>
    <m/>
    <m/>
    <n v="620"/>
    <s v="Баранкин Алексей Кириллович"/>
    <n v="1640"/>
    <s v="Дорофеев Лавр Богдан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53"/>
    <x v="638"/>
    <n v="33"/>
    <s v="Подразделение33"/>
    <s v="подразделение_2_уровня33"/>
    <s v="-"/>
    <s v="линейный_руководитель_1"/>
    <n v="7"/>
    <s v="нет"/>
    <m/>
    <m/>
    <m/>
    <n v="620"/>
    <s v="Баранкин Алексей Кириллович"/>
    <n v="1641"/>
    <s v="Коростелев Юрий Геннадье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3"/>
    <x v="638"/>
    <n v="33"/>
    <s v="Подразделение33"/>
    <s v="подразделение_2_уровня33"/>
    <s v="-"/>
    <s v="линейный_руководитель_1"/>
    <n v="7"/>
    <s v="нет"/>
    <m/>
    <m/>
    <m/>
    <n v="620"/>
    <s v="Баранкин Алексей Кириллович"/>
    <n v="1642"/>
    <s v="Степанов Лавр Богдано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3"/>
    <x v="638"/>
    <n v="33"/>
    <s v="Подразделение33"/>
    <s v="подразделение_2_уровня33"/>
    <s v="-"/>
    <s v="линейный_руководитель_1"/>
    <n v="7"/>
    <s v="нет"/>
    <m/>
    <m/>
    <m/>
    <n v="620"/>
    <s v="Баранкин Алексей Кириллович"/>
    <n v="1643"/>
    <s v="Брежнев Виталий Ефремович"/>
    <s v="Рабочий"/>
    <s v="Подразделение33"/>
    <x v="1"/>
    <x v="1"/>
    <n v="0"/>
    <n v="0"/>
    <s v="назначение на целевую должность"/>
    <d v="2023-02-03T00:00:00"/>
    <s v="повышение"/>
    <s v="протокол-№-27.12.2022"/>
  </r>
  <r>
    <s v="Функциональное направление 8"/>
    <n v="4"/>
    <d v="2022-12-27T00:00:00"/>
    <n v="0"/>
    <s v="не защищена"/>
    <n v="500553"/>
    <x v="638"/>
    <n v="33"/>
    <s v="Подразделение33"/>
    <s v="подразделение_2_уровня33"/>
    <s v="-"/>
    <s v="линейный_руководитель_1"/>
    <n v="7"/>
    <s v="нет"/>
    <m/>
    <m/>
    <m/>
    <n v="620"/>
    <s v="Баранкин Алексей Кириллович"/>
    <n v="621"/>
    <s v="Волков Кирилл Александрович"/>
    <s v="линейный_руководитель_2"/>
    <s v="Подразделение33"/>
    <x v="1"/>
    <x v="1"/>
    <n v="0"/>
    <n v="0"/>
    <s v="назначение на целевую должность"/>
    <d v="2023-02-03T00:00:00"/>
    <s v="не рассматривали"/>
    <s v="протокол-№-27.12.2022"/>
  </r>
  <r>
    <s v="Функциональное направление 8"/>
    <n v="4"/>
    <d v="2021-12-27T00:00:00"/>
    <n v="1"/>
    <s v="не защищена"/>
    <n v="500553"/>
    <x v="639"/>
    <n v="33"/>
    <s v="Подразделение33"/>
    <s v="подразделение_2_уровня33"/>
    <s v="-"/>
    <s v="линейный_руководитель_1"/>
    <n v="7"/>
    <s v="да"/>
    <d v="2022-11-18T00:00:00"/>
    <d v="2023-02-03T00:00:00"/>
    <s v="из резерва (учитываем)"/>
    <n v="621"/>
    <s v="Волков Кирилл Александрович"/>
    <n v="1640"/>
    <s v="Дорофеев Лавр Богдано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1-12-27T00:00:00"/>
    <n v="0"/>
    <s v="не защищена"/>
    <n v="500553"/>
    <x v="639"/>
    <n v="33"/>
    <s v="Подразделение33"/>
    <s v="подразделение_2_уровня33"/>
    <s v="-"/>
    <s v="линейный_руководитель_1"/>
    <n v="7"/>
    <s v="да"/>
    <d v="2022-11-18T00:00:00"/>
    <d v="2023-02-03T00:00:00"/>
    <s v="из резерва (учитываем)"/>
    <n v="621"/>
    <s v="Волков Кирилл Александрович"/>
    <n v="1641"/>
    <s v="Коростелев Юрий Геннадьевич"/>
    <s v="Рабочий"/>
    <s v="Подразделение33"/>
    <x v="2"/>
    <x v="0"/>
    <n v="0"/>
    <n v="0"/>
    <m/>
    <m/>
    <s v="не рассматривали"/>
    <s v="протокол-№-27.12.2021"/>
  </r>
  <r>
    <s v="Функциональное направление 8"/>
    <n v="4"/>
    <d v="2022-12-27T00:00:00"/>
    <n v="0"/>
    <s v="не защищена"/>
    <n v="500553"/>
    <x v="639"/>
    <n v="33"/>
    <s v="Подразделение33"/>
    <s v="подразделение_2_уровня33"/>
    <s v="-"/>
    <s v="линейный_руководитель_1"/>
    <n v="7"/>
    <s v="да"/>
    <d v="2022-11-18T00:00:00"/>
    <d v="2023-02-03T00:00:00"/>
    <s v="из резерва (учитываем)"/>
    <n v="621"/>
    <s v="Волков Кирилл Александрович"/>
    <n v="1642"/>
    <s v="Степанов Лавр Богданович"/>
    <s v="Рабочий"/>
    <s v="Подразделение33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1-12-27T00:00:00"/>
    <n v="0"/>
    <s v="не защищена"/>
    <n v="500553"/>
    <x v="639"/>
    <n v="33"/>
    <s v="Подразделение33"/>
    <s v="подразделение_2_уровня33"/>
    <s v="-"/>
    <s v="линейный_руководитель_1"/>
    <n v="7"/>
    <s v="да"/>
    <d v="2022-11-18T00:00:00"/>
    <d v="2023-02-03T00:00:00"/>
    <s v="из резерва (учитываем)"/>
    <n v="621"/>
    <s v="Волков Кирилл Александрович"/>
    <n v="1643"/>
    <s v="Брежнев Виталий Ефремович"/>
    <s v="Рабочий"/>
    <s v="Подразделение33"/>
    <x v="1"/>
    <x v="1"/>
    <n v="0"/>
    <n v="0"/>
    <s v="назначение на целевую должность"/>
    <d v="2023-02-03T00:00:00"/>
    <s v="повышение"/>
    <s v="протокол-№-27.12.2022"/>
  </r>
  <r>
    <s v="Функциональное направление 8"/>
    <n v="4"/>
    <d v="2022-12-27T00:00:00"/>
    <n v="0"/>
    <s v="не защищена"/>
    <n v="500553"/>
    <x v="639"/>
    <n v="33"/>
    <s v="Подразделение33"/>
    <s v="подразделение_2_уровня33"/>
    <s v="-"/>
    <s v="линейный_руководитель_1"/>
    <n v="7"/>
    <s v="да"/>
    <d v="2022-11-18T00:00:00"/>
    <d v="2023-02-03T00:00:00"/>
    <s v="из резерва (учитываем)"/>
    <n v="621"/>
    <s v="Волков Кирилл Александрович"/>
    <n v="621"/>
    <s v="Волков Кирилл Александрович"/>
    <s v="линейный_руководитель_2"/>
    <s v="Подразделение33"/>
    <x v="1"/>
    <x v="1"/>
    <n v="0"/>
    <n v="1"/>
    <s v="назначение на целевую должность"/>
    <d v="2023-02-03T00:00:00"/>
    <s v="не рассматривали"/>
    <s v="протокол-№-27.12.2022"/>
  </r>
  <r>
    <s v="Функциональное направление 8"/>
    <n v="3"/>
    <d v="2020-10-08T00:00:00"/>
    <n v="1"/>
    <s v="не защищена"/>
    <n v="500747"/>
    <x v="640"/>
    <n v="94"/>
    <s v="Подразделение94"/>
    <s v="подразделение_2_уровня94"/>
    <s v="-"/>
    <s v="руководитель_среднего_уровня_1"/>
    <n v="5"/>
    <s v="да"/>
    <d v="2023-01-01T00:00:00"/>
    <d v="2023-01-13T00:00:00"/>
    <s v="внутр. сотр. (учитываем)"/>
    <n v="622"/>
    <s v="Волков Валерий Кириллович"/>
    <n v="496"/>
    <s v="Аксенов Кирилл Романович"/>
    <s v="функциональный_руководитель_1"/>
    <s v="Подразделение94"/>
    <x v="0"/>
    <x v="0"/>
    <n v="1"/>
    <n v="0"/>
    <m/>
    <m/>
    <s v="без изменений"/>
    <s v="протокол-№-08.08.2022"/>
  </r>
  <r>
    <s v="Функциональное направление 8"/>
    <n v="3"/>
    <d v="2022-08-08T00:00:00"/>
    <n v="0"/>
    <s v="не защищена"/>
    <n v="500747"/>
    <x v="640"/>
    <n v="94"/>
    <s v="Подразделение94"/>
    <s v="подразделение_2_уровня94"/>
    <s v="-"/>
    <s v="руководитель_среднего_уровня_1"/>
    <n v="5"/>
    <s v="да"/>
    <d v="2023-01-01T00:00:00"/>
    <d v="2023-01-13T00:00:00"/>
    <s v="внутр. сотр. (учитываем)"/>
    <n v="622"/>
    <s v="Волков Валерий Кириллович"/>
    <n v="499"/>
    <s v="Вобликов Константин Денисович"/>
    <s v="функциональный_руководитель_1"/>
    <s v="Подразделение94"/>
    <x v="2"/>
    <x v="0"/>
    <n v="1"/>
    <n v="0"/>
    <m/>
    <m/>
    <s v="не рассматривали"/>
    <s v="протокол-№-08.08.2022"/>
  </r>
  <r>
    <s v="Функциональное направление 8"/>
    <n v="3"/>
    <d v="2022-08-08T00:00:00"/>
    <n v="0"/>
    <s v="не защищена"/>
    <n v="500747"/>
    <x v="640"/>
    <n v="94"/>
    <s v="Подразделение94"/>
    <s v="подразделение_2_уровня94"/>
    <s v="-"/>
    <s v="руководитель_среднего_уровня_1"/>
    <n v="5"/>
    <s v="да"/>
    <d v="2023-01-01T00:00:00"/>
    <d v="2023-01-13T00:00:00"/>
    <s v="внутр. сотр. (учитываем)"/>
    <n v="622"/>
    <s v="Волков Валерий Кириллович"/>
    <n v="500"/>
    <s v="Аксенов Тихон Иванович"/>
    <s v="функциональный_руководитель_1"/>
    <s v="Подразделение94"/>
    <x v="2"/>
    <x v="0"/>
    <n v="1"/>
    <n v="0"/>
    <m/>
    <m/>
    <s v="не рассматривали"/>
    <s v="протокол-№-08.08.2022"/>
  </r>
  <r>
    <s v="Функциональное направление 8"/>
    <n v="3"/>
    <d v="2020-10-08T00:00:00"/>
    <n v="0"/>
    <s v="не защищена"/>
    <n v="500747"/>
    <x v="640"/>
    <n v="94"/>
    <s v="Подразделение94"/>
    <s v="подразделение_2_уровня94"/>
    <s v="-"/>
    <s v="руководитель_среднего_уровня_1"/>
    <n v="5"/>
    <s v="да"/>
    <d v="2023-01-01T00:00:00"/>
    <d v="2023-01-13T00:00:00"/>
    <s v="внутр. сотр. (учитываем)"/>
    <n v="622"/>
    <s v="Волков Валерий Кириллович"/>
    <n v="498"/>
    <s v="Вобликов Валерий Иванович"/>
    <s v="функциональный_руководитель_1"/>
    <s v="Подразделение94"/>
    <x v="2"/>
    <x v="2"/>
    <n v="1"/>
    <n v="0"/>
    <s v="инициатива комитета / руководителя"/>
    <d v="2022-08-08T00:00:00"/>
    <s v="исключение"/>
    <s v="протокол-№-08.08.2022"/>
  </r>
  <r>
    <s v="Функциональное направление 7"/>
    <n v="3"/>
    <d v="2022-11-29T00:00:00"/>
    <n v="1"/>
    <s v="не защищена"/>
    <n v="500717"/>
    <x v="641"/>
    <n v="262"/>
    <s v="Подразделение262"/>
    <s v="подразделение_2_уровня262"/>
    <s v="-"/>
    <s v="ТОП_руководитель_3"/>
    <n v="4"/>
    <s v="нет"/>
    <m/>
    <m/>
    <m/>
    <n v="623"/>
    <s v="Конеев Венедикт Григорьевич"/>
    <n v="1715"/>
    <s v="Тимофеев Афанасий Ефремович"/>
    <s v="руководитель_среднего_уровня_1"/>
    <s v="Подразделение262"/>
    <x v="1"/>
    <x v="0"/>
    <n v="1"/>
    <n v="0"/>
    <m/>
    <m/>
    <s v="не рассматривали"/>
    <s v="протокол-№-29.11.2022"/>
  </r>
  <r>
    <s v="Функциональное направление 7"/>
    <n v="3"/>
    <d v="2022-11-29T00:00:00"/>
    <n v="0"/>
    <s v="не защищена"/>
    <n v="500717"/>
    <x v="641"/>
    <n v="262"/>
    <s v="Подразделение262"/>
    <s v="подразделение_2_уровня262"/>
    <s v="-"/>
    <s v="ТОП_руководитель_3"/>
    <n v="4"/>
    <s v="нет"/>
    <m/>
    <m/>
    <m/>
    <n v="623"/>
    <s v="Конеев Венедикт Григорьевич"/>
    <n v="1716"/>
    <s v="Тимофеев Савелий Богданович"/>
    <s v="функциональный_руководитель_2"/>
    <s v="Подразделение262"/>
    <x v="2"/>
    <x v="0"/>
    <n v="1"/>
    <n v="0"/>
    <m/>
    <m/>
    <s v="не рассматривали"/>
    <s v="протокол-№-29.11.2022"/>
  </r>
  <r>
    <s v="Функциональное направление 7"/>
    <n v="3"/>
    <d v="2022-11-29T00:00:00"/>
    <n v="1"/>
    <s v="не защищена"/>
    <n v="500718"/>
    <x v="642"/>
    <n v="262"/>
    <s v="Подразделение262"/>
    <s v="подразделение_2_уровня262"/>
    <s v="-"/>
    <s v="ТОП_руководитель_3"/>
    <n v="4"/>
    <s v="нет"/>
    <m/>
    <m/>
    <m/>
    <n v="624"/>
    <s v="Конеев Кирилл Григорьевич"/>
    <n v="1717"/>
    <s v="Игнатьев Геннадий Александрович"/>
    <s v="руководитель_среднего_уровня_1"/>
    <s v="Подразделение262"/>
    <x v="2"/>
    <x v="0"/>
    <n v="1"/>
    <n v="0"/>
    <m/>
    <m/>
    <s v="не рассматривали"/>
    <s v="протокол-№-29.11.2022"/>
  </r>
  <r>
    <s v="Функциональное направление 7"/>
    <n v="3"/>
    <d v="2018-10-26T00:00:00"/>
    <n v="1"/>
    <s v="не защищена"/>
    <n v="500723"/>
    <x v="643"/>
    <n v="213"/>
    <s v="Подразделение213"/>
    <s v="подразделение_2_уровня213"/>
    <s v="-"/>
    <s v="руководитель_среднего_уровня_2"/>
    <n v="5"/>
    <s v="да"/>
    <d v="2022-11-02T00:00:00"/>
    <d v="2022-12-01T00:00:00"/>
    <s v="внутр. сотр. (не учитываем)"/>
    <n v="625"/>
    <s v="Романов Кирилл Кириллович"/>
    <n v="1718"/>
    <s v="Кириллов Савелий Ефремович"/>
    <s v="руководитель_среднего_уровня_4"/>
    <s v="Подразделение_др17"/>
    <x v="2"/>
    <x v="2"/>
    <n v="1"/>
    <n v="0"/>
    <s v="прочее (перевод в другое СП / на другое предприятие)"/>
    <d v="2023-05-16T00:00:00"/>
    <s v="понижение"/>
    <s v="протокол-№-21.06.2022"/>
  </r>
  <r>
    <s v="Функциональное направление 7"/>
    <n v="3"/>
    <d v="2018-10-26T00:00:00"/>
    <n v="0"/>
    <s v="не защищена"/>
    <n v="500723"/>
    <x v="643"/>
    <n v="213"/>
    <s v="Подразделение213"/>
    <s v="подразделение_2_уровня213"/>
    <s v="-"/>
    <s v="руководитель_среднего_уровня_2"/>
    <n v="5"/>
    <s v="да"/>
    <d v="2022-11-02T00:00:00"/>
    <d v="2022-12-01T00:00:00"/>
    <s v="внутр. сотр. (не учитываем)"/>
    <n v="625"/>
    <s v="Романов Кирилл Кириллович"/>
    <n v="1719"/>
    <s v="Ветров Геннадий Александрович"/>
    <s v="линейный_руководитель_3"/>
    <s v="Подразделение262"/>
    <x v="1"/>
    <x v="2"/>
    <n v="1"/>
    <n v="0"/>
    <s v="назначение на равнозначную должность"/>
    <d v="2022-09-15T00:00:00"/>
    <s v="повышение"/>
    <s v="протокол-№-21.06.2022"/>
  </r>
  <r>
    <s v="Функциональное направление 8"/>
    <n v="4"/>
    <d v="2022-12-27T00:00:00"/>
    <n v="1"/>
    <s v="не защищена"/>
    <n v="500629"/>
    <x v="644"/>
    <n v="31"/>
    <s v="Подразделение31"/>
    <s v="подразделение_2_уровня31"/>
    <s v="-"/>
    <s v="линейный_руководитель_1"/>
    <n v="7"/>
    <s v="да"/>
    <d v="2023-03-06T00:00:00"/>
    <d v="2023-03-06T00:00:00"/>
    <s v="из резерва (учитываем)"/>
    <n v="626"/>
    <s v="Романов Константин Михайлович"/>
    <n v="1711"/>
    <s v="Дорофеев Виталий Богданович"/>
    <s v="Рабочий"/>
    <s v="Подразделение31"/>
    <x v="2"/>
    <x v="0"/>
    <n v="0"/>
    <n v="0"/>
    <m/>
    <m/>
    <s v="не рассматривали"/>
    <s v="протокол-№-27.12.2022"/>
  </r>
  <r>
    <s v="Функциональное направление 8"/>
    <n v="4"/>
    <d v="2022-12-27T00:00:00"/>
    <n v="0"/>
    <s v="не защищена"/>
    <n v="500629"/>
    <x v="644"/>
    <n v="31"/>
    <s v="Подразделение31"/>
    <s v="подразделение_2_уровня31"/>
    <s v="-"/>
    <s v="линейный_руководитель_1"/>
    <n v="7"/>
    <s v="да"/>
    <d v="2023-03-06T00:00:00"/>
    <d v="2023-03-06T00:00:00"/>
    <s v="из резерва (учитываем)"/>
    <n v="626"/>
    <s v="Романов Константин Михайлович"/>
    <n v="626"/>
    <s v="Романов Константин Михайлович"/>
    <s v="Рабочий"/>
    <s v="Подразделение31"/>
    <x v="2"/>
    <x v="1"/>
    <n v="0"/>
    <n v="1"/>
    <s v="назначение на целевую должность"/>
    <d v="2023-03-06T00:00:00"/>
    <s v="не рассматривали"/>
    <s v="протокол-№-27.12.2022"/>
  </r>
  <r>
    <s v="Функциональное направление 10"/>
    <n v="3"/>
    <d v="2021-05-24T00:00:00"/>
    <n v="1"/>
    <s v="не защищена"/>
    <n v="500001"/>
    <x v="645"/>
    <n v="20"/>
    <s v="Подразделение20"/>
    <s v="подразделение_2_уровня20"/>
    <s v="-"/>
    <s v="ТОП_руководитель_2"/>
    <n v="5"/>
    <s v="нет"/>
    <m/>
    <m/>
    <m/>
    <n v="627"/>
    <s v="Вобликов Константин Романович"/>
    <n v="633"/>
    <s v="Волков Кирилл Тимофеевич"/>
    <s v="функциональный_руководитель_1"/>
    <s v="Подразделение20"/>
    <x v="2"/>
    <x v="0"/>
    <n v="1"/>
    <n v="0"/>
    <m/>
    <m/>
    <s v="не рассматривали"/>
    <s v="протокол-№-24.05.2021"/>
  </r>
  <r>
    <s v="Функциональное направление 10"/>
    <n v="3"/>
    <d v="2022-06-28T00:00:00"/>
    <n v="0"/>
    <s v="не защищена"/>
    <n v="500001"/>
    <x v="645"/>
    <n v="20"/>
    <s v="Подразделение20"/>
    <s v="подразделение_2_уровня20"/>
    <s v="-"/>
    <s v="ТОП_руководитель_2"/>
    <n v="5"/>
    <s v="нет"/>
    <m/>
    <m/>
    <m/>
    <n v="627"/>
    <s v="Вобликов Константин Романович"/>
    <n v="634"/>
    <s v="Романов Григорий Денисович"/>
    <s v="линейный_руководитель_3"/>
    <s v="Подразделение20"/>
    <x v="1"/>
    <x v="0"/>
    <n v="1"/>
    <n v="0"/>
    <m/>
    <m/>
    <m/>
    <s v="протокол-№-28.06.2022"/>
  </r>
  <r>
    <s v="Функциональное направление 10"/>
    <n v="3"/>
    <d v="2019-04-02T00:00:00"/>
    <n v="0"/>
    <s v="не защищена"/>
    <n v="500001"/>
    <x v="645"/>
    <n v="20"/>
    <s v="Подразделение20"/>
    <s v="подразделение_2_уровня20"/>
    <s v="-"/>
    <s v="ТОП_руководитель_2"/>
    <n v="5"/>
    <s v="нет"/>
    <m/>
    <m/>
    <m/>
    <n v="627"/>
    <s v="Вобликов Константин Романович"/>
    <n v="1720"/>
    <s v="Незнамов Кирилл Михайлович"/>
    <s v="функциональный_руководитель_1"/>
    <s v="Подразделение20"/>
    <x v="2"/>
    <x v="2"/>
    <n v="1"/>
    <n v="0"/>
    <s v="увольнение"/>
    <d v="2021-04-06T00:00:00"/>
    <s v="не рассматривали"/>
    <s v="протокол-№-02.04.2019"/>
  </r>
  <r>
    <s v="Функциональное направление 10"/>
    <n v="3"/>
    <d v="2017-12-11T00:00:00"/>
    <n v="0"/>
    <s v="не защищена"/>
    <n v="500001"/>
    <x v="645"/>
    <n v="20"/>
    <s v="Подразделение20"/>
    <s v="подразделение_2_уровня20"/>
    <s v="-"/>
    <s v="ТОП_руководитель_2"/>
    <n v="5"/>
    <s v="нет"/>
    <m/>
    <m/>
    <m/>
    <n v="627"/>
    <s v="Вобликов Константин Романович"/>
    <n v="630"/>
    <s v="Конеев Валерий Александрович"/>
    <s v="руководитель_среднего_уровня_4"/>
    <s v="Подразделение20"/>
    <x v="2"/>
    <x v="2"/>
    <n v="1"/>
    <n v="0"/>
    <s v="инициатива комитета / руководителя"/>
    <d v="2019-04-02T00:00:00"/>
    <s v="исключение"/>
    <s v="протокол-№-02.04.2019"/>
  </r>
  <r>
    <s v="Функциональное направление 10"/>
    <n v="3"/>
    <d v="2020-07-27T00:00:00"/>
    <n v="1"/>
    <s v="не защищена"/>
    <n v="500007"/>
    <x v="646"/>
    <n v="21"/>
    <s v="Подразделение21"/>
    <s v="подразделение_2_уровня21"/>
    <s v="-"/>
    <s v="руководитель_среднего_уровня_4"/>
    <n v="6"/>
    <s v="нет"/>
    <m/>
    <m/>
    <m/>
    <n v="628"/>
    <s v="Вобликов Константин Егорович"/>
    <n v="719"/>
    <s v="Бураков Константин Егорович"/>
    <s v="линейный_руководитель_2"/>
    <s v="Подразделение21"/>
    <x v="2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0"/>
    <s v="не защищена"/>
    <n v="500007"/>
    <x v="646"/>
    <n v="21"/>
    <s v="Подразделение21"/>
    <s v="подразделение_2_уровня21"/>
    <s v="-"/>
    <s v="руководитель_среднего_уровня_4"/>
    <n v="6"/>
    <s v="нет"/>
    <m/>
    <m/>
    <m/>
    <n v="628"/>
    <s v="Вобликов Константин Егорович"/>
    <n v="720"/>
    <s v="Нырков Федот Юрьевич"/>
    <s v="линейный_руководитель_2"/>
    <s v="Подразделение21"/>
    <x v="1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0"/>
    <s v="не защищена"/>
    <n v="500007"/>
    <x v="646"/>
    <n v="21"/>
    <s v="Подразделение21"/>
    <s v="подразделение_2_уровня21"/>
    <s v="-"/>
    <s v="руководитель_среднего_уровня_4"/>
    <n v="6"/>
    <s v="нет"/>
    <m/>
    <m/>
    <m/>
    <n v="628"/>
    <s v="Вобликов Константин Егорович"/>
    <n v="1722"/>
    <s v="Ветров Матвей Ефремович"/>
    <s v="линейный_руководитель_2"/>
    <s v="Подразделение_др6"/>
    <x v="2"/>
    <x v="2"/>
    <n v="1"/>
    <n v="0"/>
    <s v="прочее (перевод в другое СП / на другое предприятие)"/>
    <d v="2022-02-07T00:00:00"/>
    <s v="исключение"/>
    <s v="протокол-№-28.06.2022"/>
  </r>
  <r>
    <s v="Функциональное направление 10"/>
    <n v="3"/>
    <d v="2017-12-11T00:00:00"/>
    <n v="1"/>
    <s v="не защищена"/>
    <n v="500009"/>
    <x v="647"/>
    <n v="21"/>
    <s v="Подразделение21"/>
    <s v="подразделение_2_уровня21"/>
    <s v="-"/>
    <s v="ТОП_руководитель_2"/>
    <n v="5"/>
    <s v="да"/>
    <d v="2018-07-02T00:00:00"/>
    <d v="2018-07-02T00:00:00"/>
    <s v="из резерва (учитываем)"/>
    <n v="629"/>
    <s v="Волков Константин Егорович"/>
    <n v="731"/>
    <s v="Романов Валерий Денисович"/>
    <s v="линейный_руководитель_3"/>
    <s v="Подразделение21"/>
    <x v="1"/>
    <x v="0"/>
    <n v="1"/>
    <n v="0"/>
    <m/>
    <m/>
    <s v="повышение"/>
    <s v="протокол-№-24.05.2021"/>
  </r>
  <r>
    <s v="Функциональное направление 10"/>
    <n v="3"/>
    <d v="2020-06-10T00:00:00"/>
    <n v="0"/>
    <s v="не защищена"/>
    <n v="500009"/>
    <x v="647"/>
    <n v="21"/>
    <s v="Подразделение21"/>
    <s v="подразделение_2_уровня21"/>
    <s v="-"/>
    <s v="ТОП_руководитель_2"/>
    <n v="5"/>
    <s v="да"/>
    <d v="2018-07-02T00:00:00"/>
    <d v="2018-07-02T00:00:00"/>
    <s v="из резерва (учитываем)"/>
    <n v="629"/>
    <s v="Волков Константин Егорович"/>
    <n v="1723"/>
    <s v="Незнамов Савелий Геннадьевич"/>
    <s v="линейный_руководитель_3"/>
    <s v="Подразделение21"/>
    <x v="0"/>
    <x v="2"/>
    <n v="1"/>
    <n v="0"/>
    <s v="увольнение"/>
    <d v="2023-06-24T00:00:00"/>
    <s v="повышение"/>
    <s v="протокол-№-24.05.2021"/>
  </r>
  <r>
    <s v="Функциональное направление 10"/>
    <n v="3"/>
    <d v="2017-12-11T00:00:00"/>
    <n v="0"/>
    <s v="не защищена"/>
    <n v="500009"/>
    <x v="647"/>
    <n v="21"/>
    <s v="Подразделение21"/>
    <s v="подразделение_2_уровня21"/>
    <s v="-"/>
    <s v="ТОП_руководитель_2"/>
    <n v="5"/>
    <s v="да"/>
    <d v="2018-07-02T00:00:00"/>
    <d v="2018-07-02T00:00:00"/>
    <s v="из резерва (учитываем)"/>
    <n v="629"/>
    <s v="Волков Константин Егорович"/>
    <n v="629"/>
    <s v="Волков Константин Егорович"/>
    <s v="линейный_руководитель_3"/>
    <s v="Подразделение21"/>
    <x v="0"/>
    <x v="1"/>
    <n v="1"/>
    <n v="1"/>
    <s v="назначение на целевую должность"/>
    <d v="2018-07-02T00:00:00"/>
    <s v="не рассматривали"/>
    <s v="протокол-№-02.04.2019"/>
  </r>
  <r>
    <s v="Функциональное направление 10"/>
    <n v="3"/>
    <d v="2022-06-28T00:00:00"/>
    <n v="1"/>
    <s v="не защищена"/>
    <n v="500013"/>
    <x v="648"/>
    <n v="20"/>
    <s v="Подразделение20"/>
    <s v="подразделение_2_уровня20"/>
    <s v="-"/>
    <s v="руководитель_среднего_уровня_4"/>
    <n v="6"/>
    <s v="нет"/>
    <m/>
    <m/>
    <m/>
    <n v="630"/>
    <s v="Конеев Валерий Александрович"/>
    <n v="1724"/>
    <s v="Ветров Виталий Ефремович"/>
    <s v="функциональный_руководитель_1"/>
    <s v="Подразделение20"/>
    <x v="1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0"/>
    <s v="не защищена"/>
    <n v="500013"/>
    <x v="648"/>
    <n v="20"/>
    <s v="Подразделение20"/>
    <s v="подразделение_2_уровня20"/>
    <s v="-"/>
    <s v="руководитель_среднего_уровня_4"/>
    <n v="6"/>
    <s v="нет"/>
    <m/>
    <m/>
    <m/>
    <n v="630"/>
    <s v="Конеев Валерий Александрович"/>
    <n v="1725"/>
    <s v="Ветров Виталий Ефремович"/>
    <s v="линейный_руководитель_2"/>
    <s v="Подразделение20"/>
    <x v="0"/>
    <x v="2"/>
    <n v="0"/>
    <n v="0"/>
    <s v="инициатива комитета / руководителя"/>
    <d v="2022-06-28T00:00:00"/>
    <s v="исключение"/>
    <s v="протокол-№-28.06.2022"/>
  </r>
  <r>
    <s v="Функциональное направление 10"/>
    <n v="3"/>
    <d v="2020-06-10T00:00:00"/>
    <n v="1"/>
    <s v="не защищена"/>
    <n v="500015"/>
    <x v="649"/>
    <n v="4"/>
    <s v="Подразделение4"/>
    <s v="подразделение_2_уровня4"/>
    <s v="-"/>
    <s v="ТОП_руководитель_2"/>
    <n v="5"/>
    <s v="нет"/>
    <m/>
    <m/>
    <m/>
    <n v="631"/>
    <s v="Романов Алексей Константинович"/>
    <n v="635"/>
    <s v="Зверев Венедикт Тимофеевич"/>
    <s v="функциональный_руководитель_1"/>
    <s v="Подразделение4"/>
    <x v="1"/>
    <x v="0"/>
    <n v="1"/>
    <n v="0"/>
    <m/>
    <m/>
    <s v="повышение"/>
    <s v="протокол-№-28.06.2022"/>
  </r>
  <r>
    <s v="Функциональное направление 10"/>
    <n v="3"/>
    <d v="2017-12-11T00:00:00"/>
    <n v="0"/>
    <s v="не защищена"/>
    <n v="500015"/>
    <x v="649"/>
    <n v="4"/>
    <s v="Подразделение4"/>
    <s v="подразделение_2_уровня4"/>
    <s v="-"/>
    <s v="ТОП_руководитель_2"/>
    <n v="5"/>
    <s v="нет"/>
    <m/>
    <m/>
    <m/>
    <n v="631"/>
    <s v="Романов Алексей Константинович"/>
    <n v="632"/>
    <s v="Романов Венедикт Владиславович"/>
    <s v="функциональный_руководитель_1"/>
    <s v="Подразделение4"/>
    <x v="1"/>
    <x v="0"/>
    <n v="1"/>
    <n v="0"/>
    <m/>
    <m/>
    <s v="без изменений"/>
    <s v="протокол-№-24.05.2021"/>
  </r>
  <r>
    <s v="Функциональное направление 10"/>
    <n v="3"/>
    <d v="2017-12-11T00:00:00"/>
    <n v="0"/>
    <s v="не защищена"/>
    <n v="500015"/>
    <x v="649"/>
    <n v="4"/>
    <s v="Подразделение4"/>
    <s v="подразделение_2_уровня4"/>
    <s v="-"/>
    <s v="ТОП_руководитель_2"/>
    <n v="5"/>
    <s v="нет"/>
    <m/>
    <m/>
    <m/>
    <n v="631"/>
    <s v="Романов Алексей Константинович"/>
    <n v="1726"/>
    <s v="Игнатьев Юрий Михайлович"/>
    <s v="руководитель_среднего_уровня_1"/>
    <s v="Подразделение_др7"/>
    <x v="1"/>
    <x v="0"/>
    <n v="1"/>
    <n v="0"/>
    <m/>
    <m/>
    <s v="повышение"/>
    <s v="протокол-№-24.05.2021"/>
  </r>
  <r>
    <s v="Функциональное направление 10"/>
    <n v="3"/>
    <d v="2020-07-27T00:00:00"/>
    <n v="1"/>
    <s v="не защищена"/>
    <n v="500123"/>
    <x v="650"/>
    <n v="4"/>
    <s v="Подразделение4"/>
    <s v="подразделение_2_уровня4"/>
    <s v="-"/>
    <s v="функциональный_руководитель_1"/>
    <n v="6"/>
    <s v="нет"/>
    <m/>
    <m/>
    <m/>
    <n v="632"/>
    <s v="Романов Венедикт Владиславович"/>
    <n v="640"/>
    <s v="Русланов Константин Тимофеевич"/>
    <s v="линейный_руководитель_2"/>
    <s v="Подразделение4"/>
    <x v="1"/>
    <x v="0"/>
    <n v="1"/>
    <n v="0"/>
    <m/>
    <m/>
    <s v="повышение"/>
    <s v="протокол-№-28.06.2022"/>
  </r>
  <r>
    <s v="Функциональное направление 10"/>
    <n v="3"/>
    <d v="2022-06-28T00:00:00"/>
    <n v="0"/>
    <s v="не защищена"/>
    <n v="500123"/>
    <x v="650"/>
    <n v="4"/>
    <s v="Подразделение4"/>
    <s v="подразделение_2_уровня4"/>
    <s v="-"/>
    <s v="функциональный_руководитель_1"/>
    <n v="6"/>
    <s v="нет"/>
    <m/>
    <m/>
    <m/>
    <n v="632"/>
    <s v="Романов Венедикт Владиславович"/>
    <n v="1727"/>
    <s v="Игнатьев Виталий Александрович"/>
    <s v="Рабочий"/>
    <s v="Подразделение4"/>
    <x v="2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1"/>
    <s v="не защищена"/>
    <n v="500124"/>
    <x v="651"/>
    <n v="20"/>
    <s v="Подразделение20"/>
    <s v="подразделение_2_уровня20"/>
    <s v="-"/>
    <s v="функциональный_руководитель_1"/>
    <n v="6"/>
    <s v="да"/>
    <d v="2023-04-10T00:00:00"/>
    <m/>
    <m/>
    <s v="вакансия"/>
    <s v="вакансия"/>
    <n v="653"/>
    <s v="Вобликов Федот Романович"/>
    <s v="линейный_руководитель_2"/>
    <s v="Подразделение20"/>
    <x v="0"/>
    <x v="0"/>
    <n v="1"/>
    <n v="0"/>
    <m/>
    <m/>
    <s v="без изменений"/>
    <s v="протокол-№-28.06.2022"/>
  </r>
  <r>
    <s v="Функциональное направление 10"/>
    <n v="4"/>
    <d v="2021-12-08T00:00:00"/>
    <n v="1"/>
    <s v="не защищена"/>
    <n v="500125"/>
    <x v="652"/>
    <n v="20"/>
    <s v="Подразделение20"/>
    <s v="подразделение_2_уровня20"/>
    <s v="подразделение_3_уровня20"/>
    <s v="функциональный_руководитель_1"/>
    <n v="7"/>
    <s v="нет"/>
    <m/>
    <m/>
    <m/>
    <n v="633"/>
    <s v="Волков Кирилл Тимофеевич"/>
    <n v="1728"/>
    <s v="Игнатьев Глеб Ефремович"/>
    <s v="Специалист"/>
    <s v="Подразделение20"/>
    <x v="1"/>
    <x v="0"/>
    <n v="1"/>
    <n v="0"/>
    <m/>
    <m/>
    <s v="без изменений"/>
    <s v="протокол-№-21.10.2022"/>
  </r>
  <r>
    <s v="Функциональное направление 10"/>
    <n v="3"/>
    <d v="2020-07-27T00:00:00"/>
    <n v="1"/>
    <s v="не защищена"/>
    <n v="500126"/>
    <x v="653"/>
    <n v="20"/>
    <s v="Подразделение20"/>
    <s v="подразделение_2_уровня20"/>
    <s v="подразделение_3_уровня20"/>
    <s v="линейный_руководитель_3"/>
    <n v="6"/>
    <s v="нет"/>
    <m/>
    <m/>
    <m/>
    <n v="634"/>
    <s v="Романов Григорий Денисович"/>
    <n v="802"/>
    <s v="Баранкин Степан Тимофеевич"/>
    <s v="руководитель_среднего_уровня_4"/>
    <s v="Подразделение20"/>
    <x v="0"/>
    <x v="0"/>
    <n v="1"/>
    <n v="0"/>
    <m/>
    <m/>
    <s v="повышение"/>
    <s v="протокол-№-28.06.2022"/>
  </r>
  <r>
    <s v="Функциональное направление 10"/>
    <n v="3"/>
    <d v="2021-06-22T00:00:00"/>
    <n v="0"/>
    <s v="не защищена"/>
    <n v="500126"/>
    <x v="653"/>
    <n v="20"/>
    <s v="Подразделение20"/>
    <s v="подразделение_2_уровня20"/>
    <s v="подразделение_3_уровня20"/>
    <s v="линейный_руководитель_3"/>
    <n v="6"/>
    <s v="нет"/>
    <m/>
    <m/>
    <m/>
    <n v="634"/>
    <s v="Романов Григорий Денисович"/>
    <n v="633"/>
    <s v="Волков Кирилл Тимофеевич"/>
    <s v="функциональный_руководитель_1"/>
    <s v="Подразделение20"/>
    <x v="1"/>
    <x v="0"/>
    <n v="1"/>
    <n v="0"/>
    <m/>
    <m/>
    <s v="повышение"/>
    <s v="протокол-№-28.06.2022"/>
  </r>
  <r>
    <s v="Функциональное направление 10"/>
    <n v="3"/>
    <d v="2020-07-27T00:00:00"/>
    <n v="0"/>
    <s v="не защищена"/>
    <n v="500126"/>
    <x v="653"/>
    <n v="20"/>
    <s v="Подразделение20"/>
    <s v="подразделение_2_уровня20"/>
    <s v="подразделение_3_уровня20"/>
    <s v="линейный_руководитель_3"/>
    <n v="6"/>
    <s v="нет"/>
    <m/>
    <m/>
    <m/>
    <n v="634"/>
    <s v="Романов Григорий Денисович"/>
    <n v="1720"/>
    <s v="Незнамов Кирилл Михайлович"/>
    <s v="функциональный_руководитель_1"/>
    <s v="Подразделение20"/>
    <x v="1"/>
    <x v="2"/>
    <n v="1"/>
    <n v="0"/>
    <s v="увольнение"/>
    <d v="2021-04-04T00:00:00"/>
    <s v="не рассматривали"/>
    <s v="протокол-№-27.07.2020"/>
  </r>
  <r>
    <s v="Функциональное направление 10"/>
    <n v="3"/>
    <d v="2022-06-28T00:00:00"/>
    <n v="1"/>
    <s v="не защищена"/>
    <n v="500127"/>
    <x v="654"/>
    <n v="4"/>
    <s v="Подразделение4"/>
    <s v="подразделение_2_уровня4"/>
    <s v="-"/>
    <s v="функциональный_руководитель_1"/>
    <n v="6"/>
    <s v="да"/>
    <d v="2022-03-02T00:00:00"/>
    <d v="2022-04-21T00:00:00"/>
    <s v="из резерва (учитываем)"/>
    <n v="635"/>
    <s v="Зверев Венедикт Тимофеевич"/>
    <n v="646"/>
    <s v="Вобликов Кирилл Александрович"/>
    <s v="линейный_руководитель_2"/>
    <s v="Подразделение4"/>
    <x v="0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0"/>
    <s v="не защищена"/>
    <n v="500127"/>
    <x v="654"/>
    <n v="4"/>
    <s v="Подразделение4"/>
    <s v="подразделение_2_уровня4"/>
    <s v="-"/>
    <s v="функциональный_руководитель_1"/>
    <n v="6"/>
    <s v="да"/>
    <d v="2022-03-02T00:00:00"/>
    <d v="2022-04-21T00:00:00"/>
    <s v="из резерва (учитываем)"/>
    <n v="635"/>
    <s v="Зверев Венедикт Тимофеевич"/>
    <n v="635"/>
    <s v="Зверев Венедикт Тимофеевич"/>
    <s v="функциональный_руководитель_1"/>
    <s v="Подразделение4"/>
    <x v="1"/>
    <x v="1"/>
    <n v="1"/>
    <n v="1"/>
    <s v="назначение на целевую должность"/>
    <d v="2022-04-21T00:00:00"/>
    <s v="не рассматривали"/>
    <s v="протокол-№-27.07.2020"/>
  </r>
  <r>
    <s v="Функциональное направление 10"/>
    <n v="4"/>
    <d v="2020-10-12T00:00:00"/>
    <n v="1"/>
    <s v="не защищена"/>
    <n v="500128"/>
    <x v="655"/>
    <n v="4"/>
    <s v="Подразделение4"/>
    <s v="подразделение_2_уровня4"/>
    <s v="-"/>
    <s v="линейный_руководитель_1"/>
    <n v="7"/>
    <s v="нет"/>
    <m/>
    <m/>
    <m/>
    <n v="636"/>
    <s v="Романов Валерий Григорьевич"/>
    <n v="1730"/>
    <s v="Дмитриев Савелий Михайлович"/>
    <s v="Рабочий"/>
    <s v="Подразделение4"/>
    <x v="0"/>
    <x v="0"/>
    <n v="1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28"/>
    <x v="655"/>
    <n v="4"/>
    <s v="Подразделение4"/>
    <s v="подразделение_2_уровня4"/>
    <s v="-"/>
    <s v="линейный_руководитель_1"/>
    <n v="7"/>
    <s v="нет"/>
    <m/>
    <m/>
    <m/>
    <n v="636"/>
    <s v="Романов Валерий Григорьевич"/>
    <n v="1731"/>
    <s v="Исаев Виталий Михайлович"/>
    <s v="Рабочий"/>
    <s v="Подразделение4"/>
    <x v="0"/>
    <x v="0"/>
    <n v="1"/>
    <n v="0"/>
    <m/>
    <m/>
    <s v="понижение"/>
    <s v="протокол-№-28.10.2022"/>
  </r>
  <r>
    <s v="Функциональное направление 10"/>
    <n v="4"/>
    <d v="2020-10-12T00:00:00"/>
    <n v="0"/>
    <s v="не защищена"/>
    <n v="500128"/>
    <x v="655"/>
    <n v="4"/>
    <s v="Подразделение4"/>
    <s v="подразделение_2_уровня4"/>
    <s v="-"/>
    <s v="линейный_руководитель_1"/>
    <n v="7"/>
    <s v="нет"/>
    <m/>
    <m/>
    <m/>
    <n v="636"/>
    <s v="Романов Валерий Григорьевич"/>
    <n v="1732"/>
    <s v="Ветров Виталий Богданович"/>
    <s v="Рабочий"/>
    <s v="Подразделение4"/>
    <x v="2"/>
    <x v="0"/>
    <n v="1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28"/>
    <x v="655"/>
    <n v="4"/>
    <s v="Подразделение4"/>
    <s v="подразделение_2_уровня4"/>
    <s v="-"/>
    <s v="линейный_руководитель_1"/>
    <n v="7"/>
    <s v="нет"/>
    <m/>
    <m/>
    <m/>
    <n v="636"/>
    <s v="Романов Валерий Григорьевич"/>
    <n v="1733"/>
    <s v="Дмитриев Геннадий Маркович"/>
    <s v="Рабочий"/>
    <s v="Подразделение4"/>
    <x v="2"/>
    <x v="0"/>
    <n v="1"/>
    <n v="0"/>
    <m/>
    <m/>
    <s v="без изменений"/>
    <s v="протокол-№-28.10.2022"/>
  </r>
  <r>
    <s v="Функциональное направление 10"/>
    <n v="4"/>
    <d v="2020-10-12T00:00:00"/>
    <n v="1"/>
    <s v="не защищена"/>
    <n v="500128"/>
    <x v="656"/>
    <n v="4"/>
    <s v="Подразделение4"/>
    <s v="подразделение_2_уровня4"/>
    <s v="-"/>
    <s v="линейный_руководитель_1"/>
    <n v="7"/>
    <s v="нет"/>
    <m/>
    <m/>
    <m/>
    <n v="637"/>
    <s v="Баранкин Тихон Владиславович"/>
    <n v="1730"/>
    <s v="Дмитриев Савелий Михайл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28"/>
    <x v="656"/>
    <n v="4"/>
    <s v="Подразделение4"/>
    <s v="подразделение_2_уровня4"/>
    <s v="-"/>
    <s v="линейный_руководитель_1"/>
    <n v="7"/>
    <s v="нет"/>
    <m/>
    <m/>
    <m/>
    <n v="637"/>
    <s v="Баранкин Тихон Владиславович"/>
    <n v="1731"/>
    <s v="Исаев Виталий Михайлович"/>
    <s v="Рабочий"/>
    <s v="Подразделение4"/>
    <x v="0"/>
    <x v="0"/>
    <n v="0"/>
    <n v="0"/>
    <m/>
    <m/>
    <s v="понижение"/>
    <s v="протокол-№-28.10.2022"/>
  </r>
  <r>
    <s v="Функциональное направление 10"/>
    <n v="4"/>
    <d v="2020-10-12T00:00:00"/>
    <n v="0"/>
    <s v="не защищена"/>
    <n v="500128"/>
    <x v="656"/>
    <n v="4"/>
    <s v="Подразделение4"/>
    <s v="подразделение_2_уровня4"/>
    <s v="-"/>
    <s v="линейный_руководитель_1"/>
    <n v="7"/>
    <s v="нет"/>
    <m/>
    <m/>
    <m/>
    <n v="637"/>
    <s v="Баранкин Тихон Владиславович"/>
    <n v="1732"/>
    <s v="Ветров Виталий Богданович"/>
    <s v="Рабочий"/>
    <s v="Подразделение4"/>
    <x v="2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28"/>
    <x v="656"/>
    <n v="4"/>
    <s v="Подразделение4"/>
    <s v="подразделение_2_уровня4"/>
    <s v="-"/>
    <s v="линейный_руководитель_1"/>
    <n v="7"/>
    <s v="нет"/>
    <m/>
    <m/>
    <m/>
    <n v="637"/>
    <s v="Баранкин Тихон Владиславович"/>
    <n v="1733"/>
    <s v="Дмитриев Геннадий Маркович"/>
    <s v="Рабочий"/>
    <s v="Подразделение4"/>
    <x v="2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1"/>
    <s v="не защищена"/>
    <n v="500128"/>
    <x v="657"/>
    <n v="4"/>
    <s v="Подразделение4"/>
    <s v="подразделение_2_уровня4"/>
    <s v="-"/>
    <s v="линейный_руководитель_1"/>
    <n v="7"/>
    <s v="нет"/>
    <m/>
    <m/>
    <m/>
    <n v="638"/>
    <s v="Волков Кирилл Григорьевич"/>
    <n v="1730"/>
    <s v="Дмитриев Савелий Михайл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28"/>
    <x v="657"/>
    <n v="4"/>
    <s v="Подразделение4"/>
    <s v="подразделение_2_уровня4"/>
    <s v="-"/>
    <s v="линейный_руководитель_1"/>
    <n v="7"/>
    <s v="нет"/>
    <m/>
    <m/>
    <m/>
    <n v="638"/>
    <s v="Волков Кирилл Григорьевич"/>
    <n v="1731"/>
    <s v="Исаев Виталий Михайлович"/>
    <s v="Рабочий"/>
    <s v="Подразделение4"/>
    <x v="0"/>
    <x v="0"/>
    <n v="0"/>
    <n v="0"/>
    <m/>
    <m/>
    <s v="понижение"/>
    <s v="протокол-№-28.10.2022"/>
  </r>
  <r>
    <s v="Функциональное направление 10"/>
    <n v="4"/>
    <d v="2020-10-12T00:00:00"/>
    <n v="0"/>
    <s v="не защищена"/>
    <n v="500128"/>
    <x v="657"/>
    <n v="4"/>
    <s v="Подразделение4"/>
    <s v="подразделение_2_уровня4"/>
    <s v="-"/>
    <s v="линейный_руководитель_1"/>
    <n v="7"/>
    <s v="нет"/>
    <m/>
    <m/>
    <m/>
    <n v="638"/>
    <s v="Волков Кирилл Григорьевич"/>
    <n v="1732"/>
    <s v="Ветров Виталий Богданович"/>
    <s v="Рабочий"/>
    <s v="Подразделение4"/>
    <x v="2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28"/>
    <x v="657"/>
    <n v="4"/>
    <s v="Подразделение4"/>
    <s v="подразделение_2_уровня4"/>
    <s v="-"/>
    <s v="линейный_руководитель_1"/>
    <n v="7"/>
    <s v="нет"/>
    <m/>
    <m/>
    <m/>
    <n v="638"/>
    <s v="Волков Кирилл Григорьевич"/>
    <n v="1733"/>
    <s v="Дмитриев Геннадий Маркович"/>
    <s v="Рабочий"/>
    <s v="Подразделение4"/>
    <x v="2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1"/>
    <s v="не защищена"/>
    <n v="500128"/>
    <x v="658"/>
    <n v="4"/>
    <s v="Подразделение4"/>
    <s v="подразделение_2_уровня4"/>
    <s v="-"/>
    <s v="линейный_руководитель_1"/>
    <n v="7"/>
    <s v="нет"/>
    <m/>
    <m/>
    <m/>
    <n v="639"/>
    <s v="Волков Николай Владимирович"/>
    <n v="1730"/>
    <s v="Дмитриев Савелий Михайл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28"/>
    <x v="658"/>
    <n v="4"/>
    <s v="Подразделение4"/>
    <s v="подразделение_2_уровня4"/>
    <s v="-"/>
    <s v="линейный_руководитель_1"/>
    <n v="7"/>
    <s v="нет"/>
    <m/>
    <m/>
    <m/>
    <n v="639"/>
    <s v="Волков Николай Владимирович"/>
    <n v="1731"/>
    <s v="Исаев Виталий Михайлович"/>
    <s v="Рабочий"/>
    <s v="Подразделение4"/>
    <x v="0"/>
    <x v="0"/>
    <n v="0"/>
    <n v="0"/>
    <m/>
    <m/>
    <s v="понижение"/>
    <s v="протокол-№-28.10.2022"/>
  </r>
  <r>
    <s v="Функциональное направление 10"/>
    <n v="4"/>
    <d v="2020-10-12T00:00:00"/>
    <n v="0"/>
    <s v="не защищена"/>
    <n v="500128"/>
    <x v="658"/>
    <n v="4"/>
    <s v="Подразделение4"/>
    <s v="подразделение_2_уровня4"/>
    <s v="-"/>
    <s v="линейный_руководитель_1"/>
    <n v="7"/>
    <s v="нет"/>
    <m/>
    <m/>
    <m/>
    <n v="639"/>
    <s v="Волков Николай Владимирович"/>
    <n v="1732"/>
    <s v="Ветров Виталий Богданович"/>
    <s v="Рабочий"/>
    <s v="Подразделение4"/>
    <x v="2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28"/>
    <x v="658"/>
    <n v="4"/>
    <s v="Подразделение4"/>
    <s v="подразделение_2_уровня4"/>
    <s v="-"/>
    <s v="линейный_руководитель_1"/>
    <n v="7"/>
    <s v="нет"/>
    <m/>
    <m/>
    <m/>
    <n v="639"/>
    <s v="Волков Николай Владимирович"/>
    <n v="1733"/>
    <s v="Дмитриев Геннадий Маркович"/>
    <s v="Рабочий"/>
    <s v="Подразделение4"/>
    <x v="2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1"/>
    <s v="не защищена"/>
    <n v="500129"/>
    <x v="659"/>
    <n v="4"/>
    <s v="Подразделение4"/>
    <s v="подразделение_2_уровня4"/>
    <s v="-"/>
    <s v="линейный_руководитель_2"/>
    <n v="7"/>
    <s v="нет"/>
    <m/>
    <m/>
    <m/>
    <n v="640"/>
    <s v="Русланов Константин Тимофеевич"/>
    <n v="1731"/>
    <s v="Исаев Виталий Михайлович"/>
    <s v="Рабочий"/>
    <s v="Подразделение4"/>
    <x v="0"/>
    <x v="0"/>
    <n v="1"/>
    <n v="0"/>
    <m/>
    <m/>
    <s v="понижение"/>
    <s v="протокол-№-28.10.2022"/>
  </r>
  <r>
    <s v="Функциональное направление 10"/>
    <n v="4"/>
    <d v="2020-10-12T00:00:00"/>
    <n v="0"/>
    <s v="не защищена"/>
    <n v="500129"/>
    <x v="659"/>
    <n v="4"/>
    <s v="Подразделение4"/>
    <s v="подразделение_2_уровня4"/>
    <s v="-"/>
    <s v="линейный_руководитель_2"/>
    <n v="7"/>
    <s v="нет"/>
    <m/>
    <m/>
    <m/>
    <n v="640"/>
    <s v="Русланов Константин Тимофеевич"/>
    <n v="1734"/>
    <s v="Степанов Юрий Александрович"/>
    <s v="Рабочий"/>
    <s v="Подразделение4"/>
    <x v="0"/>
    <x v="0"/>
    <n v="1"/>
    <n v="0"/>
    <m/>
    <m/>
    <s v="понижение"/>
    <s v="протокол-№-28.10.2022"/>
  </r>
  <r>
    <s v="Функциональное направление 10"/>
    <n v="4"/>
    <d v="2020-10-12T00:00:00"/>
    <n v="1"/>
    <s v="не защищена"/>
    <n v="500130"/>
    <x v="660"/>
    <n v="4"/>
    <s v="Подразделение4"/>
    <s v="подразделение_2_уровня4"/>
    <s v="-"/>
    <s v="линейный_руководитель_1"/>
    <n v="7"/>
    <s v="нет"/>
    <m/>
    <m/>
    <m/>
    <n v="641"/>
    <s v="Романов Тихон Денисович"/>
    <n v="1735"/>
    <s v="Брежнев Геннадий Александр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0"/>
    <n v="4"/>
    <s v="Подразделение4"/>
    <s v="подразделение_2_уровня4"/>
    <s v="-"/>
    <s v="линейный_руководитель_1"/>
    <n v="7"/>
    <s v="нет"/>
    <m/>
    <m/>
    <m/>
    <n v="641"/>
    <s v="Романов Тихон Денисович"/>
    <n v="1736"/>
    <s v="Ветров Афанасий Ефремович"/>
    <s v="Рабочий"/>
    <s v="Подразделение4"/>
    <x v="2"/>
    <x v="0"/>
    <n v="1"/>
    <n v="0"/>
    <m/>
    <m/>
    <s v="понижение"/>
    <s v="протокол-№-28.10.2022"/>
  </r>
  <r>
    <s v="Функциональное направление 10"/>
    <n v="4"/>
    <d v="2020-10-12T00:00:00"/>
    <n v="0"/>
    <s v="не защищена"/>
    <n v="500130"/>
    <x v="660"/>
    <n v="4"/>
    <s v="Подразделение4"/>
    <s v="подразделение_2_уровня4"/>
    <s v="-"/>
    <s v="линейный_руководитель_1"/>
    <n v="7"/>
    <s v="нет"/>
    <m/>
    <m/>
    <m/>
    <n v="641"/>
    <s v="Романов Тихон Денисович"/>
    <n v="1737"/>
    <s v="Игнатьев Савелий Александр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0"/>
    <n v="4"/>
    <s v="Подразделение4"/>
    <s v="подразделение_2_уровня4"/>
    <s v="-"/>
    <s v="линейный_руководитель_1"/>
    <n v="7"/>
    <s v="нет"/>
    <m/>
    <m/>
    <m/>
    <n v="641"/>
    <s v="Романов Тихон Денисович"/>
    <n v="1738"/>
    <s v="Степанов Матвей Александрович"/>
    <s v="Рабочий"/>
    <s v="Подразделение4"/>
    <x v="0"/>
    <x v="0"/>
    <n v="0"/>
    <n v="0"/>
    <m/>
    <m/>
    <s v="повышение"/>
    <s v="протокол-№-28.10.2022"/>
  </r>
  <r>
    <s v="Функциональное направление 10"/>
    <n v="4"/>
    <d v="2020-10-12T00:00:00"/>
    <n v="0"/>
    <s v="не защищена"/>
    <n v="500130"/>
    <x v="660"/>
    <n v="4"/>
    <s v="Подразделение4"/>
    <s v="подразделение_2_уровня4"/>
    <s v="-"/>
    <s v="линейный_руководитель_1"/>
    <n v="7"/>
    <s v="нет"/>
    <m/>
    <m/>
    <m/>
    <n v="641"/>
    <s v="Романов Тихон Денисович"/>
    <n v="1727"/>
    <s v="Игнатьев Виталий Александрович"/>
    <s v="Рабочий"/>
    <s v="Подразделение4"/>
    <x v="1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0"/>
    <n v="4"/>
    <s v="Подразделение4"/>
    <s v="подразделение_2_уровня4"/>
    <s v="-"/>
    <s v="линейный_руководитель_1"/>
    <n v="7"/>
    <s v="нет"/>
    <m/>
    <m/>
    <m/>
    <n v="641"/>
    <s v="Романов Тихон Денисович"/>
    <n v="642"/>
    <s v="Вобликов Венедикт Кириллович"/>
    <s v="Рабочий"/>
    <s v="Подразделение4"/>
    <x v="0"/>
    <x v="2"/>
    <n v="1"/>
    <n v="0"/>
    <s v="назначение на целевую должность"/>
    <d v="2022-04-21T00:00:00"/>
    <s v="не рассматривали"/>
    <s v="протокол-№-12.10.2020"/>
  </r>
  <r>
    <s v="Функциональное направление 10"/>
    <n v="4"/>
    <d v="2020-10-12T00:00:00"/>
    <n v="1"/>
    <s v="не защищена"/>
    <n v="500130"/>
    <x v="661"/>
    <n v="4"/>
    <s v="Подразделение4"/>
    <s v="подразделение_2_уровня4"/>
    <s v="-"/>
    <s v="линейный_руководитель_1"/>
    <n v="7"/>
    <s v="да"/>
    <d v="2022-04-21T00:00:00"/>
    <d v="2022-04-21T00:00:00"/>
    <s v="из резерва (учитываем)"/>
    <n v="642"/>
    <s v="Вобликов Венедикт Кириллович"/>
    <n v="1735"/>
    <s v="Брежнев Геннадий Александр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1"/>
    <n v="4"/>
    <s v="Подразделение4"/>
    <s v="подразделение_2_уровня4"/>
    <s v="-"/>
    <s v="линейный_руководитель_1"/>
    <n v="7"/>
    <s v="да"/>
    <d v="2022-04-21T00:00:00"/>
    <d v="2022-04-21T00:00:00"/>
    <s v="из резерва (учитываем)"/>
    <n v="642"/>
    <s v="Вобликов Венедикт Кириллович"/>
    <n v="1736"/>
    <s v="Ветров Афанасий Ефремович"/>
    <s v="Рабочий"/>
    <s v="Подразделение4"/>
    <x v="2"/>
    <x v="0"/>
    <n v="0"/>
    <n v="0"/>
    <m/>
    <m/>
    <s v="понижение"/>
    <s v="протокол-№-28.10.2022"/>
  </r>
  <r>
    <s v="Функциональное направление 10"/>
    <n v="4"/>
    <d v="2020-10-12T00:00:00"/>
    <n v="0"/>
    <s v="не защищена"/>
    <n v="500130"/>
    <x v="661"/>
    <n v="4"/>
    <s v="Подразделение4"/>
    <s v="подразделение_2_уровня4"/>
    <s v="-"/>
    <s v="линейный_руководитель_1"/>
    <n v="7"/>
    <s v="да"/>
    <d v="2022-04-21T00:00:00"/>
    <d v="2022-04-21T00:00:00"/>
    <s v="из резерва (учитываем)"/>
    <n v="642"/>
    <s v="Вобликов Венедикт Кириллович"/>
    <n v="1737"/>
    <s v="Игнатьев Савелий Александр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1"/>
    <n v="4"/>
    <s v="Подразделение4"/>
    <s v="подразделение_2_уровня4"/>
    <s v="-"/>
    <s v="линейный_руководитель_1"/>
    <n v="7"/>
    <s v="да"/>
    <d v="2022-04-21T00:00:00"/>
    <d v="2022-04-21T00:00:00"/>
    <s v="из резерва (учитываем)"/>
    <n v="642"/>
    <s v="Вобликов Венедикт Кириллович"/>
    <n v="1738"/>
    <s v="Степанов Матвей Александрович"/>
    <s v="Рабочий"/>
    <s v="Подразделение4"/>
    <x v="0"/>
    <x v="0"/>
    <n v="0"/>
    <n v="0"/>
    <m/>
    <m/>
    <s v="повышение"/>
    <s v="протокол-№-28.10.2022"/>
  </r>
  <r>
    <s v="Функциональное направление 10"/>
    <n v="4"/>
    <d v="2020-10-12T00:00:00"/>
    <n v="0"/>
    <s v="не защищена"/>
    <n v="500130"/>
    <x v="661"/>
    <n v="4"/>
    <s v="Подразделение4"/>
    <s v="подразделение_2_уровня4"/>
    <s v="-"/>
    <s v="линейный_руководитель_1"/>
    <n v="7"/>
    <s v="да"/>
    <d v="2022-04-21T00:00:00"/>
    <d v="2022-04-21T00:00:00"/>
    <s v="из резерва (учитываем)"/>
    <n v="642"/>
    <s v="Вобликов Венедикт Кириллович"/>
    <n v="1727"/>
    <s v="Игнатьев Виталий Александрович"/>
    <s v="Рабочий"/>
    <s v="Подразделение4"/>
    <x v="1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1"/>
    <n v="4"/>
    <s v="Подразделение4"/>
    <s v="подразделение_2_уровня4"/>
    <s v="-"/>
    <s v="линейный_руководитель_1"/>
    <n v="7"/>
    <s v="да"/>
    <d v="2022-04-21T00:00:00"/>
    <d v="2022-04-21T00:00:00"/>
    <s v="из резерва (учитываем)"/>
    <n v="642"/>
    <s v="Вобликов Венедикт Кириллович"/>
    <n v="642"/>
    <s v="Вобликов Венедикт Кириллович"/>
    <s v="Рабочий"/>
    <s v="Подразделение4"/>
    <x v="0"/>
    <x v="1"/>
    <n v="0"/>
    <n v="1"/>
    <s v="назначение на целевую должность"/>
    <d v="2022-04-21T00:00:00"/>
    <s v="не рассматривали"/>
    <s v="протокол-№-12.10.2020"/>
  </r>
  <r>
    <s v="Функциональное направление 10"/>
    <n v="4"/>
    <d v="2020-10-12T00:00:00"/>
    <n v="1"/>
    <s v="не защищена"/>
    <n v="500130"/>
    <x v="662"/>
    <n v="4"/>
    <s v="Подразделение4"/>
    <s v="подразделение_2_уровня4"/>
    <s v="-"/>
    <s v="линейный_руководитель_1"/>
    <n v="7"/>
    <s v="нет"/>
    <m/>
    <m/>
    <m/>
    <n v="643"/>
    <s v="Нырков Венедикт Юрьевич"/>
    <n v="1735"/>
    <s v="Брежнев Геннадий Александр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2"/>
    <n v="4"/>
    <s v="Подразделение4"/>
    <s v="подразделение_2_уровня4"/>
    <s v="-"/>
    <s v="линейный_руководитель_1"/>
    <n v="7"/>
    <s v="нет"/>
    <m/>
    <m/>
    <m/>
    <n v="643"/>
    <s v="Нырков Венедикт Юрьевич"/>
    <n v="1736"/>
    <s v="Ветров Афанасий Ефремович"/>
    <s v="Рабочий"/>
    <s v="Подразделение4"/>
    <x v="2"/>
    <x v="0"/>
    <n v="0"/>
    <n v="0"/>
    <m/>
    <m/>
    <s v="понижение"/>
    <s v="протокол-№-28.10.2022"/>
  </r>
  <r>
    <s v="Функциональное направление 10"/>
    <n v="4"/>
    <d v="2020-10-12T00:00:00"/>
    <n v="0"/>
    <s v="не защищена"/>
    <n v="500130"/>
    <x v="662"/>
    <n v="4"/>
    <s v="Подразделение4"/>
    <s v="подразделение_2_уровня4"/>
    <s v="-"/>
    <s v="линейный_руководитель_1"/>
    <n v="7"/>
    <s v="нет"/>
    <m/>
    <m/>
    <m/>
    <n v="643"/>
    <s v="Нырков Венедикт Юрьевич"/>
    <n v="1737"/>
    <s v="Игнатьев Савелий Александр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2"/>
    <n v="4"/>
    <s v="Подразделение4"/>
    <s v="подразделение_2_уровня4"/>
    <s v="-"/>
    <s v="линейный_руководитель_1"/>
    <n v="7"/>
    <s v="нет"/>
    <m/>
    <m/>
    <m/>
    <n v="643"/>
    <s v="Нырков Венедикт Юрьевич"/>
    <n v="1738"/>
    <s v="Степанов Матвей Александрович"/>
    <s v="Рабочий"/>
    <s v="Подразделение4"/>
    <x v="0"/>
    <x v="0"/>
    <n v="0"/>
    <n v="0"/>
    <m/>
    <m/>
    <s v="повышение"/>
    <s v="протокол-№-28.10.2022"/>
  </r>
  <r>
    <s v="Функциональное направление 10"/>
    <n v="4"/>
    <d v="2020-10-12T00:00:00"/>
    <n v="0"/>
    <s v="не защищена"/>
    <n v="500130"/>
    <x v="662"/>
    <n v="4"/>
    <s v="Подразделение4"/>
    <s v="подразделение_2_уровня4"/>
    <s v="-"/>
    <s v="линейный_руководитель_1"/>
    <n v="7"/>
    <s v="нет"/>
    <m/>
    <m/>
    <m/>
    <n v="643"/>
    <s v="Нырков Венедикт Юрьевич"/>
    <n v="1727"/>
    <s v="Игнатьев Виталий Александрович"/>
    <s v="Рабочий"/>
    <s v="Подразделение4"/>
    <x v="1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2"/>
    <n v="4"/>
    <s v="Подразделение4"/>
    <s v="подразделение_2_уровня4"/>
    <s v="-"/>
    <s v="линейный_руководитель_1"/>
    <n v="7"/>
    <s v="нет"/>
    <m/>
    <m/>
    <m/>
    <n v="643"/>
    <s v="Нырков Венедикт Юрьевич"/>
    <n v="642"/>
    <s v="Вобликов Венедикт Кириллович"/>
    <s v="Рабочий"/>
    <s v="Подразделение4"/>
    <x v="0"/>
    <x v="2"/>
    <n v="0"/>
    <n v="0"/>
    <s v="назначение на целевую должность"/>
    <d v="2022-04-21T00:00:00"/>
    <s v="не рассматривали"/>
    <s v="протокол-№-12.10.2020"/>
  </r>
  <r>
    <s v="Функциональное направление 10"/>
    <n v="4"/>
    <d v="2020-10-12T00:00:00"/>
    <n v="1"/>
    <s v="не защищена"/>
    <n v="500130"/>
    <x v="663"/>
    <n v="4"/>
    <s v="Подразделение4"/>
    <s v="подразделение_2_уровня4"/>
    <s v="-"/>
    <s v="линейный_руководитель_1"/>
    <n v="7"/>
    <s v="нет"/>
    <m/>
    <m/>
    <m/>
    <n v="644"/>
    <s v="Русланов Валерий Юрьевич"/>
    <n v="1735"/>
    <s v="Брежнев Геннадий Александр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3"/>
    <n v="4"/>
    <s v="Подразделение4"/>
    <s v="подразделение_2_уровня4"/>
    <s v="-"/>
    <s v="линейный_руководитель_1"/>
    <n v="7"/>
    <s v="нет"/>
    <m/>
    <m/>
    <m/>
    <n v="644"/>
    <s v="Русланов Валерий Юрьевич"/>
    <n v="1736"/>
    <s v="Ветров Афанасий Ефремович"/>
    <s v="Рабочий"/>
    <s v="Подразделение4"/>
    <x v="2"/>
    <x v="0"/>
    <n v="0"/>
    <n v="0"/>
    <m/>
    <m/>
    <s v="понижение"/>
    <s v="протокол-№-28.10.2022"/>
  </r>
  <r>
    <s v="Функциональное направление 10"/>
    <n v="4"/>
    <d v="2020-10-12T00:00:00"/>
    <n v="0"/>
    <s v="не защищена"/>
    <n v="500130"/>
    <x v="663"/>
    <n v="4"/>
    <s v="Подразделение4"/>
    <s v="подразделение_2_уровня4"/>
    <s v="-"/>
    <s v="линейный_руководитель_1"/>
    <n v="7"/>
    <s v="нет"/>
    <m/>
    <m/>
    <m/>
    <n v="644"/>
    <s v="Русланов Валерий Юрьевич"/>
    <n v="1737"/>
    <s v="Игнатьев Савелий Александр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3"/>
    <n v="4"/>
    <s v="Подразделение4"/>
    <s v="подразделение_2_уровня4"/>
    <s v="-"/>
    <s v="линейный_руководитель_1"/>
    <n v="7"/>
    <s v="нет"/>
    <m/>
    <m/>
    <m/>
    <n v="644"/>
    <s v="Русланов Валерий Юрьевич"/>
    <n v="1738"/>
    <s v="Степанов Матвей Александрович"/>
    <s v="Рабочий"/>
    <s v="Подразделение4"/>
    <x v="0"/>
    <x v="0"/>
    <n v="0"/>
    <n v="0"/>
    <m/>
    <m/>
    <s v="повышение"/>
    <s v="протокол-№-28.10.2022"/>
  </r>
  <r>
    <s v="Функциональное направление 10"/>
    <n v="4"/>
    <d v="2020-10-12T00:00:00"/>
    <n v="0"/>
    <s v="не защищена"/>
    <n v="500130"/>
    <x v="663"/>
    <n v="4"/>
    <s v="Подразделение4"/>
    <s v="подразделение_2_уровня4"/>
    <s v="-"/>
    <s v="линейный_руководитель_1"/>
    <n v="7"/>
    <s v="нет"/>
    <m/>
    <m/>
    <m/>
    <n v="644"/>
    <s v="Русланов Валерий Юрьевич"/>
    <n v="1727"/>
    <s v="Игнатьев Виталий Александрович"/>
    <s v="Рабочий"/>
    <s v="Подразделение4"/>
    <x v="1"/>
    <x v="0"/>
    <n v="0"/>
    <n v="0"/>
    <m/>
    <m/>
    <s v="без изменений"/>
    <s v="протокол-№-28.10.2022"/>
  </r>
  <r>
    <s v="Функциональное направление 10"/>
    <n v="4"/>
    <d v="2020-10-12T00:00:00"/>
    <n v="0"/>
    <s v="не защищена"/>
    <n v="500130"/>
    <x v="663"/>
    <n v="4"/>
    <s v="Подразделение4"/>
    <s v="подразделение_2_уровня4"/>
    <s v="-"/>
    <s v="линейный_руководитель_1"/>
    <n v="7"/>
    <s v="нет"/>
    <m/>
    <m/>
    <m/>
    <n v="644"/>
    <s v="Русланов Валерий Юрьевич"/>
    <n v="642"/>
    <s v="Вобликов Венедикт Кириллович"/>
    <s v="Рабочий"/>
    <s v="Подразделение4"/>
    <x v="0"/>
    <x v="2"/>
    <n v="0"/>
    <n v="0"/>
    <s v="назначение на целевую должность"/>
    <d v="2022-04-21T00:00:00"/>
    <s v="не рассматривали"/>
    <s v="протокол-№-12.10.2020"/>
  </r>
  <r>
    <s v="Функциональное направление 10"/>
    <n v="4"/>
    <d v="2022-10-28T00:00:00"/>
    <n v="1"/>
    <s v="не защищена"/>
    <n v="500131"/>
    <x v="664"/>
    <n v="4"/>
    <s v="Подразделение4"/>
    <s v="подразделение_2_уровня4"/>
    <s v="-"/>
    <s v="линейный_руководитель_2"/>
    <n v="7"/>
    <s v="нет"/>
    <m/>
    <m/>
    <m/>
    <n v="645"/>
    <s v="Вобликов Григорий Денисович"/>
    <n v="1739"/>
    <s v="Степанов Константин Ефремович"/>
    <s v="Рабочий"/>
    <s v="Подразделение4"/>
    <x v="2"/>
    <x v="0"/>
    <n v="1"/>
    <n v="0"/>
    <m/>
    <m/>
    <s v="не рассматривали"/>
    <s v="протокол-№-12.10.2020"/>
  </r>
  <r>
    <s v="Функциональное направление 10"/>
    <n v="4"/>
    <d v="2022-10-28T00:00:00"/>
    <n v="0"/>
    <s v="не защищена"/>
    <n v="500131"/>
    <x v="664"/>
    <n v="4"/>
    <s v="Подразделение4"/>
    <s v="подразделение_2_уровня4"/>
    <s v="-"/>
    <s v="линейный_руководитель_2"/>
    <n v="7"/>
    <s v="нет"/>
    <m/>
    <m/>
    <m/>
    <n v="645"/>
    <s v="Вобликов Григорий Денисович"/>
    <n v="1740"/>
    <s v="Незнамов Глеб Александрович"/>
    <s v="Рабочий"/>
    <s v="Подразделение4"/>
    <x v="1"/>
    <x v="0"/>
    <n v="1"/>
    <n v="0"/>
    <m/>
    <m/>
    <s v="без изменений"/>
    <s v="протокол-№-28.10.2022"/>
  </r>
  <r>
    <s v="Функциональное направление 10"/>
    <n v="4"/>
    <d v="2020-10-12T00:00:00"/>
    <n v="1"/>
    <s v="не защищена"/>
    <n v="500132"/>
    <x v="665"/>
    <n v="4"/>
    <s v="Подразделение4"/>
    <s v="подразделение_2_уровня4"/>
    <s v="-"/>
    <s v="линейный_руководитель_2"/>
    <n v="7"/>
    <s v="нет"/>
    <m/>
    <m/>
    <m/>
    <n v="646"/>
    <s v="Вобликов Кирилл Александрович"/>
    <n v="1727"/>
    <s v="Игнатьев Виталий Александрович"/>
    <s v="Рабочий"/>
    <s v="Подразделение4"/>
    <x v="0"/>
    <x v="0"/>
    <n v="0"/>
    <n v="0"/>
    <m/>
    <m/>
    <s v="без изменений"/>
    <s v="протокол-№-28.10.2022"/>
  </r>
  <r>
    <s v="Функциональное направление 10"/>
    <n v="4"/>
    <d v="2022-10-21T00:00:00"/>
    <n v="1"/>
    <s v="не защищена"/>
    <n v="500133"/>
    <x v="666"/>
    <n v="20"/>
    <s v="Подразделение20"/>
    <s v="подразделение_2_уровня20"/>
    <s v="подразделение_3_уровня20"/>
    <s v="линейный_руководитель_2"/>
    <n v="7"/>
    <s v="нет"/>
    <m/>
    <m/>
    <m/>
    <n v="647"/>
    <s v="Бураков Венедикт Романович"/>
    <n v="1741"/>
    <s v="Ветров Савелий Ефремович"/>
    <s v="Рабочий"/>
    <s v="Подразделение20"/>
    <x v="0"/>
    <x v="0"/>
    <n v="1"/>
    <n v="0"/>
    <m/>
    <m/>
    <s v="не рассматривали"/>
    <s v="протокол-№-21.10.2022"/>
  </r>
  <r>
    <s v="Функциональное направление 10"/>
    <n v="4"/>
    <d v="2020-10-12T00:00:00"/>
    <n v="0"/>
    <s v="не защищена"/>
    <n v="500133"/>
    <x v="666"/>
    <n v="20"/>
    <s v="Подразделение20"/>
    <s v="подразделение_2_уровня20"/>
    <s v="подразделение_3_уровня20"/>
    <s v="линейный_руководитель_2"/>
    <n v="7"/>
    <s v="нет"/>
    <m/>
    <m/>
    <m/>
    <n v="647"/>
    <s v="Бураков Венедикт Романович"/>
    <n v="1742"/>
    <s v="Ветров Савелий Ефремович"/>
    <s v="Рабочий"/>
    <s v="Подразделение20"/>
    <x v="0"/>
    <x v="2"/>
    <n v="0"/>
    <n v="0"/>
    <s v="инициатива комитета / руководителя"/>
    <d v="2022-10-21T00:00:00"/>
    <s v="исключение"/>
    <s v="протокол-№-21.10.2022"/>
  </r>
  <r>
    <s v="Функциональное направление 10"/>
    <n v="4"/>
    <d v="2020-10-12T00:00:00"/>
    <n v="1"/>
    <s v="не защищена"/>
    <n v="500134"/>
    <x v="667"/>
    <n v="20"/>
    <s v="Подразделение20"/>
    <s v="подразделение_2_уровня20"/>
    <s v="-"/>
    <s v="линейный_руководитель_1"/>
    <n v="7"/>
    <s v="да"/>
    <d v="2023-04-28T00:00:00"/>
    <d v="2023-05-15T00:00:00"/>
    <s v="внутр. сотр. (учитываем)"/>
    <n v="648"/>
    <s v="Зверев Федот Михайлович"/>
    <n v="1743"/>
    <s v="Ветров Афанасий Александрович"/>
    <s v="Рабочий"/>
    <s v="Подразделение20"/>
    <x v="0"/>
    <x v="0"/>
    <n v="1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7"/>
    <n v="20"/>
    <s v="Подразделение20"/>
    <s v="подразделение_2_уровня20"/>
    <s v="-"/>
    <s v="линейный_руководитель_1"/>
    <n v="7"/>
    <s v="да"/>
    <d v="2023-04-28T00:00:00"/>
    <d v="2023-05-15T00:00:00"/>
    <s v="внутр. сотр. (учитываем)"/>
    <n v="648"/>
    <s v="Зверев Федот Михайлович"/>
    <n v="1744"/>
    <s v="Ветров Савелий Кондратьевич"/>
    <s v="Рабочий"/>
    <s v="Подразделение20"/>
    <x v="0"/>
    <x v="0"/>
    <n v="1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7"/>
    <n v="20"/>
    <s v="Подразделение20"/>
    <s v="подразделение_2_уровня20"/>
    <s v="-"/>
    <s v="линейный_руководитель_1"/>
    <n v="7"/>
    <s v="да"/>
    <d v="2023-04-28T00:00:00"/>
    <d v="2023-05-15T00:00:00"/>
    <s v="внутр. сотр. (учитываем)"/>
    <n v="648"/>
    <s v="Зверев Федот Михайлович"/>
    <n v="1745"/>
    <s v="Тимофеев Афанасий Ефремович"/>
    <s v="Рабочий"/>
    <s v="Подразделение20"/>
    <x v="2"/>
    <x v="0"/>
    <n v="1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7"/>
    <n v="20"/>
    <s v="Подразделение20"/>
    <s v="подразделение_2_уровня20"/>
    <s v="-"/>
    <s v="линейный_руководитель_1"/>
    <n v="7"/>
    <s v="да"/>
    <d v="2023-04-28T00:00:00"/>
    <d v="2023-05-15T00:00:00"/>
    <s v="внутр. сотр. (учитываем)"/>
    <n v="648"/>
    <s v="Зверев Федот Михайлович"/>
    <n v="1746"/>
    <s v="Тимофеев Матвей Ефремович"/>
    <s v="Рабочий"/>
    <s v="Подразделение20"/>
    <x v="2"/>
    <x v="0"/>
    <n v="1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7"/>
    <n v="20"/>
    <s v="Подразделение20"/>
    <s v="подразделение_2_уровня20"/>
    <s v="-"/>
    <s v="линейный_руководитель_1"/>
    <n v="7"/>
    <s v="да"/>
    <d v="2023-04-28T00:00:00"/>
    <d v="2023-05-15T00:00:00"/>
    <s v="внутр. сотр. (учитываем)"/>
    <n v="648"/>
    <s v="Зверев Федот Михайлович"/>
    <n v="1747"/>
    <s v="Тимофеев Виталий Ефремович"/>
    <s v="Рабочий"/>
    <s v="Подразделение20"/>
    <x v="2"/>
    <x v="0"/>
    <n v="1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7"/>
    <n v="20"/>
    <s v="Подразделение20"/>
    <s v="подразделение_2_уровня20"/>
    <s v="-"/>
    <s v="линейный_руководитель_1"/>
    <n v="7"/>
    <s v="да"/>
    <d v="2023-04-28T00:00:00"/>
    <d v="2023-05-15T00:00:00"/>
    <s v="внутр. сотр. (учитываем)"/>
    <n v="648"/>
    <s v="Зверев Федот Михайлович"/>
    <n v="1748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7"/>
    <n v="20"/>
    <s v="Подразделение20"/>
    <s v="подразделение_2_уровня20"/>
    <s v="-"/>
    <s v="линейный_руководитель_1"/>
    <n v="7"/>
    <s v="да"/>
    <d v="2023-04-28T00:00:00"/>
    <d v="2023-05-15T00:00:00"/>
    <s v="внутр. сотр. (учитываем)"/>
    <n v="648"/>
    <s v="Зверев Федот Михайлович"/>
    <n v="1749"/>
    <s v="Ветров Константин Александрович"/>
    <s v="Рабочий"/>
    <s v="Подразделение20"/>
    <x v="0"/>
    <x v="0"/>
    <n v="1"/>
    <n v="0"/>
    <m/>
    <m/>
    <s v="без изменений"/>
    <s v="протокол-№-21.10.2022"/>
  </r>
  <r>
    <s v="Функциональное направление 10"/>
    <n v="4"/>
    <d v="2022-10-21T00:00:00"/>
    <n v="0"/>
    <s v="не защищена"/>
    <n v="500134"/>
    <x v="667"/>
    <n v="20"/>
    <s v="Подразделение20"/>
    <s v="подразделение_2_уровня20"/>
    <s v="-"/>
    <s v="линейный_руководитель_1"/>
    <n v="7"/>
    <s v="да"/>
    <d v="2023-04-28T00:00:00"/>
    <d v="2023-05-15T00:00:00"/>
    <s v="внутр. сотр. (учитываем)"/>
    <n v="648"/>
    <s v="Зверев Федот Михайлович"/>
    <n v="1750"/>
    <s v="Степанов Афанасий Семенович"/>
    <s v="Рабочий"/>
    <s v="Подразделение20"/>
    <x v="0"/>
    <x v="0"/>
    <n v="1"/>
    <n v="0"/>
    <m/>
    <m/>
    <s v="без изменений"/>
    <s v="протокол-№-21.10.2022"/>
  </r>
  <r>
    <s v="Функциональное направление 10"/>
    <n v="4"/>
    <d v="2020-10-12T00:00:00"/>
    <n v="1"/>
    <s v="не защищена"/>
    <n v="500134"/>
    <x v="668"/>
    <n v="20"/>
    <s v="Подразделение20"/>
    <s v="подразделение_2_уровня20"/>
    <s v="-"/>
    <s v="линейный_руководитель_1"/>
    <n v="7"/>
    <s v="да"/>
    <d v="2020-11-01T00:00:00"/>
    <d v="2020-11-01T00:00:00"/>
    <s v="из резерва (учитываем)"/>
    <n v="649"/>
    <s v="Вобликов Федот Григорьевич"/>
    <n v="1743"/>
    <s v="Ветров Афанасий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8"/>
    <n v="20"/>
    <s v="Подразделение20"/>
    <s v="подразделение_2_уровня20"/>
    <s v="-"/>
    <s v="линейный_руководитель_1"/>
    <n v="7"/>
    <s v="да"/>
    <d v="2020-11-01T00:00:00"/>
    <d v="2020-11-01T00:00:00"/>
    <s v="из резерва (учитываем)"/>
    <n v="649"/>
    <s v="Вобликов Федот Григорьевич"/>
    <n v="1744"/>
    <s v="Ветров Савелий Кондратье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8"/>
    <n v="20"/>
    <s v="Подразделение20"/>
    <s v="подразделение_2_уровня20"/>
    <s v="-"/>
    <s v="линейный_руководитель_1"/>
    <n v="7"/>
    <s v="да"/>
    <d v="2020-11-01T00:00:00"/>
    <d v="2020-11-01T00:00:00"/>
    <s v="из резерва (учитываем)"/>
    <n v="649"/>
    <s v="Вобликов Федот Григорьевич"/>
    <n v="1745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8"/>
    <n v="20"/>
    <s v="Подразделение20"/>
    <s v="подразделение_2_уровня20"/>
    <s v="-"/>
    <s v="линейный_руководитель_1"/>
    <n v="7"/>
    <s v="да"/>
    <d v="2020-11-01T00:00:00"/>
    <d v="2020-11-01T00:00:00"/>
    <s v="из резерва (учитываем)"/>
    <n v="649"/>
    <s v="Вобликов Федот Григорьевич"/>
    <n v="1746"/>
    <s v="Тимофеев Матве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8"/>
    <n v="20"/>
    <s v="Подразделение20"/>
    <s v="подразделение_2_уровня20"/>
    <s v="-"/>
    <s v="линейный_руководитель_1"/>
    <n v="7"/>
    <s v="да"/>
    <d v="2020-11-01T00:00:00"/>
    <d v="2020-11-01T00:00:00"/>
    <s v="из резерва (учитываем)"/>
    <n v="649"/>
    <s v="Вобликов Федот Григорьевич"/>
    <n v="1747"/>
    <s v="Тимофеев Вита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8"/>
    <n v="20"/>
    <s v="Подразделение20"/>
    <s v="подразделение_2_уровня20"/>
    <s v="-"/>
    <s v="линейный_руководитель_1"/>
    <n v="7"/>
    <s v="да"/>
    <d v="2020-11-01T00:00:00"/>
    <d v="2020-11-01T00:00:00"/>
    <s v="из резерва (учитываем)"/>
    <n v="649"/>
    <s v="Вобликов Федот Григорьевич"/>
    <n v="1748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8"/>
    <n v="20"/>
    <s v="Подразделение20"/>
    <s v="подразделение_2_уровня20"/>
    <s v="-"/>
    <s v="линейный_руководитель_1"/>
    <n v="7"/>
    <s v="да"/>
    <d v="2020-11-01T00:00:00"/>
    <d v="2020-11-01T00:00:00"/>
    <s v="из резерва (учитываем)"/>
    <n v="649"/>
    <s v="Вобликов Федот Григорьевич"/>
    <n v="1749"/>
    <s v="Ветров Константин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2-10-21T00:00:00"/>
    <n v="0"/>
    <s v="не защищена"/>
    <n v="500134"/>
    <x v="668"/>
    <n v="20"/>
    <s v="Подразделение20"/>
    <s v="подразделение_2_уровня20"/>
    <s v="-"/>
    <s v="линейный_руководитель_1"/>
    <n v="7"/>
    <s v="да"/>
    <d v="2020-11-01T00:00:00"/>
    <d v="2020-11-01T00:00:00"/>
    <s v="из резерва (учитываем)"/>
    <n v="649"/>
    <s v="Вобликов Федот Григорьевич"/>
    <n v="1750"/>
    <s v="Степанов Афанасий Семен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134"/>
    <x v="668"/>
    <n v="20"/>
    <s v="Подразделение20"/>
    <s v="подразделение_2_уровня20"/>
    <s v="-"/>
    <s v="линейный_руководитель_1"/>
    <n v="7"/>
    <s v="да"/>
    <d v="2020-11-01T00:00:00"/>
    <d v="2020-11-01T00:00:00"/>
    <s v="из резерва (учитываем)"/>
    <n v="649"/>
    <s v="Вобликов Федот Григорьевич"/>
    <n v="649"/>
    <s v="Вобликов Федот Григорьевич"/>
    <s v="линейный_руководитель_2"/>
    <s v="Подразделение20"/>
    <x v="1"/>
    <x v="1"/>
    <n v="1"/>
    <n v="1"/>
    <s v="назначение на целевую должность"/>
    <d v="2020-11-01T00:00:00"/>
    <s v="не рассматривали"/>
    <s v="протокол-№-12.10.2020"/>
  </r>
  <r>
    <s v="Функциональное направление 10"/>
    <n v="4"/>
    <d v="2020-10-12T00:00:00"/>
    <n v="1"/>
    <s v="не защищена"/>
    <n v="500134"/>
    <x v="669"/>
    <n v="20"/>
    <s v="Подразделение20"/>
    <s v="подразделение_2_уровня20"/>
    <s v="-"/>
    <s v="линейный_руководитель_1"/>
    <n v="7"/>
    <s v="да"/>
    <d v="2021-09-13T00:00:00"/>
    <d v="2022-02-07T00:00:00"/>
    <s v="из резерва (учитываем)"/>
    <n v="650"/>
    <s v="Волков Тихон Егорович"/>
    <n v="1743"/>
    <s v="Ветров Афанасий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9"/>
    <n v="20"/>
    <s v="Подразделение20"/>
    <s v="подразделение_2_уровня20"/>
    <s v="-"/>
    <s v="линейный_руководитель_1"/>
    <n v="7"/>
    <s v="да"/>
    <d v="2021-09-13T00:00:00"/>
    <d v="2022-02-07T00:00:00"/>
    <s v="из резерва (учитываем)"/>
    <n v="650"/>
    <s v="Волков Тихон Егорович"/>
    <n v="1744"/>
    <s v="Ветров Савелий Кондратье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9"/>
    <n v="20"/>
    <s v="Подразделение20"/>
    <s v="подразделение_2_уровня20"/>
    <s v="-"/>
    <s v="линейный_руководитель_1"/>
    <n v="7"/>
    <s v="да"/>
    <d v="2021-09-13T00:00:00"/>
    <d v="2022-02-07T00:00:00"/>
    <s v="из резерва (учитываем)"/>
    <n v="650"/>
    <s v="Волков Тихон Егорович"/>
    <n v="1745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9"/>
    <n v="20"/>
    <s v="Подразделение20"/>
    <s v="подразделение_2_уровня20"/>
    <s v="-"/>
    <s v="линейный_руководитель_1"/>
    <n v="7"/>
    <s v="да"/>
    <d v="2021-09-13T00:00:00"/>
    <d v="2022-02-07T00:00:00"/>
    <s v="из резерва (учитываем)"/>
    <n v="650"/>
    <s v="Волков Тихон Егорович"/>
    <n v="1746"/>
    <s v="Тимофеев Матве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9"/>
    <n v="20"/>
    <s v="Подразделение20"/>
    <s v="подразделение_2_уровня20"/>
    <s v="-"/>
    <s v="линейный_руководитель_1"/>
    <n v="7"/>
    <s v="да"/>
    <d v="2021-09-13T00:00:00"/>
    <d v="2022-02-07T00:00:00"/>
    <s v="из резерва (учитываем)"/>
    <n v="650"/>
    <s v="Волков Тихон Егорович"/>
    <n v="1747"/>
    <s v="Тимофеев Вита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9"/>
    <n v="20"/>
    <s v="Подразделение20"/>
    <s v="подразделение_2_уровня20"/>
    <s v="-"/>
    <s v="линейный_руководитель_1"/>
    <n v="7"/>
    <s v="да"/>
    <d v="2021-09-13T00:00:00"/>
    <d v="2022-02-07T00:00:00"/>
    <s v="из резерва (учитываем)"/>
    <n v="650"/>
    <s v="Волков Тихон Егорович"/>
    <n v="1748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69"/>
    <n v="20"/>
    <s v="Подразделение20"/>
    <s v="подразделение_2_уровня20"/>
    <s v="-"/>
    <s v="линейный_руководитель_1"/>
    <n v="7"/>
    <s v="да"/>
    <d v="2021-09-13T00:00:00"/>
    <d v="2022-02-07T00:00:00"/>
    <s v="из резерва (учитываем)"/>
    <n v="650"/>
    <s v="Волков Тихон Егорович"/>
    <n v="1749"/>
    <s v="Ветров Константин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2-10-21T00:00:00"/>
    <n v="0"/>
    <s v="не защищена"/>
    <n v="500134"/>
    <x v="669"/>
    <n v="20"/>
    <s v="Подразделение20"/>
    <s v="подразделение_2_уровня20"/>
    <s v="-"/>
    <s v="линейный_руководитель_1"/>
    <n v="7"/>
    <s v="да"/>
    <d v="2021-09-13T00:00:00"/>
    <d v="2022-02-07T00:00:00"/>
    <s v="из резерва (учитываем)"/>
    <n v="650"/>
    <s v="Волков Тихон Егорович"/>
    <n v="1750"/>
    <s v="Степанов Афанасий Семен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12-08T00:00:00"/>
    <n v="0"/>
    <s v="не защищена"/>
    <n v="500134"/>
    <x v="669"/>
    <n v="20"/>
    <s v="Подразделение20"/>
    <s v="подразделение_2_уровня20"/>
    <s v="-"/>
    <s v="линейный_руководитель_1"/>
    <n v="7"/>
    <s v="да"/>
    <d v="2021-09-13T00:00:00"/>
    <d v="2022-02-07T00:00:00"/>
    <s v="из резерва (учитываем)"/>
    <n v="650"/>
    <s v="Волков Тихон Егорович"/>
    <n v="650"/>
    <s v="Волков Тихон Егорович"/>
    <s v="линейный_руководитель_2"/>
    <s v="Подразделение20"/>
    <x v="1"/>
    <x v="1"/>
    <n v="1"/>
    <n v="1"/>
    <s v="назначение на целевую должность"/>
    <d v="2022-02-07T00:00:00"/>
    <s v="не рассматривали"/>
    <s v="протокол-№-08.12.2021"/>
  </r>
  <r>
    <s v="Функциональное направление 10"/>
    <n v="4"/>
    <d v="2020-10-12T00:00:00"/>
    <n v="1"/>
    <s v="не защищена"/>
    <n v="500134"/>
    <x v="670"/>
    <n v="20"/>
    <s v="Подразделение20"/>
    <s v="подразделение_2_уровня20"/>
    <s v="-"/>
    <s v="линейный_руководитель_1"/>
    <n v="7"/>
    <s v="нет"/>
    <m/>
    <m/>
    <m/>
    <n v="651"/>
    <s v="Русланов Венедикт Юрьевич"/>
    <n v="1743"/>
    <s v="Ветров Афанасий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70"/>
    <n v="20"/>
    <s v="Подразделение20"/>
    <s v="подразделение_2_уровня20"/>
    <s v="-"/>
    <s v="линейный_руководитель_1"/>
    <n v="7"/>
    <s v="нет"/>
    <m/>
    <m/>
    <m/>
    <n v="651"/>
    <s v="Русланов Венедикт Юрьевич"/>
    <n v="1744"/>
    <s v="Ветров Савелий Кондратье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70"/>
    <n v="20"/>
    <s v="Подразделение20"/>
    <s v="подразделение_2_уровня20"/>
    <s v="-"/>
    <s v="линейный_руководитель_1"/>
    <n v="7"/>
    <s v="нет"/>
    <m/>
    <m/>
    <m/>
    <n v="651"/>
    <s v="Русланов Венедикт Юрьевич"/>
    <n v="1745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70"/>
    <n v="20"/>
    <s v="Подразделение20"/>
    <s v="подразделение_2_уровня20"/>
    <s v="-"/>
    <s v="линейный_руководитель_1"/>
    <n v="7"/>
    <s v="нет"/>
    <m/>
    <m/>
    <m/>
    <n v="651"/>
    <s v="Русланов Венедикт Юрьевич"/>
    <n v="1746"/>
    <s v="Тимофеев Матве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70"/>
    <n v="20"/>
    <s v="Подразделение20"/>
    <s v="подразделение_2_уровня20"/>
    <s v="-"/>
    <s v="линейный_руководитель_1"/>
    <n v="7"/>
    <s v="нет"/>
    <m/>
    <m/>
    <m/>
    <n v="651"/>
    <s v="Русланов Венедикт Юрьевич"/>
    <n v="1747"/>
    <s v="Тимофеев Вита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70"/>
    <n v="20"/>
    <s v="Подразделение20"/>
    <s v="подразделение_2_уровня20"/>
    <s v="-"/>
    <s v="линейный_руководитель_1"/>
    <n v="7"/>
    <s v="нет"/>
    <m/>
    <m/>
    <m/>
    <n v="651"/>
    <s v="Русланов Венедикт Юрьевич"/>
    <n v="1748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4"/>
    <x v="670"/>
    <n v="20"/>
    <s v="Подразделение20"/>
    <s v="подразделение_2_уровня20"/>
    <s v="-"/>
    <s v="линейный_руководитель_1"/>
    <n v="7"/>
    <s v="нет"/>
    <m/>
    <m/>
    <m/>
    <n v="651"/>
    <s v="Русланов Венедикт Юрьевич"/>
    <n v="1749"/>
    <s v="Ветров Константин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2-10-21T00:00:00"/>
    <n v="0"/>
    <s v="не защищена"/>
    <n v="500134"/>
    <x v="670"/>
    <n v="20"/>
    <s v="Подразделение20"/>
    <s v="подразделение_2_уровня20"/>
    <s v="-"/>
    <s v="линейный_руководитель_1"/>
    <n v="7"/>
    <s v="нет"/>
    <m/>
    <m/>
    <m/>
    <n v="651"/>
    <s v="Русланов Венедикт Юрьевич"/>
    <n v="1750"/>
    <s v="Степанов Афанасий Семен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3"/>
    <d v="2017-12-11T00:00:00"/>
    <n v="1"/>
    <s v="не защищена"/>
    <n v="500017"/>
    <x v="671"/>
    <n v="6"/>
    <s v="Подразделение6"/>
    <s v="подразделение_2_уровня6"/>
    <s v="-"/>
    <s v="ТОП_руководитель_2"/>
    <n v="4"/>
    <s v="да"/>
    <d v="2023-06-01T00:00:00"/>
    <d v="2023-06-01T00:00:00"/>
    <s v="из резерва (учитываем)"/>
    <n v="652"/>
    <s v="Русланов Тихон Владимирович"/>
    <n v="666"/>
    <s v="Волков Николай Григорьевич"/>
    <s v="линейный_руководитель_3"/>
    <s v="Подразделение6"/>
    <x v="1"/>
    <x v="0"/>
    <n v="1"/>
    <n v="0"/>
    <m/>
    <m/>
    <s v="без изменений"/>
    <s v="протокол-№-24.05.2021"/>
  </r>
  <r>
    <s v="Функциональное направление 10"/>
    <n v="3"/>
    <d v="2017-12-11T00:00:00"/>
    <n v="0"/>
    <s v="не защищена"/>
    <n v="500017"/>
    <x v="671"/>
    <n v="6"/>
    <s v="Подразделение6"/>
    <s v="подразделение_2_уровня6"/>
    <s v="-"/>
    <s v="ТОП_руководитель_2"/>
    <n v="4"/>
    <s v="да"/>
    <d v="2023-06-01T00:00:00"/>
    <d v="2023-06-01T00:00:00"/>
    <s v="из резерва (учитываем)"/>
    <n v="652"/>
    <s v="Русланов Тихон Владимирович"/>
    <n v="652"/>
    <s v="Русланов Тихон Владимирович"/>
    <s v="ТОП_руководитель_3"/>
    <s v="Подразделение6"/>
    <x v="0"/>
    <x v="1"/>
    <n v="1"/>
    <n v="1"/>
    <s v="назначение на целевую должность"/>
    <d v="2023-06-01T00:00:00"/>
    <s v="без изменений"/>
    <s v="протокол-№-24.05.2021"/>
  </r>
  <r>
    <s v="Функциональное направление 10"/>
    <n v="3"/>
    <d v="2019-04-02T00:00:00"/>
    <n v="0"/>
    <s v="не защищена"/>
    <n v="500017"/>
    <x v="671"/>
    <n v="6"/>
    <s v="Подразделение6"/>
    <s v="подразделение_2_уровня6"/>
    <s v="-"/>
    <s v="ТОП_руководитель_2"/>
    <n v="4"/>
    <s v="да"/>
    <d v="2023-06-01T00:00:00"/>
    <d v="2023-06-01T00:00:00"/>
    <s v="из резерва (учитываем)"/>
    <n v="652"/>
    <s v="Русланов Тихон Владимирович"/>
    <n v="659"/>
    <s v="Вобликов Еремей Денисович"/>
    <s v="линейный_руководитель_3"/>
    <s v="Подразделение6"/>
    <x v="1"/>
    <x v="0"/>
    <n v="1"/>
    <n v="0"/>
    <m/>
    <m/>
    <s v="повышение"/>
    <s v="протокол-№-24.05.2021"/>
  </r>
  <r>
    <s v="Функциональное направление 10"/>
    <n v="3"/>
    <d v="2020-06-10T00:00:00"/>
    <n v="0"/>
    <s v="не защищена"/>
    <n v="500017"/>
    <x v="671"/>
    <n v="6"/>
    <s v="Подразделение6"/>
    <s v="подразделение_2_уровня6"/>
    <s v="-"/>
    <s v="ТОП_руководитель_2"/>
    <n v="4"/>
    <s v="да"/>
    <d v="2023-06-01T00:00:00"/>
    <d v="2023-06-01T00:00:00"/>
    <s v="из резерва (учитываем)"/>
    <n v="652"/>
    <s v="Русланов Тихон Владимирович"/>
    <n v="669"/>
    <s v="Вобликов Тихон Григорьевич"/>
    <s v="функциональный_руководитель_1"/>
    <s v="Подразделение6"/>
    <x v="1"/>
    <x v="0"/>
    <n v="1"/>
    <n v="0"/>
    <m/>
    <m/>
    <s v="повышение"/>
    <s v="протокол-№-28.06.2022"/>
  </r>
  <r>
    <s v="Функциональное направление 10"/>
    <n v="4"/>
    <d v="2020-10-12T00:00:00"/>
    <n v="1"/>
    <s v="не защищена"/>
    <n v="500135"/>
    <x v="672"/>
    <n v="20"/>
    <s v="Подразделение20"/>
    <s v="подразделение_2_уровня20"/>
    <s v="-"/>
    <s v="линейный_руководитель_1"/>
    <n v="7"/>
    <s v="нет"/>
    <m/>
    <m/>
    <m/>
    <n v="653"/>
    <s v="Вобликов Федот Романович"/>
    <n v="1743"/>
    <s v="Ветров Афанасий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2"/>
    <n v="20"/>
    <s v="Подразделение20"/>
    <s v="подразделение_2_уровня20"/>
    <s v="-"/>
    <s v="линейный_руководитель_1"/>
    <n v="7"/>
    <s v="нет"/>
    <m/>
    <m/>
    <m/>
    <n v="653"/>
    <s v="Вобликов Федот Романович"/>
    <n v="1744"/>
    <s v="Ветров Савелий Кондратье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2"/>
    <n v="20"/>
    <s v="Подразделение20"/>
    <s v="подразделение_2_уровня20"/>
    <s v="-"/>
    <s v="линейный_руководитель_1"/>
    <n v="7"/>
    <s v="нет"/>
    <m/>
    <m/>
    <m/>
    <n v="653"/>
    <s v="Вобликов Федот Романович"/>
    <n v="1745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2"/>
    <n v="20"/>
    <s v="Подразделение20"/>
    <s v="подразделение_2_уровня20"/>
    <s v="-"/>
    <s v="линейный_руководитель_1"/>
    <n v="7"/>
    <s v="нет"/>
    <m/>
    <m/>
    <m/>
    <n v="653"/>
    <s v="Вобликов Федот Романович"/>
    <n v="1746"/>
    <s v="Тимофеев Матве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2"/>
    <n v="20"/>
    <s v="Подразделение20"/>
    <s v="подразделение_2_уровня20"/>
    <s v="-"/>
    <s v="линейный_руководитель_1"/>
    <n v="7"/>
    <s v="нет"/>
    <m/>
    <m/>
    <m/>
    <n v="653"/>
    <s v="Вобликов Федот Романович"/>
    <n v="1747"/>
    <s v="Тимофеев Вита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2"/>
    <n v="20"/>
    <s v="Подразделение20"/>
    <s v="подразделение_2_уровня20"/>
    <s v="-"/>
    <s v="линейный_руководитель_1"/>
    <n v="7"/>
    <s v="нет"/>
    <m/>
    <m/>
    <m/>
    <n v="653"/>
    <s v="Вобликов Федот Романович"/>
    <n v="1748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2"/>
    <n v="20"/>
    <s v="Подразделение20"/>
    <s v="подразделение_2_уровня20"/>
    <s v="-"/>
    <s v="линейный_руководитель_1"/>
    <n v="7"/>
    <s v="нет"/>
    <m/>
    <m/>
    <m/>
    <n v="653"/>
    <s v="Вобликов Федот Романович"/>
    <n v="1749"/>
    <s v="Ветров Константин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2-10-21T00:00:00"/>
    <n v="0"/>
    <s v="не защищена"/>
    <n v="500135"/>
    <x v="672"/>
    <n v="20"/>
    <s v="Подразделение20"/>
    <s v="подразделение_2_уровня20"/>
    <s v="-"/>
    <s v="линейный_руководитель_1"/>
    <n v="7"/>
    <s v="нет"/>
    <m/>
    <m/>
    <m/>
    <n v="653"/>
    <s v="Вобликов Федот Романович"/>
    <n v="1750"/>
    <s v="Степанов Афанасий Семен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1"/>
    <s v="не защищена"/>
    <n v="500135"/>
    <x v="673"/>
    <n v="20"/>
    <s v="Подразделение20"/>
    <s v="подразделение_2_уровня20"/>
    <s v="-"/>
    <s v="линейный_руководитель_1"/>
    <n v="7"/>
    <s v="нет"/>
    <m/>
    <m/>
    <m/>
    <n v="654"/>
    <s v="Бураков Николай Романович"/>
    <n v="1743"/>
    <s v="Ветров Афанасий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3"/>
    <n v="20"/>
    <s v="Подразделение20"/>
    <s v="подразделение_2_уровня20"/>
    <s v="-"/>
    <s v="линейный_руководитель_1"/>
    <n v="7"/>
    <s v="нет"/>
    <m/>
    <m/>
    <m/>
    <n v="654"/>
    <s v="Бураков Николай Романович"/>
    <n v="1744"/>
    <s v="Ветров Савелий Кондратье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3"/>
    <n v="20"/>
    <s v="Подразделение20"/>
    <s v="подразделение_2_уровня20"/>
    <s v="-"/>
    <s v="линейный_руководитель_1"/>
    <n v="7"/>
    <s v="нет"/>
    <m/>
    <m/>
    <m/>
    <n v="654"/>
    <s v="Бураков Николай Романович"/>
    <n v="1745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3"/>
    <n v="20"/>
    <s v="Подразделение20"/>
    <s v="подразделение_2_уровня20"/>
    <s v="-"/>
    <s v="линейный_руководитель_1"/>
    <n v="7"/>
    <s v="нет"/>
    <m/>
    <m/>
    <m/>
    <n v="654"/>
    <s v="Бураков Николай Романович"/>
    <n v="1746"/>
    <s v="Тимофеев Матве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3"/>
    <n v="20"/>
    <s v="Подразделение20"/>
    <s v="подразделение_2_уровня20"/>
    <s v="-"/>
    <s v="линейный_руководитель_1"/>
    <n v="7"/>
    <s v="нет"/>
    <m/>
    <m/>
    <m/>
    <n v="654"/>
    <s v="Бураков Николай Романович"/>
    <n v="1747"/>
    <s v="Тимофеев Вита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3"/>
    <n v="20"/>
    <s v="Подразделение20"/>
    <s v="подразделение_2_уровня20"/>
    <s v="-"/>
    <s v="линейный_руководитель_1"/>
    <n v="7"/>
    <s v="нет"/>
    <m/>
    <m/>
    <m/>
    <n v="654"/>
    <s v="Бураков Николай Романович"/>
    <n v="1748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3"/>
    <n v="20"/>
    <s v="Подразделение20"/>
    <s v="подразделение_2_уровня20"/>
    <s v="-"/>
    <s v="линейный_руководитель_1"/>
    <n v="7"/>
    <s v="нет"/>
    <m/>
    <m/>
    <m/>
    <n v="654"/>
    <s v="Бураков Николай Романович"/>
    <n v="1749"/>
    <s v="Ветров Константин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2-10-21T00:00:00"/>
    <n v="0"/>
    <s v="не защищена"/>
    <n v="500135"/>
    <x v="673"/>
    <n v="20"/>
    <s v="Подразделение20"/>
    <s v="подразделение_2_уровня20"/>
    <s v="-"/>
    <s v="линейный_руководитель_1"/>
    <n v="7"/>
    <s v="нет"/>
    <m/>
    <m/>
    <m/>
    <n v="654"/>
    <s v="Бураков Николай Романович"/>
    <n v="1750"/>
    <s v="Степанов Афанасий Семен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1"/>
    <s v="не защищена"/>
    <n v="500135"/>
    <x v="674"/>
    <n v="20"/>
    <s v="Подразделение20"/>
    <s v="подразделение_2_уровня20"/>
    <s v="-"/>
    <s v="линейный_руководитель_1"/>
    <n v="7"/>
    <s v="нет"/>
    <m/>
    <m/>
    <m/>
    <n v="655"/>
    <s v="Баранкин Емельян Александрович"/>
    <n v="1743"/>
    <s v="Ветров Афанасий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4"/>
    <n v="20"/>
    <s v="Подразделение20"/>
    <s v="подразделение_2_уровня20"/>
    <s v="-"/>
    <s v="линейный_руководитель_1"/>
    <n v="7"/>
    <s v="нет"/>
    <m/>
    <m/>
    <m/>
    <n v="655"/>
    <s v="Баранкин Емельян Александрович"/>
    <n v="1744"/>
    <s v="Ветров Савелий Кондратье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4"/>
    <n v="20"/>
    <s v="Подразделение20"/>
    <s v="подразделение_2_уровня20"/>
    <s v="-"/>
    <s v="линейный_руководитель_1"/>
    <n v="7"/>
    <s v="нет"/>
    <m/>
    <m/>
    <m/>
    <n v="655"/>
    <s v="Баранкин Емельян Александрович"/>
    <n v="1745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4"/>
    <n v="20"/>
    <s v="Подразделение20"/>
    <s v="подразделение_2_уровня20"/>
    <s v="-"/>
    <s v="линейный_руководитель_1"/>
    <n v="7"/>
    <s v="нет"/>
    <m/>
    <m/>
    <m/>
    <n v="655"/>
    <s v="Баранкин Емельян Александрович"/>
    <n v="1746"/>
    <s v="Тимофеев Матве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4"/>
    <n v="20"/>
    <s v="Подразделение20"/>
    <s v="подразделение_2_уровня20"/>
    <s v="-"/>
    <s v="линейный_руководитель_1"/>
    <n v="7"/>
    <s v="нет"/>
    <m/>
    <m/>
    <m/>
    <n v="655"/>
    <s v="Баранкин Емельян Александрович"/>
    <n v="1747"/>
    <s v="Тимофеев Вита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4"/>
    <n v="20"/>
    <s v="Подразделение20"/>
    <s v="подразделение_2_уровня20"/>
    <s v="-"/>
    <s v="линейный_руководитель_1"/>
    <n v="7"/>
    <s v="нет"/>
    <m/>
    <m/>
    <m/>
    <n v="655"/>
    <s v="Баранкин Емельян Александрович"/>
    <n v="1748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4"/>
    <n v="20"/>
    <s v="Подразделение20"/>
    <s v="подразделение_2_уровня20"/>
    <s v="-"/>
    <s v="линейный_руководитель_1"/>
    <n v="7"/>
    <s v="нет"/>
    <m/>
    <m/>
    <m/>
    <n v="655"/>
    <s v="Баранкин Емельян Александрович"/>
    <n v="1749"/>
    <s v="Ветров Константин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2-10-21T00:00:00"/>
    <n v="0"/>
    <s v="не защищена"/>
    <n v="500135"/>
    <x v="674"/>
    <n v="20"/>
    <s v="Подразделение20"/>
    <s v="подразделение_2_уровня20"/>
    <s v="-"/>
    <s v="линейный_руководитель_1"/>
    <n v="7"/>
    <s v="нет"/>
    <m/>
    <m/>
    <m/>
    <n v="655"/>
    <s v="Баранкин Емельян Александрович"/>
    <n v="1750"/>
    <s v="Степанов Афанасий Семен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1"/>
    <s v="не защищена"/>
    <n v="500135"/>
    <x v="675"/>
    <n v="20"/>
    <s v="Подразделение20"/>
    <s v="подразделение_2_уровня20"/>
    <s v="-"/>
    <s v="линейный_руководитель_1"/>
    <n v="7"/>
    <s v="да"/>
    <d v="2021-10-04T00:00:00"/>
    <d v="2021-10-04T00:00:00"/>
    <s v="из резерва (учитываем)"/>
    <n v="656"/>
    <s v="Русланов Кирилл Григорьевич"/>
    <n v="1743"/>
    <s v="Ветров Афанасий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5"/>
    <n v="20"/>
    <s v="Подразделение20"/>
    <s v="подразделение_2_уровня20"/>
    <s v="-"/>
    <s v="линейный_руководитель_1"/>
    <n v="7"/>
    <s v="да"/>
    <d v="2021-10-04T00:00:00"/>
    <d v="2021-10-04T00:00:00"/>
    <s v="из резерва (учитываем)"/>
    <n v="656"/>
    <s v="Русланов Кирилл Григорьевич"/>
    <n v="1744"/>
    <s v="Ветров Савелий Кондратье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5"/>
    <n v="20"/>
    <s v="Подразделение20"/>
    <s v="подразделение_2_уровня20"/>
    <s v="-"/>
    <s v="линейный_руководитель_1"/>
    <n v="7"/>
    <s v="да"/>
    <d v="2021-10-04T00:00:00"/>
    <d v="2021-10-04T00:00:00"/>
    <s v="из резерва (учитываем)"/>
    <n v="656"/>
    <s v="Русланов Кирилл Григорьевич"/>
    <n v="1745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5"/>
    <n v="20"/>
    <s v="Подразделение20"/>
    <s v="подразделение_2_уровня20"/>
    <s v="-"/>
    <s v="линейный_руководитель_1"/>
    <n v="7"/>
    <s v="да"/>
    <d v="2021-10-04T00:00:00"/>
    <d v="2021-10-04T00:00:00"/>
    <s v="из резерва (учитываем)"/>
    <n v="656"/>
    <s v="Русланов Кирилл Григорьевич"/>
    <n v="1746"/>
    <s v="Тимофеев Матве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5"/>
    <n v="20"/>
    <s v="Подразделение20"/>
    <s v="подразделение_2_уровня20"/>
    <s v="-"/>
    <s v="линейный_руководитель_1"/>
    <n v="7"/>
    <s v="да"/>
    <d v="2021-10-04T00:00:00"/>
    <d v="2021-10-04T00:00:00"/>
    <s v="из резерва (учитываем)"/>
    <n v="656"/>
    <s v="Русланов Кирилл Григорьевич"/>
    <n v="1747"/>
    <s v="Тимофеев Вита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5"/>
    <n v="20"/>
    <s v="Подразделение20"/>
    <s v="подразделение_2_уровня20"/>
    <s v="-"/>
    <s v="линейный_руководитель_1"/>
    <n v="7"/>
    <s v="да"/>
    <d v="2021-10-04T00:00:00"/>
    <d v="2021-10-04T00:00:00"/>
    <s v="из резерва (учитываем)"/>
    <n v="656"/>
    <s v="Русланов Кирилл Григорьевич"/>
    <n v="1748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5"/>
    <x v="675"/>
    <n v="20"/>
    <s v="Подразделение20"/>
    <s v="подразделение_2_уровня20"/>
    <s v="-"/>
    <s v="линейный_руководитель_1"/>
    <n v="7"/>
    <s v="да"/>
    <d v="2021-10-04T00:00:00"/>
    <d v="2021-10-04T00:00:00"/>
    <s v="из резерва (учитываем)"/>
    <n v="656"/>
    <s v="Русланов Кирилл Григорьевич"/>
    <n v="1749"/>
    <s v="Ветров Константин Александр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2-10-21T00:00:00"/>
    <n v="0"/>
    <s v="не защищена"/>
    <n v="500135"/>
    <x v="675"/>
    <n v="20"/>
    <s v="Подразделение20"/>
    <s v="подразделение_2_уровня20"/>
    <s v="-"/>
    <s v="линейный_руководитель_1"/>
    <n v="7"/>
    <s v="да"/>
    <d v="2021-10-04T00:00:00"/>
    <d v="2021-10-04T00:00:00"/>
    <s v="из резерва (учитываем)"/>
    <n v="656"/>
    <s v="Русланов Кирилл Григорьевич"/>
    <n v="1750"/>
    <s v="Степанов Афанасий Семен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135"/>
    <x v="675"/>
    <n v="20"/>
    <s v="Подразделение20"/>
    <s v="подразделение_2_уровня20"/>
    <s v="-"/>
    <s v="линейный_руководитель_1"/>
    <n v="7"/>
    <s v="да"/>
    <d v="2021-10-04T00:00:00"/>
    <d v="2021-10-04T00:00:00"/>
    <s v="из резерва (учитываем)"/>
    <n v="656"/>
    <s v="Русланов Кирилл Григорьевич"/>
    <n v="656"/>
    <s v="Русланов Кирилл Григорьевич"/>
    <s v="линейный_руководитель_2"/>
    <s v="Подразделение20"/>
    <x v="1"/>
    <x v="1"/>
    <n v="1"/>
    <n v="1"/>
    <s v="назначение на целевую должность"/>
    <d v="2021-10-04T00:00:00"/>
    <s v="не рассматривали"/>
    <s v="протокол-№-12.10.2020"/>
  </r>
  <r>
    <s v="Функциональное направление 10"/>
    <n v="4"/>
    <d v="2020-10-12T00:00:00"/>
    <n v="1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656"/>
    <s v="Русланов Кирилл Григорьевич"/>
    <s v="линейный_руководитель_2"/>
    <s v="Подразделение20"/>
    <x v="1"/>
    <x v="0"/>
    <n v="1"/>
    <n v="0"/>
    <m/>
    <m/>
    <s v="не рассматривали"/>
    <s v="протокол-№-12.10.2020"/>
  </r>
  <r>
    <s v="Функциональное направление 10"/>
    <n v="4"/>
    <d v="2020-10-12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1743"/>
    <s v="Ветров Афанасий Александрович"/>
    <s v="Рабочий"/>
    <s v="Подразделение20"/>
    <x v="0"/>
    <x v="0"/>
    <n v="1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649"/>
    <s v="Вобликов Федот Григорьевич"/>
    <s v="линейный_руководитель_2"/>
    <s v="Подразделение20"/>
    <x v="1"/>
    <x v="0"/>
    <n v="1"/>
    <n v="0"/>
    <m/>
    <m/>
    <s v="не рассматривали"/>
    <s v="протокол-№-12.10.2020"/>
  </r>
  <r>
    <s v="Функциональное направление 10"/>
    <n v="4"/>
    <d v="2021-09-28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1744"/>
    <s v="Ветров Савелий Кондратьевич"/>
    <s v="Рабочий"/>
    <s v="Подразделение20"/>
    <x v="0"/>
    <x v="0"/>
    <n v="1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1745"/>
    <s v="Тимофеев Афанасий Ефремович"/>
    <s v="Рабочий"/>
    <s v="Подразделение20"/>
    <x v="2"/>
    <x v="0"/>
    <n v="1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1746"/>
    <s v="Тимофеев Матве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1747"/>
    <s v="Тимофеев Виталий Ефремович"/>
    <s v="Рабочий"/>
    <s v="Подразделение20"/>
    <x v="2"/>
    <x v="0"/>
    <n v="1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1748"/>
    <s v="Тимофеев Афанас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1749"/>
    <s v="Ветров Константин Александрович"/>
    <s v="Рабочий"/>
    <s v="Подразделение20"/>
    <x v="0"/>
    <x v="0"/>
    <n v="1"/>
    <n v="0"/>
    <m/>
    <m/>
    <s v="без изменений"/>
    <s v="протокол-№-21.10.2022"/>
  </r>
  <r>
    <s v="Функциональное направление 10"/>
    <n v="4"/>
    <d v="2021-12-08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650"/>
    <s v="Волков Тихон Егорович"/>
    <s v="линейный_руководитель_2"/>
    <s v="Подразделение20"/>
    <x v="1"/>
    <x v="0"/>
    <n v="1"/>
    <n v="0"/>
    <m/>
    <m/>
    <s v="не рассматривали"/>
    <s v="протокол-№-08.12.2021"/>
  </r>
  <r>
    <s v="Функциональное направление 10"/>
    <n v="4"/>
    <d v="2022-10-21T00:00:00"/>
    <n v="0"/>
    <s v="не защищена"/>
    <n v="500136"/>
    <x v="676"/>
    <n v="20"/>
    <s v="Подразделение20"/>
    <s v="подразделение_2_уровня20"/>
    <s v="-"/>
    <s v="линейный_руководитель_2"/>
    <n v="7"/>
    <s v="нет"/>
    <m/>
    <m/>
    <m/>
    <n v="657"/>
    <s v="Пальчиков Николай Константинович"/>
    <n v="1750"/>
    <s v="Степанов Афанасий Семенович"/>
    <s v="Рабочий"/>
    <s v="Подразделение20"/>
    <x v="0"/>
    <x v="0"/>
    <n v="1"/>
    <n v="0"/>
    <m/>
    <m/>
    <s v="без изменений"/>
    <s v="протокол-№-21.10.2022"/>
  </r>
  <r>
    <s v="Функциональное направление 10"/>
    <n v="4"/>
    <d v="2020-10-12T00:00:00"/>
    <n v="1"/>
    <s v="не защищена"/>
    <n v="500137"/>
    <x v="677"/>
    <n v="20"/>
    <s v="Подразделение20"/>
    <s v="подразделение_2_уровня20"/>
    <s v="подразделение_3_уровня20"/>
    <s v="линейный_руководитель_2"/>
    <n v="7"/>
    <s v="нет"/>
    <m/>
    <m/>
    <m/>
    <n v="658"/>
    <s v="Зверев Тихон Александрович"/>
    <n v="1750"/>
    <s v="Степанов Афанасий Семенович"/>
    <s v="Рабочий"/>
    <s v="Подразделение20"/>
    <x v="0"/>
    <x v="0"/>
    <n v="0"/>
    <n v="0"/>
    <m/>
    <m/>
    <s v="без изменений"/>
    <s v="протокол-№-21.10.2022"/>
  </r>
  <r>
    <s v="Функциональное направление 10"/>
    <n v="3"/>
    <d v="2018-12-24T00:00:00"/>
    <n v="1"/>
    <s v="не защищена"/>
    <n v="500298"/>
    <x v="678"/>
    <n v="6"/>
    <s v="Подразделение6"/>
    <s v="подразделение_2_уровня6"/>
    <s v="-"/>
    <s v="линейный_руководитель_3"/>
    <n v="5"/>
    <s v="нет"/>
    <m/>
    <m/>
    <m/>
    <n v="659"/>
    <s v="Вобликов Еремей Денисович"/>
    <n v="669"/>
    <s v="Вобликов Тихон Григорьевич"/>
    <s v="функциональный_руководитель_1"/>
    <s v="Подразделение6"/>
    <x v="1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298"/>
    <x v="678"/>
    <n v="6"/>
    <s v="Подразделение6"/>
    <s v="подразделение_2_уровня6"/>
    <s v="-"/>
    <s v="линейный_руководитель_3"/>
    <n v="5"/>
    <s v="нет"/>
    <m/>
    <m/>
    <m/>
    <n v="659"/>
    <s v="Вобликов Еремей Денисович"/>
    <n v="668"/>
    <s v="Бураков Федот Денисович"/>
    <s v="функциональный_руководитель_1"/>
    <s v="Подразделение6"/>
    <x v="0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298"/>
    <x v="678"/>
    <n v="6"/>
    <s v="Подразделение6"/>
    <s v="подразделение_2_уровня6"/>
    <s v="-"/>
    <s v="линейный_руководитель_3"/>
    <n v="5"/>
    <s v="нет"/>
    <m/>
    <m/>
    <m/>
    <n v="659"/>
    <s v="Вобликов Еремей Денисович"/>
    <n v="1753"/>
    <s v="Игнатьев Юрий Александрович"/>
    <s v="руководитель_среднего_уровня_3"/>
    <s v="Подразделение6"/>
    <x v="2"/>
    <x v="2"/>
    <n v="1"/>
    <n v="0"/>
    <s v="увольнение"/>
    <d v="2020-02-26T00:00:00"/>
    <s v="не рассматривали"/>
    <s v="протокол-№-24.12.2018"/>
  </r>
  <r>
    <s v="Функциональное направление 10"/>
    <n v="3"/>
    <d v="2018-12-24T00:00:00"/>
    <n v="0"/>
    <s v="не защищена"/>
    <n v="500298"/>
    <x v="678"/>
    <n v="6"/>
    <s v="Подразделение6"/>
    <s v="подразделение_2_уровня6"/>
    <s v="-"/>
    <s v="линейный_руководитель_3"/>
    <n v="5"/>
    <s v="нет"/>
    <m/>
    <m/>
    <m/>
    <n v="659"/>
    <s v="Вобликов Еремей Денисович"/>
    <n v="1754"/>
    <s v="Тимофеев Юрий Александрович"/>
    <s v="функциональный_руководитель_1"/>
    <s v="Подразделение217"/>
    <x v="1"/>
    <x v="2"/>
    <n v="1"/>
    <n v="0"/>
    <s v="прочее (перевод в другое СП / на другое предприятие)"/>
    <d v="2022-06-02T00:00:00"/>
    <s v="повышение"/>
    <s v="протокол-№-28.06.2022"/>
  </r>
  <r>
    <s v="Функциональное направление 10"/>
    <n v="4"/>
    <d v="2020-10-05T00:00:00"/>
    <n v="1"/>
    <s v="не защищена"/>
    <n v="500299"/>
    <x v="679"/>
    <n v="6"/>
    <s v="Подразделение6"/>
    <s v="подразделение_2_уровня6"/>
    <s v="-"/>
    <s v="руководитель_среднего_уровня_3"/>
    <n v="6"/>
    <s v="нет"/>
    <m/>
    <m/>
    <m/>
    <n v="660"/>
    <s v="Пальчиков Федот Юрьевич"/>
    <n v="1755"/>
    <s v="Исаев Савелий Ефремович"/>
    <s v="Специалист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299"/>
    <x v="679"/>
    <n v="6"/>
    <s v="Подразделение6"/>
    <s v="подразделение_2_уровня6"/>
    <s v="-"/>
    <s v="руководитель_среднего_уровня_3"/>
    <n v="6"/>
    <s v="нет"/>
    <m/>
    <m/>
    <m/>
    <n v="660"/>
    <s v="Пальчиков Федот Юрьевич"/>
    <n v="674"/>
    <s v="Пальчиков Кирилл Юрьевич"/>
    <s v="линейный_руководитель_2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299"/>
    <x v="680"/>
    <n v="6"/>
    <s v="Подразделение6"/>
    <s v="подразделение_2_уровня6"/>
    <s v="-"/>
    <s v="руководитель_среднего_уровня_3"/>
    <n v="6"/>
    <s v="нет"/>
    <m/>
    <m/>
    <m/>
    <n v="661"/>
    <s v="Цветков Алексей Григорьевич"/>
    <n v="1755"/>
    <s v="Исаев Савелий Ефремович"/>
    <s v="Специалист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299"/>
    <x v="680"/>
    <n v="6"/>
    <s v="Подразделение6"/>
    <s v="подразделение_2_уровня6"/>
    <s v="-"/>
    <s v="руководитель_среднего_уровня_3"/>
    <n v="6"/>
    <s v="нет"/>
    <m/>
    <m/>
    <m/>
    <n v="661"/>
    <s v="Цветков Алексей Григорьевич"/>
    <n v="674"/>
    <s v="Пальчиков Кирилл Юрьевич"/>
    <s v="линейный_руководитель_2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299"/>
    <x v="681"/>
    <n v="6"/>
    <s v="Подразделение6"/>
    <s v="подразделение_2_уровня6"/>
    <s v="-"/>
    <s v="руководитель_среднего_уровня_3"/>
    <n v="6"/>
    <s v="нет"/>
    <m/>
    <m/>
    <m/>
    <n v="662"/>
    <s v="Русланов Константин Иванович"/>
    <n v="1755"/>
    <s v="Исаев Савелий Ефремович"/>
    <s v="Специалист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299"/>
    <x v="681"/>
    <n v="6"/>
    <s v="Подразделение6"/>
    <s v="подразделение_2_уровня6"/>
    <s v="-"/>
    <s v="руководитель_среднего_уровня_3"/>
    <n v="6"/>
    <s v="нет"/>
    <m/>
    <m/>
    <m/>
    <n v="662"/>
    <s v="Русланов Константин Иванович"/>
    <n v="674"/>
    <s v="Пальчиков Кирилл Юрьевич"/>
    <s v="линейный_руководитель_2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299"/>
    <x v="682"/>
    <n v="6"/>
    <s v="Подразделение6"/>
    <s v="подразделение_2_уровня6"/>
    <s v="-"/>
    <s v="руководитель_среднего_уровня_3"/>
    <n v="6"/>
    <s v="нет"/>
    <m/>
    <m/>
    <m/>
    <n v="663"/>
    <s v="Цветков Константин Максимович"/>
    <n v="1755"/>
    <s v="Исаев Савелий Ефремович"/>
    <s v="Специалист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299"/>
    <x v="682"/>
    <n v="6"/>
    <s v="Подразделение6"/>
    <s v="подразделение_2_уровня6"/>
    <s v="-"/>
    <s v="руководитель_среднего_уровня_3"/>
    <n v="6"/>
    <s v="нет"/>
    <m/>
    <m/>
    <m/>
    <n v="663"/>
    <s v="Цветков Константин Максимович"/>
    <n v="674"/>
    <s v="Пальчиков Кирилл Юрьевич"/>
    <s v="линейный_руководитель_2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01"/>
    <x v="683"/>
    <n v="6"/>
    <s v="Подразделение6"/>
    <s v="подразделение_2_уровня6"/>
    <s v="-"/>
    <s v="линейный_руководитель_2"/>
    <n v="6"/>
    <s v="да"/>
    <d v="2021-05-11T00:00:00"/>
    <d v="2021-12-23T00:00:00"/>
    <s v="из резерва (учитываем)"/>
    <n v="664"/>
    <s v="Русланов Николай Григорьевич"/>
    <n v="1756"/>
    <s v="Незнамов Виталий Александр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01"/>
    <x v="683"/>
    <n v="6"/>
    <s v="Подразделение6"/>
    <s v="подразделение_2_уровня6"/>
    <s v="-"/>
    <s v="линейный_руководитель_2"/>
    <n v="6"/>
    <s v="да"/>
    <d v="2021-05-11T00:00:00"/>
    <d v="2021-12-23T00:00:00"/>
    <s v="из резерва (учитываем)"/>
    <n v="664"/>
    <s v="Русланов Николай Григорьевич"/>
    <n v="1757"/>
    <s v="Незнамов Геннадий Геннадьевич"/>
    <s v="Рабочий"/>
    <s v="Подразделение6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0-10-05T00:00:00"/>
    <n v="0"/>
    <s v="не защищена"/>
    <n v="500301"/>
    <x v="683"/>
    <n v="6"/>
    <s v="Подразделение6"/>
    <s v="подразделение_2_уровня6"/>
    <s v="-"/>
    <s v="линейный_руководитель_2"/>
    <n v="6"/>
    <s v="да"/>
    <d v="2021-05-11T00:00:00"/>
    <d v="2021-12-23T00:00:00"/>
    <s v="из резерва (учитываем)"/>
    <n v="664"/>
    <s v="Русланов Николай Григорьевич"/>
    <n v="664"/>
    <s v="Русланов Николай Григорьевич"/>
    <s v="Рабочий"/>
    <s v="Подразделение6"/>
    <x v="0"/>
    <x v="1"/>
    <n v="1"/>
    <n v="1"/>
    <s v="назначение на целевую должность"/>
    <d v="2021-12-23T00:00:00"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01"/>
    <x v="683"/>
    <n v="6"/>
    <s v="Подразделение6"/>
    <s v="подразделение_2_уровня6"/>
    <s v="-"/>
    <s v="линейный_руководитель_2"/>
    <n v="6"/>
    <s v="да"/>
    <d v="2021-05-11T00:00:00"/>
    <d v="2021-12-23T00:00:00"/>
    <s v="из резерва (учитываем)"/>
    <n v="664"/>
    <s v="Русланов Николай Григорьевич"/>
    <n v="1758"/>
    <s v="Ветров Виталий Ефремович"/>
    <s v="Рабочий"/>
    <s v="Подразделение6"/>
    <x v="2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3"/>
    <d v="2020-07-27T00:00:00"/>
    <n v="1"/>
    <s v="не защищена"/>
    <n v="500302"/>
    <x v="684"/>
    <n v="6"/>
    <s v="Подразделение6"/>
    <s v="подразделение_2_уровня6"/>
    <s v="-"/>
    <s v="функциональный_руководитель_1"/>
    <n v="6"/>
    <s v="нет"/>
    <m/>
    <m/>
    <m/>
    <n v="665"/>
    <s v="Волков Николай Кириллович"/>
    <n v="1759"/>
    <s v="Ветров Виталий Александрович"/>
    <s v="Рабочий"/>
    <s v="Подразделение6"/>
    <x v="1"/>
    <x v="0"/>
    <n v="1"/>
    <n v="0"/>
    <m/>
    <m/>
    <s v="без изменений"/>
    <s v="протокол-№-28.06.2022"/>
  </r>
  <r>
    <s v="Функциональное направление 10"/>
    <n v="3"/>
    <d v="2020-12-11T00:00:00"/>
    <n v="0"/>
    <s v="не защищена"/>
    <n v="500302"/>
    <x v="684"/>
    <n v="6"/>
    <s v="Подразделение6"/>
    <s v="подразделение_2_уровня6"/>
    <s v="-"/>
    <s v="функциональный_руководитель_1"/>
    <n v="6"/>
    <s v="нет"/>
    <m/>
    <m/>
    <m/>
    <n v="665"/>
    <s v="Волков Николай Кириллович"/>
    <n v="821"/>
    <s v="Пальчиков Николай Егорович"/>
    <s v="руководитель_среднего_уровня_4"/>
    <s v="Подразделение6"/>
    <x v="1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1"/>
    <s v="не защищена"/>
    <n v="500303"/>
    <x v="685"/>
    <n v="6"/>
    <s v="Подразделение6"/>
    <s v="подразделение_2_уровня6"/>
    <s v="-"/>
    <s v="линейный_руководитель_3"/>
    <n v="5"/>
    <s v="нет"/>
    <m/>
    <m/>
    <m/>
    <n v="666"/>
    <s v="Волков Николай Григорьевич"/>
    <n v="669"/>
    <s v="Вобликов Тихон Григорьевич"/>
    <s v="функциональный_руководитель_1"/>
    <s v="Подразделение6"/>
    <x v="1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303"/>
    <x v="685"/>
    <n v="6"/>
    <s v="Подразделение6"/>
    <s v="подразделение_2_уровня6"/>
    <s v="-"/>
    <s v="линейный_руководитель_3"/>
    <n v="5"/>
    <s v="нет"/>
    <m/>
    <m/>
    <m/>
    <n v="666"/>
    <s v="Волков Николай Григорьевич"/>
    <n v="670"/>
    <s v="Вобликов Кирилл Тимофеевич"/>
    <s v="функциональный_руководитель_3"/>
    <s v="Подразделение6"/>
    <x v="1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303"/>
    <x v="685"/>
    <n v="6"/>
    <s v="Подразделение6"/>
    <s v="подразделение_2_уровня6"/>
    <s v="-"/>
    <s v="линейный_руководитель_3"/>
    <n v="5"/>
    <s v="нет"/>
    <m/>
    <m/>
    <m/>
    <n v="666"/>
    <s v="Волков Николай Григорьевич"/>
    <n v="1760"/>
    <s v="Кириллов Юрий Ефремович"/>
    <s v="Специалист"/>
    <s v="Подразделение_др7"/>
    <x v="0"/>
    <x v="2"/>
    <n v="1"/>
    <n v="0"/>
    <s v="прочее (перевод в другое СП / на другое предприятие)"/>
    <d v="2023-04-07T00:00:00"/>
    <s v="без изменений"/>
    <s v="протокол-№-28.06.2022"/>
  </r>
  <r>
    <s v="Функциональное направление 10"/>
    <n v="3"/>
    <d v="2020-12-11T00:00:00"/>
    <n v="1"/>
    <s v="не защищена"/>
    <n v="500304"/>
    <x v="686"/>
    <n v="6"/>
    <s v="Подразделение6"/>
    <s v="подразделение_2_уровня6"/>
    <s v="-"/>
    <s v="функциональный_руководитель_1"/>
    <n v="6"/>
    <s v="да"/>
    <d v="2022-06-02T00:00:00"/>
    <d v="2023-02-01T00:00:00"/>
    <s v="из резерва (учитываем)"/>
    <n v="667"/>
    <s v="Русланов Венедикт Григорьевич"/>
    <n v="667"/>
    <s v="Русланов Венедикт Григорьевич"/>
    <s v="руководитель_среднего_уровня_4"/>
    <s v="Подразделение6"/>
    <x v="1"/>
    <x v="1"/>
    <n v="1"/>
    <n v="1"/>
    <s v="назначение на целевую должность"/>
    <d v="2023-02-01T00:00:00"/>
    <s v="повышение"/>
    <s v="протокол-№-28.06.2022"/>
  </r>
  <r>
    <s v="Функциональное направление 10"/>
    <n v="3"/>
    <d v="2020-07-27T00:00:00"/>
    <n v="0"/>
    <s v="не защищена"/>
    <n v="500304"/>
    <x v="686"/>
    <n v="6"/>
    <s v="Подразделение6"/>
    <s v="подразделение_2_уровня6"/>
    <s v="-"/>
    <s v="функциональный_руководитель_1"/>
    <n v="6"/>
    <s v="да"/>
    <d v="2022-06-02T00:00:00"/>
    <d v="2023-02-01T00:00:00"/>
    <s v="из резерва (учитываем)"/>
    <n v="667"/>
    <s v="Русланов Венедикт Григорьевич"/>
    <n v="816"/>
    <s v="Ефремов Николай Юрьевич"/>
    <s v="линейный_руководитель_2"/>
    <s v="Подразделение6"/>
    <x v="0"/>
    <x v="2"/>
    <n v="1"/>
    <n v="0"/>
    <s v="самоотвод"/>
    <d v="2020-10-01T00:00:00"/>
    <s v="не рассматривали"/>
    <s v="протокол-№-27.07.2020"/>
  </r>
  <r>
    <s v="Функциональное направление 10"/>
    <n v="3"/>
    <d v="2022-06-28T00:00:00"/>
    <n v="0"/>
    <s v="не защищена"/>
    <n v="500304"/>
    <x v="686"/>
    <n v="6"/>
    <s v="Подразделение6"/>
    <s v="подразделение_2_уровня6"/>
    <s v="-"/>
    <s v="функциональный_руководитель_1"/>
    <n v="6"/>
    <s v="да"/>
    <d v="2022-06-02T00:00:00"/>
    <d v="2023-02-01T00:00:00"/>
    <s v="из резерва (учитываем)"/>
    <n v="667"/>
    <s v="Русланов Венедикт Григорьевич"/>
    <n v="1761"/>
    <s v="Исаев Савелий Михайлович"/>
    <s v="линейный_руководитель_2"/>
    <s v="Подразделение6"/>
    <x v="2"/>
    <x v="2"/>
    <n v="1"/>
    <n v="0"/>
    <s v="увольнение"/>
    <d v="2022-12-13T00:00:00"/>
    <s v="без изменений"/>
    <s v="протокол-№-28.06.2022"/>
  </r>
  <r>
    <s v="Функциональное направление 10"/>
    <n v="3"/>
    <d v="2020-12-11T00:00:00"/>
    <n v="1"/>
    <s v="не защищена"/>
    <n v="500305"/>
    <x v="687"/>
    <n v="6"/>
    <s v="Подразделение6"/>
    <s v="подразделение_2_уровня6"/>
    <s v="-"/>
    <s v="функциональный_руководитель_1"/>
    <n v="6"/>
    <s v="нет"/>
    <m/>
    <m/>
    <m/>
    <n v="668"/>
    <s v="Бураков Федот Денисович"/>
    <n v="716"/>
    <s v="Романов Алексей Александрович"/>
    <s v="руководитель_среднего_уровня_4"/>
    <s v="Подразделение6"/>
    <x v="0"/>
    <x v="0"/>
    <n v="1"/>
    <n v="0"/>
    <m/>
    <m/>
    <s v="без изменений"/>
    <s v="протокол-№-28.06.2022"/>
  </r>
  <r>
    <s v="Функциональное направление 10"/>
    <n v="3"/>
    <d v="2022-06-28T00:00:00"/>
    <n v="0"/>
    <s v="не защищена"/>
    <n v="500305"/>
    <x v="687"/>
    <n v="6"/>
    <s v="Подразделение6"/>
    <s v="подразделение_2_уровня6"/>
    <s v="-"/>
    <s v="функциональный_руководитель_1"/>
    <n v="6"/>
    <s v="нет"/>
    <m/>
    <m/>
    <m/>
    <n v="668"/>
    <s v="Бураков Федот Денисович"/>
    <n v="1762"/>
    <s v="Тимофеев Савелий Семенович"/>
    <s v="Рабочий"/>
    <s v="Подразделение6"/>
    <x v="2"/>
    <x v="0"/>
    <n v="1"/>
    <n v="0"/>
    <m/>
    <m/>
    <s v="без изменений"/>
    <s v="протокол-№-28.06.2022"/>
  </r>
  <r>
    <s v="Функциональное направление 10"/>
    <n v="3"/>
    <d v="2020-12-11T00:00:00"/>
    <n v="1"/>
    <s v="не защищена"/>
    <n v="500306"/>
    <x v="688"/>
    <n v="6"/>
    <s v="Подразделение6"/>
    <s v="подразделение_2_уровня6"/>
    <s v="-"/>
    <s v="функциональный_руководитель_1"/>
    <n v="6"/>
    <s v="нет"/>
    <m/>
    <m/>
    <m/>
    <n v="669"/>
    <s v="Вобликов Тихон Григорьевич"/>
    <n v="819"/>
    <s v="Русланов Константин Денисович"/>
    <s v="руководитель_среднего_уровня_4"/>
    <s v="Подразделение6"/>
    <x v="1"/>
    <x v="0"/>
    <n v="1"/>
    <n v="0"/>
    <m/>
    <m/>
    <s v="без изменений"/>
    <s v="протокол-№-28.06.2022"/>
  </r>
  <r>
    <s v="Функциональное направление 10"/>
    <n v="3"/>
    <d v="2022-06-28T00:00:00"/>
    <n v="0"/>
    <s v="не защищена"/>
    <n v="500306"/>
    <x v="688"/>
    <n v="6"/>
    <s v="Подразделение6"/>
    <s v="подразделение_2_уровня6"/>
    <s v="-"/>
    <s v="функциональный_руководитель_1"/>
    <n v="6"/>
    <s v="нет"/>
    <m/>
    <m/>
    <m/>
    <n v="669"/>
    <s v="Вобликов Тихон Григорьевич"/>
    <n v="818"/>
    <s v="Волков Григорий Романович"/>
    <s v="руководитель_среднего_уровня_4"/>
    <s v="Подразделение6"/>
    <x v="2"/>
    <x v="0"/>
    <n v="1"/>
    <n v="0"/>
    <m/>
    <m/>
    <s v="не рассматривали"/>
    <s v="протокол-№-28.06.2022"/>
  </r>
  <r>
    <s v="Функциональное направление 10"/>
    <n v="4"/>
    <d v="2020-10-05T00:00:00"/>
    <n v="1"/>
    <s v="не защищена"/>
    <n v="500307"/>
    <x v="689"/>
    <n v="6"/>
    <s v="Подразделение6"/>
    <s v="подразделение_2_уровня6"/>
    <s v="подразделение_3_уровня6"/>
    <s v="функциональный_руководитель_3"/>
    <n v="6"/>
    <s v="нет"/>
    <m/>
    <m/>
    <m/>
    <n v="670"/>
    <s v="Вобликов Кирилл Тимофеевич"/>
    <n v="1760"/>
    <s v="Кириллов Юрий Ефремович"/>
    <s v="Специалист"/>
    <s v="Подразделение_др7"/>
    <x v="1"/>
    <x v="2"/>
    <n v="1"/>
    <n v="0"/>
    <s v="прочее (перевод в другое СП / на другое предприятие)"/>
    <d v="2023-04-07T00:00:00"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09"/>
    <x v="690"/>
    <n v="6"/>
    <s v="Подразделение6"/>
    <s v="подразделение_2_уровня6"/>
    <s v="подразделение_3_уровня6"/>
    <s v="функциональный_руководитель_3"/>
    <n v="6"/>
    <s v="нет"/>
    <m/>
    <m/>
    <m/>
    <n v="671"/>
    <s v="Русланов Николай Егорович"/>
    <n v="795"/>
    <s v="Волков Григорий Григорьевич"/>
    <s v="линейный_руководитель_2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3"/>
    <d v="2017-12-11T00:00:00"/>
    <n v="1"/>
    <s v="не защищена"/>
    <n v="500018"/>
    <x v="691"/>
    <n v="7"/>
    <s v="Подразделение7"/>
    <s v="подразделение_2_уровня7"/>
    <s v="-"/>
    <s v="ТОП_руководитель_2"/>
    <n v="4"/>
    <s v="да"/>
    <d v="2023-06-01T00:00:00"/>
    <d v="2023-06-01T00:00:00"/>
    <s v="ротация (не учитываем)"/>
    <n v="672"/>
    <s v="Волков Кирилл Денисович"/>
    <n v="734"/>
    <s v="Баранкин Валерий Романович"/>
    <s v="линейный_руководитель_3"/>
    <s v="Подразделение7"/>
    <x v="1"/>
    <x v="0"/>
    <n v="1"/>
    <n v="0"/>
    <m/>
    <m/>
    <s v="без изменений"/>
    <s v="протокол-№-24.05.2021"/>
  </r>
  <r>
    <s v="Функциональное направление 10"/>
    <n v="3"/>
    <d v="2021-05-24T00:00:00"/>
    <n v="0"/>
    <s v="не защищена"/>
    <n v="500018"/>
    <x v="691"/>
    <n v="7"/>
    <s v="Подразделение7"/>
    <s v="подразделение_2_уровня7"/>
    <s v="-"/>
    <s v="ТОП_руководитель_2"/>
    <n v="4"/>
    <s v="да"/>
    <d v="2023-06-01T00:00:00"/>
    <d v="2023-06-01T00:00:00"/>
    <s v="ротация (не учитываем)"/>
    <n v="672"/>
    <s v="Волков Кирилл Денисович"/>
    <n v="740"/>
    <s v="Волков Константин Александрович"/>
    <s v="линейный_руководитель_3"/>
    <s v="Подразделение7"/>
    <x v="2"/>
    <x v="0"/>
    <n v="1"/>
    <n v="0"/>
    <m/>
    <m/>
    <s v="не рассматривали"/>
    <s v="протокол-№-24.05.2021"/>
  </r>
  <r>
    <s v="Функциональное направление 10"/>
    <n v="3"/>
    <d v="2017-12-11T00:00:00"/>
    <n v="0"/>
    <s v="не защищена"/>
    <n v="500018"/>
    <x v="691"/>
    <n v="7"/>
    <s v="Подразделение7"/>
    <s v="подразделение_2_уровня7"/>
    <s v="-"/>
    <s v="ТОП_руководитель_2"/>
    <n v="4"/>
    <s v="да"/>
    <d v="2023-06-01T00:00:00"/>
    <d v="2023-06-01T00:00:00"/>
    <s v="ротация (не учитываем)"/>
    <n v="672"/>
    <s v="Волков Кирилл Денисович"/>
    <n v="1763"/>
    <s v="Ветров Юрий Александрович"/>
    <s v="ТОП_руководитель_2"/>
    <s v="Подразделение217"/>
    <x v="1"/>
    <x v="1"/>
    <n v="1"/>
    <n v="0"/>
    <s v="назначение на целевую должность"/>
    <d v="2019-11-05T00:00:00"/>
    <s v="без изменений"/>
    <s v="протокол-№-02.04.2019"/>
  </r>
  <r>
    <s v="Функциональное направление 10"/>
    <n v="3"/>
    <d v="2021-05-24T00:00:00"/>
    <n v="0"/>
    <s v="не защищена"/>
    <n v="500018"/>
    <x v="691"/>
    <n v="7"/>
    <s v="Подразделение7"/>
    <s v="подразделение_2_уровня7"/>
    <s v="-"/>
    <s v="ТОП_руководитель_2"/>
    <n v="4"/>
    <s v="да"/>
    <d v="2023-06-01T00:00:00"/>
    <d v="2023-06-01T00:00:00"/>
    <s v="ротация (не учитываем)"/>
    <n v="672"/>
    <s v="Волков Кирилл Денисович"/>
    <n v="1764"/>
    <s v="Тимофеев Виталий Александрович"/>
    <s v="линейный_руководитель_3"/>
    <s v="Подразделение7"/>
    <x v="2"/>
    <x v="2"/>
    <n v="1"/>
    <n v="0"/>
    <s v="увольнение"/>
    <d v="2022-10-11T00:00:00"/>
    <s v="не рассматривали"/>
    <s v="протокол-№-24.05.2021"/>
  </r>
  <r>
    <s v="Функциональное направление 10"/>
    <n v="3"/>
    <d v="2019-10-31T00:00:00"/>
    <n v="1"/>
    <s v="не защищена"/>
    <n v="500019"/>
    <x v="692"/>
    <n v="7"/>
    <s v="Подразделение7"/>
    <s v="подразделение_2_уровня7"/>
    <s v="подразделение_3_уровня7"/>
    <s v="руководитель_среднего_уровня_4"/>
    <n v="5"/>
    <s v="да"/>
    <d v="2021-02-03T00:00:00"/>
    <d v="2021-02-03T00:00:00"/>
    <s v="из резерва (учитываем)"/>
    <n v="673"/>
    <s v="Пальчиков Алексей Григорьевич"/>
    <n v="784"/>
    <s v="Бураков Федот Юрьевич"/>
    <s v="линейный_руководитель_2"/>
    <s v="Подразделение7"/>
    <x v="1"/>
    <x v="0"/>
    <n v="1"/>
    <n v="0"/>
    <m/>
    <m/>
    <s v="без изменений"/>
    <s v="протокол-№-28.06.2022"/>
  </r>
  <r>
    <s v="Функциональное направление 10"/>
    <n v="3"/>
    <d v="2019-10-31T00:00:00"/>
    <n v="0"/>
    <s v="не защищена"/>
    <n v="500019"/>
    <x v="692"/>
    <n v="7"/>
    <s v="Подразделение7"/>
    <s v="подразделение_2_уровня7"/>
    <s v="подразделение_3_уровня7"/>
    <s v="руководитель_среднего_уровня_4"/>
    <n v="5"/>
    <s v="да"/>
    <d v="2021-02-03T00:00:00"/>
    <d v="2021-02-03T00:00:00"/>
    <s v="из резерва (учитываем)"/>
    <n v="673"/>
    <s v="Пальчиков Алексей Григорьевич"/>
    <n v="786"/>
    <s v="Баранкин Константин Александрович"/>
    <s v="линейный_руководитель_2"/>
    <s v="Подразделение7"/>
    <x v="2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19"/>
    <x v="692"/>
    <n v="7"/>
    <s v="Подразделение7"/>
    <s v="подразделение_2_уровня7"/>
    <s v="подразделение_3_уровня7"/>
    <s v="руководитель_среднего_уровня_4"/>
    <n v="5"/>
    <s v="да"/>
    <d v="2021-02-03T00:00:00"/>
    <d v="2021-02-03T00:00:00"/>
    <s v="из резерва (учитываем)"/>
    <n v="673"/>
    <s v="Пальчиков Алексей Григорьевич"/>
    <n v="673"/>
    <s v="Пальчиков Алексей Григорьевич"/>
    <s v="линейный_руководитель_2"/>
    <s v="Подразделение7"/>
    <x v="1"/>
    <x v="1"/>
    <n v="1"/>
    <n v="1"/>
    <s v="назначение на целевую должность"/>
    <d v="2021-02-03T00:00:00"/>
    <s v="без изменений"/>
    <s v="протокол-№-27.07.2020"/>
  </r>
  <r>
    <s v="Функциональное направление 10"/>
    <n v="4"/>
    <d v="2020-10-05T00:00:00"/>
    <n v="1"/>
    <s v="не защищена"/>
    <n v="500311"/>
    <x v="693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74"/>
    <s v="Пальчиков Кирилл Юрьевич"/>
    <n v="1765"/>
    <s v="Дорофеев Виталий Ефремо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1"/>
    <x v="693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74"/>
    <s v="Пальчиков Кирилл Юрьевич"/>
    <n v="1766"/>
    <s v="Исаев Константин Семенович"/>
    <s v="Рабочий"/>
    <s v="Подразделение6"/>
    <x v="0"/>
    <x v="0"/>
    <n v="1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311"/>
    <x v="693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74"/>
    <s v="Пальчиков Кирилл Юрьевич"/>
    <n v="1767"/>
    <s v="Тимофеев Афанасий Александрович"/>
    <s v="Рабочий"/>
    <s v="Подразделение6"/>
    <x v="2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1"/>
    <x v="693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74"/>
    <s v="Пальчиков Кирилл Юрьевич"/>
    <n v="1768"/>
    <s v="Кириллов Виталий Александрович"/>
    <s v="Рабочий"/>
    <s v="Подразделение6"/>
    <x v="2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1"/>
    <x v="693"/>
    <n v="6"/>
    <s v="Подразделение6"/>
    <s v="подразделение_2_уровня6"/>
    <s v="подразделение_3_уровня6"/>
    <s v="линейный_руководитель_2"/>
    <n v="6"/>
    <s v="да"/>
    <d v="2020-11-01T00:00:00"/>
    <d v="2020-11-01T00:00:00"/>
    <s v="из резерва (учитываем)"/>
    <n v="674"/>
    <s v="Пальчиков Кирилл Юрьевич"/>
    <n v="674"/>
    <s v="Пальчиков Кирилл Юрьевич"/>
    <s v="линейный_руководитель_2"/>
    <s v="Подразделение6"/>
    <x v="1"/>
    <x v="1"/>
    <n v="1"/>
    <n v="1"/>
    <s v="назначение на целевую должность"/>
    <d v="2020-11-01T00:00:00"/>
    <s v="не рассматривали"/>
    <s v="протокол-№-05.10.2020"/>
  </r>
  <r>
    <s v="Функциональное направление 10"/>
    <n v="4"/>
    <d v="2020-10-05T00:00:00"/>
    <n v="1"/>
    <s v="не защищена"/>
    <n v="500311"/>
    <x v="69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5"/>
    <s v="Вобликов Николай Денисович"/>
    <n v="1765"/>
    <s v="Дорофеев Витал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1"/>
    <x v="69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5"/>
    <s v="Вобликов Николай Денисович"/>
    <n v="1766"/>
    <s v="Исаев Константин Семенович"/>
    <s v="Рабочий"/>
    <s v="Подразделение6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311"/>
    <x v="69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5"/>
    <s v="Вобликов Николай Денисович"/>
    <n v="1767"/>
    <s v="Тимофеев Афанас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1"/>
    <x v="69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5"/>
    <s v="Вобликов Николай Денисович"/>
    <n v="1768"/>
    <s v="Кириллов Витал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11"/>
    <x v="69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6"/>
    <s v="Баранкин Емельян Григорьевич"/>
    <n v="1765"/>
    <s v="Дорофеев Витал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1"/>
    <x v="69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6"/>
    <s v="Баранкин Емельян Григорьевич"/>
    <n v="1766"/>
    <s v="Исаев Константин Семенович"/>
    <s v="Рабочий"/>
    <s v="Подразделение6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311"/>
    <x v="69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6"/>
    <s v="Баранкин Емельян Григорьевич"/>
    <n v="1767"/>
    <s v="Тимофеев Афанас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1"/>
    <x v="69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6"/>
    <s v="Баранкин Емельян Григорьевич"/>
    <n v="1768"/>
    <s v="Кириллов Витал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11"/>
    <x v="69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7"/>
    <s v="Романов Кирилл Денисович"/>
    <n v="1765"/>
    <s v="Дорофеев Витал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1"/>
    <x v="69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7"/>
    <s v="Романов Кирилл Денисович"/>
    <n v="1766"/>
    <s v="Исаев Константин Семенович"/>
    <s v="Рабочий"/>
    <s v="Подразделение6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311"/>
    <x v="69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7"/>
    <s v="Романов Кирилл Денисович"/>
    <n v="1767"/>
    <s v="Тимофеев Афанас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1"/>
    <x v="69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77"/>
    <s v="Романов Кирилл Денисович"/>
    <n v="1768"/>
    <s v="Кириллов Витал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12"/>
    <x v="697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678"/>
    <s v="Цветков Григорий Григорьевич"/>
    <n v="1769"/>
    <s v="Ветров Константин Михайлович"/>
    <s v="Рабочий"/>
    <s v="Подразделение6"/>
    <x v="1"/>
    <x v="0"/>
    <n v="1"/>
    <n v="0"/>
    <m/>
    <m/>
    <s v="повышение"/>
    <s v="протокол-№-25.10.2022"/>
  </r>
  <r>
    <s v="Функциональное направление 10"/>
    <n v="4"/>
    <d v="2020-10-05T00:00:00"/>
    <n v="1"/>
    <s v="не защищена"/>
    <n v="500313"/>
    <x v="698"/>
    <n v="6"/>
    <s v="Подразделение6"/>
    <s v="подразделение_2_уровня6"/>
    <s v="подразделение_3_уровня6"/>
    <s v="линейный_руководитель_2"/>
    <n v="6"/>
    <s v="да"/>
    <d v="2020-11-01T00:00:00"/>
    <d v="2020-11-01T00:00:00"/>
    <s v="внутр. сотр. (учитываем)"/>
    <n v="679"/>
    <s v="Русланов Константин Юрьевич"/>
    <n v="1770"/>
    <s v="Степанов Виталий Геннадье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3"/>
    <x v="698"/>
    <n v="6"/>
    <s v="Подразделение6"/>
    <s v="подразделение_2_уровня6"/>
    <s v="подразделение_3_уровня6"/>
    <s v="линейный_руководитель_2"/>
    <n v="6"/>
    <s v="да"/>
    <d v="2020-11-01T00:00:00"/>
    <d v="2020-11-01T00:00:00"/>
    <s v="внутр. сотр. (учитываем)"/>
    <n v="679"/>
    <s v="Русланов Константин Юрьевич"/>
    <n v="681"/>
    <s v="Зверев Степан Романович"/>
    <s v="линейный_руководитель_2"/>
    <s v="Подразделение6"/>
    <x v="0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14"/>
    <x v="699"/>
    <n v="6"/>
    <s v="Подразделение6"/>
    <s v="подразделение_2_уровня6"/>
    <s v="подразделение_3_уровня6"/>
    <s v="линейный_руководитель_1"/>
    <n v="6"/>
    <s v="да"/>
    <d v="2022-12-13T00:00:00"/>
    <d v="2023-04-01T00:00:00"/>
    <s v="из резерва (учитываем)"/>
    <n v="680"/>
    <s v="Русланов Федот Григорьевич"/>
    <n v="1771"/>
    <s v="Тимофеев Виталий Богданович"/>
    <s v="Рабочий"/>
    <s v="Подразделение6"/>
    <x v="2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699"/>
    <n v="6"/>
    <s v="Подразделение6"/>
    <s v="подразделение_2_уровня6"/>
    <s v="подразделение_3_уровня6"/>
    <s v="линейный_руководитель_1"/>
    <n v="6"/>
    <s v="да"/>
    <d v="2022-12-13T00:00:00"/>
    <d v="2023-04-01T00:00:00"/>
    <s v="из резерва (учитываем)"/>
    <n v="680"/>
    <s v="Русланов Федот Григорьевич"/>
    <n v="1772"/>
    <s v="Дмитриев Роман Семено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4"/>
    <x v="699"/>
    <n v="6"/>
    <s v="Подразделение6"/>
    <s v="подразделение_2_уровня6"/>
    <s v="подразделение_3_уровня6"/>
    <s v="линейный_руководитель_1"/>
    <n v="6"/>
    <s v="да"/>
    <d v="2022-12-13T00:00:00"/>
    <d v="2023-04-01T00:00:00"/>
    <s v="из резерва (учитываем)"/>
    <n v="680"/>
    <s v="Русланов Федот Григорьевич"/>
    <n v="1773"/>
    <s v="Игнатьев Савелий Михайл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4"/>
    <x v="699"/>
    <n v="6"/>
    <s v="Подразделение6"/>
    <s v="подразделение_2_уровня6"/>
    <s v="подразделение_3_уровня6"/>
    <s v="линейный_руководитель_1"/>
    <n v="6"/>
    <s v="да"/>
    <d v="2022-12-13T00:00:00"/>
    <d v="2023-04-01T00:00:00"/>
    <s v="из резерва (учитываем)"/>
    <n v="680"/>
    <s v="Русланов Федот Григорьевич"/>
    <n v="1774"/>
    <s v="Незнамов Афанасий Богданович"/>
    <s v="Рабочий"/>
    <s v="Подразделение6"/>
    <x v="2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699"/>
    <n v="6"/>
    <s v="Подразделение6"/>
    <s v="подразделение_2_уровня6"/>
    <s v="подразделение_3_уровня6"/>
    <s v="линейный_руководитель_1"/>
    <n v="6"/>
    <s v="да"/>
    <d v="2022-12-13T00:00:00"/>
    <d v="2023-04-01T00:00:00"/>
    <s v="из резерва (учитываем)"/>
    <n v="680"/>
    <s v="Русланов Федот Григорьевич"/>
    <n v="680"/>
    <s v="Русланов Федот Григорьевич"/>
    <s v="линейный_руководитель_2"/>
    <s v="Подразделение6"/>
    <x v="1"/>
    <x v="1"/>
    <n v="1"/>
    <n v="1"/>
    <s v="назначение на целевую должность"/>
    <d v="2023-04-01T00:00:00"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699"/>
    <n v="6"/>
    <s v="Подразделение6"/>
    <s v="подразделение_2_уровня6"/>
    <s v="подразделение_3_уровня6"/>
    <s v="линейный_руководитель_1"/>
    <n v="6"/>
    <s v="да"/>
    <d v="2022-12-13T00:00:00"/>
    <d v="2023-04-01T00:00:00"/>
    <s v="из резерва (учитываем)"/>
    <n v="680"/>
    <s v="Русланов Федот Григорьевич"/>
    <n v="1775"/>
    <s v="Тимофеев Геннадий Ефремович"/>
    <s v="Рабочий"/>
    <s v="Подразделение6"/>
    <x v="1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1"/>
    <s v="не защищена"/>
    <n v="500314"/>
    <x v="700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81"/>
    <s v="Зверев Степан Романович"/>
    <n v="1771"/>
    <s v="Тимофеев Виталий Богдан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700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81"/>
    <s v="Зверев Степан Романович"/>
    <n v="1772"/>
    <s v="Дмитриев Роман Семен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4"/>
    <x v="700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81"/>
    <s v="Зверев Степан Романович"/>
    <n v="1773"/>
    <s v="Игнатьев Савелий Михайл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4"/>
    <x v="700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81"/>
    <s v="Зверев Степан Романович"/>
    <n v="1774"/>
    <s v="Незнамов Афанасий Богдан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700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81"/>
    <s v="Зверев Степан Романович"/>
    <n v="681"/>
    <s v="Зверев Степан Романович"/>
    <s v="линейный_руководитель_2"/>
    <s v="Подразделение6"/>
    <x v="1"/>
    <x v="1"/>
    <n v="1"/>
    <n v="1"/>
    <s v="назначение на целевую должность"/>
    <d v="2020-11-01T00:00:00"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14"/>
    <x v="700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81"/>
    <s v="Зверев Степан Романович"/>
    <n v="680"/>
    <s v="Русланов Федот Григорьевич"/>
    <s v="линейный_руководитель_2"/>
    <s v="Подразделение6"/>
    <x v="1"/>
    <x v="1"/>
    <n v="0"/>
    <n v="0"/>
    <s v="назначение на целевую должность"/>
    <d v="2023-04-01T00:00:00"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700"/>
    <n v="6"/>
    <s v="Подразделение6"/>
    <s v="подразделение_2_уровня6"/>
    <s v="подразделение_3_уровня6"/>
    <s v="линейный_руководитель_1"/>
    <n v="6"/>
    <s v="да"/>
    <d v="2020-11-01T00:00:00"/>
    <d v="2020-11-01T00:00:00"/>
    <s v="из резерва (учитываем)"/>
    <n v="681"/>
    <s v="Зверев Степан Романович"/>
    <n v="1775"/>
    <s v="Тимофеев Геннадий Ефремович"/>
    <s v="Рабочий"/>
    <s v="Подразделение6"/>
    <x v="1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1"/>
    <s v="не защищена"/>
    <n v="500314"/>
    <x v="70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2"/>
    <s v="Ефремов Николай Тимофеевич"/>
    <n v="1771"/>
    <s v="Тимофеев Виталий Богдан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70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2"/>
    <s v="Ефремов Николай Тимофеевич"/>
    <n v="1772"/>
    <s v="Дмитриев Роман Семен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4"/>
    <x v="70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2"/>
    <s v="Ефремов Николай Тимофеевич"/>
    <n v="1773"/>
    <s v="Игнатьев Савелий Михайл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4"/>
    <x v="70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2"/>
    <s v="Ефремов Николай Тимофеевич"/>
    <n v="1774"/>
    <s v="Незнамов Афанасий Богдан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70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2"/>
    <s v="Ефремов Николай Тимофеевич"/>
    <n v="680"/>
    <s v="Русланов Федот Григорьевич"/>
    <s v="линейный_руководитель_2"/>
    <s v="Подразделение6"/>
    <x v="1"/>
    <x v="1"/>
    <n v="0"/>
    <n v="0"/>
    <s v="назначение на целевую должность"/>
    <d v="2023-04-01T00:00:00"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70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2"/>
    <s v="Ефремов Николай Тимофеевич"/>
    <n v="1775"/>
    <s v="Тимофеев Геннадий Ефремович"/>
    <s v="Рабочий"/>
    <s v="Подразделение6"/>
    <x v="1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1"/>
    <s v="не защищена"/>
    <n v="500314"/>
    <x v="70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3"/>
    <s v="Волков Федот Кириллович"/>
    <n v="1771"/>
    <s v="Тимофеев Виталий Богдан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70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3"/>
    <s v="Волков Федот Кириллович"/>
    <n v="1772"/>
    <s v="Дмитриев Роман Семен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4"/>
    <x v="70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3"/>
    <s v="Волков Федот Кириллович"/>
    <n v="1773"/>
    <s v="Игнатьев Савелий Михайл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4"/>
    <x v="70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3"/>
    <s v="Волков Федот Кириллович"/>
    <n v="1774"/>
    <s v="Незнамов Афанасий Богдан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70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3"/>
    <s v="Волков Федот Кириллович"/>
    <n v="680"/>
    <s v="Русланов Федот Григорьевич"/>
    <s v="линейный_руководитель_2"/>
    <s v="Подразделение6"/>
    <x v="1"/>
    <x v="1"/>
    <n v="0"/>
    <n v="0"/>
    <s v="назначение на целевую должность"/>
    <d v="2023-04-01T00:00:00"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4"/>
    <x v="70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3"/>
    <s v="Волков Федот Кириллович"/>
    <n v="1775"/>
    <s v="Тимофеев Геннадий Ефремович"/>
    <s v="Рабочий"/>
    <s v="Подразделение6"/>
    <x v="1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1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1776"/>
    <s v="Степанов Афанасий Геннадье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1762"/>
    <s v="Тимофеев Савелий Семено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1777"/>
    <s v="Незнамов Савелий Михайлович"/>
    <s v="Рабочий"/>
    <s v="Подразделение6"/>
    <x v="2"/>
    <x v="0"/>
    <n v="1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1778"/>
    <s v="Дмитриев Савелий Ефремович"/>
    <s v="Рабочий"/>
    <s v="Подразделение6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1779"/>
    <s v="Тимофеев Савелий Геннадьевич"/>
    <s v="Рабочий"/>
    <s v="Подразделение6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1780"/>
    <s v="Незнамов Роман Михайлович"/>
    <s v="Рабочий"/>
    <s v="Подразделение6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1781"/>
    <s v="Тимофеев Глеб Ефремович"/>
    <s v="Рабочий"/>
    <s v="Подразделение6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0-10-05T00:00:00"/>
    <n v="0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1782"/>
    <s v="Исаев Константин Александрович"/>
    <s v="Рабочий"/>
    <s v="Подразделение6"/>
    <x v="2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0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1783"/>
    <s v="Степанов Матвей Маркович"/>
    <s v="Рабочий"/>
    <s v="Подразделение6"/>
    <x v="1"/>
    <x v="2"/>
    <n v="1"/>
    <n v="0"/>
    <s v="увольнение"/>
    <d v="2021-09-28T00:00:00"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15"/>
    <x v="70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4"/>
    <s v="Русланов Федот Романович"/>
    <n v="688"/>
    <s v="Баранкин Тихон Кириллович"/>
    <s v="линейный_руководитель_2"/>
    <s v="Подразделение6"/>
    <x v="1"/>
    <x v="2"/>
    <n v="1"/>
    <n v="0"/>
    <s v="назначение на равнозначную должность"/>
    <d v="2022-05-01T00:00:00"/>
    <s v="не рассматривали"/>
    <s v="протокол-№-05.10.2020"/>
  </r>
  <r>
    <s v="Функциональное направление 10"/>
    <n v="4"/>
    <d v="2020-10-05T00:00:00"/>
    <n v="1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1776"/>
    <s v="Степанов Афанасий Геннадье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1762"/>
    <s v="Тимофеев Савелий Семен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1777"/>
    <s v="Незнамов Савелий Михайлович"/>
    <s v="Рабочий"/>
    <s v="Подразделение6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1778"/>
    <s v="Дмитриев Савелий Ефрем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1779"/>
    <s v="Тимофеев Савелий Геннадьевич"/>
    <s v="Рабочий"/>
    <s v="Подразделение6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1780"/>
    <s v="Незнамов Роман Михайл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1781"/>
    <s v="Тимофеев Глеб Ефрем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05T00:00:00"/>
    <n v="0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1782"/>
    <s v="Исаев Константин Александрович"/>
    <s v="Рабочий"/>
    <s v="Подразделение6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0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1783"/>
    <s v="Степанов Матвей Маркович"/>
    <s v="Рабочий"/>
    <s v="Подразделение6"/>
    <x v="1"/>
    <x v="2"/>
    <n v="0"/>
    <n v="0"/>
    <s v="увольнение"/>
    <d v="2021-09-28T00:00:00"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15"/>
    <x v="704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5"/>
    <s v="Баранкин Николай Григорьевич"/>
    <n v="688"/>
    <s v="Баранкин Тихон Кириллович"/>
    <s v="линейный_руководитель_2"/>
    <s v="Подразделение6"/>
    <x v="1"/>
    <x v="2"/>
    <n v="0"/>
    <n v="0"/>
    <s v="назначение на равнозначную должность"/>
    <d v="2022-05-01T00:00:00"/>
    <s v="не рассматривали"/>
    <s v="протокол-№-05.10.2020"/>
  </r>
  <r>
    <s v="Функциональное направление 10"/>
    <n v="4"/>
    <d v="2020-10-05T00:00:00"/>
    <n v="1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1776"/>
    <s v="Степанов Афанасий Геннадье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1762"/>
    <s v="Тимофеев Савелий Семен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1777"/>
    <s v="Незнамов Савелий Михайлович"/>
    <s v="Рабочий"/>
    <s v="Подразделение6"/>
    <x v="2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1778"/>
    <s v="Дмитриев Савелий Ефрем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1779"/>
    <s v="Тимофеев Савелий Геннадьевич"/>
    <s v="Рабочий"/>
    <s v="Подразделение6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1780"/>
    <s v="Незнамов Роман Михайл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1781"/>
    <s v="Тимофеев Глеб Ефрем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05T00:00:00"/>
    <n v="0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1782"/>
    <s v="Исаев Константин Александрович"/>
    <s v="Рабочий"/>
    <s v="Подразделение6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0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1783"/>
    <s v="Степанов Матвей Маркович"/>
    <s v="Рабочий"/>
    <s v="Подразделение6"/>
    <x v="1"/>
    <x v="2"/>
    <n v="0"/>
    <n v="0"/>
    <s v="увольнение"/>
    <d v="2021-09-28T00:00:00"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15"/>
    <x v="70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6"/>
    <s v="Вобликов Кирилл Григорьевич"/>
    <n v="688"/>
    <s v="Баранкин Тихон Кириллович"/>
    <s v="линейный_руководитель_2"/>
    <s v="Подразделение6"/>
    <x v="1"/>
    <x v="2"/>
    <n v="0"/>
    <n v="0"/>
    <s v="назначение на равнозначную должность"/>
    <d v="2022-05-01T00:00:00"/>
    <s v="не рассматривали"/>
    <s v="протокол-№-05.10.2020"/>
  </r>
  <r>
    <s v="Функциональное направление 10"/>
    <n v="4"/>
    <d v="2020-10-05T00:00:00"/>
    <n v="1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1776"/>
    <s v="Степанов Афанасий Геннадье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1762"/>
    <s v="Тимофеев Савелий Семен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1777"/>
    <s v="Незнамов Савелий Михайлович"/>
    <s v="Рабочий"/>
    <s v="Подразделение6"/>
    <x v="2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1778"/>
    <s v="Дмитриев Савелий Ефрем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1779"/>
    <s v="Тимофеев Савелий Геннадьевич"/>
    <s v="Рабочий"/>
    <s v="Подразделение6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1780"/>
    <s v="Незнамов Роман Михайл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1781"/>
    <s v="Тимофеев Глеб Ефрем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05T00:00:00"/>
    <n v="0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1782"/>
    <s v="Исаев Константин Александрович"/>
    <s v="Рабочий"/>
    <s v="Подразделение6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0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1783"/>
    <s v="Степанов Матвей Маркович"/>
    <s v="Рабочий"/>
    <s v="Подразделение6"/>
    <x v="1"/>
    <x v="2"/>
    <n v="0"/>
    <n v="0"/>
    <s v="увольнение"/>
    <d v="2021-09-28T00:00:00"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15"/>
    <x v="70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87"/>
    <s v="Волков Константин Кириллович"/>
    <n v="688"/>
    <s v="Баранкин Тихон Кириллович"/>
    <s v="линейный_руководитель_2"/>
    <s v="Подразделение6"/>
    <x v="1"/>
    <x v="2"/>
    <n v="0"/>
    <n v="0"/>
    <s v="назначение на равнозначную должность"/>
    <d v="2022-05-01T00:00:00"/>
    <s v="не рассматривали"/>
    <s v="протокол-№-05.10.2020"/>
  </r>
  <r>
    <s v="Функциональное направление 10"/>
    <n v="4"/>
    <d v="2020-10-05T00:00:00"/>
    <n v="1"/>
    <s v="не защищена"/>
    <n v="500316"/>
    <x v="707"/>
    <n v="6"/>
    <s v="Подразделение6"/>
    <s v="подразделение_2_уровня6"/>
    <s v="подразделение_3_уровня6"/>
    <s v="линейный_руководитель_2"/>
    <n v="6"/>
    <s v="да"/>
    <d v="2022-05-01T00:00:00"/>
    <d v="2022-05-01T00:00:00"/>
    <s v="внутр. сотр. (учитываем)"/>
    <n v="688"/>
    <s v="Баранкин Тихон Кириллович"/>
    <n v="1762"/>
    <s v="Тимофеев Савелий Семенович"/>
    <s v="Рабочий"/>
    <s v="Подразделение6"/>
    <x v="0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1"/>
    <s v="не защищена"/>
    <n v="500317"/>
    <x v="708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689"/>
    <s v="Цветков Кирилл Александрович"/>
    <n v="1784"/>
    <s v="Тимофеев Матвей Семенович"/>
    <s v="Рабочий"/>
    <s v="Подразделение6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0-10-05T00:00:00"/>
    <n v="0"/>
    <s v="не защищена"/>
    <n v="500317"/>
    <x v="708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689"/>
    <s v="Цветков Кирилл Александрович"/>
    <n v="1785"/>
    <s v="Ветров Юрий Ефремович"/>
    <s v="Рабочий"/>
    <s v="Подразделение6"/>
    <x v="2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2-10-25T00:00:00"/>
    <n v="1"/>
    <s v="не защищена"/>
    <n v="500318"/>
    <x v="709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690"/>
    <s v="Бураков Константин Романович"/>
    <n v="1784"/>
    <s v="Тимофеев Матвей Семен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05T00:00:00"/>
    <n v="0"/>
    <s v="не защищена"/>
    <n v="500318"/>
    <x v="709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690"/>
    <s v="Бураков Константин Романович"/>
    <n v="688"/>
    <s v="Баранкин Тихон Кириллович"/>
    <s v="линейный_руководитель_2"/>
    <s v="Подразделение6"/>
    <x v="0"/>
    <x v="2"/>
    <n v="1"/>
    <n v="0"/>
    <s v="назначение на равнозначную должность"/>
    <d v="2022-05-01T00:00:00"/>
    <s v="не рассматривали"/>
    <s v="протокол-№-05.10.2020"/>
  </r>
  <r>
    <s v="Функциональное направление 10"/>
    <n v="4"/>
    <d v="2020-10-05T00:00:00"/>
    <n v="1"/>
    <s v="не защищена"/>
    <n v="500319"/>
    <x v="71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1"/>
    <s v="Волков Николай Иванович"/>
    <n v="1786"/>
    <s v="Кириллов Геннадий Ефремо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1"/>
    <s v="Волков Николай Иванович"/>
    <n v="1787"/>
    <s v="Ветров Юрий Александрович"/>
    <s v="Рабочий"/>
    <s v="Подразделение6"/>
    <x v="2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1"/>
    <s v="Волков Николай Иванович"/>
    <n v="1788"/>
    <s v="Тимофеев Матвей Герасимо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1-09-27T00:00:00"/>
    <n v="1"/>
    <s v="не защищена"/>
    <n v="500319"/>
    <x v="71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2"/>
    <s v="Поминов Николай Иванович"/>
    <n v="1789"/>
    <s v="Незнамов Матвей Ефремович"/>
    <s v="Рабочий"/>
    <s v="Подразделение6"/>
    <x v="2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9"/>
    <x v="71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2"/>
    <s v="Поминов Николай Иванович"/>
    <n v="1790"/>
    <s v="Ветров Виталий Александрович"/>
    <s v="Рабочий"/>
    <s v="Подразделение6"/>
    <x v="2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9"/>
    <x v="71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2"/>
    <s v="Поминов Николай Иванович"/>
    <n v="1791"/>
    <s v="Незнамов Юрий Александрович"/>
    <s v="Рабочий"/>
    <s v="Подразделение6"/>
    <x v="2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1"/>
    <s v="Волков Николай Иванович"/>
    <n v="1792"/>
    <s v="Тимофеев Глеб Михайлович"/>
    <s v="Рабочий"/>
    <s v="Подразделение2"/>
    <x v="2"/>
    <x v="2"/>
    <n v="1"/>
    <n v="0"/>
    <s v="увольнение"/>
    <d v="2022-09-23T00:00:00"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19"/>
    <x v="711"/>
    <n v="6"/>
    <s v="Подразделение6"/>
    <s v="подразделение_2_уровня6"/>
    <s v="подразделение_3_уровня6"/>
    <s v="линейный_руководитель_1"/>
    <n v="6"/>
    <s v="да"/>
    <d v="2021-09-22T00:00:00"/>
    <d v="2021-09-20T00:00:00"/>
    <s v="из резерва (учитываем)"/>
    <n v="692"/>
    <s v="Поминов Николай Иванович"/>
    <n v="1786"/>
    <s v="Кириллов Геннад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1"/>
    <n v="6"/>
    <s v="Подразделение6"/>
    <s v="подразделение_2_уровня6"/>
    <s v="подразделение_3_уровня6"/>
    <s v="линейный_руководитель_1"/>
    <n v="6"/>
    <s v="да"/>
    <d v="2021-09-22T00:00:00"/>
    <d v="2021-09-20T00:00:00"/>
    <s v="из резерва (учитываем)"/>
    <n v="692"/>
    <s v="Поминов Николай Иванович"/>
    <n v="1787"/>
    <s v="Ветров Юр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1"/>
    <n v="6"/>
    <s v="Подразделение6"/>
    <s v="подразделение_2_уровня6"/>
    <s v="подразделение_3_уровня6"/>
    <s v="линейный_руководитель_1"/>
    <n v="6"/>
    <s v="да"/>
    <d v="2021-09-22T00:00:00"/>
    <d v="2021-09-20T00:00:00"/>
    <s v="из резерва (учитываем)"/>
    <n v="692"/>
    <s v="Поминов Николай Иванович"/>
    <n v="1788"/>
    <s v="Тимофеев Матвей Гераси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1-09-27T00:00:00"/>
    <n v="1"/>
    <s v="не защищена"/>
    <n v="500319"/>
    <x v="712"/>
    <n v="6"/>
    <s v="Подразделение6"/>
    <s v="подразделение_2_уровня6"/>
    <s v="подразделение_3_уровня6"/>
    <s v="линейный_руководитель_1"/>
    <n v="6"/>
    <s v="да"/>
    <d v="2021-09-22T00:00:00"/>
    <d v="2021-09-20T00:00:00"/>
    <s v="внутр. сотр. (учитываем)"/>
    <n v="693"/>
    <s v="Романов Алексей Тимофеевич"/>
    <n v="1789"/>
    <s v="Незнамов Матвей Ефрем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9"/>
    <x v="712"/>
    <n v="6"/>
    <s v="Подразделение6"/>
    <s v="подразделение_2_уровня6"/>
    <s v="подразделение_3_уровня6"/>
    <s v="линейный_руководитель_1"/>
    <n v="6"/>
    <s v="да"/>
    <d v="2021-09-22T00:00:00"/>
    <d v="2021-09-20T00:00:00"/>
    <s v="внутр. сотр. (учитываем)"/>
    <n v="693"/>
    <s v="Романов Алексей Тимофеевич"/>
    <n v="1790"/>
    <s v="Ветров Витал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9"/>
    <x v="712"/>
    <n v="6"/>
    <s v="Подразделение6"/>
    <s v="подразделение_2_уровня6"/>
    <s v="подразделение_3_уровня6"/>
    <s v="линейный_руководитель_1"/>
    <n v="6"/>
    <s v="да"/>
    <d v="2021-09-22T00:00:00"/>
    <d v="2021-09-20T00:00:00"/>
    <s v="внутр. сотр. (учитываем)"/>
    <n v="693"/>
    <s v="Романов Алексей Тимофеевич"/>
    <n v="1791"/>
    <s v="Незнамов Юр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1"/>
    <n v="6"/>
    <s v="Подразделение6"/>
    <s v="подразделение_2_уровня6"/>
    <s v="подразделение_3_уровня6"/>
    <s v="линейный_руководитель_1"/>
    <n v="6"/>
    <s v="да"/>
    <d v="2021-09-22T00:00:00"/>
    <d v="2021-09-20T00:00:00"/>
    <s v="из резерва (учитываем)"/>
    <n v="692"/>
    <s v="Поминов Николай Иванович"/>
    <n v="692"/>
    <s v="Поминов Николай Иванович"/>
    <s v="Рабочий"/>
    <s v="Подразделение6"/>
    <x v="0"/>
    <x v="1"/>
    <n v="1"/>
    <n v="1"/>
    <s v="назначение на целевую должность"/>
    <d v="2021-09-20T00:00:00"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19"/>
    <x v="711"/>
    <n v="6"/>
    <s v="Подразделение6"/>
    <s v="подразделение_2_уровня6"/>
    <s v="подразделение_3_уровня6"/>
    <s v="линейный_руководитель_1"/>
    <n v="6"/>
    <s v="да"/>
    <d v="2021-09-22T00:00:00"/>
    <d v="2021-09-20T00:00:00"/>
    <s v="из резерва (учитываем)"/>
    <n v="692"/>
    <s v="Поминов Николай Иванович"/>
    <n v="1792"/>
    <s v="Тимофеев Глеб Михайлович"/>
    <s v="Рабочий"/>
    <s v="Подразделение2"/>
    <x v="2"/>
    <x v="2"/>
    <n v="0"/>
    <n v="0"/>
    <s v="увольнение"/>
    <d v="2022-09-23T00:00:00"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19"/>
    <x v="71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3"/>
    <s v="Романов Алексей Тимофеевич"/>
    <n v="1786"/>
    <s v="Кириллов Геннад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3"/>
    <s v="Романов Алексей Тимофеевич"/>
    <n v="1787"/>
    <s v="Ветров Юр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3"/>
    <s v="Романов Алексей Тимофеевич"/>
    <n v="1788"/>
    <s v="Тимофеев Матвей Гераси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1-09-27T00:00:00"/>
    <n v="0"/>
    <s v="не защищена"/>
    <n v="500319"/>
    <x v="71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1"/>
    <s v="Волков Николай Иванович"/>
    <n v="1789"/>
    <s v="Незнамов Матвей Ефрем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9"/>
    <x v="71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1"/>
    <s v="Волков Николай Иванович"/>
    <n v="1790"/>
    <s v="Ветров Витал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9"/>
    <x v="71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1"/>
    <s v="Волков Николай Иванович"/>
    <n v="1791"/>
    <s v="Незнамов Юр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3"/>
    <s v="Романов Алексей Тимофеевич"/>
    <n v="1792"/>
    <s v="Тимофеев Глеб Михайлович"/>
    <s v="Рабочий"/>
    <s v="Подразделение2"/>
    <x v="2"/>
    <x v="2"/>
    <n v="0"/>
    <n v="0"/>
    <s v="увольнение"/>
    <d v="2022-09-23T00:00:00"/>
    <s v="не рассматривали"/>
    <s v="протокол-№-05.10.2020"/>
  </r>
  <r>
    <s v="Функциональное направление 10"/>
    <n v="4"/>
    <d v="2020-10-05T00:00:00"/>
    <n v="1"/>
    <s v="не защищена"/>
    <n v="500319"/>
    <x v="71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4"/>
    <s v="Бураков Тихон Григорьевич"/>
    <n v="1786"/>
    <s v="Кириллов Геннад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4"/>
    <s v="Бураков Тихон Григорьевич"/>
    <n v="1787"/>
    <s v="Ветров Юр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4"/>
    <s v="Бураков Тихон Григорьевич"/>
    <n v="1788"/>
    <s v="Тимофеев Матвей Гераси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1-09-27T00:00:00"/>
    <n v="0"/>
    <s v="не защищена"/>
    <n v="500319"/>
    <x v="71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4"/>
    <s v="Бураков Тихон Григорьевич"/>
    <n v="1789"/>
    <s v="Незнамов Матвей Ефрем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9"/>
    <x v="71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4"/>
    <s v="Бураков Тихон Григорьевич"/>
    <n v="1790"/>
    <s v="Ветров Витал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19"/>
    <x v="71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4"/>
    <s v="Бураков Тихон Григорьевич"/>
    <n v="1791"/>
    <s v="Незнамов Юрий Александрович"/>
    <s v="Рабочий"/>
    <s v="Подразделение6"/>
    <x v="2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19"/>
    <x v="713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4"/>
    <s v="Бураков Тихон Григорьевич"/>
    <n v="1792"/>
    <s v="Тимофеев Глеб Михайлович"/>
    <s v="Рабочий"/>
    <s v="Подразделение2"/>
    <x v="2"/>
    <x v="2"/>
    <n v="0"/>
    <n v="0"/>
    <s v="увольнение"/>
    <d v="2022-09-23T00:00:00"/>
    <s v="не рассматривали"/>
    <s v="протокол-№-05.10.2020"/>
  </r>
  <r>
    <s v="Функциональное направление 10"/>
    <n v="4"/>
    <d v="2020-10-05T00:00:00"/>
    <n v="1"/>
    <s v="не защищена"/>
    <n v="500320"/>
    <x v="714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695"/>
    <s v="Волков Алексей Иванович"/>
    <n v="699"/>
    <s v="Романов Константин Иванович"/>
    <s v="линейный_руководитель_2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0"/>
    <x v="714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695"/>
    <s v="Волков Алексей Иванович"/>
    <n v="1793"/>
    <s v="Тимофеев Глеб Геннадьевич"/>
    <s v="Рабочий"/>
    <s v="Подразделение6"/>
    <x v="0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21"/>
    <x v="71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6"/>
    <s v="Цветков Кирилл Романович"/>
    <n v="1794"/>
    <s v="Ветров Виталий Ефремо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1"/>
    <x v="71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6"/>
    <s v="Цветков Кирилл Романович"/>
    <n v="1795"/>
    <s v="Игнатьев Геннадий Семенович"/>
    <s v="Рабочий"/>
    <s v="Подразделение6"/>
    <x v="2"/>
    <x v="0"/>
    <n v="1"/>
    <n v="0"/>
    <m/>
    <m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21"/>
    <x v="71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6"/>
    <s v="Цветков Кирилл Романович"/>
    <n v="1796"/>
    <s v="Незнамов Виталий Александро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21"/>
    <x v="71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6"/>
    <s v="Цветков Кирилл Романович"/>
    <n v="1797"/>
    <s v="Незнамов Константин Александрович"/>
    <s v="Рабочий"/>
    <s v="Подразделение6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21"/>
    <x v="71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6"/>
    <s v="Цветков Кирилл Романович"/>
    <n v="1798"/>
    <s v="Степанов Виталий Ефремович"/>
    <s v="Рабочий"/>
    <s v="Подразделение6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0-10-05T00:00:00"/>
    <n v="1"/>
    <s v="не защищена"/>
    <n v="500321"/>
    <x v="71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7"/>
    <s v="Баранкин Кирилл Тимофеевич"/>
    <n v="1794"/>
    <s v="Ветров Витал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1"/>
    <x v="71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7"/>
    <s v="Баранкин Кирилл Тимофеевич"/>
    <n v="1795"/>
    <s v="Игнатьев Геннадий Семенович"/>
    <s v="Рабочий"/>
    <s v="Подразделение6"/>
    <x v="2"/>
    <x v="0"/>
    <n v="0"/>
    <n v="0"/>
    <m/>
    <m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21"/>
    <x v="71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7"/>
    <s v="Баранкин Кирилл Тимофеевич"/>
    <n v="1796"/>
    <s v="Незнамов Виталий Александр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21"/>
    <x v="71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7"/>
    <s v="Баранкин Кирилл Тимофеевич"/>
    <n v="1797"/>
    <s v="Незнамов Константин Александр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21"/>
    <x v="716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7"/>
    <s v="Баранкин Кирилл Тимофеевич"/>
    <n v="1798"/>
    <s v="Степанов Виталий Ефрем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05T00:00:00"/>
    <n v="1"/>
    <s v="не защищена"/>
    <n v="500321"/>
    <x v="71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8"/>
    <s v="Романов Венедикт Александрович"/>
    <n v="1794"/>
    <s v="Ветров Витал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1"/>
    <x v="71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8"/>
    <s v="Романов Венедикт Александрович"/>
    <n v="1795"/>
    <s v="Игнатьев Геннадий Семенович"/>
    <s v="Рабочий"/>
    <s v="Подразделение6"/>
    <x v="2"/>
    <x v="0"/>
    <n v="0"/>
    <n v="0"/>
    <m/>
    <m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21"/>
    <x v="71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8"/>
    <s v="Романов Венедикт Александрович"/>
    <n v="1796"/>
    <s v="Незнамов Виталий Александр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21"/>
    <x v="71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8"/>
    <s v="Романов Венедикт Александрович"/>
    <n v="1797"/>
    <s v="Незнамов Константин Александр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21"/>
    <x v="71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8"/>
    <s v="Романов Венедикт Александрович"/>
    <n v="1798"/>
    <s v="Степанов Виталий Ефрем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05T00:00:00"/>
    <n v="1"/>
    <s v="не защищена"/>
    <n v="500321"/>
    <x v="718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9"/>
    <s v="Романов Константин Иванович"/>
    <n v="1794"/>
    <s v="Ветров Витал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1"/>
    <x v="718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9"/>
    <s v="Романов Константин Иванович"/>
    <n v="1795"/>
    <s v="Игнатьев Геннадий Семенович"/>
    <s v="Рабочий"/>
    <s v="Подразделение6"/>
    <x v="2"/>
    <x v="0"/>
    <n v="0"/>
    <n v="0"/>
    <m/>
    <m/>
    <s v="не рассматривали"/>
    <s v="протокол-№-05.10.2020"/>
  </r>
  <r>
    <s v="Функциональное направление 10"/>
    <n v="4"/>
    <d v="2020-10-05T00:00:00"/>
    <n v="0"/>
    <s v="не защищена"/>
    <n v="500321"/>
    <x v="718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9"/>
    <s v="Романов Константин Иванович"/>
    <n v="1796"/>
    <s v="Незнамов Виталий Александр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21"/>
    <x v="718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9"/>
    <s v="Романов Константин Иванович"/>
    <n v="1797"/>
    <s v="Незнамов Константин Александр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321"/>
    <x v="718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699"/>
    <s v="Романов Константин Иванович"/>
    <n v="1798"/>
    <s v="Степанов Виталий Ефремо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05T00:00:00"/>
    <n v="1"/>
    <s v="не защищена"/>
    <n v="500322"/>
    <x v="719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700"/>
    <s v="Романов Валерий Александрович"/>
    <n v="703"/>
    <s v="Конеев Венедикт Владимирович"/>
    <s v="линейный_руководитель_2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2"/>
    <x v="719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700"/>
    <s v="Романов Валерий Александрович"/>
    <n v="1799"/>
    <s v="Ветров Матвей Герасимович"/>
    <s v="Специалист"/>
    <s v="Подразделение6"/>
    <x v="0"/>
    <x v="0"/>
    <n v="1"/>
    <n v="0"/>
    <m/>
    <m/>
    <s v="повышение"/>
    <s v="протокол-№-25.10.2022"/>
  </r>
  <r>
    <s v="Функциональное направление 10"/>
    <n v="4"/>
    <d v="2020-10-05T00:00:00"/>
    <n v="0"/>
    <s v="не защищена"/>
    <n v="500322"/>
    <x v="719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700"/>
    <s v="Романов Валерий Александрович"/>
    <n v="1800"/>
    <s v="Брежнев Виталий Климович"/>
    <s v="Рабочий"/>
    <s v="Подразделение6"/>
    <x v="0"/>
    <x v="0"/>
    <n v="1"/>
    <n v="0"/>
    <m/>
    <m/>
    <s v="повышение"/>
    <s v="протокол-№-25.10.2022"/>
  </r>
  <r>
    <s v="Функциональное направление 10"/>
    <n v="4"/>
    <d v="2020-10-05T00:00:00"/>
    <n v="0"/>
    <s v="не защищена"/>
    <n v="500322"/>
    <x v="719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700"/>
    <s v="Романов Валерий Александрович"/>
    <n v="1801"/>
    <s v="Ветров Савелий Геннадьевич"/>
    <s v="Рабочий"/>
    <s v="Подразделение6"/>
    <x v="0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1"/>
    <s v="не защищена"/>
    <n v="500323"/>
    <x v="72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1"/>
    <s v="Баранкин Алексей Тимофеевич"/>
    <n v="1801"/>
    <s v="Ветров Савелий Геннадье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3"/>
    <x v="72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1"/>
    <s v="Баранкин Алексей Тимофеевич"/>
    <n v="1800"/>
    <s v="Брежнев Виталий Кли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1-09-27T00:00:00"/>
    <n v="1"/>
    <s v="не защищена"/>
    <n v="500323"/>
    <x v="72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2"/>
    <s v="Волков Николай Тимофеевич"/>
    <n v="1802"/>
    <s v="Незнамов Константин Богданович"/>
    <s v="Рабочий"/>
    <s v="Подразделение6"/>
    <x v="0"/>
    <x v="0"/>
    <n v="1"/>
    <n v="0"/>
    <m/>
    <m/>
    <s v="повышение"/>
    <s v="протокол-№-25.10.2022"/>
  </r>
  <r>
    <s v="Функциональное направление 10"/>
    <n v="4"/>
    <d v="2020-10-05T00:00:00"/>
    <n v="0"/>
    <s v="не защищена"/>
    <n v="500323"/>
    <x v="72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1"/>
    <s v="Баранкин Алексей Тимофеевич"/>
    <n v="1803"/>
    <s v="Дмитриев Савелий Кондратьевич"/>
    <s v="Рабочий"/>
    <s v="Подразделение6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1-09-27T00:00:00"/>
    <n v="0"/>
    <s v="не защищена"/>
    <n v="500323"/>
    <x v="72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2"/>
    <s v="Волков Николай Тимофеевич"/>
    <n v="1804"/>
    <s v="Тимофеев Геннадий Маркович"/>
    <s v="Рабочий"/>
    <s v="Подразделение6"/>
    <x v="2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1"/>
    <s v="не защищена"/>
    <n v="500323"/>
    <x v="722"/>
    <n v="6"/>
    <s v="Подразделение6"/>
    <s v="подразделение_2_уровня6"/>
    <s v="подразделение_3_уровня6"/>
    <s v="линейный_руководитель_1"/>
    <n v="6"/>
    <s v="да"/>
    <d v="2022-04-28T00:00:00"/>
    <d v="2022-08-15T00:00:00"/>
    <s v="внутр. сотр. (учитываем)"/>
    <n v="703"/>
    <s v="Конеев Венедикт Владимирович"/>
    <n v="1801"/>
    <s v="Ветров Савелий Геннадье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3"/>
    <x v="722"/>
    <n v="6"/>
    <s v="Подразделение6"/>
    <s v="подразделение_2_уровня6"/>
    <s v="подразделение_3_уровня6"/>
    <s v="линейный_руководитель_1"/>
    <n v="6"/>
    <s v="да"/>
    <d v="2022-04-28T00:00:00"/>
    <d v="2022-08-15T00:00:00"/>
    <s v="внутр. сотр. (учитываем)"/>
    <n v="703"/>
    <s v="Конеев Венедикт Владимирович"/>
    <n v="1800"/>
    <s v="Брежнев Виталий Кли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1-09-27T00:00:00"/>
    <n v="0"/>
    <s v="не защищена"/>
    <n v="500323"/>
    <x v="722"/>
    <n v="6"/>
    <s v="Подразделение6"/>
    <s v="подразделение_2_уровня6"/>
    <s v="подразделение_3_уровня6"/>
    <s v="линейный_руководитель_1"/>
    <n v="6"/>
    <s v="да"/>
    <d v="2022-04-28T00:00:00"/>
    <d v="2022-08-15T00:00:00"/>
    <s v="внутр. сотр. (учитываем)"/>
    <n v="703"/>
    <s v="Конеев Венедикт Владимирович"/>
    <n v="1802"/>
    <s v="Незнамов Константин Богданович"/>
    <s v="Рабочий"/>
    <s v="Подразделение6"/>
    <x v="0"/>
    <x v="0"/>
    <n v="0"/>
    <n v="0"/>
    <m/>
    <m/>
    <s v="повышение"/>
    <s v="протокол-№-25.10.2022"/>
  </r>
  <r>
    <s v="Функциональное направление 10"/>
    <n v="4"/>
    <d v="2020-10-05T00:00:00"/>
    <n v="0"/>
    <s v="не защищена"/>
    <n v="500323"/>
    <x v="722"/>
    <n v="6"/>
    <s v="Подразделение6"/>
    <s v="подразделение_2_уровня6"/>
    <s v="подразделение_3_уровня6"/>
    <s v="линейный_руководитель_1"/>
    <n v="6"/>
    <s v="да"/>
    <d v="2022-04-28T00:00:00"/>
    <d v="2022-08-15T00:00:00"/>
    <s v="внутр. сотр. (учитываем)"/>
    <n v="703"/>
    <s v="Конеев Венедикт Владимирович"/>
    <n v="1803"/>
    <s v="Дмитриев Савелий Кондратье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1-09-27T00:00:00"/>
    <n v="0"/>
    <s v="не защищена"/>
    <n v="500323"/>
    <x v="722"/>
    <n v="6"/>
    <s v="Подразделение6"/>
    <s v="подразделение_2_уровня6"/>
    <s v="подразделение_3_уровня6"/>
    <s v="линейный_руководитель_1"/>
    <n v="6"/>
    <s v="да"/>
    <d v="2022-04-28T00:00:00"/>
    <d v="2022-08-15T00:00:00"/>
    <s v="внутр. сотр. (учитываем)"/>
    <n v="703"/>
    <s v="Конеев Венедикт Владимирович"/>
    <n v="1804"/>
    <s v="Тимофеев Геннадий Маркович"/>
    <s v="Рабочий"/>
    <s v="Подразделение6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0"/>
    <s v="не защищена"/>
    <n v="500323"/>
    <x v="72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2"/>
    <s v="Волков Николай Тимофеевич"/>
    <n v="1801"/>
    <s v="Ветров Савелий Геннадье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3"/>
    <x v="72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2"/>
    <s v="Волков Николай Тимофеевич"/>
    <n v="1800"/>
    <s v="Брежнев Виталий Кли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1-09-27T00:00:00"/>
    <n v="0"/>
    <s v="не защищена"/>
    <n v="500323"/>
    <x v="72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1"/>
    <s v="Баранкин Алексей Тимофеевич"/>
    <n v="1802"/>
    <s v="Незнамов Константин Богданович"/>
    <s v="Рабочий"/>
    <s v="Подразделение6"/>
    <x v="0"/>
    <x v="0"/>
    <n v="0"/>
    <n v="0"/>
    <m/>
    <m/>
    <s v="повышение"/>
    <s v="протокол-№-25.10.2022"/>
  </r>
  <r>
    <s v="Функциональное направление 10"/>
    <n v="4"/>
    <d v="2020-10-05T00:00:00"/>
    <n v="0"/>
    <s v="не защищена"/>
    <n v="500323"/>
    <x v="72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2"/>
    <s v="Волков Николай Тимофеевич"/>
    <n v="1803"/>
    <s v="Дмитриев Савелий Кондратье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1-09-27T00:00:00"/>
    <n v="0"/>
    <s v="не защищена"/>
    <n v="500323"/>
    <x v="72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1"/>
    <s v="Баранкин Алексей Тимофеевич"/>
    <n v="1804"/>
    <s v="Тимофеев Геннадий Маркович"/>
    <s v="Рабочий"/>
    <s v="Подразделение6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05T00:00:00"/>
    <n v="1"/>
    <s v="не защищена"/>
    <n v="500324"/>
    <x v="723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704"/>
    <s v="Волков Николай Романович"/>
    <n v="1805"/>
    <s v="Тимофеев Виталий Ефре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24"/>
    <x v="723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704"/>
    <s v="Волков Николай Романович"/>
    <n v="1806"/>
    <s v="Незнамов Савелий Ефремович"/>
    <s v="Рабочий"/>
    <s v="Подразделение6"/>
    <x v="2"/>
    <x v="0"/>
    <n v="1"/>
    <n v="0"/>
    <m/>
    <m/>
    <s v="не рассматривали"/>
    <s v="протокол-№-25.10.2022"/>
  </r>
  <r>
    <s v="Функциональное направление 10"/>
    <n v="3"/>
    <d v="2018-12-24T00:00:00"/>
    <n v="1"/>
    <s v="не защищена"/>
    <n v="500020"/>
    <x v="724"/>
    <n v="7"/>
    <s v="Подразделение7"/>
    <s v="подразделение_2_уровня7"/>
    <s v="подразделение_3_уровня7"/>
    <s v="руководитель_среднего_уровня_4"/>
    <n v="5"/>
    <s v="нет"/>
    <m/>
    <m/>
    <m/>
    <n v="705"/>
    <s v="Романов Венедикт Денисович"/>
    <n v="777"/>
    <s v="Баранкин Кирилл Александрович"/>
    <s v="линейный_руководитель_2"/>
    <s v="Подразделение7"/>
    <x v="1"/>
    <x v="0"/>
    <n v="1"/>
    <n v="0"/>
    <m/>
    <m/>
    <s v="повышение"/>
    <s v="протокол-№-28.06.2022"/>
  </r>
  <r>
    <s v="Функциональное направление 10"/>
    <n v="3"/>
    <d v="2018-12-24T00:00:00"/>
    <n v="0"/>
    <s v="не защищена"/>
    <n v="500020"/>
    <x v="724"/>
    <n v="7"/>
    <s v="Подразделение7"/>
    <s v="подразделение_2_уровня7"/>
    <s v="подразделение_3_уровня7"/>
    <s v="руководитель_среднего_уровня_4"/>
    <n v="5"/>
    <s v="нет"/>
    <m/>
    <m/>
    <m/>
    <n v="705"/>
    <s v="Романов Венедикт Денисович"/>
    <n v="775"/>
    <s v="Русланов Николай Александрович"/>
    <s v="линейный_руководитель_2"/>
    <s v="Подразделение7"/>
    <x v="1"/>
    <x v="0"/>
    <n v="1"/>
    <n v="0"/>
    <m/>
    <m/>
    <s v="повышение"/>
    <s v="протокол-№-28.06.2022"/>
  </r>
  <r>
    <s v="Функциональное направление 10"/>
    <n v="4"/>
    <d v="2020-10-05T00:00:00"/>
    <n v="1"/>
    <s v="не защищена"/>
    <n v="500325"/>
    <x v="725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6"/>
    <s v="Романов Николай Юрьевич"/>
    <n v="1808"/>
    <s v="Степанов Савелий Ефремович"/>
    <s v="Рабочий"/>
    <s v="Подразделение6"/>
    <x v="1"/>
    <x v="0"/>
    <n v="1"/>
    <n v="0"/>
    <m/>
    <m/>
    <s v="повышение"/>
    <s v="протокол-№-25.10.2022"/>
  </r>
  <r>
    <s v="Функциональное направление 10"/>
    <n v="4"/>
    <d v="2020-10-05T00:00:00"/>
    <n v="1"/>
    <s v="не защищена"/>
    <n v="500325"/>
    <x v="726"/>
    <n v="6"/>
    <s v="Подразделение6"/>
    <s v="подразделение_2_уровня6"/>
    <s v="подразделение_3_уровня6"/>
    <s v="линейный_руководитель_1"/>
    <n v="6"/>
    <s v="да"/>
    <d v="2023-04-04T00:00:00"/>
    <m/>
    <m/>
    <s v="вакансия"/>
    <s v="вакансия"/>
    <n v="1808"/>
    <s v="Степанов Савелий Ефремович"/>
    <s v="Рабочий"/>
    <s v="Подразделение6"/>
    <x v="1"/>
    <x v="0"/>
    <n v="0"/>
    <n v="0"/>
    <m/>
    <m/>
    <s v="повышение"/>
    <s v="протокол-№-25.10.2022"/>
  </r>
  <r>
    <s v="Функциональное направление 10"/>
    <n v="4"/>
    <d v="2020-10-05T00:00:00"/>
    <n v="1"/>
    <s v="не защищена"/>
    <n v="500325"/>
    <x v="72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7"/>
    <s v="Вобликов Венедикт Юрьевич"/>
    <n v="1808"/>
    <s v="Степанов Савелий Ефремович"/>
    <s v="Рабочий"/>
    <s v="Подразделение6"/>
    <x v="1"/>
    <x v="0"/>
    <n v="0"/>
    <n v="0"/>
    <m/>
    <m/>
    <s v="повышение"/>
    <s v="протокол-№-25.10.2022"/>
  </r>
  <r>
    <s v="Функциональное направление 10"/>
    <n v="4"/>
    <d v="2020-10-05T00:00:00"/>
    <n v="1"/>
    <s v="не защищена"/>
    <n v="500325"/>
    <x v="728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8"/>
    <s v="Конеев Кирилл Егорович"/>
    <n v="1808"/>
    <s v="Степанов Савелий Ефремович"/>
    <s v="Рабочий"/>
    <s v="Подразделение6"/>
    <x v="1"/>
    <x v="0"/>
    <n v="0"/>
    <n v="0"/>
    <m/>
    <m/>
    <s v="повышение"/>
    <s v="протокол-№-25.10.2022"/>
  </r>
  <r>
    <s v="Функциональное направление 10"/>
    <n v="4"/>
    <d v="2020-10-05T00:00:00"/>
    <n v="1"/>
    <s v="не защищена"/>
    <n v="500326"/>
    <x v="729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9"/>
    <s v="Русланов Венедикт Максимович"/>
    <n v="1809"/>
    <s v="Игнатьев Матвей Семено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6"/>
    <x v="729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9"/>
    <s v="Русланов Венедикт Максимович"/>
    <n v="1810"/>
    <s v="Тимофеев Константин Михайлович"/>
    <s v="Рабочий"/>
    <s v="Подразделение6"/>
    <x v="1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26"/>
    <x v="729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09"/>
    <s v="Русланов Венедикт Максимович"/>
    <n v="1759"/>
    <s v="Ветров Виталий Александр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26"/>
    <x v="73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10"/>
    <s v="Ефремов Степан Денисович"/>
    <n v="1809"/>
    <s v="Игнатьев Матвей Семен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6"/>
    <x v="73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10"/>
    <s v="Ефремов Степан Денисович"/>
    <n v="1810"/>
    <s v="Тимофеев Константин Михайл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26"/>
    <x v="730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10"/>
    <s v="Ефремов Степан Денисович"/>
    <n v="1759"/>
    <s v="Ветров Виталий Александр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26"/>
    <x v="73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11"/>
    <s v="Бураков Алексей Кириллович"/>
    <n v="1809"/>
    <s v="Игнатьев Матвей Семен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6"/>
    <x v="73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11"/>
    <s v="Бураков Алексей Кириллович"/>
    <n v="1810"/>
    <s v="Тимофеев Константин Михайл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26"/>
    <x v="731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11"/>
    <s v="Бураков Алексей Кириллович"/>
    <n v="1759"/>
    <s v="Ветров Виталий Александр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1"/>
    <s v="не защищена"/>
    <n v="500326"/>
    <x v="73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12"/>
    <s v="Цветков Константин Денисович"/>
    <n v="1809"/>
    <s v="Игнатьев Матвей Семен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6"/>
    <x v="73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12"/>
    <s v="Цветков Константин Денисович"/>
    <n v="1810"/>
    <s v="Тимофеев Константин Михайл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326"/>
    <x v="732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712"/>
    <s v="Цветков Константин Денисович"/>
    <n v="1759"/>
    <s v="Ветров Виталий Александр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3"/>
    <d v="2022-06-28T00:00:00"/>
    <n v="1"/>
    <s v="не защищена"/>
    <n v="500021"/>
    <x v="733"/>
    <n v="7"/>
    <s v="Подразделение7"/>
    <s v="подразделение_2_уровня7"/>
    <s v="подразделение_3_уровня7"/>
    <s v="руководитель_среднего_уровня_4"/>
    <n v="5"/>
    <s v="да"/>
    <d v="2022-05-20T00:00:00"/>
    <d v="2022-05-20T00:00:00"/>
    <s v="из резерва (учитываем)"/>
    <n v="713"/>
    <s v="Романов Алексей Денисович"/>
    <n v="757"/>
    <s v="Пальчиков Валерий Тимофеевич"/>
    <s v="линейный_руководитель_2"/>
    <s v="Подразделение7"/>
    <x v="2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21"/>
    <x v="733"/>
    <n v="7"/>
    <s v="Подразделение7"/>
    <s v="подразделение_2_уровня7"/>
    <s v="подразделение_3_уровня7"/>
    <s v="руководитель_среднего_уровня_4"/>
    <n v="5"/>
    <s v="да"/>
    <d v="2022-05-20T00:00:00"/>
    <d v="2022-05-20T00:00:00"/>
    <s v="из резерва (учитываем)"/>
    <n v="713"/>
    <s v="Романов Алексей Денисович"/>
    <n v="713"/>
    <s v="Романов Алексей Денисович"/>
    <s v="линейный_руководитель_2"/>
    <s v="Подразделение7"/>
    <x v="1"/>
    <x v="1"/>
    <n v="1"/>
    <n v="1"/>
    <s v="назначение на целевую должность"/>
    <d v="2022-05-20T00:00:00"/>
    <s v="повышение"/>
    <s v="протокол-№-22.06.2021"/>
  </r>
  <r>
    <s v="Функциональное направление 10"/>
    <n v="3"/>
    <d v="2020-07-27T00:00:00"/>
    <n v="1"/>
    <s v="не защищена"/>
    <n v="500022"/>
    <x v="734"/>
    <n v="21"/>
    <s v="Подразделение21"/>
    <s v="подразделение_2_уровня21"/>
    <s v="-"/>
    <s v="функциональный_руководитель_1"/>
    <n v="6"/>
    <s v="нет"/>
    <m/>
    <m/>
    <m/>
    <n v="714"/>
    <s v="Волков Алексей Александрович"/>
    <n v="1811"/>
    <s v="Дмитриев Савелий Ефремович"/>
    <s v="Специалист"/>
    <s v="Подразделение21"/>
    <x v="1"/>
    <x v="0"/>
    <n v="1"/>
    <n v="0"/>
    <m/>
    <m/>
    <s v="без изменений"/>
    <s v="протокол-№-28.06.2022"/>
  </r>
  <r>
    <s v="Функциональное направление 10"/>
    <n v="3"/>
    <d v="2022-06-28T00:00:00"/>
    <n v="0"/>
    <s v="не защищена"/>
    <n v="500022"/>
    <x v="734"/>
    <n v="21"/>
    <s v="Подразделение21"/>
    <s v="подразделение_2_уровня21"/>
    <s v="-"/>
    <s v="функциональный_руководитель_1"/>
    <n v="6"/>
    <s v="нет"/>
    <m/>
    <m/>
    <m/>
    <n v="714"/>
    <s v="Волков Алексей Александрович"/>
    <n v="729"/>
    <s v="Романов Кирилл Тимофеевич"/>
    <s v="линейный_руководитель_2"/>
    <s v="Подразделение21"/>
    <x v="0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1"/>
    <s v="не защищена"/>
    <n v="500042"/>
    <x v="735"/>
    <n v="21"/>
    <s v="Подразделение21"/>
    <s v="подразделение_2_уровня21"/>
    <s v="-"/>
    <s v="руководитель_среднего_уровня_4"/>
    <n v="6"/>
    <s v="нет"/>
    <m/>
    <m/>
    <m/>
    <n v="715"/>
    <s v="Вобликов Григорий Тимофеевич"/>
    <n v="724"/>
    <s v="Вобликов Алексей Тимофеевич"/>
    <s v="линейный_руководитель_2"/>
    <s v="Подразделение21"/>
    <x v="1"/>
    <x v="0"/>
    <n v="1"/>
    <n v="0"/>
    <m/>
    <m/>
    <s v="повышение"/>
    <s v="протокол-№-28.06.2022"/>
  </r>
  <r>
    <s v="Функциональное направление 10"/>
    <n v="3"/>
    <d v="2020-07-27T00:00:00"/>
    <n v="0"/>
    <s v="не защищена"/>
    <n v="500042"/>
    <x v="735"/>
    <n v="21"/>
    <s v="Подразделение21"/>
    <s v="подразделение_2_уровня21"/>
    <s v="-"/>
    <s v="руководитель_среднего_уровня_4"/>
    <n v="6"/>
    <s v="нет"/>
    <m/>
    <m/>
    <m/>
    <n v="715"/>
    <s v="Вобликов Григорий Тимофеевич"/>
    <n v="722"/>
    <s v="Русланов Алексей Михайлович"/>
    <s v="линейный_руководитель_2"/>
    <s v="Подразделение21"/>
    <x v="0"/>
    <x v="0"/>
    <n v="1"/>
    <n v="0"/>
    <m/>
    <m/>
    <s v="без изменений"/>
    <s v="протокол-№-28.06.2022"/>
  </r>
  <r>
    <s v="Функциональное направление 10"/>
    <n v="3"/>
    <d v="2022-06-28T00:00:00"/>
    <n v="0"/>
    <s v="не защищена"/>
    <n v="500042"/>
    <x v="735"/>
    <n v="21"/>
    <s v="Подразделение21"/>
    <s v="подразделение_2_уровня21"/>
    <s v="-"/>
    <s v="руководитель_среднего_уровня_4"/>
    <n v="6"/>
    <s v="нет"/>
    <m/>
    <m/>
    <m/>
    <n v="715"/>
    <s v="Вобликов Григорий Тимофеевич"/>
    <n v="725"/>
    <s v="Баранкин Федот Михайлович"/>
    <s v="линейный_руководитель_2"/>
    <s v="Подразделение21"/>
    <x v="2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1"/>
    <s v="не защищена"/>
    <n v="500043"/>
    <x v="736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19-08-15T00:00:00"/>
    <d v="2019-08-15T00:00:00"/>
    <s v="внутр. сотр. (не учитываем)"/>
    <n v="716"/>
    <s v="Романов Алексей Александрович"/>
    <n v="686"/>
    <s v="Вобликов Кирилл Григорьевич"/>
    <s v="линейный_руководитель_2"/>
    <s v="Подразделение6"/>
    <x v="0"/>
    <x v="0"/>
    <n v="1"/>
    <n v="0"/>
    <m/>
    <m/>
    <s v="повышение"/>
    <s v="протокол-№-28.06.2022"/>
  </r>
  <r>
    <s v="Функциональное направление 10"/>
    <n v="3"/>
    <d v="2021-12-08T00:00:00"/>
    <n v="0"/>
    <s v="не защищена"/>
    <n v="500043"/>
    <x v="736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19-08-15T00:00:00"/>
    <d v="2019-08-15T00:00:00"/>
    <s v="внутр. сотр. (не учитываем)"/>
    <n v="716"/>
    <s v="Романов Алексей Александрович"/>
    <n v="688"/>
    <s v="Баранкин Тихон Кириллович"/>
    <s v="линейный_руководитель_2"/>
    <s v="Подразделение6"/>
    <x v="1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43"/>
    <x v="736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19-08-15T00:00:00"/>
    <d v="2019-08-15T00:00:00"/>
    <s v="внутр. сотр. (не учитываем)"/>
    <n v="716"/>
    <s v="Романов Алексей Александрович"/>
    <n v="684"/>
    <s v="Русланов Федот Романович"/>
    <s v="линейный_руководитель_2"/>
    <s v="Подразделение6"/>
    <x v="2"/>
    <x v="2"/>
    <n v="1"/>
    <n v="0"/>
    <s v="инициатива комитета / руководителя"/>
    <d v="2022-06-28T00:00:00"/>
    <s v="исключение"/>
    <s v="протокол-№-28.06.2022"/>
  </r>
  <r>
    <s v="Функциональное направление 10"/>
    <n v="3"/>
    <d v="2021-12-08T00:00:00"/>
    <n v="0"/>
    <s v="не защищена"/>
    <n v="500043"/>
    <x v="736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19-08-15T00:00:00"/>
    <d v="2019-08-15T00:00:00"/>
    <s v="внутр. сотр. (не учитываем)"/>
    <n v="716"/>
    <s v="Романов Алексей Александрович"/>
    <n v="1779"/>
    <s v="Тимофеев Савелий Геннадьевич"/>
    <s v="Рабочий"/>
    <s v="Подразделение6"/>
    <x v="2"/>
    <x v="2"/>
    <n v="1"/>
    <n v="0"/>
    <s v="инициатива комитета / руководителя"/>
    <d v="2022-06-28T00:00:00"/>
    <s v="исключение"/>
    <s v="протокол-№-28.06.2022"/>
  </r>
  <r>
    <s v="Функциональное направление 10"/>
    <n v="4"/>
    <d v="2022-10-24T00:00:00"/>
    <n v="1"/>
    <s v="не защищена"/>
    <n v="500151"/>
    <x v="737"/>
    <n v="21"/>
    <s v="Подразделение21"/>
    <s v="подразделение_2_уровня21"/>
    <s v="-"/>
    <s v="линейный_руководитель_1"/>
    <n v="7"/>
    <s v="нет"/>
    <m/>
    <m/>
    <m/>
    <n v="717"/>
    <s v="Русланов Алексей Максимович"/>
    <n v="1815"/>
    <s v="Ветров Виталий Кондратьевич"/>
    <s v="Рабочий"/>
    <s v="Подразделение21"/>
    <x v="2"/>
    <x v="0"/>
    <n v="1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1"/>
    <x v="737"/>
    <n v="21"/>
    <s v="Подразделение21"/>
    <s v="подразделение_2_уровня21"/>
    <s v="-"/>
    <s v="линейный_руководитель_1"/>
    <n v="7"/>
    <s v="нет"/>
    <m/>
    <m/>
    <m/>
    <n v="717"/>
    <s v="Русланов Алексей Максимович"/>
    <n v="1816"/>
    <s v="Кирилл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1"/>
    <x v="737"/>
    <n v="21"/>
    <s v="Подразделение21"/>
    <s v="подразделение_2_уровня21"/>
    <s v="-"/>
    <s v="линейный_руководитель_1"/>
    <n v="7"/>
    <s v="нет"/>
    <m/>
    <m/>
    <m/>
    <n v="717"/>
    <s v="Русланов Алексей Максимович"/>
    <n v="728"/>
    <s v="Ефремов Федот Юрьевич"/>
    <s v="Рабочий"/>
    <s v="Подразделение21"/>
    <x v="2"/>
    <x v="2"/>
    <n v="1"/>
    <n v="0"/>
    <s v="назначение на равнозначную должность"/>
    <d v="2022-03-11T00:00:00"/>
    <s v="не рассматривали"/>
    <s v="протокол-№-14.10.2020"/>
  </r>
  <r>
    <s v="Функциональное направление 10"/>
    <n v="4"/>
    <d v="2022-10-24T00:00:00"/>
    <n v="1"/>
    <s v="не защищена"/>
    <n v="500151"/>
    <x v="738"/>
    <n v="21"/>
    <s v="Подразделение21"/>
    <s v="подразделение_2_уровня21"/>
    <s v="-"/>
    <s v="линейный_руководитель_1"/>
    <n v="7"/>
    <s v="нет"/>
    <m/>
    <m/>
    <m/>
    <n v="718"/>
    <s v="Бураков Кирилл Владиславович"/>
    <n v="1815"/>
    <s v="Ветров Виталий Кондратье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1"/>
    <x v="738"/>
    <n v="21"/>
    <s v="Подразделение21"/>
    <s v="подразделение_2_уровня21"/>
    <s v="-"/>
    <s v="линейный_руководитель_1"/>
    <n v="7"/>
    <s v="нет"/>
    <m/>
    <m/>
    <m/>
    <n v="718"/>
    <s v="Бураков Кирилл Владиславович"/>
    <n v="1816"/>
    <s v="Кирилл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1"/>
    <x v="738"/>
    <n v="21"/>
    <s v="Подразделение21"/>
    <s v="подразделение_2_уровня21"/>
    <s v="-"/>
    <s v="линейный_руководитель_1"/>
    <n v="7"/>
    <s v="нет"/>
    <m/>
    <m/>
    <m/>
    <n v="718"/>
    <s v="Бураков Кирилл Владиславович"/>
    <n v="728"/>
    <s v="Ефремов Федот Юрьевич"/>
    <s v="Рабочий"/>
    <s v="Подразделение21"/>
    <x v="2"/>
    <x v="2"/>
    <n v="0"/>
    <n v="0"/>
    <s v="назначение на равнозначную должность"/>
    <d v="2022-03-11T00:00:00"/>
    <s v="не рассматривали"/>
    <s v="протокол-№-14.10.2020"/>
  </r>
  <r>
    <s v="Функциональное направление 10"/>
    <n v="4"/>
    <d v="2022-10-24T00:00:00"/>
    <n v="1"/>
    <s v="не защищена"/>
    <n v="500151"/>
    <x v="739"/>
    <n v="21"/>
    <s v="Подразделение21"/>
    <s v="подразделение_2_уровня21"/>
    <s v="-"/>
    <s v="линейный_руководитель_1"/>
    <n v="7"/>
    <s v="нет"/>
    <m/>
    <m/>
    <m/>
    <n v="719"/>
    <s v="Бураков Константин Егорович"/>
    <n v="1815"/>
    <s v="Ветров Виталий Кондратье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1"/>
    <x v="739"/>
    <n v="21"/>
    <s v="Подразделение21"/>
    <s v="подразделение_2_уровня21"/>
    <s v="-"/>
    <s v="линейный_руководитель_1"/>
    <n v="7"/>
    <s v="нет"/>
    <m/>
    <m/>
    <m/>
    <n v="719"/>
    <s v="Бураков Константин Егорович"/>
    <n v="1816"/>
    <s v="Кирилл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1"/>
    <x v="739"/>
    <n v="21"/>
    <s v="Подразделение21"/>
    <s v="подразделение_2_уровня21"/>
    <s v="-"/>
    <s v="линейный_руководитель_1"/>
    <n v="7"/>
    <s v="нет"/>
    <m/>
    <m/>
    <m/>
    <n v="719"/>
    <s v="Бураков Константин Егорович"/>
    <n v="728"/>
    <s v="Ефремов Федот Юрьевич"/>
    <s v="Рабочий"/>
    <s v="Подразделение21"/>
    <x v="2"/>
    <x v="2"/>
    <n v="0"/>
    <n v="0"/>
    <s v="назначение на равнозначную должность"/>
    <d v="2022-03-11T00:00:00"/>
    <s v="не рассматривали"/>
    <s v="протокол-№-14.10.2020"/>
  </r>
  <r>
    <s v="Функциональное направление 10"/>
    <n v="4"/>
    <d v="2022-10-24T00:00:00"/>
    <n v="1"/>
    <s v="не защищена"/>
    <n v="500151"/>
    <x v="740"/>
    <n v="21"/>
    <s v="Подразделение21"/>
    <s v="подразделение_2_уровня21"/>
    <s v="-"/>
    <s v="линейный_руководитель_1"/>
    <n v="7"/>
    <s v="нет"/>
    <m/>
    <m/>
    <m/>
    <n v="720"/>
    <s v="Нырков Федот Юрьевич"/>
    <n v="1815"/>
    <s v="Ветров Виталий Кондратье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1"/>
    <x v="740"/>
    <n v="21"/>
    <s v="Подразделение21"/>
    <s v="подразделение_2_уровня21"/>
    <s v="-"/>
    <s v="линейный_руководитель_1"/>
    <n v="7"/>
    <s v="нет"/>
    <m/>
    <m/>
    <m/>
    <n v="720"/>
    <s v="Нырков Федот Юрьевич"/>
    <n v="1816"/>
    <s v="Кирилл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1"/>
    <x v="740"/>
    <n v="21"/>
    <s v="Подразделение21"/>
    <s v="подразделение_2_уровня21"/>
    <s v="-"/>
    <s v="линейный_руководитель_1"/>
    <n v="7"/>
    <s v="нет"/>
    <m/>
    <m/>
    <m/>
    <n v="720"/>
    <s v="Нырков Федот Юрьевич"/>
    <n v="728"/>
    <s v="Ефремов Федот Юрьевич"/>
    <s v="Рабочий"/>
    <s v="Подразделение21"/>
    <x v="2"/>
    <x v="2"/>
    <n v="0"/>
    <n v="0"/>
    <s v="назначение на равнозначную должность"/>
    <d v="2022-03-11T00:00:00"/>
    <s v="не рассматривали"/>
    <s v="протокол-№-14.10.2020"/>
  </r>
  <r>
    <s v="Функциональное направление 10"/>
    <n v="4"/>
    <d v="2020-10-14T00:00:00"/>
    <n v="1"/>
    <s v="не защищена"/>
    <n v="500152"/>
    <x v="741"/>
    <n v="21"/>
    <s v="Подразделение21"/>
    <s v="подразделение_2_уровня21"/>
    <s v="-"/>
    <s v="линейный_руководитель_1"/>
    <n v="7"/>
    <s v="нет"/>
    <m/>
    <m/>
    <m/>
    <n v="721"/>
    <s v="Русланов Николай Максимович"/>
    <n v="1817"/>
    <s v="Степанов Юрий Михайлович"/>
    <s v="Рабочий"/>
    <s v="Подразделение21"/>
    <x v="0"/>
    <x v="0"/>
    <n v="1"/>
    <n v="0"/>
    <m/>
    <m/>
    <s v="повышение"/>
    <s v="протокол-№-24.10.2022"/>
  </r>
  <r>
    <s v="Функциональное направление 10"/>
    <n v="4"/>
    <d v="2022-10-24T00:00:00"/>
    <n v="0"/>
    <s v="не защищена"/>
    <n v="500152"/>
    <x v="741"/>
    <n v="21"/>
    <s v="Подразделение21"/>
    <s v="подразделение_2_уровня21"/>
    <s v="-"/>
    <s v="линейный_руководитель_1"/>
    <n v="7"/>
    <s v="нет"/>
    <m/>
    <m/>
    <m/>
    <n v="721"/>
    <s v="Русланов Николай Максимович"/>
    <n v="1818"/>
    <s v="Степан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2"/>
    <x v="741"/>
    <n v="21"/>
    <s v="Подразделение21"/>
    <s v="подразделение_2_уровня21"/>
    <s v="-"/>
    <s v="линейный_руководитель_1"/>
    <n v="7"/>
    <s v="нет"/>
    <m/>
    <m/>
    <m/>
    <n v="721"/>
    <s v="Русланов Николай Максимович"/>
    <n v="1819"/>
    <s v="Дмитриев Кирилл Александрович"/>
    <s v="Рабочий"/>
    <s v="Подразделение21"/>
    <x v="0"/>
    <x v="0"/>
    <n v="1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2"/>
    <x v="741"/>
    <n v="21"/>
    <s v="Подразделение21"/>
    <s v="подразделение_2_уровня21"/>
    <s v="-"/>
    <s v="линейный_руководитель_1"/>
    <n v="7"/>
    <s v="нет"/>
    <m/>
    <m/>
    <m/>
    <n v="721"/>
    <s v="Русланов Николай Максимович"/>
    <n v="1820"/>
    <s v="Незнамов Афанасий Маркович"/>
    <s v="Рабочий"/>
    <s v="Подразделение21"/>
    <x v="2"/>
    <x v="2"/>
    <n v="1"/>
    <n v="0"/>
    <s v="увольнение"/>
    <d v="2021-09-16T00:00:00"/>
    <s v="не рассматривали"/>
    <s v="протокол-№-14.10.2020"/>
  </r>
  <r>
    <s v="Функциональное направление 10"/>
    <n v="4"/>
    <d v="2020-10-14T00:00:00"/>
    <n v="0"/>
    <s v="не защищена"/>
    <n v="500152"/>
    <x v="741"/>
    <n v="21"/>
    <s v="Подразделение21"/>
    <s v="подразделение_2_уровня21"/>
    <s v="-"/>
    <s v="линейный_руководитель_1"/>
    <n v="7"/>
    <s v="нет"/>
    <m/>
    <m/>
    <m/>
    <n v="721"/>
    <s v="Русланов Николай Максимович"/>
    <n v="728"/>
    <s v="Ефремов Федот Юрьевич"/>
    <s v="Рабочий"/>
    <s v="Подразделение21"/>
    <x v="0"/>
    <x v="2"/>
    <n v="0"/>
    <n v="0"/>
    <s v="назначение на целевую должность"/>
    <d v="2022-03-11T00:00:00"/>
    <s v="не рассматривали"/>
    <s v="протокол-№-14.10.2020"/>
  </r>
  <r>
    <s v="Функциональное направление 10"/>
    <n v="4"/>
    <d v="2020-10-14T00:00:00"/>
    <n v="1"/>
    <s v="не защищена"/>
    <n v="500152"/>
    <x v="742"/>
    <n v="21"/>
    <s v="Подразделение21"/>
    <s v="подразделение_2_уровня21"/>
    <s v="-"/>
    <s v="линейный_руководитель_1"/>
    <n v="7"/>
    <s v="нет"/>
    <m/>
    <m/>
    <m/>
    <n v="722"/>
    <s v="Русланов Алексей Михайлович"/>
    <n v="1817"/>
    <s v="Степанов Юрий Михайлович"/>
    <s v="Рабочий"/>
    <s v="Подразделение21"/>
    <x v="0"/>
    <x v="0"/>
    <n v="0"/>
    <n v="0"/>
    <m/>
    <m/>
    <s v="повышение"/>
    <s v="протокол-№-24.10.2022"/>
  </r>
  <r>
    <s v="Функциональное направление 10"/>
    <n v="4"/>
    <d v="2022-10-24T00:00:00"/>
    <n v="0"/>
    <s v="не защищена"/>
    <n v="500152"/>
    <x v="742"/>
    <n v="21"/>
    <s v="Подразделение21"/>
    <s v="подразделение_2_уровня21"/>
    <s v="-"/>
    <s v="линейный_руководитель_1"/>
    <n v="7"/>
    <s v="нет"/>
    <m/>
    <m/>
    <m/>
    <n v="722"/>
    <s v="Русланов Алексей Михайлович"/>
    <n v="1818"/>
    <s v="Степан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2"/>
    <x v="742"/>
    <n v="21"/>
    <s v="Подразделение21"/>
    <s v="подразделение_2_уровня21"/>
    <s v="-"/>
    <s v="линейный_руководитель_1"/>
    <n v="7"/>
    <s v="нет"/>
    <m/>
    <m/>
    <m/>
    <n v="722"/>
    <s v="Русланов Алексей Михайлович"/>
    <n v="1819"/>
    <s v="Дмитриев Кирилл Александрович"/>
    <s v="Рабочий"/>
    <s v="Подразделение21"/>
    <x v="0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2"/>
    <x v="742"/>
    <n v="21"/>
    <s v="Подразделение21"/>
    <s v="подразделение_2_уровня21"/>
    <s v="-"/>
    <s v="линейный_руководитель_1"/>
    <n v="7"/>
    <s v="нет"/>
    <m/>
    <m/>
    <m/>
    <n v="722"/>
    <s v="Русланов Алексей Михайлович"/>
    <n v="1820"/>
    <s v="Незнамов Афанасий Маркович"/>
    <s v="Рабочий"/>
    <s v="Подразделение21"/>
    <x v="2"/>
    <x v="2"/>
    <n v="0"/>
    <n v="0"/>
    <s v="увольнение"/>
    <d v="2021-09-16T00:00:00"/>
    <s v="не рассматривали"/>
    <s v="протокол-№-14.10.2020"/>
  </r>
  <r>
    <s v="Функциональное направление 10"/>
    <n v="4"/>
    <d v="2020-10-14T00:00:00"/>
    <n v="0"/>
    <s v="не защищена"/>
    <n v="500152"/>
    <x v="742"/>
    <n v="21"/>
    <s v="Подразделение21"/>
    <s v="подразделение_2_уровня21"/>
    <s v="-"/>
    <s v="линейный_руководитель_1"/>
    <n v="7"/>
    <s v="нет"/>
    <m/>
    <m/>
    <m/>
    <n v="722"/>
    <s v="Русланов Алексей Михайлович"/>
    <n v="728"/>
    <s v="Ефремов Федот Юрьевич"/>
    <s v="Рабочий"/>
    <s v="Подразделение21"/>
    <x v="0"/>
    <x v="2"/>
    <n v="0"/>
    <n v="0"/>
    <s v="назначение на целевую должность"/>
    <d v="2022-03-11T00:00:00"/>
    <s v="не рассматривали"/>
    <s v="протокол-№-14.10.2020"/>
  </r>
  <r>
    <s v="Функциональное направление 10"/>
    <n v="4"/>
    <d v="2020-10-14T00:00:00"/>
    <n v="1"/>
    <s v="не защищена"/>
    <n v="500152"/>
    <x v="743"/>
    <n v="21"/>
    <s v="Подразделение21"/>
    <s v="подразделение_2_уровня21"/>
    <s v="-"/>
    <s v="линейный_руководитель_1"/>
    <n v="7"/>
    <s v="нет"/>
    <m/>
    <m/>
    <m/>
    <n v="723"/>
    <s v="Русланов Федот Кириллович"/>
    <n v="1817"/>
    <s v="Степанов Юрий Михайлович"/>
    <s v="Рабочий"/>
    <s v="Подразделение21"/>
    <x v="0"/>
    <x v="0"/>
    <n v="0"/>
    <n v="0"/>
    <m/>
    <m/>
    <s v="повышение"/>
    <s v="протокол-№-24.10.2022"/>
  </r>
  <r>
    <s v="Функциональное направление 10"/>
    <n v="4"/>
    <d v="2022-10-24T00:00:00"/>
    <n v="0"/>
    <s v="не защищена"/>
    <n v="500152"/>
    <x v="743"/>
    <n v="21"/>
    <s v="Подразделение21"/>
    <s v="подразделение_2_уровня21"/>
    <s v="-"/>
    <s v="линейный_руководитель_1"/>
    <n v="7"/>
    <s v="нет"/>
    <m/>
    <m/>
    <m/>
    <n v="723"/>
    <s v="Русланов Федот Кириллович"/>
    <n v="1818"/>
    <s v="Степан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2"/>
    <x v="743"/>
    <n v="21"/>
    <s v="Подразделение21"/>
    <s v="подразделение_2_уровня21"/>
    <s v="-"/>
    <s v="линейный_руководитель_1"/>
    <n v="7"/>
    <s v="нет"/>
    <m/>
    <m/>
    <m/>
    <n v="723"/>
    <s v="Русланов Федот Кириллович"/>
    <n v="1819"/>
    <s v="Дмитриев Кирилл Александрович"/>
    <s v="Рабочий"/>
    <s v="Подразделение21"/>
    <x v="0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2"/>
    <x v="743"/>
    <n v="21"/>
    <s v="Подразделение21"/>
    <s v="подразделение_2_уровня21"/>
    <s v="-"/>
    <s v="линейный_руководитель_1"/>
    <n v="7"/>
    <s v="нет"/>
    <m/>
    <m/>
    <m/>
    <n v="723"/>
    <s v="Русланов Федот Кириллович"/>
    <n v="1820"/>
    <s v="Незнамов Афанасий Маркович"/>
    <s v="Рабочий"/>
    <s v="Подразделение21"/>
    <x v="2"/>
    <x v="2"/>
    <n v="0"/>
    <n v="0"/>
    <s v="увольнение"/>
    <d v="2021-09-16T00:00:00"/>
    <s v="не рассматривали"/>
    <s v="протокол-№-14.10.2020"/>
  </r>
  <r>
    <s v="Функциональное направление 10"/>
    <n v="4"/>
    <d v="2020-10-14T00:00:00"/>
    <n v="0"/>
    <s v="не защищена"/>
    <n v="500152"/>
    <x v="743"/>
    <n v="21"/>
    <s v="Подразделение21"/>
    <s v="подразделение_2_уровня21"/>
    <s v="-"/>
    <s v="линейный_руководитель_1"/>
    <n v="7"/>
    <s v="нет"/>
    <m/>
    <m/>
    <m/>
    <n v="723"/>
    <s v="Русланов Федот Кириллович"/>
    <n v="728"/>
    <s v="Ефремов Федот Юрьевич"/>
    <s v="Рабочий"/>
    <s v="Подразделение21"/>
    <x v="0"/>
    <x v="2"/>
    <n v="0"/>
    <n v="0"/>
    <s v="назначение на целевую должность"/>
    <d v="2022-03-11T00:00:00"/>
    <s v="не рассматривали"/>
    <s v="протокол-№-14.10.2020"/>
  </r>
  <r>
    <s v="Функциональное направление 10"/>
    <n v="4"/>
    <d v="2020-10-14T00:00:00"/>
    <n v="1"/>
    <s v="не защищена"/>
    <n v="500152"/>
    <x v="744"/>
    <n v="21"/>
    <s v="Подразделение21"/>
    <s v="подразделение_2_уровня21"/>
    <s v="-"/>
    <s v="линейный_руководитель_1"/>
    <n v="7"/>
    <s v="нет"/>
    <m/>
    <m/>
    <m/>
    <n v="724"/>
    <s v="Вобликов Алексей Тимофеевич"/>
    <n v="1817"/>
    <s v="Степанов Юрий Михайлович"/>
    <s v="Рабочий"/>
    <s v="Подразделение21"/>
    <x v="0"/>
    <x v="0"/>
    <n v="0"/>
    <n v="0"/>
    <m/>
    <m/>
    <s v="повышение"/>
    <s v="протокол-№-24.10.2022"/>
  </r>
  <r>
    <s v="Функциональное направление 10"/>
    <n v="4"/>
    <d v="2022-10-24T00:00:00"/>
    <n v="0"/>
    <s v="не защищена"/>
    <n v="500152"/>
    <x v="744"/>
    <n v="21"/>
    <s v="Подразделение21"/>
    <s v="подразделение_2_уровня21"/>
    <s v="-"/>
    <s v="линейный_руководитель_1"/>
    <n v="7"/>
    <s v="нет"/>
    <m/>
    <m/>
    <m/>
    <n v="724"/>
    <s v="Вобликов Алексей Тимофеевич"/>
    <n v="1818"/>
    <s v="Степан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2"/>
    <x v="744"/>
    <n v="21"/>
    <s v="Подразделение21"/>
    <s v="подразделение_2_уровня21"/>
    <s v="-"/>
    <s v="линейный_руководитель_1"/>
    <n v="7"/>
    <s v="нет"/>
    <m/>
    <m/>
    <m/>
    <n v="724"/>
    <s v="Вобликов Алексей Тимофеевич"/>
    <n v="1819"/>
    <s v="Дмитриев Кирилл Александрович"/>
    <s v="Рабочий"/>
    <s v="Подразделение21"/>
    <x v="0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2"/>
    <x v="744"/>
    <n v="21"/>
    <s v="Подразделение21"/>
    <s v="подразделение_2_уровня21"/>
    <s v="-"/>
    <s v="линейный_руководитель_1"/>
    <n v="7"/>
    <s v="нет"/>
    <m/>
    <m/>
    <m/>
    <n v="724"/>
    <s v="Вобликов Алексей Тимофеевич"/>
    <n v="1820"/>
    <s v="Незнамов Афанасий Маркович"/>
    <s v="Рабочий"/>
    <s v="Подразделение21"/>
    <x v="2"/>
    <x v="2"/>
    <n v="0"/>
    <n v="0"/>
    <s v="увольнение"/>
    <d v="2021-09-16T00:00:00"/>
    <s v="не рассматривали"/>
    <s v="протокол-№-14.10.2020"/>
  </r>
  <r>
    <s v="Функциональное направление 10"/>
    <n v="4"/>
    <d v="2020-10-14T00:00:00"/>
    <n v="0"/>
    <s v="не защищена"/>
    <n v="500152"/>
    <x v="744"/>
    <n v="21"/>
    <s v="Подразделение21"/>
    <s v="подразделение_2_уровня21"/>
    <s v="-"/>
    <s v="линейный_руководитель_1"/>
    <n v="7"/>
    <s v="нет"/>
    <m/>
    <m/>
    <m/>
    <n v="724"/>
    <s v="Вобликов Алексей Тимофеевич"/>
    <n v="728"/>
    <s v="Ефремов Федот Юрьевич"/>
    <s v="Рабочий"/>
    <s v="Подразделение21"/>
    <x v="0"/>
    <x v="2"/>
    <n v="0"/>
    <n v="0"/>
    <s v="назначение на целевую должность"/>
    <d v="2022-03-11T00:00:00"/>
    <s v="не рассматривали"/>
    <s v="протокол-№-14.10.2020"/>
  </r>
  <r>
    <s v="Функциональное направление 10"/>
    <n v="4"/>
    <d v="2020-10-14T00:00:00"/>
    <n v="1"/>
    <s v="не защищена"/>
    <n v="500153"/>
    <x v="745"/>
    <n v="21"/>
    <s v="Подразделение21"/>
    <s v="подразделение_2_уровня21"/>
    <s v="-"/>
    <s v="линейный_руководитель_1"/>
    <n v="7"/>
    <s v="нет"/>
    <m/>
    <m/>
    <m/>
    <n v="725"/>
    <s v="Баранкин Федот Михайлович"/>
    <n v="1817"/>
    <s v="Степанов Юрий Михайлович"/>
    <s v="Рабочий"/>
    <s v="Подразделение21"/>
    <x v="0"/>
    <x v="0"/>
    <n v="0"/>
    <n v="0"/>
    <m/>
    <m/>
    <s v="повышение"/>
    <s v="протокол-№-24.10.2022"/>
  </r>
  <r>
    <s v="Функциональное направление 10"/>
    <n v="4"/>
    <d v="2022-10-24T00:00:00"/>
    <n v="0"/>
    <s v="не защищена"/>
    <n v="500153"/>
    <x v="745"/>
    <n v="21"/>
    <s v="Подразделение21"/>
    <s v="подразделение_2_уровня21"/>
    <s v="-"/>
    <s v="линейный_руководитель_1"/>
    <n v="7"/>
    <s v="нет"/>
    <m/>
    <m/>
    <m/>
    <n v="725"/>
    <s v="Баранкин Федот Михайлович"/>
    <n v="1818"/>
    <s v="Степан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3"/>
    <x v="745"/>
    <n v="21"/>
    <s v="Подразделение21"/>
    <s v="подразделение_2_уровня21"/>
    <s v="-"/>
    <s v="линейный_руководитель_1"/>
    <n v="7"/>
    <s v="нет"/>
    <m/>
    <m/>
    <m/>
    <n v="725"/>
    <s v="Баранкин Федот Михайлович"/>
    <n v="1819"/>
    <s v="Дмитриев Кирилл Александрович"/>
    <s v="Рабочий"/>
    <s v="Подразделение21"/>
    <x v="0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3"/>
    <x v="745"/>
    <n v="21"/>
    <s v="Подразделение21"/>
    <s v="подразделение_2_уровня21"/>
    <s v="-"/>
    <s v="линейный_руководитель_1"/>
    <n v="7"/>
    <s v="нет"/>
    <m/>
    <m/>
    <m/>
    <n v="725"/>
    <s v="Баранкин Федот Михайлович"/>
    <n v="1820"/>
    <s v="Незнамов Афанасий Маркович"/>
    <s v="Рабочий"/>
    <s v="Подразделение21"/>
    <x v="2"/>
    <x v="2"/>
    <n v="0"/>
    <n v="0"/>
    <s v="увольнение"/>
    <d v="2021-09-16T00:00:00"/>
    <s v="не рассматривали"/>
    <s v="протокол-№-14.10.2020"/>
  </r>
  <r>
    <s v="Функциональное направление 10"/>
    <n v="4"/>
    <d v="2020-10-14T00:00:00"/>
    <n v="0"/>
    <s v="не защищена"/>
    <n v="500153"/>
    <x v="745"/>
    <n v="21"/>
    <s v="Подразделение21"/>
    <s v="подразделение_2_уровня21"/>
    <s v="-"/>
    <s v="линейный_руководитель_1"/>
    <n v="7"/>
    <s v="нет"/>
    <m/>
    <m/>
    <m/>
    <n v="725"/>
    <s v="Баранкин Федот Михайлович"/>
    <n v="728"/>
    <s v="Ефремов Федот Юрьевич"/>
    <s v="Рабочий"/>
    <s v="Подразделение21"/>
    <x v="0"/>
    <x v="2"/>
    <n v="0"/>
    <n v="0"/>
    <s v="назначение на целевую должность"/>
    <d v="2022-03-11T00:00:00"/>
    <s v="не рассматривали"/>
    <s v="протокол-№-14.10.2020"/>
  </r>
  <r>
    <s v="Функциональное направление 10"/>
    <n v="4"/>
    <d v="2020-10-14T00:00:00"/>
    <n v="1"/>
    <s v="не защищена"/>
    <n v="500153"/>
    <x v="746"/>
    <n v="21"/>
    <s v="Подразделение21"/>
    <s v="подразделение_2_уровня21"/>
    <s v="-"/>
    <s v="линейный_руководитель_1"/>
    <n v="7"/>
    <s v="нет"/>
    <m/>
    <m/>
    <m/>
    <n v="726"/>
    <s v="Русланов Кирилл Романович"/>
    <n v="1817"/>
    <s v="Степанов Юрий Михайлович"/>
    <s v="Рабочий"/>
    <s v="Подразделение21"/>
    <x v="0"/>
    <x v="0"/>
    <n v="0"/>
    <n v="0"/>
    <m/>
    <m/>
    <s v="повышение"/>
    <s v="протокол-№-24.10.2022"/>
  </r>
  <r>
    <s v="Функциональное направление 10"/>
    <n v="4"/>
    <d v="2022-10-24T00:00:00"/>
    <n v="0"/>
    <s v="не защищена"/>
    <n v="500153"/>
    <x v="746"/>
    <n v="21"/>
    <s v="Подразделение21"/>
    <s v="подразделение_2_уровня21"/>
    <s v="-"/>
    <s v="линейный_руководитель_1"/>
    <n v="7"/>
    <s v="нет"/>
    <m/>
    <m/>
    <m/>
    <n v="726"/>
    <s v="Русланов Кирилл Романович"/>
    <n v="1818"/>
    <s v="Степан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3"/>
    <x v="746"/>
    <n v="21"/>
    <s v="Подразделение21"/>
    <s v="подразделение_2_уровня21"/>
    <s v="-"/>
    <s v="линейный_руководитель_1"/>
    <n v="7"/>
    <s v="нет"/>
    <m/>
    <m/>
    <m/>
    <n v="726"/>
    <s v="Русланов Кирилл Романович"/>
    <n v="1819"/>
    <s v="Дмитриев Кирилл Александрович"/>
    <s v="Рабочий"/>
    <s v="Подразделение21"/>
    <x v="0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3"/>
    <x v="746"/>
    <n v="21"/>
    <s v="Подразделение21"/>
    <s v="подразделение_2_уровня21"/>
    <s v="-"/>
    <s v="линейный_руководитель_1"/>
    <n v="7"/>
    <s v="нет"/>
    <m/>
    <m/>
    <m/>
    <n v="726"/>
    <s v="Русланов Кирилл Романович"/>
    <n v="1820"/>
    <s v="Незнамов Афанасий Маркович"/>
    <s v="Рабочий"/>
    <s v="Подразделение21"/>
    <x v="2"/>
    <x v="2"/>
    <n v="0"/>
    <n v="0"/>
    <s v="увольнение"/>
    <d v="2021-09-16T00:00:00"/>
    <s v="не рассматривали"/>
    <s v="протокол-№-14.10.2020"/>
  </r>
  <r>
    <s v="Функциональное направление 10"/>
    <n v="4"/>
    <d v="2020-10-14T00:00:00"/>
    <n v="0"/>
    <s v="не защищена"/>
    <n v="500153"/>
    <x v="746"/>
    <n v="21"/>
    <s v="Подразделение21"/>
    <s v="подразделение_2_уровня21"/>
    <s v="-"/>
    <s v="линейный_руководитель_1"/>
    <n v="7"/>
    <s v="нет"/>
    <m/>
    <m/>
    <m/>
    <n v="726"/>
    <s v="Русланов Кирилл Романович"/>
    <n v="728"/>
    <s v="Ефремов Федот Юрьевич"/>
    <s v="Рабочий"/>
    <s v="Подразделение21"/>
    <x v="0"/>
    <x v="2"/>
    <n v="0"/>
    <n v="0"/>
    <s v="назначение на целевую должность"/>
    <d v="2022-03-11T00:00:00"/>
    <s v="не рассматривали"/>
    <s v="протокол-№-14.10.2020"/>
  </r>
  <r>
    <s v="Функциональное направление 10"/>
    <n v="4"/>
    <d v="2020-10-14T00:00:00"/>
    <n v="1"/>
    <s v="не защищена"/>
    <n v="500153"/>
    <x v="747"/>
    <n v="21"/>
    <s v="Подразделение21"/>
    <s v="подразделение_2_уровня21"/>
    <s v="-"/>
    <s v="линейный_руководитель_1"/>
    <n v="7"/>
    <s v="нет"/>
    <m/>
    <m/>
    <m/>
    <n v="727"/>
    <s v="Цветков Константин Кириллович"/>
    <n v="1817"/>
    <s v="Степанов Юрий Михайлович"/>
    <s v="Рабочий"/>
    <s v="Подразделение21"/>
    <x v="0"/>
    <x v="0"/>
    <n v="0"/>
    <n v="0"/>
    <m/>
    <m/>
    <s v="повышение"/>
    <s v="протокол-№-24.10.2022"/>
  </r>
  <r>
    <s v="Функциональное направление 10"/>
    <n v="4"/>
    <d v="2022-10-24T00:00:00"/>
    <n v="0"/>
    <s v="не защищена"/>
    <n v="500153"/>
    <x v="747"/>
    <n v="21"/>
    <s v="Подразделение21"/>
    <s v="подразделение_2_уровня21"/>
    <s v="-"/>
    <s v="линейный_руководитель_1"/>
    <n v="7"/>
    <s v="нет"/>
    <m/>
    <m/>
    <m/>
    <n v="727"/>
    <s v="Цветков Константин Кириллович"/>
    <n v="1818"/>
    <s v="Степан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3"/>
    <x v="747"/>
    <n v="21"/>
    <s v="Подразделение21"/>
    <s v="подразделение_2_уровня21"/>
    <s v="-"/>
    <s v="линейный_руководитель_1"/>
    <n v="7"/>
    <s v="нет"/>
    <m/>
    <m/>
    <m/>
    <n v="727"/>
    <s v="Цветков Константин Кириллович"/>
    <n v="1819"/>
    <s v="Дмитриев Кирилл Александрович"/>
    <s v="Рабочий"/>
    <s v="Подразделение21"/>
    <x v="0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3"/>
    <x v="747"/>
    <n v="21"/>
    <s v="Подразделение21"/>
    <s v="подразделение_2_уровня21"/>
    <s v="-"/>
    <s v="линейный_руководитель_1"/>
    <n v="7"/>
    <s v="нет"/>
    <m/>
    <m/>
    <m/>
    <n v="727"/>
    <s v="Цветков Константин Кириллович"/>
    <n v="1820"/>
    <s v="Незнамов Афанасий Маркович"/>
    <s v="Рабочий"/>
    <s v="Подразделение21"/>
    <x v="2"/>
    <x v="2"/>
    <n v="0"/>
    <n v="0"/>
    <s v="увольнение"/>
    <d v="2021-09-16T00:00:00"/>
    <s v="не рассматривали"/>
    <s v="протокол-№-14.10.2020"/>
  </r>
  <r>
    <s v="Функциональное направление 10"/>
    <n v="4"/>
    <d v="2020-10-14T00:00:00"/>
    <n v="0"/>
    <s v="не защищена"/>
    <n v="500153"/>
    <x v="747"/>
    <n v="21"/>
    <s v="Подразделение21"/>
    <s v="подразделение_2_уровня21"/>
    <s v="-"/>
    <s v="линейный_руководитель_1"/>
    <n v="7"/>
    <s v="нет"/>
    <m/>
    <m/>
    <m/>
    <n v="727"/>
    <s v="Цветков Константин Кириллович"/>
    <n v="728"/>
    <s v="Ефремов Федот Юрьевич"/>
    <s v="Рабочий"/>
    <s v="Подразделение21"/>
    <x v="0"/>
    <x v="2"/>
    <n v="0"/>
    <n v="0"/>
    <s v="назначение на целевую должность"/>
    <d v="2022-03-11T00:00:00"/>
    <s v="не рассматривали"/>
    <s v="протокол-№-14.10.2020"/>
  </r>
  <r>
    <s v="Функциональное направление 10"/>
    <n v="4"/>
    <d v="2020-10-14T00:00:00"/>
    <n v="1"/>
    <s v="не защищена"/>
    <n v="500153"/>
    <x v="748"/>
    <n v="21"/>
    <s v="Подразделение21"/>
    <s v="подразделение_2_уровня21"/>
    <s v="-"/>
    <s v="линейный_руководитель_1"/>
    <n v="7"/>
    <s v="да"/>
    <d v="2022-03-11T00:00:00"/>
    <d v="2022-03-11T00:00:00"/>
    <s v="из резерва (учитываем)"/>
    <n v="728"/>
    <s v="Ефремов Федот Юрьевич"/>
    <n v="1817"/>
    <s v="Степанов Юрий Михайлович"/>
    <s v="Рабочий"/>
    <s v="Подразделение21"/>
    <x v="0"/>
    <x v="0"/>
    <n v="0"/>
    <n v="0"/>
    <m/>
    <m/>
    <s v="повышение"/>
    <s v="протокол-№-24.10.2022"/>
  </r>
  <r>
    <s v="Функциональное направление 10"/>
    <n v="4"/>
    <d v="2022-10-24T00:00:00"/>
    <n v="0"/>
    <s v="не защищена"/>
    <n v="500153"/>
    <x v="748"/>
    <n v="21"/>
    <s v="Подразделение21"/>
    <s v="подразделение_2_уровня21"/>
    <s v="-"/>
    <s v="линейный_руководитель_1"/>
    <n v="7"/>
    <s v="да"/>
    <d v="2022-03-11T00:00:00"/>
    <d v="2022-03-11T00:00:00"/>
    <s v="из резерва (учитываем)"/>
    <n v="728"/>
    <s v="Ефремов Федот Юрьевич"/>
    <n v="1818"/>
    <s v="Степанов Виталий Александрович"/>
    <s v="Рабочий"/>
    <s v="Подразделение21"/>
    <x v="2"/>
    <x v="0"/>
    <n v="0"/>
    <n v="0"/>
    <m/>
    <m/>
    <s v="не рассматривали"/>
    <s v="протокол-№-24.10.2022"/>
  </r>
  <r>
    <s v="Функциональное направление 10"/>
    <n v="4"/>
    <d v="2022-10-24T00:00:00"/>
    <n v="0"/>
    <s v="не защищена"/>
    <n v="500153"/>
    <x v="748"/>
    <n v="21"/>
    <s v="Подразделение21"/>
    <s v="подразделение_2_уровня21"/>
    <s v="-"/>
    <s v="линейный_руководитель_1"/>
    <n v="7"/>
    <s v="да"/>
    <d v="2022-03-11T00:00:00"/>
    <d v="2022-03-11T00:00:00"/>
    <s v="из резерва (учитываем)"/>
    <n v="728"/>
    <s v="Ефремов Федот Юрьевич"/>
    <n v="1819"/>
    <s v="Дмитриев Кирилл Александрович"/>
    <s v="Рабочий"/>
    <s v="Подразделение21"/>
    <x v="0"/>
    <x v="0"/>
    <n v="0"/>
    <n v="0"/>
    <m/>
    <m/>
    <s v="не рассматривали"/>
    <s v="протокол-№-24.10.2022"/>
  </r>
  <r>
    <s v="Функциональное направление 10"/>
    <n v="4"/>
    <d v="2020-10-14T00:00:00"/>
    <n v="0"/>
    <s v="не защищена"/>
    <n v="500153"/>
    <x v="748"/>
    <n v="21"/>
    <s v="Подразделение21"/>
    <s v="подразделение_2_уровня21"/>
    <s v="-"/>
    <s v="линейный_руководитель_1"/>
    <n v="7"/>
    <s v="да"/>
    <d v="2022-03-11T00:00:00"/>
    <d v="2022-03-11T00:00:00"/>
    <s v="из резерва (учитываем)"/>
    <n v="728"/>
    <s v="Ефремов Федот Юрьевич"/>
    <n v="728"/>
    <s v="Ефремов Федот Юрьевич"/>
    <s v="Рабочий"/>
    <s v="Подразделение21"/>
    <x v="0"/>
    <x v="1"/>
    <n v="0"/>
    <n v="1"/>
    <s v="назначение на целевую должность"/>
    <d v="2022-03-11T00:00:00"/>
    <s v="не рассматривали"/>
    <s v="протокол-№-14.10.2020"/>
  </r>
  <r>
    <s v="Функциональное направление 10"/>
    <n v="4"/>
    <d v="2020-10-14T00:00:00"/>
    <n v="0"/>
    <s v="не защищена"/>
    <n v="500153"/>
    <x v="748"/>
    <n v="21"/>
    <s v="Подразделение21"/>
    <s v="подразделение_2_уровня21"/>
    <s v="-"/>
    <s v="линейный_руководитель_1"/>
    <n v="7"/>
    <s v="да"/>
    <d v="2022-03-11T00:00:00"/>
    <d v="2022-03-11T00:00:00"/>
    <s v="из резерва (учитываем)"/>
    <n v="728"/>
    <s v="Ефремов Федот Юрьевич"/>
    <n v="1820"/>
    <s v="Незнамов Афанасий Маркович"/>
    <s v="Рабочий"/>
    <s v="Подразделение21"/>
    <x v="2"/>
    <x v="2"/>
    <n v="0"/>
    <n v="0"/>
    <s v="увольнение"/>
    <d v="2021-09-16T00:00:00"/>
    <s v="не рассматривали"/>
    <s v="протокол-№-14.10.2020"/>
  </r>
  <r>
    <s v="Функциональное направление 10"/>
    <n v="4"/>
    <d v="2020-10-14T00:00:00"/>
    <n v="1"/>
    <s v="не защищена"/>
    <n v="500154"/>
    <x v="749"/>
    <n v="21"/>
    <s v="Подразделение21"/>
    <s v="подразделение_2_уровня21"/>
    <s v="-"/>
    <s v="линейный_руководитель_1"/>
    <n v="7"/>
    <s v="нет"/>
    <m/>
    <m/>
    <m/>
    <n v="729"/>
    <s v="Романов Кирилл Тимофеевич"/>
    <n v="1821"/>
    <s v="Ветров Юрий Геннадьевич"/>
    <s v="Рабочий"/>
    <s v="Подразделение21"/>
    <x v="1"/>
    <x v="0"/>
    <n v="1"/>
    <n v="0"/>
    <m/>
    <m/>
    <s v="без изменений"/>
    <s v="протокол-№-24.10.2022"/>
  </r>
  <r>
    <s v="Функциональное направление 10"/>
    <n v="4"/>
    <d v="2020-10-14T00:00:00"/>
    <n v="0"/>
    <s v="не защищена"/>
    <n v="500154"/>
    <x v="749"/>
    <n v="21"/>
    <s v="Подразделение21"/>
    <s v="подразделение_2_уровня21"/>
    <s v="-"/>
    <s v="линейный_руководитель_1"/>
    <n v="7"/>
    <s v="нет"/>
    <m/>
    <m/>
    <m/>
    <n v="729"/>
    <s v="Романов Кирилл Тимофеевич"/>
    <n v="1819"/>
    <s v="Дмитриев Кирилл Александрович"/>
    <s v="Рабочий"/>
    <s v="Подразделение21"/>
    <x v="2"/>
    <x v="2"/>
    <n v="0"/>
    <n v="0"/>
    <s v="инициатива комитета / руководителя"/>
    <d v="2022-10-24T00:00:00"/>
    <s v="исключение"/>
    <s v="протокол-№-24.10.2022"/>
  </r>
  <r>
    <s v="Функциональное направление 10"/>
    <n v="4"/>
    <d v="2020-10-14T00:00:00"/>
    <n v="1"/>
    <s v="не защищена"/>
    <n v="500154"/>
    <x v="750"/>
    <n v="21"/>
    <s v="Подразделение21"/>
    <s v="подразделение_2_уровня21"/>
    <s v="-"/>
    <s v="линейный_руководитель_1"/>
    <n v="7"/>
    <s v="нет"/>
    <m/>
    <m/>
    <m/>
    <n v="730"/>
    <s v="Вобликов Алексей Григорьевич"/>
    <n v="1821"/>
    <s v="Ветров Юрий Геннадьевич"/>
    <s v="Рабочий"/>
    <s v="Подразделение21"/>
    <x v="1"/>
    <x v="0"/>
    <n v="0"/>
    <n v="0"/>
    <m/>
    <m/>
    <s v="без изменений"/>
    <s v="протокол-№-24.10.2022"/>
  </r>
  <r>
    <s v="Функциональное направление 10"/>
    <n v="4"/>
    <d v="2020-10-14T00:00:00"/>
    <n v="0"/>
    <s v="не защищена"/>
    <n v="500154"/>
    <x v="750"/>
    <n v="21"/>
    <s v="Подразделение21"/>
    <s v="подразделение_2_уровня21"/>
    <s v="-"/>
    <s v="линейный_руководитель_1"/>
    <n v="7"/>
    <s v="нет"/>
    <m/>
    <m/>
    <m/>
    <n v="730"/>
    <s v="Вобликов Алексей Григорьевич"/>
    <n v="1819"/>
    <s v="Дмитриев Кирилл Александрович"/>
    <s v="Рабочий"/>
    <s v="Подразделение21"/>
    <x v="2"/>
    <x v="2"/>
    <n v="0"/>
    <n v="0"/>
    <s v="инициатива комитета / руководителя"/>
    <d v="2022-10-24T00:00:00"/>
    <s v="исключение"/>
    <s v="протокол-№-24.10.2022"/>
  </r>
  <r>
    <s v="Функциональное направление 10"/>
    <n v="3"/>
    <d v="2020-07-27T00:00:00"/>
    <n v="1"/>
    <s v="не защищена"/>
    <n v="500155"/>
    <x v="751"/>
    <n v="21"/>
    <s v="Подразделение21"/>
    <s v="подразделение_2_уровня21"/>
    <s v="-"/>
    <s v="линейный_руководитель_3"/>
    <n v="6"/>
    <s v="нет"/>
    <m/>
    <m/>
    <m/>
    <n v="731"/>
    <s v="Романов Валерий Денисович"/>
    <n v="715"/>
    <s v="Вобликов Григорий Тимофеевич"/>
    <s v="руководитель_среднего_уровня_4"/>
    <s v="Подразделение21"/>
    <x v="1"/>
    <x v="0"/>
    <n v="1"/>
    <n v="0"/>
    <m/>
    <m/>
    <s v="повышение"/>
    <s v="протокол-№-28.06.2022"/>
  </r>
  <r>
    <s v="Функциональное направление 10"/>
    <n v="3"/>
    <d v="2020-07-27T00:00:00"/>
    <n v="0"/>
    <s v="не защищена"/>
    <n v="500155"/>
    <x v="751"/>
    <n v="21"/>
    <s v="Подразделение21"/>
    <s v="подразделение_2_уровня21"/>
    <s v="-"/>
    <s v="линейный_руководитель_3"/>
    <n v="6"/>
    <s v="нет"/>
    <m/>
    <m/>
    <m/>
    <n v="731"/>
    <s v="Романов Валерий Денисович"/>
    <n v="722"/>
    <s v="Русланов Алексей Михайлович"/>
    <s v="линейный_руководитель_2"/>
    <s v="Подразделение21"/>
    <x v="2"/>
    <x v="2"/>
    <n v="1"/>
    <n v="0"/>
    <s v="инициатива комитета / руководителя"/>
    <d v="2022-06-28T00:00:00"/>
    <s v="исключение"/>
    <s v="протокол-№-28.06.2022"/>
  </r>
  <r>
    <s v="Функциональное направление 10"/>
    <n v="4"/>
    <d v="2020-10-14T00:00:00"/>
    <n v="1"/>
    <s v="не защищена"/>
    <n v="500156"/>
    <x v="752"/>
    <n v="21"/>
    <s v="Подразделение21"/>
    <s v="подразделение_2_уровня21"/>
    <s v="-"/>
    <s v="линейный_руководитель_2"/>
    <n v="7"/>
    <s v="нет"/>
    <m/>
    <m/>
    <m/>
    <n v="732"/>
    <s v="Зверев Валерий Денисович"/>
    <n v="1822"/>
    <s v="Тимофеев Виталий Александрович"/>
    <s v="Рабочий"/>
    <s v="Подразделение21"/>
    <x v="0"/>
    <x v="0"/>
    <n v="1"/>
    <n v="0"/>
    <m/>
    <m/>
    <s v="без изменений"/>
    <s v="протокол-№-24.10.2022"/>
  </r>
  <r>
    <s v="Функциональное направление 10"/>
    <n v="3"/>
    <d v="2020-07-27T00:00:00"/>
    <n v="1"/>
    <s v="не защищена"/>
    <n v="500157"/>
    <x v="753"/>
    <n v="21"/>
    <s v="Подразделение21"/>
    <s v="подразделение_2_уровня21"/>
    <s v="-"/>
    <s v="линейный_руководитель_3"/>
    <n v="6"/>
    <s v="да"/>
    <d v="2023-06-24T00:00:00"/>
    <m/>
    <m/>
    <s v="вакансия"/>
    <s v="вакансия"/>
    <n v="724"/>
    <s v="Вобликов Алексей Тимофеевич"/>
    <s v="линейный_руководитель_2"/>
    <s v="Подразделение21"/>
    <x v="1"/>
    <x v="0"/>
    <n v="1"/>
    <n v="0"/>
    <m/>
    <m/>
    <s v="повышение"/>
    <s v="протокол-№-28.06.2022"/>
  </r>
  <r>
    <s v="Функциональное направление 10"/>
    <n v="3"/>
    <d v="2020-07-27T00:00:00"/>
    <n v="0"/>
    <s v="не защищена"/>
    <n v="500157"/>
    <x v="753"/>
    <n v="21"/>
    <s v="Подразделение21"/>
    <s v="подразделение_2_уровня21"/>
    <s v="-"/>
    <s v="линейный_руководитель_3"/>
    <n v="6"/>
    <s v="да"/>
    <d v="2023-06-24T00:00:00"/>
    <m/>
    <m/>
    <s v="вакансия"/>
    <s v="вакансия"/>
    <n v="720"/>
    <s v="Нырков Федот Юрьевич"/>
    <s v="линейный_руководитель_2"/>
    <s v="Подразделение21"/>
    <x v="0"/>
    <x v="0"/>
    <n v="1"/>
    <n v="0"/>
    <m/>
    <m/>
    <s v="повышение"/>
    <s v="протокол-№-28.06.2022"/>
  </r>
  <r>
    <s v="Функциональное направление 10"/>
    <n v="4"/>
    <d v="2020-10-14T00:00:00"/>
    <n v="1"/>
    <s v="не защищена"/>
    <n v="500158"/>
    <x v="754"/>
    <n v="21"/>
    <s v="Подразделение21"/>
    <s v="подразделение_2_уровня21"/>
    <s v="-"/>
    <s v="линейный_руководитель_2"/>
    <n v="7"/>
    <s v="нет"/>
    <m/>
    <m/>
    <m/>
    <n v="733"/>
    <s v="Баранкин Степан Владиславович"/>
    <n v="1822"/>
    <s v="Тимофеев Виталий Александрович"/>
    <s v="Рабочий"/>
    <s v="Подразделение21"/>
    <x v="2"/>
    <x v="0"/>
    <n v="0"/>
    <n v="0"/>
    <m/>
    <m/>
    <s v="без изменений"/>
    <s v="протокол-№-24.10.2022"/>
  </r>
  <r>
    <s v="Функциональное направление 10"/>
    <n v="3"/>
    <d v="2019-10-31T00:00:00"/>
    <n v="1"/>
    <s v="не защищена"/>
    <n v="500159"/>
    <x v="755"/>
    <n v="7"/>
    <s v="Подразделение7"/>
    <s v="подразделение_2_уровня7"/>
    <s v="-"/>
    <s v="линейный_руководитель_3"/>
    <n v="5"/>
    <s v="нет"/>
    <m/>
    <m/>
    <m/>
    <n v="734"/>
    <s v="Баранкин Валерий Романович"/>
    <n v="741"/>
    <s v="Бураков Николай Григорьевич"/>
    <s v="функциональный_руководитель_1"/>
    <s v="Подразделение7"/>
    <x v="1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159"/>
    <x v="755"/>
    <n v="7"/>
    <s v="Подразделение7"/>
    <s v="подразделение_2_уровня7"/>
    <s v="-"/>
    <s v="линейный_руководитель_3"/>
    <n v="5"/>
    <s v="нет"/>
    <m/>
    <m/>
    <m/>
    <n v="734"/>
    <s v="Баранкин Валерий Романович"/>
    <n v="1764"/>
    <s v="Тимофеев Виталий Александрович"/>
    <s v="руководитель_среднего_уровня_4"/>
    <s v="Подразделение7"/>
    <x v="0"/>
    <x v="2"/>
    <n v="1"/>
    <n v="0"/>
    <s v="увольнение"/>
    <d v="2022-10-11T00:00:00"/>
    <s v="повышение"/>
    <s v="протокол-№-28.06.2022"/>
  </r>
  <r>
    <s v="Функциональное направление 10"/>
    <n v="3"/>
    <d v="2018-12-24T00:00:00"/>
    <n v="0"/>
    <s v="не защищена"/>
    <n v="500159"/>
    <x v="755"/>
    <n v="7"/>
    <s v="Подразделение7"/>
    <s v="подразделение_2_уровня7"/>
    <s v="-"/>
    <s v="линейный_руководитель_3"/>
    <n v="5"/>
    <s v="нет"/>
    <m/>
    <m/>
    <m/>
    <n v="734"/>
    <s v="Баранкин Валерий Романович"/>
    <n v="705"/>
    <s v="Романов Венедикт Денисович"/>
    <s v="руководитель_среднего_уровня_4"/>
    <s v="Подразделение7"/>
    <x v="1"/>
    <x v="2"/>
    <n v="1"/>
    <n v="0"/>
    <s v="инициатива комитета / руководителя"/>
    <d v="2020-07-27T00:00:00"/>
    <s v="исключение"/>
    <s v="протокол-№-27.07.2020"/>
  </r>
  <r>
    <s v="Функциональное направление 10"/>
    <n v="4"/>
    <d v="2020-10-21T00:00:00"/>
    <n v="1"/>
    <s v="не защищена"/>
    <n v="500161"/>
    <x v="756"/>
    <n v="7"/>
    <s v="Подразделение7"/>
    <s v="подразделение_2_уровня7"/>
    <s v="-"/>
    <s v="линейный_руководитель_2"/>
    <n v="6"/>
    <s v="нет"/>
    <m/>
    <m/>
    <m/>
    <n v="735"/>
    <s v="Вобликов Кирилл Иванович"/>
    <n v="1823"/>
    <s v="Степанов Юрий Ефремович"/>
    <s v="Рабочий"/>
    <s v="Подразделение7"/>
    <x v="1"/>
    <x v="0"/>
    <n v="1"/>
    <n v="0"/>
    <m/>
    <m/>
    <s v="повышение"/>
    <s v="протокол-№-25.10.2022"/>
  </r>
  <r>
    <s v="Функциональное направление 10"/>
    <n v="4"/>
    <d v="2020-10-21T00:00:00"/>
    <n v="1"/>
    <s v="не защищена"/>
    <n v="500162"/>
    <x v="757"/>
    <n v="7"/>
    <s v="Подразделение7"/>
    <s v="подразделение_2_уровня7"/>
    <s v="-"/>
    <s v="руководитель_среднего_уровня_3"/>
    <n v="6"/>
    <s v="нет"/>
    <m/>
    <m/>
    <m/>
    <n v="736"/>
    <s v="Баранкин Валерий Тимофеевич"/>
    <n v="1824"/>
    <s v="Степанов Константин Александрович"/>
    <s v="Рабочий"/>
    <s v="Подразделение7"/>
    <x v="1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7"/>
    <n v="7"/>
    <s v="Подразделение7"/>
    <s v="подразделение_2_уровня7"/>
    <s v="-"/>
    <s v="руководитель_среднего_уровня_3"/>
    <n v="6"/>
    <s v="нет"/>
    <m/>
    <m/>
    <m/>
    <n v="736"/>
    <s v="Баранкин Валерий Тимофеевич"/>
    <n v="1825"/>
    <s v="Тимофеев Юрий Александрович"/>
    <s v="Рабочий"/>
    <s v="Подразделение7"/>
    <x v="0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7"/>
    <n v="7"/>
    <s v="Подразделение7"/>
    <s v="подразделение_2_уровня7"/>
    <s v="-"/>
    <s v="руководитель_среднего_уровня_3"/>
    <n v="6"/>
    <s v="нет"/>
    <m/>
    <m/>
    <m/>
    <n v="736"/>
    <s v="Баранкин Валерий Тимофеевич"/>
    <n v="758"/>
    <s v="Ефремов Кирилл Юрьевич"/>
    <s v="линейный_руководитель_2"/>
    <s v="Подразделение7"/>
    <x v="0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7"/>
    <n v="7"/>
    <s v="Подразделение7"/>
    <s v="подразделение_2_уровня7"/>
    <s v="-"/>
    <s v="руководитель_среднего_уровня_3"/>
    <n v="6"/>
    <s v="нет"/>
    <m/>
    <m/>
    <m/>
    <n v="736"/>
    <s v="Баранкин Валерий Тимофеевич"/>
    <n v="746"/>
    <s v="Вобликов Федот Юрьевич"/>
    <s v="линейный_руководитель_2"/>
    <s v="Подразделение7"/>
    <x v="0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7"/>
    <n v="7"/>
    <s v="Подразделение7"/>
    <s v="подразделение_2_уровня7"/>
    <s v="-"/>
    <s v="руководитель_среднего_уровня_3"/>
    <n v="6"/>
    <s v="нет"/>
    <m/>
    <m/>
    <m/>
    <n v="736"/>
    <s v="Баранкин Валерий Тимофеевич"/>
    <n v="1826"/>
    <s v="Ветров Савелий Ефремович"/>
    <s v="Рабочий"/>
    <s v="Подразделение7"/>
    <x v="2"/>
    <x v="0"/>
    <n v="1"/>
    <n v="0"/>
    <m/>
    <m/>
    <s v="без изменений"/>
    <s v="протокол-№-25.10.2022"/>
  </r>
  <r>
    <s v="Функциональное направление 10"/>
    <n v="4"/>
    <d v="2021-09-30T00:00:00"/>
    <n v="0"/>
    <s v="не защищена"/>
    <n v="500162"/>
    <x v="757"/>
    <n v="7"/>
    <s v="Подразделение7"/>
    <s v="подразделение_2_уровня7"/>
    <s v="-"/>
    <s v="руководитель_среднего_уровня_3"/>
    <n v="6"/>
    <s v="нет"/>
    <m/>
    <m/>
    <m/>
    <n v="736"/>
    <s v="Баранкин Валерий Тимофеевич"/>
    <n v="737"/>
    <s v="Романов Кирилл Григорьевич"/>
    <s v="линейный_руководитель_2"/>
    <s v="Подразделение7"/>
    <x v="1"/>
    <x v="1"/>
    <n v="1"/>
    <n v="0"/>
    <s v="назначение на целевую должность"/>
    <d v="2021-12-01T00:00:00"/>
    <s v="не рассматривали"/>
    <s v="протокол-№-30.09.2021"/>
  </r>
  <r>
    <s v="Функциональное направление 10"/>
    <n v="4"/>
    <d v="2020-10-21T00:00:00"/>
    <n v="1"/>
    <s v="не защищена"/>
    <n v="500162"/>
    <x v="758"/>
    <n v="7"/>
    <s v="Подразделение7"/>
    <s v="подразделение_2_уровня7"/>
    <s v="-"/>
    <s v="руководитель_среднего_уровня_3"/>
    <n v="6"/>
    <s v="да"/>
    <d v="2021-09-14T00:00:00"/>
    <d v="2021-12-01T00:00:00"/>
    <s v="из резерва (учитываем)"/>
    <n v="737"/>
    <s v="Романов Кирилл Григорьевич"/>
    <n v="1824"/>
    <s v="Степанов Константин Александрович"/>
    <s v="Рабочий"/>
    <s v="Подразделение7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8"/>
    <n v="7"/>
    <s v="Подразделение7"/>
    <s v="подразделение_2_уровня7"/>
    <s v="-"/>
    <s v="руководитель_среднего_уровня_3"/>
    <n v="6"/>
    <s v="да"/>
    <d v="2021-09-14T00:00:00"/>
    <d v="2021-12-01T00:00:00"/>
    <s v="из резерва (учитываем)"/>
    <n v="737"/>
    <s v="Романов Кирилл Григорьевич"/>
    <n v="1825"/>
    <s v="Тимофеев Юрий Александр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8"/>
    <n v="7"/>
    <s v="Подразделение7"/>
    <s v="подразделение_2_уровня7"/>
    <s v="-"/>
    <s v="руководитель_среднего_уровня_3"/>
    <n v="6"/>
    <s v="да"/>
    <d v="2021-09-14T00:00:00"/>
    <d v="2021-12-01T00:00:00"/>
    <s v="из резерва (учитываем)"/>
    <n v="737"/>
    <s v="Романов Кирилл Григорьевич"/>
    <n v="758"/>
    <s v="Ефремов Кирилл Юрьевич"/>
    <s v="линейный_руководитель_2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8"/>
    <n v="7"/>
    <s v="Подразделение7"/>
    <s v="подразделение_2_уровня7"/>
    <s v="-"/>
    <s v="руководитель_среднего_уровня_3"/>
    <n v="6"/>
    <s v="да"/>
    <d v="2021-09-14T00:00:00"/>
    <d v="2021-12-01T00:00:00"/>
    <s v="из резерва (учитываем)"/>
    <n v="737"/>
    <s v="Романов Кирилл Григорьевич"/>
    <n v="746"/>
    <s v="Вобликов Федот Юрьевич"/>
    <s v="линейный_руководитель_2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8"/>
    <n v="7"/>
    <s v="Подразделение7"/>
    <s v="подразделение_2_уровня7"/>
    <s v="-"/>
    <s v="руководитель_среднего_уровня_3"/>
    <n v="6"/>
    <s v="да"/>
    <d v="2021-09-14T00:00:00"/>
    <d v="2021-12-01T00:00:00"/>
    <s v="из резерва (учитываем)"/>
    <n v="737"/>
    <s v="Романов Кирилл Григорьевич"/>
    <n v="1826"/>
    <s v="Ветров Савелий Ефремович"/>
    <s v="Рабочий"/>
    <s v="Подразделение7"/>
    <x v="2"/>
    <x v="0"/>
    <n v="0"/>
    <n v="0"/>
    <m/>
    <m/>
    <s v="без изменений"/>
    <s v="протокол-№-25.10.2022"/>
  </r>
  <r>
    <s v="Функциональное направление 10"/>
    <n v="4"/>
    <d v="2021-09-30T00:00:00"/>
    <n v="0"/>
    <s v="не защищена"/>
    <n v="500162"/>
    <x v="758"/>
    <n v="7"/>
    <s v="Подразделение7"/>
    <s v="подразделение_2_уровня7"/>
    <s v="-"/>
    <s v="руководитель_среднего_уровня_3"/>
    <n v="6"/>
    <s v="да"/>
    <d v="2021-09-14T00:00:00"/>
    <d v="2021-12-01T00:00:00"/>
    <s v="из резерва (учитываем)"/>
    <n v="737"/>
    <s v="Романов Кирилл Григорьевич"/>
    <n v="737"/>
    <s v="Романов Кирилл Григорьевич"/>
    <s v="линейный_руководитель_2"/>
    <s v="Подразделение7"/>
    <x v="1"/>
    <x v="1"/>
    <n v="0"/>
    <n v="1"/>
    <s v="назначение на целевую должность"/>
    <d v="2021-12-01T00:00:00"/>
    <s v="не рассматривали"/>
    <s v="протокол-№-30.09.2021"/>
  </r>
  <r>
    <s v="Функциональное направление 10"/>
    <n v="4"/>
    <d v="2020-10-21T00:00:00"/>
    <n v="1"/>
    <s v="не защищена"/>
    <n v="500162"/>
    <x v="759"/>
    <n v="7"/>
    <s v="Подразделение7"/>
    <s v="подразделение_2_уровня7"/>
    <s v="-"/>
    <s v="руководитель_среднего_уровня_3"/>
    <n v="6"/>
    <s v="нет"/>
    <m/>
    <m/>
    <m/>
    <n v="738"/>
    <s v="Русланов Венедикт Егорович"/>
    <n v="1824"/>
    <s v="Степанов Константин Александрович"/>
    <s v="Рабочий"/>
    <s v="Подразделение7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9"/>
    <n v="7"/>
    <s v="Подразделение7"/>
    <s v="подразделение_2_уровня7"/>
    <s v="-"/>
    <s v="руководитель_среднего_уровня_3"/>
    <n v="6"/>
    <s v="нет"/>
    <m/>
    <m/>
    <m/>
    <n v="738"/>
    <s v="Русланов Венедикт Егорович"/>
    <n v="1825"/>
    <s v="Тимофеев Юрий Александр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9"/>
    <n v="7"/>
    <s v="Подразделение7"/>
    <s v="подразделение_2_уровня7"/>
    <s v="-"/>
    <s v="руководитель_среднего_уровня_3"/>
    <n v="6"/>
    <s v="нет"/>
    <m/>
    <m/>
    <m/>
    <n v="738"/>
    <s v="Русланов Венедикт Егорович"/>
    <n v="758"/>
    <s v="Ефремов Кирилл Юрьевич"/>
    <s v="линейный_руководитель_2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9"/>
    <n v="7"/>
    <s v="Подразделение7"/>
    <s v="подразделение_2_уровня7"/>
    <s v="-"/>
    <s v="руководитель_среднего_уровня_3"/>
    <n v="6"/>
    <s v="нет"/>
    <m/>
    <m/>
    <m/>
    <n v="738"/>
    <s v="Русланов Венедикт Егорович"/>
    <n v="746"/>
    <s v="Вобликов Федот Юрьевич"/>
    <s v="линейный_руководитель_2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59"/>
    <n v="7"/>
    <s v="Подразделение7"/>
    <s v="подразделение_2_уровня7"/>
    <s v="-"/>
    <s v="руководитель_среднего_уровня_3"/>
    <n v="6"/>
    <s v="нет"/>
    <m/>
    <m/>
    <m/>
    <n v="738"/>
    <s v="Русланов Венедикт Егорович"/>
    <n v="1826"/>
    <s v="Ветров Савелий Ефремович"/>
    <s v="Рабочий"/>
    <s v="Подразделение7"/>
    <x v="2"/>
    <x v="0"/>
    <n v="0"/>
    <n v="0"/>
    <m/>
    <m/>
    <s v="без изменений"/>
    <s v="протокол-№-25.10.2022"/>
  </r>
  <r>
    <s v="Функциональное направление 10"/>
    <n v="4"/>
    <d v="2021-09-30T00:00:00"/>
    <n v="0"/>
    <s v="не защищена"/>
    <n v="500162"/>
    <x v="759"/>
    <n v="7"/>
    <s v="Подразделение7"/>
    <s v="подразделение_2_уровня7"/>
    <s v="-"/>
    <s v="руководитель_среднего_уровня_3"/>
    <n v="6"/>
    <s v="нет"/>
    <m/>
    <m/>
    <m/>
    <n v="738"/>
    <s v="Русланов Венедикт Егорович"/>
    <n v="737"/>
    <s v="Романов Кирилл Григорьевич"/>
    <s v="линейный_руководитель_2"/>
    <s v="Подразделение7"/>
    <x v="1"/>
    <x v="1"/>
    <n v="0"/>
    <n v="0"/>
    <s v="назначение на целевую должность"/>
    <d v="2021-12-01T00:00:00"/>
    <s v="не рассматривали"/>
    <s v="протокол-№-30.09.2021"/>
  </r>
  <r>
    <s v="Функциональное направление 10"/>
    <n v="4"/>
    <d v="2020-10-21T00:00:00"/>
    <n v="1"/>
    <s v="не защищена"/>
    <n v="500162"/>
    <x v="760"/>
    <n v="7"/>
    <s v="Подразделение7"/>
    <s v="подразделение_2_уровня7"/>
    <s v="-"/>
    <s v="руководитель_среднего_уровня_3"/>
    <n v="6"/>
    <s v="нет"/>
    <m/>
    <m/>
    <m/>
    <n v="739"/>
    <s v="Зверев Григорий Александрович"/>
    <n v="1824"/>
    <s v="Степанов Константин Александрович"/>
    <s v="Рабочий"/>
    <s v="Подразделение7"/>
    <x v="1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60"/>
    <n v="7"/>
    <s v="Подразделение7"/>
    <s v="подразделение_2_уровня7"/>
    <s v="-"/>
    <s v="руководитель_среднего_уровня_3"/>
    <n v="6"/>
    <s v="нет"/>
    <m/>
    <m/>
    <m/>
    <n v="739"/>
    <s v="Зверев Григорий Александрович"/>
    <n v="1825"/>
    <s v="Тимофеев Юрий Александр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60"/>
    <n v="7"/>
    <s v="Подразделение7"/>
    <s v="подразделение_2_уровня7"/>
    <s v="-"/>
    <s v="руководитель_среднего_уровня_3"/>
    <n v="6"/>
    <s v="нет"/>
    <m/>
    <m/>
    <m/>
    <n v="739"/>
    <s v="Зверев Григорий Александрович"/>
    <n v="758"/>
    <s v="Ефремов Кирилл Юрьевич"/>
    <s v="линейный_руководитель_2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60"/>
    <n v="7"/>
    <s v="Подразделение7"/>
    <s v="подразделение_2_уровня7"/>
    <s v="-"/>
    <s v="руководитель_среднего_уровня_3"/>
    <n v="6"/>
    <s v="нет"/>
    <m/>
    <m/>
    <m/>
    <n v="739"/>
    <s v="Зверев Григорий Александрович"/>
    <n v="746"/>
    <s v="Вобликов Федот Юрьевич"/>
    <s v="линейный_руководитель_2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62"/>
    <x v="760"/>
    <n v="7"/>
    <s v="Подразделение7"/>
    <s v="подразделение_2_уровня7"/>
    <s v="-"/>
    <s v="руководитель_среднего_уровня_3"/>
    <n v="6"/>
    <s v="нет"/>
    <m/>
    <m/>
    <m/>
    <n v="739"/>
    <s v="Зверев Григорий Александрович"/>
    <n v="1826"/>
    <s v="Ветров Савелий Ефремович"/>
    <s v="Рабочий"/>
    <s v="Подразделение7"/>
    <x v="2"/>
    <x v="0"/>
    <n v="0"/>
    <n v="0"/>
    <m/>
    <m/>
    <s v="без изменений"/>
    <s v="протокол-№-25.10.2022"/>
  </r>
  <r>
    <s v="Функциональное направление 10"/>
    <n v="4"/>
    <d v="2021-09-30T00:00:00"/>
    <n v="0"/>
    <s v="не защищена"/>
    <n v="500162"/>
    <x v="760"/>
    <n v="7"/>
    <s v="Подразделение7"/>
    <s v="подразделение_2_уровня7"/>
    <s v="-"/>
    <s v="руководитель_среднего_уровня_3"/>
    <n v="6"/>
    <s v="нет"/>
    <m/>
    <m/>
    <m/>
    <n v="739"/>
    <s v="Зверев Григорий Александрович"/>
    <n v="737"/>
    <s v="Романов Кирилл Григорьевич"/>
    <s v="линейный_руководитель_2"/>
    <s v="Подразделение7"/>
    <x v="1"/>
    <x v="1"/>
    <n v="0"/>
    <n v="0"/>
    <s v="назначение на целевую должность"/>
    <d v="2021-12-01T00:00:00"/>
    <s v="не рассматривали"/>
    <s v="протокол-№-30.09.2021"/>
  </r>
  <r>
    <s v="Функциональное направление 10"/>
    <n v="3"/>
    <d v="2021-06-22T00:00:00"/>
    <n v="1"/>
    <s v="не защищена"/>
    <n v="500163"/>
    <x v="761"/>
    <n v="7"/>
    <s v="Подразделение7"/>
    <s v="подразделение_2_уровня7"/>
    <s v="-"/>
    <s v="линейный_руководитель_3"/>
    <n v="5"/>
    <s v="да"/>
    <d v="2019-11-05T00:00:00"/>
    <d v="2019-11-05T00:00:00"/>
    <s v="внутр. сотр. (учитываем)"/>
    <n v="740"/>
    <s v="Волков Константин Александрович"/>
    <n v="743"/>
    <s v="Вобликов Степан Егорович"/>
    <s v="функциональный_руководитель_3"/>
    <s v="Подразделение7"/>
    <x v="0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163"/>
    <x v="761"/>
    <n v="7"/>
    <s v="Подразделение7"/>
    <s v="подразделение_2_уровня7"/>
    <s v="-"/>
    <s v="линейный_руководитель_3"/>
    <n v="5"/>
    <s v="да"/>
    <d v="2019-11-05T00:00:00"/>
    <d v="2019-11-05T00:00:00"/>
    <s v="из резерва (учитываем)"/>
    <n v="740"/>
    <s v="Волков Константин Александрович"/>
    <n v="740"/>
    <s v="Волков Константин Александрович"/>
    <s v="линейный_руководитель_3"/>
    <s v="Подразделение7"/>
    <x v="1"/>
    <x v="1"/>
    <n v="1"/>
    <n v="1"/>
    <s v="назначение на целевую должность"/>
    <d v="2019-11-05T00:00:00"/>
    <s v="не рассматривали"/>
    <s v="протокол-№-24.12.2018"/>
  </r>
  <r>
    <s v="Функциональное направление 10"/>
    <n v="3"/>
    <d v="2018-12-24T00:00:00"/>
    <n v="0"/>
    <s v="не защищена"/>
    <n v="500163"/>
    <x v="761"/>
    <n v="7"/>
    <s v="Подразделение7"/>
    <s v="подразделение_2_уровня7"/>
    <s v="-"/>
    <s v="линейный_руководитель_3"/>
    <n v="5"/>
    <s v="да"/>
    <d v="2019-11-05T00:00:00"/>
    <d v="2019-11-05T00:00:00"/>
    <s v="из резерва (учитываем)"/>
    <n v="740"/>
    <s v="Волков Константин Александрович"/>
    <n v="742"/>
    <s v="Баранкин Емельян Тимофеевич"/>
    <s v="функциональный_руководитель_1"/>
    <s v="Подразделение7"/>
    <x v="0"/>
    <x v="2"/>
    <n v="1"/>
    <n v="0"/>
    <s v="инициатива комитета / руководителя"/>
    <d v="2019-10-31T00:00:00"/>
    <s v="исключение"/>
    <s v="протокол-№-31.10.2019"/>
  </r>
  <r>
    <s v="Функциональное направление 10"/>
    <n v="3"/>
    <d v="2020-07-27T00:00:00"/>
    <n v="0"/>
    <s v="не защищена"/>
    <n v="500163"/>
    <x v="761"/>
    <n v="7"/>
    <s v="Подразделение7"/>
    <s v="подразделение_2_уровня7"/>
    <s v="-"/>
    <s v="линейный_руководитель_3"/>
    <n v="5"/>
    <s v="да"/>
    <d v="2019-11-05T00:00:00"/>
    <d v="2019-11-05T00:00:00"/>
    <s v="из резерва (учитываем)"/>
    <n v="740"/>
    <s v="Волков Константин Александрович"/>
    <n v="1827"/>
    <s v="Незнамов Афанасий Семенович"/>
    <s v="руководитель_среднего_уровня_4"/>
    <s v="Подразделение7"/>
    <x v="2"/>
    <x v="2"/>
    <n v="1"/>
    <n v="0"/>
    <s v="увольнение"/>
    <d v="2020-11-27T00:00:00"/>
    <s v="не рассматривали"/>
    <s v="протокол-№-27.07.2020"/>
  </r>
  <r>
    <s v="Функциональное направление 10"/>
    <n v="3"/>
    <d v="2020-12-11T00:00:00"/>
    <n v="1"/>
    <s v="не защищена"/>
    <n v="500164"/>
    <x v="762"/>
    <n v="7"/>
    <s v="Подразделение7"/>
    <s v="подразделение_2_уровня7"/>
    <s v="-"/>
    <s v="функциональный_руководитель_1"/>
    <n v="6"/>
    <s v="нет"/>
    <m/>
    <m/>
    <m/>
    <n v="741"/>
    <s v="Бураков Николай Григорьевич"/>
    <n v="756"/>
    <s v="Поминов Венедикт Романович"/>
    <s v="линейный_руководитель_2"/>
    <s v="Подразделение7"/>
    <x v="1"/>
    <x v="0"/>
    <n v="1"/>
    <n v="0"/>
    <m/>
    <m/>
    <s v="без изменений"/>
    <s v="протокол-№-28.06.2022"/>
  </r>
  <r>
    <s v="Функциональное направление 10"/>
    <n v="3"/>
    <d v="2020-12-11T00:00:00"/>
    <n v="1"/>
    <s v="не защищена"/>
    <n v="500165"/>
    <x v="763"/>
    <n v="7"/>
    <s v="Подразделение7"/>
    <s v="подразделение_2_уровня7"/>
    <s v="-"/>
    <s v="функциональный_руководитель_1"/>
    <n v="6"/>
    <s v="да"/>
    <d v="2022-10-08T00:00:00"/>
    <m/>
    <m/>
    <s v="вакансия"/>
    <s v="вакансия"/>
    <n v="1764"/>
    <s v="Тимофеев Виталий Александрович"/>
    <s v="руководитель_среднего_уровня_4"/>
    <s v="Подразделение7"/>
    <x v="1"/>
    <x v="2"/>
    <n v="1"/>
    <n v="0"/>
    <s v="увольнение"/>
    <d v="2022-10-11T00:00:00"/>
    <s v="без изменений"/>
    <s v="протокол-№-28.06.2022"/>
  </r>
  <r>
    <s v="Функциональное направление 10"/>
    <n v="3"/>
    <d v="2020-12-11T00:00:00"/>
    <n v="1"/>
    <s v="не защищена"/>
    <n v="500166"/>
    <x v="764"/>
    <n v="7"/>
    <s v="Подразделение7"/>
    <s v="подразделение_2_уровня7"/>
    <s v="-"/>
    <s v="функциональный_руководитель_1"/>
    <n v="6"/>
    <s v="нет"/>
    <m/>
    <m/>
    <m/>
    <n v="742"/>
    <s v="Баранкин Емельян Тимофеевич"/>
    <n v="826"/>
    <s v="Бураков Алексей Иванович"/>
    <s v="руководитель_среднего_уровня_4"/>
    <s v="Подразделение7"/>
    <x v="1"/>
    <x v="0"/>
    <n v="1"/>
    <n v="0"/>
    <m/>
    <m/>
    <s v="без изменений"/>
    <s v="протокол-№-28.06.2022"/>
  </r>
  <r>
    <s v="Функциональное направление 10"/>
    <n v="4"/>
    <d v="2020-10-21T00:00:00"/>
    <n v="1"/>
    <s v="не защищена"/>
    <n v="500167"/>
    <x v="765"/>
    <n v="7"/>
    <s v="Подразделение7"/>
    <s v="подразделение_2_уровня7"/>
    <s v="подразделение_3_уровня7"/>
    <s v="функциональный_руководитель_3"/>
    <n v="6"/>
    <s v="нет"/>
    <m/>
    <m/>
    <m/>
    <n v="743"/>
    <s v="Вобликов Степан Егорович"/>
    <n v="1828"/>
    <s v="Ветров Константин Семенович"/>
    <s v="Специалист"/>
    <s v="Подразделение7"/>
    <x v="0"/>
    <x v="0"/>
    <n v="1"/>
    <n v="0"/>
    <m/>
    <m/>
    <s v="без изменений"/>
    <s v="протокол-№-25.10.2022"/>
  </r>
  <r>
    <s v="Функциональное направление 10"/>
    <n v="4"/>
    <d v="2020-10-21T00:00:00"/>
    <n v="1"/>
    <s v="не защищена"/>
    <n v="500168"/>
    <x v="766"/>
    <n v="7"/>
    <s v="Подразделение7"/>
    <s v="подразделение_2_уровня7"/>
    <s v="подразделение_3_уровня7"/>
    <s v="функциональный_руководитель_3"/>
    <n v="6"/>
    <s v="нет"/>
    <m/>
    <m/>
    <m/>
    <n v="744"/>
    <s v="Волков Алексей Кириллович"/>
    <n v="1829"/>
    <s v="Незнамов Матвей Александрович"/>
    <s v="Специалист"/>
    <s v="Подразделение7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21T00:00:00"/>
    <n v="1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0"/>
    <s v="Незнамов Юрий Семенович"/>
    <s v="Рабочий"/>
    <s v="Подразделение7"/>
    <x v="0"/>
    <x v="0"/>
    <n v="1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1"/>
    <s v="Дорофеев Виталий Александрович"/>
    <s v="Рабочий"/>
    <s v="Подразделение7"/>
    <x v="0"/>
    <x v="0"/>
    <n v="1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2"/>
    <s v="Игнатьев Геннадий Михайлович"/>
    <s v="Рабочий"/>
    <s v="Подразделение7"/>
    <x v="0"/>
    <x v="0"/>
    <n v="1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3"/>
    <s v="Игнатьев Матвей Ефремович"/>
    <s v="Рабочий"/>
    <s v="Подразделение7"/>
    <x v="0"/>
    <x v="0"/>
    <n v="1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4"/>
    <s v="Ветров Геннадий Богдан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5"/>
    <s v="Ветров Геннадий Геннадье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8"/>
    <s v="Степанов Матвей Ефрем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39"/>
    <s v="Ветров Савелий Александрович"/>
    <s v="Рабочий"/>
    <s v="Подразделение7"/>
    <x v="2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0"/>
    <x v="76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5"/>
    <s v="Баранкин Федот Иванович"/>
    <n v="1840"/>
    <s v="Ветров Геннадий Ефремович"/>
    <s v="линейный_руководитель_2"/>
    <s v="Подразделение7"/>
    <x v="0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0"/>
    <s v="Незнамов Юрий Семе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2"/>
    <s v="Игнатьев Геннадий Михайл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3"/>
    <s v="Игнатьев Матвей Ефрем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4"/>
    <s v="Ветров Геннад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5"/>
    <s v="Ветров Геннадий Геннадье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8"/>
    <s v="Степан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39"/>
    <s v="Ветров Савелий Александрович"/>
    <s v="Рабочий"/>
    <s v="Подразделение7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0"/>
    <x v="76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6"/>
    <s v="Вобликов Федот Юрьевич"/>
    <n v="1840"/>
    <s v="Ветров Геннадий Ефремович"/>
    <s v="линейный_руководитель_2"/>
    <s v="Подразделение7"/>
    <x v="0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0"/>
    <s v="Незнамов Юрий Семе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2"/>
    <s v="Игнатьев Геннадий Михайл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3"/>
    <s v="Игнатьев Матвей Ефрем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4"/>
    <s v="Ветров Геннад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5"/>
    <s v="Ветров Геннадий Геннадье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8"/>
    <s v="Степан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747"/>
    <s v="Романов Тихон Юрьевич"/>
    <s v="Рабочий"/>
    <s v="Подразделение7"/>
    <x v="2"/>
    <x v="1"/>
    <n v="1"/>
    <n v="1"/>
    <s v="назначение на целевую должность"/>
    <d v="2020-12-11T00:00:00"/>
    <s v="не рассматривали"/>
    <s v="протокол-№-21.10.2020"/>
  </r>
  <r>
    <s v="Функциональное направление 10"/>
    <n v="4"/>
    <d v="2020-10-21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39"/>
    <s v="Ветров Савелий Александрович"/>
    <s v="Рабочий"/>
    <s v="Подразделение7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0"/>
    <x v="769"/>
    <n v="7"/>
    <s v="Подразделение7"/>
    <s v="подразделение_2_уровня7"/>
    <s v="подразделение_3_уровня7"/>
    <s v="линейный_руководитель_1"/>
    <n v="6"/>
    <s v="да"/>
    <d v="2020-12-11T00:00:00"/>
    <d v="2020-12-11T00:00:00"/>
    <s v="из резерва (учитываем)"/>
    <n v="747"/>
    <s v="Романов Тихон Юрьевич"/>
    <n v="1840"/>
    <s v="Ветров Геннадий Ефремович"/>
    <s v="линейный_руководитель_2"/>
    <s v="Подразделение7"/>
    <x v="0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0"/>
    <s v="Незнамов Юрий Семе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2"/>
    <s v="Игнатьев Геннадий Михайл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3"/>
    <s v="Игнатьев Матвей Ефрем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4"/>
    <s v="Ветров Геннад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5"/>
    <s v="Ветров Геннадий Геннадье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8"/>
    <s v="Степан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39"/>
    <s v="Ветров Савелий Александрович"/>
    <s v="Рабочий"/>
    <s v="Подразделение7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0"/>
    <x v="77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48"/>
    <s v="Вобликов Алексей Денисович"/>
    <n v="1840"/>
    <s v="Ветров Геннадий Ефремович"/>
    <s v="линейный_руководитель_2"/>
    <s v="Подразделение7"/>
    <x v="0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2"/>
    <s v="Игнатьев Геннадий Михайлович"/>
    <s v="Рабочий"/>
    <s v="Подразделение7"/>
    <x v="0"/>
    <x v="0"/>
    <n v="1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0"/>
    <s v="Незнамов Юрий Семенович"/>
    <s v="Рабочий"/>
    <s v="Подразделение7"/>
    <x v="0"/>
    <x v="0"/>
    <n v="1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3"/>
    <s v="Игнатьев Матвей Ефремович"/>
    <s v="Рабочий"/>
    <s v="Подразделение7"/>
    <x v="0"/>
    <x v="0"/>
    <n v="1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4"/>
    <s v="Ветров Геннадий Богдан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5"/>
    <s v="Ветров Геннадий Геннадье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6"/>
    <s v="Степанов Савелий Геннадьевич"/>
    <s v="Рабочий"/>
    <s v="Подразделение7"/>
    <x v="1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7"/>
    <s v="Степанов Савелий Ефрем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8"/>
    <s v="Степанов Матвей Ефрем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39"/>
    <s v="Ветров Савелий Александрович"/>
    <s v="Рабочий"/>
    <s v="Подразделение7"/>
    <x v="2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1"/>
    <x v="77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49"/>
    <s v="Баранкин Алексей Романович"/>
    <n v="1840"/>
    <s v="Ветров Геннадий Ефремович"/>
    <s v="линейный_руководитель_2"/>
    <s v="Подразделение7"/>
    <x v="0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0"/>
    <s v="Незнамов Юрий Семе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2"/>
    <s v="Игнатьев Геннадий Михайл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3"/>
    <s v="Игнатьев Матвей Ефрем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4"/>
    <s v="Ветров Геннад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5"/>
    <s v="Ветров Геннадий Геннадье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8"/>
    <s v="Степан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39"/>
    <s v="Ветров Савелий Александрович"/>
    <s v="Рабочий"/>
    <s v="Подразделение7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2"/>
    <x v="77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50"/>
    <s v="Пальчиков Николай Григорьевич"/>
    <n v="1840"/>
    <s v="Ветров Геннадий Ефремович"/>
    <s v="линейный_руководитель_2"/>
    <s v="Подразделение7"/>
    <x v="0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2"/>
    <s v="Игнатьев Геннадий Михайл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0"/>
    <s v="Незнамов Юрий Семе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4"/>
    <s v="Ветров Геннад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5"/>
    <s v="Ветров Геннадий Геннадье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8"/>
    <s v="Степан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1-09-30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3"/>
    <s v="Игнатьев Матвей Ефрем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39"/>
    <s v="Ветров Савелий Александрович"/>
    <s v="Рабочий"/>
    <s v="Подразделение7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2"/>
    <x v="773"/>
    <n v="7"/>
    <s v="Подразделение7"/>
    <s v="подразделение_2_уровня7"/>
    <s v="подразделение_3_уровня7"/>
    <s v="линейный_руководитель_2"/>
    <n v="6"/>
    <s v="да"/>
    <d v="2020-12-11T00:00:00"/>
    <d v="2020-12-11T00:00:00"/>
    <s v="внутр. сотр. (учитываем)"/>
    <n v="751"/>
    <s v="Пальчиков Константин Романович"/>
    <n v="1840"/>
    <s v="Ветров Геннадий Ефремович"/>
    <s v="линейный_руководитель_2"/>
    <s v="Подразделение7"/>
    <x v="0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0"/>
    <s v="Незнамов Юрий Семе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2"/>
    <s v="Игнатьев Геннадий Михайл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3"/>
    <s v="Игнатьев Матвей Ефрем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4"/>
    <s v="Ветров Геннад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5"/>
    <s v="Ветров Геннадий Геннадье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8"/>
    <s v="Степан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39"/>
    <s v="Ветров Савелий Александрович"/>
    <s v="Рабочий"/>
    <s v="Подразделение7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3"/>
    <x v="77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2"/>
    <s v="Волков Венедикт Денисович"/>
    <n v="1840"/>
    <s v="Ветров Геннадий Ефремович"/>
    <s v="линейный_руководитель_2"/>
    <s v="Подразделение7"/>
    <x v="0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0"/>
    <s v="Незнамов Юрий Семе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2"/>
    <s v="Игнатьев Геннадий Михайл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3"/>
    <s v="Игнатьев Матвей Ефрем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4"/>
    <s v="Ветров Геннад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5"/>
    <s v="Ветров Геннадий Геннадье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8"/>
    <s v="Степан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39"/>
    <s v="Ветров Савелий Александрович"/>
    <s v="Рабочий"/>
    <s v="Подразделение7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3"/>
    <x v="77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3"/>
    <s v="Русланов Григорий Владимирович"/>
    <n v="1840"/>
    <s v="Ветров Геннадий Ефремович"/>
    <s v="линейный_руководитель_2"/>
    <s v="Подразделение7"/>
    <x v="0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0"/>
    <s v="Незнамов Юрий Семе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2"/>
    <s v="Игнатьев Геннадий Михайл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3"/>
    <s v="Игнатьев Матвей Ефрем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4"/>
    <s v="Ветров Геннад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5"/>
    <s v="Ветров Геннадий Геннадье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8"/>
    <s v="Степан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39"/>
    <s v="Ветров Савелий Александрович"/>
    <s v="Рабочий"/>
    <s v="Подразделение7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3"/>
    <x v="776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4"/>
    <s v="Баранкин Валерий Юрьевич"/>
    <n v="1840"/>
    <s v="Ветров Геннадий Ефремович"/>
    <s v="линейный_руководитель_2"/>
    <s v="Подразделение7"/>
    <x v="0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0"/>
    <s v="Незнамов Юрий Семе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1"/>
    <s v="Дорофеев Виталий Александр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2"/>
    <s v="Игнатьев Геннадий Михайл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3"/>
    <s v="Игнатьев Матвей Ефрем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4"/>
    <s v="Ветров Геннад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5"/>
    <s v="Ветров Геннадий Геннадье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6"/>
    <s v="Степанов Савелий Геннадье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7"/>
    <s v="Степан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8"/>
    <s v="Степан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39"/>
    <s v="Ветров Савелий Александрович"/>
    <s v="Рабочий"/>
    <s v="Подразделение7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3"/>
    <x v="77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5"/>
    <s v="Волков Федот Тимофеевич"/>
    <n v="1840"/>
    <s v="Ветров Геннадий Ефремович"/>
    <s v="линейный_руководитель_2"/>
    <s v="Подразделение7"/>
    <x v="0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74"/>
    <x v="77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6"/>
    <s v="Поминов Венедикт Романович"/>
    <n v="759"/>
    <s v="Русланов Кирилл Денисович"/>
    <s v="линейный_руководитель_2"/>
    <s v="Подразделение7"/>
    <x v="0"/>
    <x v="0"/>
    <n v="1"/>
    <n v="0"/>
    <m/>
    <m/>
    <s v="не рассматривали"/>
    <s v="протокол-№-21.10.2020"/>
  </r>
  <r>
    <s v="Функциональное направление 10"/>
    <n v="4"/>
    <d v="2022-10-25T00:00:00"/>
    <n v="0"/>
    <s v="не защищена"/>
    <n v="500174"/>
    <x v="77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6"/>
    <s v="Поминов Венедикт Романович"/>
    <n v="1841"/>
    <s v="Игнатьев Юрий Александр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4"/>
    <x v="77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6"/>
    <s v="Поминов Венедикт Романович"/>
    <n v="1842"/>
    <s v="Тимофеев Роман Герасимович"/>
    <s v="Рабочий"/>
    <s v="Подразделение7"/>
    <x v="1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4"/>
    <x v="77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6"/>
    <s v="Поминов Венедикт Романович"/>
    <n v="1843"/>
    <s v="Ветров Савелий Ефрем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4"/>
    <x v="77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6"/>
    <s v="Поминов Венедикт Романович"/>
    <n v="1844"/>
    <s v="Тимофеев Савелий Семе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4"/>
    <x v="77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6"/>
    <s v="Поминов Венедикт Романович"/>
    <n v="814"/>
    <s v="Вобликов Венедикт Иванович"/>
    <s v="Рабочий"/>
    <s v="Подразделение7"/>
    <x v="0"/>
    <x v="2"/>
    <n v="1"/>
    <n v="0"/>
    <s v="назначение на целевую должность"/>
    <d v="2022-08-01T00:00:00"/>
    <s v="не рассматривали"/>
    <s v="протокол-№-21.10.2020"/>
  </r>
  <r>
    <s v="Функциональное направление 10"/>
    <n v="4"/>
    <d v="2022-10-25T00:00:00"/>
    <n v="1"/>
    <s v="не защищена"/>
    <n v="500175"/>
    <x v="77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7"/>
    <s v="Пальчиков Валерий Тимофеевич"/>
    <n v="1841"/>
    <s v="Игнатьев Юрий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77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7"/>
    <s v="Пальчиков Валерий Тимофеевич"/>
    <n v="1842"/>
    <s v="Тимофеев Роман Герасимо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77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7"/>
    <s v="Пальчиков Валерий Тимофеевич"/>
    <n v="1843"/>
    <s v="Ветров Савелий Ефрем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77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7"/>
    <s v="Пальчиков Валерий Тимофеевич"/>
    <n v="1844"/>
    <s v="Тимофеев Савелий Семе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5"/>
    <x v="77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7"/>
    <s v="Пальчиков Валерий Тимофеевич"/>
    <n v="759"/>
    <s v="Русланов Кирилл Денисович"/>
    <s v="линейный_руководитель_2"/>
    <s v="Подразделение7"/>
    <x v="0"/>
    <x v="1"/>
    <n v="0"/>
    <n v="0"/>
    <s v="назначение на целевую должность"/>
    <d v="2022-05-20T00:00:00"/>
    <s v="не рассматривали"/>
    <s v="протокол-№-21.10.2020"/>
  </r>
  <r>
    <s v="Функциональное направление 10"/>
    <n v="4"/>
    <d v="2020-10-21T00:00:00"/>
    <n v="0"/>
    <s v="не защищена"/>
    <n v="500175"/>
    <x v="77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7"/>
    <s v="Пальчиков Валерий Тимофеевич"/>
    <n v="814"/>
    <s v="Вобликов Венедикт Иванович"/>
    <s v="Рабочий"/>
    <s v="Подразделение7"/>
    <x v="0"/>
    <x v="2"/>
    <n v="0"/>
    <n v="0"/>
    <s v="назначение на целевую должность"/>
    <d v="2022-08-01T00:00:00"/>
    <s v="не рассматривали"/>
    <s v="протокол-№-21.10.2020"/>
  </r>
  <r>
    <s v="Функциональное направление 10"/>
    <n v="4"/>
    <d v="2022-10-25T00:00:00"/>
    <n v="1"/>
    <s v="не защищена"/>
    <n v="500175"/>
    <x v="78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8"/>
    <s v="Ефремов Кирилл Юрьевич"/>
    <n v="1841"/>
    <s v="Игнатьев Юрий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78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8"/>
    <s v="Ефремов Кирилл Юрьевич"/>
    <n v="1842"/>
    <s v="Тимофеев Роман Герасимо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78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8"/>
    <s v="Ефремов Кирилл Юрьевич"/>
    <n v="1843"/>
    <s v="Ветров Савелий Ефрем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78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8"/>
    <s v="Ефремов Кирилл Юрьевич"/>
    <n v="1844"/>
    <s v="Тимофеев Савелий Семе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5"/>
    <x v="78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8"/>
    <s v="Ефремов Кирилл Юрьевич"/>
    <n v="759"/>
    <s v="Русланов Кирилл Денисович"/>
    <s v="линейный_руководитель_2"/>
    <s v="Подразделение7"/>
    <x v="0"/>
    <x v="1"/>
    <n v="0"/>
    <n v="0"/>
    <s v="назначение на целевую должность"/>
    <d v="2022-05-20T00:00:00"/>
    <s v="не рассматривали"/>
    <s v="протокол-№-21.10.2020"/>
  </r>
  <r>
    <s v="Функциональное направление 10"/>
    <n v="4"/>
    <d v="2020-10-21T00:00:00"/>
    <n v="0"/>
    <s v="не защищена"/>
    <n v="500175"/>
    <x v="78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58"/>
    <s v="Ефремов Кирилл Юрьевич"/>
    <n v="814"/>
    <s v="Вобликов Венедикт Иванович"/>
    <s v="Рабочий"/>
    <s v="Подразделение7"/>
    <x v="0"/>
    <x v="2"/>
    <n v="0"/>
    <n v="0"/>
    <s v="назначение на целевую должность"/>
    <d v="2022-08-01T00:00:00"/>
    <s v="не рассматривали"/>
    <s v="протокол-№-21.10.2020"/>
  </r>
  <r>
    <s v="Функциональное направление 10"/>
    <n v="4"/>
    <d v="2022-10-25T00:00:00"/>
    <n v="1"/>
    <s v="не защищена"/>
    <n v="500175"/>
    <x v="781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20T00:00:00"/>
    <d v="2022-05-20T00:00:00"/>
    <s v="из резерва (учитываем)"/>
    <n v="759"/>
    <s v="Русланов Кирилл Денисович"/>
    <n v="1841"/>
    <s v="Игнатьев Юрий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781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20T00:00:00"/>
    <d v="2022-05-20T00:00:00"/>
    <s v="из резерва (учитываем)"/>
    <n v="759"/>
    <s v="Русланов Кирилл Денисович"/>
    <n v="1842"/>
    <s v="Тимофеев Роман Герасимо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781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20T00:00:00"/>
    <d v="2022-05-20T00:00:00"/>
    <s v="из резерва (учитываем)"/>
    <n v="759"/>
    <s v="Русланов Кирилл Денисович"/>
    <n v="1843"/>
    <s v="Ветров Савелий Ефрем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781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20T00:00:00"/>
    <d v="2022-05-20T00:00:00"/>
    <s v="из резерва (учитываем)"/>
    <n v="759"/>
    <s v="Русланов Кирилл Денисович"/>
    <n v="1844"/>
    <s v="Тимофеев Савелий Семе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5"/>
    <x v="781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20T00:00:00"/>
    <d v="2022-05-20T00:00:00"/>
    <s v="из резерва (учитываем)"/>
    <n v="759"/>
    <s v="Русланов Кирилл Денисович"/>
    <n v="759"/>
    <s v="Русланов Кирилл Денисович"/>
    <s v="линейный_руководитель_2"/>
    <s v="Подразделение7"/>
    <x v="0"/>
    <x v="1"/>
    <n v="0"/>
    <n v="1"/>
    <s v="назначение на целевую должность"/>
    <d v="2022-05-20T00:00:00"/>
    <s v="не рассматривали"/>
    <s v="протокол-№-21.10.2020"/>
  </r>
  <r>
    <s v="Функциональное направление 10"/>
    <n v="4"/>
    <d v="2020-10-21T00:00:00"/>
    <n v="0"/>
    <s v="не защищена"/>
    <n v="500175"/>
    <x v="781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20T00:00:00"/>
    <d v="2022-05-20T00:00:00"/>
    <s v="из резерва (учитываем)"/>
    <n v="759"/>
    <s v="Русланов Кирилл Денисович"/>
    <n v="814"/>
    <s v="Вобликов Венедикт Иванович"/>
    <s v="Рабочий"/>
    <s v="Подразделение7"/>
    <x v="0"/>
    <x v="2"/>
    <n v="0"/>
    <n v="0"/>
    <s v="назначение на целевую должность"/>
    <d v="2022-08-01T00:00:00"/>
    <s v="не рассматривали"/>
    <s v="протокол-№-21.10.2020"/>
  </r>
  <r>
    <s v="Функциональное направление 10"/>
    <n v="4"/>
    <d v="2022-10-25T00:00:00"/>
    <n v="1"/>
    <s v="не защищена"/>
    <n v="500176"/>
    <x v="782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01T00:00:00"/>
    <m/>
    <m/>
    <s v="вакансия"/>
    <s v="вакансия"/>
    <n v="762"/>
    <s v="Русланов Константин Григорьевич"/>
    <s v="линейный_руководитель_2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6"/>
    <x v="782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01T00:00:00"/>
    <m/>
    <m/>
    <s v="вакансия"/>
    <s v="вакансия"/>
    <n v="1845"/>
    <s v="Тимофеев Юрий Александрович"/>
    <s v="Рабочий"/>
    <s v="Подразделение7"/>
    <x v="1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0"/>
    <s v="не защищена"/>
    <n v="500176"/>
    <x v="782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01T00:00:00"/>
    <m/>
    <m/>
    <s v="вакансия"/>
    <s v="вакансия"/>
    <n v="1846"/>
    <s v="Незнамов Матвей Ефремович"/>
    <s v="Рабочий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0"/>
    <s v="не защищена"/>
    <n v="500176"/>
    <x v="782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01T00:00:00"/>
    <m/>
    <m/>
    <s v="вакансия"/>
    <s v="вакансия"/>
    <n v="1847"/>
    <s v="Дмитриев Юрий Михайлович"/>
    <s v="Рабочий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1-09-30T00:00:00"/>
    <n v="0"/>
    <s v="не защищена"/>
    <n v="500176"/>
    <x v="782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01T00:00:00"/>
    <m/>
    <m/>
    <s v="вакансия"/>
    <s v="вакансия"/>
    <n v="760"/>
    <s v="Поминов Константин Тимофеевич"/>
    <s v="линейный_руководитель_2"/>
    <s v="Подразделение7"/>
    <x v="0"/>
    <x v="2"/>
    <n v="1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1-09-30T00:00:00"/>
    <n v="0"/>
    <s v="не защищена"/>
    <n v="500176"/>
    <x v="782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01T00:00:00"/>
    <m/>
    <m/>
    <s v="вакансия"/>
    <s v="вакансия"/>
    <n v="1848"/>
    <s v="Кириллов Савелий Ефремович"/>
    <s v="линейный_руководитель_2"/>
    <s v="Подразделение7"/>
    <x v="1"/>
    <x v="2"/>
    <n v="1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2-10-25T00:00:00"/>
    <n v="1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49"/>
    <s v="Тимофее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50"/>
    <s v="Незнамов Савелий Ефрем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51"/>
    <s v="Ветров Константин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52"/>
    <s v="Кириллов Савелий Семен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53"/>
    <s v="Ветр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54"/>
    <s v="Незнам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1-09-30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760"/>
    <s v="Поминов Константин Тимофеевич"/>
    <s v="линейный_руководитель_2"/>
    <s v="Подразделение7"/>
    <x v="0"/>
    <x v="1"/>
    <n v="0"/>
    <n v="1"/>
    <s v="назначение на целевую должность"/>
    <d v="2022-05-11T00:00:00"/>
    <s v="не рассматривали"/>
    <s v="протокол-№-30.09.2021"/>
  </r>
  <r>
    <s v="Функциональное направление 10"/>
    <n v="4"/>
    <d v="2020-10-21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762"/>
    <s v="Русланов Константин Григорьевич"/>
    <s v="линейный_руководитель_2"/>
    <s v="Подразделение7"/>
    <x v="1"/>
    <x v="1"/>
    <n v="0"/>
    <n v="0"/>
    <s v="назначение на целевую должность"/>
    <d v="2022-05-11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47"/>
    <s v="Дмитриев Юрий Михайлович"/>
    <s v="Рабочий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45"/>
    <s v="Тимофеев Юрий Александрович"/>
    <s v="Рабочий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1-09-30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48"/>
    <s v="Кириллов Савелий Ефремович"/>
    <s v="линейный_руководитель_2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0"/>
    <s v="не защищена"/>
    <n v="500177"/>
    <x v="783"/>
    <n v="7"/>
    <s v="Подразделение7"/>
    <s v="подразделение_2_уровня7"/>
    <s v="подразделение_3_уровня7"/>
    <s v="линейный_руководитель_1"/>
    <n v="6"/>
    <s v="да"/>
    <d v="2021-09-01T00:00:00"/>
    <d v="2022-05-11T00:00:00"/>
    <s v="из резерва (учитываем)"/>
    <n v="760"/>
    <s v="Поминов Константин Тимофеевич"/>
    <n v="1846"/>
    <s v="Незнамов Матвей Ефремович"/>
    <s v="линейный_руководитель_2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2-10-25T00:00:00"/>
    <n v="1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49"/>
    <s v="Тимофее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50"/>
    <s v="Незнам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51"/>
    <s v="Ветров Константин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52"/>
    <s v="Кириллов Савелий Семе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53"/>
    <s v="Ветр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54"/>
    <s v="Незнам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1-09-30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760"/>
    <s v="Поминов Константин Тимофеевич"/>
    <s v="линейный_руководитель_2"/>
    <s v="Подразделение7"/>
    <x v="0"/>
    <x v="1"/>
    <n v="0"/>
    <n v="0"/>
    <s v="назначение на целевую должность"/>
    <d v="2022-05-11T00:00:00"/>
    <s v="не рассматривали"/>
    <s v="протокол-№-30.09.2021"/>
  </r>
  <r>
    <s v="Функциональное направление 10"/>
    <n v="4"/>
    <d v="2020-10-21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762"/>
    <s v="Русланов Константин Григорьевич"/>
    <s v="линейный_руководитель_2"/>
    <s v="Подразделение7"/>
    <x v="1"/>
    <x v="1"/>
    <n v="0"/>
    <n v="0"/>
    <s v="назначение на целевую должность"/>
    <d v="2022-05-11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47"/>
    <s v="Дмитриев Юрий Михайлович"/>
    <s v="Рабочий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45"/>
    <s v="Тимофеев Юрий Александрович"/>
    <s v="Рабочий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1-09-30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48"/>
    <s v="Кириллов Савелий Ефремович"/>
    <s v="линейный_руководитель_2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0"/>
    <s v="не защищена"/>
    <n v="500177"/>
    <x v="78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1"/>
    <s v="Русланов Константин Александрович"/>
    <n v="1846"/>
    <s v="Незнамов Матвей Ефремович"/>
    <s v="линейный_руководитель_2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2-10-25T00:00:00"/>
    <n v="1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49"/>
    <s v="Тимофее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50"/>
    <s v="Незнам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51"/>
    <s v="Ветров Константин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52"/>
    <s v="Кириллов Савелий Семе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53"/>
    <s v="Ветр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54"/>
    <s v="Незнам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1-09-30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760"/>
    <s v="Поминов Константин Тимофеевич"/>
    <s v="линейный_руководитель_2"/>
    <s v="Подразделение7"/>
    <x v="0"/>
    <x v="1"/>
    <n v="0"/>
    <n v="0"/>
    <s v="назначение на целевую должность"/>
    <d v="2022-05-11T00:00:00"/>
    <s v="не рассматривали"/>
    <s v="протокол-№-30.09.2021"/>
  </r>
  <r>
    <s v="Функциональное направление 10"/>
    <n v="4"/>
    <d v="2020-10-21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762"/>
    <s v="Русланов Константин Григорьевич"/>
    <s v="линейный_руководитель_2"/>
    <s v="Подразделение7"/>
    <x v="1"/>
    <x v="1"/>
    <n v="0"/>
    <n v="1"/>
    <s v="назначение на целевую должность"/>
    <d v="2022-05-11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47"/>
    <s v="Дмитриев Юрий Михайлович"/>
    <s v="Рабочий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45"/>
    <s v="Тимофеев Юрий Александрович"/>
    <s v="Рабочий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46"/>
    <s v="Незнамов Матвей Ефремович"/>
    <s v="линейный_руководитель_2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1-09-30T00:00:00"/>
    <n v="0"/>
    <s v="не защищена"/>
    <n v="500177"/>
    <x v="785"/>
    <n v="7"/>
    <s v="Подразделение7"/>
    <s v="подразделение_2_уровня7"/>
    <s v="подразделение_3_уровня7"/>
    <s v="линейный_руководитель_1"/>
    <n v="6"/>
    <s v="да"/>
    <d v="2021-12-01T00:00:00"/>
    <d v="2022-05-11T00:00:00"/>
    <s v="из резерва (учитываем)"/>
    <n v="762"/>
    <s v="Русланов Константин Григорьевич"/>
    <n v="1848"/>
    <s v="Кириллов Савелий Ефремович"/>
    <s v="линейный_руководитель_2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2-10-25T00:00:00"/>
    <n v="1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49"/>
    <s v="Тимофее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50"/>
    <s v="Незнам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51"/>
    <s v="Ветров Константин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52"/>
    <s v="Кириллов Савелий Семе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53"/>
    <s v="Ветр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54"/>
    <s v="Незнамо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1-09-30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760"/>
    <s v="Поминов Константин Тимофеевич"/>
    <s v="линейный_руководитель_2"/>
    <s v="Подразделение7"/>
    <x v="0"/>
    <x v="1"/>
    <n v="0"/>
    <n v="0"/>
    <s v="назначение на целевую должность"/>
    <d v="2022-05-11T00:00:00"/>
    <s v="не рассматривали"/>
    <s v="протокол-№-30.09.2021"/>
  </r>
  <r>
    <s v="Функциональное направление 10"/>
    <n v="4"/>
    <d v="2020-10-21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46"/>
    <s v="Незнамов Матвей Ефремович"/>
    <s v="Рабочий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47"/>
    <s v="Дмитриев Юрий Михайлович"/>
    <s v="Рабочий"/>
    <s v="Подразделение7"/>
    <x v="0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45"/>
    <s v="Тимофеев Юрий Александрович"/>
    <s v="Рабочий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1-09-30T00:00:00"/>
    <n v="0"/>
    <s v="не защищена"/>
    <n v="500177"/>
    <x v="786"/>
    <n v="7"/>
    <s v="Подразделение7"/>
    <s v="подразделение_2_уровня7"/>
    <s v="подразделение_3_уровня7"/>
    <s v="линейный_руководитель_1"/>
    <n v="6"/>
    <s v="да"/>
    <d v="2020-11-20T00:00:00"/>
    <d v="2021-03-22T00:00:00"/>
    <s v="внутр. сотр. (учитываем)"/>
    <n v="763"/>
    <s v="Романов Венедикт Иванович"/>
    <n v="1848"/>
    <s v="Кириллов Савелий Ефремович"/>
    <s v="линейный_руководитель_2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1"/>
    <s v="не защищена"/>
    <n v="500178"/>
    <x v="787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31T00:00:00"/>
    <d v="2023-03-13T00:00:00"/>
    <s v="из резерва (учитываем)"/>
    <n v="764"/>
    <s v="Пальчиков Алексей Владимирович"/>
    <n v="1856"/>
    <s v="Ветров Юрий Ефремович"/>
    <s v="Рабочий"/>
    <s v="Подразделение7"/>
    <x v="0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78"/>
    <x v="787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31T00:00:00"/>
    <d v="2023-03-13T00:00:00"/>
    <s v="из резерва (учитываем)"/>
    <n v="764"/>
    <s v="Пальчиков Алексей Владимирович"/>
    <n v="1857"/>
    <s v="Брежне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87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31T00:00:00"/>
    <d v="2023-03-13T00:00:00"/>
    <s v="из резерва (учитываем)"/>
    <n v="764"/>
    <s v="Пальчиков Алексей Владимирович"/>
    <n v="1858"/>
    <s v="Кириллов Виталий Ефрем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87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31T00:00:00"/>
    <d v="2023-03-13T00:00:00"/>
    <s v="из резерва (учитываем)"/>
    <n v="764"/>
    <s v="Пальчиков Алексей Владимирович"/>
    <n v="1859"/>
    <s v="Незнамов Константин Ефрем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87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31T00:00:00"/>
    <d v="2023-03-13T00:00:00"/>
    <s v="из резерва (учитываем)"/>
    <n v="764"/>
    <s v="Пальчиков Алексей Владимирович"/>
    <n v="764"/>
    <s v="Пальчиков Алексей Владимирович"/>
    <s v="Рабочий"/>
    <s v="Подразделение7"/>
    <x v="1"/>
    <x v="1"/>
    <n v="1"/>
    <n v="1"/>
    <s v="назначение на целевую должность"/>
    <d v="2023-03-13T00:00:00"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8"/>
    <x v="787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31T00:00:00"/>
    <d v="2023-03-13T00:00:00"/>
    <s v="из резерва (учитываем)"/>
    <n v="764"/>
    <s v="Пальчиков Алексей Владимирович"/>
    <n v="1861"/>
    <s v="Незнамов Виталий Александрович"/>
    <s v="Рабочий"/>
    <s v="Подразделение7"/>
    <x v="1"/>
    <x v="2"/>
    <n v="0"/>
    <n v="0"/>
    <s v="увольнение"/>
    <d v="2022-08-25T00:00:00"/>
    <s v="не рассматривали"/>
    <s v="протокол-№-21.10.2020"/>
  </r>
  <r>
    <s v="Функциональное направление 10"/>
    <n v="4"/>
    <d v="2021-09-30T00:00:00"/>
    <n v="0"/>
    <s v="не защищена"/>
    <n v="500178"/>
    <x v="787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31T00:00:00"/>
    <d v="2023-03-13T00:00:00"/>
    <s v="из резерва (учитываем)"/>
    <n v="764"/>
    <s v="Пальчиков Алексей Владимирович"/>
    <n v="1862"/>
    <s v="Тимофеев Константин Семенович"/>
    <s v="Рабочий"/>
    <s v="Подразделение7"/>
    <x v="1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8"/>
    <x v="787"/>
    <n v="7"/>
    <s v="Подразделение7"/>
    <s v="подразделение_2_уровня7"/>
    <s v="подразделение_3_уровня7"/>
    <s v="линейный_руководитель_1"/>
    <n v="6"/>
    <s v="да"/>
    <d v="2022-08-31T00:00:00"/>
    <d v="2023-03-13T00:00:00"/>
    <s v="из резерва (учитываем)"/>
    <n v="764"/>
    <s v="Пальчиков Алексей Владимирович"/>
    <n v="1863"/>
    <s v="Ветров Геннадий Ефремович"/>
    <s v="Рабочий"/>
    <s v="Подразделение_др20"/>
    <x v="0"/>
    <x v="2"/>
    <n v="0"/>
    <n v="0"/>
    <s v="прочее (перевод в другое СП / на другое предприятие)"/>
    <d v="2022-01-10T00:00:00"/>
    <s v="не рассматривали"/>
    <s v="протокол-№-30.09.2021"/>
  </r>
  <r>
    <s v="Функциональное направление 10"/>
    <n v="4"/>
    <d v="2020-10-21T00:00:00"/>
    <n v="1"/>
    <s v="не защищена"/>
    <n v="500178"/>
    <x v="78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5"/>
    <s v="Русланов Кирилл Кириллович"/>
    <n v="1856"/>
    <s v="Ветров Юрий Ефрем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78"/>
    <x v="78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5"/>
    <s v="Русланов Кирилл Кириллович"/>
    <n v="1857"/>
    <s v="Брежне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8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5"/>
    <s v="Русланов Кирилл Кириллович"/>
    <n v="1858"/>
    <s v="Кириллов Вита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8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5"/>
    <s v="Русланов Кирилл Кириллович"/>
    <n v="1859"/>
    <s v="Незнамов Константин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8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5"/>
    <s v="Русланов Кирилл Кириллович"/>
    <n v="764"/>
    <s v="Пальчиков Алексей Владимирович"/>
    <s v="Рабочий"/>
    <s v="Подразделение7"/>
    <x v="1"/>
    <x v="1"/>
    <n v="0"/>
    <n v="0"/>
    <s v="назначение на целевую должность"/>
    <d v="2023-03-13T00:00:00"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8"/>
    <x v="78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5"/>
    <s v="Русланов Кирилл Кириллович"/>
    <n v="1861"/>
    <s v="Незнамов Виталий Александрович"/>
    <s v="Рабочий"/>
    <s v="Подразделение7"/>
    <x v="1"/>
    <x v="2"/>
    <n v="0"/>
    <n v="0"/>
    <s v="увольнение"/>
    <d v="2022-08-25T00:00:00"/>
    <s v="не рассматривали"/>
    <s v="протокол-№-21.10.2020"/>
  </r>
  <r>
    <s v="Функциональное направление 10"/>
    <n v="4"/>
    <d v="2021-09-30T00:00:00"/>
    <n v="0"/>
    <s v="не защищена"/>
    <n v="500178"/>
    <x v="78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5"/>
    <s v="Русланов Кирилл Кириллович"/>
    <n v="1862"/>
    <s v="Тимофеев Константин Семенович"/>
    <s v="Рабочий"/>
    <s v="Подразделение7"/>
    <x v="1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8"/>
    <x v="78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5"/>
    <s v="Русланов Кирилл Кириллович"/>
    <n v="1863"/>
    <s v="Ветров Геннадий Ефремович"/>
    <s v="Рабочий"/>
    <s v="Подразделение_др20"/>
    <x v="0"/>
    <x v="2"/>
    <n v="0"/>
    <n v="0"/>
    <s v="прочее (перевод в другое СП / на другое предприятие)"/>
    <d v="2022-01-10T00:00:00"/>
    <s v="не рассматривали"/>
    <s v="протокол-№-30.09.2021"/>
  </r>
  <r>
    <s v="Функциональное направление 10"/>
    <n v="4"/>
    <d v="2020-10-21T00:00:00"/>
    <n v="1"/>
    <s v="не защищена"/>
    <n v="500178"/>
    <x v="78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6"/>
    <s v="Баранкин Алексей Владимирович"/>
    <n v="1856"/>
    <s v="Ветров Юрий Ефрем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78"/>
    <x v="78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6"/>
    <s v="Баранкин Алексей Владимирович"/>
    <n v="1857"/>
    <s v="Брежне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8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6"/>
    <s v="Баранкин Алексей Владимирович"/>
    <n v="1858"/>
    <s v="Кириллов Вита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8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6"/>
    <s v="Баранкин Алексей Владимирович"/>
    <n v="1859"/>
    <s v="Незнамов Константин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8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6"/>
    <s v="Баранкин Алексей Владимирович"/>
    <n v="764"/>
    <s v="Пальчиков Алексей Владимирович"/>
    <s v="Рабочий"/>
    <s v="Подразделение7"/>
    <x v="1"/>
    <x v="1"/>
    <n v="0"/>
    <n v="0"/>
    <s v="назначение на целевую должность"/>
    <d v="2023-03-13T00:00:00"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8"/>
    <x v="78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6"/>
    <s v="Баранкин Алексей Владимирович"/>
    <n v="1861"/>
    <s v="Незнамов Виталий Александрович"/>
    <s v="Рабочий"/>
    <s v="Подразделение7"/>
    <x v="1"/>
    <x v="2"/>
    <n v="0"/>
    <n v="0"/>
    <s v="увольнение"/>
    <d v="2022-08-25T00:00:00"/>
    <s v="не рассматривали"/>
    <s v="протокол-№-21.10.2020"/>
  </r>
  <r>
    <s v="Функциональное направление 10"/>
    <n v="4"/>
    <d v="2021-09-30T00:00:00"/>
    <n v="0"/>
    <s v="не защищена"/>
    <n v="500178"/>
    <x v="78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6"/>
    <s v="Баранкин Алексей Владимирович"/>
    <n v="1862"/>
    <s v="Тимофеев Константин Семенович"/>
    <s v="Рабочий"/>
    <s v="Подразделение7"/>
    <x v="1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8"/>
    <x v="78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6"/>
    <s v="Баранкин Алексей Владимирович"/>
    <n v="1863"/>
    <s v="Ветров Геннадий Ефремович"/>
    <s v="Рабочий"/>
    <s v="Подразделение_др20"/>
    <x v="0"/>
    <x v="2"/>
    <n v="0"/>
    <n v="0"/>
    <s v="прочее (перевод в другое СП / на другое предприятие)"/>
    <d v="2022-01-10T00:00:00"/>
    <s v="не рассматривали"/>
    <s v="протокол-№-30.09.2021"/>
  </r>
  <r>
    <s v="Функциональное направление 10"/>
    <n v="4"/>
    <d v="2020-10-21T00:00:00"/>
    <n v="1"/>
    <s v="не защищена"/>
    <n v="500178"/>
    <x v="79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7"/>
    <s v="Пальчиков Степан Александрович"/>
    <n v="1856"/>
    <s v="Ветров Юрий Ефрем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78"/>
    <x v="79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7"/>
    <s v="Пальчиков Степан Александрович"/>
    <n v="1857"/>
    <s v="Брежне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9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7"/>
    <s v="Пальчиков Степан Александрович"/>
    <n v="1858"/>
    <s v="Кириллов Вита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9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7"/>
    <s v="Пальчиков Степан Александрович"/>
    <n v="1859"/>
    <s v="Незнамов Константин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8"/>
    <x v="79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7"/>
    <s v="Пальчиков Степан Александрович"/>
    <n v="764"/>
    <s v="Пальчиков Алексей Владимирович"/>
    <s v="Рабочий"/>
    <s v="Подразделение7"/>
    <x v="1"/>
    <x v="1"/>
    <n v="0"/>
    <n v="0"/>
    <s v="назначение на целевую должность"/>
    <d v="2023-03-13T00:00:00"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8"/>
    <x v="79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7"/>
    <s v="Пальчиков Степан Александрович"/>
    <n v="1861"/>
    <s v="Незнамов Виталий Александрович"/>
    <s v="Рабочий"/>
    <s v="Подразделение7"/>
    <x v="1"/>
    <x v="2"/>
    <n v="0"/>
    <n v="0"/>
    <s v="увольнение"/>
    <d v="2022-08-25T00:00:00"/>
    <s v="не рассматривали"/>
    <s v="протокол-№-21.10.2020"/>
  </r>
  <r>
    <s v="Функциональное направление 10"/>
    <n v="4"/>
    <d v="2021-09-30T00:00:00"/>
    <n v="0"/>
    <s v="не защищена"/>
    <n v="500178"/>
    <x v="79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7"/>
    <s v="Пальчиков Степан Александрович"/>
    <n v="1862"/>
    <s v="Тимофеев Константин Семенович"/>
    <s v="Рабочий"/>
    <s v="Подразделение7"/>
    <x v="1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1-09-30T00:00:00"/>
    <n v="0"/>
    <s v="не защищена"/>
    <n v="500178"/>
    <x v="79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67"/>
    <s v="Пальчиков Степан Александрович"/>
    <n v="1863"/>
    <s v="Ветров Геннадий Ефремович"/>
    <s v="Рабочий"/>
    <s v="Подразделение_др20"/>
    <x v="0"/>
    <x v="2"/>
    <n v="0"/>
    <n v="0"/>
    <s v="прочее (перевод в другое СП / на другое предприятие)"/>
    <d v="2022-01-10T00:00:00"/>
    <s v="не рассматривали"/>
    <s v="протокол-№-30.09.2021"/>
  </r>
  <r>
    <s v="Функциональное направление 10"/>
    <n v="4"/>
    <d v="2020-10-21T00:00:00"/>
    <n v="1"/>
    <s v="не защищена"/>
    <n v="500179"/>
    <x v="79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68"/>
    <s v="Бураков Кирилл Григорьевич"/>
    <n v="769"/>
    <s v="Пальчиков Алексей Егорович"/>
    <s v="линейный_руководитель_2"/>
    <s v="Подразделение7"/>
    <x v="2"/>
    <x v="0"/>
    <n v="1"/>
    <n v="0"/>
    <m/>
    <m/>
    <s v="не рассматривали"/>
    <s v="протокол-№-21.10.2020"/>
  </r>
  <r>
    <s v="Функциональное направление 10"/>
    <n v="4"/>
    <d v="2021-04-13T00:00:00"/>
    <n v="0"/>
    <s v="не защищена"/>
    <n v="500179"/>
    <x v="79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68"/>
    <s v="Бураков Кирилл Григорьевич"/>
    <n v="770"/>
    <s v="Волков Константин Тимофеевич"/>
    <s v="линейный_руководитель_2"/>
    <s v="Подразделение7"/>
    <x v="0"/>
    <x v="0"/>
    <n v="1"/>
    <n v="0"/>
    <m/>
    <m/>
    <s v="не рассматривали"/>
    <s v="протокол-№-13.04.2021"/>
  </r>
  <r>
    <s v="Функциональное направление 10"/>
    <n v="4"/>
    <d v="2021-09-30T00:00:00"/>
    <n v="0"/>
    <s v="не защищена"/>
    <n v="500179"/>
    <x v="79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68"/>
    <s v="Бураков Кирилл Григорьевич"/>
    <n v="1864"/>
    <s v="Тимофеев Савелий Михайлович"/>
    <s v="Рабочий"/>
    <s v="Подразделение7"/>
    <x v="1"/>
    <x v="0"/>
    <n v="1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79"/>
    <x v="79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68"/>
    <s v="Бураков Кирилл Григорьевич"/>
    <n v="1865"/>
    <s v="Тимофеев Савелий Александрович"/>
    <s v="Рабочий"/>
    <s v="Подразделение7"/>
    <x v="0"/>
    <x v="0"/>
    <n v="0"/>
    <n v="0"/>
    <m/>
    <m/>
    <s v="не рассматривали"/>
    <s v="протокол-№-30.09.2021"/>
  </r>
  <r>
    <s v="Функциональное направление 10"/>
    <n v="4"/>
    <d v="2021-09-30T00:00:00"/>
    <n v="0"/>
    <s v="не защищена"/>
    <n v="500179"/>
    <x v="79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68"/>
    <s v="Бураков Кирилл Григорьевич"/>
    <n v="1866"/>
    <s v="Тимофеев Юрий Александрович"/>
    <s v="Рабочий"/>
    <s v="Подразделение7"/>
    <x v="0"/>
    <x v="0"/>
    <n v="1"/>
    <n v="0"/>
    <m/>
    <m/>
    <s v="без изменений"/>
    <s v="протокол-№-25.10.2022"/>
  </r>
  <r>
    <s v="Функциональное направление 10"/>
    <n v="4"/>
    <d v="2021-09-30T00:00:00"/>
    <n v="0"/>
    <s v="не защищена"/>
    <n v="500179"/>
    <x v="79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68"/>
    <s v="Бураков Кирилл Григорьевич"/>
    <n v="1867"/>
    <s v="Ветров Юрий Герасимович"/>
    <s v="Рабочий"/>
    <s v="Подразделение7"/>
    <x v="0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79"/>
    <x v="79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68"/>
    <s v="Бураков Кирилл Григорьевич"/>
    <n v="1868"/>
    <s v="Игнатье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9"/>
    <x v="791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68"/>
    <s v="Бураков Кирилл Григорьевич"/>
    <n v="1869"/>
    <s v="Ветро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1-09-30T00:00:00"/>
    <n v="1"/>
    <s v="не защищена"/>
    <n v="500180"/>
    <x v="792"/>
    <n v="7"/>
    <s v="Подразделение7"/>
    <s v="подразделение_2_уровня7"/>
    <s v="подразделение_3_уровня7"/>
    <s v="линейный_руководитель_1"/>
    <n v="6"/>
    <s v="да"/>
    <d v="2021-04-12T00:00:00"/>
    <d v="2021-05-18T00:00:00"/>
    <s v="внутр. сотр. (учитываем)"/>
    <n v="769"/>
    <s v="Пальчиков Алексей Егорович"/>
    <n v="1864"/>
    <s v="Тимофеев Савелий Михайлович"/>
    <s v="Рабочий"/>
    <s v="Подразделение7"/>
    <x v="1"/>
    <x v="0"/>
    <n v="1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80"/>
    <x v="792"/>
    <n v="7"/>
    <s v="Подразделение7"/>
    <s v="подразделение_2_уровня7"/>
    <s v="подразделение_3_уровня7"/>
    <s v="линейный_руководитель_1"/>
    <n v="6"/>
    <s v="да"/>
    <d v="2021-04-12T00:00:00"/>
    <d v="2021-05-18T00:00:00"/>
    <s v="внутр. сотр. (учитываем)"/>
    <n v="769"/>
    <s v="Пальчиков Алексей Егорович"/>
    <n v="1865"/>
    <s v="Тимофеев Савелий Александрович"/>
    <s v="Рабочий"/>
    <s v="Подразделение7"/>
    <x v="0"/>
    <x v="0"/>
    <n v="1"/>
    <n v="0"/>
    <m/>
    <m/>
    <s v="не рассматривали"/>
    <s v="протокол-№-30.09.2021"/>
  </r>
  <r>
    <s v="Функциональное направление 10"/>
    <n v="4"/>
    <d v="2021-09-30T00:00:00"/>
    <n v="0"/>
    <s v="не защищена"/>
    <n v="500180"/>
    <x v="792"/>
    <n v="7"/>
    <s v="Подразделение7"/>
    <s v="подразделение_2_уровня7"/>
    <s v="подразделение_3_уровня7"/>
    <s v="линейный_руководитель_1"/>
    <n v="6"/>
    <s v="да"/>
    <d v="2021-04-12T00:00:00"/>
    <d v="2021-05-18T00:00:00"/>
    <s v="внутр. сотр. (учитываем)"/>
    <n v="769"/>
    <s v="Пальчиков Алексей Егорович"/>
    <n v="1866"/>
    <s v="Тимофеев Юрий Александр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1-09-30T00:00:00"/>
    <n v="0"/>
    <s v="не защищена"/>
    <n v="500180"/>
    <x v="792"/>
    <n v="7"/>
    <s v="Подразделение7"/>
    <s v="подразделение_2_уровня7"/>
    <s v="подразделение_3_уровня7"/>
    <s v="линейный_руководитель_1"/>
    <n v="6"/>
    <s v="да"/>
    <d v="2021-04-12T00:00:00"/>
    <d v="2021-05-18T00:00:00"/>
    <s v="внутр. сотр. (учитываем)"/>
    <n v="769"/>
    <s v="Пальчиков Алексей Егорович"/>
    <n v="1867"/>
    <s v="Ветров Юрий Герасимович"/>
    <s v="Рабочий"/>
    <s v="Подразделение7"/>
    <x v="0"/>
    <x v="0"/>
    <n v="1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0"/>
    <x v="792"/>
    <n v="7"/>
    <s v="Подразделение7"/>
    <s v="подразделение_2_уровня7"/>
    <s v="подразделение_3_уровня7"/>
    <s v="линейный_руководитель_1"/>
    <n v="6"/>
    <s v="да"/>
    <d v="2021-04-12T00:00:00"/>
    <d v="2021-05-18T00:00:00"/>
    <s v="из резерва (учитываем)"/>
    <n v="769"/>
    <s v="Пальчиков Алексей Егорович"/>
    <n v="1868"/>
    <s v="Игнатьев Савелий Геннадьевич"/>
    <s v="Рабочий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0"/>
    <x v="792"/>
    <n v="7"/>
    <s v="Подразделение7"/>
    <s v="подразделение_2_уровня7"/>
    <s v="подразделение_3_уровня7"/>
    <s v="линейный_руководитель_1"/>
    <n v="6"/>
    <s v="да"/>
    <d v="2021-04-12T00:00:00"/>
    <d v="2021-05-18T00:00:00"/>
    <s v="из резерва (учитываем)"/>
    <n v="769"/>
    <s v="Пальчиков Алексей Егорович"/>
    <n v="1869"/>
    <s v="Ветро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80"/>
    <x v="792"/>
    <n v="7"/>
    <s v="Подразделение7"/>
    <s v="подразделение_2_уровня7"/>
    <s v="подразделение_3_уровня7"/>
    <s v="линейный_руководитель_1"/>
    <n v="6"/>
    <s v="да"/>
    <d v="2021-04-12T00:00:00"/>
    <d v="2021-05-18T00:00:00"/>
    <s v="из резерва (учитываем)"/>
    <n v="769"/>
    <s v="Пальчиков Алексей Егорович"/>
    <n v="769"/>
    <s v="Пальчиков Алексей Егорович"/>
    <s v="линейный_руководитель_2"/>
    <s v="Подразделение7"/>
    <x v="2"/>
    <x v="1"/>
    <n v="1"/>
    <n v="1"/>
    <s v="назначение на целевую должность"/>
    <d v="2021-05-18T00:00:00"/>
    <s v="не рассматривали"/>
    <s v="протокол-№-21.10.2020"/>
  </r>
  <r>
    <s v="Функциональное направление 10"/>
    <n v="4"/>
    <d v="2021-04-13T00:00:00"/>
    <n v="0"/>
    <s v="не защищена"/>
    <n v="500180"/>
    <x v="792"/>
    <n v="7"/>
    <s v="Подразделение7"/>
    <s v="подразделение_2_уровня7"/>
    <s v="подразделение_3_уровня7"/>
    <s v="линейный_руководитель_1"/>
    <n v="6"/>
    <s v="да"/>
    <d v="2021-04-12T00:00:00"/>
    <d v="2021-05-18T00:00:00"/>
    <s v="из резерва (учитываем)"/>
    <n v="769"/>
    <s v="Пальчиков Алексей Егорович"/>
    <n v="770"/>
    <s v="Волков Константин Тимофеевич"/>
    <s v="линейный_руководитель_2"/>
    <s v="Подразделение7"/>
    <x v="0"/>
    <x v="1"/>
    <n v="1"/>
    <n v="0"/>
    <s v="назначение на целевую должность"/>
    <d v="2021-05-27T00:00:00"/>
    <s v="не рассматривали"/>
    <s v="протокол-№-13.04.2021"/>
  </r>
  <r>
    <s v="Функциональное направление 10"/>
    <n v="4"/>
    <d v="2021-09-30T00:00:00"/>
    <n v="1"/>
    <s v="не защищена"/>
    <n v="500180"/>
    <x v="793"/>
    <n v="7"/>
    <s v="Подразделение7"/>
    <s v="подразделение_2_уровня7"/>
    <s v="подразделение_3_уровня7"/>
    <s v="линейный_руководитель_1"/>
    <n v="6"/>
    <s v="да"/>
    <d v="2021-03-05T00:00:00"/>
    <d v="2021-05-27T00:00:00"/>
    <s v="внутр. сотр. (учитываем)"/>
    <n v="770"/>
    <s v="Волков Константин Тимофеевич"/>
    <n v="1864"/>
    <s v="Тимофеев Савелий Михайл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80"/>
    <x v="793"/>
    <n v="7"/>
    <s v="Подразделение7"/>
    <s v="подразделение_2_уровня7"/>
    <s v="подразделение_3_уровня7"/>
    <s v="линейный_руководитель_1"/>
    <n v="6"/>
    <s v="да"/>
    <d v="2021-03-05T00:00:00"/>
    <d v="2021-05-27T00:00:00"/>
    <s v="внутр. сотр. (учитываем)"/>
    <n v="770"/>
    <s v="Волков Константин Тимофеевич"/>
    <n v="1865"/>
    <s v="Тимофеев Савелий Александрович"/>
    <s v="Рабочий"/>
    <s v="Подразделение7"/>
    <x v="0"/>
    <x v="0"/>
    <n v="0"/>
    <n v="0"/>
    <m/>
    <m/>
    <s v="не рассматривали"/>
    <s v="протокол-№-30.09.2021"/>
  </r>
  <r>
    <s v="Функциональное направление 10"/>
    <n v="4"/>
    <d v="2021-09-30T00:00:00"/>
    <n v="0"/>
    <s v="не защищена"/>
    <n v="500180"/>
    <x v="793"/>
    <n v="7"/>
    <s v="Подразделение7"/>
    <s v="подразделение_2_уровня7"/>
    <s v="подразделение_3_уровня7"/>
    <s v="линейный_руководитель_1"/>
    <n v="6"/>
    <s v="да"/>
    <d v="2021-03-05T00:00:00"/>
    <d v="2021-05-27T00:00:00"/>
    <s v="внутр. сотр. (учитываем)"/>
    <n v="770"/>
    <s v="Волков Константин Тимофеевич"/>
    <n v="1866"/>
    <s v="Тимофеев Юрий Александр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1-09-30T00:00:00"/>
    <n v="0"/>
    <s v="не защищена"/>
    <n v="500180"/>
    <x v="793"/>
    <n v="7"/>
    <s v="Подразделение7"/>
    <s v="подразделение_2_уровня7"/>
    <s v="подразделение_3_уровня7"/>
    <s v="линейный_руководитель_1"/>
    <n v="6"/>
    <s v="да"/>
    <d v="2021-03-05T00:00:00"/>
    <d v="2021-05-27T00:00:00"/>
    <s v="внутр. сотр. (учитываем)"/>
    <n v="770"/>
    <s v="Волков Константин Тимофеевич"/>
    <n v="1867"/>
    <s v="Ветров Юрий Герасим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0"/>
    <x v="793"/>
    <n v="7"/>
    <s v="Подразделение7"/>
    <s v="подразделение_2_уровня7"/>
    <s v="подразделение_3_уровня7"/>
    <s v="линейный_руководитель_1"/>
    <n v="6"/>
    <s v="да"/>
    <d v="2021-03-05T00:00:00"/>
    <d v="2021-05-27T00:00:00"/>
    <s v="из резерва (учитываем)"/>
    <n v="770"/>
    <s v="Волков Константин Тимофеевич"/>
    <n v="1868"/>
    <s v="Игнатье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0"/>
    <x v="793"/>
    <n v="7"/>
    <s v="Подразделение7"/>
    <s v="подразделение_2_уровня7"/>
    <s v="подразделение_3_уровня7"/>
    <s v="линейный_руководитель_1"/>
    <n v="6"/>
    <s v="да"/>
    <d v="2021-03-05T00:00:00"/>
    <d v="2021-05-27T00:00:00"/>
    <s v="из резерва (учитываем)"/>
    <n v="770"/>
    <s v="Волков Константин Тимофеевич"/>
    <n v="1869"/>
    <s v="Ветро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80"/>
    <x v="793"/>
    <n v="7"/>
    <s v="Подразделение7"/>
    <s v="подразделение_2_уровня7"/>
    <s v="подразделение_3_уровня7"/>
    <s v="линейный_руководитель_1"/>
    <n v="6"/>
    <s v="да"/>
    <d v="2021-03-05T00:00:00"/>
    <d v="2021-05-27T00:00:00"/>
    <s v="из резерва (учитываем)"/>
    <n v="770"/>
    <s v="Волков Константин Тимофеевич"/>
    <n v="769"/>
    <s v="Пальчиков Алексей Егорович"/>
    <s v="линейный_руководитель_2"/>
    <s v="Подразделение7"/>
    <x v="2"/>
    <x v="1"/>
    <n v="0"/>
    <n v="0"/>
    <s v="назначение на целевую должность"/>
    <d v="2021-05-18T00:00:00"/>
    <s v="не рассматривали"/>
    <s v="протокол-№-21.10.2020"/>
  </r>
  <r>
    <s v="Функциональное направление 10"/>
    <n v="4"/>
    <d v="2021-04-13T00:00:00"/>
    <n v="0"/>
    <s v="не защищена"/>
    <n v="500180"/>
    <x v="793"/>
    <n v="7"/>
    <s v="Подразделение7"/>
    <s v="подразделение_2_уровня7"/>
    <s v="подразделение_3_уровня7"/>
    <s v="линейный_руководитель_1"/>
    <n v="6"/>
    <s v="да"/>
    <d v="2021-03-05T00:00:00"/>
    <d v="2021-05-27T00:00:00"/>
    <s v="из резерва (учитываем)"/>
    <n v="770"/>
    <s v="Волков Константин Тимофеевич"/>
    <n v="770"/>
    <s v="Волков Константин Тимофеевич"/>
    <s v="линейный_руководитель_2"/>
    <s v="Подразделение7"/>
    <x v="0"/>
    <x v="1"/>
    <n v="0"/>
    <n v="1"/>
    <s v="назначение на целевую должность"/>
    <d v="2021-05-27T00:00:00"/>
    <s v="не рассматривали"/>
    <s v="протокол-№-13.04.2021"/>
  </r>
  <r>
    <s v="Функциональное направление 10"/>
    <n v="4"/>
    <d v="2021-09-30T00:00:00"/>
    <n v="1"/>
    <s v="не защищена"/>
    <n v="500180"/>
    <x v="794"/>
    <n v="7"/>
    <s v="Подразделение7"/>
    <s v="подразделение_2_уровня7"/>
    <s v="подразделение_3_уровня7"/>
    <s v="линейный_руководитель_1"/>
    <n v="6"/>
    <s v="да"/>
    <d v="2022-06-22T00:00:00"/>
    <d v="2022-07-15T00:00:00"/>
    <s v="внутр. сотр. (учитываем)"/>
    <n v="771"/>
    <s v="Волков Федот Григорьевич"/>
    <n v="1864"/>
    <s v="Тимофеев Савелий Михайл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80"/>
    <x v="794"/>
    <n v="7"/>
    <s v="Подразделение7"/>
    <s v="подразделение_2_уровня7"/>
    <s v="подразделение_3_уровня7"/>
    <s v="линейный_руководитель_1"/>
    <n v="6"/>
    <s v="да"/>
    <d v="2022-06-22T00:00:00"/>
    <d v="2022-07-15T00:00:00"/>
    <s v="внутр. сотр. (учитываем)"/>
    <n v="771"/>
    <s v="Волков Федот Григорьевич"/>
    <n v="1865"/>
    <s v="Тимофеев Савелий Александрович"/>
    <s v="Рабочий"/>
    <s v="Подразделение7"/>
    <x v="0"/>
    <x v="0"/>
    <n v="0"/>
    <n v="0"/>
    <m/>
    <m/>
    <s v="не рассматривали"/>
    <s v="протокол-№-30.09.2021"/>
  </r>
  <r>
    <s v="Функциональное направление 10"/>
    <n v="4"/>
    <d v="2021-09-30T00:00:00"/>
    <n v="0"/>
    <s v="не защищена"/>
    <n v="500180"/>
    <x v="794"/>
    <n v="7"/>
    <s v="Подразделение7"/>
    <s v="подразделение_2_уровня7"/>
    <s v="подразделение_3_уровня7"/>
    <s v="линейный_руководитель_1"/>
    <n v="6"/>
    <s v="да"/>
    <d v="2022-06-22T00:00:00"/>
    <d v="2022-07-15T00:00:00"/>
    <s v="внутр. сотр. (учитываем)"/>
    <n v="771"/>
    <s v="Волков Федот Григорьевич"/>
    <n v="1866"/>
    <s v="Тимофеев Юрий Александр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1-09-30T00:00:00"/>
    <n v="0"/>
    <s v="не защищена"/>
    <n v="500180"/>
    <x v="794"/>
    <n v="7"/>
    <s v="Подразделение7"/>
    <s v="подразделение_2_уровня7"/>
    <s v="подразделение_3_уровня7"/>
    <s v="линейный_руководитель_1"/>
    <n v="6"/>
    <s v="да"/>
    <d v="2022-06-22T00:00:00"/>
    <d v="2022-07-15T00:00:00"/>
    <s v="внутр. сотр. (учитываем)"/>
    <n v="771"/>
    <s v="Волков Федот Григорьевич"/>
    <n v="1867"/>
    <s v="Ветров Юрий Герасим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0"/>
    <x v="794"/>
    <n v="7"/>
    <s v="Подразделение7"/>
    <s v="подразделение_2_уровня7"/>
    <s v="подразделение_3_уровня7"/>
    <s v="линейный_руководитель_1"/>
    <n v="6"/>
    <s v="да"/>
    <d v="2022-06-22T00:00:00"/>
    <d v="2022-07-15T00:00:00"/>
    <s v="внутр. сотр. (учитываем)"/>
    <n v="771"/>
    <s v="Волков Федот Григорьевич"/>
    <n v="1868"/>
    <s v="Игнатье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0"/>
    <x v="794"/>
    <n v="7"/>
    <s v="Подразделение7"/>
    <s v="подразделение_2_уровня7"/>
    <s v="подразделение_3_уровня7"/>
    <s v="линейный_руководитель_1"/>
    <n v="6"/>
    <s v="да"/>
    <d v="2022-06-22T00:00:00"/>
    <d v="2022-07-15T00:00:00"/>
    <s v="внутр. сотр. (учитываем)"/>
    <n v="771"/>
    <s v="Волков Федот Григорьевич"/>
    <n v="1869"/>
    <s v="Ветро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80"/>
    <x v="794"/>
    <n v="7"/>
    <s v="Подразделение7"/>
    <s v="подразделение_2_уровня7"/>
    <s v="подразделение_3_уровня7"/>
    <s v="линейный_руководитель_1"/>
    <n v="6"/>
    <s v="да"/>
    <d v="2022-06-22T00:00:00"/>
    <d v="2022-07-15T00:00:00"/>
    <s v="внутр. сотр. (учитываем)"/>
    <n v="771"/>
    <s v="Волков Федот Григорьевич"/>
    <n v="769"/>
    <s v="Пальчиков Алексей Егорович"/>
    <s v="линейный_руководитель_2"/>
    <s v="Подразделение7"/>
    <x v="2"/>
    <x v="1"/>
    <n v="0"/>
    <n v="0"/>
    <s v="назначение на целевую должность"/>
    <d v="2021-05-18T00:00:00"/>
    <s v="не рассматривали"/>
    <s v="протокол-№-21.10.2020"/>
  </r>
  <r>
    <s v="Функциональное направление 10"/>
    <n v="4"/>
    <d v="2021-04-13T00:00:00"/>
    <n v="0"/>
    <s v="не защищена"/>
    <n v="500180"/>
    <x v="794"/>
    <n v="7"/>
    <s v="Подразделение7"/>
    <s v="подразделение_2_уровня7"/>
    <s v="подразделение_3_уровня7"/>
    <s v="линейный_руководитель_1"/>
    <n v="6"/>
    <s v="да"/>
    <d v="2022-06-22T00:00:00"/>
    <d v="2022-07-15T00:00:00"/>
    <s v="внутр. сотр. (учитываем)"/>
    <n v="771"/>
    <s v="Волков Федот Григорьевич"/>
    <n v="770"/>
    <s v="Волков Константин Тимофеевич"/>
    <s v="линейный_руководитель_2"/>
    <s v="Подразделение7"/>
    <x v="0"/>
    <x v="1"/>
    <n v="0"/>
    <n v="0"/>
    <s v="назначение на целевую должность"/>
    <d v="2021-05-27T00:00:00"/>
    <s v="не рассматривали"/>
    <s v="протокол-№-13.04.2021"/>
  </r>
  <r>
    <s v="Функциональное направление 10"/>
    <n v="4"/>
    <d v="2021-09-30T00:00:00"/>
    <n v="1"/>
    <s v="не защищена"/>
    <n v="500180"/>
    <x v="79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2"/>
    <s v="Вобликов Кирилл Владимирович"/>
    <n v="1864"/>
    <s v="Тимофеев Савелий Михайл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1-09-30T00:00:00"/>
    <n v="0"/>
    <s v="не защищена"/>
    <n v="500180"/>
    <x v="79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2"/>
    <s v="Вобликов Кирилл Владимирович"/>
    <n v="1865"/>
    <s v="Тимофеев Савелий Александрович"/>
    <s v="Рабочий"/>
    <s v="Подразделение7"/>
    <x v="0"/>
    <x v="0"/>
    <n v="0"/>
    <n v="0"/>
    <m/>
    <m/>
    <s v="не рассматривали"/>
    <s v="протокол-№-30.09.2021"/>
  </r>
  <r>
    <s v="Функциональное направление 10"/>
    <n v="4"/>
    <d v="2021-09-30T00:00:00"/>
    <n v="0"/>
    <s v="не защищена"/>
    <n v="500180"/>
    <x v="79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2"/>
    <s v="Вобликов Кирилл Владимирович"/>
    <n v="1866"/>
    <s v="Тимофеев Юрий Александр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1-09-30T00:00:00"/>
    <n v="0"/>
    <s v="не защищена"/>
    <n v="500180"/>
    <x v="79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2"/>
    <s v="Вобликов Кирилл Владимирович"/>
    <n v="1867"/>
    <s v="Ветров Юрий Герасим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0"/>
    <x v="79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2"/>
    <s v="Вобликов Кирилл Владимирович"/>
    <n v="1868"/>
    <s v="Игнатье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0"/>
    <x v="79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2"/>
    <s v="Вобликов Кирилл Владимирович"/>
    <n v="1869"/>
    <s v="Ветро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80"/>
    <x v="79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2"/>
    <s v="Вобликов Кирилл Владимирович"/>
    <n v="769"/>
    <s v="Пальчиков Алексей Егорович"/>
    <s v="линейный_руководитель_2"/>
    <s v="Подразделение7"/>
    <x v="2"/>
    <x v="1"/>
    <n v="0"/>
    <n v="0"/>
    <s v="назначение на целевую должность"/>
    <d v="2021-05-18T00:00:00"/>
    <s v="не рассматривали"/>
    <s v="протокол-№-21.10.2020"/>
  </r>
  <r>
    <s v="Функциональное направление 10"/>
    <n v="4"/>
    <d v="2021-04-13T00:00:00"/>
    <n v="0"/>
    <s v="не защищена"/>
    <n v="500180"/>
    <x v="795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2"/>
    <s v="Вобликов Кирилл Владимирович"/>
    <n v="770"/>
    <s v="Волков Константин Тимофеевич"/>
    <s v="линейный_руководитель_2"/>
    <s v="Подразделение7"/>
    <x v="0"/>
    <x v="1"/>
    <n v="0"/>
    <n v="0"/>
    <s v="назначение на целевую должность"/>
    <d v="2021-05-27T00:00:00"/>
    <s v="не рассматривали"/>
    <s v="протокол-№-13.04.2021"/>
  </r>
  <r>
    <s v="Функциональное направление 10"/>
    <n v="4"/>
    <d v="2022-10-25T00:00:00"/>
    <n v="1"/>
    <s v="не защищена"/>
    <n v="500181"/>
    <x v="796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73"/>
    <s v="Цветков Федот Тимофеевич"/>
    <n v="1866"/>
    <s v="Тимофеев Юрий Александр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1"/>
    <x v="796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73"/>
    <s v="Цветков Федот Тимофеевич"/>
    <n v="1867"/>
    <s v="Ветров Юрий Герасимович"/>
    <s v="Рабочий"/>
    <s v="Подразделение7"/>
    <x v="0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1"/>
    <x v="796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73"/>
    <s v="Цветков Федот Тимофеевич"/>
    <n v="1864"/>
    <s v="Тимофеев Савелий Михайл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81"/>
    <x v="796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73"/>
    <s v="Цветков Федот Тимофеевич"/>
    <n v="1868"/>
    <s v="Игнатье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1"/>
    <x v="796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73"/>
    <s v="Цветков Федот Тимофеевич"/>
    <n v="1869"/>
    <s v="Ветров Савелий Геннадье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82"/>
    <x v="79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4"/>
    <s v="Пальчиков Федот Романович"/>
    <n v="1824"/>
    <s v="Степанов Константин Александр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79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4"/>
    <s v="Пальчиков Федот Романович"/>
    <n v="1870"/>
    <s v="Степанов Афанасий Михайлович"/>
    <s v="Рабочий"/>
    <s v="Подразделение7"/>
    <x v="1"/>
    <x v="0"/>
    <n v="1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79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4"/>
    <s v="Пальчиков Федот Романович"/>
    <n v="1871"/>
    <s v="Ветров Савелий Богданович"/>
    <s v="Рабочий"/>
    <s v="Подразделение7"/>
    <x v="0"/>
    <x v="0"/>
    <n v="1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79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4"/>
    <s v="Пальчиков Федот Романович"/>
    <n v="1872"/>
    <s v="Ветров Виталий Ефремович"/>
    <s v="Рабочий"/>
    <s v="Подразделение7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2"/>
    <x v="79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4"/>
    <s v="Пальчиков Федот Романович"/>
    <n v="1873"/>
    <s v="Тимофеев Витал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79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4"/>
    <s v="Пальчиков Федот Романович"/>
    <n v="1874"/>
    <s v="Незнамов Геннадий Александрович"/>
    <s v="Рабочий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79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4"/>
    <s v="Пальчиков Федот Романович"/>
    <n v="1875"/>
    <s v="Ветров Матвей Ефрем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79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4"/>
    <s v="Пальчиков Федот Романович"/>
    <n v="1876"/>
    <s v="Ветров Виталий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82"/>
    <x v="79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5"/>
    <s v="Русланов Николай Александрович"/>
    <n v="1824"/>
    <s v="Степанов Константин Александр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79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5"/>
    <s v="Русланов Николай Александрович"/>
    <n v="1870"/>
    <s v="Степанов Афанасий Михайл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79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5"/>
    <s v="Русланов Николай Александрович"/>
    <n v="1871"/>
    <s v="Ветров Савелий Богда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79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5"/>
    <s v="Русланов Николай Александрович"/>
    <n v="1872"/>
    <s v="Ветров Виталий Ефремович"/>
    <s v="Рабочий"/>
    <s v="Подразделение7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2"/>
    <x v="79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5"/>
    <s v="Русланов Николай Александрович"/>
    <n v="1873"/>
    <s v="Тимофеев Витал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79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5"/>
    <s v="Русланов Николай Александрович"/>
    <n v="1874"/>
    <s v="Незнамов Геннадий Александр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79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5"/>
    <s v="Русланов Николай Александрович"/>
    <n v="1875"/>
    <s v="Ветр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798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5"/>
    <s v="Русланов Николай Александрович"/>
    <n v="1876"/>
    <s v="Ветров Виталий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82"/>
    <x v="79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6"/>
    <s v="Вобликов Тихон Кириллович"/>
    <n v="1824"/>
    <s v="Степанов Константин Александр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79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6"/>
    <s v="Вобликов Тихон Кириллович"/>
    <n v="1870"/>
    <s v="Степанов Афанасий Михайл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79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6"/>
    <s v="Вобликов Тихон Кириллович"/>
    <n v="1871"/>
    <s v="Ветров Савелий Богда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79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6"/>
    <s v="Вобликов Тихон Кириллович"/>
    <n v="1872"/>
    <s v="Ветров Виталий Ефремович"/>
    <s v="Рабочий"/>
    <s v="Подразделение7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2"/>
    <x v="79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6"/>
    <s v="Вобликов Тихон Кириллович"/>
    <n v="1873"/>
    <s v="Тимофеев Витал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79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6"/>
    <s v="Вобликов Тихон Кириллович"/>
    <n v="1874"/>
    <s v="Незнамов Геннадий Александр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79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6"/>
    <s v="Вобликов Тихон Кириллович"/>
    <n v="1875"/>
    <s v="Ветр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799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6"/>
    <s v="Вобликов Тихон Кириллович"/>
    <n v="1876"/>
    <s v="Ветров Виталий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82"/>
    <x v="80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7"/>
    <s v="Баранкин Кирилл Александрович"/>
    <n v="1824"/>
    <s v="Степанов Константин Александр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80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7"/>
    <s v="Баранкин Кирилл Александрович"/>
    <n v="1870"/>
    <s v="Степанов Афанасий Михайл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80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7"/>
    <s v="Баранкин Кирилл Александрович"/>
    <n v="1871"/>
    <s v="Ветров Савелий Богданович"/>
    <s v="Рабочий"/>
    <s v="Подразделение7"/>
    <x v="0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2"/>
    <x v="80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7"/>
    <s v="Баранкин Кирилл Александрович"/>
    <n v="1872"/>
    <s v="Ветров Виталий Ефремович"/>
    <s v="Рабочий"/>
    <s v="Подразделение7"/>
    <x v="2"/>
    <x v="0"/>
    <n v="0"/>
    <n v="0"/>
    <m/>
    <m/>
    <s v="без изменений"/>
    <s v="протокол-№-25.10.2022"/>
  </r>
  <r>
    <s v="Функциональное направление 10"/>
    <n v="4"/>
    <d v="2022-10-25T00:00:00"/>
    <n v="0"/>
    <s v="не защищена"/>
    <n v="500182"/>
    <x v="80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7"/>
    <s v="Баранкин Кирилл Александрович"/>
    <n v="1873"/>
    <s v="Тимофеев Виталий Богда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80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7"/>
    <s v="Баранкин Кирилл Александрович"/>
    <n v="1874"/>
    <s v="Незнамов Геннадий Александр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80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7"/>
    <s v="Баранкин Кирилл Александрович"/>
    <n v="1875"/>
    <s v="Ветров Матве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2"/>
    <x v="80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7"/>
    <s v="Баранкин Кирилл Александрович"/>
    <n v="1876"/>
    <s v="Ветров Виталий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83"/>
    <x v="80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8"/>
    <s v="Волков Валерий Егорович"/>
    <n v="1877"/>
    <s v="Ветров Матвей Александрович"/>
    <s v="Рабочий"/>
    <s v="Подразделение7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21T00:00:00"/>
    <n v="0"/>
    <s v="не защищена"/>
    <n v="500183"/>
    <x v="80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8"/>
    <s v="Волков Валерий Егорович"/>
    <n v="1878"/>
    <s v="Исаев Виталий Герасимович"/>
    <s v="Рабочий"/>
    <s v="Подразделение7"/>
    <x v="1"/>
    <x v="0"/>
    <n v="1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3"/>
    <x v="80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8"/>
    <s v="Волков Валерий Егорович"/>
    <n v="1879"/>
    <s v="Ветров Матвей Александр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3"/>
    <x v="80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8"/>
    <s v="Волков Валерий Егорович"/>
    <n v="1880"/>
    <s v="Кириллов Матвей Ефремович"/>
    <s v="Рабочий"/>
    <s v="Подразделение7"/>
    <x v="1"/>
    <x v="0"/>
    <n v="1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83"/>
    <x v="80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8"/>
    <s v="Волков Валерий Егорович"/>
    <n v="1881"/>
    <s v="Ветров Савелий Семенович"/>
    <s v="Рабочий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3"/>
    <x v="80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8"/>
    <s v="Волков Валерий Егорович"/>
    <n v="1882"/>
    <s v="Степанов Глеб Александрович"/>
    <s v="Рабочий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3"/>
    <x v="80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8"/>
    <s v="Волков Валерий Егорович"/>
    <n v="1883"/>
    <s v="Кириллов Юрий Богданович"/>
    <s v="Рабочий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83"/>
    <x v="802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9"/>
    <s v="Нырков Валерий Владиславович"/>
    <n v="1877"/>
    <s v="Ветров Матвей Александрович"/>
    <s v="Рабочий"/>
    <s v="Подразделение7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21T00:00:00"/>
    <n v="0"/>
    <s v="не защищена"/>
    <n v="500183"/>
    <x v="802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9"/>
    <s v="Нырков Валерий Владиславович"/>
    <n v="1878"/>
    <s v="Исаев Виталий Гераси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3"/>
    <x v="802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9"/>
    <s v="Нырков Валерий Владиславович"/>
    <n v="1879"/>
    <s v="Ветров Матвей Александр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3"/>
    <x v="802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9"/>
    <s v="Нырков Валерий Владиславович"/>
    <n v="1880"/>
    <s v="Кириллов Матвей Ефре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83"/>
    <x v="802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9"/>
    <s v="Нырков Валерий Владиславович"/>
    <n v="1881"/>
    <s v="Ветров Савелий Семен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3"/>
    <x v="802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9"/>
    <s v="Нырков Валерий Владиславович"/>
    <n v="1882"/>
    <s v="Степанов Глеб Александр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3"/>
    <x v="802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79"/>
    <s v="Нырков Валерий Владиславович"/>
    <n v="1883"/>
    <s v="Кириллов Юрий Богдан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83"/>
    <x v="803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0"/>
    <s v="Русланов Степан Владимирович"/>
    <n v="1877"/>
    <s v="Ветров Матвей Александрович"/>
    <s v="Рабочий"/>
    <s v="Подразделение7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21T00:00:00"/>
    <n v="0"/>
    <s v="не защищена"/>
    <n v="500183"/>
    <x v="803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0"/>
    <s v="Русланов Степан Владимирович"/>
    <n v="1878"/>
    <s v="Исаев Виталий Гераси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3"/>
    <x v="803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0"/>
    <s v="Русланов Степан Владимирович"/>
    <n v="1879"/>
    <s v="Ветров Матвей Александр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3"/>
    <x v="803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0"/>
    <s v="Русланов Степан Владимирович"/>
    <n v="1880"/>
    <s v="Кириллов Матвей Ефре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83"/>
    <x v="803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0"/>
    <s v="Русланов Степан Владимирович"/>
    <n v="1881"/>
    <s v="Ветров Савелий Семен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3"/>
    <x v="803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0"/>
    <s v="Русланов Степан Владимирович"/>
    <n v="1882"/>
    <s v="Степанов Глеб Александр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3"/>
    <x v="803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0"/>
    <s v="Русланов Степан Владимирович"/>
    <n v="1883"/>
    <s v="Кириллов Юрий Богдан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83"/>
    <x v="80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1"/>
    <s v="Баранкин Валерий Егорович"/>
    <n v="1877"/>
    <s v="Ветров Матвей Александрович"/>
    <s v="Рабочий"/>
    <s v="Подразделение7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21T00:00:00"/>
    <n v="0"/>
    <s v="не защищена"/>
    <n v="500183"/>
    <x v="80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1"/>
    <s v="Баранкин Валерий Егорович"/>
    <n v="1878"/>
    <s v="Исаев Виталий Гераси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3"/>
    <x v="80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1"/>
    <s v="Баранкин Валерий Егорович"/>
    <n v="1879"/>
    <s v="Ветров Матвей Александр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3"/>
    <x v="80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1"/>
    <s v="Баранкин Валерий Егорович"/>
    <n v="1880"/>
    <s v="Кириллов Матвей Ефре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83"/>
    <x v="80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1"/>
    <s v="Баранкин Валерий Егорович"/>
    <n v="1881"/>
    <s v="Ветров Савелий Семен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3"/>
    <x v="80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1"/>
    <s v="Баранкин Валерий Егорович"/>
    <n v="1882"/>
    <s v="Степанов Глеб Александр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3"/>
    <x v="804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1"/>
    <s v="Баранкин Валерий Егорович"/>
    <n v="1883"/>
    <s v="Кириллов Юрий Богдан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84"/>
    <x v="805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2"/>
    <s v="Романов Кирилл Романович"/>
    <n v="1877"/>
    <s v="Ветров Матвей Александрович"/>
    <s v="Рабочий"/>
    <s v="Подразделение7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21T00:00:00"/>
    <n v="0"/>
    <s v="не защищена"/>
    <n v="500184"/>
    <x v="805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2"/>
    <s v="Романов Кирилл Романович"/>
    <n v="1878"/>
    <s v="Исаев Виталий Герасимович"/>
    <s v="Рабочий"/>
    <s v="Подразделение7"/>
    <x v="1"/>
    <x v="0"/>
    <n v="1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4"/>
    <x v="805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2"/>
    <s v="Романов Кирилл Романович"/>
    <n v="1879"/>
    <s v="Ветров Матвей Александр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0-10-21T00:00:00"/>
    <n v="0"/>
    <s v="не защищена"/>
    <n v="500184"/>
    <x v="805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2"/>
    <s v="Романов Кирилл Романович"/>
    <n v="1880"/>
    <s v="Кириллов Матвей Ефремович"/>
    <s v="Рабочий"/>
    <s v="Подразделение7"/>
    <x v="1"/>
    <x v="0"/>
    <n v="1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84"/>
    <x v="805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2"/>
    <s v="Романов Кирилл Романович"/>
    <n v="1881"/>
    <s v="Ветров Савелий Семен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4"/>
    <x v="805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2"/>
    <s v="Романов Кирилл Романович"/>
    <n v="1882"/>
    <s v="Степанов Глеб Александрович"/>
    <s v="Рабочий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4"/>
    <x v="805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2"/>
    <s v="Романов Кирилл Романович"/>
    <n v="1883"/>
    <s v="Кириллов Юрий Богданович"/>
    <s v="Рабочий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1"/>
    <s v="не защищена"/>
    <n v="500185"/>
    <x v="806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3"/>
    <s v="Вобликов Константин Тимофеевич"/>
    <n v="1875"/>
    <s v="Ветров Матвей Ефрем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5"/>
    <x v="806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3"/>
    <s v="Вобликов Константин Тимофеевич"/>
    <n v="1876"/>
    <s v="Ветров Виталий Александр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85"/>
    <x v="806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3"/>
    <s v="Вобликов Константин Тимофеевич"/>
    <n v="1884"/>
    <s v="Степанов Геннадий Семенович"/>
    <s v="Рабочий"/>
    <s v="Подразделение7"/>
    <x v="0"/>
    <x v="2"/>
    <n v="1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0-10-21T00:00:00"/>
    <n v="1"/>
    <s v="не защищена"/>
    <n v="500187"/>
    <x v="80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4"/>
    <s v="Бураков Федот Юрьевич"/>
    <n v="1885"/>
    <s v="Незнамов Геннадий Семенович"/>
    <s v="Рабочий"/>
    <s v="Подразделение7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21T00:00:00"/>
    <n v="0"/>
    <s v="не защищена"/>
    <n v="500187"/>
    <x v="807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4"/>
    <s v="Бураков Федот Юрьевич"/>
    <n v="786"/>
    <s v="Баранкин Константин Александрович"/>
    <s v="линейный_руководитель_2"/>
    <s v="Подразделение7"/>
    <x v="1"/>
    <x v="2"/>
    <n v="1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2-10-25T00:00:00"/>
    <n v="1"/>
    <s v="не защищена"/>
    <n v="500188"/>
    <x v="808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11T00:00:00"/>
    <d v="2022-05-11T00:00:00"/>
    <s v="из резерва (учитываем)"/>
    <n v="785"/>
    <s v="Нырков Валерий Тимофеевич"/>
    <n v="1886"/>
    <s v="Незнамов Савелий Ефремо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8"/>
    <x v="808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11T00:00:00"/>
    <d v="2022-05-11T00:00:00"/>
    <s v="из резерва (учитываем)"/>
    <n v="785"/>
    <s v="Нырков Валерий Тимофеевич"/>
    <n v="1887"/>
    <s v="Исаев Савелий Ефрем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88"/>
    <x v="808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11T00:00:00"/>
    <d v="2022-05-11T00:00:00"/>
    <s v="из резерва (учитываем)"/>
    <n v="785"/>
    <s v="Нырков Валерий Тимофеевич"/>
    <n v="786"/>
    <s v="Баранкин Константин Александрович"/>
    <s v="линейный_руководитель_2"/>
    <s v="Подразделение7"/>
    <x v="1"/>
    <x v="1"/>
    <n v="0"/>
    <n v="0"/>
    <s v="назначение на целевую должность"/>
    <d v="2021-02-03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88"/>
    <x v="808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11T00:00:00"/>
    <d v="2022-05-11T00:00:00"/>
    <s v="из резерва (учитываем)"/>
    <n v="785"/>
    <s v="Нырков Валерий Тимофеевич"/>
    <n v="785"/>
    <s v="Нырков Валерий Тимофеевич"/>
    <s v="Рабочий"/>
    <s v="Подразделение7"/>
    <x v="1"/>
    <x v="1"/>
    <n v="1"/>
    <n v="1"/>
    <s v="назначение на целевую должность"/>
    <d v="2022-05-11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88"/>
    <x v="808"/>
    <n v="7"/>
    <s v="Подразделение7"/>
    <s v="подразделение_2_уровня7"/>
    <s v="подразделение_3_уровня7"/>
    <s v="линейный_руководитель_1"/>
    <n v="6"/>
    <s v="да"/>
    <d v="2022-05-11T00:00:00"/>
    <d v="2022-05-11T00:00:00"/>
    <s v="из резерва (учитываем)"/>
    <n v="785"/>
    <s v="Нырков Валерий Тимофеевич"/>
    <n v="1885"/>
    <s v="Незнамов Геннадий Семенович"/>
    <s v="Рабочий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2-10-25T00:00:00"/>
    <n v="1"/>
    <s v="не защищена"/>
    <n v="500188"/>
    <x v="809"/>
    <n v="7"/>
    <s v="Подразделение7"/>
    <s v="подразделение_2_уровня7"/>
    <s v="подразделение_3_уровня7"/>
    <s v="линейный_руководитель_1"/>
    <n v="6"/>
    <s v="да"/>
    <d v="2021-02-03T00:00:00"/>
    <d v="2021-02-03T00:00:00"/>
    <s v="из резерва (учитываем)"/>
    <n v="786"/>
    <s v="Баранкин Константин Александрович"/>
    <n v="1886"/>
    <s v="Незнамов Савелий Ефремо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8"/>
    <x v="809"/>
    <n v="7"/>
    <s v="Подразделение7"/>
    <s v="подразделение_2_уровня7"/>
    <s v="подразделение_3_уровня7"/>
    <s v="линейный_руководитель_1"/>
    <n v="6"/>
    <s v="да"/>
    <d v="2021-02-03T00:00:00"/>
    <d v="2021-02-03T00:00:00"/>
    <s v="из резерва (учитываем)"/>
    <n v="786"/>
    <s v="Баранкин Константин Александрович"/>
    <n v="1887"/>
    <s v="Исае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88"/>
    <x v="809"/>
    <n v="7"/>
    <s v="Подразделение7"/>
    <s v="подразделение_2_уровня7"/>
    <s v="подразделение_3_уровня7"/>
    <s v="линейный_руководитель_1"/>
    <n v="6"/>
    <s v="да"/>
    <d v="2021-02-03T00:00:00"/>
    <d v="2021-02-03T00:00:00"/>
    <s v="из резерва (учитываем)"/>
    <n v="786"/>
    <s v="Баранкин Константин Александрович"/>
    <n v="786"/>
    <s v="Баранкин Константин Александрович"/>
    <s v="линейный_руководитель_2"/>
    <s v="Подразделение7"/>
    <x v="1"/>
    <x v="1"/>
    <n v="0"/>
    <n v="1"/>
    <s v="назначение на целевую должность"/>
    <d v="2021-02-03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88"/>
    <x v="809"/>
    <n v="7"/>
    <s v="Подразделение7"/>
    <s v="подразделение_2_уровня7"/>
    <s v="подразделение_3_уровня7"/>
    <s v="линейный_руководитель_1"/>
    <n v="6"/>
    <s v="да"/>
    <d v="2021-02-03T00:00:00"/>
    <d v="2021-02-03T00:00:00"/>
    <s v="из резерва (учитываем)"/>
    <n v="786"/>
    <s v="Баранкин Константин Александрович"/>
    <n v="785"/>
    <s v="Нырков Валерий Тимофеевич"/>
    <s v="Рабочий"/>
    <s v="Подразделение7"/>
    <x v="1"/>
    <x v="1"/>
    <n v="0"/>
    <n v="0"/>
    <s v="назначение на целевую должность"/>
    <d v="2022-05-11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88"/>
    <x v="809"/>
    <n v="7"/>
    <s v="Подразделение7"/>
    <s v="подразделение_2_уровня7"/>
    <s v="подразделение_3_уровня7"/>
    <s v="линейный_руководитель_1"/>
    <n v="6"/>
    <s v="да"/>
    <d v="2021-02-03T00:00:00"/>
    <d v="2021-02-03T00:00:00"/>
    <s v="из резерва (учитываем)"/>
    <n v="786"/>
    <s v="Баранкин Константин Александрович"/>
    <n v="1885"/>
    <s v="Незнамов Геннадий Семенович"/>
    <s v="Рабочий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2-10-25T00:00:00"/>
    <n v="1"/>
    <s v="не защищена"/>
    <n v="500188"/>
    <x v="81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7"/>
    <s v="Волков Григорий Кириллович"/>
    <n v="1886"/>
    <s v="Незнамов Савелий Ефремо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8"/>
    <x v="81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7"/>
    <s v="Волков Григорий Кириллович"/>
    <n v="1887"/>
    <s v="Исае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88"/>
    <x v="81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7"/>
    <s v="Волков Григорий Кириллович"/>
    <n v="786"/>
    <s v="Баранкин Константин Александрович"/>
    <s v="линейный_руководитель_2"/>
    <s v="Подразделение7"/>
    <x v="1"/>
    <x v="1"/>
    <n v="0"/>
    <n v="0"/>
    <s v="назначение на целевую должность"/>
    <d v="2021-02-03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88"/>
    <x v="81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7"/>
    <s v="Волков Григорий Кириллович"/>
    <n v="785"/>
    <s v="Нырков Валерий Тимофеевич"/>
    <s v="Рабочий"/>
    <s v="Подразделение7"/>
    <x v="1"/>
    <x v="1"/>
    <n v="0"/>
    <n v="0"/>
    <s v="назначение на целевую должность"/>
    <d v="2022-05-11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88"/>
    <x v="810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7"/>
    <s v="Волков Григорий Кириллович"/>
    <n v="1885"/>
    <s v="Незнамов Геннадий Семенович"/>
    <s v="Рабочий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2-10-25T00:00:00"/>
    <n v="1"/>
    <s v="не защищена"/>
    <n v="500188"/>
    <x v="81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8"/>
    <s v="Цветков Алексей Тимофеевич"/>
    <n v="1886"/>
    <s v="Незнамов Савелий Ефремо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88"/>
    <x v="81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8"/>
    <s v="Цветков Алексей Тимофеевич"/>
    <n v="1887"/>
    <s v="Исаев Савелий Ефрем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88"/>
    <x v="81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8"/>
    <s v="Цветков Алексей Тимофеевич"/>
    <n v="786"/>
    <s v="Баранкин Константин Александрович"/>
    <s v="линейный_руководитель_2"/>
    <s v="Подразделение7"/>
    <x v="1"/>
    <x v="1"/>
    <n v="0"/>
    <n v="0"/>
    <s v="назначение на целевую должность"/>
    <d v="2021-02-03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88"/>
    <x v="81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8"/>
    <s v="Цветков Алексей Тимофеевич"/>
    <n v="785"/>
    <s v="Нырков Валерий Тимофеевич"/>
    <s v="Рабочий"/>
    <s v="Подразделение7"/>
    <x v="1"/>
    <x v="1"/>
    <n v="0"/>
    <n v="0"/>
    <s v="назначение на целевую должность"/>
    <d v="2022-05-11T00:00:00"/>
    <s v="не рассматривали"/>
    <s v="протокол-№-11.04.2022"/>
  </r>
  <r>
    <s v="Функциональное направление 10"/>
    <n v="4"/>
    <d v="2020-10-21T00:00:00"/>
    <n v="0"/>
    <s v="не защищена"/>
    <n v="500188"/>
    <x v="811"/>
    <n v="7"/>
    <s v="Подразделение7"/>
    <s v="подразделение_2_уровня7"/>
    <s v="подразделение_3_уровня7"/>
    <s v="линейный_руководитель_1"/>
    <n v="6"/>
    <s v="нет"/>
    <m/>
    <m/>
    <m/>
    <n v="788"/>
    <s v="Цветков Алексей Тимофеевич"/>
    <n v="1885"/>
    <s v="Незнамов Геннадий Семенович"/>
    <s v="Рабочий"/>
    <s v="Подразделение7"/>
    <x v="1"/>
    <x v="2"/>
    <n v="0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1"/>
    <s v="не защищена"/>
    <n v="500189"/>
    <x v="81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9"/>
    <s v="Вобликов Кирилл Романович"/>
    <n v="1885"/>
    <s v="Незнамов Геннадий Семенович"/>
    <s v="Рабочий"/>
    <s v="Подразделение7"/>
    <x v="1"/>
    <x v="0"/>
    <n v="1"/>
    <n v="0"/>
    <m/>
    <m/>
    <s v="без изменений"/>
    <s v="протокол-№-25.10.2022"/>
  </r>
  <r>
    <s v="Функциональное направление 10"/>
    <n v="4"/>
    <d v="2020-10-21T00:00:00"/>
    <n v="0"/>
    <s v="не защищена"/>
    <n v="500189"/>
    <x v="812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89"/>
    <s v="Вобликов Кирилл Романович"/>
    <n v="786"/>
    <s v="Баранкин Константин Александрович"/>
    <s v="линейный_руководитель_2"/>
    <s v="Подразделение7"/>
    <x v="1"/>
    <x v="2"/>
    <n v="1"/>
    <n v="0"/>
    <s v="инициатива комитета / руководителя"/>
    <d v="2022-04-11T00:00:00"/>
    <s v="исключение"/>
    <s v="протокол-№-11.04.2022"/>
  </r>
  <r>
    <s v="Функциональное направление 10"/>
    <n v="4"/>
    <d v="2020-10-21T00:00:00"/>
    <n v="1"/>
    <s v="не защищена"/>
    <n v="500190"/>
    <x v="813"/>
    <n v="7"/>
    <s v="Подразделение7"/>
    <s v="подразделение_2_уровня7"/>
    <s v="-"/>
    <s v="линейный_руководитель_2"/>
    <n v="6"/>
    <s v="нет"/>
    <m/>
    <m/>
    <m/>
    <n v="790"/>
    <s v="Русланов Тихон Романович"/>
    <n v="794"/>
    <s v="Волков Алексей Владимирович"/>
    <s v="линейный_руководитель_2"/>
    <s v="Подразделение7"/>
    <x v="0"/>
    <x v="0"/>
    <n v="1"/>
    <n v="0"/>
    <m/>
    <m/>
    <s v="не рассматривали"/>
    <s v="протокол-№-21.10.2020"/>
  </r>
  <r>
    <s v="Функциональное направление 10"/>
    <n v="4"/>
    <d v="2020-10-21T00:00:00"/>
    <n v="0"/>
    <s v="не защищена"/>
    <n v="500190"/>
    <x v="813"/>
    <n v="7"/>
    <s v="Подразделение7"/>
    <s v="подразделение_2_уровня7"/>
    <s v="-"/>
    <s v="линейный_руководитель_2"/>
    <n v="6"/>
    <s v="нет"/>
    <m/>
    <m/>
    <m/>
    <n v="790"/>
    <s v="Русланов Тихон Романович"/>
    <n v="1888"/>
    <s v="Ветров Виталий Ефре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90"/>
    <x v="813"/>
    <n v="7"/>
    <s v="Подразделение7"/>
    <s v="подразделение_2_уровня7"/>
    <s v="-"/>
    <s v="линейный_руководитель_2"/>
    <n v="6"/>
    <s v="нет"/>
    <m/>
    <m/>
    <m/>
    <n v="790"/>
    <s v="Русланов Тихон Романович"/>
    <n v="1889"/>
    <s v="Кириллов Савелий Михайлович"/>
    <s v="Рабочий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90"/>
    <x v="813"/>
    <n v="7"/>
    <s v="Подразделение7"/>
    <s v="подразделение_2_уровня7"/>
    <s v="-"/>
    <s v="линейный_руководитель_2"/>
    <n v="6"/>
    <s v="нет"/>
    <m/>
    <m/>
    <m/>
    <n v="790"/>
    <s v="Русланов Тихон Романович"/>
    <n v="1890"/>
    <s v="Ветров Виталий Михайл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0-10-21T00:00:00"/>
    <n v="1"/>
    <s v="не защищена"/>
    <n v="500191"/>
    <x v="814"/>
    <n v="7"/>
    <s v="Подразделение7"/>
    <s v="подразделение_2_уровня7"/>
    <s v="-"/>
    <s v="линейный_руководитель_1"/>
    <n v="6"/>
    <s v="нет"/>
    <m/>
    <m/>
    <m/>
    <n v="791"/>
    <s v="Русланов Константин Егорович"/>
    <n v="1888"/>
    <s v="Ветров Виталий Ефре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91"/>
    <x v="814"/>
    <n v="7"/>
    <s v="Подразделение7"/>
    <s v="подразделение_2_уровня7"/>
    <s v="-"/>
    <s v="линейный_руководитель_1"/>
    <n v="6"/>
    <s v="нет"/>
    <m/>
    <m/>
    <m/>
    <n v="791"/>
    <s v="Русланов Константин Егорович"/>
    <n v="1890"/>
    <s v="Ветров Виталий Михайлович"/>
    <s v="Рабочий"/>
    <s v="Подразделение7"/>
    <x v="2"/>
    <x v="0"/>
    <n v="1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91"/>
    <x v="814"/>
    <n v="7"/>
    <s v="Подразделение7"/>
    <s v="подразделение_2_уровня7"/>
    <s v="-"/>
    <s v="линейный_руководитель_1"/>
    <n v="6"/>
    <s v="нет"/>
    <m/>
    <m/>
    <m/>
    <n v="791"/>
    <s v="Русланов Константин Егорович"/>
    <n v="1889"/>
    <s v="Кириллов Савелий Михайлович"/>
    <s v="Рабочий"/>
    <s v="Подразделение7"/>
    <x v="0"/>
    <x v="0"/>
    <n v="1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91"/>
    <x v="814"/>
    <n v="7"/>
    <s v="Подразделение7"/>
    <s v="подразделение_2_уровня7"/>
    <s v="-"/>
    <s v="линейный_руководитель_1"/>
    <n v="6"/>
    <s v="нет"/>
    <m/>
    <m/>
    <m/>
    <n v="791"/>
    <s v="Русланов Константин Егорович"/>
    <n v="794"/>
    <s v="Волков Алексей Владимирович"/>
    <s v="линейный_руководитель_2"/>
    <s v="Подразделение7"/>
    <x v="0"/>
    <x v="1"/>
    <n v="1"/>
    <n v="0"/>
    <s v="назначение на целевую должность"/>
    <d v="2022-03-10T00:00:00"/>
    <s v="не рассматривали"/>
    <s v="протокол-№-21.10.2020"/>
  </r>
  <r>
    <s v="Функциональное направление 10"/>
    <n v="4"/>
    <d v="2020-10-21T00:00:00"/>
    <n v="1"/>
    <s v="не защищена"/>
    <n v="500191"/>
    <x v="815"/>
    <n v="7"/>
    <s v="Подразделение7"/>
    <s v="подразделение_2_уровня7"/>
    <s v="-"/>
    <s v="линейный_руководитель_1"/>
    <n v="6"/>
    <s v="нет"/>
    <m/>
    <m/>
    <m/>
    <n v="792"/>
    <s v="Романов Венедикт Кириллович"/>
    <n v="1888"/>
    <s v="Ветров Виталий Ефре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91"/>
    <x v="815"/>
    <n v="7"/>
    <s v="Подразделение7"/>
    <s v="подразделение_2_уровня7"/>
    <s v="-"/>
    <s v="линейный_руководитель_1"/>
    <n v="6"/>
    <s v="нет"/>
    <m/>
    <m/>
    <m/>
    <n v="792"/>
    <s v="Романов Венедикт Кириллович"/>
    <n v="1890"/>
    <s v="Ветров Виталий Михайл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91"/>
    <x v="815"/>
    <n v="7"/>
    <s v="Подразделение7"/>
    <s v="подразделение_2_уровня7"/>
    <s v="-"/>
    <s v="линейный_руководитель_1"/>
    <n v="6"/>
    <s v="нет"/>
    <m/>
    <m/>
    <m/>
    <n v="792"/>
    <s v="Романов Венедикт Кириллович"/>
    <n v="1889"/>
    <s v="Кириллов Савелий Михайл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91"/>
    <x v="815"/>
    <n v="7"/>
    <s v="Подразделение7"/>
    <s v="подразделение_2_уровня7"/>
    <s v="-"/>
    <s v="линейный_руководитель_1"/>
    <n v="6"/>
    <s v="нет"/>
    <m/>
    <m/>
    <m/>
    <n v="792"/>
    <s v="Романов Венедикт Кириллович"/>
    <n v="794"/>
    <s v="Волков Алексей Владимирович"/>
    <s v="линейный_руководитель_2"/>
    <s v="Подразделение7"/>
    <x v="0"/>
    <x v="1"/>
    <n v="0"/>
    <n v="0"/>
    <s v="назначение на целевую должность"/>
    <d v="2022-03-10T00:00:00"/>
    <s v="не рассматривали"/>
    <s v="протокол-№-21.10.2020"/>
  </r>
  <r>
    <s v="Функциональное направление 10"/>
    <n v="4"/>
    <d v="2020-10-21T00:00:00"/>
    <n v="1"/>
    <s v="не защищена"/>
    <n v="500191"/>
    <x v="816"/>
    <n v="7"/>
    <s v="Подразделение7"/>
    <s v="подразделение_2_уровня7"/>
    <s v="-"/>
    <s v="линейный_руководитель_1"/>
    <n v="6"/>
    <s v="нет"/>
    <m/>
    <m/>
    <m/>
    <n v="793"/>
    <s v="Бураков Кирилл Кириллович"/>
    <n v="1888"/>
    <s v="Ветров Виталий Ефре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91"/>
    <x v="816"/>
    <n v="7"/>
    <s v="Подразделение7"/>
    <s v="подразделение_2_уровня7"/>
    <s v="-"/>
    <s v="линейный_руководитель_1"/>
    <n v="6"/>
    <s v="нет"/>
    <m/>
    <m/>
    <m/>
    <n v="793"/>
    <s v="Бураков Кирилл Кириллович"/>
    <n v="1890"/>
    <s v="Ветров Виталий Михайл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91"/>
    <x v="816"/>
    <n v="7"/>
    <s v="Подразделение7"/>
    <s v="подразделение_2_уровня7"/>
    <s v="-"/>
    <s v="линейный_руководитель_1"/>
    <n v="6"/>
    <s v="нет"/>
    <m/>
    <m/>
    <m/>
    <n v="793"/>
    <s v="Бураков Кирилл Кириллович"/>
    <n v="1889"/>
    <s v="Кириллов Савелий Михайл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91"/>
    <x v="816"/>
    <n v="7"/>
    <s v="Подразделение7"/>
    <s v="подразделение_2_уровня7"/>
    <s v="-"/>
    <s v="линейный_руководитель_1"/>
    <n v="6"/>
    <s v="нет"/>
    <m/>
    <m/>
    <m/>
    <n v="793"/>
    <s v="Бураков Кирилл Кириллович"/>
    <n v="794"/>
    <s v="Волков Алексей Владимирович"/>
    <s v="линейный_руководитель_2"/>
    <s v="Подразделение7"/>
    <x v="0"/>
    <x v="1"/>
    <n v="0"/>
    <n v="0"/>
    <s v="назначение на целевую должность"/>
    <d v="2022-03-10T00:00:00"/>
    <s v="не рассматривали"/>
    <s v="протокол-№-21.10.2020"/>
  </r>
  <r>
    <s v="Функциональное направление 10"/>
    <n v="4"/>
    <d v="2020-10-21T00:00:00"/>
    <n v="1"/>
    <s v="не защищена"/>
    <n v="500191"/>
    <x v="817"/>
    <n v="7"/>
    <s v="Подразделение7"/>
    <s v="подразделение_2_уровня7"/>
    <s v="-"/>
    <s v="линейный_руководитель_1"/>
    <n v="6"/>
    <s v="да"/>
    <d v="2022-03-10T00:00:00"/>
    <d v="2022-03-10T00:00:00"/>
    <s v="из резерва (учитываем)"/>
    <n v="794"/>
    <s v="Волков Алексей Владимирович"/>
    <n v="1888"/>
    <s v="Ветров Виталий Ефремович"/>
    <s v="Рабочий"/>
    <s v="Подразделение7"/>
    <x v="1"/>
    <x v="0"/>
    <n v="0"/>
    <n v="0"/>
    <m/>
    <m/>
    <s v="повышение"/>
    <s v="протокол-№-25.10.2022"/>
  </r>
  <r>
    <s v="Функциональное направление 10"/>
    <n v="4"/>
    <d v="2022-10-25T00:00:00"/>
    <n v="0"/>
    <s v="не защищена"/>
    <n v="500191"/>
    <x v="817"/>
    <n v="7"/>
    <s v="Подразделение7"/>
    <s v="подразделение_2_уровня7"/>
    <s v="-"/>
    <s v="линейный_руководитель_1"/>
    <n v="6"/>
    <s v="да"/>
    <d v="2022-03-10T00:00:00"/>
    <d v="2022-03-10T00:00:00"/>
    <s v="из резерва (учитываем)"/>
    <n v="794"/>
    <s v="Волков Алексей Владимирович"/>
    <n v="1890"/>
    <s v="Ветров Виталий Михайл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91"/>
    <x v="817"/>
    <n v="7"/>
    <s v="Подразделение7"/>
    <s v="подразделение_2_уровня7"/>
    <s v="-"/>
    <s v="линейный_руководитель_1"/>
    <n v="6"/>
    <s v="да"/>
    <d v="2022-03-10T00:00:00"/>
    <d v="2022-03-10T00:00:00"/>
    <s v="из резерва (учитываем)"/>
    <n v="794"/>
    <s v="Волков Алексей Владимирович"/>
    <n v="1889"/>
    <s v="Кириллов Савелий Михайл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91"/>
    <x v="817"/>
    <n v="7"/>
    <s v="Подразделение7"/>
    <s v="подразделение_2_уровня7"/>
    <s v="-"/>
    <s v="линейный_руководитель_1"/>
    <n v="6"/>
    <s v="да"/>
    <d v="2022-03-10T00:00:00"/>
    <d v="2022-03-10T00:00:00"/>
    <s v="из резерва (учитываем)"/>
    <n v="794"/>
    <s v="Волков Алексей Владимирович"/>
    <n v="794"/>
    <s v="Волков Алексей Владимирович"/>
    <s v="линейный_руководитель_2"/>
    <s v="Подразделение7"/>
    <x v="0"/>
    <x v="1"/>
    <n v="0"/>
    <n v="1"/>
    <s v="назначение на целевую должность"/>
    <d v="2022-03-10T00:00:00"/>
    <s v="не рассматривали"/>
    <s v="протокол-№-21.10.2020"/>
  </r>
  <r>
    <s v="Функциональное направление 10"/>
    <n v="4"/>
    <d v="2022-10-25T00:00:00"/>
    <n v="1"/>
    <s v="не защищена"/>
    <n v="500515"/>
    <x v="818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795"/>
    <s v="Волков Григорий Григорьевич"/>
    <n v="1891"/>
    <s v="Кириллов Савелий Геннадьевич"/>
    <s v="Рабочий"/>
    <s v="Подразделение6"/>
    <x v="0"/>
    <x v="0"/>
    <n v="1"/>
    <n v="0"/>
    <m/>
    <m/>
    <m/>
    <s v="протокол-№-25.10.2022"/>
  </r>
  <r>
    <s v="Функциональное направление 10"/>
    <n v="4"/>
    <d v="2020-10-05T00:00:00"/>
    <n v="0"/>
    <s v="не защищена"/>
    <n v="500515"/>
    <x v="818"/>
    <n v="6"/>
    <s v="Подразделение6"/>
    <s v="подразделение_2_уровня6"/>
    <s v="подразделение_3_уровня6"/>
    <s v="линейный_руководитель_2"/>
    <n v="6"/>
    <s v="нет"/>
    <m/>
    <m/>
    <m/>
    <n v="795"/>
    <s v="Волков Григорий Григорьевич"/>
    <n v="1892"/>
    <s v="Тимофеев Геннадий Герасимович"/>
    <s v="Рабочий"/>
    <s v="Подразделение6"/>
    <x v="0"/>
    <x v="2"/>
    <n v="1"/>
    <n v="0"/>
    <s v="увольнение"/>
    <d v="2023-03-01T00:00:00"/>
    <s v="повышение"/>
    <s v="протокол-№-25.10.2022"/>
  </r>
  <r>
    <s v="Функциональное направление 10"/>
    <n v="4"/>
    <d v="2022-10-25T00:00:00"/>
    <n v="1"/>
    <s v="не защищена"/>
    <n v="500516"/>
    <x v="819"/>
    <n v="7"/>
    <s v="Подразделение7"/>
    <s v="подразделение_2_уровня7"/>
    <s v="подразделение_3_уровня7"/>
    <s v="линейный_руководитель_2"/>
    <n v="6"/>
    <s v="нет"/>
    <m/>
    <m/>
    <m/>
    <n v="796"/>
    <s v="Баранкин Венедикт Тимофеевич"/>
    <n v="1893"/>
    <s v="Степанов Виталий Богданович"/>
    <s v="Специалист"/>
    <s v="Подразделение7"/>
    <x v="1"/>
    <x v="0"/>
    <n v="1"/>
    <n v="0"/>
    <m/>
    <m/>
    <s v="не рассматривали"/>
    <s v="протокол-№-25.10.2022"/>
  </r>
  <r>
    <s v="Функциональное направление 10"/>
    <n v="3"/>
    <d v="2020-07-27T00:00:00"/>
    <n v="1"/>
    <s v="не защищена"/>
    <n v="500049"/>
    <x v="820"/>
    <n v="6"/>
    <s v="Подразделение6"/>
    <s v="подразделение_2_уровня6"/>
    <s v="-"/>
    <s v="функциональный_руководитель_1"/>
    <n v="6"/>
    <s v="нет"/>
    <m/>
    <m/>
    <m/>
    <n v="797"/>
    <s v="Пальчиков Валерий Романович"/>
    <n v="1894"/>
    <s v="Тимофеев Савелий Ефремович"/>
    <s v="Специалист"/>
    <s v="Подразделение6"/>
    <x v="1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1"/>
    <s v="не защищена"/>
    <n v="500050"/>
    <x v="821"/>
    <n v="7"/>
    <s v="Подразделение7"/>
    <s v="подразделение_2_уровня7"/>
    <s v="-"/>
    <s v="функциональный_руководитель_1"/>
    <n v="6"/>
    <s v="нет"/>
    <m/>
    <m/>
    <m/>
    <n v="798"/>
    <s v="Русланов Алексей Александрович"/>
    <n v="744"/>
    <s v="Волков Алексей Кириллович"/>
    <s v="функциональный_руководитель_3"/>
    <s v="Подразделение7"/>
    <x v="1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1"/>
    <s v="не защищена"/>
    <n v="500051"/>
    <x v="822"/>
    <n v="7"/>
    <s v="Подразделение7"/>
    <s v="подразделение_2_уровня7"/>
    <s v="-"/>
    <s v="функциональный_руководитель_1"/>
    <n v="6"/>
    <s v="нет"/>
    <m/>
    <m/>
    <m/>
    <n v="799"/>
    <s v="Волков Федот Юрьевич"/>
    <n v="1895"/>
    <s v="Незнамов Савелий Семенович"/>
    <s v="Специалист"/>
    <s v="Подразделение7"/>
    <x v="0"/>
    <x v="0"/>
    <n v="1"/>
    <n v="0"/>
    <m/>
    <m/>
    <s v="повышение"/>
    <s v="протокол-№-28.06.2022"/>
  </r>
  <r>
    <s v="Функциональное направление 10"/>
    <n v="4"/>
    <d v="2020-10-14T00:00:00"/>
    <n v="1"/>
    <s v="не защищена"/>
    <n v="500535"/>
    <x v="823"/>
    <n v="21"/>
    <s v="Подразделение21"/>
    <s v="подразделение_2_уровня21"/>
    <s v="-"/>
    <s v="линейный_руководитель_1"/>
    <n v="7"/>
    <s v="нет"/>
    <m/>
    <m/>
    <m/>
    <n v="800"/>
    <s v="Волков Кирилл Егорович"/>
    <n v="1816"/>
    <s v="Кириллов Виталий Александрович"/>
    <s v="Рабочий"/>
    <s v="Подразделение21"/>
    <x v="0"/>
    <x v="0"/>
    <n v="0"/>
    <n v="0"/>
    <m/>
    <m/>
    <s v="повышение"/>
    <s v="протокол-№-24.10.2022"/>
  </r>
  <r>
    <s v="Функциональное направление 10"/>
    <n v="4"/>
    <d v="2020-10-14T00:00:00"/>
    <n v="1"/>
    <s v="не защищена"/>
    <n v="500535"/>
    <x v="824"/>
    <n v="21"/>
    <s v="Подразделение21"/>
    <s v="подразделение_2_уровня21"/>
    <s v="-"/>
    <s v="линейный_руководитель_1"/>
    <n v="7"/>
    <s v="нет"/>
    <m/>
    <m/>
    <m/>
    <n v="801"/>
    <s v="Русланов Николай Иванович"/>
    <n v="1816"/>
    <s v="Кириллов Виталий Александрович"/>
    <s v="Рабочий"/>
    <s v="Подразделение21"/>
    <x v="0"/>
    <x v="0"/>
    <n v="0"/>
    <n v="0"/>
    <m/>
    <m/>
    <s v="повышение"/>
    <s v="протокол-№-24.10.2022"/>
  </r>
  <r>
    <s v="Функциональное направление 10"/>
    <n v="3"/>
    <d v="2022-06-28T00:00:00"/>
    <n v="1"/>
    <s v="не защищена"/>
    <n v="500539"/>
    <x v="825"/>
    <n v="20"/>
    <s v="Подразделение20"/>
    <s v="подразделение_2_уровня20"/>
    <s v="-"/>
    <s v="руководитель_среднего_уровня_4"/>
    <n v="6"/>
    <s v="нет"/>
    <m/>
    <m/>
    <m/>
    <n v="802"/>
    <s v="Баранкин Степан Тимофеевич"/>
    <n v="1896"/>
    <s v="Незнамов Савелий Александрович"/>
    <s v="функциональный_руководитель_1"/>
    <s v="Подразделение20"/>
    <x v="2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0"/>
    <s v="не защищена"/>
    <n v="500539"/>
    <x v="825"/>
    <n v="20"/>
    <s v="Подразделение20"/>
    <s v="подразделение_2_уровня20"/>
    <s v="-"/>
    <s v="руководитель_среднего_уровня_4"/>
    <n v="6"/>
    <s v="нет"/>
    <m/>
    <m/>
    <m/>
    <n v="802"/>
    <s v="Баранкин Степан Тимофеевич"/>
    <n v="1724"/>
    <s v="Ветров Виталий Ефремович"/>
    <s v="функциональный_руководитель_1"/>
    <s v="Подразделение20"/>
    <x v="2"/>
    <x v="2"/>
    <n v="1"/>
    <n v="0"/>
    <s v="инициатива комитета / руководителя"/>
    <d v="2022-06-28T00:00:00"/>
    <s v="исключение"/>
    <s v="протокол-№-28.06.2022"/>
  </r>
  <r>
    <s v="Функциональное направление 10"/>
    <n v="4"/>
    <d v="2020-10-12T00:00:00"/>
    <n v="1"/>
    <s v="не защищена"/>
    <n v="500540"/>
    <x v="826"/>
    <n v="20"/>
    <s v="Подразделение20"/>
    <s v="подразделение_2_уровня20"/>
    <s v="-"/>
    <s v="линейный_руководитель_1"/>
    <n v="7"/>
    <s v="нет"/>
    <m/>
    <m/>
    <m/>
    <n v="803"/>
    <s v="Баранкин Федот Александрович"/>
    <n v="1897"/>
    <s v="Ветров Саве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6"/>
    <n v="20"/>
    <s v="Подразделение20"/>
    <s v="подразделение_2_уровня20"/>
    <s v="-"/>
    <s v="линейный_руководитель_1"/>
    <n v="7"/>
    <s v="нет"/>
    <m/>
    <m/>
    <m/>
    <n v="803"/>
    <s v="Баранкин Федот Александрович"/>
    <n v="1898"/>
    <s v="Тимофеев Юрий Семенович"/>
    <s v="Рабочий"/>
    <s v="Подразделение20"/>
    <x v="2"/>
    <x v="0"/>
    <n v="1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6"/>
    <n v="20"/>
    <s v="Подразделение20"/>
    <s v="подразделение_2_уровня20"/>
    <s v="-"/>
    <s v="линейный_руководитель_1"/>
    <n v="7"/>
    <s v="нет"/>
    <m/>
    <m/>
    <m/>
    <n v="803"/>
    <s v="Баранкин Федот Александрович"/>
    <n v="1899"/>
    <s v="Незнамов Глеб Ефремович"/>
    <s v="Рабочий"/>
    <s v="Подразделение20"/>
    <x v="2"/>
    <x v="0"/>
    <n v="1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0"/>
    <x v="826"/>
    <n v="20"/>
    <s v="Подразделение20"/>
    <s v="подразделение_2_уровня20"/>
    <s v="-"/>
    <s v="линейный_руководитель_1"/>
    <n v="7"/>
    <s v="нет"/>
    <m/>
    <m/>
    <m/>
    <n v="803"/>
    <s v="Баранкин Федот Александрович"/>
    <n v="1900"/>
    <s v="Тимофеев Константин Александрович"/>
    <s v="Рабочий"/>
    <s v="Подразделение20"/>
    <x v="2"/>
    <x v="0"/>
    <n v="1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6"/>
    <n v="20"/>
    <s v="Подразделение20"/>
    <s v="подразделение_2_уровня20"/>
    <s v="-"/>
    <s v="линейный_руководитель_1"/>
    <n v="7"/>
    <s v="нет"/>
    <m/>
    <m/>
    <m/>
    <n v="803"/>
    <s v="Баранкин Федот Александрович"/>
    <n v="1901"/>
    <s v="Тимофеев Глеб Александрович"/>
    <s v="Рабочий"/>
    <s v="Подразделение20"/>
    <x v="2"/>
    <x v="2"/>
    <n v="1"/>
    <n v="0"/>
    <s v="увольнение"/>
    <d v="2023-03-14T00:00:00"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6"/>
    <n v="20"/>
    <s v="Подразделение20"/>
    <s v="подразделение_2_уровня20"/>
    <s v="-"/>
    <s v="линейный_руководитель_1"/>
    <n v="7"/>
    <s v="нет"/>
    <m/>
    <m/>
    <m/>
    <n v="803"/>
    <s v="Баранкин Федот Александрович"/>
    <n v="1902"/>
    <s v="Ветров Виталий Александрович"/>
    <s v="Рабочий"/>
    <s v="Подразделение20"/>
    <x v="2"/>
    <x v="2"/>
    <n v="0"/>
    <n v="0"/>
    <s v="увольнение"/>
    <d v="2021-12-17T00:00:00"/>
    <s v="не рассматривали"/>
    <s v="протокол-№-12.10.2020"/>
  </r>
  <r>
    <s v="Функциональное направление 10"/>
    <n v="4"/>
    <d v="2021-09-28T00:00:00"/>
    <n v="0"/>
    <s v="не защищена"/>
    <n v="500540"/>
    <x v="826"/>
    <n v="20"/>
    <s v="Подразделение20"/>
    <s v="подразделение_2_уровня20"/>
    <s v="-"/>
    <s v="линейный_руководитель_1"/>
    <n v="7"/>
    <s v="нет"/>
    <m/>
    <m/>
    <m/>
    <n v="803"/>
    <s v="Баранкин Федот Александрович"/>
    <n v="1903"/>
    <s v="Ветров Геннадий Александрович"/>
    <s v="линейный_руководитель_2"/>
    <s v="Подразделение20"/>
    <x v="2"/>
    <x v="2"/>
    <n v="1"/>
    <n v="0"/>
    <s v="инициатива комитета / руководителя"/>
    <d v="2022-10-21T00:00:00"/>
    <s v="исключение"/>
    <s v="протокол-№-21.10.2022"/>
  </r>
  <r>
    <s v="Функциональное направление 10"/>
    <n v="4"/>
    <d v="2020-10-12T00:00:00"/>
    <n v="1"/>
    <s v="не защищена"/>
    <n v="500540"/>
    <x v="827"/>
    <n v="20"/>
    <s v="Подразделение20"/>
    <s v="подразделение_2_уровня20"/>
    <s v="-"/>
    <s v="линейный_руководитель_1"/>
    <n v="7"/>
    <s v="нет"/>
    <m/>
    <m/>
    <m/>
    <n v="804"/>
    <s v="Пальчиков Григорий Романович"/>
    <n v="1897"/>
    <s v="Ветров Саве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7"/>
    <n v="20"/>
    <s v="Подразделение20"/>
    <s v="подразделение_2_уровня20"/>
    <s v="-"/>
    <s v="линейный_руководитель_1"/>
    <n v="7"/>
    <s v="нет"/>
    <m/>
    <m/>
    <m/>
    <n v="804"/>
    <s v="Пальчиков Григорий Романович"/>
    <n v="1898"/>
    <s v="Тимофеев Юрий Семен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7"/>
    <n v="20"/>
    <s v="Подразделение20"/>
    <s v="подразделение_2_уровня20"/>
    <s v="-"/>
    <s v="линейный_руководитель_1"/>
    <n v="7"/>
    <s v="нет"/>
    <m/>
    <m/>
    <m/>
    <n v="804"/>
    <s v="Пальчиков Григорий Романович"/>
    <n v="1899"/>
    <s v="Незнамов Глеб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0"/>
    <x v="827"/>
    <n v="20"/>
    <s v="Подразделение20"/>
    <s v="подразделение_2_уровня20"/>
    <s v="-"/>
    <s v="линейный_руководитель_1"/>
    <n v="7"/>
    <s v="нет"/>
    <m/>
    <m/>
    <m/>
    <n v="804"/>
    <s v="Пальчиков Григорий Романович"/>
    <n v="1900"/>
    <s v="Тимофеев Константин Александр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7"/>
    <n v="20"/>
    <s v="Подразделение20"/>
    <s v="подразделение_2_уровня20"/>
    <s v="-"/>
    <s v="линейный_руководитель_1"/>
    <n v="7"/>
    <s v="нет"/>
    <m/>
    <m/>
    <m/>
    <n v="804"/>
    <s v="Пальчиков Григорий Романович"/>
    <n v="1901"/>
    <s v="Тимофеев Глеб Александрович"/>
    <s v="Рабочий"/>
    <s v="Подразделение20"/>
    <x v="2"/>
    <x v="2"/>
    <n v="0"/>
    <n v="0"/>
    <s v="увольнение"/>
    <d v="2023-03-14T00:00:00"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7"/>
    <n v="20"/>
    <s v="Подразделение20"/>
    <s v="подразделение_2_уровня20"/>
    <s v="-"/>
    <s v="линейный_руководитель_1"/>
    <n v="7"/>
    <s v="нет"/>
    <m/>
    <m/>
    <m/>
    <n v="804"/>
    <s v="Пальчиков Григорий Романович"/>
    <n v="1902"/>
    <s v="Ветров Виталий Александрович"/>
    <s v="Рабочий"/>
    <s v="Подразделение20"/>
    <x v="2"/>
    <x v="2"/>
    <n v="0"/>
    <n v="0"/>
    <s v="увольнение"/>
    <d v="2021-12-17T00:00:00"/>
    <s v="не рассматривали"/>
    <s v="протокол-№-12.10.2020"/>
  </r>
  <r>
    <s v="Функциональное направление 10"/>
    <n v="4"/>
    <d v="2021-09-28T00:00:00"/>
    <n v="0"/>
    <s v="не защищена"/>
    <n v="500540"/>
    <x v="827"/>
    <n v="20"/>
    <s v="Подразделение20"/>
    <s v="подразделение_2_уровня20"/>
    <s v="-"/>
    <s v="линейный_руководитель_1"/>
    <n v="7"/>
    <s v="нет"/>
    <m/>
    <m/>
    <m/>
    <n v="804"/>
    <s v="Пальчиков Григорий Романович"/>
    <n v="1903"/>
    <s v="Ветров Геннадий Александрович"/>
    <s v="линейный_руководитель_2"/>
    <s v="Подразделение20"/>
    <x v="2"/>
    <x v="2"/>
    <n v="0"/>
    <n v="0"/>
    <s v="инициатива комитета / руководителя"/>
    <d v="2022-10-21T00:00:00"/>
    <s v="исключение"/>
    <s v="протокол-№-21.10.2022"/>
  </r>
  <r>
    <s v="Функциональное направление 10"/>
    <n v="4"/>
    <d v="2020-10-12T00:00:00"/>
    <n v="1"/>
    <s v="не защищена"/>
    <n v="500540"/>
    <x v="828"/>
    <n v="20"/>
    <s v="Подразделение20"/>
    <s v="подразделение_2_уровня20"/>
    <s v="-"/>
    <s v="линейный_руководитель_1"/>
    <n v="7"/>
    <s v="нет"/>
    <m/>
    <m/>
    <m/>
    <n v="805"/>
    <s v="Пальчиков Венедикт Григорьевич"/>
    <n v="1897"/>
    <s v="Ветров Саве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8"/>
    <n v="20"/>
    <s v="Подразделение20"/>
    <s v="подразделение_2_уровня20"/>
    <s v="-"/>
    <s v="линейный_руководитель_1"/>
    <n v="7"/>
    <s v="нет"/>
    <m/>
    <m/>
    <m/>
    <n v="805"/>
    <s v="Пальчиков Венедикт Григорьевич"/>
    <n v="1898"/>
    <s v="Тимофеев Юрий Семен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8"/>
    <n v="20"/>
    <s v="Подразделение20"/>
    <s v="подразделение_2_уровня20"/>
    <s v="-"/>
    <s v="линейный_руководитель_1"/>
    <n v="7"/>
    <s v="нет"/>
    <m/>
    <m/>
    <m/>
    <n v="805"/>
    <s v="Пальчиков Венедикт Григорьевич"/>
    <n v="1899"/>
    <s v="Незнамов Глеб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0"/>
    <x v="828"/>
    <n v="20"/>
    <s v="Подразделение20"/>
    <s v="подразделение_2_уровня20"/>
    <s v="-"/>
    <s v="линейный_руководитель_1"/>
    <n v="7"/>
    <s v="нет"/>
    <m/>
    <m/>
    <m/>
    <n v="805"/>
    <s v="Пальчиков Венедикт Григорьевич"/>
    <n v="1900"/>
    <s v="Тимофеев Константин Александр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8"/>
    <n v="20"/>
    <s v="Подразделение20"/>
    <s v="подразделение_2_уровня20"/>
    <s v="-"/>
    <s v="линейный_руководитель_1"/>
    <n v="7"/>
    <s v="нет"/>
    <m/>
    <m/>
    <m/>
    <n v="805"/>
    <s v="Пальчиков Венедикт Григорьевич"/>
    <n v="1901"/>
    <s v="Тимофеев Глеб Александрович"/>
    <s v="Рабочий"/>
    <s v="Подразделение20"/>
    <x v="2"/>
    <x v="2"/>
    <n v="0"/>
    <n v="0"/>
    <s v="увольнение"/>
    <d v="2023-03-14T00:00:00"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8"/>
    <n v="20"/>
    <s v="Подразделение20"/>
    <s v="подразделение_2_уровня20"/>
    <s v="-"/>
    <s v="линейный_руководитель_1"/>
    <n v="7"/>
    <s v="нет"/>
    <m/>
    <m/>
    <m/>
    <n v="805"/>
    <s v="Пальчиков Венедикт Григорьевич"/>
    <n v="1902"/>
    <s v="Ветров Виталий Александрович"/>
    <s v="Рабочий"/>
    <s v="Подразделение20"/>
    <x v="2"/>
    <x v="2"/>
    <n v="0"/>
    <n v="0"/>
    <s v="увольнение"/>
    <d v="2021-12-17T00:00:00"/>
    <s v="не рассматривали"/>
    <s v="протокол-№-12.10.2020"/>
  </r>
  <r>
    <s v="Функциональное направление 10"/>
    <n v="4"/>
    <d v="2021-09-28T00:00:00"/>
    <n v="0"/>
    <s v="не защищена"/>
    <n v="500540"/>
    <x v="828"/>
    <n v="20"/>
    <s v="Подразделение20"/>
    <s v="подразделение_2_уровня20"/>
    <s v="-"/>
    <s v="линейный_руководитель_1"/>
    <n v="7"/>
    <s v="нет"/>
    <m/>
    <m/>
    <m/>
    <n v="805"/>
    <s v="Пальчиков Венедикт Григорьевич"/>
    <n v="1903"/>
    <s v="Ветров Геннадий Александрович"/>
    <s v="линейный_руководитель_2"/>
    <s v="Подразделение20"/>
    <x v="2"/>
    <x v="2"/>
    <n v="0"/>
    <n v="0"/>
    <s v="инициатива комитета / руководителя"/>
    <d v="2022-10-21T00:00:00"/>
    <s v="исключение"/>
    <s v="протокол-№-21.10.2022"/>
  </r>
  <r>
    <s v="Функциональное направление 10"/>
    <n v="4"/>
    <d v="2020-10-12T00:00:00"/>
    <n v="1"/>
    <s v="не защищена"/>
    <n v="500540"/>
    <x v="829"/>
    <n v="20"/>
    <s v="Подразделение20"/>
    <s v="подразделение_2_уровня20"/>
    <s v="-"/>
    <s v="линейный_руководитель_1"/>
    <n v="7"/>
    <s v="да"/>
    <d v="2022-12-13T00:00:00"/>
    <m/>
    <m/>
    <s v="вакансия"/>
    <s v="вакансия"/>
    <n v="1897"/>
    <s v="Ветров Саве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9"/>
    <n v="20"/>
    <s v="Подразделение20"/>
    <s v="подразделение_2_уровня20"/>
    <s v="-"/>
    <s v="линейный_руководитель_1"/>
    <n v="7"/>
    <s v="да"/>
    <d v="2022-12-13T00:00:00"/>
    <m/>
    <m/>
    <s v="вакансия"/>
    <s v="вакансия"/>
    <n v="1898"/>
    <s v="Тимофеев Юрий Семен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9"/>
    <n v="20"/>
    <s v="Подразделение20"/>
    <s v="подразделение_2_уровня20"/>
    <s v="-"/>
    <s v="линейный_руководитель_1"/>
    <n v="7"/>
    <s v="да"/>
    <d v="2022-12-13T00:00:00"/>
    <m/>
    <m/>
    <s v="вакансия"/>
    <s v="вакансия"/>
    <n v="1899"/>
    <s v="Незнамов Глеб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0"/>
    <x v="829"/>
    <n v="20"/>
    <s v="Подразделение20"/>
    <s v="подразделение_2_уровня20"/>
    <s v="-"/>
    <s v="линейный_руководитель_1"/>
    <n v="7"/>
    <s v="да"/>
    <d v="2022-12-13T00:00:00"/>
    <m/>
    <m/>
    <s v="вакансия"/>
    <s v="вакансия"/>
    <n v="1900"/>
    <s v="Тимофеев Константин Александр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9"/>
    <n v="20"/>
    <s v="Подразделение20"/>
    <s v="подразделение_2_уровня20"/>
    <s v="-"/>
    <s v="линейный_руководитель_1"/>
    <n v="7"/>
    <s v="да"/>
    <d v="2022-12-13T00:00:00"/>
    <m/>
    <m/>
    <s v="вакансия"/>
    <s v="вакансия"/>
    <n v="1901"/>
    <s v="Тимофеев Глеб Александрович"/>
    <s v="Рабочий"/>
    <s v="Подразделение20"/>
    <x v="2"/>
    <x v="2"/>
    <n v="0"/>
    <n v="0"/>
    <s v="увольнение"/>
    <d v="2023-03-14T00:00:00"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0"/>
    <x v="829"/>
    <n v="20"/>
    <s v="Подразделение20"/>
    <s v="подразделение_2_уровня20"/>
    <s v="-"/>
    <s v="линейный_руководитель_1"/>
    <n v="7"/>
    <s v="да"/>
    <d v="2022-12-13T00:00:00"/>
    <m/>
    <m/>
    <s v="вакансия"/>
    <s v="вакансия"/>
    <n v="1902"/>
    <s v="Ветров Виталий Александрович"/>
    <s v="Рабочий"/>
    <s v="Подразделение20"/>
    <x v="2"/>
    <x v="2"/>
    <n v="0"/>
    <n v="0"/>
    <s v="увольнение"/>
    <d v="2021-12-17T00:00:00"/>
    <s v="не рассматривали"/>
    <s v="протокол-№-12.10.2020"/>
  </r>
  <r>
    <s v="Функциональное направление 10"/>
    <n v="4"/>
    <d v="2021-09-28T00:00:00"/>
    <n v="0"/>
    <s v="не защищена"/>
    <n v="500540"/>
    <x v="829"/>
    <n v="20"/>
    <s v="Подразделение20"/>
    <s v="подразделение_2_уровня20"/>
    <s v="-"/>
    <s v="линейный_руководитель_1"/>
    <n v="7"/>
    <s v="да"/>
    <d v="2022-12-13T00:00:00"/>
    <m/>
    <m/>
    <s v="вакансия"/>
    <s v="вакансия"/>
    <n v="1903"/>
    <s v="Ветров Геннадий Александрович"/>
    <s v="линейный_руководитель_2"/>
    <s v="Подразделение20"/>
    <x v="2"/>
    <x v="2"/>
    <n v="0"/>
    <n v="0"/>
    <s v="инициатива комитета / руководителя"/>
    <d v="2022-10-21T00:00:00"/>
    <s v="исключение"/>
    <s v="протокол-№-21.10.2022"/>
  </r>
  <r>
    <s v="Функциональное направление 10"/>
    <n v="4"/>
    <d v="2020-10-12T00:00:00"/>
    <n v="1"/>
    <s v="не защищена"/>
    <n v="500541"/>
    <x v="830"/>
    <n v="20"/>
    <s v="Подразделение20"/>
    <s v="подразделение_2_уровня20"/>
    <s v="-"/>
    <s v="линейный_руководитель_1"/>
    <n v="7"/>
    <s v="нет"/>
    <m/>
    <m/>
    <m/>
    <n v="806"/>
    <s v="Русланов Николай Юрьевич"/>
    <n v="1899"/>
    <s v="Незнамов Глеб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0"/>
    <n v="20"/>
    <s v="Подразделение20"/>
    <s v="подразделение_2_уровня20"/>
    <s v="-"/>
    <s v="линейный_руководитель_1"/>
    <n v="7"/>
    <s v="нет"/>
    <m/>
    <m/>
    <m/>
    <n v="806"/>
    <s v="Русланов Николай Юрьевич"/>
    <n v="1897"/>
    <s v="Ветров Саве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0"/>
    <n v="20"/>
    <s v="Подразделение20"/>
    <s v="подразделение_2_уровня20"/>
    <s v="-"/>
    <s v="линейный_руководитель_1"/>
    <n v="7"/>
    <s v="нет"/>
    <m/>
    <m/>
    <m/>
    <n v="806"/>
    <s v="Русланов Николай Юрьевич"/>
    <n v="1898"/>
    <s v="Тимофеев Юрий Семен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1"/>
    <x v="830"/>
    <n v="20"/>
    <s v="Подразделение20"/>
    <s v="подразделение_2_уровня20"/>
    <s v="-"/>
    <s v="линейный_руководитель_1"/>
    <n v="7"/>
    <s v="нет"/>
    <m/>
    <m/>
    <m/>
    <n v="806"/>
    <s v="Русланов Николай Юрьевич"/>
    <n v="1900"/>
    <s v="Тимофеев Константин Александр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0"/>
    <n v="20"/>
    <s v="Подразделение20"/>
    <s v="подразделение_2_уровня20"/>
    <s v="-"/>
    <s v="линейный_руководитель_1"/>
    <n v="7"/>
    <s v="нет"/>
    <m/>
    <m/>
    <m/>
    <n v="806"/>
    <s v="Русланов Николай Юрьевич"/>
    <n v="1902"/>
    <s v="Ветров Виталий Александрович"/>
    <s v="Рабочий"/>
    <s v="Подразделение20"/>
    <x v="2"/>
    <x v="2"/>
    <n v="0"/>
    <n v="0"/>
    <s v="увольнение"/>
    <d v="2021-12-17T00:00:00"/>
    <s v="не рассматривали"/>
    <s v="протокол-№-12.10.2020"/>
  </r>
  <r>
    <s v="Функциональное направление 10"/>
    <n v="4"/>
    <d v="2020-10-12T00:00:00"/>
    <n v="0"/>
    <s v="не защищена"/>
    <n v="500541"/>
    <x v="830"/>
    <n v="20"/>
    <s v="Подразделение20"/>
    <s v="подразделение_2_уровня20"/>
    <s v="-"/>
    <s v="линейный_руководитель_1"/>
    <n v="7"/>
    <s v="нет"/>
    <m/>
    <m/>
    <m/>
    <n v="806"/>
    <s v="Русланов Николай Юрьевич"/>
    <n v="1901"/>
    <s v="Тимофеев Глеб Александрович"/>
    <s v="Рабочий"/>
    <s v="Подразделение20"/>
    <x v="2"/>
    <x v="2"/>
    <n v="0"/>
    <n v="0"/>
    <s v="увольнение"/>
    <d v="2023-03-14T00:00:00"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1"/>
    <x v="830"/>
    <n v="20"/>
    <s v="Подразделение20"/>
    <s v="подразделение_2_уровня20"/>
    <s v="-"/>
    <s v="линейный_руководитель_1"/>
    <n v="7"/>
    <s v="нет"/>
    <m/>
    <m/>
    <m/>
    <n v="806"/>
    <s v="Русланов Николай Юрьевич"/>
    <n v="1903"/>
    <s v="Ветров Геннадий Александрович"/>
    <s v="линейный_руководитель_2"/>
    <s v="Подразделение20"/>
    <x v="2"/>
    <x v="2"/>
    <n v="0"/>
    <n v="0"/>
    <s v="инициатива комитета / руководителя"/>
    <d v="2022-10-21T00:00:00"/>
    <s v="исключение"/>
    <s v="протокол-№-21.10.2022"/>
  </r>
  <r>
    <s v="Функциональное направление 10"/>
    <n v="4"/>
    <d v="2020-10-12T00:00:00"/>
    <n v="1"/>
    <s v="не защищена"/>
    <n v="500541"/>
    <x v="831"/>
    <n v="20"/>
    <s v="Подразделение20"/>
    <s v="подразделение_2_уровня20"/>
    <s v="-"/>
    <s v="линейный_руководитель_1"/>
    <n v="7"/>
    <s v="нет"/>
    <m/>
    <m/>
    <m/>
    <n v="807"/>
    <s v="Романов Николай Романович"/>
    <n v="1899"/>
    <s v="Незнамов Глеб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1"/>
    <n v="20"/>
    <s v="Подразделение20"/>
    <s v="подразделение_2_уровня20"/>
    <s v="-"/>
    <s v="линейный_руководитель_1"/>
    <n v="7"/>
    <s v="нет"/>
    <m/>
    <m/>
    <m/>
    <n v="807"/>
    <s v="Романов Николай Романович"/>
    <n v="1897"/>
    <s v="Ветров Саве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1"/>
    <n v="20"/>
    <s v="Подразделение20"/>
    <s v="подразделение_2_уровня20"/>
    <s v="-"/>
    <s v="линейный_руководитель_1"/>
    <n v="7"/>
    <s v="нет"/>
    <m/>
    <m/>
    <m/>
    <n v="807"/>
    <s v="Романов Николай Романович"/>
    <n v="1898"/>
    <s v="Тимофеев Юрий Семен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1"/>
    <x v="831"/>
    <n v="20"/>
    <s v="Подразделение20"/>
    <s v="подразделение_2_уровня20"/>
    <s v="-"/>
    <s v="линейный_руководитель_1"/>
    <n v="7"/>
    <s v="нет"/>
    <m/>
    <m/>
    <m/>
    <n v="807"/>
    <s v="Романов Николай Романович"/>
    <n v="1900"/>
    <s v="Тимофеев Константин Александр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1"/>
    <n v="20"/>
    <s v="Подразделение20"/>
    <s v="подразделение_2_уровня20"/>
    <s v="-"/>
    <s v="линейный_руководитель_1"/>
    <n v="7"/>
    <s v="нет"/>
    <m/>
    <m/>
    <m/>
    <n v="807"/>
    <s v="Романов Николай Романович"/>
    <n v="1902"/>
    <s v="Ветров Виталий Александрович"/>
    <s v="Рабочий"/>
    <s v="Подразделение20"/>
    <x v="2"/>
    <x v="2"/>
    <n v="0"/>
    <n v="0"/>
    <s v="увольнение"/>
    <d v="2021-12-17T00:00:00"/>
    <s v="не рассматривали"/>
    <s v="протокол-№-12.10.2020"/>
  </r>
  <r>
    <s v="Функциональное направление 10"/>
    <n v="4"/>
    <d v="2020-10-12T00:00:00"/>
    <n v="0"/>
    <s v="не защищена"/>
    <n v="500541"/>
    <x v="831"/>
    <n v="20"/>
    <s v="Подразделение20"/>
    <s v="подразделение_2_уровня20"/>
    <s v="-"/>
    <s v="линейный_руководитель_1"/>
    <n v="7"/>
    <s v="нет"/>
    <m/>
    <m/>
    <m/>
    <n v="807"/>
    <s v="Романов Николай Романович"/>
    <n v="1901"/>
    <s v="Тимофеев Глеб Александрович"/>
    <s v="Рабочий"/>
    <s v="Подразделение20"/>
    <x v="2"/>
    <x v="2"/>
    <n v="0"/>
    <n v="0"/>
    <s v="увольнение"/>
    <d v="2023-03-14T00:00:00"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1"/>
    <x v="831"/>
    <n v="20"/>
    <s v="Подразделение20"/>
    <s v="подразделение_2_уровня20"/>
    <s v="-"/>
    <s v="линейный_руководитель_1"/>
    <n v="7"/>
    <s v="нет"/>
    <m/>
    <m/>
    <m/>
    <n v="807"/>
    <s v="Романов Николай Романович"/>
    <n v="1903"/>
    <s v="Ветров Геннадий Александрович"/>
    <s v="линейный_руководитель_2"/>
    <s v="Подразделение20"/>
    <x v="2"/>
    <x v="2"/>
    <n v="0"/>
    <n v="0"/>
    <s v="инициатива комитета / руководителя"/>
    <d v="2022-10-21T00:00:00"/>
    <s v="исключение"/>
    <s v="протокол-№-21.10.2022"/>
  </r>
  <r>
    <s v="Функциональное направление 10"/>
    <n v="4"/>
    <d v="2020-10-12T00:00:00"/>
    <n v="1"/>
    <s v="не защищена"/>
    <n v="500541"/>
    <x v="832"/>
    <n v="20"/>
    <s v="Подразделение20"/>
    <s v="подразделение_2_уровня20"/>
    <s v="-"/>
    <s v="линейный_руководитель_1"/>
    <n v="7"/>
    <s v="нет"/>
    <m/>
    <m/>
    <m/>
    <n v="808"/>
    <s v="Волков Венедикт Александрович"/>
    <n v="1899"/>
    <s v="Незнамов Глеб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2"/>
    <n v="20"/>
    <s v="Подразделение20"/>
    <s v="подразделение_2_уровня20"/>
    <s v="-"/>
    <s v="линейный_руководитель_1"/>
    <n v="7"/>
    <s v="нет"/>
    <m/>
    <m/>
    <m/>
    <n v="808"/>
    <s v="Волков Венедикт Александрович"/>
    <n v="1897"/>
    <s v="Ветров Саве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2"/>
    <n v="20"/>
    <s v="Подразделение20"/>
    <s v="подразделение_2_уровня20"/>
    <s v="-"/>
    <s v="линейный_руководитель_1"/>
    <n v="7"/>
    <s v="нет"/>
    <m/>
    <m/>
    <m/>
    <n v="808"/>
    <s v="Волков Венедикт Александрович"/>
    <n v="1898"/>
    <s v="Тимофеев Юрий Семен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1"/>
    <x v="832"/>
    <n v="20"/>
    <s v="Подразделение20"/>
    <s v="подразделение_2_уровня20"/>
    <s v="-"/>
    <s v="линейный_руководитель_1"/>
    <n v="7"/>
    <s v="нет"/>
    <m/>
    <m/>
    <m/>
    <n v="808"/>
    <s v="Волков Венедикт Александрович"/>
    <n v="1900"/>
    <s v="Тимофеев Константин Александр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2"/>
    <n v="20"/>
    <s v="Подразделение20"/>
    <s v="подразделение_2_уровня20"/>
    <s v="-"/>
    <s v="линейный_руководитель_1"/>
    <n v="7"/>
    <s v="нет"/>
    <m/>
    <m/>
    <m/>
    <n v="808"/>
    <s v="Волков Венедикт Александрович"/>
    <n v="1902"/>
    <s v="Ветров Виталий Александрович"/>
    <s v="Рабочий"/>
    <s v="Подразделение20"/>
    <x v="2"/>
    <x v="2"/>
    <n v="0"/>
    <n v="0"/>
    <s v="увольнение"/>
    <d v="2021-12-17T00:00:00"/>
    <s v="не рассматривали"/>
    <s v="протокол-№-12.10.2020"/>
  </r>
  <r>
    <s v="Функциональное направление 10"/>
    <n v="4"/>
    <d v="2020-10-12T00:00:00"/>
    <n v="0"/>
    <s v="не защищена"/>
    <n v="500541"/>
    <x v="832"/>
    <n v="20"/>
    <s v="Подразделение20"/>
    <s v="подразделение_2_уровня20"/>
    <s v="-"/>
    <s v="линейный_руководитель_1"/>
    <n v="7"/>
    <s v="нет"/>
    <m/>
    <m/>
    <m/>
    <n v="808"/>
    <s v="Волков Венедикт Александрович"/>
    <n v="1901"/>
    <s v="Тимофеев Глеб Александрович"/>
    <s v="Рабочий"/>
    <s v="Подразделение20"/>
    <x v="2"/>
    <x v="2"/>
    <n v="0"/>
    <n v="0"/>
    <s v="увольнение"/>
    <d v="2023-03-14T00:00:00"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1"/>
    <x v="832"/>
    <n v="20"/>
    <s v="Подразделение20"/>
    <s v="подразделение_2_уровня20"/>
    <s v="-"/>
    <s v="линейный_руководитель_1"/>
    <n v="7"/>
    <s v="нет"/>
    <m/>
    <m/>
    <m/>
    <n v="808"/>
    <s v="Волков Венедикт Александрович"/>
    <n v="1903"/>
    <s v="Ветров Геннадий Александрович"/>
    <s v="линейный_руководитель_2"/>
    <s v="Подразделение20"/>
    <x v="2"/>
    <x v="2"/>
    <n v="0"/>
    <n v="0"/>
    <s v="инициатива комитета / руководителя"/>
    <d v="2022-10-21T00:00:00"/>
    <s v="исключение"/>
    <s v="протокол-№-21.10.2022"/>
  </r>
  <r>
    <s v="Функциональное направление 10"/>
    <n v="4"/>
    <d v="2020-10-12T00:00:00"/>
    <n v="1"/>
    <s v="не защищена"/>
    <n v="500541"/>
    <x v="833"/>
    <n v="20"/>
    <s v="Подразделение20"/>
    <s v="подразделение_2_уровня20"/>
    <s v="-"/>
    <s v="линейный_руководитель_1"/>
    <n v="7"/>
    <s v="нет"/>
    <m/>
    <m/>
    <m/>
    <n v="809"/>
    <s v="Вобликов Валерий Егорович"/>
    <n v="1899"/>
    <s v="Незнамов Глеб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3"/>
    <n v="20"/>
    <s v="Подразделение20"/>
    <s v="подразделение_2_уровня20"/>
    <s v="-"/>
    <s v="линейный_руководитель_1"/>
    <n v="7"/>
    <s v="нет"/>
    <m/>
    <m/>
    <m/>
    <n v="809"/>
    <s v="Вобликов Валерий Егорович"/>
    <n v="1897"/>
    <s v="Ветров Савелий Ефрем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3"/>
    <n v="20"/>
    <s v="Подразделение20"/>
    <s v="подразделение_2_уровня20"/>
    <s v="-"/>
    <s v="линейный_руководитель_1"/>
    <n v="7"/>
    <s v="нет"/>
    <m/>
    <m/>
    <m/>
    <n v="809"/>
    <s v="Вобликов Валерий Егорович"/>
    <n v="1898"/>
    <s v="Тимофеев Юрий Семен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1"/>
    <x v="833"/>
    <n v="20"/>
    <s v="Подразделение20"/>
    <s v="подразделение_2_уровня20"/>
    <s v="-"/>
    <s v="линейный_руководитель_1"/>
    <n v="7"/>
    <s v="нет"/>
    <m/>
    <m/>
    <m/>
    <n v="809"/>
    <s v="Вобликов Валерий Егорович"/>
    <n v="1900"/>
    <s v="Тимофеев Константин Александрович"/>
    <s v="Рабочий"/>
    <s v="Подразделение20"/>
    <x v="2"/>
    <x v="0"/>
    <n v="0"/>
    <n v="0"/>
    <m/>
    <m/>
    <s v="без изменений"/>
    <s v="протокол-№-21.10.2022"/>
  </r>
  <r>
    <s v="Функциональное направление 10"/>
    <n v="4"/>
    <d v="2020-10-12T00:00:00"/>
    <n v="0"/>
    <s v="не защищена"/>
    <n v="500541"/>
    <x v="833"/>
    <n v="20"/>
    <s v="Подразделение20"/>
    <s v="подразделение_2_уровня20"/>
    <s v="-"/>
    <s v="линейный_руководитель_1"/>
    <n v="7"/>
    <s v="нет"/>
    <m/>
    <m/>
    <m/>
    <n v="809"/>
    <s v="Вобликов Валерий Егорович"/>
    <n v="1902"/>
    <s v="Ветров Виталий Александрович"/>
    <s v="Рабочий"/>
    <s v="Подразделение20"/>
    <x v="2"/>
    <x v="2"/>
    <n v="0"/>
    <n v="0"/>
    <s v="увольнение"/>
    <d v="2021-12-17T00:00:00"/>
    <s v="не рассматривали"/>
    <s v="протокол-№-12.10.2020"/>
  </r>
  <r>
    <s v="Функциональное направление 10"/>
    <n v="4"/>
    <d v="2020-10-12T00:00:00"/>
    <n v="0"/>
    <s v="не защищена"/>
    <n v="500541"/>
    <x v="833"/>
    <n v="20"/>
    <s v="Подразделение20"/>
    <s v="подразделение_2_уровня20"/>
    <s v="-"/>
    <s v="линейный_руководитель_1"/>
    <n v="7"/>
    <s v="нет"/>
    <m/>
    <m/>
    <m/>
    <n v="809"/>
    <s v="Вобликов Валерий Егорович"/>
    <n v="1901"/>
    <s v="Тимофеев Глеб Александрович"/>
    <s v="Рабочий"/>
    <s v="Подразделение20"/>
    <x v="2"/>
    <x v="2"/>
    <n v="0"/>
    <n v="0"/>
    <s v="увольнение"/>
    <d v="2023-03-14T00:00:00"/>
    <s v="без изменений"/>
    <s v="протокол-№-21.10.2022"/>
  </r>
  <r>
    <s v="Функциональное направление 10"/>
    <n v="4"/>
    <d v="2021-09-28T00:00:00"/>
    <n v="0"/>
    <s v="не защищена"/>
    <n v="500541"/>
    <x v="833"/>
    <n v="20"/>
    <s v="Подразделение20"/>
    <s v="подразделение_2_уровня20"/>
    <s v="-"/>
    <s v="линейный_руководитель_1"/>
    <n v="7"/>
    <s v="нет"/>
    <m/>
    <m/>
    <m/>
    <n v="809"/>
    <s v="Вобликов Валерий Егорович"/>
    <n v="1903"/>
    <s v="Ветров Геннадий Александрович"/>
    <s v="линейный_руководитель_2"/>
    <s v="Подразделение20"/>
    <x v="2"/>
    <x v="2"/>
    <n v="0"/>
    <n v="0"/>
    <s v="инициатива комитета / руководителя"/>
    <d v="2022-10-21T00:00:00"/>
    <s v="исключение"/>
    <s v="протокол-№-21.10.2022"/>
  </r>
  <r>
    <s v="Функциональное направление 10"/>
    <n v="3"/>
    <d v="2020-12-11T00:00:00"/>
    <n v="1"/>
    <s v="не защищена"/>
    <n v="500543"/>
    <x v="834"/>
    <n v="7"/>
    <s v="Подразделение7"/>
    <s v="подразделение_2_уровня7"/>
    <s v="-"/>
    <s v="функциональный_руководитель_1"/>
    <n v="6"/>
    <s v="нет"/>
    <m/>
    <m/>
    <m/>
    <n v="810"/>
    <s v="Волков Константин Юрьевич"/>
    <n v="827"/>
    <s v="Романов Алексей Григорьевич"/>
    <s v="руководитель_среднего_уровня_4"/>
    <s v="Подразделение7"/>
    <x v="1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1"/>
    <s v="не защищена"/>
    <n v="500062"/>
    <x v="835"/>
    <n v="4"/>
    <s v="Подразделение4"/>
    <s v="подразделение_2_уровня4"/>
    <s v="-"/>
    <s v="руководитель_среднего_уровня_4"/>
    <n v="6"/>
    <s v="нет"/>
    <m/>
    <m/>
    <m/>
    <n v="811"/>
    <s v="Цветков Венедикт Григорьевич"/>
    <n v="1727"/>
    <s v="Игнатьев Виталий Александрович"/>
    <s v="Рабочий"/>
    <s v="Подразделение4"/>
    <x v="0"/>
    <x v="0"/>
    <n v="1"/>
    <n v="0"/>
    <m/>
    <m/>
    <s v="повышение"/>
    <s v="протокол-№-28.06.2022"/>
  </r>
  <r>
    <s v="Функциональное направление 10"/>
    <n v="3"/>
    <d v="2020-07-27T00:00:00"/>
    <n v="0"/>
    <s v="не защищена"/>
    <n v="500062"/>
    <x v="835"/>
    <n v="4"/>
    <s v="Подразделение4"/>
    <s v="подразделение_2_уровня4"/>
    <s v="-"/>
    <s v="руководитель_среднего_уровня_4"/>
    <n v="6"/>
    <s v="нет"/>
    <m/>
    <m/>
    <m/>
    <n v="811"/>
    <s v="Цветков Венедикт Григорьевич"/>
    <n v="643"/>
    <s v="Нырков Венедикт Юрьевич"/>
    <s v="линейный_руководитель_2"/>
    <s v="Подразделение4"/>
    <x v="1"/>
    <x v="0"/>
    <n v="1"/>
    <n v="0"/>
    <m/>
    <m/>
    <s v="повышение"/>
    <s v="протокол-№-28.06.2022"/>
  </r>
  <r>
    <s v="Функциональное направление 10"/>
    <n v="3"/>
    <d v="2020-07-27T00:00:00"/>
    <n v="0"/>
    <s v="не защищена"/>
    <n v="500062"/>
    <x v="835"/>
    <n v="4"/>
    <s v="Подразделение4"/>
    <s v="подразделение_2_уровня4"/>
    <s v="-"/>
    <s v="руководитель_среднего_уровня_4"/>
    <n v="6"/>
    <s v="да"/>
    <d v="2022-04-21T00:00:00"/>
    <d v="2022-04-21T00:00:00"/>
    <s v="из резерва (учитываем)"/>
    <n v="811"/>
    <s v="Цветков Венедикт Григорьевич"/>
    <n v="811"/>
    <s v="Цветков Венедикт Григорьевич"/>
    <s v="линейный_руководитель_2"/>
    <s v="Подразделение4"/>
    <x v="1"/>
    <x v="1"/>
    <n v="1"/>
    <n v="1"/>
    <s v="назначение на целевую должность"/>
    <d v="2022-04-21T00:00:00"/>
    <s v="не рассматривали"/>
    <s v="протокол-№-27.07.2020"/>
  </r>
  <r>
    <s v="Функциональное направление 10"/>
    <n v="3"/>
    <d v="2020-07-27T00:00:00"/>
    <n v="1"/>
    <s v="не защищена"/>
    <n v="500063"/>
    <x v="836"/>
    <n v="4"/>
    <s v="Подразделение4"/>
    <s v="подразделение_2_уровня4"/>
    <s v="-"/>
    <s v="руководитель_среднего_уровня_4"/>
    <n v="6"/>
    <s v="нет"/>
    <m/>
    <m/>
    <m/>
    <n v="812"/>
    <s v="Баранкин Валерий Александрович"/>
    <n v="638"/>
    <s v="Волков Кирилл Григорьевич"/>
    <s v="линейный_руководитель_2"/>
    <s v="Подразделение4"/>
    <x v="1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0"/>
    <s v="не защищена"/>
    <n v="500063"/>
    <x v="836"/>
    <n v="4"/>
    <s v="Подразделение4"/>
    <s v="подразделение_2_уровня4"/>
    <s v="-"/>
    <s v="руководитель_среднего_уровня_4"/>
    <n v="6"/>
    <s v="нет"/>
    <m/>
    <m/>
    <m/>
    <n v="812"/>
    <s v="Баранкин Валерий Александрович"/>
    <n v="637"/>
    <s v="Баранкин Тихон Владиславович"/>
    <s v="линейный_руководитель_2"/>
    <s v="Подразделение4"/>
    <x v="1"/>
    <x v="0"/>
    <n v="1"/>
    <n v="0"/>
    <m/>
    <m/>
    <s v="повышение"/>
    <s v="протокол-№-28.06.2022"/>
  </r>
  <r>
    <s v="Функциональное направление 10"/>
    <n v="4"/>
    <d v="2020-10-05T00:00:00"/>
    <n v="1"/>
    <s v="не защищена"/>
    <n v="500323"/>
    <x v="83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813"/>
    <s v="Баранкин Венедикт Александрович"/>
    <n v="1801"/>
    <s v="Ветров Савелий Геннадье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0-10-05T00:00:00"/>
    <n v="0"/>
    <s v="не защищена"/>
    <n v="500323"/>
    <x v="83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813"/>
    <s v="Баранкин Венедикт Александрович"/>
    <n v="1800"/>
    <s v="Брежнев Виталий Климович"/>
    <s v="Рабочий"/>
    <s v="Подразделение6"/>
    <x v="1"/>
    <x v="0"/>
    <n v="0"/>
    <n v="0"/>
    <m/>
    <m/>
    <s v="без изменений"/>
    <s v="протокол-№-25.10.2022"/>
  </r>
  <r>
    <s v="Функциональное направление 10"/>
    <n v="4"/>
    <d v="2021-09-27T00:00:00"/>
    <n v="0"/>
    <s v="не защищена"/>
    <n v="500323"/>
    <x v="83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813"/>
    <s v="Баранкин Венедикт Александрович"/>
    <n v="1802"/>
    <s v="Незнамов Константин Богданович"/>
    <s v="Рабочий"/>
    <s v="Подразделение6"/>
    <x v="0"/>
    <x v="0"/>
    <n v="0"/>
    <n v="0"/>
    <m/>
    <m/>
    <s v="повышение"/>
    <s v="протокол-№-25.10.2022"/>
  </r>
  <r>
    <s v="Функциональное направление 10"/>
    <n v="4"/>
    <d v="2020-10-05T00:00:00"/>
    <n v="0"/>
    <s v="не защищена"/>
    <n v="500323"/>
    <x v="83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813"/>
    <s v="Баранкин Венедикт Александрович"/>
    <n v="1803"/>
    <s v="Дмитриев Савелий Кондратьевич"/>
    <s v="Рабочий"/>
    <s v="Подразделение6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1-09-27T00:00:00"/>
    <n v="0"/>
    <s v="не защищена"/>
    <n v="500323"/>
    <x v="837"/>
    <n v="6"/>
    <s v="Подразделение6"/>
    <s v="подразделение_2_уровня6"/>
    <s v="подразделение_3_уровня6"/>
    <s v="линейный_руководитель_1"/>
    <n v="6"/>
    <s v="нет"/>
    <m/>
    <m/>
    <m/>
    <n v="813"/>
    <s v="Баранкин Венедикт Александрович"/>
    <n v="1804"/>
    <s v="Тимофеев Геннадий Маркович"/>
    <s v="Рабочий"/>
    <s v="Подразделение6"/>
    <x v="2"/>
    <x v="2"/>
    <n v="0"/>
    <n v="0"/>
    <s v="инициатива комитета / руководителя"/>
    <d v="2022-10-25T00:00:00"/>
    <s v="исключение"/>
    <s v="протокол-№-25.10.2022"/>
  </r>
  <r>
    <s v="Функциональное направление 10"/>
    <n v="4"/>
    <d v="2022-10-25T00:00:00"/>
    <n v="1"/>
    <s v="не защищена"/>
    <n v="500175"/>
    <x v="838"/>
    <n v="7"/>
    <s v="Подразделение7"/>
    <s v="подразделение_2_уровня7"/>
    <s v="подразделение_3_уровня7"/>
    <s v="линейный_руководитель_1"/>
    <n v="6"/>
    <s v="да"/>
    <d v="2022-07-06T00:00:00"/>
    <d v="2022-08-01T00:00:00"/>
    <s v="из резерва (учитываем)"/>
    <n v="814"/>
    <s v="Вобликов Венедикт Иванович"/>
    <n v="1841"/>
    <s v="Игнатьев Юрий Александр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838"/>
    <n v="7"/>
    <s v="Подразделение7"/>
    <s v="подразделение_2_уровня7"/>
    <s v="подразделение_3_уровня7"/>
    <s v="линейный_руководитель_1"/>
    <n v="6"/>
    <s v="да"/>
    <d v="2022-07-06T00:00:00"/>
    <d v="2022-08-01T00:00:00"/>
    <s v="из резерва (учитываем)"/>
    <n v="814"/>
    <s v="Вобликов Венедикт Иванович"/>
    <n v="1842"/>
    <s v="Тимофеев Роман Герасимович"/>
    <s v="Рабочий"/>
    <s v="Подразделение7"/>
    <x v="1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838"/>
    <n v="7"/>
    <s v="Подразделение7"/>
    <s v="подразделение_2_уровня7"/>
    <s v="подразделение_3_уровня7"/>
    <s v="линейный_руководитель_1"/>
    <n v="6"/>
    <s v="да"/>
    <d v="2022-07-06T00:00:00"/>
    <d v="2022-08-01T00:00:00"/>
    <s v="из резерва (учитываем)"/>
    <n v="814"/>
    <s v="Вобликов Венедикт Иванович"/>
    <n v="1843"/>
    <s v="Ветров Савелий Ефремович"/>
    <s v="Рабочий"/>
    <s v="Подразделение7"/>
    <x v="0"/>
    <x v="0"/>
    <n v="0"/>
    <n v="0"/>
    <m/>
    <m/>
    <s v="не рассматривали"/>
    <s v="протокол-№-25.10.2022"/>
  </r>
  <r>
    <s v="Функциональное направление 10"/>
    <n v="4"/>
    <d v="2022-10-25T00:00:00"/>
    <n v="0"/>
    <s v="не защищена"/>
    <n v="500175"/>
    <x v="838"/>
    <n v="7"/>
    <s v="Подразделение7"/>
    <s v="подразделение_2_уровня7"/>
    <s v="подразделение_3_уровня7"/>
    <s v="линейный_руководитель_1"/>
    <n v="6"/>
    <s v="да"/>
    <d v="2022-07-06T00:00:00"/>
    <d v="2022-08-01T00:00:00"/>
    <s v="из резерва (учитываем)"/>
    <n v="814"/>
    <s v="Вобликов Венедикт Иванович"/>
    <n v="1844"/>
    <s v="Тимофеев Савелий Семенович"/>
    <s v="Рабочий"/>
    <s v="Подразделение7"/>
    <x v="2"/>
    <x v="0"/>
    <n v="0"/>
    <n v="0"/>
    <m/>
    <m/>
    <s v="не рассматривали"/>
    <s v="протокол-№-25.10.2022"/>
  </r>
  <r>
    <s v="Функциональное направление 10"/>
    <n v="4"/>
    <d v="2020-10-21T00:00:00"/>
    <n v="0"/>
    <s v="не защищена"/>
    <n v="500175"/>
    <x v="838"/>
    <n v="7"/>
    <s v="Подразделение7"/>
    <s v="подразделение_2_уровня7"/>
    <s v="подразделение_3_уровня7"/>
    <s v="линейный_руководитель_1"/>
    <n v="6"/>
    <s v="да"/>
    <d v="2022-07-06T00:00:00"/>
    <d v="2022-08-01T00:00:00"/>
    <s v="из резерва (учитываем)"/>
    <n v="814"/>
    <s v="Вобликов Венедикт Иванович"/>
    <n v="814"/>
    <s v="Вобликов Венедикт Иванович"/>
    <s v="Рабочий"/>
    <s v="Подразделение7"/>
    <x v="0"/>
    <x v="1"/>
    <n v="0"/>
    <n v="1"/>
    <s v="назначение на целевую должность"/>
    <d v="2022-08-01T00:00:00"/>
    <s v="не рассматривали"/>
    <s v="протокол-№-21.10.2020"/>
  </r>
  <r>
    <s v="Функциональное направление 10"/>
    <n v="4"/>
    <d v="2020-10-21T00:00:00"/>
    <n v="0"/>
    <s v="не защищена"/>
    <n v="500175"/>
    <x v="838"/>
    <n v="7"/>
    <s v="Подразделение7"/>
    <s v="подразделение_2_уровня7"/>
    <s v="подразделение_3_уровня7"/>
    <s v="линейный_руководитель_1"/>
    <n v="6"/>
    <s v="да"/>
    <d v="2022-07-06T00:00:00"/>
    <d v="2022-08-01T00:00:00"/>
    <s v="из резерва (учитываем)"/>
    <n v="814"/>
    <s v="Вобликов Венедикт Иванович"/>
    <n v="759"/>
    <s v="Русланов Кирилл Денисович"/>
    <s v="линейный_руководитель_2"/>
    <s v="Подразделение7"/>
    <x v="0"/>
    <x v="1"/>
    <n v="0"/>
    <n v="0"/>
    <s v="назначение на целевую должность"/>
    <d v="2022-05-20T00:00:00"/>
    <s v="не рассматривали"/>
    <s v="протокол-№-21.10.2020"/>
  </r>
  <r>
    <s v="Функциональное направление 10"/>
    <n v="3"/>
    <d v="2021-12-08T00:00:00"/>
    <n v="1"/>
    <s v="не защищена"/>
    <n v="500064"/>
    <x v="839"/>
    <n v="6"/>
    <s v="Подразделение6"/>
    <s v="подразделение_2_уровня6"/>
    <s v="-"/>
    <s v="функциональный_руководитель_1"/>
    <n v="6"/>
    <s v="да"/>
    <d v="2020-08-01T00:00:00"/>
    <d v="2021-05-11T00:00:00"/>
    <s v="из резерва (учитываем)"/>
    <n v="815"/>
    <s v="Нырков Тихон Романович"/>
    <n v="1904"/>
    <s v="Незнамов Савелий Ефремович"/>
    <s v="Специалист"/>
    <s v="Подразделение6"/>
    <x v="2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0"/>
    <s v="не защищена"/>
    <n v="500064"/>
    <x v="839"/>
    <n v="6"/>
    <s v="Подразделение6"/>
    <s v="подразделение_2_уровня6"/>
    <s v="-"/>
    <s v="функциональный_руководитель_1"/>
    <n v="6"/>
    <s v="да"/>
    <d v="2020-08-01T00:00:00"/>
    <d v="2021-05-11T00:00:00"/>
    <s v="из резерва (учитываем)"/>
    <n v="815"/>
    <s v="Нырков Тихон Романович"/>
    <n v="815"/>
    <s v="Нырков Тихон Романович"/>
    <s v="линейный_руководитель_2"/>
    <s v="Подразделение6"/>
    <x v="0"/>
    <x v="1"/>
    <n v="1"/>
    <n v="1"/>
    <s v="назначение на целевую должность"/>
    <d v="2021-05-11T00:00:00"/>
    <s v="не рассматривали"/>
    <s v="протокол-№-27.07.2020"/>
  </r>
  <r>
    <s v="Функциональное направление 10"/>
    <n v="3"/>
    <d v="2018-12-24T00:00:00"/>
    <n v="1"/>
    <s v="не защищена"/>
    <n v="500065"/>
    <x v="840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23-02-01T00:00:00"/>
    <m/>
    <m/>
    <s v="вакансия"/>
    <s v="вакансия"/>
    <n v="676"/>
    <s v="Баранкин Емельян Григорьевич"/>
    <s v="линейный_руководитель_2"/>
    <s v="Подразделение6"/>
    <x v="1"/>
    <x v="0"/>
    <n v="1"/>
    <n v="0"/>
    <m/>
    <m/>
    <s v="повышение"/>
    <s v="протокол-№-28.06.2022"/>
  </r>
  <r>
    <s v="Функциональное направление 10"/>
    <n v="3"/>
    <d v="2022-06-28T00:00:00"/>
    <n v="0"/>
    <s v="не защищена"/>
    <n v="500065"/>
    <x v="840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23-02-01T00:00:00"/>
    <m/>
    <m/>
    <s v="вакансия"/>
    <s v="вакансия"/>
    <n v="677"/>
    <s v="Романов Кирилл Денисович"/>
    <s v="линейный_руководитель_2"/>
    <s v="Подразделение6"/>
    <x v="2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65"/>
    <x v="840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23-02-01T00:00:00"/>
    <m/>
    <m/>
    <s v="вакансия"/>
    <s v="вакансия"/>
    <n v="1905"/>
    <s v="Ветров Матвей Геннадьевич"/>
    <s v="Рабочий"/>
    <s v="Подразделение6"/>
    <x v="2"/>
    <x v="2"/>
    <n v="1"/>
    <n v="0"/>
    <s v="прочее (перевод в другое СП / на другое предприятие)"/>
    <d v="2019-10-31T00:00:00"/>
    <s v="не рассматривали"/>
    <s v="протокол-№-31.10.2019"/>
  </r>
  <r>
    <s v="Функциональное направление 10"/>
    <n v="3"/>
    <d v="2020-07-27T00:00:00"/>
    <n v="1"/>
    <s v="не защищена"/>
    <n v="500066"/>
    <x v="841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19-09-20T00:00:00"/>
    <d v="2020-10-01T00:00:00"/>
    <s v="внутр. сотр. (учитываем)"/>
    <n v="816"/>
    <s v="Ефремов Николай Юрьевич"/>
    <n v="1772"/>
    <s v="Дмитриев Роман Семенович"/>
    <s v="Рабочий"/>
    <s v="Подразделение6"/>
    <x v="0"/>
    <x v="0"/>
    <n v="1"/>
    <n v="0"/>
    <m/>
    <m/>
    <s v="повышение"/>
    <s v="протокол-№-28.06.2022"/>
  </r>
  <r>
    <s v="Функциональное направление 10"/>
    <n v="3"/>
    <d v="2022-06-28T00:00:00"/>
    <n v="0"/>
    <s v="не защищена"/>
    <n v="500066"/>
    <x v="841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19-09-20T00:00:00"/>
    <d v="2020-10-01T00:00:00"/>
    <s v="внутр. сотр. (учитываем)"/>
    <n v="816"/>
    <s v="Ефремов Николай Юрьевич"/>
    <n v="681"/>
    <s v="Зверев Степан Романович"/>
    <s v="линейный_руководитель_2"/>
    <s v="Подразделение6"/>
    <x v="2"/>
    <x v="0"/>
    <n v="1"/>
    <n v="0"/>
    <m/>
    <m/>
    <s v="повышение"/>
    <s v="протокол-№-28.06.2022"/>
  </r>
  <r>
    <s v="Функциональное направление 10"/>
    <n v="3"/>
    <d v="2018-12-24T00:00:00"/>
    <n v="0"/>
    <s v="не защищена"/>
    <n v="500066"/>
    <x v="841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19-09-20T00:00:00"/>
    <d v="2020-10-01T00:00:00"/>
    <s v="внутр. сотр. (учитываем)"/>
    <n v="816"/>
    <s v="Ефремов Николай Юрьевич"/>
    <n v="1761"/>
    <s v="Исаев Савелий Михайлович"/>
    <s v="линейный_руководитель_2"/>
    <s v="Подразделение6"/>
    <x v="0"/>
    <x v="2"/>
    <n v="1"/>
    <n v="0"/>
    <s v="увольнение"/>
    <d v="2022-12-13T00:00:00"/>
    <s v="без изменений"/>
    <s v="протокол-№-28.06.2022"/>
  </r>
  <r>
    <s v="Функциональное направление 10"/>
    <n v="3"/>
    <d v="2018-12-24T00:00:00"/>
    <n v="1"/>
    <s v="не защищена"/>
    <n v="500067"/>
    <x v="842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20-03-01T00:00:00"/>
    <d v="2020-03-01T00:00:00"/>
    <s v="из резерва (учитываем)"/>
    <n v="817"/>
    <s v="Волков Валерий Тимофеевич"/>
    <n v="703"/>
    <s v="Конеев Венедикт Владимирович"/>
    <s v="линейный_руководитель_2"/>
    <s v="Подразделение6"/>
    <x v="0"/>
    <x v="0"/>
    <n v="1"/>
    <n v="0"/>
    <m/>
    <m/>
    <s v="без изменений"/>
    <s v="протокол-№-28.06.2022"/>
  </r>
  <r>
    <s v="Функциональное направление 10"/>
    <n v="3"/>
    <d v="2020-07-27T00:00:00"/>
    <n v="0"/>
    <s v="не защищена"/>
    <n v="500067"/>
    <x v="842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20-03-01T00:00:00"/>
    <d v="2020-03-01T00:00:00"/>
    <s v="из резерва (учитываем)"/>
    <n v="817"/>
    <s v="Волков Валерий Тимофеевич"/>
    <n v="813"/>
    <s v="Баранкин Венедикт Александрович"/>
    <s v="линейный_руководитель_2"/>
    <s v="Подразделение6"/>
    <x v="0"/>
    <x v="0"/>
    <n v="1"/>
    <n v="0"/>
    <m/>
    <m/>
    <s v="без изменений"/>
    <s v="протокол-№-28.06.2022"/>
  </r>
  <r>
    <s v="Функциональное направление 10"/>
    <n v="3"/>
    <d v="2022-06-28T00:00:00"/>
    <n v="0"/>
    <s v="не защищена"/>
    <n v="500067"/>
    <x v="842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20-03-01T00:00:00"/>
    <d v="2020-03-01T00:00:00"/>
    <s v="из резерва (учитываем)"/>
    <n v="817"/>
    <s v="Волков Валерий Тимофеевич"/>
    <n v="1799"/>
    <s v="Ветров Матвей Герасимович"/>
    <s v="Специалист"/>
    <s v="Подразделение6"/>
    <x v="0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67"/>
    <x v="842"/>
    <n v="6"/>
    <s v="Подразделение6"/>
    <s v="подразделение_2_уровня6"/>
    <s v="подразделение_3_уровня6"/>
    <s v="руководитель_среднего_уровня_4"/>
    <n v="5"/>
    <s v="да"/>
    <d v="2020-03-01T00:00:00"/>
    <d v="2020-03-01T00:00:00"/>
    <s v="из резерва (учитываем)"/>
    <n v="817"/>
    <s v="Волков Валерий Тимофеевич"/>
    <n v="817"/>
    <s v="Волков Валерий Тимофеевич"/>
    <s v="линейный_руководитель_2"/>
    <s v="Подразделение6"/>
    <x v="0"/>
    <x v="1"/>
    <n v="1"/>
    <n v="1"/>
    <s v="назначение на целевую должность"/>
    <d v="2020-03-01T00:00:00"/>
    <s v="не рассматривали"/>
    <s v="протокол-№-31.10.2019"/>
  </r>
  <r>
    <s v="Функциональное направление 10"/>
    <n v="3"/>
    <d v="2018-12-24T00:00:00"/>
    <n v="1"/>
    <s v="не защищена"/>
    <n v="500068"/>
    <x v="843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18"/>
    <s v="Волков Григорий Романович"/>
    <n v="693"/>
    <s v="Романов Алексей Тимофеевич"/>
    <s v="линейный_руководитель_2"/>
    <s v="Подразделение6"/>
    <x v="0"/>
    <x v="0"/>
    <n v="1"/>
    <n v="0"/>
    <m/>
    <m/>
    <s v="без изменений"/>
    <s v="протокол-№-28.06.2022"/>
  </r>
  <r>
    <s v="Функциональное направление 10"/>
    <n v="3"/>
    <d v="2022-06-28T00:00:00"/>
    <n v="0"/>
    <s v="не защищена"/>
    <n v="500068"/>
    <x v="843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18"/>
    <s v="Волков Григорий Романович"/>
    <n v="691"/>
    <s v="Волков Николай Иванович"/>
    <s v="линейный_руководитель_2"/>
    <s v="Подразделение6"/>
    <x v="2"/>
    <x v="0"/>
    <n v="1"/>
    <n v="0"/>
    <m/>
    <m/>
    <s v="без изменений"/>
    <s v="протокол-№-28.06.2022"/>
  </r>
  <r>
    <s v="Функциональное направление 10"/>
    <n v="3"/>
    <d v="2022-06-28T00:00:00"/>
    <n v="0"/>
    <s v="не защищена"/>
    <n v="500068"/>
    <x v="843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18"/>
    <s v="Волков Григорий Романович"/>
    <n v="1786"/>
    <s v="Кириллов Геннадий Ефремович"/>
    <s v="Рабочий"/>
    <s v="Подразделение6"/>
    <x v="2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68"/>
    <x v="843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18"/>
    <s v="Волков Григорий Романович"/>
    <n v="694"/>
    <s v="Бураков Тихон Григорьевич"/>
    <s v="линейный_руководитель_2"/>
    <s v="Подразделение6"/>
    <x v="0"/>
    <x v="2"/>
    <n v="1"/>
    <n v="0"/>
    <s v="инициатива комитета / руководителя"/>
    <d v="2022-06-28T00:00:00"/>
    <s v="исключение"/>
    <s v="протокол-№-28.06.2022"/>
  </r>
  <r>
    <s v="Функциональное направление 10"/>
    <n v="3"/>
    <d v="2018-12-24T00:00:00"/>
    <n v="1"/>
    <s v="не защищена"/>
    <n v="500069"/>
    <x v="844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19"/>
    <s v="Русланов Константин Денисович"/>
    <n v="695"/>
    <s v="Волков Алексей Иванович"/>
    <s v="линейный_руководитель_2"/>
    <s v="Подразделение6"/>
    <x v="1"/>
    <x v="0"/>
    <n v="1"/>
    <n v="0"/>
    <m/>
    <m/>
    <s v="повышение"/>
    <s v="протокол-№-28.06.2022"/>
  </r>
  <r>
    <s v="Функциональное направление 10"/>
    <n v="3"/>
    <d v="2018-12-24T00:00:00"/>
    <n v="0"/>
    <s v="не защищена"/>
    <n v="500069"/>
    <x v="844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19"/>
    <s v="Русланов Константин Денисович"/>
    <n v="1907"/>
    <s v="Незнамов Савелий Александрович"/>
    <s v="Рабочий"/>
    <s v="Подразделение6"/>
    <x v="0"/>
    <x v="0"/>
    <n v="1"/>
    <n v="0"/>
    <m/>
    <m/>
    <s v="повышение"/>
    <s v="протокол-№-28.06.2022"/>
  </r>
  <r>
    <s v="Функциональное направление 10"/>
    <n v="3"/>
    <d v="2022-06-28T00:00:00"/>
    <n v="0"/>
    <s v="не защищена"/>
    <n v="500069"/>
    <x v="844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19"/>
    <s v="Русланов Константин Денисович"/>
    <n v="699"/>
    <s v="Романов Константин Иванович"/>
    <s v="линейный_руководитель_2"/>
    <s v="Подразделение6"/>
    <x v="2"/>
    <x v="0"/>
    <n v="1"/>
    <n v="0"/>
    <m/>
    <m/>
    <s v="повышение"/>
    <s v="протокол-№-28.06.2022"/>
  </r>
  <r>
    <s v="Функциональное направление 10"/>
    <n v="3"/>
    <d v="2020-07-27T00:00:00"/>
    <n v="1"/>
    <s v="не защищена"/>
    <n v="500070"/>
    <x v="845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20"/>
    <s v="Волков Валерий Денисович"/>
    <n v="1805"/>
    <s v="Тимофеев Виталий Ефремович"/>
    <s v="Рабочий"/>
    <s v="Подразделение6"/>
    <x v="2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70"/>
    <x v="845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20"/>
    <s v="Волков Валерий Денисович"/>
    <n v="1908"/>
    <s v="Тимофеев Матвей Александрович"/>
    <s v="Рабочий"/>
    <s v="Подразделение6"/>
    <x v="0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70"/>
    <x v="845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20"/>
    <s v="Волков Валерий Денисович"/>
    <n v="704"/>
    <s v="Волков Николай Романович"/>
    <s v="линейный_руководитель_2"/>
    <s v="Подразделение6"/>
    <x v="1"/>
    <x v="0"/>
    <n v="1"/>
    <n v="0"/>
    <m/>
    <m/>
    <s v="повышение"/>
    <s v="протокол-№-28.06.2022"/>
  </r>
  <r>
    <s v="Функциональное направление 10"/>
    <n v="3"/>
    <d v="2020-07-27T00:00:00"/>
    <n v="1"/>
    <s v="не защищена"/>
    <n v="500071"/>
    <x v="846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21"/>
    <s v="Пальчиков Николай Егорович"/>
    <n v="1759"/>
    <s v="Ветров Виталий Александрович"/>
    <s v="Рабочий"/>
    <s v="Подразделение6"/>
    <x v="1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71"/>
    <x v="846"/>
    <n v="6"/>
    <s v="Подразделение6"/>
    <s v="подразделение_2_уровня6"/>
    <s v="подразделение_3_уровня6"/>
    <s v="руководитель_среднего_уровня_4"/>
    <n v="5"/>
    <s v="нет"/>
    <m/>
    <m/>
    <m/>
    <n v="821"/>
    <s v="Пальчиков Николай Егорович"/>
    <n v="710"/>
    <s v="Ефремов Степан Денисович"/>
    <s v="линейный_руководитель_2"/>
    <s v="Подразделение6"/>
    <x v="0"/>
    <x v="2"/>
    <n v="1"/>
    <n v="0"/>
    <s v="инициатива комитета / руководителя"/>
    <d v="2020-07-27T00:00:00"/>
    <s v="исключение"/>
    <s v="протокол-№-27.07.2020"/>
  </r>
  <r>
    <s v="Функциональное направление 10"/>
    <n v="3"/>
    <d v="2018-12-24T00:00:00"/>
    <n v="1"/>
    <s v="не защищена"/>
    <n v="500072"/>
    <x v="847"/>
    <n v="7"/>
    <s v="Подразделение7"/>
    <s v="подразделение_2_уровня7"/>
    <s v="подразделение_3_уровня7"/>
    <s v="руководитель_среднего_уровня_4"/>
    <n v="5"/>
    <s v="нет"/>
    <m/>
    <m/>
    <m/>
    <n v="822"/>
    <s v="Бураков Федот Тимофеевич"/>
    <n v="750"/>
    <s v="Пальчиков Николай Григорьевич"/>
    <s v="линейный_руководитель_2"/>
    <s v="Подразделение7"/>
    <x v="1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72"/>
    <x v="847"/>
    <n v="7"/>
    <s v="Подразделение7"/>
    <s v="подразделение_2_уровня7"/>
    <s v="подразделение_3_уровня7"/>
    <s v="руководитель_среднего_уровня_4"/>
    <n v="5"/>
    <s v="нет"/>
    <m/>
    <m/>
    <m/>
    <n v="822"/>
    <s v="Бураков Федот Тимофеевич"/>
    <n v="751"/>
    <s v="Пальчиков Константин Романович"/>
    <s v="линейный_руководитель_2"/>
    <s v="Подразделение7"/>
    <x v="0"/>
    <x v="0"/>
    <n v="1"/>
    <n v="0"/>
    <m/>
    <m/>
    <s v="повышение"/>
    <s v="протокол-№-28.06.2022"/>
  </r>
  <r>
    <s v="Функциональное направление 10"/>
    <n v="3"/>
    <d v="2022-06-28T00:00:00"/>
    <n v="1"/>
    <s v="не защищена"/>
    <n v="500073"/>
    <x v="848"/>
    <n v="7"/>
    <s v="Подразделение7"/>
    <s v="подразделение_2_уровня7"/>
    <s v="подразделение_3_уровня7"/>
    <s v="руководитель_среднего_уровня_4"/>
    <n v="5"/>
    <s v="да"/>
    <d v="2020-11-27T00:00:00"/>
    <d v="2021-09-01T00:00:00"/>
    <s v="из резерва (учитываем)"/>
    <n v="823"/>
    <s v="Волков Венедикт Юрьевич"/>
    <n v="760"/>
    <s v="Поминов Константин Тимофеевич"/>
    <s v="линейный_руководитель_2"/>
    <s v="Подразделение7"/>
    <x v="2"/>
    <x v="0"/>
    <n v="1"/>
    <n v="0"/>
    <m/>
    <m/>
    <s v="без изменений"/>
    <s v="протокол-№-28.06.2022"/>
  </r>
  <r>
    <s v="Функциональное направление 10"/>
    <n v="3"/>
    <d v="2018-12-24T00:00:00"/>
    <n v="0"/>
    <s v="не защищена"/>
    <n v="500073"/>
    <x v="848"/>
    <n v="7"/>
    <s v="Подразделение7"/>
    <s v="подразделение_2_уровня7"/>
    <s v="подразделение_3_уровня7"/>
    <s v="руководитель_среднего_уровня_4"/>
    <n v="5"/>
    <s v="да"/>
    <d v="2020-11-27T00:00:00"/>
    <d v="2021-09-01T00:00:00"/>
    <s v="из резерва (учитываем)"/>
    <n v="823"/>
    <s v="Волков Венедикт Юрьевич"/>
    <n v="823"/>
    <s v="Волков Венедикт Юрьевич"/>
    <s v="линейный_руководитель_3"/>
    <s v="Подразделение7"/>
    <x v="0"/>
    <x v="1"/>
    <n v="1"/>
    <n v="1"/>
    <s v="назначение на целевую должность"/>
    <d v="2021-09-01T00:00:00"/>
    <s v="без изменений"/>
    <s v="протокол-№-27.07.2020"/>
  </r>
  <r>
    <s v="Функциональное направление 10"/>
    <n v="3"/>
    <d v="2018-12-24T00:00:00"/>
    <n v="0"/>
    <s v="не защищена"/>
    <n v="500073"/>
    <x v="848"/>
    <n v="7"/>
    <s v="Подразделение7"/>
    <s v="подразделение_2_уровня7"/>
    <s v="подразделение_3_уровня7"/>
    <s v="руководитель_среднего_уровня_4"/>
    <n v="5"/>
    <s v="да"/>
    <d v="2020-11-27T00:00:00"/>
    <d v="2021-09-01T00:00:00"/>
    <s v="из резерва (учитываем)"/>
    <n v="823"/>
    <s v="Волков Венедикт Юрьевич"/>
    <n v="1909"/>
    <s v="Дмитриев Матвей Александрович"/>
    <s v="линейный_руководитель_2"/>
    <s v="Подразделение7"/>
    <x v="0"/>
    <x v="2"/>
    <n v="1"/>
    <n v="0"/>
    <s v="инициатива комитета / руководителя"/>
    <d v="2020-07-27T00:00:00"/>
    <s v="исключение"/>
    <s v="протокол-№-27.07.2020"/>
  </r>
  <r>
    <s v="Функциональное направление 10"/>
    <n v="3"/>
    <d v="2018-12-24T00:00:00"/>
    <n v="1"/>
    <s v="не защищена"/>
    <n v="500074"/>
    <x v="849"/>
    <n v="7"/>
    <s v="Подразделение7"/>
    <s v="подразделение_2_уровня7"/>
    <s v="подразделение_3_уровня7"/>
    <s v="руководитель_среднего_уровня_4"/>
    <n v="5"/>
    <s v="да"/>
    <d v="2022-10-11T00:00:00"/>
    <d v="2022-10-13T00:00:00"/>
    <s v="внешний найм (не учитываем)"/>
    <n v="824"/>
    <s v="Романов Степан Владиславович"/>
    <n v="1910"/>
    <s v="Незнамов Константин Геннадьевич"/>
    <s v="линейный_руководитель_2"/>
    <s v="Подразделение7"/>
    <x v="1"/>
    <x v="2"/>
    <n v="1"/>
    <n v="0"/>
    <s v="увольнение"/>
    <d v="2022-09-01T00:00:00"/>
    <s v="без изменений"/>
    <s v="протокол-№-28.06.2022"/>
  </r>
  <r>
    <s v="Функциональное направление 10"/>
    <n v="3"/>
    <d v="2018-12-24T00:00:00"/>
    <n v="1"/>
    <s v="не защищена"/>
    <n v="500075"/>
    <x v="850"/>
    <n v="7"/>
    <s v="Подразделение7"/>
    <s v="подразделение_2_уровня7"/>
    <s v="подразделение_3_уровня7"/>
    <s v="руководитель_среднего_уровня_4"/>
    <n v="5"/>
    <s v="нет"/>
    <m/>
    <m/>
    <m/>
    <n v="825"/>
    <s v="Романов Федот Тимофеевич"/>
    <n v="773"/>
    <s v="Цветков Федот Тимофеевич"/>
    <s v="линейный_руководитель_2"/>
    <s v="Подразделение7"/>
    <x v="0"/>
    <x v="0"/>
    <n v="1"/>
    <n v="0"/>
    <m/>
    <m/>
    <s v="повышение"/>
    <s v="протокол-№-28.06.2022"/>
  </r>
  <r>
    <s v="Функциональное направление 10"/>
    <n v="3"/>
    <d v="2020-07-27T00:00:00"/>
    <n v="0"/>
    <s v="не защищена"/>
    <n v="500075"/>
    <x v="850"/>
    <n v="7"/>
    <s v="Подразделение7"/>
    <s v="подразделение_2_уровня7"/>
    <s v="подразделение_3_уровня7"/>
    <s v="руководитель_среднего_уровня_4"/>
    <n v="5"/>
    <s v="нет"/>
    <m/>
    <m/>
    <m/>
    <n v="825"/>
    <s v="Романов Федот Тимофеевич"/>
    <n v="768"/>
    <s v="Бураков Кирилл Григорьевич"/>
    <s v="линейный_руководитель_2"/>
    <s v="Подразделение7"/>
    <x v="1"/>
    <x v="0"/>
    <n v="1"/>
    <n v="0"/>
    <m/>
    <m/>
    <s v="повышение"/>
    <s v="протокол-№-28.06.2022"/>
  </r>
  <r>
    <s v="Функциональное направление 10"/>
    <n v="3"/>
    <d v="2018-12-24T00:00:00"/>
    <n v="0"/>
    <s v="не защищена"/>
    <n v="500075"/>
    <x v="850"/>
    <n v="7"/>
    <s v="Подразделение7"/>
    <s v="подразделение_2_уровня7"/>
    <s v="подразделение_3_уровня7"/>
    <s v="руководитель_среднего_уровня_4"/>
    <n v="5"/>
    <s v="нет"/>
    <m/>
    <m/>
    <m/>
    <n v="825"/>
    <s v="Романов Федот Тимофеевич"/>
    <n v="1297"/>
    <s v="Потапов Савелий Александрович"/>
    <s v="функциональный_руководитель_1"/>
    <s v="Подразделение_др6"/>
    <x v="0"/>
    <x v="2"/>
    <n v="1"/>
    <n v="0"/>
    <s v="прочее (перевод в другое СП / на другое предприятие)"/>
    <d v="2019-04-15T00:00:00"/>
    <s v="не рассматривали"/>
    <s v="протокол-№-31.10.2019"/>
  </r>
  <r>
    <s v="Функциональное направление 10"/>
    <n v="3"/>
    <d v="2018-12-24T00:00:00"/>
    <n v="1"/>
    <s v="не защищена"/>
    <n v="500076"/>
    <x v="851"/>
    <n v="7"/>
    <s v="Подразделение7"/>
    <s v="подразделение_2_уровня7"/>
    <s v="подразделение_3_уровня7"/>
    <s v="руководитель_среднего_уровня_4"/>
    <n v="5"/>
    <s v="нет"/>
    <m/>
    <m/>
    <m/>
    <n v="826"/>
    <s v="Бураков Алексей Иванович"/>
    <n v="1911"/>
    <s v="Ветров Геннадий Александрович"/>
    <s v="линейный_руководитель_2"/>
    <s v="Подразделение7"/>
    <x v="1"/>
    <x v="0"/>
    <n v="1"/>
    <n v="0"/>
    <m/>
    <m/>
    <s v="повышение"/>
    <s v="протокол-№-28.06.2022"/>
  </r>
  <r>
    <s v="Функциональное направление 10"/>
    <n v="3"/>
    <d v="2018-12-24T00:00:00"/>
    <n v="1"/>
    <s v="не защищена"/>
    <n v="500077"/>
    <x v="852"/>
    <n v="7"/>
    <s v="Подразделение7"/>
    <s v="подразделение_2_уровня7"/>
    <s v="-"/>
    <s v="руководитель_среднего_уровня_4"/>
    <n v="5"/>
    <s v="нет"/>
    <m/>
    <m/>
    <m/>
    <n v="827"/>
    <s v="Романов Алексей Григорьевич"/>
    <n v="790"/>
    <s v="Русланов Тихон Романович"/>
    <s v="линейный_руководитель_2"/>
    <s v="Подразделение7"/>
    <x v="1"/>
    <x v="0"/>
    <n v="1"/>
    <n v="0"/>
    <m/>
    <m/>
    <s v="без изменений"/>
    <s v="протокол-№-28.06.2022"/>
  </r>
  <r>
    <s v="Функциональное направление 10"/>
    <n v="3"/>
    <d v="2019-10-31T00:00:00"/>
    <n v="0"/>
    <s v="не защищена"/>
    <n v="500077"/>
    <x v="852"/>
    <n v="7"/>
    <s v="Подразделение7"/>
    <s v="подразделение_2_уровня7"/>
    <s v="-"/>
    <s v="руководитель_среднего_уровня_4"/>
    <n v="5"/>
    <s v="нет"/>
    <m/>
    <m/>
    <m/>
    <n v="827"/>
    <s v="Романов Алексей Григорьевич"/>
    <n v="793"/>
    <s v="Бураков Кирилл Кириллович"/>
    <s v="линейный_руководитель_2"/>
    <s v="Подразделение7"/>
    <x v="1"/>
    <x v="0"/>
    <n v="1"/>
    <n v="0"/>
    <m/>
    <m/>
    <s v="без изменений"/>
    <s v="протокол-№-28.06.2022"/>
  </r>
  <r>
    <s v="Функциональное направление 10"/>
    <n v="2"/>
    <d v="2019-04-02T00:00:00"/>
    <n v="1"/>
    <s v="не защищена"/>
    <n v="500549"/>
    <x v="853"/>
    <n v="217"/>
    <s v="Подразделение217"/>
    <s v="подразделение_2_уровня217"/>
    <s v="-"/>
    <s v="ТОП_руководитель_1"/>
    <n v="3"/>
    <s v="да"/>
    <d v="2019-11-05T00:00:00"/>
    <d v="2019-11-05T00:00:00"/>
    <s v="из резерва (учитываем)"/>
    <n v="828"/>
    <s v="Пальчиков Федот Егорович"/>
    <n v="672"/>
    <s v="Волков Кирилл Денисович"/>
    <s v="ТОП_руководитель_2"/>
    <s v="Подразделение7"/>
    <x v="0"/>
    <x v="0"/>
    <n v="1"/>
    <n v="0"/>
    <m/>
    <m/>
    <s v="без изменений"/>
    <s v="протокол-№-21.12.2022"/>
  </r>
  <r>
    <s v="Функциональное направление 10"/>
    <n v="2"/>
    <d v="2020-06-10T00:00:00"/>
    <n v="0"/>
    <s v="не защищена"/>
    <n v="500549"/>
    <x v="853"/>
    <n v="217"/>
    <s v="Подразделение217"/>
    <s v="подразделение_2_уровня217"/>
    <s v="-"/>
    <s v="ТОП_руководитель_1"/>
    <n v="3"/>
    <s v="да"/>
    <d v="2019-11-05T00:00:00"/>
    <d v="2019-11-05T00:00:00"/>
    <s v="из резерва (учитываем)"/>
    <n v="828"/>
    <s v="Пальчиков Федот Егорович"/>
    <n v="1763"/>
    <s v="Ветров Юрий Александрович"/>
    <s v="ТОП_руководитель_3"/>
    <s v="Подразделение217"/>
    <x v="0"/>
    <x v="0"/>
    <n v="1"/>
    <n v="0"/>
    <m/>
    <m/>
    <s v="без изменений"/>
    <s v="протокол-№-21.12.2022"/>
  </r>
  <r>
    <s v="Функциональное направление 10"/>
    <n v="2"/>
    <d v="2020-06-10T00:00:00"/>
    <n v="0"/>
    <s v="не защищена"/>
    <n v="500549"/>
    <x v="853"/>
    <n v="217"/>
    <s v="Подразделение217"/>
    <s v="подразделение_2_уровня217"/>
    <s v="-"/>
    <s v="ТОП_руководитель_1"/>
    <n v="3"/>
    <s v="да"/>
    <d v="2019-11-05T00:00:00"/>
    <d v="2019-11-05T00:00:00"/>
    <s v="из резерва (учитываем)"/>
    <n v="828"/>
    <s v="Пальчиков Федот Егорович"/>
    <n v="652"/>
    <s v="Русланов Тихон Владимирович"/>
    <s v="ТОП_руководитель_2"/>
    <s v="Подразделение6"/>
    <x v="0"/>
    <x v="0"/>
    <n v="1"/>
    <n v="0"/>
    <m/>
    <m/>
    <s v="без изменений"/>
    <s v="протокол-№-21.12.2022"/>
  </r>
  <r>
    <s v="Функциональное направление 10"/>
    <n v="2"/>
    <d v="2017-12-11T00:00:00"/>
    <n v="0"/>
    <s v="не защищена"/>
    <n v="500549"/>
    <x v="853"/>
    <n v="217"/>
    <s v="Подразделение217"/>
    <s v="подразделение_2_уровня217"/>
    <s v="-"/>
    <s v="ТОП_руководитель_1"/>
    <n v="3"/>
    <s v="да"/>
    <d v="2019-11-05T00:00:00"/>
    <d v="2019-11-05T00:00:00"/>
    <s v="из резерва (учитываем)"/>
    <n v="828"/>
    <s v="Пальчиков Федот Егорович"/>
    <n v="828"/>
    <s v="Пальчиков Федот Егорович"/>
    <s v="ТОП_руководитель_2"/>
    <s v="Подразделение217"/>
    <x v="1"/>
    <x v="1"/>
    <n v="1"/>
    <n v="1"/>
    <s v="назначение на целевую должность"/>
    <d v="2019-11-05T00:00:00"/>
    <s v="без изменений"/>
    <s v="протокол-№-02.04.2019"/>
  </r>
  <r>
    <s v="Функциональное направление 10"/>
    <n v="3"/>
    <d v="2022-06-28T00:00:00"/>
    <n v="1"/>
    <s v="не защищена"/>
    <n v="500624"/>
    <x v="854"/>
    <n v="217"/>
    <s v="Подразделение217"/>
    <s v="подразделение_2_уровня217"/>
    <s v="-"/>
    <s v="функциональный_руководитель_2"/>
    <n v="6"/>
    <s v="нет"/>
    <m/>
    <m/>
    <m/>
    <n v="829"/>
    <s v="Ефремов Константин Иванович"/>
    <n v="1915"/>
    <s v="Ветров Матвей Геннадьевич"/>
    <s v="функциональный_руководитель_1"/>
    <s v="Подразделение217"/>
    <x v="2"/>
    <x v="0"/>
    <n v="1"/>
    <n v="0"/>
    <m/>
    <m/>
    <s v="не рассматривали"/>
    <s v="протокол-№-28.06.2022"/>
  </r>
  <r>
    <s v="Функциональное направление 11"/>
    <n v="3"/>
    <d v="2018-11-16T00:00:00"/>
    <n v="1"/>
    <s v="не защищена"/>
    <n v="500146"/>
    <x v="855"/>
    <n v="72"/>
    <s v="Подразделение72"/>
    <s v="-"/>
    <s v="-"/>
    <s v="линейный_руководитель_4"/>
    <n v="5"/>
    <s v="нет"/>
    <m/>
    <m/>
    <m/>
    <n v="830"/>
    <s v="Пальчиков Федот Денисович"/>
    <n v="1916"/>
    <s v="Ветров Глеб Богданович"/>
    <s v="функциональный_руководитель_1"/>
    <s v="Подразделение72"/>
    <x v="1"/>
    <x v="0"/>
    <n v="1"/>
    <n v="0"/>
    <m/>
    <m/>
    <s v="без изменений"/>
    <s v="протокол-№-03.06.2022"/>
  </r>
  <r>
    <s v="Функциональное направление 11"/>
    <n v="3"/>
    <d v="2018-11-16T00:00:00"/>
    <n v="0"/>
    <s v="не защищена"/>
    <n v="500146"/>
    <x v="855"/>
    <n v="72"/>
    <s v="Подразделение72"/>
    <s v="-"/>
    <s v="-"/>
    <s v="линейный_руководитель_4"/>
    <n v="5"/>
    <s v="нет"/>
    <m/>
    <m/>
    <m/>
    <n v="830"/>
    <s v="Пальчиков Федот Денисович"/>
    <n v="1917"/>
    <s v="Тимофеев Савелий Александрович"/>
    <s v="линейный_руководитель_4"/>
    <s v="Подразделение72"/>
    <x v="0"/>
    <x v="0"/>
    <n v="1"/>
    <n v="0"/>
    <m/>
    <m/>
    <s v="без изменений"/>
    <s v="протокол-№-03.06.2022"/>
  </r>
  <r>
    <s v="Функциональное направление 11"/>
    <n v="3"/>
    <d v="2021-06-09T00:00:00"/>
    <n v="0"/>
    <s v="не защищена"/>
    <n v="500146"/>
    <x v="855"/>
    <n v="72"/>
    <s v="Подразделение72"/>
    <s v="-"/>
    <s v="-"/>
    <s v="линейный_руководитель_4"/>
    <n v="5"/>
    <s v="нет"/>
    <m/>
    <m/>
    <m/>
    <n v="830"/>
    <s v="Пальчиков Федот Денисович"/>
    <n v="1918"/>
    <s v="Тимофеев Константин Семенович"/>
    <s v="линейный_руководитель_4"/>
    <s v="Подразделение72"/>
    <x v="2"/>
    <x v="0"/>
    <n v="1"/>
    <n v="0"/>
    <m/>
    <m/>
    <s v="без изменений"/>
    <s v="протокол-№-03.06.2022"/>
  </r>
  <r>
    <s v="Функциональное направление 11"/>
    <n v="3"/>
    <d v="2021-06-09T00:00:00"/>
    <n v="0"/>
    <s v="не защищена"/>
    <n v="500146"/>
    <x v="855"/>
    <n v="72"/>
    <s v="Подразделение72"/>
    <s v="-"/>
    <s v="-"/>
    <s v="линейный_руководитель_4"/>
    <n v="5"/>
    <s v="нет"/>
    <m/>
    <m/>
    <m/>
    <n v="830"/>
    <s v="Пальчиков Федот Денисович"/>
    <n v="1919"/>
    <s v="Степанов Константин Ефремович"/>
    <s v="линейный_руководитель_4"/>
    <s v="Подразделение72"/>
    <x v="2"/>
    <x v="0"/>
    <n v="1"/>
    <n v="0"/>
    <m/>
    <m/>
    <s v="без изменений"/>
    <s v="протокол-№-03.06.2022"/>
  </r>
  <r>
    <s v="Функциональное направление 11"/>
    <n v="3"/>
    <d v="2018-11-16T00:00:00"/>
    <n v="1"/>
    <s v="не защищена"/>
    <n v="500086"/>
    <x v="856"/>
    <n v="252"/>
    <s v="Подразделение252"/>
    <s v="-"/>
    <s v="-"/>
    <s v="ТОП_руководитель_2"/>
    <n v="5"/>
    <s v="да"/>
    <d v="2021-01-18T00:00:00"/>
    <d v="2021-01-18T00:00:00"/>
    <s v="из резерва (учитываем)"/>
    <n v="831"/>
    <s v="Волков Григорий Денисович"/>
    <n v="1920"/>
    <s v="Незнамов Матвей Семенович"/>
    <s v="линейный_руководитель_3"/>
    <s v="Подразделение252"/>
    <x v="0"/>
    <x v="0"/>
    <n v="1"/>
    <n v="0"/>
    <m/>
    <m/>
    <s v="без изменений"/>
    <s v="протокол-№-03.06.2022"/>
  </r>
  <r>
    <s v="Функциональное направление 11"/>
    <n v="3"/>
    <d v="2021-06-09T00:00:00"/>
    <n v="0"/>
    <s v="не защищена"/>
    <n v="500086"/>
    <x v="856"/>
    <n v="252"/>
    <s v="Подразделение252"/>
    <s v="-"/>
    <s v="-"/>
    <s v="ТОП_руководитель_2"/>
    <n v="5"/>
    <s v="да"/>
    <d v="2021-01-18T00:00:00"/>
    <d v="2021-01-18T00:00:00"/>
    <s v="из резерва (учитываем)"/>
    <n v="831"/>
    <s v="Волков Григорий Денисович"/>
    <n v="1921"/>
    <s v="Незнамов Юрий Семенович"/>
    <s v="линейный_руководитель_4"/>
    <s v="Подразделение252"/>
    <x v="2"/>
    <x v="0"/>
    <n v="1"/>
    <n v="0"/>
    <m/>
    <m/>
    <s v="без изменений"/>
    <s v="протокол-№-03.06.2022"/>
  </r>
  <r>
    <s v="Функциональное направление 11"/>
    <n v="3"/>
    <d v="2018-11-16T00:00:00"/>
    <n v="0"/>
    <s v="не защищена"/>
    <n v="500086"/>
    <x v="856"/>
    <n v="252"/>
    <s v="Подразделение252"/>
    <s v="-"/>
    <s v="-"/>
    <s v="ТОП_руководитель_2"/>
    <n v="5"/>
    <s v="да"/>
    <d v="2021-01-18T00:00:00"/>
    <d v="2021-01-18T00:00:00"/>
    <s v="из резерва (учитываем)"/>
    <n v="831"/>
    <s v="Волков Григорий Денисович"/>
    <n v="831"/>
    <s v="Волков Григорий Денисович"/>
    <s v="линейный_руководитель_3"/>
    <s v="Подразделение252"/>
    <x v="1"/>
    <x v="1"/>
    <n v="1"/>
    <n v="1"/>
    <s v="назначение на целевую должность"/>
    <d v="2021-01-18T00:00:00"/>
    <s v="повышение"/>
    <s v="протокол-№-25.06.2020"/>
  </r>
  <r>
    <s v="Функциональное направление 11"/>
    <n v="2"/>
    <d v="2019-04-02T00:00:00"/>
    <n v="1"/>
    <s v="не защищена"/>
    <n v="500550"/>
    <x v="857"/>
    <n v="317"/>
    <s v="Подразделение317"/>
    <s v="-"/>
    <s v="-"/>
    <s v="ТОП_руководитель_1"/>
    <n v="3"/>
    <s v="да"/>
    <d v="2022-09-06T00:00:00"/>
    <d v="2022-09-06T00:00:00"/>
    <s v="внешний найм (учитываем)"/>
    <n v="832"/>
    <s v="Цветков Кирилл Владиславович"/>
    <n v="833"/>
    <s v="Пальчиков Алексей Кириллович"/>
    <s v="ТОП_руководитель_3"/>
    <s v="Подразделение399"/>
    <x v="0"/>
    <x v="0"/>
    <n v="1"/>
    <n v="0"/>
    <m/>
    <m/>
    <s v="понижение"/>
    <s v="протокол-№-24.05.2021"/>
  </r>
  <r>
    <s v="Функциональное направление 11"/>
    <n v="2"/>
    <d v="2019-04-02T00:00:00"/>
    <n v="0"/>
    <s v="не защищена"/>
    <n v="500550"/>
    <x v="857"/>
    <n v="317"/>
    <s v="Подразделение317"/>
    <s v="-"/>
    <s v="-"/>
    <s v="ТОП_руководитель_1"/>
    <n v="3"/>
    <s v="да"/>
    <d v="2022-09-06T00:00:00"/>
    <d v="2022-09-06T00:00:00"/>
    <s v="внешний найм (учитываем)"/>
    <n v="832"/>
    <s v="Цветков Кирилл Владиславович"/>
    <n v="1922"/>
    <s v="Незнамов Савелий Семенович"/>
    <s v="ТОП_руководитель_1"/>
    <s v="Подразделение_др9"/>
    <x v="1"/>
    <x v="2"/>
    <n v="1"/>
    <n v="0"/>
    <s v="назначение на равнозначную должность"/>
    <d v="2022-08-01T00:00:00"/>
    <s v="исключение"/>
    <s v="протокол-№-01.08.2022"/>
  </r>
  <r>
    <s v="Функциональное направление 11"/>
    <n v="2"/>
    <d v="2020-06-10T00:00:00"/>
    <n v="0"/>
    <s v="не защищена"/>
    <n v="500550"/>
    <x v="857"/>
    <n v="317"/>
    <s v="Подразделение317"/>
    <s v="-"/>
    <s v="-"/>
    <s v="ТОП_руководитель_1"/>
    <n v="3"/>
    <s v="да"/>
    <d v="2022-09-06T00:00:00"/>
    <d v="2022-09-06T00:00:00"/>
    <s v="внешний найм (учитываем)"/>
    <n v="832"/>
    <s v="Цветков Кирилл Владиславович"/>
    <n v="1923"/>
    <s v="Степанов Геннадий Александрович"/>
    <s v="руководитель_среднего_уровня_1"/>
    <s v="Подразделение_др9"/>
    <x v="2"/>
    <x v="2"/>
    <n v="1"/>
    <n v="0"/>
    <s v="инициатива комитета / руководителя"/>
    <d v="2022-08-01T00:00:00"/>
    <s v="исключение"/>
    <s v="протокол-№-01.08.2022"/>
  </r>
  <r>
    <s v="Функциональное направление 11"/>
    <n v="3"/>
    <d v="2018-11-16T00:00:00"/>
    <n v="1"/>
    <s v="не защищена"/>
    <n v="500625"/>
    <x v="858"/>
    <n v="399"/>
    <s v="Подразделение399"/>
    <s v="-"/>
    <s v="-"/>
    <s v="ТОП_руководитель_3"/>
    <n v="5"/>
    <s v="да"/>
    <d v="2021-12-01T00:00:00"/>
    <d v="2022-10-10T00:00:00"/>
    <s v="внутр. сотр. (не учитываем)"/>
    <n v="833"/>
    <s v="Пальчиков Алексей Кириллович"/>
    <n v="1924"/>
    <s v="Брежнев Виталий Михайлович"/>
    <s v="линейный_руководитель_3"/>
    <s v="Подразделение399"/>
    <x v="1"/>
    <x v="0"/>
    <n v="1"/>
    <n v="0"/>
    <m/>
    <m/>
    <s v="без изменений"/>
    <s v="протокол-№-03.06.2022"/>
  </r>
  <r>
    <s v="Функциональное направление 11"/>
    <n v="3"/>
    <d v="2022-06-03T00:00:00"/>
    <n v="0"/>
    <s v="не защищена"/>
    <n v="500625"/>
    <x v="858"/>
    <n v="399"/>
    <s v="Подразделение399"/>
    <s v="-"/>
    <s v="-"/>
    <s v="ТОП_руководитель_3"/>
    <n v="5"/>
    <s v="да"/>
    <d v="2021-12-01T00:00:00"/>
    <d v="2022-10-10T00:00:00"/>
    <s v="внутр. сотр. (не учитываем)"/>
    <n v="833"/>
    <s v="Пальчиков Алексей Кириллович"/>
    <n v="1925"/>
    <s v="Игнатьев Матвей Семенович"/>
    <s v="линейный_руководитель_3"/>
    <s v="Подразделение399"/>
    <x v="0"/>
    <x v="0"/>
    <n v="1"/>
    <n v="0"/>
    <m/>
    <m/>
    <s v="не рассматривали"/>
    <s v="протокол-№-03.06.2022"/>
  </r>
  <r>
    <s v="Функциональное направление 11"/>
    <n v="3"/>
    <d v="2022-06-03T00:00:00"/>
    <n v="0"/>
    <s v="не защищена"/>
    <n v="500625"/>
    <x v="858"/>
    <n v="399"/>
    <s v="Подразделение399"/>
    <s v="-"/>
    <s v="-"/>
    <s v="ТОП_руководитель_3"/>
    <n v="5"/>
    <s v="да"/>
    <d v="2021-12-01T00:00:00"/>
    <d v="2022-10-10T00:00:00"/>
    <s v="внутр. сотр. (не учитываем)"/>
    <n v="833"/>
    <s v="Пальчиков Алексей Кириллович"/>
    <n v="1926"/>
    <s v="Степанов Савелий Михайлович"/>
    <s v="линейный_руководитель_3"/>
    <s v="Подразделение399"/>
    <x v="2"/>
    <x v="0"/>
    <n v="1"/>
    <n v="0"/>
    <m/>
    <m/>
    <s v="не рассматривали"/>
    <s v="протокол-№-03.06.2022"/>
  </r>
  <r>
    <s v="Функциональное направление 11"/>
    <n v="3"/>
    <d v="2022-06-03T00:00:00"/>
    <n v="1"/>
    <s v="не защищена"/>
    <n v="500627"/>
    <x v="859"/>
    <n v="253"/>
    <s v="Подразделение253"/>
    <s v="-"/>
    <s v="-"/>
    <s v="ТОП_руководитель_3"/>
    <n v="5"/>
    <s v="нет"/>
    <m/>
    <m/>
    <m/>
    <n v="834"/>
    <s v="Романов Федот Романович"/>
    <n v="1927"/>
    <s v="Кириллов Савелий Богданович"/>
    <s v="линейный_руководитель_3"/>
    <s v="Подразделение253"/>
    <x v="1"/>
    <x v="0"/>
    <n v="1"/>
    <n v="0"/>
    <m/>
    <m/>
    <s v="не рассматривали"/>
    <s v="протокол-№-03.06.2022"/>
  </r>
  <r>
    <s v="Функциональное направление 11"/>
    <n v="3"/>
    <d v="2022-06-03T00:00:00"/>
    <n v="0"/>
    <s v="не защищена"/>
    <n v="500627"/>
    <x v="859"/>
    <n v="253"/>
    <s v="Подразделение253"/>
    <s v="-"/>
    <s v="-"/>
    <s v="ТОП_руководитель_3"/>
    <n v="5"/>
    <s v="нет"/>
    <m/>
    <m/>
    <m/>
    <n v="834"/>
    <s v="Романов Федот Романович"/>
    <n v="1928"/>
    <s v="Кириллов Савелий Ефремович"/>
    <s v="руководитель_среднего_уровня_4"/>
    <s v="Подразделение253"/>
    <x v="0"/>
    <x v="0"/>
    <n v="1"/>
    <n v="0"/>
    <m/>
    <m/>
    <s v="не рассматривали"/>
    <s v="протокол-№-03.06.2022"/>
  </r>
  <r>
    <s v="Функциональное направление 11"/>
    <n v="3"/>
    <d v="2018-11-16T00:00:00"/>
    <n v="1"/>
    <s v="не защищена"/>
    <n v="500632"/>
    <x v="860"/>
    <n v="417"/>
    <s v="Подразделение417"/>
    <s v="-"/>
    <s v="-"/>
    <s v="ТОП_руководитель_3"/>
    <n v="5"/>
    <s v="да"/>
    <d v="2022-10-10T00:00:00"/>
    <m/>
    <m/>
    <s v="вакансия"/>
    <s v="вакансия"/>
    <n v="1929"/>
    <s v="Ветров Юрий Ефремович"/>
    <s v="линейный_руководитель_3"/>
    <s v="Подразделение_др21"/>
    <x v="1"/>
    <x v="0"/>
    <n v="1"/>
    <n v="0"/>
    <m/>
    <m/>
    <s v="без изменений"/>
    <s v="протокол-№-03.06.2022"/>
  </r>
  <r>
    <s v="Функциональное направление 11"/>
    <n v="3"/>
    <d v="2018-11-16T00:00:00"/>
    <n v="0"/>
    <s v="не защищена"/>
    <n v="500632"/>
    <x v="860"/>
    <n v="417"/>
    <s v="Подразделение417"/>
    <s v="-"/>
    <s v="-"/>
    <s v="ТОП_руководитель_3"/>
    <n v="5"/>
    <s v="да"/>
    <d v="2022-10-10T00:00:00"/>
    <m/>
    <m/>
    <s v="вакансия"/>
    <s v="вакансия"/>
    <n v="1930"/>
    <s v="Ветров Матвей Александрович"/>
    <s v="функциональный_руководитель_1"/>
    <s v="Подразделение_др21"/>
    <x v="1"/>
    <x v="0"/>
    <n v="1"/>
    <n v="0"/>
    <m/>
    <m/>
    <s v="без изменений"/>
    <s v="протокол-№-03.06.2022"/>
  </r>
  <r>
    <s v="Функциональное направление 11"/>
    <n v="3"/>
    <d v="2021-06-09T00:00:00"/>
    <n v="0"/>
    <s v="не защищена"/>
    <n v="500632"/>
    <x v="860"/>
    <n v="417"/>
    <s v="Подразделение417"/>
    <s v="-"/>
    <s v="-"/>
    <s v="ТОП_руководитель_3"/>
    <n v="5"/>
    <s v="да"/>
    <d v="2022-10-10T00:00:00"/>
    <m/>
    <m/>
    <s v="вакансия"/>
    <s v="вакансия"/>
    <n v="1931"/>
    <s v="Кириллов Матвей Михайлович"/>
    <s v="линейный_руководитель_3"/>
    <s v="Подразделение_др21"/>
    <x v="2"/>
    <x v="0"/>
    <n v="1"/>
    <n v="0"/>
    <m/>
    <m/>
    <s v="без изменений"/>
    <s v="протокол-№-03.06.2022"/>
  </r>
  <r>
    <s v="Функциональное направление 11"/>
    <n v="3"/>
    <d v="2021-06-09T00:00:00"/>
    <n v="0"/>
    <s v="не защищена"/>
    <n v="500632"/>
    <x v="860"/>
    <n v="417"/>
    <s v="Подразделение417"/>
    <s v="-"/>
    <s v="-"/>
    <s v="ТОП_руководитель_3"/>
    <n v="5"/>
    <s v="да"/>
    <d v="2022-10-10T00:00:00"/>
    <m/>
    <m/>
    <s v="вакансия"/>
    <s v="вакансия"/>
    <n v="1926"/>
    <s v="Степанов Савелий Михайлович"/>
    <s v="линейный_руководитель_3"/>
    <s v="Подразделение399"/>
    <x v="2"/>
    <x v="2"/>
    <n v="1"/>
    <n v="0"/>
    <s v="инициатива комитета / руководителя"/>
    <d v="2022-06-03T00:00:00"/>
    <s v="исключение"/>
    <s v="протокол-№-03.06.2022"/>
  </r>
  <r>
    <s v="Функциональное направление 12"/>
    <n v="3"/>
    <d v="2020-12-08T00:00:00"/>
    <n v="1"/>
    <s v="не защищена"/>
    <n v="500008"/>
    <x v="861"/>
    <n v="60"/>
    <s v="Подразделение60"/>
    <s v="подразделение_2_уровня60"/>
    <s v="-"/>
    <s v="ТОП_руководитель_3"/>
    <n v="4"/>
    <s v="нет"/>
    <m/>
    <m/>
    <m/>
    <n v="835"/>
    <s v="Вобликов Степан Иванович"/>
    <n v="842"/>
    <s v="Романов Николай Иванович"/>
    <s v="ТОП_руководитель_2"/>
    <s v="Подразделение60"/>
    <x v="0"/>
    <x v="0"/>
    <n v="1"/>
    <n v="0"/>
    <m/>
    <m/>
    <s v="не рассматривали"/>
    <s v="протокол-№-08.12.2020"/>
  </r>
  <r>
    <s v="Функциональное направление 12"/>
    <n v="3"/>
    <d v="2020-12-08T00:00:00"/>
    <n v="0"/>
    <s v="не защищена"/>
    <n v="500008"/>
    <x v="861"/>
    <n v="60"/>
    <s v="Подразделение60"/>
    <s v="подразделение_2_уровня60"/>
    <s v="-"/>
    <s v="ТОП_руководитель_3"/>
    <n v="4"/>
    <s v="нет"/>
    <m/>
    <m/>
    <m/>
    <n v="835"/>
    <s v="Вобликов Степан Иванович"/>
    <n v="850"/>
    <s v="Русланов Кирилл Владимирович"/>
    <s v="линейный_руководитель_3"/>
    <s v="Подразделение60"/>
    <x v="2"/>
    <x v="0"/>
    <n v="1"/>
    <n v="0"/>
    <m/>
    <m/>
    <s v="не рассматривали"/>
    <s v="протокол-№-08.12.2020"/>
  </r>
  <r>
    <s v="Функциональное направление 12"/>
    <n v="3"/>
    <d v="2022-12-23T00:00:00"/>
    <n v="1"/>
    <s v="не защищена"/>
    <n v="500292"/>
    <x v="862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6"/>
    <s v="Бураков Алексей Александрович"/>
    <n v="1932"/>
    <s v="Степанов Савелий Ефремович"/>
    <s v="Специалист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92"/>
    <x v="862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6"/>
    <s v="Бураков Алексей Александрович"/>
    <n v="1933"/>
    <s v="Ветров Савелий Семен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293"/>
    <x v="863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7"/>
    <s v="Волков Константин Иванович"/>
    <n v="1934"/>
    <s v="Брежнев Савелий Богданович"/>
    <s v="линейный_руководитель_2"/>
    <s v="Подразделение60"/>
    <x v="1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93"/>
    <x v="863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7"/>
    <s v="Волков Константин Иванович"/>
    <n v="1935"/>
    <s v="Брежнев Савелий Александр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93"/>
    <x v="863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7"/>
    <s v="Волков Константин Иванович"/>
    <n v="1936"/>
    <s v="Тимофеев Савелий Михайл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294"/>
    <x v="864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8"/>
    <s v="Баранкин Кирилл Егорович"/>
    <n v="1937"/>
    <s v="Ветров Юрий Семенович"/>
    <s v="линейный_руководитель_2"/>
    <s v="Подразделение60"/>
    <x v="1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94"/>
    <x v="864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8"/>
    <s v="Баранкин Кирилл Егорович"/>
    <n v="1938"/>
    <s v="Ветров Савелий Ефрем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295"/>
    <x v="865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9"/>
    <s v="Пальчиков Константин Григорьевич"/>
    <n v="1939"/>
    <s v="Брежнев Виталий Герасимович"/>
    <s v="линейный_руководитель_2"/>
    <s v="Подразделение60"/>
    <x v="1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95"/>
    <x v="865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9"/>
    <s v="Пальчиков Константин Григорьевич"/>
    <n v="1940"/>
    <s v="Степанов Савелий Александрович"/>
    <s v="линейный_руководитель_2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95"/>
    <x v="865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39"/>
    <s v="Пальчиков Константин Григорьевич"/>
    <n v="1941"/>
    <s v="Дмитриев Савелий Богдан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220"/>
    <x v="866"/>
    <n v="60"/>
    <s v="Подразделение60"/>
    <s v="подразделение_2_уровня60"/>
    <s v="-"/>
    <s v="функциональный_руководитель_1"/>
    <n v="6"/>
    <s v="нет"/>
    <m/>
    <m/>
    <m/>
    <n v="840"/>
    <s v="Цветков Тихон Егорович"/>
    <n v="1942"/>
    <s v="Ветров Матвей Михайлович"/>
    <s v="функциональный_руководитель_1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20"/>
    <x v="866"/>
    <n v="60"/>
    <s v="Подразделение60"/>
    <s v="подразделение_2_уровня60"/>
    <s v="-"/>
    <s v="функциональный_руководитель_1"/>
    <n v="6"/>
    <s v="нет"/>
    <m/>
    <m/>
    <m/>
    <n v="840"/>
    <s v="Цветков Тихон Егорович"/>
    <n v="849"/>
    <s v="Русланов Федот Тимофеевич"/>
    <s v="линейный_руководитель_3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20"/>
    <x v="866"/>
    <n v="60"/>
    <s v="Подразделение60"/>
    <s v="подразделение_2_уровня60"/>
    <s v="-"/>
    <s v="функциональный_руководитель_1"/>
    <n v="6"/>
    <s v="нет"/>
    <m/>
    <m/>
    <m/>
    <n v="840"/>
    <s v="Цветков Тихон Егорович"/>
    <n v="1943"/>
    <s v="Ветров Константин Александр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20"/>
    <x v="866"/>
    <n v="60"/>
    <s v="Подразделение60"/>
    <s v="подразделение_2_уровня60"/>
    <s v="-"/>
    <s v="функциональный_руководитель_1"/>
    <n v="6"/>
    <s v="нет"/>
    <m/>
    <m/>
    <m/>
    <n v="840"/>
    <s v="Цветков Тихон Егорович"/>
    <n v="841"/>
    <s v="Волков Алексей Григорьевич"/>
    <s v="функциональный_руководитель_1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047"/>
    <x v="867"/>
    <n v="60"/>
    <s v="Подразделение60"/>
    <s v="подразделение_2_уровня60"/>
    <s v="-"/>
    <s v="функциональный_руководитель_1"/>
    <n v="6"/>
    <s v="нет"/>
    <m/>
    <m/>
    <m/>
    <n v="841"/>
    <s v="Волков Алексей Григорьевич"/>
    <n v="1943"/>
    <s v="Ветров Константин Александрович"/>
    <s v="Специалист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047"/>
    <x v="867"/>
    <n v="60"/>
    <s v="Подразделение60"/>
    <s v="подразделение_2_уровня60"/>
    <s v="-"/>
    <s v="функциональный_руководитель_1"/>
    <n v="6"/>
    <s v="нет"/>
    <m/>
    <m/>
    <m/>
    <n v="841"/>
    <s v="Волков Алексей Григорьевич"/>
    <n v="844"/>
    <s v="Русланов Федот Егорович"/>
    <s v="функциональный_руководитель_1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048"/>
    <x v="868"/>
    <n v="60"/>
    <s v="Подразделение60"/>
    <s v="подразделение_2_уровня60"/>
    <s v="-"/>
    <s v="ТОП_руководитель_2"/>
    <n v="5"/>
    <s v="нет"/>
    <m/>
    <m/>
    <m/>
    <n v="842"/>
    <s v="Романов Николай Иванович"/>
    <n v="846"/>
    <s v="Пальчиков Николай Александрович"/>
    <s v="руководитель_среднего_уровня_4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542"/>
    <x v="869"/>
    <n v="60"/>
    <s v="Подразделение60"/>
    <s v="подразделение_2_уровня60"/>
    <s v="-"/>
    <s v="функциональный_руководитель_1"/>
    <n v="5"/>
    <s v="нет"/>
    <m/>
    <m/>
    <m/>
    <n v="843"/>
    <s v="Волков Федот Егорович"/>
    <n v="846"/>
    <s v="Пальчиков Николай Александрович"/>
    <s v="руководитель_среднего_уровня_4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250"/>
    <x v="870"/>
    <n v="60"/>
    <s v="Подразделение60"/>
    <s v="подразделение_2_уровня60"/>
    <s v="-"/>
    <s v="функциональный_руководитель_1"/>
    <n v="6"/>
    <s v="нет"/>
    <m/>
    <m/>
    <m/>
    <n v="844"/>
    <s v="Русланов Федот Егорович"/>
    <n v="1939"/>
    <s v="Брежнев Виталий Герасимович"/>
    <s v="линейный_руководитель_2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50"/>
    <x v="870"/>
    <n v="60"/>
    <s v="Подразделение60"/>
    <s v="подразделение_2_уровня60"/>
    <s v="-"/>
    <s v="функциональный_руководитель_1"/>
    <n v="6"/>
    <s v="нет"/>
    <m/>
    <m/>
    <m/>
    <n v="844"/>
    <s v="Русланов Федот Егорович"/>
    <n v="1944"/>
    <s v="Степанов Виталий Александрович"/>
    <s v="линейный_руководитель_2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251"/>
    <x v="871"/>
    <n v="60"/>
    <s v="Подразделение60"/>
    <s v="подразделение_2_уровня60"/>
    <s v="подразделение_3_уровня60"/>
    <s v="линейный_руководитель_3"/>
    <n v="6"/>
    <s v="нет"/>
    <m/>
    <m/>
    <m/>
    <n v="845"/>
    <s v="Пальчиков Федот Владимирович"/>
    <n v="1945"/>
    <s v="Тимофеев Савелий Семенович"/>
    <s v="руководитель_среднего_уровня_4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252"/>
    <x v="872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46"/>
    <s v="Пальчиков Николай Александрович"/>
    <n v="1934"/>
    <s v="Брежнев Савелий Богданович"/>
    <s v="линейный_руководитель_2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253"/>
    <x v="873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47"/>
    <s v="Русланов Валерий Владиславович"/>
    <n v="1939"/>
    <s v="Брежнев Виталий Герасимович"/>
    <s v="линейный_руководитель_2"/>
    <s v="Подразделение60"/>
    <x v="1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53"/>
    <x v="873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47"/>
    <s v="Русланов Валерий Владиславович"/>
    <n v="1941"/>
    <s v="Дмитриев Савелий Богданович"/>
    <s v="Специалист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254"/>
    <x v="874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48"/>
    <s v="Русланов Кирилл Александрович"/>
    <n v="1944"/>
    <s v="Степанов Виталий Александрович"/>
    <s v="линейный_руководитель_2"/>
    <s v="Подразделение60"/>
    <x v="1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254"/>
    <x v="874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48"/>
    <s v="Русланов Кирилл Александрович"/>
    <n v="1946"/>
    <s v="Тимофеев Геннадий Александр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1"/>
    <x v="875"/>
    <n v="60"/>
    <s v="Подразделение60"/>
    <s v="подразделение_2_уровня60"/>
    <s v="подразделение_3_уровня60"/>
    <s v="линейный_руководитель_3"/>
    <n v="6"/>
    <s v="нет"/>
    <m/>
    <m/>
    <m/>
    <n v="849"/>
    <s v="Русланов Федот Тимофеевич"/>
    <n v="1947"/>
    <s v="Ветров Виталий Александрович"/>
    <s v="Специалист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01"/>
    <x v="875"/>
    <n v="60"/>
    <s v="Подразделение60"/>
    <s v="подразделение_2_уровня60"/>
    <s v="подразделение_3_уровня60"/>
    <s v="линейный_руководитель_3"/>
    <n v="6"/>
    <s v="нет"/>
    <m/>
    <m/>
    <m/>
    <n v="849"/>
    <s v="Русланов Федот Тимофеевич"/>
    <n v="1948"/>
    <s v="Ветров Константин Ефремович"/>
    <s v="функциональный_руководитель_1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699"/>
    <x v="876"/>
    <n v="60"/>
    <s v="Подразделение60"/>
    <s v="подразделение_2_уровня60"/>
    <s v="подразделение_3_уровня60"/>
    <s v="линейный_руководитель_3"/>
    <n v="6"/>
    <s v="нет"/>
    <m/>
    <m/>
    <m/>
    <n v="850"/>
    <s v="Русланов Кирилл Владимирович"/>
    <n v="1949"/>
    <s v="Брежнев Матвей Геннадьевич"/>
    <s v="функциональный_руководитель_1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699"/>
    <x v="876"/>
    <n v="60"/>
    <s v="Подразделение60"/>
    <s v="подразделение_2_уровня60"/>
    <s v="подразделение_3_уровня60"/>
    <s v="линейный_руководитель_3"/>
    <n v="6"/>
    <s v="нет"/>
    <m/>
    <m/>
    <m/>
    <n v="850"/>
    <s v="Русланов Кирилл Владимирович"/>
    <n v="1950"/>
    <s v="Ветров Юрий Александрович"/>
    <s v="функциональный_руководитель_1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699"/>
    <x v="876"/>
    <n v="60"/>
    <s v="Подразделение60"/>
    <s v="подразделение_2_уровня60"/>
    <s v="подразделение_3_уровня60"/>
    <s v="линейный_руководитель_3"/>
    <n v="6"/>
    <s v="нет"/>
    <m/>
    <m/>
    <m/>
    <n v="850"/>
    <s v="Русланов Кирилл Владимирович"/>
    <n v="1943"/>
    <s v="Ветров Константин Александр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3"/>
    <x v="877"/>
    <n v="60"/>
    <s v="Подразделение60"/>
    <s v="подразделение_2_уровня60"/>
    <s v="-"/>
    <s v="ТОП_руководитель_2"/>
    <n v="5"/>
    <s v="нет"/>
    <m/>
    <m/>
    <m/>
    <n v="851"/>
    <s v="Баранкин Константин Тимофеевич"/>
    <n v="1951"/>
    <s v="Ветров Виталий Богданович"/>
    <s v="руководитель_среднего_уровня_3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10"/>
    <x v="878"/>
    <n v="60"/>
    <s v="Подразделение60"/>
    <s v="подразделение_2_уровня60"/>
    <s v="подразделение_3_уровня60"/>
    <s v="линейный_руководитель_3"/>
    <n v="6"/>
    <s v="нет"/>
    <m/>
    <m/>
    <m/>
    <n v="852"/>
    <s v="Вобликов Валерий Романович"/>
    <n v="1948"/>
    <s v="Ветров Константин Ефремович"/>
    <s v="функциональный_руководитель_1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10"/>
    <x v="878"/>
    <n v="60"/>
    <s v="Подразделение60"/>
    <s v="подразделение_2_уровня60"/>
    <s v="подразделение_3_уровня60"/>
    <s v="линейный_руководитель_3"/>
    <n v="6"/>
    <s v="нет"/>
    <m/>
    <m/>
    <m/>
    <n v="852"/>
    <s v="Вобликов Валерий Романович"/>
    <n v="1952"/>
    <s v="Кириллов Матвей Михайл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0"/>
    <x v="879"/>
    <n v="60"/>
    <s v="Подразделение60"/>
    <s v="подразделение_2_уровня60"/>
    <s v="-"/>
    <s v="ТОП_руководитель_2"/>
    <n v="5"/>
    <s v="нет"/>
    <m/>
    <m/>
    <m/>
    <n v="853"/>
    <s v="Баранкин Константин Владимирович"/>
    <n v="850"/>
    <s v="Русланов Кирилл Владимирович"/>
    <s v="линейный_руководитель_3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00"/>
    <x v="879"/>
    <n v="60"/>
    <s v="Подразделение60"/>
    <s v="подразделение_2_уровня60"/>
    <s v="-"/>
    <s v="ТОП_руководитель_2"/>
    <n v="5"/>
    <s v="нет"/>
    <m/>
    <m/>
    <m/>
    <n v="853"/>
    <s v="Баранкин Константин Владимирович"/>
    <n v="856"/>
    <s v="Русланов Григорий Тимофеевич"/>
    <s v="руководитель_среднего_уровня_4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2"/>
    <x v="880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4"/>
    <s v="Вобликов Федот Денисович"/>
    <n v="1953"/>
    <s v="Тимофеев Матвей Ефремович"/>
    <s v="линейный_руководитель_2"/>
    <s v="Подразделение60"/>
    <x v="1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02"/>
    <x v="880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4"/>
    <s v="Вобликов Федот Денисович"/>
    <n v="1949"/>
    <s v="Брежнев Матвей Геннадьевич"/>
    <s v="функциональный_руководитель_1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02"/>
    <x v="880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4"/>
    <s v="Вобликов Федот Денисович"/>
    <n v="1954"/>
    <s v="Ветров Константин Богданович"/>
    <s v="Рабочий"/>
    <s v="Подразделение60"/>
    <x v="2"/>
    <x v="2"/>
    <n v="1"/>
    <n v="0"/>
    <s v="прочее ()"/>
    <d v="2023-03-01T00:00:00"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4"/>
    <x v="881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5"/>
    <s v="Русланов Кирилл Тимофеевич"/>
    <n v="1955"/>
    <s v="Незнамов Матвей Геннадьевич"/>
    <s v="линейный_руководитель_2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04"/>
    <x v="881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5"/>
    <s v="Русланов Кирилл Тимофеевич"/>
    <n v="1956"/>
    <s v="Дмитриев Савелий Богданович"/>
    <s v="линейный_руководитель_2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5"/>
    <x v="882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6"/>
    <s v="Русланов Григорий Тимофеевич"/>
    <n v="1957"/>
    <s v="Незнамов Савелий Семенович"/>
    <s v="функциональный_руководитель_1"/>
    <s v="Подразделение60"/>
    <x v="1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6"/>
    <x v="883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7"/>
    <s v="Вобликов Валерий Александрович"/>
    <n v="1958"/>
    <s v="Кириллов Савелий Александрович"/>
    <s v="линейный_руководитель_2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7"/>
    <x v="884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8"/>
    <s v="Романов Константин Тимофеевич"/>
    <n v="1959"/>
    <s v="Незнамов Геннадий Ефремович"/>
    <s v="линейный_руководитель_2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07"/>
    <x v="884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8"/>
    <s v="Романов Константин Тимофеевич"/>
    <n v="1960"/>
    <s v="Тимофеев Геннадий Ефремович"/>
    <s v="линейный_руководитель_2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8"/>
    <x v="885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9"/>
    <s v="Пальчиков Григорий Тимофеевич"/>
    <n v="1961"/>
    <s v="Степанов Геннадий Александрович"/>
    <s v="функциональный_руководитель_1"/>
    <s v="Подразделение60"/>
    <x v="1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08"/>
    <x v="885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59"/>
    <s v="Пальчиков Григорий Тимофеевич"/>
    <n v="1962"/>
    <s v="Тимофеев Роман Ефремович"/>
    <s v="линейный_руководитель_2"/>
    <s v="Подразделение60"/>
    <x v="1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1"/>
    <s v="не защищена"/>
    <n v="500709"/>
    <x v="886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60"/>
    <s v="Волков Алексей Егорович"/>
    <n v="1963"/>
    <s v="Тимофеев Матвей Геннадьевич"/>
    <s v="линейный_руководитель_2"/>
    <s v="Подразделение60"/>
    <x v="0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09"/>
    <x v="886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60"/>
    <s v="Волков Алексей Егорович"/>
    <n v="1964"/>
    <s v="Брежнев Савелий Геннадьевич"/>
    <s v="функциональный_руководитель_1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2"/>
    <n v="3"/>
    <d v="2022-12-23T00:00:00"/>
    <n v="0"/>
    <s v="не защищена"/>
    <n v="500709"/>
    <x v="886"/>
    <n v="60"/>
    <s v="Подразделение60"/>
    <s v="подразделение_2_уровня60"/>
    <s v="подразделение_3_уровня60"/>
    <s v="руководитель_среднего_уровня_4"/>
    <n v="6"/>
    <s v="нет"/>
    <m/>
    <m/>
    <m/>
    <n v="860"/>
    <s v="Волков Алексей Егорович"/>
    <n v="1965"/>
    <s v="Степанов Савелий Ефремович"/>
    <s v="Специалист"/>
    <s v="Подразделение60"/>
    <x v="2"/>
    <x v="0"/>
    <n v="1"/>
    <n v="0"/>
    <m/>
    <m/>
    <s v="не рассматривали"/>
    <s v="протокол-№-23.12.2022"/>
  </r>
  <r>
    <s v="Функциональное направление 13"/>
    <s v="3"/>
    <d v="2017-02-21T00:00:00"/>
    <n v="1"/>
    <s v="не защищена"/>
    <n v="500002"/>
    <x v="887"/>
    <n v="52"/>
    <s v="Подразделение52"/>
    <s v="подразделение_2_уровня52"/>
    <s v="-"/>
    <s v="ТОП_руководитель_2"/>
    <n v="4"/>
    <s v="нет"/>
    <m/>
    <m/>
    <m/>
    <n v="861"/>
    <s v="Пальчиков Алексей Тимофеевич"/>
    <n v="880"/>
    <s v="Романов Николай Александрович"/>
    <s v="руководитель_среднего_уровня_4"/>
    <s v="Подразделение52"/>
    <x v="1"/>
    <x v="0"/>
    <n v="1"/>
    <n v="0"/>
    <m/>
    <m/>
    <s v="без изменений"/>
    <s v="протокол-№-01.07.2022"/>
  </r>
  <r>
    <s v="Функциональное направление 13"/>
    <s v="3"/>
    <d v="2022-08-01T00:00:00"/>
    <n v="0"/>
    <s v="не защищена"/>
    <n v="500002"/>
    <x v="887"/>
    <n v="52"/>
    <s v="Подразделение52"/>
    <s v="подразделение_2_уровня52"/>
    <s v="-"/>
    <s v="ТОП_руководитель_2"/>
    <n v="4"/>
    <s v="нет"/>
    <m/>
    <m/>
    <m/>
    <n v="861"/>
    <s v="Пальчиков Алексей Тимофеевич"/>
    <n v="882"/>
    <s v="Волков Венедикт Владимирович"/>
    <s v="руководитель_среднего_уровня_2"/>
    <s v="Подразделение52"/>
    <x v="2"/>
    <x v="0"/>
    <n v="1"/>
    <n v="0"/>
    <m/>
    <m/>
    <s v="не рассматривали"/>
    <s v="протокол-№-01.07.2022"/>
  </r>
  <r>
    <s v="Функциональное направление 13"/>
    <s v="3"/>
    <d v="2022-08-01T00:00:00"/>
    <n v="0"/>
    <s v="не защищена"/>
    <n v="500002"/>
    <x v="887"/>
    <n v="52"/>
    <s v="Подразделение52"/>
    <s v="подразделение_2_уровня52"/>
    <s v="-"/>
    <s v="ТОП_руководитель_2"/>
    <n v="4"/>
    <s v="нет"/>
    <m/>
    <m/>
    <m/>
    <n v="861"/>
    <s v="Пальчиков Алексей Тимофеевич"/>
    <n v="878"/>
    <s v="Романов Николай Егорович"/>
    <s v="руководитель_среднего_уровня_4"/>
    <s v="Подразделение52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18-12-21T00:00:00"/>
    <n v="0"/>
    <s v="не защищена"/>
    <n v="500002"/>
    <x v="887"/>
    <n v="52"/>
    <s v="Подразделение52"/>
    <s v="подразделение_2_уровня52"/>
    <s v="-"/>
    <s v="ТОП_руководитель_2"/>
    <n v="4"/>
    <s v="нет"/>
    <m/>
    <m/>
    <m/>
    <n v="861"/>
    <s v="Пальчиков Алексей Тимофеевич"/>
    <n v="1966"/>
    <s v="Ветров Савелий Богданович"/>
    <s v="руководитель_среднего_уровня_4"/>
    <s v="Подразделение52"/>
    <x v="0"/>
    <x v="2"/>
    <n v="1"/>
    <n v="0"/>
    <s v="увольнение"/>
    <d v="2020-11-01T00:00:00"/>
    <s v="повышение"/>
    <s v="протокол-№-23.06.2020"/>
  </r>
  <r>
    <s v="Функциональное направление 13"/>
    <n v="3"/>
    <d v="2020-06-23T00:00:00"/>
    <n v="1"/>
    <s v="не защищена"/>
    <n v="500003"/>
    <x v="888"/>
    <n v="49"/>
    <s v="Подразделение49"/>
    <s v="-"/>
    <s v="-"/>
    <s v="ТОП_руководитель_2"/>
    <n v="5"/>
    <s v="нет"/>
    <m/>
    <m/>
    <m/>
    <n v="862"/>
    <s v="Вобликов Валерий Денисович"/>
    <n v="1967"/>
    <s v="Ветров Савелий Александрович"/>
    <s v="функциональный_руководитель_1"/>
    <s v="Подразделение49"/>
    <x v="0"/>
    <x v="0"/>
    <n v="1"/>
    <n v="0"/>
    <m/>
    <m/>
    <s v="повышение"/>
    <s v="протокол-№-01.07.2022"/>
  </r>
  <r>
    <s v="Функциональное направление 13"/>
    <n v="3"/>
    <d v="2022-07-01T00:00:00"/>
    <n v="0"/>
    <s v="не защищена"/>
    <n v="500003"/>
    <x v="888"/>
    <n v="49"/>
    <s v="Подразделение49"/>
    <s v="-"/>
    <s v="-"/>
    <s v="ТОП_руководитель_2"/>
    <n v="5"/>
    <s v="нет"/>
    <m/>
    <m/>
    <m/>
    <n v="862"/>
    <s v="Вобликов Валерий Денисович"/>
    <n v="1968"/>
    <s v="Степанов Виталий Александрович"/>
    <s v="функциональный_руководитель_1"/>
    <s v="Подразделение110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17-02-21T00:00:00"/>
    <n v="0"/>
    <s v="не защищена"/>
    <n v="500003"/>
    <x v="888"/>
    <n v="49"/>
    <s v="Подразделение49"/>
    <s v="-"/>
    <s v="-"/>
    <s v="ТОП_руководитель_2"/>
    <n v="5"/>
    <s v="нет"/>
    <m/>
    <m/>
    <m/>
    <n v="862"/>
    <s v="Вобликов Валерий Денисович"/>
    <n v="867"/>
    <s v="Вобликов Венедикт Романович"/>
    <s v="руководитель_среднего_уровня_2"/>
    <s v="Подразделение49"/>
    <x v="1"/>
    <x v="2"/>
    <n v="1"/>
    <n v="0"/>
    <s v="самоотвод"/>
    <d v="2022-07-01T00:00:00"/>
    <s v="исключение"/>
    <s v="протокол-№-01.07.2022"/>
  </r>
  <r>
    <s v="Функциональное направление 13"/>
    <n v="3"/>
    <d v="2017-02-21T00:00:00"/>
    <n v="0"/>
    <s v="не защищена"/>
    <n v="500003"/>
    <x v="888"/>
    <n v="49"/>
    <s v="Подразделение49"/>
    <s v="-"/>
    <s v="-"/>
    <s v="ТОП_руководитель_2"/>
    <n v="5"/>
    <s v="нет"/>
    <m/>
    <m/>
    <m/>
    <n v="862"/>
    <s v="Вобликов Валерий Денисович"/>
    <n v="1969"/>
    <s v="Тимофеев Виталий Александрович"/>
    <s v="функциональный_руководитель_1"/>
    <s v="Подразделение49"/>
    <x v="0"/>
    <x v="2"/>
    <n v="1"/>
    <n v="0"/>
    <s v="инициатива комитета / руководителя"/>
    <d v="2022-07-01T00:00:00"/>
    <s v="исключение"/>
    <s v="протокол-№-01.07.2022"/>
  </r>
  <r>
    <s v="Функциональное направление 13"/>
    <n v="3"/>
    <d v="2018-12-21T00:00:00"/>
    <n v="1"/>
    <s v="не защищена"/>
    <n v="500005"/>
    <x v="889"/>
    <n v="50"/>
    <s v="Подразделение50"/>
    <s v="подразделение_2_уровня50"/>
    <s v="-"/>
    <s v="ТОП_руководитель_2"/>
    <n v="4"/>
    <s v="нет"/>
    <m/>
    <m/>
    <m/>
    <n v="863"/>
    <s v="Цветков Кирилл Владимирович"/>
    <n v="979"/>
    <s v="Волков Федот Владиславович"/>
    <s v="руководитель_среднего_уровня_2"/>
    <s v="Подразделение50"/>
    <x v="0"/>
    <x v="0"/>
    <n v="1"/>
    <n v="0"/>
    <m/>
    <m/>
    <s v="без изменений"/>
    <s v="протокол-№-01.07.2022"/>
  </r>
  <r>
    <s v="Функциональное направление 13"/>
    <n v="3"/>
    <d v="2018-12-21T00:00:00"/>
    <n v="0"/>
    <s v="не защищена"/>
    <n v="500005"/>
    <x v="889"/>
    <n v="50"/>
    <s v="Подразделение50"/>
    <s v="подразделение_2_уровня50"/>
    <s v="-"/>
    <s v="ТОП_руководитель_2"/>
    <n v="4"/>
    <s v="нет"/>
    <m/>
    <m/>
    <m/>
    <n v="863"/>
    <s v="Цветков Кирилл Владимирович"/>
    <n v="960"/>
    <s v="Вобликов Григорий Иванович"/>
    <s v="руководитель_среднего_уровня_2"/>
    <s v="Подразделение50"/>
    <x v="1"/>
    <x v="0"/>
    <n v="1"/>
    <n v="0"/>
    <m/>
    <m/>
    <s v="без изменений"/>
    <s v="протокол-№-01.07.2022"/>
  </r>
  <r>
    <s v="Функциональное направление 13"/>
    <n v="3"/>
    <d v="2022-07-01T00:00:00"/>
    <n v="0"/>
    <s v="не защищена"/>
    <n v="500005"/>
    <x v="889"/>
    <n v="50"/>
    <s v="Подразделение50"/>
    <s v="подразделение_2_уровня50"/>
    <s v="-"/>
    <s v="ТОП_руководитель_2"/>
    <n v="4"/>
    <s v="нет"/>
    <m/>
    <m/>
    <m/>
    <n v="863"/>
    <s v="Цветков Кирилл Владимирович"/>
    <n v="1968"/>
    <s v="Степанов Виталий Александрович"/>
    <s v="функциональный_руководитель_1"/>
    <s v="Подразделение110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17-02-21T00:00:00"/>
    <n v="0"/>
    <s v="не защищена"/>
    <n v="500005"/>
    <x v="889"/>
    <n v="50"/>
    <s v="Подразделение50"/>
    <s v="подразделение_2_уровня50"/>
    <s v="-"/>
    <s v="ТОП_руководитель_2"/>
    <n v="4"/>
    <s v="нет"/>
    <m/>
    <m/>
    <m/>
    <n v="863"/>
    <s v="Цветков Кирилл Владимирович"/>
    <n v="983"/>
    <s v="Цветков Николай Романович"/>
    <s v="руководитель_среднего_уровня_2"/>
    <s v="Подразделение50"/>
    <x v="1"/>
    <x v="2"/>
    <n v="1"/>
    <n v="0"/>
    <s v="инициатива комитета / руководителя"/>
    <d v="2022-07-01T00:00:00"/>
    <s v="исключение"/>
    <s v="протокол-№-01.07.2022"/>
  </r>
  <r>
    <s v="Функциональное направление 13"/>
    <n v="3"/>
    <d v="2018-12-21T00:00:00"/>
    <n v="1"/>
    <s v="не защищена"/>
    <n v="500016"/>
    <x v="890"/>
    <n v="49"/>
    <s v="Подразделение49"/>
    <s v="подразделение_2_уровня49"/>
    <s v="-"/>
    <s v="руководитель_среднего_уровня_4"/>
    <n v="6"/>
    <s v="нет"/>
    <m/>
    <m/>
    <m/>
    <n v="864"/>
    <s v="Волков Алексей Романович"/>
    <n v="1083"/>
    <s v="Журавлев Богдан Климович"/>
    <s v="линейный_руководитель_2"/>
    <s v="Подразделение49"/>
    <x v="0"/>
    <x v="0"/>
    <n v="1"/>
    <n v="0"/>
    <m/>
    <m/>
    <s v="без изменений"/>
    <s v="протокол-№-05.07.2022"/>
  </r>
  <r>
    <s v="Функциональное направление 13"/>
    <n v="3"/>
    <d v="2018-12-21T00:00:00"/>
    <n v="1"/>
    <s v="не защищена"/>
    <n v="500027"/>
    <x v="891"/>
    <n v="51"/>
    <s v="Подразделение51"/>
    <s v="подразделение_2_уровня51"/>
    <s v="-"/>
    <s v="ТОП_руководитель_2"/>
    <n v="5"/>
    <s v="да"/>
    <d v="2021-10-30T00:00:00"/>
    <d v="2022-06-01T00:00:00"/>
    <s v="внутр. сотр. (учитываем)"/>
    <n v="865"/>
    <s v="Пальчиков Кирилл Александрович"/>
    <n v="888"/>
    <s v="Вобликов Николай Владимирович"/>
    <s v="руководитель_среднего_уровня_2"/>
    <s v="Подразделение51"/>
    <x v="1"/>
    <x v="0"/>
    <n v="1"/>
    <n v="0"/>
    <m/>
    <m/>
    <s v="повышение"/>
    <s v="протокол-№-01.07.2022"/>
  </r>
  <r>
    <s v="Функциональное направление 13"/>
    <n v="3"/>
    <d v="2018-12-21T00:00:00"/>
    <n v="0"/>
    <s v="не защищена"/>
    <n v="500027"/>
    <x v="891"/>
    <n v="51"/>
    <s v="Подразделение51"/>
    <s v="подразделение_2_уровня51"/>
    <s v="-"/>
    <s v="ТОП_руководитель_2"/>
    <n v="5"/>
    <s v="да"/>
    <d v="2021-10-30T00:00:00"/>
    <d v="2022-06-01T00:00:00"/>
    <s v="внутр. сотр. (учитываем)"/>
    <n v="865"/>
    <s v="Пальчиков Кирилл Александрович"/>
    <n v="916"/>
    <s v="Русланов Алексей Денисович"/>
    <s v="руководитель_среднего_уровня_2"/>
    <s v="Подразделение51"/>
    <x v="0"/>
    <x v="0"/>
    <n v="1"/>
    <n v="0"/>
    <m/>
    <m/>
    <s v="понижение"/>
    <s v="протокол-№-01.07.2022"/>
  </r>
  <r>
    <s v="Функциональное направление 13"/>
    <n v="3"/>
    <d v="2017-02-21T00:00:00"/>
    <n v="0"/>
    <s v="не защищена"/>
    <n v="500027"/>
    <x v="891"/>
    <n v="51"/>
    <s v="Подразделение51"/>
    <s v="подразделение_2_уровня51"/>
    <s v="-"/>
    <s v="ТОП_руководитель_2"/>
    <n v="5"/>
    <s v="да"/>
    <d v="2021-10-30T00:00:00"/>
    <d v="2022-06-01T00:00:00"/>
    <s v="внутр. сотр. (учитываем)"/>
    <n v="865"/>
    <s v="Пальчиков Кирилл Александрович"/>
    <n v="1971"/>
    <s v="Незнамов Матвей Ефремович"/>
    <s v="функциональный_руководитель_1"/>
    <s v="Подразделение_др5"/>
    <x v="2"/>
    <x v="2"/>
    <n v="1"/>
    <n v="0"/>
    <s v="инициатива комитета / руководителя"/>
    <d v="2022-07-01T00:00:00"/>
    <s v="исключение"/>
    <s v="протокол-№-01.07.2022"/>
  </r>
  <r>
    <s v="Функциональное направление 13"/>
    <n v="4"/>
    <d v="2022-12-01T00:00:00"/>
    <n v="1"/>
    <s v="не защищена"/>
    <n v="500028"/>
    <x v="892"/>
    <n v="51"/>
    <s v="Подразделение51"/>
    <s v="-"/>
    <s v="-"/>
    <s v="функциональный_руководитель_1"/>
    <n v="7"/>
    <s v="нет"/>
    <m/>
    <m/>
    <m/>
    <n v="866"/>
    <s v="Баранкин Григорий Иванович"/>
    <n v="1972"/>
    <s v="Тимофеев Савелий Ефремович"/>
    <s v="Рабочий"/>
    <s v="Подразделение51"/>
    <x v="2"/>
    <x v="0"/>
    <n v="0"/>
    <n v="0"/>
    <m/>
    <m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028"/>
    <x v="892"/>
    <n v="51"/>
    <s v="Подразделение51"/>
    <s v="-"/>
    <s v="-"/>
    <s v="функциональный_руководитель_1"/>
    <n v="7"/>
    <s v="нет"/>
    <m/>
    <m/>
    <m/>
    <n v="866"/>
    <s v="Баранкин Григорий Иванович"/>
    <n v="911"/>
    <s v="Волков Николай Егорович"/>
    <s v="линейный_руководитель_2"/>
    <s v="Подразделение51"/>
    <x v="2"/>
    <x v="2"/>
    <n v="1"/>
    <n v="0"/>
    <s v="самоотвод"/>
    <d v="2022-12-01T00:00:00"/>
    <s v="исключение"/>
    <s v="протокол-№-01.12.2022"/>
  </r>
  <r>
    <s v="Функциональное направление 13"/>
    <n v="3"/>
    <d v="2018-12-21T00:00:00"/>
    <n v="1"/>
    <s v="не защищена"/>
    <n v="500348"/>
    <x v="893"/>
    <n v="49"/>
    <s v="Подразделение49"/>
    <s v="подразделение_2_уровня49"/>
    <s v="-"/>
    <s v="руководитель_среднего_уровня_2"/>
    <n v="5"/>
    <s v="нет"/>
    <m/>
    <m/>
    <m/>
    <n v="867"/>
    <s v="Вобликов Венедикт Романович"/>
    <n v="868"/>
    <s v="Романов Константин Александрович"/>
    <s v="линейный_руководитель_2"/>
    <s v="Подразделение49"/>
    <x v="0"/>
    <x v="0"/>
    <n v="1"/>
    <n v="0"/>
    <m/>
    <m/>
    <s v="без изменений"/>
    <s v="протокол-№-05.07.2022"/>
  </r>
  <r>
    <s v="Функциональное направление 13"/>
    <n v="4"/>
    <d v="2021-11-25T00:00:00"/>
    <n v="1"/>
    <s v="не защищена"/>
    <n v="500349"/>
    <x v="894"/>
    <n v="49"/>
    <s v="Подразделение49"/>
    <s v="подразделение_2_уровня49"/>
    <s v="-"/>
    <s v="линейный_руководитель_1"/>
    <n v="7"/>
    <s v="нет"/>
    <m/>
    <m/>
    <m/>
    <n v="868"/>
    <s v="Романов Константин Александрович"/>
    <n v="1973"/>
    <s v="Исаев Константин Ефремович"/>
    <s v="Рабочий"/>
    <s v="Подразделение49"/>
    <x v="0"/>
    <x v="0"/>
    <n v="1"/>
    <n v="0"/>
    <m/>
    <m/>
    <s v="не рассматривали"/>
    <s v="протокол-№-25.11.2021"/>
  </r>
  <r>
    <s v="Функциональное направление 13"/>
    <n v="4"/>
    <d v="2021-11-25T00:00:00"/>
    <n v="0"/>
    <s v="не защищена"/>
    <n v="500349"/>
    <x v="894"/>
    <n v="49"/>
    <s v="Подразделение49"/>
    <s v="подразделение_2_уровня49"/>
    <s v="-"/>
    <s v="линейный_руководитель_1"/>
    <n v="7"/>
    <s v="нет"/>
    <m/>
    <m/>
    <m/>
    <n v="868"/>
    <s v="Романов Константин Александрович"/>
    <n v="1974"/>
    <s v="Тимофеев Глеб Александрович"/>
    <s v="Рабочий"/>
    <s v="Подразделение49"/>
    <x v="2"/>
    <x v="0"/>
    <n v="0"/>
    <n v="0"/>
    <m/>
    <m/>
    <s v="не рассматривали"/>
    <s v="протокол-№-25.11.2021"/>
  </r>
  <r>
    <s v="Функциональное направление 13"/>
    <n v="4"/>
    <d v="2022-11-23T00:00:00"/>
    <n v="0"/>
    <s v="не защищена"/>
    <n v="500349"/>
    <x v="894"/>
    <n v="49"/>
    <s v="Подразделение49"/>
    <s v="подразделение_2_уровня49"/>
    <s v="-"/>
    <s v="линейный_руководитель_1"/>
    <n v="7"/>
    <s v="нет"/>
    <m/>
    <m/>
    <m/>
    <n v="868"/>
    <s v="Романов Константин Александрович"/>
    <n v="1975"/>
    <s v="Ветров Матвей Ефремович"/>
    <s v="Специалист"/>
    <s v="Подразделение49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1-11-25T00:00:00"/>
    <n v="0"/>
    <s v="не защищена"/>
    <n v="500349"/>
    <x v="894"/>
    <n v="49"/>
    <s v="Подразделение49"/>
    <s v="подразделение_2_уровня49"/>
    <s v="-"/>
    <s v="линейный_руководитель_1"/>
    <n v="7"/>
    <s v="нет"/>
    <m/>
    <m/>
    <m/>
    <n v="868"/>
    <s v="Романов Константин Александрович"/>
    <n v="869"/>
    <s v="Ефремов Венедикт Юрьевич"/>
    <s v="линейный_руководитель_2"/>
    <s v="Подразделение49"/>
    <x v="2"/>
    <x v="1"/>
    <n v="1"/>
    <n v="0"/>
    <s v="назначение на целевую должность"/>
    <d v="2022-09-21T00:00:00"/>
    <s v="не рассматривали"/>
    <s v="протокол-№-25.11.2021"/>
  </r>
  <r>
    <s v="Функциональное направление 13"/>
    <n v="4"/>
    <d v="2021-11-25T00:00:00"/>
    <n v="1"/>
    <s v="не защищена"/>
    <n v="500349"/>
    <x v="895"/>
    <n v="49"/>
    <s v="Подразделение49"/>
    <s v="подразделение_2_уровня49"/>
    <s v="-"/>
    <s v="линейный_руководитель_1"/>
    <n v="7"/>
    <s v="да"/>
    <d v="2022-09-04T00:00:00"/>
    <d v="2022-09-21T00:00:00"/>
    <s v="из резерва (учитываем)"/>
    <n v="869"/>
    <s v="Ефремов Венедикт Юрьевич"/>
    <n v="1973"/>
    <s v="Исаев Константин Ефремович"/>
    <s v="Рабочий"/>
    <s v="Подразделение49"/>
    <x v="0"/>
    <x v="0"/>
    <n v="0"/>
    <n v="0"/>
    <m/>
    <m/>
    <s v="не рассматривали"/>
    <s v="протокол-№-25.11.2021"/>
  </r>
  <r>
    <s v="Функциональное направление 13"/>
    <n v="4"/>
    <d v="2021-11-25T00:00:00"/>
    <n v="0"/>
    <s v="не защищена"/>
    <n v="500349"/>
    <x v="895"/>
    <n v="49"/>
    <s v="Подразделение49"/>
    <s v="подразделение_2_уровня49"/>
    <s v="-"/>
    <s v="линейный_руководитель_1"/>
    <n v="7"/>
    <s v="да"/>
    <d v="2022-09-04T00:00:00"/>
    <d v="2022-09-21T00:00:00"/>
    <s v="из резерва (учитываем)"/>
    <n v="869"/>
    <s v="Ефремов Венедикт Юрьевич"/>
    <n v="1974"/>
    <s v="Тимофеев Глеб Александрович"/>
    <s v="Рабочий"/>
    <s v="Подразделение49"/>
    <x v="2"/>
    <x v="0"/>
    <n v="0"/>
    <n v="0"/>
    <m/>
    <m/>
    <s v="не рассматривали"/>
    <s v="протокол-№-25.11.2021"/>
  </r>
  <r>
    <s v="Функциональное направление 13"/>
    <n v="4"/>
    <d v="2022-11-23T00:00:00"/>
    <n v="0"/>
    <s v="не защищена"/>
    <n v="500349"/>
    <x v="895"/>
    <n v="49"/>
    <s v="Подразделение49"/>
    <s v="подразделение_2_уровня49"/>
    <s v="-"/>
    <s v="линейный_руководитель_1"/>
    <n v="7"/>
    <s v="да"/>
    <d v="2022-09-04T00:00:00"/>
    <d v="2022-09-21T00:00:00"/>
    <s v="из резерва (учитываем)"/>
    <n v="869"/>
    <s v="Ефремов Венедикт Юрьевич"/>
    <n v="1975"/>
    <s v="Ветров Матвей Ефремович"/>
    <s v="Специалист"/>
    <s v="Подразделение49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1-11-25T00:00:00"/>
    <n v="0"/>
    <s v="не защищена"/>
    <n v="500349"/>
    <x v="895"/>
    <n v="49"/>
    <s v="Подразделение49"/>
    <s v="подразделение_2_уровня49"/>
    <s v="-"/>
    <s v="линейный_руководитель_1"/>
    <n v="7"/>
    <s v="да"/>
    <d v="2022-09-04T00:00:00"/>
    <d v="2022-09-21T00:00:00"/>
    <s v="из резерва (учитываем)"/>
    <n v="869"/>
    <s v="Ефремов Венедикт Юрьевич"/>
    <n v="869"/>
    <s v="Ефремов Венедикт Юрьевич"/>
    <s v="линейный_руководитель_2"/>
    <s v="Подразделение49"/>
    <x v="2"/>
    <x v="1"/>
    <n v="0"/>
    <n v="1"/>
    <s v="назначение на целевую должность"/>
    <d v="2022-09-21T00:00:00"/>
    <s v="не рассматривали"/>
    <s v="протокол-№-25.11.2021"/>
  </r>
  <r>
    <s v="Функциональное направление 13"/>
    <n v="4"/>
    <d v="2021-11-25T00:00:00"/>
    <n v="1"/>
    <s v="не защищена"/>
    <n v="500349"/>
    <x v="896"/>
    <n v="49"/>
    <s v="Подразделение49"/>
    <s v="подразделение_2_уровня49"/>
    <s v="-"/>
    <s v="линейный_руководитель_1"/>
    <n v="7"/>
    <s v="нет"/>
    <m/>
    <m/>
    <m/>
    <n v="870"/>
    <s v="Баранкин Константин Юрьевич"/>
    <n v="1973"/>
    <s v="Исаев Константин Ефремович"/>
    <s v="Рабочий"/>
    <s v="Подразделение49"/>
    <x v="0"/>
    <x v="0"/>
    <n v="0"/>
    <n v="0"/>
    <m/>
    <m/>
    <s v="не рассматривали"/>
    <s v="протокол-№-25.11.2021"/>
  </r>
  <r>
    <s v="Функциональное направление 13"/>
    <n v="4"/>
    <d v="2021-11-25T00:00:00"/>
    <n v="0"/>
    <s v="не защищена"/>
    <n v="500349"/>
    <x v="896"/>
    <n v="49"/>
    <s v="Подразделение49"/>
    <s v="подразделение_2_уровня49"/>
    <s v="-"/>
    <s v="линейный_руководитель_1"/>
    <n v="7"/>
    <s v="нет"/>
    <m/>
    <m/>
    <m/>
    <n v="870"/>
    <s v="Баранкин Константин Юрьевич"/>
    <n v="1974"/>
    <s v="Тимофеев Глеб Александрович"/>
    <s v="Рабочий"/>
    <s v="Подразделение49"/>
    <x v="2"/>
    <x v="0"/>
    <n v="0"/>
    <n v="0"/>
    <m/>
    <m/>
    <s v="не рассматривали"/>
    <s v="протокол-№-25.11.2021"/>
  </r>
  <r>
    <s v="Функциональное направление 13"/>
    <n v="4"/>
    <d v="2022-11-23T00:00:00"/>
    <n v="0"/>
    <s v="не защищена"/>
    <n v="500349"/>
    <x v="896"/>
    <n v="49"/>
    <s v="Подразделение49"/>
    <s v="подразделение_2_уровня49"/>
    <s v="-"/>
    <s v="линейный_руководитель_1"/>
    <n v="7"/>
    <s v="нет"/>
    <m/>
    <m/>
    <m/>
    <n v="870"/>
    <s v="Баранкин Константин Юрьевич"/>
    <n v="1975"/>
    <s v="Ветров Матвей Ефремович"/>
    <s v="Специалист"/>
    <s v="Подразделение49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1-11-25T00:00:00"/>
    <n v="0"/>
    <s v="не защищена"/>
    <n v="500349"/>
    <x v="896"/>
    <n v="49"/>
    <s v="Подразделение49"/>
    <s v="подразделение_2_уровня49"/>
    <s v="-"/>
    <s v="линейный_руководитель_1"/>
    <n v="7"/>
    <s v="нет"/>
    <m/>
    <m/>
    <m/>
    <n v="870"/>
    <s v="Баранкин Константин Юрьевич"/>
    <n v="869"/>
    <s v="Ефремов Венедикт Юрьевич"/>
    <s v="линейный_руководитель_2"/>
    <s v="Подразделение49"/>
    <x v="2"/>
    <x v="1"/>
    <n v="0"/>
    <n v="0"/>
    <s v="назначение на целевую должность"/>
    <d v="2022-09-21T00:00:00"/>
    <s v="не рассматривали"/>
    <s v="протокол-№-25.11.2021"/>
  </r>
  <r>
    <s v="Функциональное направление 13"/>
    <n v="4"/>
    <d v="2021-11-25T00:00:00"/>
    <n v="1"/>
    <s v="не защищена"/>
    <n v="500349"/>
    <x v="897"/>
    <n v="49"/>
    <s v="Подразделение49"/>
    <s v="подразделение_2_уровня49"/>
    <s v="-"/>
    <s v="линейный_руководитель_1"/>
    <n v="7"/>
    <s v="нет"/>
    <m/>
    <m/>
    <m/>
    <n v="871"/>
    <s v="Романов Николай Денисович"/>
    <n v="1973"/>
    <s v="Исаев Константин Ефремович"/>
    <s v="Рабочий"/>
    <s v="Подразделение49"/>
    <x v="0"/>
    <x v="0"/>
    <n v="0"/>
    <n v="0"/>
    <m/>
    <m/>
    <s v="не рассматривали"/>
    <s v="протокол-№-25.11.2021"/>
  </r>
  <r>
    <s v="Функциональное направление 13"/>
    <n v="4"/>
    <d v="2021-11-25T00:00:00"/>
    <n v="0"/>
    <s v="не защищена"/>
    <n v="500349"/>
    <x v="897"/>
    <n v="49"/>
    <s v="Подразделение49"/>
    <s v="подразделение_2_уровня49"/>
    <s v="-"/>
    <s v="линейный_руководитель_1"/>
    <n v="7"/>
    <s v="нет"/>
    <m/>
    <m/>
    <m/>
    <n v="871"/>
    <s v="Романов Николай Денисович"/>
    <n v="1974"/>
    <s v="Тимофеев Глеб Александрович"/>
    <s v="Рабочий"/>
    <s v="Подразделение49"/>
    <x v="2"/>
    <x v="0"/>
    <n v="0"/>
    <n v="0"/>
    <m/>
    <m/>
    <s v="не рассматривали"/>
    <s v="протокол-№-25.11.2021"/>
  </r>
  <r>
    <s v="Функциональное направление 13"/>
    <n v="4"/>
    <d v="2022-11-23T00:00:00"/>
    <n v="0"/>
    <s v="не защищена"/>
    <n v="500349"/>
    <x v="897"/>
    <n v="49"/>
    <s v="Подразделение49"/>
    <s v="подразделение_2_уровня49"/>
    <s v="-"/>
    <s v="линейный_руководитель_1"/>
    <n v="7"/>
    <s v="нет"/>
    <m/>
    <m/>
    <m/>
    <n v="871"/>
    <s v="Романов Николай Денисович"/>
    <n v="1975"/>
    <s v="Ветров Матвей Ефремович"/>
    <s v="Специалист"/>
    <s v="Подразделение49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1-11-25T00:00:00"/>
    <n v="0"/>
    <s v="не защищена"/>
    <n v="500349"/>
    <x v="897"/>
    <n v="49"/>
    <s v="Подразделение49"/>
    <s v="подразделение_2_уровня49"/>
    <s v="-"/>
    <s v="линейный_руководитель_1"/>
    <n v="7"/>
    <s v="нет"/>
    <m/>
    <m/>
    <m/>
    <n v="871"/>
    <s v="Романов Николай Денисович"/>
    <n v="869"/>
    <s v="Ефремов Венедикт Юрьевич"/>
    <s v="линейный_руководитель_2"/>
    <s v="Подразделение49"/>
    <x v="2"/>
    <x v="1"/>
    <n v="0"/>
    <n v="0"/>
    <s v="назначение на целевую должность"/>
    <d v="2022-09-21T00:00:00"/>
    <s v="не рассматривали"/>
    <s v="протокол-№-25.11.2021"/>
  </r>
  <r>
    <s v="Функциональное направление 13"/>
    <n v="4"/>
    <d v="2021-11-25T00:00:00"/>
    <n v="1"/>
    <s v="не защищена"/>
    <n v="500350"/>
    <x v="898"/>
    <n v="49"/>
    <s v="Подразделение49"/>
    <s v="подразделение_2_уровня49"/>
    <s v="подразделение_3_уровня49"/>
    <s v="линейный_руководитель_4"/>
    <n v="7"/>
    <s v="нет"/>
    <m/>
    <m/>
    <m/>
    <n v="872"/>
    <s v="Романов Григорий Юрьевич"/>
    <n v="1976"/>
    <s v="Брежнев Виталий Ефремович"/>
    <s v="Рабочий"/>
    <s v="Подразделение49"/>
    <x v="1"/>
    <x v="0"/>
    <n v="1"/>
    <n v="0"/>
    <m/>
    <m/>
    <s v="не рассматривали"/>
    <s v="протокол-№-25.11.2021"/>
  </r>
  <r>
    <s v="Функциональное направление 13"/>
    <n v="3"/>
    <d v="2021-11-25T00:00:00"/>
    <n v="1"/>
    <s v="не защищена"/>
    <n v="500351"/>
    <x v="899"/>
    <n v="49"/>
    <s v="Подразделение49"/>
    <s v="подразделение_2_уровня49"/>
    <s v="подразделение_3_уровня49"/>
    <s v="линейный_руководитель_3"/>
    <n v="7"/>
    <s v="нет"/>
    <m/>
    <m/>
    <m/>
    <n v="873"/>
    <s v="Пальчиков Кирилл Егорович"/>
    <n v="1977"/>
    <s v="Степанов Глеб Ефремович"/>
    <s v="Специалист"/>
    <s v="Подразделение49"/>
    <x v="2"/>
    <x v="0"/>
    <n v="1"/>
    <n v="0"/>
    <m/>
    <m/>
    <s v="без изменений"/>
    <s v="протокол-№-05.07.2022"/>
  </r>
  <r>
    <s v="Функциональное направление 13"/>
    <n v="3"/>
    <d v="2018-12-21T00:00:00"/>
    <n v="1"/>
    <s v="не защищена"/>
    <n v="500352"/>
    <x v="900"/>
    <n v="49"/>
    <s v="Подразделение49"/>
    <s v="подразделение_2_уровня49"/>
    <s v="-"/>
    <s v="руководитель_среднего_уровня_4"/>
    <n v="6"/>
    <s v="нет"/>
    <m/>
    <m/>
    <m/>
    <n v="874"/>
    <s v="Вобликов Алексей Юрьевич"/>
    <n v="875"/>
    <s v="Нырков Николай Владиславович"/>
    <s v="линейный_руководитель_2"/>
    <s v="Подразделение49"/>
    <x v="0"/>
    <x v="0"/>
    <n v="1"/>
    <n v="0"/>
    <m/>
    <m/>
    <s v="без изменений"/>
    <s v="протокол-№-05.07.2022"/>
  </r>
  <r>
    <s v="Функциональное направление 13"/>
    <n v="3"/>
    <d v="2018-12-21T00:00:00"/>
    <n v="0"/>
    <s v="не защищена"/>
    <n v="500352"/>
    <x v="900"/>
    <n v="49"/>
    <s v="Подразделение49"/>
    <s v="подразделение_2_уровня49"/>
    <s v="-"/>
    <s v="руководитель_среднего_уровня_4"/>
    <n v="6"/>
    <s v="нет"/>
    <m/>
    <m/>
    <m/>
    <n v="874"/>
    <s v="Вобликов Алексей Юрьевич"/>
    <n v="1978"/>
    <s v="Брежнев Матвей Александрович"/>
    <s v="Рабочий"/>
    <s v="Подразделение49"/>
    <x v="0"/>
    <x v="0"/>
    <n v="1"/>
    <n v="0"/>
    <m/>
    <m/>
    <s v="не рассматривали"/>
    <s v="протокол-№-21.12.2018"/>
  </r>
  <r>
    <s v="Функциональное направление 13"/>
    <n v="4"/>
    <d v="2021-11-25T00:00:00"/>
    <n v="1"/>
    <s v="не защищена"/>
    <n v="500353"/>
    <x v="901"/>
    <n v="49"/>
    <s v="Подразделение49"/>
    <s v="подразделение_2_уровня49"/>
    <s v="-"/>
    <s v="линейный_руководитель_2"/>
    <n v="7"/>
    <s v="нет"/>
    <m/>
    <m/>
    <m/>
    <n v="875"/>
    <s v="Нырков Николай Владиславович"/>
    <n v="1978"/>
    <s v="Брежнев Матвей Александрович"/>
    <s v="Рабочий"/>
    <s v="Подразделение49"/>
    <x v="2"/>
    <x v="0"/>
    <n v="1"/>
    <n v="0"/>
    <m/>
    <m/>
    <s v="не рассматривали"/>
    <s v="протокол-№-25.11.2021"/>
  </r>
  <r>
    <s v="Функциональное направление 13"/>
    <n v="4"/>
    <d v="2022-11-23T00:00:00"/>
    <n v="0"/>
    <s v="не защищена"/>
    <n v="500353"/>
    <x v="901"/>
    <n v="49"/>
    <s v="Подразделение49"/>
    <s v="подразделение_2_уровня49"/>
    <s v="-"/>
    <s v="линейный_руководитель_2"/>
    <n v="7"/>
    <s v="нет"/>
    <m/>
    <m/>
    <m/>
    <n v="875"/>
    <s v="Нырков Николай Владиславович"/>
    <n v="1979"/>
    <s v="Исаев Савелий Александрович"/>
    <s v="Рабочий"/>
    <s v="Подразделение49"/>
    <x v="2"/>
    <x v="0"/>
    <n v="1"/>
    <n v="0"/>
    <m/>
    <m/>
    <s v="не рассматривали"/>
    <s v="протокол-№-23.11.2022"/>
  </r>
  <r>
    <s v="Функциональное направление 13"/>
    <n v="3"/>
    <d v="2021-11-25T00:00:00"/>
    <n v="1"/>
    <s v="не защищена"/>
    <n v="500356"/>
    <x v="902"/>
    <n v="49"/>
    <s v="Подразделение49"/>
    <s v="подразделение_2_уровня49"/>
    <s v="-"/>
    <s v="руководитель_среднего_уровня_4"/>
    <n v="6"/>
    <s v="нет"/>
    <m/>
    <m/>
    <m/>
    <n v="876"/>
    <s v="Пальчиков Валерий Григорьевич"/>
    <n v="1980"/>
    <s v="Незнамов Виталий Ефремович"/>
    <s v="Рабочий"/>
    <s v="Подразделение49"/>
    <x v="2"/>
    <x v="0"/>
    <n v="1"/>
    <n v="0"/>
    <m/>
    <m/>
    <s v="понижение"/>
    <s v="протокол-№-05.07.2022"/>
  </r>
  <r>
    <s v="Функциональное направление 13"/>
    <n v="3"/>
    <d v="2020-12-09T00:00:00"/>
    <n v="1"/>
    <s v="не защищена"/>
    <n v="500357"/>
    <x v="903"/>
    <n v="52"/>
    <s v="Подразделение52"/>
    <s v="подразделение_2_уровня52"/>
    <s v="-"/>
    <s v="линейный_руководитель_3"/>
    <n v="5"/>
    <s v="нет"/>
    <m/>
    <m/>
    <m/>
    <n v="877"/>
    <s v="Русланов Федот Владимирович"/>
    <n v="1981"/>
    <s v="Кириллов Матвей Михайлович"/>
    <s v="функциональный_руководитель_1"/>
    <s v="Подразделение52"/>
    <x v="1"/>
    <x v="2"/>
    <n v="1"/>
    <n v="0"/>
    <s v="инициатива комитета / руководителя"/>
    <d v="2022-07-05T00:00:00"/>
    <s v="исключение"/>
    <s v="протокол-№-05.07.2022"/>
  </r>
  <r>
    <s v="Функциональное направление 13"/>
    <n v="3"/>
    <d v="2018-12-21T00:00:00"/>
    <n v="1"/>
    <s v="не защищена"/>
    <n v="500358"/>
    <x v="904"/>
    <n v="52"/>
    <s v="Подразделение52"/>
    <s v="подразделение_2_уровня52"/>
    <s v="-"/>
    <s v="руководитель_среднего_уровня_4"/>
    <n v="6"/>
    <s v="да"/>
    <d v="2022-04-25T00:00:00"/>
    <d v="2022-04-25T00:00:00"/>
    <s v="внутр. сотр. (учитываем)"/>
    <n v="878"/>
    <s v="Романов Николай Егорович"/>
    <n v="879"/>
    <s v="Русланов Кирилл Иванович"/>
    <s v="линейный_руководитель_2"/>
    <s v="Подразделение52"/>
    <x v="1"/>
    <x v="0"/>
    <n v="1"/>
    <n v="0"/>
    <m/>
    <m/>
    <s v="без изменений"/>
    <s v="протокол-№-05.07.2022"/>
  </r>
  <r>
    <s v="Функциональное направление 13"/>
    <n v="3"/>
    <d v="2018-12-21T00:00:00"/>
    <n v="0"/>
    <s v="не защищена"/>
    <n v="500358"/>
    <x v="904"/>
    <n v="52"/>
    <s v="Подразделение52"/>
    <s v="подразделение_2_уровня52"/>
    <s v="-"/>
    <s v="руководитель_среднего_уровня_4"/>
    <n v="6"/>
    <s v="да"/>
    <d v="2022-04-25T00:00:00"/>
    <d v="2022-04-25T00:00:00"/>
    <s v="внутр. сотр. (учитываем)"/>
    <n v="878"/>
    <s v="Романов Николай Егорович"/>
    <n v="878"/>
    <s v="Романов Николай Егорович"/>
    <s v="Специалист"/>
    <s v="Подразделение52"/>
    <x v="1"/>
    <x v="2"/>
    <n v="1"/>
    <n v="0"/>
    <s v="инициатива комитета / руководителя"/>
    <d v="2020-06-23T00:00:00"/>
    <s v="исключение"/>
    <s v="протокол-№-23.06.2020"/>
  </r>
  <r>
    <s v="Функциональное направление 13"/>
    <n v="4"/>
    <d v="2020-12-09T00:00:00"/>
    <n v="1"/>
    <s v="не защищена"/>
    <n v="500359"/>
    <x v="905"/>
    <n v="52"/>
    <s v="Подразделение52"/>
    <s v="подразделение_2_уровня52"/>
    <s v="-"/>
    <s v="линейный_руководитель_2"/>
    <n v="7"/>
    <s v="нет"/>
    <m/>
    <m/>
    <m/>
    <n v="879"/>
    <s v="Русланов Кирилл Иванович"/>
    <n v="1982"/>
    <s v="Тимофеев Савелий Александрович"/>
    <s v="Рабочий"/>
    <s v="Подразделение52"/>
    <x v="0"/>
    <x v="0"/>
    <n v="0"/>
    <n v="0"/>
    <m/>
    <m/>
    <s v="повышение"/>
    <s v="протокол-№-23.11.2022"/>
  </r>
  <r>
    <s v="Функциональное направление 13"/>
    <n v="4"/>
    <d v="2022-11-23T00:00:00"/>
    <n v="0"/>
    <s v="не защищена"/>
    <n v="500359"/>
    <x v="905"/>
    <n v="52"/>
    <s v="Подразделение52"/>
    <s v="подразделение_2_уровня52"/>
    <s v="-"/>
    <s v="линейный_руководитель_2"/>
    <n v="7"/>
    <s v="нет"/>
    <m/>
    <m/>
    <m/>
    <n v="879"/>
    <s v="Русланов Кирилл Иванович"/>
    <n v="1983"/>
    <s v="Тимофеев Геннадий Герасимович"/>
    <s v="Рабочий"/>
    <s v="Подразделение52"/>
    <x v="2"/>
    <x v="0"/>
    <n v="0"/>
    <n v="0"/>
    <m/>
    <m/>
    <s v="не рассматривали"/>
    <s v="протокол-№-23.11.2022"/>
  </r>
  <r>
    <s v="Функциональное направление 13"/>
    <n v="3"/>
    <d v="2020-12-09T00:00:00"/>
    <n v="1"/>
    <s v="не защищена"/>
    <n v="500360"/>
    <x v="906"/>
    <n v="52"/>
    <s v="Подразделение52"/>
    <s v="подразделение_2_уровня52"/>
    <s v="-"/>
    <s v="руководитель_среднего_уровня_4"/>
    <n v="6"/>
    <s v="нет"/>
    <m/>
    <m/>
    <m/>
    <n v="880"/>
    <s v="Романов Николай Александрович"/>
    <n v="881"/>
    <s v="Волков Константин Григорьевич"/>
    <s v="линейный_руководитель_2"/>
    <s v="Подразделение52"/>
    <x v="0"/>
    <x v="0"/>
    <n v="1"/>
    <n v="0"/>
    <m/>
    <m/>
    <s v="не рассматривали"/>
    <s v="протокол-№-09.12.2020"/>
  </r>
  <r>
    <s v="Функциональное направление 13"/>
    <n v="4"/>
    <d v="2020-12-09T00:00:00"/>
    <n v="1"/>
    <s v="не защищена"/>
    <n v="500361"/>
    <x v="907"/>
    <n v="52"/>
    <s v="Подразделение52"/>
    <s v="подразделение_2_уровня52"/>
    <s v="-"/>
    <s v="линейный_руководитель_2"/>
    <n v="7"/>
    <s v="нет"/>
    <m/>
    <m/>
    <m/>
    <n v="881"/>
    <s v="Волков Константин Григорьевич"/>
    <n v="1984"/>
    <s v="Ветров Савелий Семенович"/>
    <s v="Рабочий"/>
    <s v="Подразделение52"/>
    <x v="2"/>
    <x v="0"/>
    <n v="0"/>
    <n v="0"/>
    <m/>
    <m/>
    <s v="без изменений"/>
    <s v="протокол-№-23.11.2022"/>
  </r>
  <r>
    <s v="Функциональное направление 13"/>
    <n v="3"/>
    <d v="2018-12-21T00:00:00"/>
    <n v="1"/>
    <s v="не защищена"/>
    <n v="500362"/>
    <x v="908"/>
    <n v="52"/>
    <s v="Подразделение52"/>
    <s v="подразделение_2_уровня52"/>
    <s v="-"/>
    <s v="руководитель_среднего_уровня_2"/>
    <n v="6"/>
    <s v="да"/>
    <d v="2020-11-16T00:00:00"/>
    <d v="2020-11-16T00:00:00"/>
    <s v="из резерва (учитываем)"/>
    <n v="882"/>
    <s v="Волков Венедикт Владимирович"/>
    <n v="1985"/>
    <s v="Ветров Геннадий Семенович"/>
    <s v="функциональный_руководитель_1"/>
    <s v="Подразделение52"/>
    <x v="1"/>
    <x v="0"/>
    <n v="1"/>
    <n v="0"/>
    <m/>
    <m/>
    <s v="повышение"/>
    <s v="протокол-№-05.07.2022"/>
  </r>
  <r>
    <s v="Функциональное направление 13"/>
    <n v="3"/>
    <d v="2018-12-21T00:00:00"/>
    <n v="0"/>
    <s v="не защищена"/>
    <n v="500362"/>
    <x v="908"/>
    <n v="52"/>
    <s v="Подразделение52"/>
    <s v="подразделение_2_уровня52"/>
    <s v="-"/>
    <s v="руководитель_среднего_уровня_2"/>
    <n v="6"/>
    <s v="да"/>
    <d v="2020-11-16T00:00:00"/>
    <d v="2020-11-16T00:00:00"/>
    <s v="из резерва (учитываем)"/>
    <n v="882"/>
    <s v="Волков Венедикт Владимирович"/>
    <n v="887"/>
    <s v="Романов Алексей Романович"/>
    <s v="линейный_руководитель_2"/>
    <s v="Подразделение52"/>
    <x v="1"/>
    <x v="0"/>
    <n v="1"/>
    <n v="0"/>
    <m/>
    <m/>
    <s v="повышение"/>
    <s v="протокол-№-05.07.2022"/>
  </r>
  <r>
    <s v="Функциональное направление 13"/>
    <n v="3"/>
    <d v="2018-12-21T00:00:00"/>
    <n v="0"/>
    <s v="не защищена"/>
    <n v="500362"/>
    <x v="908"/>
    <n v="52"/>
    <s v="Подразделение52"/>
    <s v="подразделение_2_уровня52"/>
    <s v="-"/>
    <s v="руководитель_среднего_уровня_2"/>
    <n v="6"/>
    <s v="да"/>
    <d v="2020-11-16T00:00:00"/>
    <d v="2020-11-16T00:00:00"/>
    <s v="из резерва (учитываем)"/>
    <n v="882"/>
    <s v="Волков Венедикт Владимирович"/>
    <n v="882"/>
    <s v="Волков Венедикт Владимирович"/>
    <s v="руководитель_среднего_уровня_2"/>
    <s v="Подразделение52"/>
    <x v="0"/>
    <x v="1"/>
    <n v="1"/>
    <n v="1"/>
    <s v="назначение на целевую должность"/>
    <d v="2020-11-16T00:00:00"/>
    <s v="повышение"/>
    <s v="протокол-№-23.06.2020"/>
  </r>
  <r>
    <s v="Функциональное направление 13"/>
    <n v="4"/>
    <d v="2020-12-09T00:00:00"/>
    <n v="1"/>
    <s v="не защищена"/>
    <n v="500363"/>
    <x v="909"/>
    <n v="52"/>
    <s v="Подразделение52"/>
    <s v="подразделение_2_уровня52"/>
    <s v="-"/>
    <s v="линейный_руководитель_1"/>
    <n v="7"/>
    <s v="нет"/>
    <m/>
    <m/>
    <m/>
    <n v="883"/>
    <s v="Вобликов Григорий Егорович"/>
    <n v="1986"/>
    <s v="Тимофеев Виталий Александрович"/>
    <s v="Рабочий"/>
    <s v="Подразделение52"/>
    <x v="0"/>
    <x v="0"/>
    <n v="1"/>
    <n v="0"/>
    <m/>
    <m/>
    <s v="повышение"/>
    <s v="протокол-№-23.11.2022"/>
  </r>
  <r>
    <s v="Функциональное направление 13"/>
    <n v="4"/>
    <d v="2020-12-09T00:00:00"/>
    <n v="0"/>
    <s v="не защищена"/>
    <n v="500363"/>
    <x v="909"/>
    <n v="52"/>
    <s v="Подразделение52"/>
    <s v="подразделение_2_уровня52"/>
    <s v="-"/>
    <s v="линейный_руководитель_1"/>
    <n v="7"/>
    <s v="нет"/>
    <m/>
    <m/>
    <m/>
    <n v="883"/>
    <s v="Вобликов Григорий Егорович"/>
    <n v="1987"/>
    <s v="Тимофеев Матвей Ефремович"/>
    <s v="Рабочий"/>
    <s v="Подразделение52"/>
    <x v="2"/>
    <x v="0"/>
    <n v="0"/>
    <n v="0"/>
    <m/>
    <m/>
    <s v="не рассматривали"/>
    <s v="протокол-№-09.12.2020"/>
  </r>
  <r>
    <s v="Функциональное направление 13"/>
    <n v="4"/>
    <d v="2020-12-09T00:00:00"/>
    <n v="0"/>
    <s v="не защищена"/>
    <n v="500363"/>
    <x v="909"/>
    <n v="52"/>
    <s v="Подразделение52"/>
    <s v="подразделение_2_уровня52"/>
    <s v="-"/>
    <s v="линейный_руководитель_1"/>
    <n v="7"/>
    <s v="нет"/>
    <m/>
    <m/>
    <m/>
    <n v="883"/>
    <s v="Вобликов Григорий Егорович"/>
    <n v="1988"/>
    <s v="Ветров Савелий Герасимович"/>
    <s v="Рабочий"/>
    <s v="Подразделение52"/>
    <x v="0"/>
    <x v="0"/>
    <n v="1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363"/>
    <x v="909"/>
    <n v="52"/>
    <s v="Подразделение52"/>
    <s v="подразделение_2_уровня52"/>
    <s v="-"/>
    <s v="линейный_руководитель_1"/>
    <n v="7"/>
    <s v="нет"/>
    <m/>
    <m/>
    <m/>
    <n v="883"/>
    <s v="Вобликов Григорий Егорович"/>
    <n v="1086"/>
    <s v="Кириллов Савелий Викторович"/>
    <s v="линейный_руководитель_2"/>
    <s v="Подразделение52"/>
    <x v="1"/>
    <x v="2"/>
    <n v="1"/>
    <n v="0"/>
    <s v="назначение на целевую должность"/>
    <d v="2023-06-14T00:00:00"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363"/>
    <x v="909"/>
    <n v="52"/>
    <s v="Подразделение52"/>
    <s v="подразделение_2_уровня52"/>
    <s v="-"/>
    <s v="линейный_руководитель_1"/>
    <n v="7"/>
    <s v="нет"/>
    <m/>
    <m/>
    <m/>
    <n v="883"/>
    <s v="Вобликов Григорий Егорович"/>
    <n v="1989"/>
    <s v="Незнамов Савелий Богданович"/>
    <s v="Рабочий"/>
    <s v="Подразделение52"/>
    <x v="0"/>
    <x v="0"/>
    <n v="1"/>
    <n v="0"/>
    <m/>
    <m/>
    <s v="не рассматривали"/>
    <s v="протокол-№-23.11.2022"/>
  </r>
  <r>
    <s v="Функциональное направление 13"/>
    <n v="4"/>
    <d v="2020-12-09T00:00:00"/>
    <n v="0"/>
    <s v="не защищена"/>
    <n v="500363"/>
    <x v="909"/>
    <n v="52"/>
    <s v="Подразделение52"/>
    <s v="подразделение_2_уровня52"/>
    <s v="-"/>
    <s v="линейный_руководитель_1"/>
    <n v="7"/>
    <s v="нет"/>
    <m/>
    <m/>
    <m/>
    <n v="883"/>
    <s v="Вобликов Григорий Егорович"/>
    <n v="884"/>
    <s v="Русланов Тихон Александрович"/>
    <s v="линейный_руководитель_2"/>
    <s v="Подразделение52"/>
    <x v="1"/>
    <x v="1"/>
    <n v="1"/>
    <n v="0"/>
    <s v="назначение на целевую должность"/>
    <d v="2021-04-15T00:00:00"/>
    <s v="не рассматривали"/>
    <s v="протокол-№-09.12.2020"/>
  </r>
  <r>
    <s v="Функциональное направление 13"/>
    <n v="4"/>
    <d v="2020-12-09T00:00:00"/>
    <n v="1"/>
    <s v="не защищена"/>
    <n v="500363"/>
    <x v="910"/>
    <n v="52"/>
    <s v="Подразделение52"/>
    <s v="подразделение_2_уровня52"/>
    <s v="-"/>
    <s v="линейный_руководитель_1"/>
    <n v="7"/>
    <s v="да"/>
    <d v="2021-01-30T00:00:00"/>
    <d v="2021-04-15T00:00:00"/>
    <s v="из резерва (учитываем)"/>
    <n v="884"/>
    <s v="Русланов Тихон Александрович"/>
    <n v="1986"/>
    <s v="Тимофеев Виталий Александрович"/>
    <s v="Рабочий"/>
    <s v="Подразделение52"/>
    <x v="0"/>
    <x v="0"/>
    <n v="0"/>
    <n v="0"/>
    <m/>
    <m/>
    <s v="повышение"/>
    <s v="протокол-№-23.11.2022"/>
  </r>
  <r>
    <s v="Функциональное направление 13"/>
    <n v="4"/>
    <d v="2020-12-09T00:00:00"/>
    <n v="0"/>
    <s v="не защищена"/>
    <n v="500363"/>
    <x v="910"/>
    <n v="52"/>
    <s v="Подразделение52"/>
    <s v="подразделение_2_уровня52"/>
    <s v="-"/>
    <s v="линейный_руководитель_1"/>
    <n v="7"/>
    <s v="да"/>
    <d v="2021-01-30T00:00:00"/>
    <d v="2021-04-15T00:00:00"/>
    <s v="из резерва (учитываем)"/>
    <n v="884"/>
    <s v="Русланов Тихон Александрович"/>
    <n v="1987"/>
    <s v="Тимофеев Матвей Ефремович"/>
    <s v="Рабочий"/>
    <s v="Подразделение52"/>
    <x v="2"/>
    <x v="0"/>
    <n v="0"/>
    <n v="0"/>
    <m/>
    <m/>
    <s v="не рассматривали"/>
    <s v="протокол-№-09.12.2020"/>
  </r>
  <r>
    <s v="Функциональное направление 13"/>
    <n v="4"/>
    <d v="2020-12-09T00:00:00"/>
    <n v="0"/>
    <s v="не защищена"/>
    <n v="500363"/>
    <x v="910"/>
    <n v="52"/>
    <s v="Подразделение52"/>
    <s v="подразделение_2_уровня52"/>
    <s v="-"/>
    <s v="линейный_руководитель_1"/>
    <n v="7"/>
    <s v="да"/>
    <d v="2021-01-30T00:00:00"/>
    <d v="2021-04-15T00:00:00"/>
    <s v="из резерва (учитываем)"/>
    <n v="884"/>
    <s v="Русланов Тихон Александрович"/>
    <n v="1988"/>
    <s v="Ветров Савелий Герасимович"/>
    <s v="Рабочий"/>
    <s v="Подразделение52"/>
    <x v="0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363"/>
    <x v="910"/>
    <n v="52"/>
    <s v="Подразделение52"/>
    <s v="подразделение_2_уровня52"/>
    <s v="-"/>
    <s v="линейный_руководитель_1"/>
    <n v="7"/>
    <s v="да"/>
    <d v="2021-01-30T00:00:00"/>
    <d v="2021-04-15T00:00:00"/>
    <s v="из резерва (учитываем)"/>
    <n v="884"/>
    <s v="Русланов Тихон Александрович"/>
    <n v="1086"/>
    <s v="Кириллов Савелий Викторович"/>
    <s v="линейный_руководитель_2"/>
    <s v="Подразделение52"/>
    <x v="1"/>
    <x v="2"/>
    <n v="0"/>
    <n v="0"/>
    <s v="назначение на целевую должность"/>
    <d v="2023-06-14T00:00:00"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363"/>
    <x v="910"/>
    <n v="52"/>
    <s v="Подразделение52"/>
    <s v="подразделение_2_уровня52"/>
    <s v="-"/>
    <s v="линейный_руководитель_1"/>
    <n v="7"/>
    <s v="да"/>
    <d v="2021-01-30T00:00:00"/>
    <d v="2021-04-15T00:00:00"/>
    <s v="из резерва (учитываем)"/>
    <n v="884"/>
    <s v="Русланов Тихон Александрович"/>
    <n v="1989"/>
    <s v="Незнамов Савелий Богданович"/>
    <s v="Рабочий"/>
    <s v="Подразделение52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0-12-09T00:00:00"/>
    <n v="0"/>
    <s v="не защищена"/>
    <n v="500363"/>
    <x v="910"/>
    <n v="52"/>
    <s v="Подразделение52"/>
    <s v="подразделение_2_уровня52"/>
    <s v="-"/>
    <s v="линейный_руководитель_1"/>
    <n v="7"/>
    <s v="да"/>
    <d v="2021-01-30T00:00:00"/>
    <d v="2021-04-15T00:00:00"/>
    <s v="из резерва (учитываем)"/>
    <n v="884"/>
    <s v="Русланов Тихон Александрович"/>
    <n v="884"/>
    <s v="Русланов Тихон Александрович"/>
    <s v="линейный_руководитель_2"/>
    <s v="Подразделение52"/>
    <x v="1"/>
    <x v="1"/>
    <n v="0"/>
    <n v="1"/>
    <s v="назначение на целевую должность"/>
    <d v="2021-04-15T00:00:00"/>
    <s v="не рассматривали"/>
    <s v="протокол-№-09.12.2020"/>
  </r>
  <r>
    <s v="Функциональное направление 13"/>
    <n v="4"/>
    <d v="2020-12-09T00:00:00"/>
    <n v="1"/>
    <s v="не защищена"/>
    <n v="500363"/>
    <x v="911"/>
    <n v="52"/>
    <s v="Подразделение52"/>
    <s v="подразделение_2_уровня52"/>
    <s v="-"/>
    <s v="линейный_руководитель_1"/>
    <n v="7"/>
    <s v="нет"/>
    <m/>
    <m/>
    <m/>
    <n v="885"/>
    <s v="Баранкин Николай Тимофеевич"/>
    <n v="1986"/>
    <s v="Тимофеев Виталий Александрович"/>
    <s v="Рабочий"/>
    <s v="Подразделение52"/>
    <x v="0"/>
    <x v="0"/>
    <n v="0"/>
    <n v="0"/>
    <m/>
    <m/>
    <s v="повышение"/>
    <s v="протокол-№-23.11.2022"/>
  </r>
  <r>
    <s v="Функциональное направление 13"/>
    <n v="4"/>
    <d v="2020-12-09T00:00:00"/>
    <n v="0"/>
    <s v="не защищена"/>
    <n v="500363"/>
    <x v="911"/>
    <n v="52"/>
    <s v="Подразделение52"/>
    <s v="подразделение_2_уровня52"/>
    <s v="-"/>
    <s v="линейный_руководитель_1"/>
    <n v="7"/>
    <s v="нет"/>
    <m/>
    <m/>
    <m/>
    <n v="885"/>
    <s v="Баранкин Николай Тимофеевич"/>
    <n v="1987"/>
    <s v="Тимофеев Матвей Ефремович"/>
    <s v="Рабочий"/>
    <s v="Подразделение52"/>
    <x v="2"/>
    <x v="0"/>
    <n v="0"/>
    <n v="0"/>
    <m/>
    <m/>
    <s v="не рассматривали"/>
    <s v="протокол-№-09.12.2020"/>
  </r>
  <r>
    <s v="Функциональное направление 13"/>
    <n v="4"/>
    <d v="2020-12-09T00:00:00"/>
    <n v="0"/>
    <s v="не защищена"/>
    <n v="500363"/>
    <x v="911"/>
    <n v="52"/>
    <s v="Подразделение52"/>
    <s v="подразделение_2_уровня52"/>
    <s v="-"/>
    <s v="линейный_руководитель_1"/>
    <n v="7"/>
    <s v="нет"/>
    <m/>
    <m/>
    <m/>
    <n v="885"/>
    <s v="Баранкин Николай Тимофеевич"/>
    <n v="1988"/>
    <s v="Ветров Савелий Герасимович"/>
    <s v="Рабочий"/>
    <s v="Подразделение52"/>
    <x v="0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363"/>
    <x v="911"/>
    <n v="52"/>
    <s v="Подразделение52"/>
    <s v="подразделение_2_уровня52"/>
    <s v="-"/>
    <s v="линейный_руководитель_1"/>
    <n v="7"/>
    <s v="нет"/>
    <m/>
    <m/>
    <m/>
    <n v="885"/>
    <s v="Баранкин Николай Тимофеевич"/>
    <n v="1086"/>
    <s v="Кириллов Савелий Викторович"/>
    <s v="линейный_руководитель_2"/>
    <s v="Подразделение52"/>
    <x v="1"/>
    <x v="2"/>
    <n v="0"/>
    <n v="0"/>
    <s v="назначение на целевую должность"/>
    <d v="2023-06-14T00:00:00"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363"/>
    <x v="911"/>
    <n v="52"/>
    <s v="Подразделение52"/>
    <s v="подразделение_2_уровня52"/>
    <s v="-"/>
    <s v="линейный_руководитель_1"/>
    <n v="7"/>
    <s v="нет"/>
    <m/>
    <m/>
    <m/>
    <n v="885"/>
    <s v="Баранкин Николай Тимофеевич"/>
    <n v="1989"/>
    <s v="Незнамов Савелий Богданович"/>
    <s v="Рабочий"/>
    <s v="Подразделение52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0-12-09T00:00:00"/>
    <n v="0"/>
    <s v="не защищена"/>
    <n v="500363"/>
    <x v="911"/>
    <n v="52"/>
    <s v="Подразделение52"/>
    <s v="подразделение_2_уровня52"/>
    <s v="-"/>
    <s v="линейный_руководитель_1"/>
    <n v="7"/>
    <s v="нет"/>
    <m/>
    <m/>
    <m/>
    <n v="885"/>
    <s v="Баранкин Николай Тимофеевич"/>
    <n v="884"/>
    <s v="Русланов Тихон Александрович"/>
    <s v="линейный_руководитель_2"/>
    <s v="Подразделение52"/>
    <x v="1"/>
    <x v="1"/>
    <n v="0"/>
    <n v="0"/>
    <s v="назначение на целевую должность"/>
    <d v="2021-04-15T00:00:00"/>
    <s v="не рассматривали"/>
    <s v="протокол-№-09.12.2020"/>
  </r>
  <r>
    <s v="Функциональное направление 13"/>
    <n v="4"/>
    <d v="2022-11-23T00:00:00"/>
    <n v="1"/>
    <s v="не защищена"/>
    <n v="500364"/>
    <x v="912"/>
    <n v="52"/>
    <s v="Подразделение52"/>
    <s v="подразделение_2_уровня52"/>
    <s v="подразделение_3_уровня52"/>
    <s v="линейный_руководитель_2"/>
    <n v="7"/>
    <s v="да"/>
    <d v="2022-02-16T00:00:00"/>
    <d v="2022-04-18T00:00:00"/>
    <s v="из резерва (учитываем)"/>
    <n v="886"/>
    <s v="Русланов Валерий Романович"/>
    <n v="1987"/>
    <s v="Тимофеев Матвей Ефремович"/>
    <s v="Рабочий"/>
    <s v="Подразделение52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364"/>
    <x v="912"/>
    <n v="52"/>
    <s v="Подразделение52"/>
    <s v="подразделение_2_уровня52"/>
    <s v="подразделение_3_уровня52"/>
    <s v="линейный_руководитель_2"/>
    <n v="7"/>
    <s v="да"/>
    <d v="2022-02-16T00:00:00"/>
    <d v="2022-04-18T00:00:00"/>
    <s v="из резерва (учитываем)"/>
    <n v="886"/>
    <s v="Русланов Валерий Романович"/>
    <n v="1990"/>
    <s v="Брежнев Геннадий Ефремович"/>
    <s v="Рабочий"/>
    <s v="Подразделение52"/>
    <x v="2"/>
    <x v="0"/>
    <n v="1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364"/>
    <x v="912"/>
    <n v="52"/>
    <s v="Подразделение52"/>
    <s v="подразделение_2_уровня52"/>
    <s v="подразделение_3_уровня52"/>
    <s v="линейный_руководитель_2"/>
    <n v="7"/>
    <s v="да"/>
    <d v="2022-02-16T00:00:00"/>
    <d v="2022-04-18T00:00:00"/>
    <s v="из резерва (учитываем)"/>
    <n v="886"/>
    <s v="Русланов Валерий Романович"/>
    <n v="1991"/>
    <s v="Тимофеев Матвей Александрович"/>
    <s v="Рабочий"/>
    <s v="Подразделение52"/>
    <x v="0"/>
    <x v="0"/>
    <n v="1"/>
    <n v="0"/>
    <m/>
    <m/>
    <s v="не рассматривали"/>
    <s v="протокол-№-23.11.2022"/>
  </r>
  <r>
    <s v="Функциональное направление 13"/>
    <n v="4"/>
    <d v="2020-12-09T00:00:00"/>
    <n v="0"/>
    <s v="не защищена"/>
    <n v="500364"/>
    <x v="912"/>
    <n v="52"/>
    <s v="Подразделение52"/>
    <s v="подразделение_2_уровня52"/>
    <s v="подразделение_3_уровня52"/>
    <s v="линейный_руководитель_2"/>
    <n v="7"/>
    <s v="да"/>
    <d v="2022-02-16T00:00:00"/>
    <d v="2022-04-18T00:00:00"/>
    <s v="из резерва (учитываем)"/>
    <n v="886"/>
    <s v="Русланов Валерий Романович"/>
    <n v="886"/>
    <s v="Русланов Валерий Романович"/>
    <s v="линейный_руководитель_2"/>
    <s v="Подразделение52"/>
    <x v="0"/>
    <x v="1"/>
    <n v="1"/>
    <n v="1"/>
    <s v="назначение на целевую должность"/>
    <d v="2022-04-18T00:00:00"/>
    <s v="не рассматривали"/>
    <s v="протокол-№-09.12.2020"/>
  </r>
  <r>
    <s v="Функциональное направление 13"/>
    <n v="4"/>
    <d v="2020-12-09T00:00:00"/>
    <n v="0"/>
    <s v="не защищена"/>
    <n v="500364"/>
    <x v="912"/>
    <n v="52"/>
    <s v="Подразделение52"/>
    <s v="подразделение_2_уровня52"/>
    <s v="подразделение_3_уровня52"/>
    <s v="линейный_руководитель_2"/>
    <n v="7"/>
    <s v="да"/>
    <d v="2022-02-16T00:00:00"/>
    <d v="2022-04-18T00:00:00"/>
    <s v="из резерва (учитываем)"/>
    <n v="886"/>
    <s v="Русланов Валерий Романович"/>
    <n v="1992"/>
    <s v="Кириллов Савелий Александрович"/>
    <s v="функциональный_руководитель_1"/>
    <s v="Подразделение52"/>
    <x v="1"/>
    <x v="2"/>
    <n v="1"/>
    <n v="0"/>
    <s v="назначение на равнозначную должность"/>
    <d v="2022-11-23T00:00:00"/>
    <s v="исключение"/>
    <s v="протокол-№-23.11.2022"/>
  </r>
  <r>
    <s v="Функциональное направление 13"/>
    <n v="4"/>
    <d v="2022-11-23T00:00:00"/>
    <n v="1"/>
    <s v="не защищена"/>
    <n v="500365"/>
    <x v="913"/>
    <n v="52"/>
    <s v="Подразделение52"/>
    <s v="подразделение_2_уровня52"/>
    <s v="подразделение_3_уровня52"/>
    <s v="линейный_руководитель_2"/>
    <n v="7"/>
    <s v="да"/>
    <d v="2023-06-14T00:00:00"/>
    <d v="2023-06-14T00:00:00"/>
    <s v="внутр. сотр. из списка КР (учитываем)"/>
    <n v="887"/>
    <s v="Романов Алексей Романович"/>
    <n v="1987"/>
    <s v="Тимофеев Матвей Ефремович"/>
    <s v="Рабочий"/>
    <s v="Подразделение52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365"/>
    <x v="913"/>
    <n v="52"/>
    <s v="Подразделение52"/>
    <s v="подразделение_2_уровня52"/>
    <s v="подразделение_3_уровня52"/>
    <s v="линейный_руководитель_2"/>
    <n v="7"/>
    <s v="да"/>
    <d v="2023-06-14T00:00:00"/>
    <d v="2023-06-14T00:00:00"/>
    <s v="внутр. сотр. из списка КР (учитываем)"/>
    <n v="887"/>
    <s v="Романов Алексей Романович"/>
    <n v="1990"/>
    <s v="Брежнев Геннадий Ефремович"/>
    <s v="Рабочий"/>
    <s v="Подразделение52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365"/>
    <x v="913"/>
    <n v="52"/>
    <s v="Подразделение52"/>
    <s v="подразделение_2_уровня52"/>
    <s v="подразделение_3_уровня52"/>
    <s v="линейный_руководитель_2"/>
    <n v="7"/>
    <s v="да"/>
    <d v="2023-06-14T00:00:00"/>
    <d v="2023-06-14T00:00:00"/>
    <s v="внутр. сотр. из списка КР (учитываем)"/>
    <n v="887"/>
    <s v="Романов Алексей Романович"/>
    <n v="1991"/>
    <s v="Тимофеев Матвей Александрович"/>
    <s v="Рабочий"/>
    <s v="Подразделение52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0-12-09T00:00:00"/>
    <n v="0"/>
    <s v="не защищена"/>
    <n v="500365"/>
    <x v="913"/>
    <n v="52"/>
    <s v="Подразделение52"/>
    <s v="подразделение_2_уровня52"/>
    <s v="подразделение_3_уровня52"/>
    <s v="линейный_руководитель_2"/>
    <n v="7"/>
    <s v="да"/>
    <d v="2023-06-14T00:00:00"/>
    <d v="2023-06-14T00:00:00"/>
    <s v="внутр. сотр. из списка КР (учитываем)"/>
    <n v="887"/>
    <s v="Романов Алексей Романович"/>
    <n v="886"/>
    <s v="Русланов Валерий Романович"/>
    <s v="линейный_руководитель_2"/>
    <s v="Подразделение52"/>
    <x v="0"/>
    <x v="1"/>
    <n v="0"/>
    <n v="0"/>
    <s v="назначение на целевую должность"/>
    <d v="2022-04-18T00:00:00"/>
    <s v="не рассматривали"/>
    <s v="протокол-№-09.12.2020"/>
  </r>
  <r>
    <s v="Функциональное направление 13"/>
    <n v="4"/>
    <d v="2020-12-09T00:00:00"/>
    <n v="0"/>
    <s v="не защищена"/>
    <n v="500365"/>
    <x v="913"/>
    <n v="52"/>
    <s v="Подразделение52"/>
    <s v="подразделение_2_уровня52"/>
    <s v="подразделение_3_уровня52"/>
    <s v="линейный_руководитель_2"/>
    <n v="7"/>
    <s v="да"/>
    <d v="2023-06-14T00:00:00"/>
    <d v="2023-06-14T00:00:00"/>
    <s v="внутр. сотр. из списка КР (учитываем)"/>
    <n v="887"/>
    <s v="Романов Алексей Романович"/>
    <n v="1992"/>
    <s v="Кириллов Савелий Александрович"/>
    <s v="функциональный_руководитель_1"/>
    <s v="Подразделение52"/>
    <x v="1"/>
    <x v="2"/>
    <n v="0"/>
    <n v="0"/>
    <s v="назначение на равнозначную должность"/>
    <d v="2022-11-23T00:00:00"/>
    <s v="исключение"/>
    <s v="протокол-№-23.11.2022"/>
  </r>
  <r>
    <s v="Функциональное направление 13"/>
    <n v="3"/>
    <d v="2020-12-25T00:00:00"/>
    <n v="1"/>
    <s v="не защищена"/>
    <n v="500369"/>
    <x v="914"/>
    <n v="51"/>
    <s v="Подразделение51"/>
    <s v="подразделение_2_уровня51"/>
    <s v="-"/>
    <s v="руководитель_среднего_уровня_2"/>
    <n v="6"/>
    <s v="нет"/>
    <m/>
    <m/>
    <m/>
    <n v="888"/>
    <s v="Вобликов Николай Владимирович"/>
    <n v="899"/>
    <s v="Волков Федот Александрович"/>
    <s v="руководитель_среднего_уровня_4"/>
    <s v="Подразделение51"/>
    <x v="1"/>
    <x v="0"/>
    <n v="1"/>
    <n v="0"/>
    <m/>
    <m/>
    <s v="без изменений"/>
    <s v="протокол-№-05.07.2022"/>
  </r>
  <r>
    <s v="Функциональное направление 13"/>
    <n v="3"/>
    <d v="2020-12-25T00:00:00"/>
    <n v="0"/>
    <s v="не защищена"/>
    <n v="500369"/>
    <x v="914"/>
    <n v="51"/>
    <s v="Подразделение51"/>
    <s v="подразделение_2_уровня51"/>
    <s v="-"/>
    <s v="руководитель_среднего_уровня_2"/>
    <n v="6"/>
    <s v="нет"/>
    <m/>
    <m/>
    <m/>
    <n v="888"/>
    <s v="Вобликов Николай Владимирович"/>
    <n v="889"/>
    <s v="Пальчиков Константин Кириллович"/>
    <s v="функциональный_руководитель_1"/>
    <s v="Подразделение51"/>
    <x v="2"/>
    <x v="0"/>
    <n v="1"/>
    <n v="0"/>
    <m/>
    <m/>
    <s v="без изменений"/>
    <s v="протокол-№-05.07.2022"/>
  </r>
  <r>
    <s v="Функциональное направление 13"/>
    <n v="4"/>
    <d v="2022-12-01T00:00:00"/>
    <n v="1"/>
    <s v="не защищена"/>
    <n v="500370"/>
    <x v="915"/>
    <n v="51"/>
    <s v="Подразделение51"/>
    <s v="подразделение_2_уровня51"/>
    <s v="-"/>
    <s v="функциональный_руководитель_1"/>
    <n v="7"/>
    <s v="нет"/>
    <m/>
    <m/>
    <m/>
    <n v="889"/>
    <s v="Пальчиков Константин Кириллович"/>
    <n v="1993"/>
    <s v="Исаев Савелий Ефремович"/>
    <s v="Специалист"/>
    <s v="Подразделение51"/>
    <x v="1"/>
    <x v="0"/>
    <n v="1"/>
    <n v="0"/>
    <m/>
    <m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70"/>
    <x v="915"/>
    <n v="51"/>
    <s v="Подразделение51"/>
    <s v="подразделение_2_уровня51"/>
    <s v="-"/>
    <s v="функциональный_руководитель_1"/>
    <n v="7"/>
    <s v="нет"/>
    <m/>
    <m/>
    <m/>
    <n v="889"/>
    <s v="Пальчиков Константин Кириллович"/>
    <n v="1994"/>
    <s v="Кириллов Виталий Михайлович"/>
    <s v="Специалист"/>
    <s v="Подразделение110"/>
    <x v="0"/>
    <x v="2"/>
    <n v="1"/>
    <n v="0"/>
    <s v="прочее (перевод в другое СП / на другое предприятие)"/>
    <d v="2022-12-01T00:00:00"/>
    <s v="исключение"/>
    <s v="протокол-№-01.12.2022"/>
  </r>
  <r>
    <s v="Функциональное направление 13"/>
    <n v="4"/>
    <d v="2020-12-25T00:00:00"/>
    <n v="1"/>
    <s v="не защищена"/>
    <n v="500371"/>
    <x v="916"/>
    <n v="51"/>
    <s v="Подразделение51"/>
    <s v="подразделение_2_уровня51"/>
    <s v="-"/>
    <s v="руководитель_среднего_уровня_3"/>
    <n v="6"/>
    <s v="нет"/>
    <m/>
    <m/>
    <m/>
    <n v="890"/>
    <s v="Романов Алексей Юрьевич"/>
    <n v="1995"/>
    <s v="Тимофеев Юрий Ефремович"/>
    <s v="Рабочий"/>
    <s v="Подразделение51"/>
    <x v="1"/>
    <x v="0"/>
    <n v="1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71"/>
    <x v="916"/>
    <n v="51"/>
    <s v="Подразделение51"/>
    <s v="подразделение_2_уровня51"/>
    <s v="-"/>
    <s v="руководитель_среднего_уровня_3"/>
    <n v="6"/>
    <s v="нет"/>
    <m/>
    <m/>
    <m/>
    <n v="890"/>
    <s v="Романов Алексей Юрьевич"/>
    <n v="1996"/>
    <s v="Незнамов Савелий Ефремович"/>
    <s v="Рабочий"/>
    <s v="Подразделение51"/>
    <x v="0"/>
    <x v="0"/>
    <n v="1"/>
    <n v="0"/>
    <m/>
    <m/>
    <s v="без изменений"/>
    <s v="протокол-№-01.12.2022"/>
  </r>
  <r>
    <s v="Функциональное направление 13"/>
    <n v="4"/>
    <d v="2020-12-25T00:00:00"/>
    <n v="1"/>
    <s v="не защищена"/>
    <n v="500371"/>
    <x v="917"/>
    <n v="51"/>
    <s v="Подразделение51"/>
    <s v="подразделение_2_уровня51"/>
    <s v="-"/>
    <s v="руководитель_среднего_уровня_3"/>
    <n v="6"/>
    <s v="нет"/>
    <m/>
    <m/>
    <m/>
    <n v="891"/>
    <s v="Вобликов Николай Александрович"/>
    <n v="1995"/>
    <s v="Тимофеев Юрий Ефремович"/>
    <s v="Рабочий"/>
    <s v="Подразделение51"/>
    <x v="1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71"/>
    <x v="917"/>
    <n v="51"/>
    <s v="Подразделение51"/>
    <s v="подразделение_2_уровня51"/>
    <s v="-"/>
    <s v="руководитель_среднего_уровня_3"/>
    <n v="6"/>
    <s v="нет"/>
    <m/>
    <m/>
    <m/>
    <n v="891"/>
    <s v="Вобликов Николай Александрович"/>
    <n v="1996"/>
    <s v="Незнамов Савелий Ефремович"/>
    <s v="Рабочий"/>
    <s v="Подразделение51"/>
    <x v="0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1"/>
    <s v="не защищена"/>
    <n v="500371"/>
    <x v="918"/>
    <n v="51"/>
    <s v="Подразделение51"/>
    <s v="подразделение_2_уровня51"/>
    <s v="-"/>
    <s v="руководитель_среднего_уровня_3"/>
    <n v="6"/>
    <s v="нет"/>
    <m/>
    <m/>
    <m/>
    <n v="892"/>
    <s v="Баранкин Константин Владиславович"/>
    <n v="1995"/>
    <s v="Тимофеев Юрий Ефремович"/>
    <s v="Рабочий"/>
    <s v="Подразделение51"/>
    <x v="1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71"/>
    <x v="918"/>
    <n v="51"/>
    <s v="Подразделение51"/>
    <s v="подразделение_2_уровня51"/>
    <s v="-"/>
    <s v="руководитель_среднего_уровня_3"/>
    <n v="6"/>
    <s v="нет"/>
    <m/>
    <m/>
    <m/>
    <n v="892"/>
    <s v="Баранкин Константин Владиславович"/>
    <n v="1996"/>
    <s v="Незнамов Савелий Ефремович"/>
    <s v="Рабочий"/>
    <s v="Подразделение51"/>
    <x v="0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1"/>
    <s v="не защищена"/>
    <n v="500371"/>
    <x v="919"/>
    <n v="51"/>
    <s v="Подразделение51"/>
    <s v="подразделение_2_уровня51"/>
    <s v="-"/>
    <s v="руководитель_среднего_уровня_3"/>
    <n v="6"/>
    <s v="нет"/>
    <m/>
    <m/>
    <m/>
    <n v="893"/>
    <s v="Пальчиков Константин Денисович"/>
    <n v="1995"/>
    <s v="Тимофеев Юрий Ефремович"/>
    <s v="Рабочий"/>
    <s v="Подразделение51"/>
    <x v="1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71"/>
    <x v="919"/>
    <n v="51"/>
    <s v="Подразделение51"/>
    <s v="подразделение_2_уровня51"/>
    <s v="-"/>
    <s v="руководитель_среднего_уровня_3"/>
    <n v="6"/>
    <s v="нет"/>
    <m/>
    <m/>
    <m/>
    <n v="893"/>
    <s v="Пальчиков Константин Денисович"/>
    <n v="1996"/>
    <s v="Незнамов Савелий Ефремович"/>
    <s v="Рабочий"/>
    <s v="Подразделение51"/>
    <x v="0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1"/>
    <s v="не защищена"/>
    <n v="500385"/>
    <x v="920"/>
    <n v="51"/>
    <s v="Подразделение51"/>
    <s v="подразделение_2_уровня51"/>
    <s v="-"/>
    <s v="линейный_руководитель_1"/>
    <n v="7"/>
    <s v="нет"/>
    <m/>
    <m/>
    <m/>
    <n v="894"/>
    <s v="Русланов Валерий Денисович"/>
    <n v="1972"/>
    <s v="Тимофеев Савелий Ефремович"/>
    <s v="Рабочий"/>
    <s v="Подразделение51"/>
    <x v="1"/>
    <x v="0"/>
    <n v="1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85"/>
    <x v="920"/>
    <n v="51"/>
    <s v="Подразделение51"/>
    <s v="подразделение_2_уровня51"/>
    <s v="-"/>
    <s v="линейный_руководитель_1"/>
    <n v="7"/>
    <s v="нет"/>
    <m/>
    <m/>
    <m/>
    <n v="894"/>
    <s v="Русланов Валерий Денисович"/>
    <n v="1997"/>
    <s v="Ветров Савелий Богданович"/>
    <s v="Рабочий"/>
    <s v="Подразделение51"/>
    <x v="0"/>
    <x v="0"/>
    <n v="0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85"/>
    <x v="920"/>
    <n v="51"/>
    <s v="Подразделение51"/>
    <s v="подразделение_2_уровня51"/>
    <s v="-"/>
    <s v="линейный_руководитель_1"/>
    <n v="7"/>
    <s v="нет"/>
    <m/>
    <m/>
    <m/>
    <n v="894"/>
    <s v="Русланов Валерий Денисович"/>
    <n v="1998"/>
    <s v="Брежнев Константин Александрович"/>
    <s v="Рабочий"/>
    <s v="Подразделение51"/>
    <x v="0"/>
    <x v="2"/>
    <n v="0"/>
    <n v="0"/>
    <s v="увольнение"/>
    <d v="2023-07-02T00:00:00"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85"/>
    <x v="920"/>
    <n v="51"/>
    <s v="Подразделение51"/>
    <s v="подразделение_2_уровня51"/>
    <s v="-"/>
    <s v="линейный_руководитель_1"/>
    <n v="7"/>
    <s v="нет"/>
    <m/>
    <m/>
    <m/>
    <n v="894"/>
    <s v="Русланов Валерий Денисович"/>
    <n v="1999"/>
    <s v="Незнамов Савелий Семенович"/>
    <s v="Рабочий"/>
    <s v="Подразделение51"/>
    <x v="2"/>
    <x v="2"/>
    <n v="1"/>
    <n v="0"/>
    <s v="самоотвод"/>
    <d v="2021-11-11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385"/>
    <x v="921"/>
    <n v="51"/>
    <s v="Подразделение51"/>
    <s v="подразделение_2_уровня51"/>
    <s v="-"/>
    <s v="линейный_руководитель_1"/>
    <n v="7"/>
    <s v="нет"/>
    <m/>
    <m/>
    <m/>
    <n v="895"/>
    <s v="Пальчиков Венедикт Егорович"/>
    <n v="1972"/>
    <s v="Тимофеев Савелий Ефремович"/>
    <s v="Рабочий"/>
    <s v="Подразделение51"/>
    <x v="1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85"/>
    <x v="921"/>
    <n v="51"/>
    <s v="Подразделение51"/>
    <s v="подразделение_2_уровня51"/>
    <s v="-"/>
    <s v="линейный_руководитель_1"/>
    <n v="7"/>
    <s v="нет"/>
    <m/>
    <m/>
    <m/>
    <n v="895"/>
    <s v="Пальчиков Венедикт Егорович"/>
    <n v="1997"/>
    <s v="Ветров Савелий Богданович"/>
    <s v="Рабочий"/>
    <s v="Подразделение51"/>
    <x v="0"/>
    <x v="0"/>
    <n v="0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85"/>
    <x v="921"/>
    <n v="51"/>
    <s v="Подразделение51"/>
    <s v="подразделение_2_уровня51"/>
    <s v="-"/>
    <s v="линейный_руководитель_1"/>
    <n v="7"/>
    <s v="нет"/>
    <m/>
    <m/>
    <m/>
    <n v="895"/>
    <s v="Пальчиков Венедикт Егорович"/>
    <n v="1998"/>
    <s v="Брежнев Константин Александрович"/>
    <s v="Рабочий"/>
    <s v="Подразделение51"/>
    <x v="0"/>
    <x v="2"/>
    <n v="0"/>
    <n v="0"/>
    <s v="увольнение"/>
    <d v="2023-07-02T00:00:00"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85"/>
    <x v="921"/>
    <n v="51"/>
    <s v="Подразделение51"/>
    <s v="подразделение_2_уровня51"/>
    <s v="-"/>
    <s v="линейный_руководитель_1"/>
    <n v="7"/>
    <s v="нет"/>
    <m/>
    <m/>
    <m/>
    <n v="895"/>
    <s v="Пальчиков Венедикт Егорович"/>
    <n v="1999"/>
    <s v="Незнамов Савелий Семенович"/>
    <s v="Рабочий"/>
    <s v="Подразделение51"/>
    <x v="2"/>
    <x v="2"/>
    <n v="0"/>
    <n v="0"/>
    <s v="самоотвод"/>
    <d v="2021-11-11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385"/>
    <x v="922"/>
    <n v="51"/>
    <s v="Подразделение51"/>
    <s v="подразделение_2_уровня51"/>
    <s v="-"/>
    <s v="линейный_руководитель_1"/>
    <n v="7"/>
    <s v="нет"/>
    <m/>
    <m/>
    <m/>
    <n v="896"/>
    <s v="Вобликов Николай Владиславович"/>
    <n v="1972"/>
    <s v="Тимофеев Савелий Ефремович"/>
    <s v="Рабочий"/>
    <s v="Подразделение51"/>
    <x v="1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85"/>
    <x v="922"/>
    <n v="51"/>
    <s v="Подразделение51"/>
    <s v="подразделение_2_уровня51"/>
    <s v="-"/>
    <s v="линейный_руководитель_1"/>
    <n v="7"/>
    <s v="нет"/>
    <m/>
    <m/>
    <m/>
    <n v="896"/>
    <s v="Вобликов Николай Владиславович"/>
    <n v="1997"/>
    <s v="Ветров Савелий Богданович"/>
    <s v="Рабочий"/>
    <s v="Подразделение51"/>
    <x v="0"/>
    <x v="0"/>
    <n v="0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85"/>
    <x v="922"/>
    <n v="51"/>
    <s v="Подразделение51"/>
    <s v="подразделение_2_уровня51"/>
    <s v="-"/>
    <s v="линейный_руководитель_1"/>
    <n v="7"/>
    <s v="нет"/>
    <m/>
    <m/>
    <m/>
    <n v="896"/>
    <s v="Вобликов Николай Владиславович"/>
    <n v="1998"/>
    <s v="Брежнев Константин Александрович"/>
    <s v="Рабочий"/>
    <s v="Подразделение51"/>
    <x v="0"/>
    <x v="2"/>
    <n v="0"/>
    <n v="0"/>
    <s v="увольнение"/>
    <d v="2023-07-02T00:00:00"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85"/>
    <x v="922"/>
    <n v="51"/>
    <s v="Подразделение51"/>
    <s v="подразделение_2_уровня51"/>
    <s v="-"/>
    <s v="линейный_руководитель_1"/>
    <n v="7"/>
    <s v="нет"/>
    <m/>
    <m/>
    <m/>
    <n v="896"/>
    <s v="Вобликов Николай Владиславович"/>
    <n v="1999"/>
    <s v="Незнамов Савелий Семенович"/>
    <s v="Рабочий"/>
    <s v="Подразделение51"/>
    <x v="2"/>
    <x v="2"/>
    <n v="0"/>
    <n v="0"/>
    <s v="самоотвод"/>
    <d v="2021-11-11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385"/>
    <x v="923"/>
    <n v="51"/>
    <s v="Подразделение51"/>
    <s v="подразделение_2_уровня51"/>
    <s v="-"/>
    <s v="линейный_руководитель_1"/>
    <n v="7"/>
    <s v="нет"/>
    <m/>
    <m/>
    <m/>
    <n v="897"/>
    <s v="Романов Николай Тимофеевич"/>
    <n v="1972"/>
    <s v="Тимофеев Савелий Ефремович"/>
    <s v="Рабочий"/>
    <s v="Подразделение51"/>
    <x v="1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85"/>
    <x v="923"/>
    <n v="51"/>
    <s v="Подразделение51"/>
    <s v="подразделение_2_уровня51"/>
    <s v="-"/>
    <s v="линейный_руководитель_1"/>
    <n v="7"/>
    <s v="нет"/>
    <m/>
    <m/>
    <m/>
    <n v="897"/>
    <s v="Романов Николай Тимофеевич"/>
    <n v="1997"/>
    <s v="Ветров Савелий Богданович"/>
    <s v="Рабочий"/>
    <s v="Подразделение51"/>
    <x v="0"/>
    <x v="0"/>
    <n v="0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85"/>
    <x v="923"/>
    <n v="51"/>
    <s v="Подразделение51"/>
    <s v="подразделение_2_уровня51"/>
    <s v="-"/>
    <s v="линейный_руководитель_1"/>
    <n v="7"/>
    <s v="нет"/>
    <m/>
    <m/>
    <m/>
    <n v="897"/>
    <s v="Романов Николай Тимофеевич"/>
    <n v="1998"/>
    <s v="Брежнев Константин Александрович"/>
    <s v="Рабочий"/>
    <s v="Подразделение51"/>
    <x v="0"/>
    <x v="2"/>
    <n v="0"/>
    <n v="0"/>
    <s v="увольнение"/>
    <d v="2023-07-02T00:00:00"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85"/>
    <x v="923"/>
    <n v="51"/>
    <s v="Подразделение51"/>
    <s v="подразделение_2_уровня51"/>
    <s v="-"/>
    <s v="линейный_руководитель_1"/>
    <n v="7"/>
    <s v="нет"/>
    <m/>
    <m/>
    <m/>
    <n v="897"/>
    <s v="Романов Николай Тимофеевич"/>
    <n v="1999"/>
    <s v="Незнамов Савелий Семенович"/>
    <s v="Рабочий"/>
    <s v="Подразделение51"/>
    <x v="2"/>
    <x v="2"/>
    <n v="0"/>
    <n v="0"/>
    <s v="самоотвод"/>
    <d v="2021-11-11T00:00:00"/>
    <s v="не рассматривали"/>
    <s v="протокол-№-25.12.2020"/>
  </r>
  <r>
    <s v="Функциональное направление 13"/>
    <n v="3"/>
    <d v="2020-12-25T00:00:00"/>
    <n v="1"/>
    <s v="не защищена"/>
    <n v="500386"/>
    <x v="924"/>
    <n v="51"/>
    <s v="Подразделение51"/>
    <s v="подразделение_2_уровня51"/>
    <s v="-"/>
    <s v="руководитель_среднего_уровня_2"/>
    <n v="6"/>
    <s v="нет"/>
    <m/>
    <m/>
    <m/>
    <n v="898"/>
    <s v="Волков Тихон Тимофеевич"/>
    <n v="899"/>
    <s v="Волков Федот Александрович"/>
    <s v="руководитель_среднего_уровня_4"/>
    <s v="Подразделение51"/>
    <x v="1"/>
    <x v="0"/>
    <n v="1"/>
    <n v="0"/>
    <m/>
    <m/>
    <s v="без изменений"/>
    <s v="протокол-№-05.07.2022"/>
  </r>
  <r>
    <s v="Функциональное направление 13"/>
    <n v="3"/>
    <d v="2020-12-25T00:00:00"/>
    <n v="0"/>
    <s v="не защищена"/>
    <n v="500386"/>
    <x v="924"/>
    <n v="51"/>
    <s v="Подразделение51"/>
    <s v="подразделение_2_уровня51"/>
    <s v="-"/>
    <s v="руководитель_среднего_уровня_2"/>
    <n v="6"/>
    <s v="нет"/>
    <m/>
    <m/>
    <m/>
    <n v="898"/>
    <s v="Волков Тихон Тимофеевич"/>
    <n v="902"/>
    <s v="Русланов Алексей Егорович"/>
    <s v="руководитель_среднего_уровня_4"/>
    <s v="Подразделение51"/>
    <x v="0"/>
    <x v="2"/>
    <n v="1"/>
    <n v="0"/>
    <s v="самоотвод"/>
    <d v="2022-07-05T00:00:00"/>
    <s v="без изменений"/>
    <s v="протокол-№-05.07.2022"/>
  </r>
  <r>
    <s v="Функциональное направление 13"/>
    <n v="4"/>
    <d v="2020-12-25T00:00:00"/>
    <n v="1"/>
    <s v="не защищена"/>
    <n v="500387"/>
    <x v="925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899"/>
    <s v="Волков Федот Александрович"/>
    <n v="901"/>
    <s v="Романов Николай Григорьевич"/>
    <s v="линейный_руководитель_2"/>
    <s v="Подразделение51"/>
    <x v="1"/>
    <x v="0"/>
    <n v="1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87"/>
    <x v="925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899"/>
    <s v="Волков Федот Александрович"/>
    <n v="900"/>
    <s v="Вобликов Григорий Александрович"/>
    <s v="линейный_руководитель_2"/>
    <s v="Подразделение51"/>
    <x v="2"/>
    <x v="2"/>
    <n v="1"/>
    <n v="0"/>
    <s v="инициатива комитета / руководителя"/>
    <d v="2022-12-01T00:00:00"/>
    <s v="исключение"/>
    <s v="протокол-№-01.12.2022"/>
  </r>
  <r>
    <s v="Функциональное направление 13"/>
    <n v="4"/>
    <d v="2020-12-25T00:00:00"/>
    <n v="1"/>
    <s v="не защищена"/>
    <n v="500388"/>
    <x v="926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0"/>
    <s v="Вобликов Григорий Александрович"/>
    <n v="2000"/>
    <s v="Ветров Глеб Александрович"/>
    <s v="Рабочий"/>
    <s v="Подразделение51"/>
    <x v="1"/>
    <x v="0"/>
    <n v="1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88"/>
    <x v="926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0"/>
    <s v="Вобликов Григорий Александрович"/>
    <n v="2001"/>
    <s v="Тимофеев Геннадий Александрович"/>
    <s v="Рабочий"/>
    <s v="Подразделение51"/>
    <x v="1"/>
    <x v="0"/>
    <n v="0"/>
    <n v="0"/>
    <m/>
    <m/>
    <s v="повышение"/>
    <s v="протокол-№-01.12.2022"/>
  </r>
  <r>
    <s v="Функциональное направление 13"/>
    <n v="4"/>
    <d v="2022-12-01T00:00:00"/>
    <n v="0"/>
    <s v="не защищена"/>
    <n v="500388"/>
    <x v="926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0"/>
    <s v="Вобликов Григорий Александрович"/>
    <n v="2002"/>
    <s v="Ветров Юрий Ефремович"/>
    <s v="Рабочий"/>
    <s v="Подразделение51"/>
    <x v="2"/>
    <x v="0"/>
    <n v="0"/>
    <n v="0"/>
    <m/>
    <m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88"/>
    <x v="926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0"/>
    <s v="Вобликов Григорий Александрович"/>
    <n v="2003"/>
    <s v="Незнамов Виталий Александрович"/>
    <s v="Рабочий"/>
    <s v="Подразделение51"/>
    <x v="2"/>
    <x v="2"/>
    <n v="0"/>
    <n v="0"/>
    <s v="инициатива комитета / руководителя"/>
    <d v="2022-12-01T00:00:00"/>
    <s v="исключение"/>
    <s v="протокол-№-01.12.2022"/>
  </r>
  <r>
    <s v="Функциональное направление 13"/>
    <n v="4"/>
    <d v="2020-12-25T00:00:00"/>
    <n v="0"/>
    <s v="не защищена"/>
    <n v="500388"/>
    <x v="926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0"/>
    <s v="Вобликов Григорий Александрович"/>
    <n v="2004"/>
    <s v="Незнамов Юрий Ефремович"/>
    <s v="Рабочий"/>
    <s v="Подразделение51"/>
    <x v="2"/>
    <x v="2"/>
    <n v="1"/>
    <n v="0"/>
    <s v="инициатива комитета / руководителя"/>
    <d v="2022-12-01T00:00:00"/>
    <s v="исключение"/>
    <s v="протокол-№-01.12.2022"/>
  </r>
  <r>
    <s v="Функциональное направление 13"/>
    <n v="4"/>
    <d v="2020-12-25T00:00:00"/>
    <n v="1"/>
    <s v="не защищена"/>
    <n v="500389"/>
    <x v="927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1"/>
    <s v="Романов Николай Григорьевич"/>
    <n v="2000"/>
    <s v="Ветров Глеб Александрович"/>
    <s v="Рабочий"/>
    <s v="Подразделение51"/>
    <x v="1"/>
    <x v="0"/>
    <n v="0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89"/>
    <x v="927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1"/>
    <s v="Романов Николай Григорьевич"/>
    <n v="2001"/>
    <s v="Тимофеев Геннадий Александрович"/>
    <s v="Рабочий"/>
    <s v="Подразделение51"/>
    <x v="1"/>
    <x v="0"/>
    <n v="0"/>
    <n v="0"/>
    <m/>
    <m/>
    <s v="повышение"/>
    <s v="протокол-№-01.12.2022"/>
  </r>
  <r>
    <s v="Функциональное направление 13"/>
    <n v="4"/>
    <d v="2022-12-01T00:00:00"/>
    <n v="0"/>
    <s v="не защищена"/>
    <n v="500389"/>
    <x v="927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1"/>
    <s v="Романов Николай Григорьевич"/>
    <n v="2002"/>
    <s v="Ветров Юрий Ефремович"/>
    <s v="Рабочий"/>
    <s v="Подразделение51"/>
    <x v="2"/>
    <x v="0"/>
    <n v="0"/>
    <n v="0"/>
    <m/>
    <m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89"/>
    <x v="927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1"/>
    <s v="Романов Николай Григорьевич"/>
    <n v="2003"/>
    <s v="Незнамов Виталий Александрович"/>
    <s v="Рабочий"/>
    <s v="Подразделение51"/>
    <x v="2"/>
    <x v="2"/>
    <n v="0"/>
    <n v="0"/>
    <s v="инициатива комитета / руководителя"/>
    <d v="2022-12-01T00:00:00"/>
    <s v="исключение"/>
    <s v="протокол-№-01.12.2022"/>
  </r>
  <r>
    <s v="Функциональное направление 13"/>
    <n v="4"/>
    <d v="2020-12-25T00:00:00"/>
    <n v="0"/>
    <s v="не защищена"/>
    <n v="500389"/>
    <x v="927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1"/>
    <s v="Романов Николай Григорьевич"/>
    <n v="2004"/>
    <s v="Незнамов Юрий Ефремович"/>
    <s v="Рабочий"/>
    <s v="Подразделение51"/>
    <x v="2"/>
    <x v="2"/>
    <n v="0"/>
    <n v="0"/>
    <s v="инициатива комитета / руководителя"/>
    <d v="2022-12-01T00:00:00"/>
    <s v="исключение"/>
    <s v="протокол-№-01.12.2022"/>
  </r>
  <r>
    <s v="Функциональное направление 13"/>
    <n v="4"/>
    <d v="2020-12-25T00:00:00"/>
    <n v="1"/>
    <s v="не защищена"/>
    <n v="500390"/>
    <x v="928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902"/>
    <s v="Русланов Алексей Егорович"/>
    <n v="903"/>
    <s v="Волков Кирилл Владиславович"/>
    <s v="линейный_руководитель_2"/>
    <s v="Подразделение51"/>
    <x v="1"/>
    <x v="0"/>
    <n v="1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90"/>
    <x v="928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902"/>
    <s v="Русланов Алексей Егорович"/>
    <n v="918"/>
    <s v="Цветков Алексей Александрович"/>
    <s v="линейный_руководитель_2"/>
    <s v="Подразделение51"/>
    <x v="1"/>
    <x v="0"/>
    <n v="1"/>
    <n v="0"/>
    <m/>
    <m/>
    <s v="без изменений"/>
    <s v="протокол-№-01.12.2022"/>
  </r>
  <r>
    <s v="Функциональное направление 13"/>
    <n v="4"/>
    <d v="2020-12-25T00:00:00"/>
    <n v="1"/>
    <s v="не защищена"/>
    <n v="500391"/>
    <x v="929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3"/>
    <s v="Волков Кирилл Владиславович"/>
    <n v="2005"/>
    <s v="Незнамов Савелий Семенович"/>
    <s v="Рабочий"/>
    <s v="Подразделение51"/>
    <x v="1"/>
    <x v="0"/>
    <n v="1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91"/>
    <x v="929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3"/>
    <s v="Волков Кирилл Владиславович"/>
    <n v="2004"/>
    <s v="Незнамов Юрий Ефремович"/>
    <s v="Рабочий"/>
    <s v="Подразделение51"/>
    <x v="2"/>
    <x v="2"/>
    <n v="0"/>
    <n v="0"/>
    <s v="инициатива комитета / руководителя"/>
    <d v="2022-12-01T00:00:00"/>
    <s v="исключение"/>
    <s v="протокол-№-01.12.2022"/>
  </r>
  <r>
    <s v="Функциональное направление 13"/>
    <n v="3"/>
    <d v="2020-12-25T00:00:00"/>
    <n v="1"/>
    <s v="не защищена"/>
    <n v="500392"/>
    <x v="930"/>
    <n v="51"/>
    <s v="Подразделение51"/>
    <s v="подразделение_2_уровня51"/>
    <s v="-"/>
    <s v="руководитель_среднего_уровня_2"/>
    <n v="6"/>
    <s v="да"/>
    <d v="2022-06-01T00:00:00"/>
    <d v="2023-03-01T00:00:00"/>
    <s v="из резерва (учитываем)"/>
    <n v="904"/>
    <s v="Волков Николай Владиславович"/>
    <n v="905"/>
    <s v="Вобликов Кирилл Егорович"/>
    <s v="руководитель_среднего_уровня_4"/>
    <s v="Подразделение51"/>
    <x v="0"/>
    <x v="0"/>
    <n v="1"/>
    <n v="0"/>
    <m/>
    <m/>
    <s v="понижение"/>
    <s v="протокол-№-05.07.2022"/>
  </r>
  <r>
    <s v="Функциональное направление 13"/>
    <n v="3"/>
    <d v="2022-07-05T00:00:00"/>
    <n v="0"/>
    <s v="не защищена"/>
    <n v="500392"/>
    <x v="930"/>
    <n v="51"/>
    <s v="Подразделение51"/>
    <s v="подразделение_2_уровня51"/>
    <s v="-"/>
    <s v="руководитель_среднего_уровня_2"/>
    <n v="6"/>
    <s v="да"/>
    <d v="2022-06-01T00:00:00"/>
    <d v="2023-03-01T00:00:00"/>
    <s v="из резерва (учитываем)"/>
    <n v="904"/>
    <s v="Волков Николай Владиславович"/>
    <n v="904"/>
    <s v="Волков Николай Владиславович"/>
    <s v="руководитель_среднего_уровня_4"/>
    <s v="Подразделение51"/>
    <x v="1"/>
    <x v="1"/>
    <n v="1"/>
    <n v="1"/>
    <s v="назначение на целевую должность"/>
    <d v="2023-03-01T00:00:00"/>
    <s v="без изменений"/>
    <s v="протокол-№-05.07.2022"/>
  </r>
  <r>
    <s v="Функциональное направление 13"/>
    <n v="3"/>
    <d v="2022-07-05T00:00:00"/>
    <n v="0"/>
    <s v="не защищена"/>
    <n v="500392"/>
    <x v="930"/>
    <n v="51"/>
    <s v="Подразделение51"/>
    <s v="подразделение_2_уровня51"/>
    <s v="-"/>
    <s v="руководитель_среднего_уровня_2"/>
    <n v="6"/>
    <s v="да"/>
    <d v="2022-06-01T00:00:00"/>
    <d v="2023-03-01T00:00:00"/>
    <s v="из резерва (учитываем)"/>
    <n v="904"/>
    <s v="Волков Николай Владиславович"/>
    <n v="914"/>
    <s v="Баранкин Григорий Александрович"/>
    <s v="руководитель_среднего_уровня_4"/>
    <s v="Подразделение51"/>
    <x v="1"/>
    <x v="2"/>
    <n v="1"/>
    <n v="0"/>
    <s v="самоотвод"/>
    <d v="2022-07-05T00:00:00"/>
    <s v="без изменений"/>
    <s v="протокол-№-05.07.2022"/>
  </r>
  <r>
    <s v="Функциональное направление 13"/>
    <n v="4"/>
    <d v="2020-12-25T00:00:00"/>
    <n v="1"/>
    <s v="не защищена"/>
    <n v="500393"/>
    <x v="931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905"/>
    <s v="Вобликов Кирилл Егорович"/>
    <n v="907"/>
    <s v="Волков Степан Денисович"/>
    <s v="линейный_руководитель_2"/>
    <s v="Подразделение51"/>
    <x v="0"/>
    <x v="0"/>
    <n v="1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93"/>
    <x v="931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905"/>
    <s v="Вобликов Кирилл Егорович"/>
    <n v="904"/>
    <s v="Волков Николай Владиславович"/>
    <s v="линейный_руководитель_2"/>
    <s v="Подразделение51"/>
    <x v="1"/>
    <x v="2"/>
    <n v="1"/>
    <n v="0"/>
    <s v="назначение на должность более высокого уровня"/>
    <d v="2023-03-01T00:00:00"/>
    <s v="без изменений"/>
    <s v="протокол-№-01.12.2022"/>
  </r>
  <r>
    <s v="Функциональное направление 13"/>
    <n v="4"/>
    <d v="2020-12-25T00:00:00"/>
    <n v="1"/>
    <s v="не защищена"/>
    <n v="500394"/>
    <x v="932"/>
    <n v="51"/>
    <s v="Подразделение51"/>
    <s v="подразделение_2_уровня51"/>
    <s v="подразделение_3_уровня51"/>
    <s v="линейный_руководитель_2"/>
    <n v="7"/>
    <s v="да"/>
    <d v="2023-03-01T00:00:00"/>
    <d v="2023-03-10T00:00:00"/>
    <s v="из резерва (учитываем)"/>
    <n v="906"/>
    <s v="Романов Григорий Романович"/>
    <n v="2006"/>
    <s v="Ветров Виталий Ефремович"/>
    <s v="Рабочий"/>
    <s v="Подразделение51"/>
    <x v="2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94"/>
    <x v="932"/>
    <n v="51"/>
    <s v="Подразделение51"/>
    <s v="подразделение_2_уровня51"/>
    <s v="подразделение_3_уровня51"/>
    <s v="линейный_руководитель_2"/>
    <n v="7"/>
    <s v="да"/>
    <d v="2023-03-01T00:00:00"/>
    <d v="2023-03-10T00:00:00"/>
    <s v="из резерва (учитываем)"/>
    <n v="906"/>
    <s v="Романов Григорий Романович"/>
    <n v="2007"/>
    <s v="Ветров Матвей Семенович"/>
    <s v="Рабочий"/>
    <s v="Подразделение51"/>
    <x v="0"/>
    <x v="0"/>
    <n v="1"/>
    <n v="0"/>
    <m/>
    <m/>
    <s v="без изменений"/>
    <s v="протокол-№-01.12.2022"/>
  </r>
  <r>
    <s v="Функциональное направление 13"/>
    <n v="4"/>
    <d v="2022-12-01T00:00:00"/>
    <n v="0"/>
    <s v="не защищена"/>
    <n v="500394"/>
    <x v="932"/>
    <n v="51"/>
    <s v="Подразделение51"/>
    <s v="подразделение_2_уровня51"/>
    <s v="подразделение_3_уровня51"/>
    <s v="линейный_руководитель_2"/>
    <n v="7"/>
    <s v="да"/>
    <d v="2023-03-01T00:00:00"/>
    <d v="2023-03-10T00:00:00"/>
    <s v="из резерва (учитываем)"/>
    <n v="906"/>
    <s v="Романов Григорий Романович"/>
    <n v="2008"/>
    <s v="Кириллов Савелий Ефремович"/>
    <s v="Рабочий"/>
    <s v="Подразделение51"/>
    <x v="2"/>
    <x v="0"/>
    <n v="0"/>
    <n v="0"/>
    <m/>
    <m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94"/>
    <x v="932"/>
    <n v="51"/>
    <s v="Подразделение51"/>
    <s v="подразделение_2_уровня51"/>
    <s v="подразделение_3_уровня51"/>
    <s v="линейный_руководитель_2"/>
    <n v="7"/>
    <s v="да"/>
    <d v="2023-03-01T00:00:00"/>
    <d v="2023-03-10T00:00:00"/>
    <s v="из резерва (учитываем)"/>
    <n v="906"/>
    <s v="Романов Григорий Романович"/>
    <n v="906"/>
    <s v="Романов Григорий Романович"/>
    <s v="линейный_руководитель_2"/>
    <s v="Подразделение51"/>
    <x v="1"/>
    <x v="1"/>
    <n v="1"/>
    <n v="1"/>
    <s v="назначение на целевую должность"/>
    <d v="2023-03-10T00:00:00"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94"/>
    <x v="932"/>
    <n v="51"/>
    <s v="Подразделение51"/>
    <s v="подразделение_2_уровня51"/>
    <s v="подразделение_3_уровня51"/>
    <s v="линейный_руководитель_2"/>
    <n v="7"/>
    <s v="да"/>
    <d v="2023-03-01T00:00:00"/>
    <d v="2023-03-10T00:00:00"/>
    <s v="из резерва (учитываем)"/>
    <n v="906"/>
    <s v="Романов Григорий Романович"/>
    <n v="1998"/>
    <s v="Брежнев Константин Александрович"/>
    <s v="Рабочий"/>
    <s v="Подразделение51"/>
    <x v="2"/>
    <x v="2"/>
    <n v="1"/>
    <n v="0"/>
    <s v="самоотвод"/>
    <d v="2022-12-01T00:00:00"/>
    <s v="исключение"/>
    <s v="протокол-№-01.12.2022"/>
  </r>
  <r>
    <s v="Функциональное направление 13"/>
    <n v="4"/>
    <d v="2020-12-25T00:00:00"/>
    <n v="1"/>
    <s v="не защищена"/>
    <n v="500395"/>
    <x v="933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7"/>
    <s v="Волков Степан Денисович"/>
    <n v="2006"/>
    <s v="Ветров Виталий Ефремович"/>
    <s v="Рабочий"/>
    <s v="Подразделение51"/>
    <x v="2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395"/>
    <x v="933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7"/>
    <s v="Волков Степан Денисович"/>
    <n v="2007"/>
    <s v="Ветров Матвей Семенович"/>
    <s v="Рабочий"/>
    <s v="Подразделение51"/>
    <x v="0"/>
    <x v="0"/>
    <n v="0"/>
    <n v="0"/>
    <m/>
    <m/>
    <s v="без изменений"/>
    <s v="протокол-№-01.12.2022"/>
  </r>
  <r>
    <s v="Функциональное направление 13"/>
    <n v="4"/>
    <d v="2022-12-01T00:00:00"/>
    <n v="0"/>
    <s v="не защищена"/>
    <n v="500395"/>
    <x v="933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7"/>
    <s v="Волков Степан Денисович"/>
    <n v="2008"/>
    <s v="Кириллов Савелий Ефремович"/>
    <s v="Рабочий"/>
    <s v="Подразделение51"/>
    <x v="2"/>
    <x v="0"/>
    <n v="0"/>
    <n v="0"/>
    <m/>
    <m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95"/>
    <x v="933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7"/>
    <s v="Волков Степан Денисович"/>
    <n v="1998"/>
    <s v="Брежнев Константин Александрович"/>
    <s v="Рабочий"/>
    <s v="Подразделение51"/>
    <x v="2"/>
    <x v="2"/>
    <n v="0"/>
    <n v="0"/>
    <s v="самоотвод"/>
    <d v="2022-12-01T00:00:00"/>
    <s v="исключение"/>
    <s v="протокол-№-01.12.2022"/>
  </r>
  <r>
    <s v="Функциональное направление 13"/>
    <n v="4"/>
    <d v="2020-12-25T00:00:00"/>
    <n v="0"/>
    <s v="не защищена"/>
    <n v="500395"/>
    <x v="933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7"/>
    <s v="Волков Степан Денисович"/>
    <n v="906"/>
    <s v="Романов Григорий Романович"/>
    <s v="линейный_руководитель_2"/>
    <s v="Подразделение51"/>
    <x v="1"/>
    <x v="2"/>
    <n v="0"/>
    <n v="0"/>
    <s v="назначение на равнозначную должность"/>
    <d v="2023-03-10T00:00:00"/>
    <s v="без изменений"/>
    <s v="протокол-№-01.12.2022"/>
  </r>
  <r>
    <s v="Функциональное направление 13"/>
    <n v="4"/>
    <d v="2022-12-01T00:00:00"/>
    <n v="1"/>
    <s v="не защищена"/>
    <n v="500396"/>
    <x v="934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908"/>
    <s v="Русланов Федот Александрович"/>
    <n v="2009"/>
    <s v="Тимофеев Матвей Александрович"/>
    <s v="Рабочий"/>
    <s v="Подразделение51"/>
    <x v="2"/>
    <x v="0"/>
    <n v="0"/>
    <n v="0"/>
    <m/>
    <m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396"/>
    <x v="934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908"/>
    <s v="Русланов Федот Александрович"/>
    <n v="2010"/>
    <s v="Тимофеев Матвей Семенович"/>
    <s v="Рабочий"/>
    <s v="Подразделение51"/>
    <x v="0"/>
    <x v="2"/>
    <n v="1"/>
    <n v="0"/>
    <s v="самоотвод"/>
    <d v="2022-02-11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397"/>
    <x v="935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09"/>
    <s v="Волков Григорий Тимофеевич"/>
    <n v="2011"/>
    <s v="Дмитриев Геннадий Геннадьевич"/>
    <s v="Рабочий"/>
    <s v="Подразделение51"/>
    <x v="2"/>
    <x v="0"/>
    <n v="1"/>
    <n v="0"/>
    <m/>
    <m/>
    <s v="без изменений"/>
    <s v="протокол-№-01.12.2022"/>
  </r>
  <r>
    <s v="Функциональное направление 13"/>
    <n v="3"/>
    <d v="2020-12-25T00:00:00"/>
    <n v="1"/>
    <s v="не защищена"/>
    <n v="500398"/>
    <x v="936"/>
    <n v="51"/>
    <s v="Подразделение51"/>
    <s v="подразделение_2_уровня51"/>
    <s v="-"/>
    <s v="руководитель_среднего_уровня_2"/>
    <n v="6"/>
    <s v="нет"/>
    <m/>
    <m/>
    <m/>
    <n v="910"/>
    <s v="Романов Константин Денисович"/>
    <n v="912"/>
    <s v="Цветков Николай Александрович"/>
    <s v="руководитель_среднего_уровня_4"/>
    <s v="Подразделение51"/>
    <x v="1"/>
    <x v="0"/>
    <n v="1"/>
    <n v="0"/>
    <m/>
    <m/>
    <s v="без изменений"/>
    <s v="протокол-№-05.07.2022"/>
  </r>
  <r>
    <s v="Функциональное направление 13"/>
    <n v="4"/>
    <d v="2020-12-25T00:00:00"/>
    <n v="1"/>
    <s v="не защищена"/>
    <n v="500399"/>
    <x v="937"/>
    <n v="51"/>
    <s v="Подразделение51"/>
    <s v="подразделение_2_уровня51"/>
    <s v="-"/>
    <s v="линейный_руководитель_2"/>
    <n v="7"/>
    <s v="нет"/>
    <m/>
    <m/>
    <m/>
    <n v="911"/>
    <s v="Волков Николай Егорович"/>
    <n v="2012"/>
    <s v="Незнамов Савелий Семенович"/>
    <s v="Рабочий"/>
    <s v="Подразделение51"/>
    <x v="1"/>
    <x v="0"/>
    <n v="0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399"/>
    <x v="937"/>
    <n v="51"/>
    <s v="Подразделение51"/>
    <s v="подразделение_2_уровня51"/>
    <s v="-"/>
    <s v="линейный_руководитель_2"/>
    <n v="7"/>
    <s v="нет"/>
    <m/>
    <m/>
    <m/>
    <n v="911"/>
    <s v="Волков Николай Егорович"/>
    <n v="2013"/>
    <s v="Ветров Савелий Ефремович"/>
    <s v="Рабочий"/>
    <s v="Подразделение51"/>
    <x v="2"/>
    <x v="2"/>
    <n v="0"/>
    <n v="0"/>
    <s v="самоотвод"/>
    <d v="2021-11-11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00"/>
    <x v="938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912"/>
    <s v="Цветков Николай Александрович"/>
    <n v="911"/>
    <s v="Волков Николай Егорович"/>
    <s v="линейный_руководитель_2"/>
    <s v="Подразделение51"/>
    <x v="1"/>
    <x v="0"/>
    <n v="1"/>
    <n v="0"/>
    <m/>
    <m/>
    <s v="без изменений"/>
    <s v="протокол-№-01.12.2022"/>
  </r>
  <r>
    <s v="Функциональное направление 13"/>
    <n v="4"/>
    <d v="2020-12-25T00:00:00"/>
    <n v="1"/>
    <s v="не защищена"/>
    <n v="500401"/>
    <x v="939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13"/>
    <s v="Русланов Григорий Юрьевич"/>
    <n v="2014"/>
    <s v="Степанов Матвей Ефремович"/>
    <s v="Рабочий"/>
    <s v="Подразделение51"/>
    <x v="1"/>
    <x v="0"/>
    <n v="0"/>
    <n v="0"/>
    <m/>
    <m/>
    <s v="без изменений"/>
    <s v="протокол-№-01.12.2022"/>
  </r>
  <r>
    <s v="Функциональное направление 13"/>
    <n v="4"/>
    <d v="2022-12-01T00:00:00"/>
    <n v="0"/>
    <s v="не защищена"/>
    <n v="500401"/>
    <x v="939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13"/>
    <s v="Русланов Григорий Юрьевич"/>
    <n v="2015"/>
    <s v="Кириллов Савелий Ефремович"/>
    <s v="Рабочий"/>
    <s v="Подразделение51"/>
    <x v="2"/>
    <x v="0"/>
    <n v="0"/>
    <n v="0"/>
    <m/>
    <m/>
    <s v="не рассматривали"/>
    <s v="протокол-№-01.12.2022"/>
  </r>
  <r>
    <s v="Функциональное направление 13"/>
    <n v="4"/>
    <d v="2020-12-25T00:00:00"/>
    <n v="1"/>
    <s v="не защищена"/>
    <n v="500402"/>
    <x v="940"/>
    <n v="51"/>
    <s v="Подразделение51"/>
    <s v="подразделение_2_уровня51"/>
    <s v="подразделение_3_уровня51"/>
    <s v="руководитель_среднего_уровня_4"/>
    <n v="7"/>
    <s v="нет"/>
    <m/>
    <m/>
    <m/>
    <n v="914"/>
    <s v="Баранкин Григорий Александрович"/>
    <n v="915"/>
    <s v="Цветков Федот Александрович"/>
    <s v="линейный_руководитель_2"/>
    <s v="Подразделение51"/>
    <x v="1"/>
    <x v="0"/>
    <n v="1"/>
    <n v="0"/>
    <m/>
    <m/>
    <s v="повышение"/>
    <s v="протокол-№-01.12.2022"/>
  </r>
  <r>
    <s v="Функциональное направление 13"/>
    <n v="4"/>
    <d v="2020-12-25T00:00:00"/>
    <n v="1"/>
    <s v="не защищена"/>
    <n v="500403"/>
    <x v="941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15"/>
    <s v="Цветков Федот Александрович"/>
    <n v="2016"/>
    <s v="Тимофеев Роман Богданович"/>
    <s v="Рабочий"/>
    <s v="Подразделение_др1"/>
    <x v="2"/>
    <x v="0"/>
    <n v="1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403"/>
    <x v="941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15"/>
    <s v="Цветков Федот Александрович"/>
    <n v="2017"/>
    <s v="Незнамов Савелий Ефремович"/>
    <s v="Рабочий"/>
    <s v="Подразделение51"/>
    <x v="2"/>
    <x v="0"/>
    <n v="0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403"/>
    <x v="941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15"/>
    <s v="Цветков Федот Александрович"/>
    <n v="2018"/>
    <s v="Тимофеев Геннадий Геннадьевич"/>
    <s v="Рабочий"/>
    <s v="Подразделение51"/>
    <x v="1"/>
    <x v="2"/>
    <n v="1"/>
    <n v="0"/>
    <s v="инициатива комитета / руководителя"/>
    <d v="2022-12-01T00:00:00"/>
    <s v="исключение"/>
    <s v="протокол-№-01.12.2022"/>
  </r>
  <r>
    <s v="Функциональное направление 13"/>
    <n v="3"/>
    <d v="2020-12-25T00:00:00"/>
    <n v="1"/>
    <s v="не защищена"/>
    <n v="500404"/>
    <x v="942"/>
    <n v="51"/>
    <s v="Подразделение51"/>
    <s v="подразделение_2_уровня51"/>
    <s v="-"/>
    <s v="руководитель_среднего_уровня_2"/>
    <n v="6"/>
    <s v="нет"/>
    <m/>
    <m/>
    <m/>
    <n v="916"/>
    <s v="Русланов Алексей Денисович"/>
    <n v="917"/>
    <s v="Пальчиков Константин Тимофеевич"/>
    <s v="линейный_руководитель_2"/>
    <s v="Подразделение51"/>
    <x v="1"/>
    <x v="0"/>
    <n v="1"/>
    <n v="0"/>
    <m/>
    <m/>
    <s v="без изменений"/>
    <s v="протокол-№-05.07.2022"/>
  </r>
  <r>
    <s v="Функциональное направление 13"/>
    <n v="4"/>
    <d v="2020-12-25T00:00:00"/>
    <n v="1"/>
    <s v="не защищена"/>
    <n v="500405"/>
    <x v="943"/>
    <n v="51"/>
    <s v="Подразделение51"/>
    <s v="подразделение_2_уровня51"/>
    <s v="-"/>
    <s v="линейный_руководитель_2"/>
    <n v="7"/>
    <s v="нет"/>
    <m/>
    <m/>
    <m/>
    <n v="917"/>
    <s v="Пальчиков Константин Тимофеевич"/>
    <n v="2019"/>
    <s v="Тимофеев Матвей Ефремович"/>
    <s v="Рабочий"/>
    <s v="Подразделение51"/>
    <x v="0"/>
    <x v="0"/>
    <n v="0"/>
    <n v="0"/>
    <m/>
    <m/>
    <s v="повышение"/>
    <s v="протокол-№-01.12.2022"/>
  </r>
  <r>
    <s v="Функциональное направление 13"/>
    <n v="4"/>
    <d v="2020-12-25T00:00:00"/>
    <n v="1"/>
    <s v="не защищена"/>
    <n v="500406"/>
    <x v="944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18"/>
    <s v="Цветков Алексей Александрович"/>
    <n v="2005"/>
    <s v="Незнамов Савелий Семенович"/>
    <s v="Рабочий"/>
    <s v="Подразделение51"/>
    <x v="1"/>
    <x v="0"/>
    <n v="0"/>
    <n v="0"/>
    <m/>
    <m/>
    <s v="повышение"/>
    <s v="протокол-№-01.12.2022"/>
  </r>
  <r>
    <s v="Функциональное направление 13"/>
    <n v="4"/>
    <d v="2020-12-25T00:00:00"/>
    <n v="0"/>
    <s v="не защищена"/>
    <n v="500406"/>
    <x v="944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918"/>
    <s v="Цветков Алексей Александрович"/>
    <n v="2004"/>
    <s v="Незнамов Юрий Ефремович"/>
    <s v="Рабочий"/>
    <s v="Подразделение51"/>
    <x v="2"/>
    <x v="2"/>
    <n v="0"/>
    <n v="0"/>
    <s v="инициатива комитета / руководителя"/>
    <d v="2022-12-01T00:00:00"/>
    <s v="исключение"/>
    <s v="протокол-№-01.12.2022"/>
  </r>
  <r>
    <s v="Функциональное направление 13"/>
    <n v="3"/>
    <d v="2018-12-21T00:00:00"/>
    <n v="1"/>
    <s v="не защищена"/>
    <n v="500407"/>
    <x v="945"/>
    <n v="63"/>
    <s v="Подразделение63"/>
    <s v="подразделение_2_уровня63"/>
    <s v="-"/>
    <s v="ТОП_руководитель_2"/>
    <n v="5"/>
    <s v="нет"/>
    <m/>
    <m/>
    <m/>
    <n v="919"/>
    <s v="Русланов Степан Юрьевич"/>
    <n v="943"/>
    <s v="Пальчиков Константин Егорович"/>
    <s v="руководитель_среднего_уровня_2"/>
    <s v="Подразделение63"/>
    <x v="1"/>
    <x v="0"/>
    <n v="1"/>
    <n v="0"/>
    <m/>
    <m/>
    <s v="без изменений"/>
    <s v="протокол-№-01.07.2022"/>
  </r>
  <r>
    <s v="Функциональное направление 13"/>
    <n v="3"/>
    <d v="2020-01-25T00:00:00"/>
    <n v="0"/>
    <s v="не защищена"/>
    <n v="500407"/>
    <x v="945"/>
    <n v="63"/>
    <s v="Подразделение63"/>
    <s v="подразделение_2_уровня63"/>
    <s v="-"/>
    <s v="ТОП_руководитель_2"/>
    <n v="5"/>
    <s v="нет"/>
    <m/>
    <m/>
    <m/>
    <n v="919"/>
    <s v="Русланов Степан Юрьевич"/>
    <n v="952"/>
    <s v="Русланов Валерий Егорович"/>
    <s v="руководитель_среднего_уровня_2"/>
    <s v="Подразделение63"/>
    <x v="0"/>
    <x v="0"/>
    <n v="1"/>
    <n v="0"/>
    <m/>
    <m/>
    <s v="без изменений"/>
    <s v="протокол-№-01.07.2022"/>
  </r>
  <r>
    <s v="Функциональное направление 13"/>
    <n v="3"/>
    <d v="2017-02-21T00:00:00"/>
    <n v="0"/>
    <s v="не защищена"/>
    <n v="500407"/>
    <x v="945"/>
    <n v="63"/>
    <s v="Подразделение63"/>
    <s v="подразделение_2_уровня63"/>
    <s v="-"/>
    <s v="ТОП_руководитель_2"/>
    <n v="5"/>
    <s v="нет"/>
    <m/>
    <m/>
    <m/>
    <n v="919"/>
    <s v="Русланов Степан Юрьевич"/>
    <n v="1087"/>
    <s v="Филиппов Виталий Ильич"/>
    <s v="линейный_руководитель_2"/>
    <s v="Подразделение110"/>
    <x v="1"/>
    <x v="2"/>
    <n v="1"/>
    <n v="0"/>
    <s v="инициатива комитета / руководителя"/>
    <d v="2020-01-25T00:00:00"/>
    <s v="исключение"/>
    <s v="протокол-№-21.12.2018"/>
  </r>
  <r>
    <s v="Функциональное направление 13"/>
    <n v="3"/>
    <d v="2017-02-21T00:00:00"/>
    <n v="0"/>
    <s v="не защищена"/>
    <n v="500407"/>
    <x v="945"/>
    <n v="63"/>
    <s v="Подразделение63"/>
    <s v="подразделение_2_уровня63"/>
    <s v="-"/>
    <s v="ТОП_руководитель_2"/>
    <n v="5"/>
    <s v="нет"/>
    <m/>
    <m/>
    <m/>
    <n v="919"/>
    <s v="Русланов Степан Юрьевич"/>
    <n v="2020"/>
    <s v="Исаев Савелий Ефремович"/>
    <s v="линейный_руководитель_2"/>
    <s v="Подразделение_др11"/>
    <x v="2"/>
    <x v="2"/>
    <n v="1"/>
    <n v="0"/>
    <s v="инициатива комитета / руководителя"/>
    <d v="2018-12-21T00:00:00"/>
    <s v="исключение"/>
    <s v="протокол-№-21.12.2018"/>
  </r>
  <r>
    <s v="Функциональное направление 13"/>
    <n v="3"/>
    <d v="2017-02-21T00:00:00"/>
    <n v="0"/>
    <s v="не защищена"/>
    <n v="500407"/>
    <x v="945"/>
    <n v="63"/>
    <s v="Подразделение63"/>
    <s v="подразделение_2_уровня63"/>
    <s v="-"/>
    <s v="ТОП_руководитель_2"/>
    <n v="5"/>
    <s v="нет"/>
    <m/>
    <m/>
    <m/>
    <n v="919"/>
    <s v="Русланов Степан Юрьевич"/>
    <n v="2021"/>
    <s v="Ветров Савелий Михайлович"/>
    <s v="линейный_руководитель_2"/>
    <s v="Подразделение_др5"/>
    <x v="0"/>
    <x v="2"/>
    <n v="1"/>
    <n v="0"/>
    <s v="инициатива комитета / руководителя"/>
    <d v="2020-06-23T00:00:00"/>
    <s v="исключение"/>
    <s v="протокол-№-23.06.2020"/>
  </r>
  <r>
    <s v="Функциональное направление 13"/>
    <n v="3"/>
    <d v="2020-06-23T00:00:00"/>
    <n v="0"/>
    <s v="не защищена"/>
    <n v="500407"/>
    <x v="945"/>
    <n v="63"/>
    <s v="Подразделение63"/>
    <s v="подразделение_2_уровня63"/>
    <s v="-"/>
    <s v="ТОП_руководитель_2"/>
    <n v="5"/>
    <s v="нет"/>
    <m/>
    <m/>
    <m/>
    <n v="919"/>
    <s v="Русланов Степан Юрьевич"/>
    <n v="2022"/>
    <s v="Ветров Матвей Ефремович"/>
    <s v="линейный_руководитель_2"/>
    <s v="Подразделение110"/>
    <x v="2"/>
    <x v="2"/>
    <n v="1"/>
    <n v="0"/>
    <s v="инициатива комитета / руководителя"/>
    <d v="2022-07-01T00:00:00"/>
    <s v="исключение"/>
    <s v="протокол-№-01.07.2022"/>
  </r>
  <r>
    <s v="Функциональное направление 13"/>
    <n v="4"/>
    <d v="2021-11-12T00:00:00"/>
    <n v="1"/>
    <s v="не защищена"/>
    <n v="500408"/>
    <x v="946"/>
    <n v="63"/>
    <s v="Подразделение63"/>
    <s v="подразделение_2_уровня63"/>
    <s v="-"/>
    <s v="линейный_руководитель_3"/>
    <n v="6"/>
    <s v="нет"/>
    <m/>
    <m/>
    <m/>
    <n v="920"/>
    <s v="Пальчиков Федот Тимофеевич"/>
    <n v="2023"/>
    <s v="Тимофеев Глеб Ефремович"/>
    <s v="Специалист"/>
    <s v="Подразделение110"/>
    <x v="0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0"/>
    <s v="не защищена"/>
    <n v="500408"/>
    <x v="946"/>
    <n v="63"/>
    <s v="Подразделение63"/>
    <s v="подразделение_2_уровня63"/>
    <s v="-"/>
    <s v="линейный_руководитель_3"/>
    <n v="6"/>
    <s v="нет"/>
    <m/>
    <m/>
    <m/>
    <n v="920"/>
    <s v="Пальчиков Федот Тимофеевич"/>
    <n v="2024"/>
    <s v="Степанов Виталий Семенович"/>
    <s v="Специалист"/>
    <s v="Подразделение63"/>
    <x v="1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1"/>
    <s v="не защищена"/>
    <n v="500409"/>
    <x v="947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1"/>
    <s v="Русланов Кирилл Юрьевич"/>
    <n v="2025"/>
    <s v="Ветров Геннад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09"/>
    <x v="947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1"/>
    <s v="Русланов Кирилл Юрьевич"/>
    <n v="2026"/>
    <s v="Исаев Савелий Александрович"/>
    <s v="Рабочий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09"/>
    <x v="947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1"/>
    <s v="Русланов Кирилл Юрьевич"/>
    <n v="2027"/>
    <s v="Дмитриев Савелий Александрович"/>
    <s v="Рабочий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09"/>
    <x v="947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1"/>
    <s v="Русланов Кирилл Юрьевич"/>
    <n v="2028"/>
    <s v="Тимофеев Виталий Александрович"/>
    <s v="Рабочий"/>
    <s v="Подразделение63"/>
    <x v="2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1"/>
    <s v="не защищена"/>
    <n v="500409"/>
    <x v="948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2"/>
    <s v="Баранкин Николай Владиславович"/>
    <n v="2025"/>
    <s v="Ветров Геннад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09"/>
    <x v="948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2"/>
    <s v="Баранкин Николай Владиславович"/>
    <n v="2026"/>
    <s v="Исаев Савел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09"/>
    <x v="948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2"/>
    <s v="Баранкин Николай Владиславович"/>
    <n v="2027"/>
    <s v="Дмитриев Савел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09"/>
    <x v="948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2"/>
    <s v="Баранкин Николай Владиславович"/>
    <n v="2028"/>
    <s v="Тимофеев Виталий Александрович"/>
    <s v="Рабочий"/>
    <s v="Подразделение63"/>
    <x v="2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1"/>
    <s v="не защищена"/>
    <n v="500409"/>
    <x v="949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3"/>
    <s v="Вобликов Алексей Александрович"/>
    <n v="2025"/>
    <s v="Ветров Геннад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09"/>
    <x v="949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3"/>
    <s v="Вобликов Алексей Александрович"/>
    <n v="2026"/>
    <s v="Исаев Савел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09"/>
    <x v="949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3"/>
    <s v="Вобликов Алексей Александрович"/>
    <n v="2027"/>
    <s v="Дмитриев Савел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09"/>
    <x v="949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3"/>
    <s v="Вобликов Алексей Александрович"/>
    <n v="2028"/>
    <s v="Тимофеев Виталий Александрович"/>
    <s v="Рабочий"/>
    <s v="Подразделение63"/>
    <x v="2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1"/>
    <s v="не защищена"/>
    <n v="500409"/>
    <x v="950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4"/>
    <s v="Волков Григорий Александрович"/>
    <n v="2025"/>
    <s v="Ветров Геннад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09"/>
    <x v="950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4"/>
    <s v="Волков Григорий Александрович"/>
    <n v="2026"/>
    <s v="Исаев Савел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09"/>
    <x v="950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4"/>
    <s v="Волков Григорий Александрович"/>
    <n v="2027"/>
    <s v="Дмитриев Савелий Александр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09"/>
    <x v="950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4"/>
    <s v="Волков Григорий Александрович"/>
    <n v="2028"/>
    <s v="Тимофеев Виталий Александрович"/>
    <s v="Рабочий"/>
    <s v="Подразделение63"/>
    <x v="2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1"/>
    <s v="не защищена"/>
    <n v="500410"/>
    <x v="951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5"/>
    <s v="Пальчиков Валерий Александрович"/>
    <n v="2029"/>
    <s v="Незнамов Савелий Ефрем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10"/>
    <x v="952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6"/>
    <s v="Вобликов Константин Юрьевич"/>
    <n v="2029"/>
    <s v="Незнамов Савелий Ефрем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10"/>
    <x v="953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7"/>
    <s v="Вобликов Николай Егорович"/>
    <n v="2029"/>
    <s v="Незнамов Савелий Ефрем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11"/>
    <x v="954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28"/>
    <s v="Русланов Тихон Владиславович"/>
    <n v="924"/>
    <s v="Волков Григорий Александрович"/>
    <s v="линейный_руководитель_2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1"/>
    <x v="954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28"/>
    <s v="Русланов Тихон Владиславович"/>
    <n v="925"/>
    <s v="Пальчиков Валерий Александрович"/>
    <s v="линейный_руководитель_2"/>
    <s v="Подразделение63"/>
    <x v="1"/>
    <x v="0"/>
    <n v="1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11"/>
    <x v="954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28"/>
    <s v="Русланов Тихон Владиславович"/>
    <n v="927"/>
    <s v="Вобликов Николай Егорович"/>
    <s v="линейный_руководитель_2"/>
    <s v="Подразделение63"/>
    <x v="0"/>
    <x v="0"/>
    <n v="1"/>
    <n v="0"/>
    <m/>
    <m/>
    <s v="не рассматривали"/>
    <s v="протокол-№-02.12.2022"/>
  </r>
  <r>
    <s v="Функциональное направление 13"/>
    <n v="4"/>
    <d v="2021-11-12T00:00:00"/>
    <n v="0"/>
    <s v="не защищена"/>
    <n v="500411"/>
    <x v="954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28"/>
    <s v="Русланов Тихон Владиславович"/>
    <n v="926"/>
    <s v="Вобликов Константин Юрьевич"/>
    <s v="линейный_руководитель_2"/>
    <s v="Подразделение63"/>
    <x v="1"/>
    <x v="2"/>
    <n v="1"/>
    <n v="0"/>
    <s v="инициатива комитета / руководителя"/>
    <d v="2022-12-02T00:00:00"/>
    <s v="исключение"/>
    <s v="протокол-№-02.12.2022"/>
  </r>
  <r>
    <s v="Функциональное направление 13"/>
    <n v="4"/>
    <d v="2021-11-12T00:00:00"/>
    <n v="1"/>
    <s v="не защищена"/>
    <n v="500412"/>
    <x v="955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9"/>
    <s v="Баранкин Тихон Тимофеевич"/>
    <n v="2030"/>
    <s v="Ветров Савелий Ефрем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2"/>
    <x v="955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9"/>
    <s v="Баранкин Тихон Тимофеевич"/>
    <n v="2031"/>
    <s v="Ветров Виталий Александр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2"/>
    <x v="955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29"/>
    <s v="Баранкин Тихон Тимофеевич"/>
    <n v="2032"/>
    <s v="Тимофеев Геннадий Александрович"/>
    <s v="Специалист"/>
    <s v="Подразделение63"/>
    <x v="2"/>
    <x v="2"/>
    <n v="1"/>
    <n v="0"/>
    <s v="прочее (перевод в другое СП / на другое предприятие)"/>
    <d v="2022-12-02T00:00:00"/>
    <s v="исключение"/>
    <s v="протокол-№-02.12.2022"/>
  </r>
  <r>
    <s v="Функциональное направление 13"/>
    <n v="4"/>
    <d v="2021-11-12T00:00:00"/>
    <n v="1"/>
    <s v="не защищена"/>
    <n v="500412"/>
    <x v="956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30"/>
    <s v="Вобликов Тихон Егорович"/>
    <n v="2030"/>
    <s v="Ветров Савелий Ефрем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2"/>
    <x v="956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30"/>
    <s v="Вобликов Тихон Егорович"/>
    <n v="2031"/>
    <s v="Ветров Виталий Александр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2"/>
    <x v="956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30"/>
    <s v="Вобликов Тихон Егорович"/>
    <n v="2032"/>
    <s v="Тимофеев Геннадий Александрович"/>
    <s v="Специалист"/>
    <s v="Подразделение63"/>
    <x v="2"/>
    <x v="2"/>
    <n v="0"/>
    <n v="0"/>
    <s v="прочее (перевод в другое СП / на другое предприятие)"/>
    <d v="2022-12-02T00:00:00"/>
    <s v="исключение"/>
    <s v="протокол-№-02.12.2022"/>
  </r>
  <r>
    <s v="Функциональное направление 13"/>
    <n v="4"/>
    <d v="2021-11-12T00:00:00"/>
    <n v="1"/>
    <s v="не защищена"/>
    <n v="500413"/>
    <x v="957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31"/>
    <s v="Пальчиков Николай Владиславович"/>
    <n v="933"/>
    <s v="Пальчиков Алексей Романович"/>
    <s v="линейный_руководитель_2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3"/>
    <x v="957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31"/>
    <s v="Пальчиков Николай Владиславович"/>
    <n v="932"/>
    <s v="Вобликов Николай Романович"/>
    <s v="линейный_руководитель_2"/>
    <s v="Подразделение63"/>
    <x v="2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14"/>
    <x v="958"/>
    <n v="63"/>
    <s v="Подразделение63"/>
    <s v="подразделение_2_уровня63"/>
    <s v="подразделение_3_уровня63"/>
    <s v="линейный_руководитель_1"/>
    <n v="7"/>
    <s v="да"/>
    <d v="2022-04-23T00:00:00"/>
    <d v="2022-06-01T00:00:00"/>
    <s v="из резерва (учитываем)"/>
    <n v="932"/>
    <s v="Вобликов Николай Романович"/>
    <n v="2033"/>
    <s v="Ветров Матвей Богданович"/>
    <s v="Рабочий"/>
    <s v="Подразделение63"/>
    <x v="2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4"/>
    <x v="958"/>
    <n v="63"/>
    <s v="Подразделение63"/>
    <s v="подразделение_2_уровня63"/>
    <s v="подразделение_3_уровня63"/>
    <s v="линейный_руководитель_1"/>
    <n v="7"/>
    <s v="да"/>
    <d v="2022-04-23T00:00:00"/>
    <d v="2022-06-01T00:00:00"/>
    <s v="из резерва (учитываем)"/>
    <n v="932"/>
    <s v="Вобликов Николай Романович"/>
    <n v="2034"/>
    <s v="Дмитриев Савелий Александрович"/>
    <s v="Рабочий"/>
    <s v="Подразделение63"/>
    <x v="0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0"/>
    <s v="не защищена"/>
    <n v="500414"/>
    <x v="958"/>
    <n v="63"/>
    <s v="Подразделение63"/>
    <s v="подразделение_2_уровня63"/>
    <s v="подразделение_3_уровня63"/>
    <s v="линейный_руководитель_1"/>
    <n v="7"/>
    <s v="да"/>
    <d v="2022-04-23T00:00:00"/>
    <d v="2022-06-01T00:00:00"/>
    <s v="из резерва (учитываем)"/>
    <n v="932"/>
    <s v="Вобликов Николай Романович"/>
    <n v="2035"/>
    <s v="Степанов Матвей Александрович"/>
    <s v="Рабочий"/>
    <s v="Подразделение63"/>
    <x v="2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0"/>
    <s v="не защищена"/>
    <n v="500414"/>
    <x v="958"/>
    <n v="63"/>
    <s v="Подразделение63"/>
    <s v="подразделение_2_уровня63"/>
    <s v="подразделение_3_уровня63"/>
    <s v="линейный_руководитель_1"/>
    <n v="7"/>
    <s v="да"/>
    <d v="2022-04-23T00:00:00"/>
    <d v="2022-06-01T00:00:00"/>
    <s v="из резерва (учитываем)"/>
    <n v="932"/>
    <s v="Вобликов Николай Романович"/>
    <n v="932"/>
    <s v="Вобликов Николай Романович"/>
    <s v="линейный_руководитель_2"/>
    <s v="Подразделение63"/>
    <x v="1"/>
    <x v="1"/>
    <n v="1"/>
    <n v="1"/>
    <s v="назначение на целевую должность"/>
    <d v="2022-06-01T00:00:00"/>
    <s v="исключение"/>
    <s v="протокол-№-02.12.2022"/>
  </r>
  <r>
    <s v="Функциональное направление 13"/>
    <n v="4"/>
    <d v="2021-11-12T00:00:00"/>
    <n v="0"/>
    <s v="не защищена"/>
    <n v="500414"/>
    <x v="958"/>
    <n v="63"/>
    <s v="Подразделение63"/>
    <s v="подразделение_2_уровня63"/>
    <s v="подразделение_3_уровня63"/>
    <s v="линейный_руководитель_1"/>
    <n v="7"/>
    <s v="да"/>
    <d v="2022-04-23T00:00:00"/>
    <d v="2022-06-01T00:00:00"/>
    <s v="из резерва (учитываем)"/>
    <n v="932"/>
    <s v="Вобликов Николай Романович"/>
    <n v="2036"/>
    <s v="Ветров Виталий Богданович"/>
    <s v="Рабочий"/>
    <s v="Подразделение63"/>
    <x v="2"/>
    <x v="2"/>
    <n v="0"/>
    <n v="0"/>
    <s v="самоотвод"/>
    <d v="2022-12-02T00:00:00"/>
    <s v="исключение"/>
    <s v="протокол-№-02.12.2022"/>
  </r>
  <r>
    <s v="Функциональное направление 13"/>
    <n v="4"/>
    <d v="2021-11-12T00:00:00"/>
    <n v="1"/>
    <s v="не защищена"/>
    <n v="500414"/>
    <x v="959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33"/>
    <s v="Пальчиков Алексей Романович"/>
    <n v="2033"/>
    <s v="Ветров Матвей Богдан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4"/>
    <x v="959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33"/>
    <s v="Пальчиков Алексей Романович"/>
    <n v="2034"/>
    <s v="Дмитриев Савелий Александрович"/>
    <s v="Рабочий"/>
    <s v="Подразделение63"/>
    <x v="0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0"/>
    <s v="не защищена"/>
    <n v="500414"/>
    <x v="959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33"/>
    <s v="Пальчиков Алексей Романович"/>
    <n v="2035"/>
    <s v="Степанов Матвей Александрович"/>
    <s v="Рабочий"/>
    <s v="Подразделение63"/>
    <x v="2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0"/>
    <s v="не защищена"/>
    <n v="500414"/>
    <x v="959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33"/>
    <s v="Пальчиков Алексей Романович"/>
    <n v="2036"/>
    <s v="Ветров Виталий Богданович"/>
    <s v="Рабочий"/>
    <s v="Подразделение63"/>
    <x v="2"/>
    <x v="2"/>
    <n v="0"/>
    <n v="0"/>
    <s v="самоотвод"/>
    <d v="2022-12-02T00:00:00"/>
    <s v="исключение"/>
    <s v="протокол-№-02.12.2022"/>
  </r>
  <r>
    <s v="Функциональное направление 13"/>
    <n v="4"/>
    <d v="2021-11-12T00:00:00"/>
    <n v="0"/>
    <s v="не защищена"/>
    <n v="500414"/>
    <x v="959"/>
    <n v="63"/>
    <s v="Подразделение63"/>
    <s v="подразделение_2_уровня63"/>
    <s v="подразделение_3_уровня63"/>
    <s v="линейный_руководитель_1"/>
    <n v="7"/>
    <s v="нет"/>
    <m/>
    <m/>
    <m/>
    <n v="933"/>
    <s v="Пальчиков Алексей Романович"/>
    <n v="932"/>
    <s v="Вобликов Николай Романович"/>
    <s v="линейный_руководитель_2"/>
    <s v="Подразделение63"/>
    <x v="1"/>
    <x v="2"/>
    <n v="0"/>
    <n v="0"/>
    <s v="назначение на целевую должность"/>
    <d v="2022-06-01T00:00:00"/>
    <s v="исключение"/>
    <s v="протокол-№-02.12.2022"/>
  </r>
  <r>
    <s v="Функциональное направление 13"/>
    <n v="4"/>
    <d v="2021-11-12T00:00:00"/>
    <n v="1"/>
    <s v="не защищена"/>
    <n v="500415"/>
    <x v="960"/>
    <n v="63"/>
    <s v="Подразделение63"/>
    <s v="подразделение_2_уровня63"/>
    <s v="-"/>
    <s v="руководитель_среднего_уровня_4"/>
    <n v="6"/>
    <s v="нет"/>
    <m/>
    <m/>
    <m/>
    <n v="934"/>
    <s v="Волков Николай Александрович"/>
    <n v="958"/>
    <s v="Вобликов Валерий Владиславович"/>
    <s v="линейный_руководитель_2"/>
    <s v="Подразделение63"/>
    <x v="1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16"/>
    <x v="961"/>
    <n v="63"/>
    <s v="Подразделение63"/>
    <s v="подразделение_2_уровня63"/>
    <s v="подразделение_3_уровня63"/>
    <s v="линейный_руководитель_2"/>
    <n v="7"/>
    <s v="нет"/>
    <m/>
    <m/>
    <m/>
    <n v="935"/>
    <s v="Русланов Алексей Юрьевич"/>
    <n v="2034"/>
    <s v="Дмитриев Савелий Александрович"/>
    <s v="Рабочий"/>
    <s v="Подразделение63"/>
    <x v="2"/>
    <x v="0"/>
    <n v="1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16"/>
    <x v="961"/>
    <n v="63"/>
    <s v="Подразделение63"/>
    <s v="подразделение_2_уровня63"/>
    <s v="подразделение_3_уровня63"/>
    <s v="линейный_руководитель_2"/>
    <n v="7"/>
    <s v="нет"/>
    <m/>
    <m/>
    <m/>
    <n v="935"/>
    <s v="Русланов Алексей Юрьевич"/>
    <n v="2037"/>
    <s v="Тимофеев Савелий Александрович"/>
    <s v="Рабочий"/>
    <s v="Подразделение63"/>
    <x v="2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1"/>
    <s v="не защищена"/>
    <n v="500417"/>
    <x v="962"/>
    <n v="63"/>
    <s v="Подразделение63"/>
    <s v="подразделение_2_уровня63"/>
    <s v="подразделение_3_уровня63"/>
    <s v="линейный_руководитель_2"/>
    <n v="7"/>
    <s v="нет"/>
    <m/>
    <m/>
    <m/>
    <n v="936"/>
    <s v="Вобликов Алексей Егорович"/>
    <n v="2038"/>
    <s v="Ветров Роман Семенович"/>
    <s v="Рабочий"/>
    <s v="Подразделение63"/>
    <x v="2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17"/>
    <x v="963"/>
    <n v="63"/>
    <s v="Подразделение63"/>
    <s v="подразделение_2_уровня63"/>
    <s v="подразделение_3_уровня63"/>
    <s v="линейный_руководитель_2"/>
    <n v="7"/>
    <s v="нет"/>
    <m/>
    <m/>
    <m/>
    <n v="937"/>
    <s v="Пальчиков Кирилл Иванович"/>
    <n v="2038"/>
    <s v="Ветров Роман Семен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17"/>
    <x v="964"/>
    <n v="63"/>
    <s v="Подразделение63"/>
    <s v="подразделение_2_уровня63"/>
    <s v="подразделение_3_уровня63"/>
    <s v="линейный_руководитель_2"/>
    <n v="7"/>
    <s v="нет"/>
    <m/>
    <m/>
    <m/>
    <n v="938"/>
    <s v="Волков Григорий Владиславович"/>
    <n v="2038"/>
    <s v="Ветров Роман Семенович"/>
    <s v="Рабочий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18"/>
    <x v="965"/>
    <n v="63"/>
    <s v="Подразделение63"/>
    <s v="подразделение_2_уровня63"/>
    <s v="подразделение_3_уровня63"/>
    <s v="линейный_руководитель_4"/>
    <n v="6"/>
    <s v="нет"/>
    <m/>
    <m/>
    <m/>
    <n v="939"/>
    <s v="Русланов Константин Романович"/>
    <n v="2039"/>
    <s v="Тимофеев Савелий Ефремович"/>
    <s v="Специалист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8"/>
    <x v="965"/>
    <n v="63"/>
    <s v="Подразделение63"/>
    <s v="подразделение_2_уровня63"/>
    <s v="подразделение_3_уровня63"/>
    <s v="линейный_руководитель_4"/>
    <n v="6"/>
    <s v="нет"/>
    <m/>
    <m/>
    <m/>
    <n v="939"/>
    <s v="Русланов Константин Романович"/>
    <n v="2040"/>
    <s v="Брежнев Савелий Богданович"/>
    <s v="Специалист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18"/>
    <x v="965"/>
    <n v="63"/>
    <s v="Подразделение63"/>
    <s v="подразделение_2_уровня63"/>
    <s v="подразделение_3_уровня63"/>
    <s v="линейный_руководитель_4"/>
    <n v="6"/>
    <s v="нет"/>
    <m/>
    <m/>
    <m/>
    <n v="939"/>
    <s v="Русланов Константин Романович"/>
    <n v="2041"/>
    <s v="Степанов Савелий Ефремович"/>
    <s v="Специалист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19"/>
    <x v="966"/>
    <n v="63"/>
    <s v="Подразделение63"/>
    <s v="подразделение_2_уровня63"/>
    <s v="подразделение_3_уровня63"/>
    <s v="линейный_руководитель_4"/>
    <n v="6"/>
    <s v="нет"/>
    <m/>
    <m/>
    <m/>
    <n v="940"/>
    <s v="Цветков Константин Тимофеевич"/>
    <n v="2042"/>
    <s v="Ветров Виталий Ефремович"/>
    <s v="Специалист"/>
    <s v="Подразделение63"/>
    <x v="2"/>
    <x v="0"/>
    <n v="1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19"/>
    <x v="966"/>
    <n v="63"/>
    <s v="Подразделение63"/>
    <s v="подразделение_2_уровня63"/>
    <s v="подразделение_3_уровня63"/>
    <s v="линейный_руководитель_4"/>
    <n v="6"/>
    <s v="нет"/>
    <m/>
    <m/>
    <m/>
    <n v="940"/>
    <s v="Цветков Константин Тимофеевич"/>
    <n v="2043"/>
    <s v="Незнамов Матвей Богданович"/>
    <s v="Специалист"/>
    <s v="Подразделение63"/>
    <x v="1"/>
    <x v="0"/>
    <n v="1"/>
    <n v="0"/>
    <m/>
    <m/>
    <s v="не рассматривали"/>
    <s v="протокол-№-02.12.2022"/>
  </r>
  <r>
    <s v="Функциональное направление 13"/>
    <n v="4"/>
    <d v="2022-12-02T00:00:00"/>
    <n v="0"/>
    <s v="не защищена"/>
    <n v="500419"/>
    <x v="966"/>
    <n v="63"/>
    <s v="Подразделение63"/>
    <s v="подразделение_2_уровня63"/>
    <s v="подразделение_3_уровня63"/>
    <s v="линейный_руководитель_4"/>
    <n v="6"/>
    <s v="нет"/>
    <m/>
    <m/>
    <m/>
    <n v="940"/>
    <s v="Цветков Константин Тимофеевич"/>
    <n v="2044"/>
    <s v="Степанов Савелий Александрович"/>
    <s v="Специалист"/>
    <s v="Подразделение63"/>
    <x v="1"/>
    <x v="0"/>
    <n v="1"/>
    <n v="0"/>
    <m/>
    <m/>
    <s v="не рассматривали"/>
    <s v="протокол-№-02.12.2022"/>
  </r>
  <r>
    <s v="Функциональное направление 13"/>
    <n v="4"/>
    <d v="2021-11-12T00:00:00"/>
    <n v="1"/>
    <s v="не защищена"/>
    <n v="500420"/>
    <x v="967"/>
    <n v="63"/>
    <s v="Подразделение63"/>
    <s v="подразделение_2_уровня63"/>
    <s v="подразделение_3_уровня63"/>
    <s v="линейный_руководитель_4"/>
    <n v="6"/>
    <s v="нет"/>
    <m/>
    <m/>
    <m/>
    <n v="941"/>
    <s v="Баранкин Алексей Егорович"/>
    <n v="2045"/>
    <s v="Исаев Савелий Богданович"/>
    <s v="Специалист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20"/>
    <x v="967"/>
    <n v="63"/>
    <s v="Подразделение63"/>
    <s v="подразделение_2_уровня63"/>
    <s v="подразделение_3_уровня63"/>
    <s v="линейный_руководитель_4"/>
    <n v="6"/>
    <s v="нет"/>
    <m/>
    <m/>
    <m/>
    <n v="941"/>
    <s v="Баранкин Алексей Егорович"/>
    <n v="2046"/>
    <s v="Незнамов Матвей Александрович"/>
    <s v="Специалист"/>
    <s v="Подразделение63"/>
    <x v="1"/>
    <x v="0"/>
    <n v="1"/>
    <n v="0"/>
    <m/>
    <m/>
    <s v="не рассматривали"/>
    <s v="протокол-№-02.12.2022"/>
  </r>
  <r>
    <s v="Функциональное направление 13"/>
    <n v="4"/>
    <d v="2021-11-12T00:00:00"/>
    <n v="1"/>
    <s v="не защищена"/>
    <n v="500421"/>
    <x v="968"/>
    <n v="63"/>
    <s v="Подразделение63"/>
    <s v="подразделение_2_уровня63"/>
    <s v="подразделение_3_уровня63"/>
    <s v="линейный_руководитель_4"/>
    <n v="6"/>
    <s v="нет"/>
    <m/>
    <m/>
    <m/>
    <n v="942"/>
    <s v="Пальчиков Константин Александрович"/>
    <n v="2047"/>
    <s v="Исаев Матвей Александрович"/>
    <s v="Специалист"/>
    <s v="Подразделение63"/>
    <x v="1"/>
    <x v="0"/>
    <n v="1"/>
    <n v="0"/>
    <m/>
    <m/>
    <s v="без изменений"/>
    <s v="протокол-№-02.12.2022"/>
  </r>
  <r>
    <s v="Функциональное направление 13"/>
    <n v="4"/>
    <d v="2021-11-12T00:00:00"/>
    <n v="1"/>
    <s v="не защищена"/>
    <n v="500422"/>
    <x v="969"/>
    <n v="63"/>
    <s v="Подразделение63"/>
    <s v="подразделение_2_уровня63"/>
    <s v="-"/>
    <s v="руководитель_среднего_уровня_2"/>
    <n v="6"/>
    <s v="нет"/>
    <m/>
    <m/>
    <m/>
    <n v="943"/>
    <s v="Пальчиков Константин Егорович"/>
    <n v="946"/>
    <s v="Вобликов Николай Григорьевич"/>
    <s v="руководитель_среднего_уровня_2"/>
    <s v="Подразделение63"/>
    <x v="1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0"/>
    <s v="не защищена"/>
    <n v="500422"/>
    <x v="969"/>
    <n v="63"/>
    <s v="Подразделение63"/>
    <s v="подразделение_2_уровня63"/>
    <s v="-"/>
    <s v="руководитель_среднего_уровня_2"/>
    <n v="6"/>
    <s v="нет"/>
    <m/>
    <m/>
    <m/>
    <n v="943"/>
    <s v="Пальчиков Константин Егорович"/>
    <n v="920"/>
    <s v="Пальчиков Федот Тимофеевич"/>
    <s v="линейный_руководитель_3"/>
    <s v="Подразделение63"/>
    <x v="0"/>
    <x v="0"/>
    <n v="1"/>
    <n v="0"/>
    <m/>
    <m/>
    <s v="без изменений"/>
    <s v="протокол-№-05.07.2022"/>
  </r>
  <r>
    <s v="Функциональное направление 13"/>
    <n v="4"/>
    <d v="2022-12-02T00:00:00"/>
    <n v="1"/>
    <s v="не защищена"/>
    <n v="500423"/>
    <x v="970"/>
    <n v="63"/>
    <s v="Подразделение63"/>
    <s v="подразделение_2_уровня63"/>
    <s v="подразделение_3_уровня63"/>
    <s v="линейный_руководитель_2"/>
    <n v="7"/>
    <s v="нет"/>
    <m/>
    <m/>
    <m/>
    <n v="944"/>
    <s v="Русланов Валерий Григорьевич"/>
    <n v="2032"/>
    <s v="Тимофеев Геннадий Александрович"/>
    <s v="Специалист"/>
    <s v="Подразделение63"/>
    <x v="2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0"/>
    <s v="не защищена"/>
    <n v="500423"/>
    <x v="970"/>
    <n v="63"/>
    <s v="Подразделение63"/>
    <s v="подразделение_2_уровня63"/>
    <s v="подразделение_3_уровня63"/>
    <s v="линейный_руководитель_2"/>
    <n v="7"/>
    <s v="нет"/>
    <m/>
    <m/>
    <m/>
    <n v="944"/>
    <s v="Русланов Валерий Григорьевич"/>
    <n v="2048"/>
    <s v="Тимофеев Виталий Ефремович"/>
    <s v="линейный_руководитель_2"/>
    <s v="Подразделение110"/>
    <x v="0"/>
    <x v="2"/>
    <n v="0"/>
    <n v="0"/>
    <s v="прочее (перевод в другое СП / на другое предприятие)"/>
    <d v="2022-12-02T00:00:00"/>
    <s v="исключение"/>
    <s v="протокол-№-02.12.2022"/>
  </r>
  <r>
    <s v="Функциональное направление 13"/>
    <n v="4"/>
    <d v="2021-11-12T00:00:00"/>
    <n v="1"/>
    <s v="не защищена"/>
    <n v="500424"/>
    <x v="971"/>
    <n v="63"/>
    <s v="Подразделение63"/>
    <s v="подразделение_2_уровня63"/>
    <s v="подразделение_3_уровня63"/>
    <s v="линейный_руководитель_3"/>
    <n v="6"/>
    <s v="нет"/>
    <m/>
    <m/>
    <m/>
    <n v="945"/>
    <s v="Цветков Константин Александрович"/>
    <n v="2049"/>
    <s v="Незнамов Матвей Александрович"/>
    <s v="Специалист"/>
    <s v="Подразделение63"/>
    <x v="1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0"/>
    <s v="не защищена"/>
    <n v="500424"/>
    <x v="971"/>
    <n v="63"/>
    <s v="Подразделение63"/>
    <s v="подразделение_2_уровня63"/>
    <s v="подразделение_3_уровня63"/>
    <s v="линейный_руководитель_3"/>
    <n v="6"/>
    <s v="нет"/>
    <m/>
    <m/>
    <m/>
    <n v="945"/>
    <s v="Цветков Константин Александрович"/>
    <n v="2050"/>
    <s v="Степанов Савелий Ефремович"/>
    <s v="Специалист"/>
    <s v="Подразделение63"/>
    <x v="0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0"/>
    <s v="не защищена"/>
    <n v="500424"/>
    <x v="971"/>
    <n v="63"/>
    <s v="Подразделение63"/>
    <s v="подразделение_2_уровня63"/>
    <s v="подразделение_3_уровня63"/>
    <s v="линейный_руководитель_3"/>
    <n v="6"/>
    <s v="нет"/>
    <m/>
    <m/>
    <m/>
    <n v="945"/>
    <s v="Цветков Константин Александрович"/>
    <n v="2051"/>
    <s v="Тимофеев Савелий Александрович"/>
    <s v="Специалист"/>
    <s v="Подразделение63"/>
    <x v="0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1"/>
    <s v="не защищена"/>
    <n v="500425"/>
    <x v="972"/>
    <n v="63"/>
    <s v="Подразделение63"/>
    <s v="подразделение_2_уровня63"/>
    <s v="-"/>
    <s v="руководитель_среднего_уровня_2"/>
    <n v="6"/>
    <s v="нет"/>
    <m/>
    <m/>
    <m/>
    <n v="946"/>
    <s v="Вобликов Николай Григорьевич"/>
    <n v="2052"/>
    <s v="Незнамов Матвей Семенович"/>
    <s v="Специалист"/>
    <s v="Подразделение63"/>
    <x v="2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1"/>
    <s v="не защищена"/>
    <n v="500426"/>
    <x v="973"/>
    <n v="63"/>
    <s v="Подразделение63"/>
    <s v="подразделение_2_уровня63"/>
    <s v="-"/>
    <s v="руководитель_среднего_уровня_3"/>
    <n v="6"/>
    <s v="нет"/>
    <m/>
    <m/>
    <m/>
    <n v="947"/>
    <s v="Баранкин Кирилл Владиславович"/>
    <n v="2053"/>
    <s v="Кириллов Савелий Михайлович"/>
    <s v="Специалист"/>
    <s v="Подразделение63"/>
    <x v="2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3"/>
    <n v="63"/>
    <s v="Подразделение63"/>
    <s v="подразделение_2_уровня63"/>
    <s v="-"/>
    <s v="руководитель_среднего_уровня_3"/>
    <n v="6"/>
    <s v="нет"/>
    <m/>
    <m/>
    <m/>
    <n v="947"/>
    <s v="Баранкин Кирилл Владиславович"/>
    <n v="2054"/>
    <s v="Ветров Глеб Ефремович"/>
    <s v="Специалист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3"/>
    <n v="63"/>
    <s v="Подразделение63"/>
    <s v="подразделение_2_уровня63"/>
    <s v="-"/>
    <s v="руководитель_среднего_уровня_3"/>
    <n v="6"/>
    <s v="нет"/>
    <m/>
    <m/>
    <m/>
    <n v="947"/>
    <s v="Баранкин Кирилл Владиславович"/>
    <n v="2052"/>
    <s v="Незнамов Матвей Семенович"/>
    <s v="Специалист"/>
    <s v="Подразделение63"/>
    <x v="2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3"/>
    <n v="63"/>
    <s v="Подразделение63"/>
    <s v="подразделение_2_уровня63"/>
    <s v="-"/>
    <s v="руководитель_среднего_уровня_3"/>
    <n v="6"/>
    <s v="нет"/>
    <m/>
    <m/>
    <m/>
    <n v="947"/>
    <s v="Баранкин Кирилл Владиславович"/>
    <n v="949"/>
    <s v="Пальчиков Кирилл Романович"/>
    <s v="линейный_руководитель_2"/>
    <s v="Подразделение63"/>
    <x v="1"/>
    <x v="1"/>
    <n v="1"/>
    <n v="0"/>
    <s v="назначение на целевую должность"/>
    <d v="2023-02-10T00:00:00"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26"/>
    <x v="974"/>
    <n v="63"/>
    <s v="Подразделение63"/>
    <s v="подразделение_2_уровня63"/>
    <s v="-"/>
    <s v="руководитель_среднего_уровня_3"/>
    <n v="6"/>
    <s v="нет"/>
    <m/>
    <m/>
    <m/>
    <n v="948"/>
    <s v="Русланов Алексей Владиславович"/>
    <n v="2053"/>
    <s v="Кириллов Савелий Михайлович"/>
    <s v="Специалист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4"/>
    <n v="63"/>
    <s v="Подразделение63"/>
    <s v="подразделение_2_уровня63"/>
    <s v="-"/>
    <s v="руководитель_среднего_уровня_3"/>
    <n v="6"/>
    <s v="нет"/>
    <m/>
    <m/>
    <m/>
    <n v="948"/>
    <s v="Русланов Алексей Владиславович"/>
    <n v="2054"/>
    <s v="Ветров Глеб Ефремович"/>
    <s v="Специалист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4"/>
    <n v="63"/>
    <s v="Подразделение63"/>
    <s v="подразделение_2_уровня63"/>
    <s v="-"/>
    <s v="руководитель_среднего_уровня_3"/>
    <n v="6"/>
    <s v="нет"/>
    <m/>
    <m/>
    <m/>
    <n v="948"/>
    <s v="Русланов Алексей Владиславович"/>
    <n v="2052"/>
    <s v="Незнамов Матвей Семенович"/>
    <s v="Специалист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4"/>
    <n v="63"/>
    <s v="Подразделение63"/>
    <s v="подразделение_2_уровня63"/>
    <s v="-"/>
    <s v="руководитель_среднего_уровня_3"/>
    <n v="6"/>
    <s v="нет"/>
    <m/>
    <m/>
    <m/>
    <n v="948"/>
    <s v="Русланов Алексей Владиславович"/>
    <n v="949"/>
    <s v="Пальчиков Кирилл Романович"/>
    <s v="линейный_руководитель_2"/>
    <s v="Подразделение63"/>
    <x v="1"/>
    <x v="1"/>
    <n v="0"/>
    <n v="0"/>
    <s v="назначение на целевую должность"/>
    <d v="2023-02-10T00:00:00"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26"/>
    <x v="975"/>
    <n v="63"/>
    <s v="Подразделение63"/>
    <s v="подразделение_2_уровня63"/>
    <s v="-"/>
    <s v="руководитель_среднего_уровня_3"/>
    <n v="6"/>
    <s v="да"/>
    <d v="2023-01-20T00:00:00"/>
    <d v="2023-02-10T00:00:00"/>
    <s v="из резерва (учитываем)"/>
    <n v="949"/>
    <s v="Пальчиков Кирилл Романович"/>
    <n v="2053"/>
    <s v="Кириллов Савелий Михайлович"/>
    <s v="Специалист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5"/>
    <n v="63"/>
    <s v="Подразделение63"/>
    <s v="подразделение_2_уровня63"/>
    <s v="-"/>
    <s v="руководитель_среднего_уровня_3"/>
    <n v="6"/>
    <s v="да"/>
    <d v="2023-01-20T00:00:00"/>
    <d v="2023-02-10T00:00:00"/>
    <s v="из резерва (учитываем)"/>
    <n v="949"/>
    <s v="Пальчиков Кирилл Романович"/>
    <n v="2054"/>
    <s v="Ветров Глеб Ефремович"/>
    <s v="Специалист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5"/>
    <n v="63"/>
    <s v="Подразделение63"/>
    <s v="подразделение_2_уровня63"/>
    <s v="-"/>
    <s v="руководитель_среднего_уровня_3"/>
    <n v="6"/>
    <s v="да"/>
    <d v="2023-01-20T00:00:00"/>
    <d v="2023-02-10T00:00:00"/>
    <s v="из резерва (учитываем)"/>
    <n v="949"/>
    <s v="Пальчиков Кирилл Романович"/>
    <n v="2052"/>
    <s v="Незнамов Матвей Семенович"/>
    <s v="Специалист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5"/>
    <n v="63"/>
    <s v="Подразделение63"/>
    <s v="подразделение_2_уровня63"/>
    <s v="-"/>
    <s v="руководитель_среднего_уровня_3"/>
    <n v="6"/>
    <s v="да"/>
    <d v="2023-01-20T00:00:00"/>
    <d v="2023-02-10T00:00:00"/>
    <s v="из резерва (учитываем)"/>
    <n v="949"/>
    <s v="Пальчиков Кирилл Романович"/>
    <n v="949"/>
    <s v="Пальчиков Кирилл Романович"/>
    <s v="линейный_руководитель_2"/>
    <s v="Подразделение63"/>
    <x v="1"/>
    <x v="1"/>
    <n v="0"/>
    <n v="1"/>
    <s v="назначение на целевую должность"/>
    <d v="2023-02-10T00:00:00"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26"/>
    <x v="976"/>
    <n v="63"/>
    <s v="Подразделение63"/>
    <s v="подразделение_2_уровня63"/>
    <s v="-"/>
    <s v="руководитель_среднего_уровня_3"/>
    <n v="6"/>
    <s v="да"/>
    <d v="2023-01-10T00:00:00"/>
    <d v="2023-01-20T00:00:00"/>
    <s v="ротация (не учитываем)"/>
    <n v="950"/>
    <s v="Вобликов Алексей Романович"/>
    <n v="2053"/>
    <s v="Кириллов Савелий Михайлович"/>
    <s v="Специалист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6"/>
    <n v="63"/>
    <s v="Подразделение63"/>
    <s v="подразделение_2_уровня63"/>
    <s v="-"/>
    <s v="руководитель_среднего_уровня_3"/>
    <n v="6"/>
    <s v="да"/>
    <d v="2023-01-10T00:00:00"/>
    <d v="2023-01-20T00:00:00"/>
    <s v="ротация (не учитываем)"/>
    <n v="950"/>
    <s v="Вобликов Алексей Романович"/>
    <n v="2054"/>
    <s v="Ветров Глеб Ефремович"/>
    <s v="Специалист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6"/>
    <n v="63"/>
    <s v="Подразделение63"/>
    <s v="подразделение_2_уровня63"/>
    <s v="-"/>
    <s v="руководитель_среднего_уровня_3"/>
    <n v="6"/>
    <s v="да"/>
    <d v="2023-01-10T00:00:00"/>
    <d v="2023-01-20T00:00:00"/>
    <s v="ротация (не учитываем)"/>
    <n v="950"/>
    <s v="Вобликов Алексей Романович"/>
    <n v="2052"/>
    <s v="Незнамов Матвей Семенович"/>
    <s v="Специалист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6"/>
    <n v="63"/>
    <s v="Подразделение63"/>
    <s v="подразделение_2_уровня63"/>
    <s v="-"/>
    <s v="руководитель_среднего_уровня_3"/>
    <n v="6"/>
    <s v="да"/>
    <d v="2023-01-10T00:00:00"/>
    <d v="2023-01-20T00:00:00"/>
    <s v="ротация (не учитываем)"/>
    <n v="950"/>
    <s v="Вобликов Алексей Романович"/>
    <n v="949"/>
    <s v="Пальчиков Кирилл Романович"/>
    <s v="линейный_руководитель_2"/>
    <s v="Подразделение63"/>
    <x v="1"/>
    <x v="1"/>
    <n v="0"/>
    <n v="0"/>
    <s v="назначение на целевую должность"/>
    <d v="2023-02-10T00:00:00"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26"/>
    <x v="977"/>
    <n v="63"/>
    <s v="Подразделение63"/>
    <s v="подразделение_2_уровня63"/>
    <s v="-"/>
    <s v="руководитель_среднего_уровня_3"/>
    <n v="6"/>
    <s v="нет"/>
    <m/>
    <m/>
    <m/>
    <n v="951"/>
    <s v="Вобликов Федот Егорович"/>
    <n v="2053"/>
    <s v="Кириллов Савелий Михайлович"/>
    <s v="Специалист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7"/>
    <n v="63"/>
    <s v="Подразделение63"/>
    <s v="подразделение_2_уровня63"/>
    <s v="-"/>
    <s v="руководитель_среднего_уровня_3"/>
    <n v="6"/>
    <s v="нет"/>
    <m/>
    <m/>
    <m/>
    <n v="951"/>
    <s v="Вобликов Федот Егорович"/>
    <n v="2054"/>
    <s v="Ветров Глеб Ефремович"/>
    <s v="Специалист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7"/>
    <n v="63"/>
    <s v="Подразделение63"/>
    <s v="подразделение_2_уровня63"/>
    <s v="-"/>
    <s v="руководитель_среднего_уровня_3"/>
    <n v="6"/>
    <s v="нет"/>
    <m/>
    <m/>
    <m/>
    <n v="951"/>
    <s v="Вобликов Федот Егорович"/>
    <n v="2052"/>
    <s v="Незнамов Матвей Семенович"/>
    <s v="Специалист"/>
    <s v="Подразделение63"/>
    <x v="2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6"/>
    <x v="977"/>
    <n v="63"/>
    <s v="Подразделение63"/>
    <s v="подразделение_2_уровня63"/>
    <s v="-"/>
    <s v="руководитель_среднего_уровня_3"/>
    <n v="6"/>
    <s v="нет"/>
    <m/>
    <m/>
    <m/>
    <n v="951"/>
    <s v="Вобликов Федот Егорович"/>
    <n v="949"/>
    <s v="Пальчиков Кирилл Романович"/>
    <s v="линейный_руководитель_2"/>
    <s v="Подразделение63"/>
    <x v="1"/>
    <x v="1"/>
    <n v="0"/>
    <n v="0"/>
    <s v="назначение на целевую должность"/>
    <d v="2023-02-10T00:00:00"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27"/>
    <x v="978"/>
    <n v="63"/>
    <s v="Подразделение63"/>
    <s v="подразделение_2_уровня63"/>
    <s v="-"/>
    <s v="руководитель_среднего_уровня_2"/>
    <n v="5"/>
    <s v="нет"/>
    <m/>
    <m/>
    <m/>
    <n v="952"/>
    <s v="Русланов Валерий Егорович"/>
    <n v="928"/>
    <s v="Русланов Тихон Владиславович"/>
    <s v="руководитель_среднего_уровня_4"/>
    <s v="Подразделение63"/>
    <x v="1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0"/>
    <s v="не защищена"/>
    <n v="500427"/>
    <x v="978"/>
    <n v="63"/>
    <s v="Подразделение63"/>
    <s v="подразделение_2_уровня63"/>
    <s v="-"/>
    <s v="руководитель_среднего_уровня_2"/>
    <n v="5"/>
    <s v="нет"/>
    <m/>
    <m/>
    <m/>
    <n v="952"/>
    <s v="Русланов Валерий Егорович"/>
    <n v="953"/>
    <s v="Волков Кирилл Иванович"/>
    <s v="руководитель_среднего_уровня_4"/>
    <s v="Подразделение63"/>
    <x v="1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1"/>
    <s v="не защищена"/>
    <n v="500428"/>
    <x v="979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53"/>
    <s v="Волков Кирилл Иванович"/>
    <n v="924"/>
    <s v="Волков Григорий Александрович"/>
    <s v="линейный_руководитель_2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8"/>
    <x v="979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53"/>
    <s v="Волков Кирилл Иванович"/>
    <n v="925"/>
    <s v="Пальчиков Валерий Александрович"/>
    <s v="линейный_руководитель_2"/>
    <s v="Подразделение63"/>
    <x v="1"/>
    <x v="0"/>
    <n v="0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28"/>
    <x v="979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53"/>
    <s v="Волков Кирилл Иванович"/>
    <n v="927"/>
    <s v="Вобликов Николай Егорович"/>
    <s v="линейный_руководитель_2"/>
    <s v="Подразделение63"/>
    <x v="0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0"/>
    <s v="не защищена"/>
    <n v="500428"/>
    <x v="979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53"/>
    <s v="Волков Кирилл Иванович"/>
    <n v="926"/>
    <s v="Вобликов Константин Юрьевич"/>
    <s v="линейный_руководитель_2"/>
    <s v="Подразделение63"/>
    <x v="1"/>
    <x v="2"/>
    <n v="0"/>
    <n v="0"/>
    <s v="инициатива комитета / руководителя"/>
    <d v="2022-12-02T00:00:00"/>
    <s v="исключение"/>
    <s v="протокол-№-02.12.2022"/>
  </r>
  <r>
    <s v="Функциональное направление 13"/>
    <n v="4"/>
    <d v="2021-11-12T00:00:00"/>
    <n v="1"/>
    <s v="не защищена"/>
    <n v="500429"/>
    <x v="980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54"/>
    <s v="Пальчиков Алексей Владиславович"/>
    <n v="924"/>
    <s v="Волков Григорий Александрович"/>
    <s v="линейный_руководитель_2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1-11-12T00:00:00"/>
    <n v="0"/>
    <s v="не защищена"/>
    <n v="500429"/>
    <x v="980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54"/>
    <s v="Пальчиков Алексей Владиславович"/>
    <n v="925"/>
    <s v="Пальчиков Валерий Александрович"/>
    <s v="линейный_руководитель_2"/>
    <s v="Подразделение63"/>
    <x v="1"/>
    <x v="0"/>
    <n v="0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29"/>
    <x v="980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54"/>
    <s v="Пальчиков Алексей Владиславович"/>
    <n v="927"/>
    <s v="Вобликов Николай Егорович"/>
    <s v="линейный_руководитель_2"/>
    <s v="Подразделение63"/>
    <x v="0"/>
    <x v="0"/>
    <n v="0"/>
    <n v="0"/>
    <m/>
    <m/>
    <s v="не рассматривали"/>
    <s v="протокол-№-02.12.2022"/>
  </r>
  <r>
    <s v="Функциональное направление 13"/>
    <n v="4"/>
    <d v="2021-11-12T00:00:00"/>
    <n v="0"/>
    <s v="не защищена"/>
    <n v="500429"/>
    <x v="980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54"/>
    <s v="Пальчиков Алексей Владиславович"/>
    <n v="926"/>
    <s v="Вобликов Константин Юрьевич"/>
    <s v="линейный_руководитель_2"/>
    <s v="Подразделение63"/>
    <x v="1"/>
    <x v="2"/>
    <n v="0"/>
    <n v="0"/>
    <s v="инициатива комитета / руководителя"/>
    <d v="2022-12-02T00:00:00"/>
    <s v="исключение"/>
    <s v="протокол-№-02.12.2022"/>
  </r>
  <r>
    <s v="Функциональное направление 13"/>
    <n v="4"/>
    <d v="2021-11-12T00:00:00"/>
    <n v="1"/>
    <s v="не защищена"/>
    <n v="500430"/>
    <x v="981"/>
    <n v="63"/>
    <s v="Подразделение63"/>
    <s v="подразделение_2_уровня63"/>
    <s v="-"/>
    <s v="руководитель_среднего_уровня_2"/>
    <n v="6"/>
    <s v="нет"/>
    <m/>
    <m/>
    <m/>
    <n v="955"/>
    <s v="Вобликов Николай Юрьевич"/>
    <n v="956"/>
    <s v="Пальчиков Алексей Александрович"/>
    <s v="руководитель_среднего_уровня_4"/>
    <s v="Подразделение63"/>
    <x v="1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31"/>
    <x v="982"/>
    <n v="63"/>
    <s v="Подразделение63"/>
    <s v="подразделение_2_уровня63"/>
    <s v="подразделение_3_уровня63"/>
    <s v="руководитель_среднего_уровня_4"/>
    <n v="6"/>
    <s v="нет"/>
    <m/>
    <m/>
    <m/>
    <n v="956"/>
    <s v="Пальчиков Алексей Александрович"/>
    <n v="930"/>
    <s v="Вобликов Тихон Егорович"/>
    <s v="линейный_руководитель_2"/>
    <s v="Подразделение63"/>
    <x v="0"/>
    <x v="0"/>
    <n v="1"/>
    <n v="0"/>
    <m/>
    <m/>
    <s v="не рассматривали"/>
    <s v="протокол-№-12.11.2021"/>
  </r>
  <r>
    <s v="Функциональное направление 13"/>
    <n v="4"/>
    <d v="2021-11-12T00:00:00"/>
    <n v="1"/>
    <s v="не защищена"/>
    <n v="500432"/>
    <x v="983"/>
    <n v="63"/>
    <s v="Подразделение63"/>
    <s v="подразделение_2_уровня63"/>
    <s v="-"/>
    <s v="руководитель_среднего_уровня_2"/>
    <n v="6"/>
    <s v="нет"/>
    <m/>
    <m/>
    <m/>
    <n v="957"/>
    <s v="Вобликов Кирилл Владиславович"/>
    <n v="939"/>
    <s v="Русланов Константин Романович"/>
    <s v="линейный_руководитель_4"/>
    <s v="Подразделение63"/>
    <x v="0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0"/>
    <s v="не защищена"/>
    <n v="500432"/>
    <x v="983"/>
    <n v="63"/>
    <s v="Подразделение63"/>
    <s v="подразделение_2_уровня63"/>
    <s v="-"/>
    <s v="руководитель_среднего_уровня_2"/>
    <n v="6"/>
    <s v="нет"/>
    <m/>
    <m/>
    <m/>
    <n v="957"/>
    <s v="Вобликов Кирилл Владиславович"/>
    <n v="940"/>
    <s v="Цветков Константин Тимофеевич"/>
    <s v="линейный_руководитель_4"/>
    <s v="Подразделение63"/>
    <x v="1"/>
    <x v="0"/>
    <n v="1"/>
    <n v="0"/>
    <m/>
    <m/>
    <s v="без изменений"/>
    <s v="протокол-№-05.07.2022"/>
  </r>
  <r>
    <s v="Функциональное направление 13"/>
    <n v="4"/>
    <d v="2021-11-12T00:00:00"/>
    <n v="1"/>
    <s v="не защищена"/>
    <n v="500433"/>
    <x v="984"/>
    <n v="63"/>
    <s v="Подразделение63"/>
    <s v="подразделение_2_уровня63"/>
    <s v="-"/>
    <s v="линейный_руководитель_2"/>
    <n v="6"/>
    <s v="нет"/>
    <m/>
    <m/>
    <m/>
    <n v="958"/>
    <s v="Вобликов Валерий Владиславович"/>
    <n v="2030"/>
    <s v="Ветров Савелий Ефремович"/>
    <s v="Рабочий"/>
    <s v="Подразделение63"/>
    <x v="0"/>
    <x v="0"/>
    <n v="0"/>
    <n v="0"/>
    <m/>
    <m/>
    <s v="не рассматривали"/>
    <s v="протокол-№-12.11.2021"/>
  </r>
  <r>
    <s v="Функциональное направление 13"/>
    <n v="4"/>
    <d v="2022-12-02T00:00:00"/>
    <n v="0"/>
    <s v="не защищена"/>
    <n v="500433"/>
    <x v="984"/>
    <n v="63"/>
    <s v="Подразделение63"/>
    <s v="подразделение_2_уровня63"/>
    <s v="-"/>
    <s v="линейный_руководитель_2"/>
    <n v="6"/>
    <s v="нет"/>
    <m/>
    <m/>
    <m/>
    <n v="958"/>
    <s v="Вобликов Валерий Владиславович"/>
    <n v="2055"/>
    <s v="Тимофеев Геннадий Ефремович"/>
    <s v="Рабочий"/>
    <s v="Подразделение63"/>
    <x v="2"/>
    <x v="0"/>
    <n v="1"/>
    <n v="0"/>
    <m/>
    <m/>
    <s v="не рассматривали"/>
    <s v="протокол-№-02.12.2022"/>
  </r>
  <r>
    <s v="Функциональное направление 13"/>
    <n v="3"/>
    <d v="2018-12-21T00:00:00"/>
    <n v="1"/>
    <s v="не защищена"/>
    <n v="500434"/>
    <x v="985"/>
    <n v="50"/>
    <s v="Подразделение50"/>
    <s v="подразделение_2_уровня50"/>
    <s v="-"/>
    <s v="линейный_руководитель_3"/>
    <n v="5"/>
    <s v="нет"/>
    <m/>
    <m/>
    <m/>
    <n v="959"/>
    <s v="Русланов Федот Владиславович"/>
    <n v="1001"/>
    <s v="Русланов Кирилл Владиславович"/>
    <s v="линейный_руководитель_2"/>
    <s v="Подразделение48"/>
    <x v="1"/>
    <x v="2"/>
    <n v="1"/>
    <n v="0"/>
    <s v="назначение на равнозначную должность"/>
    <d v="2019-10-01T00:00:00"/>
    <s v="не рассматривали"/>
    <s v="протокол-№-21.12.2018"/>
  </r>
  <r>
    <s v="Функциональное направление 13"/>
    <n v="3"/>
    <d v="2018-12-21T00:00:00"/>
    <n v="0"/>
    <s v="не защищена"/>
    <n v="500434"/>
    <x v="985"/>
    <n v="50"/>
    <s v="Подразделение50"/>
    <s v="подразделение_2_уровня50"/>
    <s v="-"/>
    <s v="линейный_руководитель_3"/>
    <n v="5"/>
    <s v="нет"/>
    <m/>
    <m/>
    <m/>
    <n v="959"/>
    <s v="Русланов Федот Владиславович"/>
    <n v="2056"/>
    <s v="Тимофеев Савелий Александрович"/>
    <s v="руководитель_среднего_уровня_4"/>
    <s v="Подразделение50"/>
    <x v="0"/>
    <x v="2"/>
    <n v="1"/>
    <n v="0"/>
    <s v="увольнение"/>
    <d v="2020-06-01T00:00:00"/>
    <s v="не рассматривали"/>
    <s v="протокол-№-21.12.2018"/>
  </r>
  <r>
    <s v="Функциональное направление 13"/>
    <n v="3"/>
    <d v="2022-07-05T00:00:00"/>
    <n v="1"/>
    <s v="не защищена"/>
    <n v="500435"/>
    <x v="986"/>
    <n v="50"/>
    <s v="Подразделение50"/>
    <s v="подразделение_2_уровня50"/>
    <s v="-"/>
    <s v="руководитель_среднего_уровня_2"/>
    <n v="5"/>
    <s v="нет"/>
    <m/>
    <m/>
    <m/>
    <n v="960"/>
    <s v="Вобликов Григорий Иванович"/>
    <n v="973"/>
    <s v="Вобликов Константин Владиславович"/>
    <s v="руководитель_среднего_уровня_4"/>
    <s v="Подразделение50"/>
    <x v="0"/>
    <x v="0"/>
    <n v="1"/>
    <n v="0"/>
    <m/>
    <m/>
    <s v="не рассматривали"/>
    <s v="протокол-№-05.07.2022"/>
  </r>
  <r>
    <s v="Функциональное направление 13"/>
    <n v="3"/>
    <d v="2018-12-21T00:00:00"/>
    <n v="0"/>
    <s v="не защищена"/>
    <n v="500435"/>
    <x v="986"/>
    <n v="50"/>
    <s v="Подразделение50"/>
    <s v="подразделение_2_уровня50"/>
    <s v="-"/>
    <s v="руководитель_среднего_уровня_2"/>
    <n v="5"/>
    <s v="нет"/>
    <m/>
    <m/>
    <m/>
    <n v="960"/>
    <s v="Вобликов Григорий Иванович"/>
    <n v="2057"/>
    <s v="Ветров Савелий Михайлович"/>
    <s v="линейный_руководитель_2"/>
    <s v="Подразделение110"/>
    <x v="0"/>
    <x v="2"/>
    <n v="1"/>
    <n v="0"/>
    <s v="прочее (перевод в другое СП / на другое предприятие)"/>
    <d v="2022-07-05T00:00:00"/>
    <s v="исключение"/>
    <s v="протокол-№-05.07.2022"/>
  </r>
  <r>
    <s v="Функциональное направление 13"/>
    <n v="4"/>
    <d v="2020-12-25T00:00:00"/>
    <n v="1"/>
    <s v="не защищена"/>
    <n v="500436"/>
    <x v="987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61"/>
    <s v="Вобликов Николай Тимофеевич"/>
    <n v="966"/>
    <s v="Пальчиков Валерий Денисович"/>
    <s v="линейный_руководитель_2"/>
    <s v="Подразделение50"/>
    <x v="1"/>
    <x v="0"/>
    <n v="1"/>
    <n v="0"/>
    <m/>
    <m/>
    <s v="без изменений"/>
    <s v="протокол-№-23.11.2022"/>
  </r>
  <r>
    <s v="Функциональное направление 13"/>
    <n v="4"/>
    <d v="2020-12-25T00:00:00"/>
    <n v="1"/>
    <s v="не защищена"/>
    <n v="500437"/>
    <x v="988"/>
    <n v="50"/>
    <s v="Подразделение50"/>
    <s v="подразделение_2_уровня50"/>
    <s v="подразделение_3_уровня50"/>
    <s v="руководитель_среднего_уровня_3"/>
    <n v="6"/>
    <s v="нет"/>
    <m/>
    <m/>
    <m/>
    <n v="962"/>
    <s v="Русланов Константин Владиславович"/>
    <n v="969"/>
    <s v="Баранкин Константин Иванович"/>
    <s v="линейный_руководитель_2"/>
    <s v="Подразделение50"/>
    <x v="0"/>
    <x v="0"/>
    <n v="1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37"/>
    <x v="988"/>
    <n v="50"/>
    <s v="Подразделение50"/>
    <s v="подразделение_2_уровня50"/>
    <s v="подразделение_3_уровня50"/>
    <s v="руководитель_среднего_уровня_3"/>
    <n v="6"/>
    <s v="нет"/>
    <m/>
    <m/>
    <m/>
    <n v="962"/>
    <s v="Русланов Константин Владиславович"/>
    <n v="963"/>
    <s v="Цветков Николай Егорович"/>
    <s v="руководитель_среднего_уровня_3"/>
    <s v="Подразделение50"/>
    <x v="1"/>
    <x v="1"/>
    <n v="1"/>
    <n v="0"/>
    <s v="назначение на целевую должность"/>
    <d v="2022-04-18T00:00:00"/>
    <s v="не рассматривали"/>
    <s v="протокол-№-15.03.2022"/>
  </r>
  <r>
    <s v="Функциональное направление 13"/>
    <n v="4"/>
    <d v="2020-12-25T00:00:00"/>
    <n v="1"/>
    <s v="не защищена"/>
    <n v="500437"/>
    <x v="989"/>
    <n v="50"/>
    <s v="Подразделение50"/>
    <s v="подразделение_2_уровня50"/>
    <s v="подразделение_3_уровня50"/>
    <s v="руководитель_среднего_уровня_3"/>
    <n v="6"/>
    <s v="да"/>
    <d v="2022-02-15T00:00:00"/>
    <d v="2022-04-18T00:00:00"/>
    <s v="из резерва (учитываем)"/>
    <n v="963"/>
    <s v="Цветков Николай Егорович"/>
    <n v="969"/>
    <s v="Баранкин Константин Иванович"/>
    <s v="линейный_руководитель_2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37"/>
    <x v="989"/>
    <n v="50"/>
    <s v="Подразделение50"/>
    <s v="подразделение_2_уровня50"/>
    <s v="подразделение_3_уровня50"/>
    <s v="руководитель_среднего_уровня_3"/>
    <n v="6"/>
    <s v="да"/>
    <d v="2022-02-15T00:00:00"/>
    <d v="2022-04-18T00:00:00"/>
    <s v="из резерва (учитываем)"/>
    <n v="963"/>
    <s v="Цветков Николай Егорович"/>
    <n v="963"/>
    <s v="Цветков Николай Егорович"/>
    <s v="руководитель_среднего_уровня_3"/>
    <s v="Подразделение50"/>
    <x v="1"/>
    <x v="1"/>
    <n v="0"/>
    <n v="1"/>
    <s v="назначение на целевую должность"/>
    <d v="2022-04-18T00:00:00"/>
    <s v="не рассматривали"/>
    <s v="протокол-№-15.03.2022"/>
  </r>
  <r>
    <s v="Функциональное направление 13"/>
    <n v="4"/>
    <d v="2020-12-25T00:00:00"/>
    <n v="1"/>
    <s v="не защищена"/>
    <n v="500437"/>
    <x v="990"/>
    <n v="50"/>
    <s v="Подразделение50"/>
    <s v="подразделение_2_уровня50"/>
    <s v="подразделение_3_уровня50"/>
    <s v="руководитель_среднего_уровня_3"/>
    <n v="6"/>
    <s v="нет"/>
    <m/>
    <m/>
    <m/>
    <n v="964"/>
    <s v="Цветков Алексей Романович"/>
    <n v="969"/>
    <s v="Баранкин Константин Иванович"/>
    <s v="линейный_руководитель_2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37"/>
    <x v="990"/>
    <n v="50"/>
    <s v="Подразделение50"/>
    <s v="подразделение_2_уровня50"/>
    <s v="подразделение_3_уровня50"/>
    <s v="руководитель_среднего_уровня_3"/>
    <n v="6"/>
    <s v="нет"/>
    <m/>
    <m/>
    <m/>
    <n v="964"/>
    <s v="Цветков Алексей Романович"/>
    <n v="963"/>
    <s v="Цветков Николай Егорович"/>
    <s v="руководитель_среднего_уровня_3"/>
    <s v="Подразделение50"/>
    <x v="1"/>
    <x v="1"/>
    <n v="0"/>
    <n v="0"/>
    <s v="назначение на целевую должность"/>
    <d v="2022-04-18T00:00:00"/>
    <s v="не рассматривали"/>
    <s v="протокол-№-15.03.2022"/>
  </r>
  <r>
    <s v="Функциональное направление 13"/>
    <n v="4"/>
    <d v="2020-12-25T00:00:00"/>
    <n v="1"/>
    <s v="не защищена"/>
    <n v="500437"/>
    <x v="991"/>
    <n v="50"/>
    <s v="Подразделение50"/>
    <s v="подразделение_2_уровня50"/>
    <s v="подразделение_3_уровня50"/>
    <s v="руководитель_среднего_уровня_3"/>
    <n v="6"/>
    <s v="нет"/>
    <m/>
    <m/>
    <m/>
    <n v="965"/>
    <s v="Цветков Константин Владиславович"/>
    <n v="969"/>
    <s v="Баранкин Константин Иванович"/>
    <s v="линейный_руководитель_2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37"/>
    <x v="991"/>
    <n v="50"/>
    <s v="Подразделение50"/>
    <s v="подразделение_2_уровня50"/>
    <s v="подразделение_3_уровня50"/>
    <s v="руководитель_среднего_уровня_3"/>
    <n v="6"/>
    <s v="нет"/>
    <m/>
    <m/>
    <m/>
    <n v="965"/>
    <s v="Цветков Константин Владиславович"/>
    <n v="963"/>
    <s v="Цветков Николай Егорович"/>
    <s v="руководитель_среднего_уровня_3"/>
    <s v="Подразделение50"/>
    <x v="1"/>
    <x v="1"/>
    <n v="0"/>
    <n v="0"/>
    <s v="назначение на целевую должность"/>
    <d v="2022-04-18T00:00:00"/>
    <s v="не рассматривали"/>
    <s v="протокол-№-15.03.2022"/>
  </r>
  <r>
    <s v="Функциональное направление 13"/>
    <n v="4"/>
    <d v="2022-11-23T00:00:00"/>
    <n v="1"/>
    <s v="не защищена"/>
    <n v="500438"/>
    <x v="992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66"/>
    <s v="Пальчиков Валерий Денисович"/>
    <n v="2058"/>
    <s v="Исаев Савелий Александрович"/>
    <s v="Рабочий"/>
    <s v="Подразделение50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38"/>
    <x v="992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66"/>
    <s v="Пальчиков Валерий Денисович"/>
    <n v="2059"/>
    <s v="Кириллов Савелий Богданович"/>
    <s v="Рабочий"/>
    <s v="Подразделение50"/>
    <x v="0"/>
    <x v="0"/>
    <n v="1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38"/>
    <x v="99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66"/>
    <s v="Пальчиков Валерий Денисович"/>
    <n v="970"/>
    <s v="Цветков Григорий Александрович"/>
    <s v="линейный_руководитель_2"/>
    <s v="Подразделение50"/>
    <x v="1"/>
    <x v="1"/>
    <n v="1"/>
    <n v="0"/>
    <s v="назначение на целевую должность"/>
    <d v="2022-04-18T00:00:00"/>
    <s v="не рассматривали"/>
    <s v="протокол-№-15.03.2022"/>
  </r>
  <r>
    <s v="Функциональное направление 13"/>
    <n v="4"/>
    <d v="2020-12-25T00:00:00"/>
    <n v="0"/>
    <s v="не защищена"/>
    <n v="500438"/>
    <x v="99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66"/>
    <s v="Пальчиков Валерий Денисович"/>
    <n v="2060"/>
    <s v="Тимофеев Глеб Ефремович"/>
    <s v="линейный_руководитель_2"/>
    <s v="Подразделение110"/>
    <x v="1"/>
    <x v="2"/>
    <n v="0"/>
    <n v="0"/>
    <s v="назначение на равнозначную должность"/>
    <d v="2021-07-26T00:00:00"/>
    <s v="не рассматривали"/>
    <s v="протокол-№-25.12.2020"/>
  </r>
  <r>
    <s v="Функциональное направление 13"/>
    <n v="4"/>
    <d v="2022-11-23T00:00:00"/>
    <n v="1"/>
    <s v="не защищена"/>
    <n v="500438"/>
    <x v="993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67"/>
    <s v="Баранкин Федот Егорович"/>
    <n v="2058"/>
    <s v="Исаев Савелий Александрович"/>
    <s v="Рабочий"/>
    <s v="Подразделение50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38"/>
    <x v="993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67"/>
    <s v="Баранкин Федот Егорович"/>
    <n v="2059"/>
    <s v="Кириллов Савелий Богданович"/>
    <s v="Рабочий"/>
    <s v="Подразделение50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38"/>
    <x v="993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67"/>
    <s v="Баранкин Федот Егорович"/>
    <n v="970"/>
    <s v="Цветков Григорий Александрович"/>
    <s v="линейный_руководитель_2"/>
    <s v="Подразделение50"/>
    <x v="1"/>
    <x v="1"/>
    <n v="0"/>
    <n v="0"/>
    <s v="назначение на целевую должность"/>
    <d v="2022-04-18T00:00:00"/>
    <s v="не рассматривали"/>
    <s v="протокол-№-15.03.2022"/>
  </r>
  <r>
    <s v="Функциональное направление 13"/>
    <n v="4"/>
    <d v="2020-12-25T00:00:00"/>
    <n v="0"/>
    <s v="не защищена"/>
    <n v="500438"/>
    <x v="993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67"/>
    <s v="Баранкин Федот Егорович"/>
    <n v="2060"/>
    <s v="Тимофеев Глеб Ефремович"/>
    <s v="линейный_руководитель_2"/>
    <s v="Подразделение110"/>
    <x v="1"/>
    <x v="2"/>
    <n v="0"/>
    <n v="0"/>
    <s v="назначение на равнозначную должность"/>
    <d v="2021-07-26T00:00:00"/>
    <s v="не рассматривали"/>
    <s v="протокол-№-25.12.2020"/>
  </r>
  <r>
    <s v="Функциональное направление 13"/>
    <n v="4"/>
    <d v="2022-11-23T00:00:00"/>
    <n v="1"/>
    <s v="не защищена"/>
    <n v="500438"/>
    <x v="994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68"/>
    <s v="Цветков Федот Романович"/>
    <n v="2058"/>
    <s v="Исаев Савелий Александрович"/>
    <s v="Рабочий"/>
    <s v="Подразделение50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38"/>
    <x v="994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68"/>
    <s v="Цветков Федот Романович"/>
    <n v="2059"/>
    <s v="Кириллов Савелий Богданович"/>
    <s v="Рабочий"/>
    <s v="Подразделение50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38"/>
    <x v="994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68"/>
    <s v="Цветков Федот Романович"/>
    <n v="970"/>
    <s v="Цветков Григорий Александрович"/>
    <s v="линейный_руководитель_2"/>
    <s v="Подразделение50"/>
    <x v="1"/>
    <x v="1"/>
    <n v="0"/>
    <n v="0"/>
    <s v="назначение на целевую должность"/>
    <d v="2022-04-18T00:00:00"/>
    <s v="не рассматривали"/>
    <s v="протокол-№-15.03.2022"/>
  </r>
  <r>
    <s v="Функциональное направление 13"/>
    <n v="4"/>
    <d v="2020-12-25T00:00:00"/>
    <n v="0"/>
    <s v="не защищена"/>
    <n v="500438"/>
    <x v="994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68"/>
    <s v="Цветков Федот Романович"/>
    <n v="2060"/>
    <s v="Тимофеев Глеб Ефремович"/>
    <s v="линейный_руководитель_2"/>
    <s v="Подразделение110"/>
    <x v="1"/>
    <x v="2"/>
    <n v="0"/>
    <n v="0"/>
    <s v="назначение на равнозначную должность"/>
    <d v="2021-07-26T00:00:00"/>
    <s v="не рассматривали"/>
    <s v="протокол-№-25.12.2020"/>
  </r>
  <r>
    <s v="Функциональное направление 13"/>
    <n v="4"/>
    <d v="2022-11-23T00:00:00"/>
    <n v="1"/>
    <s v="не защищена"/>
    <n v="500438"/>
    <x v="995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69"/>
    <s v="Баранкин Константин Иванович"/>
    <n v="2058"/>
    <s v="Исаев Савелий Александрович"/>
    <s v="Рабочий"/>
    <s v="Подразделение50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38"/>
    <x v="995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69"/>
    <s v="Баранкин Константин Иванович"/>
    <n v="2059"/>
    <s v="Кириллов Савелий Богданович"/>
    <s v="Рабочий"/>
    <s v="Подразделение50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38"/>
    <x v="995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69"/>
    <s v="Баранкин Константин Иванович"/>
    <n v="970"/>
    <s v="Цветков Григорий Александрович"/>
    <s v="линейный_руководитель_2"/>
    <s v="Подразделение50"/>
    <x v="1"/>
    <x v="1"/>
    <n v="0"/>
    <n v="0"/>
    <s v="назначение на целевую должность"/>
    <d v="2022-04-18T00:00:00"/>
    <s v="не рассматривали"/>
    <s v="протокол-№-15.03.2022"/>
  </r>
  <r>
    <s v="Функциональное направление 13"/>
    <n v="4"/>
    <d v="2020-12-25T00:00:00"/>
    <n v="0"/>
    <s v="не защищена"/>
    <n v="500438"/>
    <x v="995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69"/>
    <s v="Баранкин Константин Иванович"/>
    <n v="2060"/>
    <s v="Тимофеев Глеб Ефремович"/>
    <s v="линейный_руководитель_2"/>
    <s v="Подразделение110"/>
    <x v="1"/>
    <x v="2"/>
    <n v="0"/>
    <n v="0"/>
    <s v="назначение на равнозначную должность"/>
    <d v="2021-07-26T00:00:00"/>
    <s v="не рассматривали"/>
    <s v="протокол-№-25.12.2020"/>
  </r>
  <r>
    <s v="Функциональное направление 13"/>
    <n v="4"/>
    <d v="2022-11-23T00:00:00"/>
    <n v="1"/>
    <s v="не защищена"/>
    <n v="500438"/>
    <x v="996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70"/>
    <s v="Цветков Григорий Александрович"/>
    <n v="2058"/>
    <s v="Исаев Савелий Александрович"/>
    <s v="Рабочий"/>
    <s v="Подразделение50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38"/>
    <x v="996"/>
    <n v="50"/>
    <s v="Подразделение50"/>
    <s v="подразделение_2_уровня50"/>
    <s v="подразделение_3_уровня50"/>
    <s v="линейный_руководитель_1"/>
    <n v="6"/>
    <s v="нет"/>
    <m/>
    <m/>
    <m/>
    <n v="970"/>
    <s v="Цветков Григорий Александрович"/>
    <n v="2059"/>
    <s v="Кириллов Савелий Богданович"/>
    <s v="Рабочий"/>
    <s v="Подразделение50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38"/>
    <x v="996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2-15T00:00:00"/>
    <d v="2022-04-18T00:00:00"/>
    <s v="из резерва (учитываем)"/>
    <n v="970"/>
    <s v="Цветков Григорий Александрович"/>
    <n v="970"/>
    <s v="Цветков Григорий Александрович"/>
    <s v="линейный_руководитель_2"/>
    <s v="Подразделение50"/>
    <x v="1"/>
    <x v="1"/>
    <n v="0"/>
    <n v="1"/>
    <s v="назначение на целевую должность"/>
    <d v="2022-04-18T00:00:00"/>
    <s v="не рассматривали"/>
    <s v="протокол-№-15.03.2022"/>
  </r>
  <r>
    <s v="Функциональное направление 13"/>
    <n v="4"/>
    <d v="2020-12-25T00:00:00"/>
    <n v="0"/>
    <s v="не защищена"/>
    <n v="500438"/>
    <x v="996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2-15T00:00:00"/>
    <d v="2022-04-18T00:00:00"/>
    <s v="из резерва (учитываем)"/>
    <n v="970"/>
    <s v="Цветков Григорий Александрович"/>
    <n v="2060"/>
    <s v="Тимофеев Глеб Ефремович"/>
    <s v="линейный_руководитель_2"/>
    <s v="Подразделение110"/>
    <x v="1"/>
    <x v="2"/>
    <n v="0"/>
    <n v="0"/>
    <s v="назначение на равнозначную должность"/>
    <d v="2021-07-2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68"/>
    <x v="997"/>
    <n v="50"/>
    <s v="Подразделение50"/>
    <s v="подразделение_2_уровня50"/>
    <s v="подразделение_3_уровня50"/>
    <s v="руководитель_среднего_уровня_4"/>
    <n v="6"/>
    <s v="да"/>
    <d v="2021-12-24T00:00:00"/>
    <d v="2021-12-24T00:00:00"/>
    <s v="внутр. сотр. (не учитываем)"/>
    <n v="971"/>
    <s v="Русланов Алексей Иванович"/>
    <n v="1085"/>
    <s v="Семенов Лавр Никитинич"/>
    <s v="линейный_руководитель_2"/>
    <s v="Подразделение50"/>
    <x v="1"/>
    <x v="0"/>
    <n v="1"/>
    <n v="0"/>
    <m/>
    <m/>
    <s v="повышение"/>
    <s v="протокол-№-23.11.2022"/>
  </r>
  <r>
    <s v="Функциональное направление 13"/>
    <n v="4"/>
    <d v="2020-12-25T00:00:00"/>
    <n v="1"/>
    <s v="не защищена"/>
    <n v="500469"/>
    <x v="998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2"/>
    <s v="Баранкин Алексей Владиславович"/>
    <n v="995"/>
    <s v="Цветков Валерий Владиславович"/>
    <s v="линейный_руководитель_2"/>
    <s v="Подразделение50"/>
    <x v="2"/>
    <x v="0"/>
    <n v="1"/>
    <n v="0"/>
    <m/>
    <m/>
    <s v="не рассматривали"/>
    <s v="протокол-№-25.12.2020"/>
  </r>
  <r>
    <s v="Функциональное направление 13"/>
    <n v="4"/>
    <d v="2020-12-25T00:00:00"/>
    <n v="0"/>
    <s v="не защищена"/>
    <n v="500469"/>
    <x v="998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2"/>
    <s v="Баранкин Алексей Владиславович"/>
    <n v="2061"/>
    <s v="Ветров Савелий Семен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469"/>
    <x v="998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2"/>
    <s v="Баранкин Алексей Владиславович"/>
    <n v="2062"/>
    <s v="Тимофеев Глеб Семенович"/>
    <s v="Рабочий"/>
    <s v="Подразделение50"/>
    <x v="2"/>
    <x v="0"/>
    <n v="1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69"/>
    <x v="998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2"/>
    <s v="Баранкин Алексей Владиславович"/>
    <n v="2063"/>
    <s v="Ветров Витал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69"/>
    <x v="998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2"/>
    <s v="Баранкин Алексей Владиславович"/>
    <n v="982"/>
    <s v="Вобликов Григорий Романович"/>
    <s v="линейный_руководитель_2"/>
    <s v="Подразделение50"/>
    <x v="1"/>
    <x v="2"/>
    <n v="1"/>
    <n v="0"/>
    <s v="назначение на равнозначную должность"/>
    <d v="2021-12-28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0"/>
    <x v="999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73"/>
    <s v="Вобликов Константин Владиславович"/>
    <n v="975"/>
    <s v="Вобликов Алексей Владиславович"/>
    <s v="линейный_руководитель_2"/>
    <s v="Подразделение50"/>
    <x v="1"/>
    <x v="0"/>
    <n v="1"/>
    <n v="0"/>
    <m/>
    <m/>
    <s v="без изменений"/>
    <s v="протокол-№-23.11.2022"/>
  </r>
  <r>
    <s v="Функциональное направление 13"/>
    <n v="4"/>
    <d v="2022-11-23T00:00:00"/>
    <n v="1"/>
    <s v="не защищена"/>
    <n v="500471"/>
    <x v="1000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4"/>
    <s v="Русланов Валерий Тимофеевич"/>
    <n v="2063"/>
    <s v="Ветров Витал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71"/>
    <x v="1000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4"/>
    <s v="Русланов Валерий Тимофеевич"/>
    <n v="982"/>
    <s v="Вобликов Григорий Романович"/>
    <s v="линейный_руководитель_2"/>
    <s v="Подразделение50"/>
    <x v="1"/>
    <x v="2"/>
    <n v="0"/>
    <n v="0"/>
    <s v="назначение на равнозначную должность"/>
    <d v="2021-12-28T00:00:00"/>
    <s v="не рассматривали"/>
    <s v="протокол-№-25.12.2020"/>
  </r>
  <r>
    <s v="Функциональное направление 13"/>
    <n v="4"/>
    <d v="2022-11-23T00:00:00"/>
    <n v="1"/>
    <s v="не защищена"/>
    <n v="500471"/>
    <x v="1001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5"/>
    <s v="Вобликов Алексей Владиславович"/>
    <n v="2063"/>
    <s v="Ветров Витал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71"/>
    <x v="1001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5"/>
    <s v="Вобликов Алексей Владиславович"/>
    <n v="982"/>
    <s v="Вобликов Григорий Романович"/>
    <s v="линейный_руководитель_2"/>
    <s v="Подразделение50"/>
    <x v="1"/>
    <x v="2"/>
    <n v="0"/>
    <n v="0"/>
    <s v="назначение на равнозначную должность"/>
    <d v="2021-12-28T00:00:00"/>
    <s v="не рассматривали"/>
    <s v="протокол-№-25.12.2020"/>
  </r>
  <r>
    <s v="Функциональное направление 13"/>
    <n v="4"/>
    <d v="2022-11-23T00:00:00"/>
    <n v="1"/>
    <s v="не защищена"/>
    <n v="500471"/>
    <x v="1002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6"/>
    <s v="Русланов Николай Владиславович"/>
    <n v="2063"/>
    <s v="Ветров Витал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71"/>
    <x v="1002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6"/>
    <s v="Русланов Николай Владиславович"/>
    <n v="982"/>
    <s v="Вобликов Григорий Романович"/>
    <s v="линейный_руководитель_2"/>
    <s v="Подразделение50"/>
    <x v="1"/>
    <x v="2"/>
    <n v="0"/>
    <n v="0"/>
    <s v="назначение на равнозначную должность"/>
    <d v="2021-12-28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2"/>
    <x v="1003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77"/>
    <s v="Цветков Кирилл Тимофеевич"/>
    <n v="978"/>
    <s v="Цветков Валерий Тимофеевич"/>
    <s v="линейный_руководитель_2"/>
    <s v="Подразделение50"/>
    <x v="1"/>
    <x v="0"/>
    <n v="1"/>
    <n v="0"/>
    <m/>
    <m/>
    <s v="без изменений"/>
    <s v="протокол-№-23.11.2022"/>
  </r>
  <r>
    <s v="Функциональное направление 13"/>
    <n v="4"/>
    <d v="2020-12-25T00:00:00"/>
    <n v="1"/>
    <s v="не защищена"/>
    <n v="500473"/>
    <x v="1004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8"/>
    <s v="Цветков Валерий Тимофеевич"/>
    <n v="2061"/>
    <s v="Ветров Савелий Семен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3"/>
    <x v="1004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78"/>
    <s v="Цветков Валерий Тимофеевич"/>
    <n v="982"/>
    <s v="Вобликов Григорий Романович"/>
    <s v="линейный_руководитель_2"/>
    <s v="Подразделение50"/>
    <x v="1"/>
    <x v="2"/>
    <n v="0"/>
    <n v="0"/>
    <s v="назначение на равнозначную должность"/>
    <d v="2021-12-28T00:00:00"/>
    <s v="не рассматривали"/>
    <s v="протокол-№-25.12.2020"/>
  </r>
  <r>
    <s v="Функциональное направление 13"/>
    <n v="3"/>
    <d v="2018-12-21T00:00:00"/>
    <n v="1"/>
    <s v="не защищена"/>
    <n v="500474"/>
    <x v="1005"/>
    <n v="50"/>
    <s v="Подразделение50"/>
    <s v="подразделение_2_уровня50"/>
    <s v="-"/>
    <s v="руководитель_среднего_уровня_2"/>
    <n v="5"/>
    <s v="нет"/>
    <m/>
    <m/>
    <m/>
    <n v="979"/>
    <s v="Волков Федот Владиславович"/>
    <n v="980"/>
    <s v="Цветков Валерий Александрович"/>
    <s v="руководитель_среднего_уровня_4"/>
    <s v="Подразделение50"/>
    <x v="1"/>
    <x v="0"/>
    <n v="1"/>
    <n v="0"/>
    <m/>
    <m/>
    <s v="без изменений"/>
    <s v="протокол-№-05.07.2022"/>
  </r>
  <r>
    <s v="Функциональное направление 13"/>
    <n v="4"/>
    <d v="2022-11-23T00:00:00"/>
    <n v="1"/>
    <s v="не защищена"/>
    <n v="500475"/>
    <x v="1006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80"/>
    <s v="Цветков Валерий Александрович"/>
    <n v="1080"/>
    <s v="Трофимов Владимир Ильич"/>
    <s v="линейный_руководитель_2"/>
    <s v="Подразделение50"/>
    <x v="2"/>
    <x v="0"/>
    <n v="1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75"/>
    <x v="1006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80"/>
    <s v="Цветков Валерий Александрович"/>
    <n v="981"/>
    <s v="Вобликов Федот Александрович"/>
    <s v="линейный_руководитель_2"/>
    <s v="Подразделение50"/>
    <x v="0"/>
    <x v="0"/>
    <n v="1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75"/>
    <x v="1006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80"/>
    <s v="Цветков Валерий Александрович"/>
    <n v="971"/>
    <s v="Русланов Алексей Иванович"/>
    <s v="линейный_руководитель_2"/>
    <s v="Подразделение50"/>
    <x v="1"/>
    <x v="2"/>
    <n v="1"/>
    <n v="0"/>
    <s v="назначение на равнозначную должность"/>
    <d v="2021-12-24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6"/>
    <x v="1007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81"/>
    <s v="Вобликов Федот Александрович"/>
    <n v="2064"/>
    <s v="Незнамов Матвей Ефремович"/>
    <s v="Рабочий"/>
    <s v="Подразделение50"/>
    <x v="2"/>
    <x v="0"/>
    <n v="1"/>
    <n v="0"/>
    <m/>
    <m/>
    <s v="без изменений"/>
    <s v="протокол-№-23.11.2022"/>
  </r>
  <r>
    <s v="Функциональное направление 13"/>
    <n v="4"/>
    <d v="2020-12-25T00:00:00"/>
    <n v="1"/>
    <s v="не защищена"/>
    <n v="500476"/>
    <x v="1008"/>
    <n v="50"/>
    <s v="Подразделение50"/>
    <s v="подразделение_2_уровня50"/>
    <s v="подразделение_3_уровня50"/>
    <s v="линейный_руководитель_2"/>
    <n v="7"/>
    <s v="да"/>
    <d v="2021-12-24T00:00:00"/>
    <d v="2021-12-28T00:00:00"/>
    <s v="внутр. сотр. (не учитываем)"/>
    <n v="982"/>
    <s v="Вобликов Григорий Романович"/>
    <n v="2064"/>
    <s v="Незнамов Матвей Ефрем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3"/>
    <d v="2018-12-21T00:00:00"/>
    <n v="1"/>
    <s v="не защищена"/>
    <n v="500477"/>
    <x v="1009"/>
    <n v="50"/>
    <s v="Подразделение50"/>
    <s v="подразделение_2_уровня50"/>
    <s v="-"/>
    <s v="руководитель_среднего_уровня_2"/>
    <n v="5"/>
    <s v="нет"/>
    <m/>
    <m/>
    <m/>
    <n v="983"/>
    <s v="Цветков Николай Романович"/>
    <n v="984"/>
    <s v="Волков Валерий Иванович"/>
    <s v="руководитель_среднего_уровня_4"/>
    <s v="Подразделение50"/>
    <x v="0"/>
    <x v="0"/>
    <n v="1"/>
    <n v="0"/>
    <m/>
    <m/>
    <s v="без изменений"/>
    <s v="протокол-№-05.07.2022"/>
  </r>
  <r>
    <s v="Функциональное направление 13"/>
    <n v="3"/>
    <d v="2018-12-21T00:00:00"/>
    <n v="0"/>
    <s v="не защищена"/>
    <n v="500477"/>
    <x v="1009"/>
    <n v="50"/>
    <s v="Подразделение50"/>
    <s v="подразделение_2_уровня50"/>
    <s v="-"/>
    <s v="руководитель_среднего_уровня_2"/>
    <n v="5"/>
    <s v="нет"/>
    <m/>
    <m/>
    <m/>
    <n v="983"/>
    <s v="Цветков Николай Романович"/>
    <n v="992"/>
    <s v="Волков Алексей Владиславович"/>
    <s v="руководитель_среднего_уровня_4"/>
    <s v="Подразделение50"/>
    <x v="1"/>
    <x v="0"/>
    <n v="1"/>
    <n v="0"/>
    <m/>
    <m/>
    <s v="без изменений"/>
    <s v="протокол-№-05.07.2022"/>
  </r>
  <r>
    <s v="Функциональное направление 13"/>
    <n v="4"/>
    <d v="2020-12-25T00:00:00"/>
    <n v="1"/>
    <s v="не защищена"/>
    <n v="500478"/>
    <x v="1010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84"/>
    <s v="Волков Валерий Иванович"/>
    <n v="991"/>
    <s v="Цветков Кирилл Егорович"/>
    <s v="линейный_руководитель_2"/>
    <s v="Подразделение50"/>
    <x v="1"/>
    <x v="0"/>
    <n v="1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78"/>
    <x v="1010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84"/>
    <s v="Волков Валерий Иванович"/>
    <n v="2065"/>
    <s v="Незнамов Юрий Ефремович"/>
    <s v="линейный_руководитель_2"/>
    <s v="Подразделение_др15"/>
    <x v="1"/>
    <x v="2"/>
    <n v="1"/>
    <n v="0"/>
    <s v="прочее (перевод в другое СП / на другое предприятие)"/>
    <d v="2021-05-19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9"/>
    <x v="1011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5"/>
    <s v="Цветков Федот Егор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1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5"/>
    <s v="Цветков Федот Егорович"/>
    <n v="2067"/>
    <s v="Дмитриев Виталий Геннадьевич"/>
    <s v="Рабочий"/>
    <s v="Подразделение50"/>
    <x v="1"/>
    <x v="0"/>
    <n v="1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79"/>
    <x v="1011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5"/>
    <s v="Цветков Федот Егорович"/>
    <n v="2068"/>
    <s v="Кириллов Глеб Семенович"/>
    <s v="Рабочий"/>
    <s v="Подразделение50"/>
    <x v="1"/>
    <x v="0"/>
    <n v="1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1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5"/>
    <s v="Цветков Федот Егорович"/>
    <n v="990"/>
    <s v="Вобликов Федот Владиславович"/>
    <s v="линейный_руководитель_2"/>
    <s v="Подразделение50"/>
    <x v="1"/>
    <x v="1"/>
    <n v="1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9"/>
    <x v="101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6"/>
    <s v="Баранкин Константин Егор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6"/>
    <s v="Баранкин Константин Егор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79"/>
    <x v="101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6"/>
    <s v="Баранкин Константин Егоро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6"/>
    <s v="Баранкин Константин Егор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9"/>
    <x v="1013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7"/>
    <s v="Вобликов Константин Иван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3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7"/>
    <s v="Вобликов Константин Иван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79"/>
    <x v="1013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7"/>
    <s v="Вобликов Константин Ивано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3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7"/>
    <s v="Вобликов Константин Иван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9"/>
    <x v="1014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8"/>
    <s v="Цветков Константин Егор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4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8"/>
    <s v="Цветков Константин Егор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79"/>
    <x v="1014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8"/>
    <s v="Цветков Константин Егоро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4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8"/>
    <s v="Цветков Константин Егор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9"/>
    <x v="1015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9"/>
    <s v="Вобликов Валерий Тимофее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5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9"/>
    <s v="Вобликов Валерий Тимофее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79"/>
    <x v="1015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9"/>
    <s v="Вобликов Валерий Тимофее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5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89"/>
    <s v="Вобликов Валерий Тимофее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9"/>
    <x v="1016"/>
    <n v="50"/>
    <s v="Подразделение50"/>
    <s v="подразделение_2_уровня50"/>
    <s v="подразделение_3_уровня50"/>
    <s v="линейный_руководитель_1"/>
    <n v="7"/>
    <s v="да"/>
    <d v="2021-05-18T00:00:00"/>
    <d v="2021-08-06T00:00:00"/>
    <s v="из резерва (учитываем)"/>
    <n v="990"/>
    <s v="Вобликов Федот Владислав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6"/>
    <n v="50"/>
    <s v="Подразделение50"/>
    <s v="подразделение_2_уровня50"/>
    <s v="подразделение_3_уровня50"/>
    <s v="линейный_руководитель_1"/>
    <n v="7"/>
    <s v="да"/>
    <d v="2021-05-18T00:00:00"/>
    <d v="2021-08-06T00:00:00"/>
    <s v="из резерва (учитываем)"/>
    <n v="990"/>
    <s v="Вобликов Федот Владислав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79"/>
    <x v="1016"/>
    <n v="50"/>
    <s v="Подразделение50"/>
    <s v="подразделение_2_уровня50"/>
    <s v="подразделение_3_уровня50"/>
    <s v="линейный_руководитель_1"/>
    <n v="7"/>
    <s v="да"/>
    <d v="2021-05-18T00:00:00"/>
    <d v="2021-08-06T00:00:00"/>
    <s v="из резерва (учитываем)"/>
    <n v="990"/>
    <s v="Вобликов Федот Владиславо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6"/>
    <n v="50"/>
    <s v="Подразделение50"/>
    <s v="подразделение_2_уровня50"/>
    <s v="подразделение_3_уровня50"/>
    <s v="линейный_руководитель_1"/>
    <n v="7"/>
    <s v="да"/>
    <d v="2021-05-18T00:00:00"/>
    <d v="2021-08-06T00:00:00"/>
    <s v="из резерва (учитываем)"/>
    <n v="990"/>
    <s v="Вобликов Федот Владиславович"/>
    <n v="990"/>
    <s v="Вобликов Федот Владиславович"/>
    <s v="линейный_руководитель_2"/>
    <s v="Подразделение50"/>
    <x v="1"/>
    <x v="1"/>
    <n v="0"/>
    <n v="1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79"/>
    <x v="1017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1"/>
    <s v="Цветков Кирилл Егор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7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1"/>
    <s v="Цветков Кирилл Егор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79"/>
    <x v="1017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1"/>
    <s v="Цветков Кирилл Егоро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79"/>
    <x v="1017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1"/>
    <s v="Цветков Кирилл Егор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80"/>
    <x v="1018"/>
    <n v="50"/>
    <s v="Подразделение50"/>
    <s v="подразделение_2_уровня50"/>
    <s v="подразделение_3_уровня50"/>
    <s v="руководитель_среднего_уровня_4"/>
    <n v="6"/>
    <s v="да"/>
    <d v="2021-09-27T00:00:00"/>
    <d v="2021-09-27T00:00:00"/>
    <s v="внутр. сотр. (не учитываем)"/>
    <n v="992"/>
    <s v="Волков Алексей Владиславович"/>
    <n v="993"/>
    <s v="Цветков Валерий Романович"/>
    <s v="линейный_руководитель_2"/>
    <s v="Подразделение50"/>
    <x v="1"/>
    <x v="0"/>
    <n v="1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0"/>
    <x v="1018"/>
    <n v="50"/>
    <s v="Подразделение50"/>
    <s v="подразделение_2_уровня50"/>
    <s v="подразделение_3_уровня50"/>
    <s v="руководитель_среднего_уровня_4"/>
    <n v="6"/>
    <s v="да"/>
    <d v="2021-09-27T00:00:00"/>
    <d v="2021-09-27T00:00:00"/>
    <s v="внутр. сотр. (не учитываем)"/>
    <n v="992"/>
    <s v="Волков Алексей Владиславович"/>
    <n v="2065"/>
    <s v="Незнамов Юрий Ефремович"/>
    <s v="линейный_руководитель_2"/>
    <s v="Подразделение_др15"/>
    <x v="1"/>
    <x v="2"/>
    <n v="0"/>
    <n v="0"/>
    <s v="прочее (перевод в другое СП / на другое предприятие)"/>
    <d v="2021-05-19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81"/>
    <x v="1019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3"/>
    <s v="Цветков Валерий Роман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19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3"/>
    <s v="Цветков Валерий Роман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81"/>
    <x v="1019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3"/>
    <s v="Цветков Валерий Романо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19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3"/>
    <s v="Цветков Валерий Романович"/>
    <n v="2069"/>
    <s v="Кириллов Савелий Александрович"/>
    <s v="Рабочий"/>
    <s v="Подразделение50"/>
    <x v="2"/>
    <x v="0"/>
    <n v="1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19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3"/>
    <s v="Цветков Валерий Романович"/>
    <n v="2070"/>
    <s v="Исаев Виталий Герасимович"/>
    <s v="Рабочий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481"/>
    <x v="1019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3"/>
    <s v="Цветков Валерий Романович"/>
    <n v="2071"/>
    <s v="Тимофеев Константин Семен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81"/>
    <x v="1019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3"/>
    <s v="Цветков Валерий Романович"/>
    <n v="2072"/>
    <s v="Тимофеев Юр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81"/>
    <x v="1019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3"/>
    <s v="Цветков Валерий Роман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81"/>
    <x v="1020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4"/>
    <s v="Цветков Алексей Егор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20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4"/>
    <s v="Цветков Алексей Егор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81"/>
    <x v="1020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4"/>
    <s v="Цветков Алексей Егоро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20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4"/>
    <s v="Цветков Алексей Егорович"/>
    <n v="2069"/>
    <s v="Кириллов Савелий Александр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20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4"/>
    <s v="Цветков Алексей Егорович"/>
    <n v="2070"/>
    <s v="Исаев Виталий Герасимович"/>
    <s v="Рабочий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481"/>
    <x v="1020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4"/>
    <s v="Цветков Алексей Егорович"/>
    <n v="2071"/>
    <s v="Тимофеев Константин Семен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81"/>
    <x v="1020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4"/>
    <s v="Цветков Алексей Егорович"/>
    <n v="2072"/>
    <s v="Тимофеев Юр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81"/>
    <x v="1020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4"/>
    <s v="Цветков Алексей Егор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81"/>
    <x v="1021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5-01T00:00:00"/>
    <d v="2022-12-01T00:00:00"/>
    <s v="внутр. сотр. (не учитываем)"/>
    <n v="995"/>
    <s v="Цветков Валерий Владислав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21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5-01T00:00:00"/>
    <d v="2022-12-01T00:00:00"/>
    <s v="внутр. сотр. (не учитываем)"/>
    <n v="995"/>
    <s v="Цветков Валерий Владислав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81"/>
    <x v="1021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5-01T00:00:00"/>
    <d v="2022-12-01T00:00:00"/>
    <s v="внутр. сотр. (не учитываем)"/>
    <n v="995"/>
    <s v="Цветков Валерий Владиславо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21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5-01T00:00:00"/>
    <d v="2022-12-01T00:00:00"/>
    <s v="внутр. сотр. (не учитываем)"/>
    <n v="995"/>
    <s v="Цветков Валерий Владиславович"/>
    <n v="2069"/>
    <s v="Кириллов Савелий Александр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21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5-01T00:00:00"/>
    <d v="2022-12-01T00:00:00"/>
    <s v="внутр. сотр. (не учитываем)"/>
    <n v="995"/>
    <s v="Цветков Валерий Владиславович"/>
    <n v="2070"/>
    <s v="Исаев Виталий Герасимович"/>
    <s v="Рабочий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481"/>
    <x v="1021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5-01T00:00:00"/>
    <d v="2022-12-01T00:00:00"/>
    <s v="внутр. сотр. (не учитываем)"/>
    <n v="995"/>
    <s v="Цветков Валерий Владиславович"/>
    <n v="2071"/>
    <s v="Тимофеев Константин Семен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81"/>
    <x v="1021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5-01T00:00:00"/>
    <d v="2022-12-01T00:00:00"/>
    <s v="внутр. сотр. (не учитываем)"/>
    <n v="995"/>
    <s v="Цветков Валерий Владиславович"/>
    <n v="2072"/>
    <s v="Тимофеев Юр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81"/>
    <x v="1021"/>
    <n v="50"/>
    <s v="Подразделение50"/>
    <s v="подразделение_2_уровня50"/>
    <s v="подразделение_3_уровня50"/>
    <s v="линейный_руководитель_1"/>
    <n v="7"/>
    <s v="да"/>
    <d v="2022-05-01T00:00:00"/>
    <d v="2022-12-01T00:00:00"/>
    <s v="внутр. сотр. (не учитываем)"/>
    <n v="995"/>
    <s v="Цветков Валерий Владислав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81"/>
    <x v="102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6"/>
    <s v="Цветков Николай Владислав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2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6"/>
    <s v="Цветков Николай Владислав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81"/>
    <x v="102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6"/>
    <s v="Цветков Николай Владиславович"/>
    <n v="2068"/>
    <s v="Кириллов Глеб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2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6"/>
    <s v="Цветков Николай Владиславович"/>
    <n v="2069"/>
    <s v="Кириллов Савелий Александр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1"/>
    <x v="102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6"/>
    <s v="Цветков Николай Владиславович"/>
    <n v="2070"/>
    <s v="Исаев Виталий Герасимович"/>
    <s v="Рабочий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481"/>
    <x v="102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6"/>
    <s v="Цветков Николай Владиславович"/>
    <n v="2071"/>
    <s v="Тимофеев Константин Семен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81"/>
    <x v="102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6"/>
    <s v="Цветков Николай Владиславович"/>
    <n v="2072"/>
    <s v="Тимофеев Юр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81"/>
    <x v="1022"/>
    <n v="50"/>
    <s v="Подразделение50"/>
    <s v="подразделение_2_уровня50"/>
    <s v="подразделение_3_уровня50"/>
    <s v="линейный_руководитель_1"/>
    <n v="7"/>
    <s v="нет"/>
    <m/>
    <m/>
    <m/>
    <n v="996"/>
    <s v="Цветков Николай Владислав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82"/>
    <x v="1023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97"/>
    <s v="Цветков Федот Владиславович"/>
    <n v="998"/>
    <s v="Баранкин Валерий Владиславович"/>
    <s v="линейный_руководитель_2"/>
    <s v="Подразделение50"/>
    <x v="0"/>
    <x v="0"/>
    <n v="1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82"/>
    <x v="1023"/>
    <n v="50"/>
    <s v="Подразделение50"/>
    <s v="подразделение_2_уровня50"/>
    <s v="подразделение_3_уровня50"/>
    <s v="руководитель_среднего_уровня_4"/>
    <n v="6"/>
    <s v="нет"/>
    <m/>
    <m/>
    <m/>
    <n v="997"/>
    <s v="Цветков Федот Владиславович"/>
    <n v="2065"/>
    <s v="Незнамов Юрий Ефремович"/>
    <s v="линейный_руководитель_2"/>
    <s v="Подразделение_др15"/>
    <x v="1"/>
    <x v="2"/>
    <n v="0"/>
    <n v="0"/>
    <s v="прочее (перевод в другое СП / на другое предприятие)"/>
    <d v="2021-05-19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83"/>
    <x v="1024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98"/>
    <s v="Баранкин Валерий Владиславович"/>
    <n v="2070"/>
    <s v="Исаев Виталий Герасимович"/>
    <s v="Рабочий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3"/>
    <x v="1024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98"/>
    <s v="Баранкин Валерий Владиславович"/>
    <n v="990"/>
    <s v="Вобликов Федот Владиславович"/>
    <s v="линейный_руководитель_2"/>
    <s v="Подразделение50"/>
    <x v="1"/>
    <x v="1"/>
    <n v="1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84"/>
    <x v="1025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99"/>
    <s v="Цветков Валерий Егорович"/>
    <n v="2070"/>
    <s v="Исаев Виталий Герасимович"/>
    <s v="Рабочий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4"/>
    <x v="1025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999"/>
    <s v="Цветков Валерий Егор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485"/>
    <x v="1026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00"/>
    <s v="Волков Валерий Александрович"/>
    <n v="2066"/>
    <s v="Ветров Геннадий Семенович"/>
    <s v="Рабочий"/>
    <s v="Подразделение50"/>
    <x v="1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5"/>
    <x v="1026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00"/>
    <s v="Волков Валерий Александрович"/>
    <n v="2067"/>
    <s v="Дмитриев Виталий Геннадьевич"/>
    <s v="Рабочий"/>
    <s v="Подразделение50"/>
    <x v="1"/>
    <x v="0"/>
    <n v="0"/>
    <n v="0"/>
    <m/>
    <m/>
    <s v="повышение"/>
    <s v="протокол-№-23.11.2022"/>
  </r>
  <r>
    <s v="Функциональное направление 13"/>
    <n v="4"/>
    <d v="2020-12-25T00:00:00"/>
    <n v="0"/>
    <s v="не защищена"/>
    <n v="500485"/>
    <x v="1026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00"/>
    <s v="Волков Валерий Александрович"/>
    <n v="2068"/>
    <s v="Кириллов Глеб Семенович"/>
    <s v="Рабочий"/>
    <s v="Подразделение50"/>
    <x v="1"/>
    <x v="0"/>
    <n v="1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5"/>
    <x v="1026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00"/>
    <s v="Волков Валерий Александрович"/>
    <n v="2069"/>
    <s v="Кириллов Савелий Александр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485"/>
    <x v="1026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00"/>
    <s v="Волков Валерий Александрович"/>
    <n v="2070"/>
    <s v="Исаев Виталий Герасимович"/>
    <s v="Рабочий"/>
    <s v="Подразделение50"/>
    <x v="0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485"/>
    <x v="1026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00"/>
    <s v="Волков Валерий Александрович"/>
    <n v="2071"/>
    <s v="Тимофеев Константин Семенович"/>
    <s v="Рабочий"/>
    <s v="Подразделение50"/>
    <x v="2"/>
    <x v="0"/>
    <n v="1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85"/>
    <x v="1026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00"/>
    <s v="Волков Валерий Александрович"/>
    <n v="2072"/>
    <s v="Тимофеев Юр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85"/>
    <x v="1026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00"/>
    <s v="Волков Валерий Александрович"/>
    <n v="990"/>
    <s v="Вобликов Федот Владиславович"/>
    <s v="линейный_руководитель_2"/>
    <s v="Подразделение50"/>
    <x v="1"/>
    <x v="1"/>
    <n v="0"/>
    <n v="0"/>
    <s v="назначение на целевую должность"/>
    <d v="2021-08-06T00:00:00"/>
    <s v="не рассматривали"/>
    <s v="протокол-№-25.12.2020"/>
  </r>
  <r>
    <s v="Функциональное направление 13"/>
    <n v="4"/>
    <d v="2022-11-30T00:00:00"/>
    <n v="1"/>
    <s v="не защищена"/>
    <n v="500486"/>
    <x v="1027"/>
    <n v="48"/>
    <s v="Подразделение48"/>
    <s v="подразделение_2_уровня48"/>
    <s v="подразделение_3_уровня48"/>
    <s v="линейный_руководитель_3"/>
    <n v="6"/>
    <s v="нет"/>
    <m/>
    <m/>
    <m/>
    <n v="1001"/>
    <s v="Русланов Кирилл Владиславович"/>
    <n v="2073"/>
    <s v="Брежнев Савелий Ефремович"/>
    <s v="Специалист"/>
    <s v="Подразделение48"/>
    <x v="2"/>
    <x v="0"/>
    <n v="1"/>
    <n v="0"/>
    <m/>
    <m/>
    <s v="не рассматривали"/>
    <s v="протокол-№-30.11.2022"/>
  </r>
  <r>
    <s v="Функциональное направление 13"/>
    <n v="4"/>
    <d v="2021-11-15T00:00:00"/>
    <n v="0"/>
    <s v="не защищена"/>
    <n v="500486"/>
    <x v="1027"/>
    <n v="48"/>
    <s v="Подразделение48"/>
    <s v="подразделение_2_уровня48"/>
    <s v="подразделение_3_уровня48"/>
    <s v="линейный_руководитель_3"/>
    <n v="6"/>
    <s v="нет"/>
    <m/>
    <m/>
    <m/>
    <n v="1001"/>
    <s v="Русланов Кирилл Владиславович"/>
    <n v="2074"/>
    <s v="Незнамов Константин Богданович"/>
    <s v="линейный_руководитель_2"/>
    <s v="Подразделение48"/>
    <x v="0"/>
    <x v="2"/>
    <n v="1"/>
    <n v="0"/>
    <s v="прочее (перевод в другое СП / на другое предприятие)"/>
    <d v="2022-07-05T00:00:00"/>
    <s v="исключение"/>
    <s v="протокол-№-30.11.2022"/>
  </r>
  <r>
    <s v="Функциональное направление 13"/>
    <n v="3"/>
    <d v="2018-12-21T00:00:00"/>
    <n v="1"/>
    <s v="не защищена"/>
    <n v="500487"/>
    <x v="1028"/>
    <n v="48"/>
    <s v="Подразделение48"/>
    <s v="подразделение_2_уровня48"/>
    <s v="-"/>
    <s v="ТОП_руководитель_2"/>
    <n v="4"/>
    <s v="да"/>
    <d v="2019-03-21T00:00:00"/>
    <d v="2019-03-21T00:00:00"/>
    <s v="из резерва (учитываем)"/>
    <n v="1002"/>
    <s v="Волков Валерий Владиславович"/>
    <n v="1016"/>
    <s v="Игорев Юрий Ярославович"/>
    <s v="руководитель_среднего_уровня_2"/>
    <s v="Подразделение48"/>
    <x v="2"/>
    <x v="0"/>
    <n v="1"/>
    <n v="0"/>
    <m/>
    <m/>
    <s v="без изменений"/>
    <s v="протокол-№-01.07.2022"/>
  </r>
  <r>
    <s v="Функциональное направление 13"/>
    <n v="3"/>
    <d v="2020-06-23T00:00:00"/>
    <n v="0"/>
    <s v="не защищена"/>
    <n v="500487"/>
    <x v="1028"/>
    <n v="48"/>
    <s v="Подразделение48"/>
    <s v="подразделение_2_уровня48"/>
    <s v="-"/>
    <s v="ТОП_руководитель_2"/>
    <n v="4"/>
    <s v="да"/>
    <d v="2019-03-21T00:00:00"/>
    <d v="2019-03-21T00:00:00"/>
    <s v="из резерва (учитываем)"/>
    <n v="1002"/>
    <s v="Волков Валерий Владиславович"/>
    <n v="2075"/>
    <s v="Кириллов Савелий Ефремович"/>
    <s v="функциональный_руководитель_2"/>
    <s v="Подразделение_др14"/>
    <x v="2"/>
    <x v="0"/>
    <n v="1"/>
    <n v="0"/>
    <m/>
    <m/>
    <s v="без изменений"/>
    <s v="протокол-№-01.07.2022"/>
  </r>
  <r>
    <s v="Функциональное направление 13"/>
    <n v="3"/>
    <d v="2022-07-01T00:00:00"/>
    <n v="0"/>
    <s v="не защищена"/>
    <n v="500487"/>
    <x v="1028"/>
    <n v="48"/>
    <s v="Подразделение48"/>
    <s v="подразделение_2_уровня48"/>
    <s v="-"/>
    <s v="ТОП_руководитель_2"/>
    <n v="4"/>
    <s v="да"/>
    <d v="2019-03-21T00:00:00"/>
    <d v="2019-03-21T00:00:00"/>
    <s v="из резерва (учитываем)"/>
    <n v="1002"/>
    <s v="Волков Валерий Владиславович"/>
    <n v="1060"/>
    <s v="Синицин Данил Венедиктович"/>
    <s v="руководитель_среднего_уровня_2"/>
    <s v="Подразделение221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17-02-21T00:00:00"/>
    <n v="0"/>
    <s v="не защищена"/>
    <n v="500487"/>
    <x v="1028"/>
    <n v="48"/>
    <s v="Подразделение48"/>
    <s v="подразделение_2_уровня48"/>
    <s v="-"/>
    <s v="ТОП_руководитель_2"/>
    <n v="4"/>
    <s v="да"/>
    <d v="2019-03-21T00:00:00"/>
    <d v="2019-03-21T00:00:00"/>
    <s v="из резерва (учитываем)"/>
    <n v="1002"/>
    <s v="Волков Валерий Владиславович"/>
    <n v="1002"/>
    <s v="Волков Валерий Владиславович"/>
    <s v="линейный_руководитель_2"/>
    <s v="Подразделение48"/>
    <x v="2"/>
    <x v="1"/>
    <n v="1"/>
    <n v="1"/>
    <s v="назначение на целевую должность"/>
    <d v="2019-03-21T00:00:00"/>
    <s v="повышение"/>
    <s v="протокол-№-21.12.2018"/>
  </r>
  <r>
    <s v="Функциональное направление 13"/>
    <n v="3"/>
    <d v="2017-02-21T00:00:00"/>
    <n v="0"/>
    <s v="не защищена"/>
    <n v="500487"/>
    <x v="1028"/>
    <n v="48"/>
    <s v="Подразделение48"/>
    <s v="подразделение_2_уровня48"/>
    <s v="-"/>
    <s v="ТОП_руководитель_2"/>
    <n v="4"/>
    <s v="да"/>
    <d v="2019-03-21T00:00:00"/>
    <d v="2019-03-21T00:00:00"/>
    <s v="из резерва (учитываем)"/>
    <n v="1002"/>
    <s v="Волков Валерий Владиславович"/>
    <n v="2076"/>
    <s v="Незнамов Матвей Александрович"/>
    <s v="линейный_руководитель_2"/>
    <s v="Подразделение48"/>
    <x v="0"/>
    <x v="2"/>
    <n v="1"/>
    <n v="0"/>
    <s v="прочее (перевод в другое СП / на другое предприятие)"/>
    <d v="2021-06-01T00:00:00"/>
    <s v="повышение"/>
    <s v="протокол-№-21.12.2018"/>
  </r>
  <r>
    <s v="Функциональное направление 13"/>
    <n v="4"/>
    <d v="2021-11-15T00:00:00"/>
    <n v="1"/>
    <s v="не защищена"/>
    <n v="500488"/>
    <x v="1029"/>
    <n v="48"/>
    <s v="Подразделение48"/>
    <s v="подразделение_2_уровня48"/>
    <s v="-"/>
    <s v="руководитель_среднего_уровня_3"/>
    <n v="6"/>
    <s v="нет"/>
    <m/>
    <m/>
    <m/>
    <n v="1003"/>
    <s v="Гуськов Еремей Маркович"/>
    <n v="1032"/>
    <s v="Тимофеев Петр Герасимович"/>
    <s v="линейный_руководитель_2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88"/>
    <x v="1029"/>
    <n v="48"/>
    <s v="Подразделение48"/>
    <s v="подразделение_2_уровня48"/>
    <s v="-"/>
    <s v="руководитель_среднего_уровня_3"/>
    <n v="6"/>
    <s v="нет"/>
    <m/>
    <m/>
    <m/>
    <n v="1003"/>
    <s v="Гуськов Еремей Маркович"/>
    <n v="2077"/>
    <s v="Тимофеев Геннадий Михайлович"/>
    <s v="Специалист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88"/>
    <x v="1030"/>
    <n v="48"/>
    <s v="Подразделение48"/>
    <s v="подразделение_2_уровня48"/>
    <s v="-"/>
    <s v="руководитель_среднего_уровня_3"/>
    <n v="6"/>
    <s v="нет"/>
    <m/>
    <m/>
    <m/>
    <n v="1004"/>
    <s v="Александров Борис Федорович"/>
    <n v="1032"/>
    <s v="Тимофеев Петр Герасимович"/>
    <s v="линейный_руководитель_2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88"/>
    <x v="1030"/>
    <n v="48"/>
    <s v="Подразделение48"/>
    <s v="подразделение_2_уровня48"/>
    <s v="-"/>
    <s v="руководитель_среднего_уровня_3"/>
    <n v="6"/>
    <s v="нет"/>
    <m/>
    <m/>
    <m/>
    <n v="1004"/>
    <s v="Александров Борис Федорович"/>
    <n v="2077"/>
    <s v="Тимофеев Геннадий Михайл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88"/>
    <x v="1031"/>
    <n v="48"/>
    <s v="Подразделение48"/>
    <s v="подразделение_2_уровня48"/>
    <s v="-"/>
    <s v="руководитель_среднего_уровня_3"/>
    <n v="6"/>
    <s v="нет"/>
    <m/>
    <m/>
    <m/>
    <n v="1005"/>
    <s v="Филиппов Юрий Семенович"/>
    <n v="1032"/>
    <s v="Тимофеев Петр Герасимович"/>
    <s v="линейный_руководитель_2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88"/>
    <x v="1031"/>
    <n v="48"/>
    <s v="Подразделение48"/>
    <s v="подразделение_2_уровня48"/>
    <s v="-"/>
    <s v="руководитель_среднего_уровня_3"/>
    <n v="6"/>
    <s v="нет"/>
    <m/>
    <m/>
    <m/>
    <n v="1005"/>
    <s v="Филиппов Юрий Семенович"/>
    <n v="2077"/>
    <s v="Тимофеев Геннадий Михайл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88"/>
    <x v="1032"/>
    <n v="48"/>
    <s v="Подразделение48"/>
    <s v="подразделение_2_уровня48"/>
    <s v="-"/>
    <s v="руководитель_среднего_уровня_3"/>
    <n v="6"/>
    <s v="нет"/>
    <m/>
    <m/>
    <m/>
    <n v="1006"/>
    <s v="Брежнев Емельян Александрович"/>
    <n v="1032"/>
    <s v="Тимофеев Петр Герасимович"/>
    <s v="линейный_руководитель_2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88"/>
    <x v="1032"/>
    <n v="48"/>
    <s v="Подразделение48"/>
    <s v="подразделение_2_уровня48"/>
    <s v="-"/>
    <s v="руководитель_среднего_уровня_3"/>
    <n v="6"/>
    <s v="нет"/>
    <m/>
    <m/>
    <m/>
    <n v="1006"/>
    <s v="Брежнев Емельян Александрович"/>
    <n v="2077"/>
    <s v="Тимофеев Геннадий Михайл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88"/>
    <x v="1033"/>
    <n v="48"/>
    <s v="Подразделение48"/>
    <s v="подразделение_2_уровня48"/>
    <s v="-"/>
    <s v="руководитель_среднего_уровня_3"/>
    <n v="6"/>
    <s v="нет"/>
    <m/>
    <m/>
    <m/>
    <n v="1007"/>
    <s v="Незнамов Емельян Борисович"/>
    <n v="1032"/>
    <s v="Тимофеев Петр Герасимович"/>
    <s v="линейный_руководитель_2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88"/>
    <x v="1033"/>
    <n v="48"/>
    <s v="Подразделение48"/>
    <s v="подразделение_2_уровня48"/>
    <s v="-"/>
    <s v="руководитель_среднего_уровня_3"/>
    <n v="6"/>
    <s v="нет"/>
    <m/>
    <m/>
    <m/>
    <n v="1007"/>
    <s v="Незнамов Емельян Борисович"/>
    <n v="2077"/>
    <s v="Тимофеев Геннадий Михайл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3"/>
    <d v="2018-12-21T00:00:00"/>
    <n v="1"/>
    <s v="не защищена"/>
    <n v="500489"/>
    <x v="1034"/>
    <n v="48"/>
    <s v="Подразделение48"/>
    <s v="подразделение_2_уровня48"/>
    <s v="-"/>
    <s v="руководитель_среднего_уровня_2"/>
    <n v="5"/>
    <s v="нет"/>
    <m/>
    <m/>
    <m/>
    <n v="1008"/>
    <s v="Владимиров Ефрем Антонович"/>
    <n v="1010"/>
    <s v="Дорофеев Данил Александрович"/>
    <s v="руководитель_среднего_уровня_4"/>
    <s v="Подразделение48"/>
    <x v="1"/>
    <x v="0"/>
    <n v="1"/>
    <n v="0"/>
    <m/>
    <m/>
    <s v="без изменений"/>
    <s v="протокол-№-05.07.2022"/>
  </r>
  <r>
    <s v="Функциональное направление 13"/>
    <n v="3"/>
    <d v="2018-12-21T00:00:00"/>
    <n v="0"/>
    <s v="не защищена"/>
    <n v="500489"/>
    <x v="1034"/>
    <n v="48"/>
    <s v="Подразделение48"/>
    <s v="подразделение_2_уровня48"/>
    <s v="-"/>
    <s v="руководитель_среднего_уровня_2"/>
    <n v="5"/>
    <s v="нет"/>
    <m/>
    <m/>
    <m/>
    <n v="1008"/>
    <s v="Владимиров Ефрем Антонович"/>
    <n v="2078"/>
    <s v="Брежнев Савелий Семенович"/>
    <s v="функциональный_руководитель_1"/>
    <s v="Подразделение384"/>
    <x v="2"/>
    <x v="0"/>
    <n v="1"/>
    <n v="0"/>
    <m/>
    <m/>
    <s v="без изменений"/>
    <s v="протокол-№-05.07.2022"/>
  </r>
  <r>
    <s v="Функциональное направление 13"/>
    <n v="3"/>
    <d v="2020-06-23T00:00:00"/>
    <n v="0"/>
    <s v="не защищена"/>
    <n v="500489"/>
    <x v="1034"/>
    <n v="48"/>
    <s v="Подразделение48"/>
    <s v="подразделение_2_уровня48"/>
    <s v="-"/>
    <s v="руководитель_среднего_уровня_2"/>
    <n v="5"/>
    <s v="нет"/>
    <m/>
    <m/>
    <m/>
    <n v="1008"/>
    <s v="Владимиров Ефрем Антонович"/>
    <n v="1013"/>
    <s v="Игнатьев Виктор Вадимович"/>
    <s v="линейный_руководитель_2"/>
    <s v="Подразделение48"/>
    <x v="2"/>
    <x v="0"/>
    <n v="1"/>
    <n v="0"/>
    <m/>
    <m/>
    <s v="без изменений"/>
    <s v="протокол-№-05.07.2022"/>
  </r>
  <r>
    <s v="Функциональное направление 13"/>
    <n v="4"/>
    <d v="2021-11-15T00:00:00"/>
    <n v="1"/>
    <s v="не защищена"/>
    <n v="500490"/>
    <x v="1035"/>
    <n v="48"/>
    <s v="Подразделение48"/>
    <s v="подразделение_2_уровня48"/>
    <s v="-"/>
    <s v="линейный_руководитель_2"/>
    <n v="7"/>
    <s v="нет"/>
    <m/>
    <m/>
    <m/>
    <n v="1009"/>
    <s v="Родионов Роман Романович"/>
    <n v="2079"/>
    <s v="Незнамов Глеб Ефремович"/>
    <s v="Рабочий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0"/>
    <x v="1035"/>
    <n v="48"/>
    <s v="Подразделение48"/>
    <s v="подразделение_2_уровня48"/>
    <s v="-"/>
    <s v="линейный_руководитель_2"/>
    <n v="7"/>
    <s v="нет"/>
    <m/>
    <m/>
    <m/>
    <n v="1009"/>
    <s v="Родионов Роман Романович"/>
    <n v="2080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0"/>
    <x v="1035"/>
    <n v="48"/>
    <s v="Подразделение48"/>
    <s v="подразделение_2_уровня48"/>
    <s v="-"/>
    <s v="линейный_руководитель_2"/>
    <n v="7"/>
    <s v="нет"/>
    <m/>
    <m/>
    <m/>
    <n v="1009"/>
    <s v="Родионов Роман Романович"/>
    <n v="2081"/>
    <s v="Тимофее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0"/>
    <x v="1035"/>
    <n v="48"/>
    <s v="Подразделение48"/>
    <s v="подразделение_2_уровня48"/>
    <s v="-"/>
    <s v="линейный_руководитель_2"/>
    <n v="7"/>
    <s v="нет"/>
    <m/>
    <m/>
    <m/>
    <n v="1009"/>
    <s v="Родионов Роман Романович"/>
    <n v="2082"/>
    <s v="Брежнев Геннадий Геннадье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0"/>
    <x v="1035"/>
    <n v="48"/>
    <s v="Подразделение48"/>
    <s v="подразделение_2_уровня48"/>
    <s v="-"/>
    <s v="линейный_руководитель_2"/>
    <n v="7"/>
    <s v="нет"/>
    <m/>
    <m/>
    <m/>
    <n v="1009"/>
    <s v="Родионов Роман Романович"/>
    <n v="2083"/>
    <s v="Дмитри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1"/>
    <x v="1036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10"/>
    <s v="Дорофеев Данил Александрович"/>
    <n v="1013"/>
    <s v="Игнатьев Виктор Вадимович"/>
    <s v="линейный_руководитель_2"/>
    <s v="Подразделение48"/>
    <x v="0"/>
    <x v="0"/>
    <n v="1"/>
    <n v="0"/>
    <m/>
    <m/>
    <s v="без изменений"/>
    <s v="протокол-№-05.07.2022"/>
  </r>
  <r>
    <s v="Функциональное направление 13"/>
    <n v="4"/>
    <d v="2021-11-15T00:00:00"/>
    <n v="0"/>
    <s v="не защищена"/>
    <n v="500491"/>
    <x v="1036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10"/>
    <s v="Дорофеев Данил Александрович"/>
    <n v="1012"/>
    <s v="Константинов Анатолий Савельевич"/>
    <s v="линейный_руководитель_2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1"/>
    <x v="1036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10"/>
    <s v="Дорофеев Данил Александрович"/>
    <n v="2084"/>
    <s v="Исаев Виталий Ефремович"/>
    <s v="Рабочий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2-11-30T00:00:00"/>
    <n v="0"/>
    <s v="не защищена"/>
    <n v="500491"/>
    <x v="1036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10"/>
    <s v="Дорофеев Данил Александрович"/>
    <n v="2079"/>
    <s v="Незнамов Глеб Ефремович"/>
    <s v="Рабочий"/>
    <s v="Подразделение48"/>
    <x v="2"/>
    <x v="0"/>
    <n v="1"/>
    <n v="0"/>
    <m/>
    <m/>
    <s v="не рассматривали"/>
    <s v="протокол-№-30.11.2022"/>
  </r>
  <r>
    <s v="Функциональное направление 13"/>
    <n v="4"/>
    <d v="2021-11-15T00:00:00"/>
    <n v="1"/>
    <s v="не защищена"/>
    <n v="500492"/>
    <x v="103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1"/>
    <s v="Веревкин Виктор Герасимович"/>
    <n v="2079"/>
    <s v="Незнамов Глеб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1"/>
    <s v="Веревкин Виктор Герасимович"/>
    <n v="2080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1"/>
    <s v="Веревкин Виктор Герасимович"/>
    <n v="2081"/>
    <s v="Тимофее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1"/>
    <s v="Веревкин Виктор Герасимович"/>
    <n v="2082"/>
    <s v="Брежнев Геннадий Геннадьевич"/>
    <s v="Рабочий"/>
    <s v="Подразделение48"/>
    <x v="0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1"/>
    <s v="Веревкин Виктор Герасимович"/>
    <n v="2083"/>
    <s v="Дмитри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2"/>
    <x v="1038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8-02T00:00:00"/>
    <d v="2022-08-11T00:00:00"/>
    <s v="внутр. сотр. (учитываем)"/>
    <n v="1012"/>
    <s v="Константинов Анатолий Савельевич"/>
    <n v="2079"/>
    <s v="Незнамов Глеб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8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8-02T00:00:00"/>
    <d v="2022-08-11T00:00:00"/>
    <s v="внутр. сотр. (учитываем)"/>
    <n v="1012"/>
    <s v="Константинов Анатолий Савельевич"/>
    <n v="2080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8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8-02T00:00:00"/>
    <d v="2022-08-11T00:00:00"/>
    <s v="внутр. сотр. (учитываем)"/>
    <n v="1012"/>
    <s v="Константинов Анатолий Савельевич"/>
    <n v="2081"/>
    <s v="Тимофее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8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8-02T00:00:00"/>
    <d v="2022-08-11T00:00:00"/>
    <s v="внутр. сотр. (учитываем)"/>
    <n v="1012"/>
    <s v="Константинов Анатолий Савельевич"/>
    <n v="2082"/>
    <s v="Брежнев Геннадий Геннадье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8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8-02T00:00:00"/>
    <d v="2022-08-11T00:00:00"/>
    <s v="внутр. сотр. (учитываем)"/>
    <n v="1012"/>
    <s v="Константинов Анатолий Савельевич"/>
    <n v="2083"/>
    <s v="Дмитри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2"/>
    <x v="103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3"/>
    <s v="Игнатьев Виктор Вадимович"/>
    <n v="2079"/>
    <s v="Незнамов Глеб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3"/>
    <s v="Игнатьев Виктор Вадимович"/>
    <n v="2080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3"/>
    <s v="Игнатьев Виктор Вадимович"/>
    <n v="2081"/>
    <s v="Тимофее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3"/>
    <s v="Игнатьев Виктор Вадимович"/>
    <n v="2082"/>
    <s v="Брежнев Геннадий Геннадье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3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3"/>
    <s v="Игнатьев Виктор Вадимович"/>
    <n v="2083"/>
    <s v="Дмитри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2"/>
    <x v="104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4"/>
    <s v="Юрьев Захар Владимирович"/>
    <n v="2079"/>
    <s v="Незнамов Глеб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4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4"/>
    <s v="Юрьев Захар Владимирович"/>
    <n v="2080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4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4"/>
    <s v="Юрьев Захар Владимирович"/>
    <n v="2081"/>
    <s v="Тимофее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4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4"/>
    <s v="Юрьев Захар Владимирович"/>
    <n v="2082"/>
    <s v="Брежнев Геннадий Геннадье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2"/>
    <x v="104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4"/>
    <s v="Юрьев Захар Владимирович"/>
    <n v="2083"/>
    <s v="Дмитри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3"/>
    <x v="1041"/>
    <n v="48"/>
    <s v="Подразделение48"/>
    <s v="подразделение_2_уровня48"/>
    <s v="подразделение_3_уровня48"/>
    <s v="руководитель_среднего_уровня_4"/>
    <n v="6"/>
    <s v="да"/>
    <d v="2022-11-14T00:00:00"/>
    <d v="2022-11-14T00:00:00"/>
    <s v="внутр. сотр. (учитываем)"/>
    <n v="1015"/>
    <s v="Семенов Савелий Русланович"/>
    <n v="1013"/>
    <s v="Игнатьев Виктор Вадимович"/>
    <s v="линейный_руководитель_2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3"/>
    <x v="1041"/>
    <n v="48"/>
    <s v="Подразделение48"/>
    <s v="подразделение_2_уровня48"/>
    <s v="подразделение_3_уровня48"/>
    <s v="руководитель_среднего_уровня_4"/>
    <n v="6"/>
    <s v="да"/>
    <d v="2022-11-14T00:00:00"/>
    <d v="2022-11-14T00:00:00"/>
    <s v="внутр. сотр. (учитываем)"/>
    <n v="1015"/>
    <s v="Семенов Савелий Русланович"/>
    <n v="1012"/>
    <s v="Константинов Анатолий Савельевич"/>
    <s v="линейный_руководитель_2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3"/>
    <x v="1041"/>
    <n v="48"/>
    <s v="Подразделение48"/>
    <s v="подразделение_2_уровня48"/>
    <s v="подразделение_3_уровня48"/>
    <s v="руководитель_среднего_уровня_4"/>
    <n v="6"/>
    <s v="да"/>
    <d v="2022-11-14T00:00:00"/>
    <d v="2022-11-14T00:00:00"/>
    <s v="внутр. сотр. (учитываем)"/>
    <n v="1015"/>
    <s v="Семенов Савелий Русланович"/>
    <n v="2084"/>
    <s v="Исаев Вита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2-11-30T00:00:00"/>
    <n v="0"/>
    <s v="не защищена"/>
    <n v="500493"/>
    <x v="1041"/>
    <n v="48"/>
    <s v="Подразделение48"/>
    <s v="подразделение_2_уровня48"/>
    <s v="подразделение_3_уровня48"/>
    <s v="руководитель_среднего_уровня_4"/>
    <n v="6"/>
    <s v="да"/>
    <d v="2022-11-14T00:00:00"/>
    <d v="2022-11-14T00:00:00"/>
    <s v="внутр. сотр. (учитываем)"/>
    <n v="1015"/>
    <s v="Семенов Савелий Русланович"/>
    <n v="2085"/>
    <s v="Тимофеев Геннадий Ефремович"/>
    <s v="Рабочий"/>
    <s v="Подразделение48"/>
    <x v="2"/>
    <x v="0"/>
    <n v="0"/>
    <n v="0"/>
    <m/>
    <m/>
    <s v="не рассматривали"/>
    <s v="протокол-№-30.11.2022"/>
  </r>
  <r>
    <s v="Функциональное направление 13"/>
    <n v="3"/>
    <d v="2020-06-23T00:00:00"/>
    <n v="1"/>
    <s v="не защищена"/>
    <n v="500494"/>
    <x v="1042"/>
    <n v="48"/>
    <s v="Подразделение48"/>
    <s v="подразделение_2_уровня48"/>
    <s v="-"/>
    <s v="руководитель_среднего_уровня_2"/>
    <n v="5"/>
    <s v="да"/>
    <d v="2019-06-07T00:00:00"/>
    <d v="2019-06-07T00:00:00"/>
    <s v="из резерва (учитываем)"/>
    <n v="1016"/>
    <s v="Игорев Юрий Ярославович"/>
    <n v="1023"/>
    <s v="Кузьмин Афанасий Потапович"/>
    <s v="руководитель_среднего_уровня_4"/>
    <s v="Подразделение48"/>
    <x v="2"/>
    <x v="0"/>
    <n v="1"/>
    <n v="0"/>
    <m/>
    <m/>
    <s v="без изменений"/>
    <s v="протокол-№-05.07.2022"/>
  </r>
  <r>
    <s v="Функциональное направление 13"/>
    <n v="3"/>
    <d v="2018-12-21T00:00:00"/>
    <n v="0"/>
    <s v="не защищена"/>
    <n v="500494"/>
    <x v="1042"/>
    <n v="48"/>
    <s v="Подразделение48"/>
    <s v="подразделение_2_уровня48"/>
    <s v="-"/>
    <s v="руководитель_среднего_уровня_2"/>
    <n v="5"/>
    <s v="да"/>
    <d v="2019-06-07T00:00:00"/>
    <d v="2019-06-07T00:00:00"/>
    <s v="из резерва (учитываем)"/>
    <n v="1016"/>
    <s v="Игорев Юрий Ярославович"/>
    <n v="1016"/>
    <s v="Игорев Юрий Ярославович"/>
    <s v="линейный_руководитель_2"/>
    <s v="Подразделение48"/>
    <x v="1"/>
    <x v="1"/>
    <n v="1"/>
    <n v="1"/>
    <s v="назначение на целевую должность"/>
    <d v="2019-06-07T00:00:00"/>
    <s v="не рассматривали"/>
    <s v="протокол-№-21.12.2018"/>
  </r>
  <r>
    <s v="Функциональное направление 13"/>
    <n v="3"/>
    <d v="2018-12-21T00:00:00"/>
    <n v="0"/>
    <s v="не защищена"/>
    <n v="500494"/>
    <x v="1042"/>
    <n v="48"/>
    <s v="Подразделение48"/>
    <s v="подразделение_2_уровня48"/>
    <s v="-"/>
    <s v="руководитель_среднего_уровня_2"/>
    <n v="5"/>
    <s v="да"/>
    <d v="2019-06-07T00:00:00"/>
    <d v="2019-06-07T00:00:00"/>
    <s v="из резерва (учитываем)"/>
    <n v="1016"/>
    <s v="Игорев Юрий Ярославович"/>
    <n v="2086"/>
    <s v="Тимофеев Юрий Ефремович"/>
    <s v="руководитель_среднего_уровня_2"/>
    <s v="Подразделение384"/>
    <x v="0"/>
    <x v="2"/>
    <n v="1"/>
    <n v="0"/>
    <s v="прочее (перевод в другое СП / на другое предприятие)"/>
    <d v="2022-03-01T00:00:00"/>
    <s v="без изменений"/>
    <s v="протокол-№-23.06.2020"/>
  </r>
  <r>
    <s v="Функциональное направление 13"/>
    <n v="4"/>
    <d v="2021-11-15T00:00:00"/>
    <n v="1"/>
    <s v="не защищена"/>
    <n v="500495"/>
    <x v="1043"/>
    <n v="48"/>
    <s v="Подразделение48"/>
    <s v="подразделение_2_уровня48"/>
    <s v="-"/>
    <s v="линейный_руководитель_2"/>
    <n v="7"/>
    <s v="нет"/>
    <m/>
    <m/>
    <m/>
    <n v="1017"/>
    <s v="Гуськов Семен Михайлович"/>
    <n v="2087"/>
    <s v="Тимофеев Виталий Михайлович"/>
    <s v="Рабочий"/>
    <s v="Подразделение48"/>
    <x v="0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5"/>
    <x v="1043"/>
    <n v="48"/>
    <s v="Подразделение48"/>
    <s v="подразделение_2_уровня48"/>
    <s v="-"/>
    <s v="линейный_руководитель_2"/>
    <n v="7"/>
    <s v="нет"/>
    <m/>
    <m/>
    <m/>
    <n v="1017"/>
    <s v="Гуськов Семен Михайлович"/>
    <n v="2088"/>
    <s v="Тимофеев Савелий Ефремович"/>
    <s v="Рабочий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5"/>
    <x v="1043"/>
    <n v="48"/>
    <s v="Подразделение48"/>
    <s v="подразделение_2_уровня48"/>
    <s v="-"/>
    <s v="линейный_руководитель_2"/>
    <n v="7"/>
    <s v="нет"/>
    <m/>
    <m/>
    <m/>
    <n v="1017"/>
    <s v="Гуськов Семен Михайлович"/>
    <n v="2089"/>
    <s v="Ветров Виталий Семенович"/>
    <s v="Рабочий"/>
    <s v="Подразделение48"/>
    <x v="0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5"/>
    <x v="1043"/>
    <n v="48"/>
    <s v="Подразделение48"/>
    <s v="подразделение_2_уровня48"/>
    <s v="-"/>
    <s v="линейный_руководитель_2"/>
    <n v="7"/>
    <s v="нет"/>
    <m/>
    <m/>
    <m/>
    <n v="1017"/>
    <s v="Гуськов Семен Михайлович"/>
    <n v="2090"/>
    <s v="Исаев Савелий Ефремович"/>
    <s v="Рабочий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5"/>
    <x v="1043"/>
    <n v="48"/>
    <s v="Подразделение48"/>
    <s v="подразделение_2_уровня48"/>
    <s v="-"/>
    <s v="линейный_руководитель_2"/>
    <n v="7"/>
    <s v="нет"/>
    <m/>
    <m/>
    <m/>
    <n v="1017"/>
    <s v="Гуськов Семен Михайлов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5"/>
    <x v="1043"/>
    <n v="48"/>
    <s v="Подразделение48"/>
    <s v="подразделение_2_уровня48"/>
    <s v="-"/>
    <s v="линейный_руководитель_2"/>
    <n v="7"/>
    <s v="нет"/>
    <m/>
    <m/>
    <m/>
    <n v="1017"/>
    <s v="Гуськов Семен Михайлович"/>
    <n v="2092"/>
    <s v="Степанов Константин Ефремович"/>
    <s v="Рабочий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5"/>
    <x v="1043"/>
    <n v="48"/>
    <s v="Подразделение48"/>
    <s v="подразделение_2_уровня48"/>
    <s v="-"/>
    <s v="линейный_руководитель_2"/>
    <n v="7"/>
    <s v="нет"/>
    <m/>
    <m/>
    <m/>
    <n v="1017"/>
    <s v="Гуськов Семен Михайлович"/>
    <n v="1020"/>
    <s v="Игнатьев Геннадий Кондратьевич"/>
    <s v="линейный_руководитель_2"/>
    <s v="Подразделение48"/>
    <x v="0"/>
    <x v="2"/>
    <n v="0"/>
    <n v="0"/>
    <s v="назначение на равнозначную должность"/>
    <d v="2022-04-18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5"/>
    <x v="1043"/>
    <n v="48"/>
    <s v="Подразделение48"/>
    <s v="подразделение_2_уровня48"/>
    <s v="-"/>
    <s v="линейный_руководитель_2"/>
    <n v="7"/>
    <s v="нет"/>
    <m/>
    <m/>
    <m/>
    <n v="1017"/>
    <s v="Гуськов Семен Михайлович"/>
    <n v="2093"/>
    <s v="Дмитриев Савелий Богданович"/>
    <s v="линейный_руководитель_2"/>
    <s v="Подразделение48"/>
    <x v="1"/>
    <x v="2"/>
    <n v="1"/>
    <n v="0"/>
    <s v="увольнение"/>
    <d v="2023-01-13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5"/>
    <x v="1043"/>
    <n v="48"/>
    <s v="Подразделение48"/>
    <s v="подразделение_2_уровня48"/>
    <s v="-"/>
    <s v="линейный_руководитель_2"/>
    <n v="7"/>
    <s v="нет"/>
    <m/>
    <m/>
    <m/>
    <n v="1017"/>
    <s v="Гуськов Семен Михайлович"/>
    <n v="2094"/>
    <s v="Ветров Геннадий Ефремович"/>
    <s v="линейный_руководитель_2"/>
    <s v="Подразделение48"/>
    <x v="2"/>
    <x v="2"/>
    <n v="0"/>
    <n v="0"/>
    <s v="прочее (перевод в другое СП / на другое предприятие)"/>
    <d v="2022-11-30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6"/>
    <x v="1044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8"/>
    <s v="Кириллов Вениамин Геннадьевич"/>
    <n v="2087"/>
    <s v="Тимофеев Виталий Михайлович"/>
    <s v="Рабочий"/>
    <s v="Подразделение48"/>
    <x v="0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4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8"/>
    <s v="Кириллов Вениамин Геннадьевич"/>
    <n v="2088"/>
    <s v="Тимофе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4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8"/>
    <s v="Кириллов Вениамин Геннадьевич"/>
    <n v="2089"/>
    <s v="Ветров Виталий Семенович"/>
    <s v="Рабочий"/>
    <s v="Подразделение48"/>
    <x v="0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4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8"/>
    <s v="Кириллов Вениамин Геннадьевич"/>
    <n v="2090"/>
    <s v="Иса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4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8"/>
    <s v="Кириллов Вениамин Геннадьев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4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8"/>
    <s v="Кириллов Вениамин Геннадьевич"/>
    <n v="2092"/>
    <s v="Степанов Константин Ефремович"/>
    <s v="Рабочий"/>
    <s v="Подразделение48"/>
    <x v="1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4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8"/>
    <s v="Кириллов Вениамин Геннадьевич"/>
    <n v="1020"/>
    <s v="Игнатьев Геннадий Кондратьевич"/>
    <s v="линейный_руководитель_2"/>
    <s v="Подразделение48"/>
    <x v="0"/>
    <x v="2"/>
    <n v="0"/>
    <n v="0"/>
    <s v="назначение на равнозначную должность"/>
    <d v="2022-04-18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4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8"/>
    <s v="Кириллов Вениамин Геннадьевич"/>
    <n v="2093"/>
    <s v="Дмитриев Савелий Богданович"/>
    <s v="линейный_руководитель_2"/>
    <s v="Подразделение48"/>
    <x v="1"/>
    <x v="2"/>
    <n v="1"/>
    <n v="0"/>
    <s v="увольнение"/>
    <d v="2023-01-13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4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8"/>
    <s v="Кириллов Вениамин Геннадьевич"/>
    <n v="2094"/>
    <s v="Ветров Геннадий Ефремович"/>
    <s v="линейный_руководитель_2"/>
    <s v="Подразделение48"/>
    <x v="2"/>
    <x v="2"/>
    <n v="0"/>
    <n v="0"/>
    <s v="прочее (перевод в другое СП / на другое предприятие)"/>
    <d v="2022-11-30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6"/>
    <x v="1045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9"/>
    <s v="Ефремов Валерий Владимирович"/>
    <n v="2087"/>
    <s v="Тимофеев Виталий Михайл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5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9"/>
    <s v="Ефремов Валерий Владимирович"/>
    <n v="2088"/>
    <s v="Тимофе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5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9"/>
    <s v="Ефремов Валерий Владимирович"/>
    <n v="2089"/>
    <s v="Ветров Виталий Семен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5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9"/>
    <s v="Ефремов Валерий Владимирович"/>
    <n v="2090"/>
    <s v="Иса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5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9"/>
    <s v="Ефремов Валерий Владимиров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5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9"/>
    <s v="Ефремов Валерий Владимирович"/>
    <n v="2092"/>
    <s v="Степанов Константин Ефремович"/>
    <s v="Рабочий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5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9"/>
    <s v="Ефремов Валерий Владимирович"/>
    <n v="1020"/>
    <s v="Игнатьев Геннадий Кондратьевич"/>
    <s v="линейный_руководитель_2"/>
    <s v="Подразделение48"/>
    <x v="0"/>
    <x v="2"/>
    <n v="0"/>
    <n v="0"/>
    <s v="назначение на равнозначную должность"/>
    <d v="2022-04-18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5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9"/>
    <s v="Ефремов Валерий Владимирович"/>
    <n v="2093"/>
    <s v="Дмитриев Савелий Богданович"/>
    <s v="линейный_руководитель_2"/>
    <s v="Подразделение48"/>
    <x v="1"/>
    <x v="2"/>
    <n v="0"/>
    <n v="0"/>
    <s v="увольнение"/>
    <d v="2023-01-13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5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19"/>
    <s v="Ефремов Валерий Владимирович"/>
    <n v="2094"/>
    <s v="Ветров Геннадий Ефремович"/>
    <s v="линейный_руководитель_2"/>
    <s v="Подразделение48"/>
    <x v="2"/>
    <x v="2"/>
    <n v="0"/>
    <n v="0"/>
    <s v="прочее (перевод в другое СП / на другое предприятие)"/>
    <d v="2022-11-30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6"/>
    <x v="1046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3-01T00:00:00"/>
    <d v="2022-04-18T00:00:00"/>
    <s v="из резерва (учитываем)"/>
    <n v="1020"/>
    <s v="Игнатьев Геннадий Кондратьевич"/>
    <n v="2087"/>
    <s v="Тимофеев Виталий Михайл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6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3-01T00:00:00"/>
    <d v="2022-04-18T00:00:00"/>
    <s v="из резерва (учитываем)"/>
    <n v="1020"/>
    <s v="Игнатьев Геннадий Кондратьевич"/>
    <n v="2088"/>
    <s v="Тимофе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6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3-01T00:00:00"/>
    <d v="2022-04-18T00:00:00"/>
    <s v="из резерва (учитываем)"/>
    <n v="1020"/>
    <s v="Игнатьев Геннадий Кондратьевич"/>
    <n v="2089"/>
    <s v="Ветров Виталий Семен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6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3-01T00:00:00"/>
    <d v="2022-04-18T00:00:00"/>
    <s v="из резерва (учитываем)"/>
    <n v="1020"/>
    <s v="Игнатьев Геннадий Кондратьевич"/>
    <n v="2090"/>
    <s v="Иса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6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3-01T00:00:00"/>
    <d v="2022-04-18T00:00:00"/>
    <s v="из резерва (учитываем)"/>
    <n v="1020"/>
    <s v="Игнатьев Геннадий Кондратьев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6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3-01T00:00:00"/>
    <d v="2022-04-18T00:00:00"/>
    <s v="из резерва (учитываем)"/>
    <n v="1020"/>
    <s v="Игнатьев Геннадий Кондратьевич"/>
    <n v="2092"/>
    <s v="Степанов Константин Ефремович"/>
    <s v="Рабочий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6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3-01T00:00:00"/>
    <d v="2022-04-18T00:00:00"/>
    <s v="из резерва (учитываем)"/>
    <n v="1020"/>
    <s v="Игнатьев Геннадий Кондратьевич"/>
    <n v="1020"/>
    <s v="Игнатьев Геннадий Кондратьевич"/>
    <s v="линейный_руководитель_2"/>
    <s v="Подразделение48"/>
    <x v="0"/>
    <x v="1"/>
    <n v="0"/>
    <n v="1"/>
    <s v="назначение на целевую должность"/>
    <d v="2022-04-18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6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3-01T00:00:00"/>
    <d v="2022-04-18T00:00:00"/>
    <s v="из резерва (учитываем)"/>
    <n v="1020"/>
    <s v="Игнатьев Геннадий Кондратьевич"/>
    <n v="2093"/>
    <s v="Дмитриев Савелий Богданович"/>
    <s v="линейный_руководитель_2"/>
    <s v="Подразделение48"/>
    <x v="1"/>
    <x v="2"/>
    <n v="0"/>
    <n v="0"/>
    <s v="увольнение"/>
    <d v="2023-01-13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6"/>
    <n v="48"/>
    <s v="Подразделение48"/>
    <s v="подразделение_2_уровня48"/>
    <s v="подразделение_3_уровня48"/>
    <s v="линейный_руководитель_1"/>
    <n v="7"/>
    <s v="да"/>
    <d v="2022-03-01T00:00:00"/>
    <d v="2022-04-18T00:00:00"/>
    <s v="из резерва (учитываем)"/>
    <n v="1020"/>
    <s v="Игнатьев Геннадий Кондратьевич"/>
    <n v="2094"/>
    <s v="Ветров Геннадий Ефремович"/>
    <s v="линейный_руководитель_2"/>
    <s v="Подразделение48"/>
    <x v="2"/>
    <x v="2"/>
    <n v="0"/>
    <n v="0"/>
    <s v="прочее (перевод в другое СП / на другое предприятие)"/>
    <d v="2022-11-30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6"/>
    <x v="104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1"/>
    <s v="Брежнев Виктор Емельянович"/>
    <n v="2087"/>
    <s v="Тимофеев Виталий Михайл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1"/>
    <s v="Брежнев Виктор Емельянович"/>
    <n v="2088"/>
    <s v="Тимофе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1"/>
    <s v="Брежнев Виктор Емельянович"/>
    <n v="2089"/>
    <s v="Ветров Виталий Семен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1"/>
    <s v="Брежнев Виктор Емельянович"/>
    <n v="2090"/>
    <s v="Иса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1"/>
    <s v="Брежнев Виктор Емельянов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1"/>
    <s v="Брежнев Виктор Емельянович"/>
    <n v="2092"/>
    <s v="Степанов Константин Ефремович"/>
    <s v="Рабочий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1"/>
    <s v="Брежнев Виктор Емельянович"/>
    <n v="1020"/>
    <s v="Игнатьев Геннадий Кондратьевич"/>
    <s v="линейный_руководитель_2"/>
    <s v="Подразделение48"/>
    <x v="0"/>
    <x v="2"/>
    <n v="0"/>
    <n v="0"/>
    <s v="назначение на равнозначную должность"/>
    <d v="2022-04-18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1"/>
    <s v="Брежнев Виктор Емельянович"/>
    <n v="2093"/>
    <s v="Дмитриев Савелий Богданович"/>
    <s v="линейный_руководитель_2"/>
    <s v="Подразделение48"/>
    <x v="1"/>
    <x v="2"/>
    <n v="0"/>
    <n v="0"/>
    <s v="увольнение"/>
    <d v="2023-01-13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6"/>
    <x v="104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1"/>
    <s v="Брежнев Виктор Емельянович"/>
    <n v="2094"/>
    <s v="Ветров Геннадий Ефремович"/>
    <s v="линейный_руководитель_2"/>
    <s v="Подразделение48"/>
    <x v="2"/>
    <x v="2"/>
    <n v="0"/>
    <n v="0"/>
    <s v="прочее (перевод в другое СП / на другое предприятие)"/>
    <d v="2022-11-30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7"/>
    <x v="1048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2"/>
    <s v="Русланов Родион Михайлович"/>
    <n v="1021"/>
    <s v="Брежнев Виктор Емельянович"/>
    <s v="линейный_руководитель_2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7"/>
    <x v="1048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2"/>
    <s v="Русланов Родион Михайлович"/>
    <n v="1020"/>
    <s v="Игнатьев Геннадий Кондратьевич"/>
    <s v="линейный_руководитель_2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7"/>
    <x v="1048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2"/>
    <s v="Русланов Родион Михайлович"/>
    <n v="1027"/>
    <s v="Степанов Роман Кондратьевич"/>
    <s v="линейный_руководитель_2"/>
    <s v="Подразделение48"/>
    <x v="1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7"/>
    <x v="1048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2"/>
    <s v="Русланов Родион Михайлович"/>
    <n v="2091"/>
    <s v="Ветров Савелий Александрович"/>
    <s v="Рабочий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7"/>
    <x v="1048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2"/>
    <s v="Русланов Родион Михайлович"/>
    <n v="2086"/>
    <s v="Тимофеев Юрий Ефремович"/>
    <s v="руководитель_среднего_уровня_2"/>
    <s v="Подразделение384"/>
    <x v="1"/>
    <x v="2"/>
    <n v="1"/>
    <n v="0"/>
    <s v="прочее (перевод в другое СП / на другое предприятие)"/>
    <d v="2022-03-01T00:00:00"/>
    <s v="исключение"/>
    <s v="протокол-№-30.11.2022"/>
  </r>
  <r>
    <s v="Функциональное направление 13"/>
    <n v="4"/>
    <d v="2021-11-15T00:00:00"/>
    <n v="1"/>
    <s v="не защищена"/>
    <n v="500498"/>
    <x v="1049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3"/>
    <s v="Кузьмин Афанасий Потапович"/>
    <n v="2086"/>
    <s v="Тимофеев Юрий Ефремович"/>
    <s v="руководитель_среднего_уровня_2"/>
    <s v="Подразделение384"/>
    <x v="1"/>
    <x v="2"/>
    <n v="0"/>
    <n v="0"/>
    <s v="прочее (перевод в другое СП / на другое предприятие)"/>
    <d v="2022-03-01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8"/>
    <x v="1049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3"/>
    <s v="Кузьмин Афанасий Потапович"/>
    <n v="1021"/>
    <s v="Брежнев Виктор Емельянович"/>
    <s v="линейный_руководитель_2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8"/>
    <x v="1049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3"/>
    <s v="Кузьмин Афанасий Потапович"/>
    <n v="1020"/>
    <s v="Игнатьев Геннадий Кондратьевич"/>
    <s v="линейный_руководитель_2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8"/>
    <x v="1049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3"/>
    <s v="Кузьмин Афанасий Потапович"/>
    <n v="1027"/>
    <s v="Степанов Роман Кондратьевич"/>
    <s v="линейный_руководитель_2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8"/>
    <x v="1049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23"/>
    <s v="Кузьмин Афанасий Потапов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9"/>
    <x v="105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4"/>
    <s v="Русланов Вадим Тимофеевич"/>
    <n v="2087"/>
    <s v="Тимофеев Виталий Михайл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4"/>
    <s v="Русланов Вадим Тимофеевич"/>
    <n v="2088"/>
    <s v="Тимофе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4"/>
    <s v="Русланов Вадим Тимофеевич"/>
    <n v="2089"/>
    <s v="Ветров Виталий Семен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4"/>
    <s v="Русланов Вадим Тимофеевич"/>
    <n v="2090"/>
    <s v="Иса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4"/>
    <s v="Русланов Вадим Тимофеев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4"/>
    <s v="Русланов Вадим Тимофеевич"/>
    <n v="2092"/>
    <s v="Степанов Константин Ефремович"/>
    <s v="Рабочий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4"/>
    <s v="Русланов Вадим Тимофеевич"/>
    <n v="1020"/>
    <s v="Игнатьев Геннадий Кондратьевич"/>
    <s v="линейный_руководитель_2"/>
    <s v="Подразделение48"/>
    <x v="0"/>
    <x v="2"/>
    <n v="0"/>
    <n v="0"/>
    <s v="назначение на равнозначную должность"/>
    <d v="2022-04-18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4"/>
    <s v="Русланов Вадим Тимофеевич"/>
    <n v="2093"/>
    <s v="Дмитриев Савелий Богданович"/>
    <s v="линейный_руководитель_2"/>
    <s v="Подразделение48"/>
    <x v="1"/>
    <x v="2"/>
    <n v="0"/>
    <n v="0"/>
    <s v="увольнение"/>
    <d v="2023-01-13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4"/>
    <s v="Русланов Вадим Тимофеевич"/>
    <n v="2094"/>
    <s v="Ветров Геннадий Ефремович"/>
    <s v="линейный_руководитель_2"/>
    <s v="Подразделение48"/>
    <x v="2"/>
    <x v="2"/>
    <n v="0"/>
    <n v="0"/>
    <s v="прочее (перевод в другое СП / на другое предприятие)"/>
    <d v="2022-11-30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9"/>
    <x v="105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5"/>
    <s v="Данилов Вениамин Ильич"/>
    <n v="2087"/>
    <s v="Тимофеев Виталий Михайл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5"/>
    <s v="Данилов Вениамин Ильич"/>
    <n v="2088"/>
    <s v="Тимофе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5"/>
    <s v="Данилов Вениамин Ильич"/>
    <n v="2089"/>
    <s v="Ветров Виталий Семен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5"/>
    <s v="Данилов Вениамин Ильич"/>
    <n v="2090"/>
    <s v="Иса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5"/>
    <s v="Данилов Вениамин Иль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5"/>
    <s v="Данилов Вениамин Ильич"/>
    <n v="2092"/>
    <s v="Степанов Константин Ефремович"/>
    <s v="Рабочий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5"/>
    <s v="Данилов Вениамин Ильич"/>
    <n v="1020"/>
    <s v="Игнатьев Геннадий Кондратьевич"/>
    <s v="линейный_руководитель_2"/>
    <s v="Подразделение48"/>
    <x v="0"/>
    <x v="2"/>
    <n v="0"/>
    <n v="0"/>
    <s v="назначение на равнозначную должность"/>
    <d v="2022-04-18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5"/>
    <s v="Данилов Вениамин Ильич"/>
    <n v="2093"/>
    <s v="Дмитриев Савелий Богданович"/>
    <s v="линейный_руководитель_2"/>
    <s v="Подразделение48"/>
    <x v="1"/>
    <x v="2"/>
    <n v="0"/>
    <n v="0"/>
    <s v="увольнение"/>
    <d v="2023-01-13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5"/>
    <s v="Данилов Вениамин Ильич"/>
    <n v="2094"/>
    <s v="Ветров Геннадий Ефремович"/>
    <s v="линейный_руководитель_2"/>
    <s v="Подразделение48"/>
    <x v="2"/>
    <x v="2"/>
    <n v="0"/>
    <n v="0"/>
    <s v="прочее (перевод в другое СП / на другое предприятие)"/>
    <d v="2022-11-30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9"/>
    <x v="1052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6"/>
    <s v="Коростелев Матвей Игнатович"/>
    <n v="2087"/>
    <s v="Тимофеев Виталий Михайл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2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6"/>
    <s v="Коростелев Матвей Игнатович"/>
    <n v="2088"/>
    <s v="Тимофе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2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6"/>
    <s v="Коростелев Матвей Игнатович"/>
    <n v="2089"/>
    <s v="Ветров Виталий Семен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2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6"/>
    <s v="Коростелев Матвей Игнатович"/>
    <n v="2090"/>
    <s v="Иса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2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6"/>
    <s v="Коростелев Матвей Игнатов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2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6"/>
    <s v="Коростелев Матвей Игнатович"/>
    <n v="2092"/>
    <s v="Степанов Константин Ефремович"/>
    <s v="Рабочий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2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6"/>
    <s v="Коростелев Матвей Игнатович"/>
    <n v="1020"/>
    <s v="Игнатьев Геннадий Кондратьевич"/>
    <s v="линейный_руководитель_2"/>
    <s v="Подразделение48"/>
    <x v="0"/>
    <x v="2"/>
    <n v="0"/>
    <n v="0"/>
    <s v="назначение на равнозначную должность"/>
    <d v="2022-04-18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2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6"/>
    <s v="Коростелев Матвей Игнатович"/>
    <n v="2093"/>
    <s v="Дмитриев Савелий Богданович"/>
    <s v="линейный_руководитель_2"/>
    <s v="Подразделение48"/>
    <x v="1"/>
    <x v="2"/>
    <n v="0"/>
    <n v="0"/>
    <s v="увольнение"/>
    <d v="2023-01-13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2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6"/>
    <s v="Коростелев Матвей Игнатович"/>
    <n v="2094"/>
    <s v="Ветров Геннадий Ефремович"/>
    <s v="линейный_руководитель_2"/>
    <s v="Подразделение48"/>
    <x v="2"/>
    <x v="2"/>
    <n v="0"/>
    <n v="0"/>
    <s v="прочее (перевод в другое СП / на другое предприятие)"/>
    <d v="2022-11-30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499"/>
    <x v="1053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7"/>
    <s v="Степанов Роман Кондратьевич"/>
    <n v="2087"/>
    <s v="Тимофеев Виталий Михайл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3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7"/>
    <s v="Степанов Роман Кондратьевич"/>
    <n v="2088"/>
    <s v="Тимофе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3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7"/>
    <s v="Степанов Роман Кондратьевич"/>
    <n v="2089"/>
    <s v="Ветров Виталий Семенович"/>
    <s v="Рабочий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3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7"/>
    <s v="Степанов Роман Кондратьевич"/>
    <n v="2090"/>
    <s v="Иса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3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7"/>
    <s v="Степанов Роман Кондратьевич"/>
    <n v="2091"/>
    <s v="Ветров Савел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3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7"/>
    <s v="Степанов Роман Кондратьевич"/>
    <n v="2092"/>
    <s v="Степанов Константин Ефремович"/>
    <s v="Рабочий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3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7"/>
    <s v="Степанов Роман Кондратьевич"/>
    <n v="1020"/>
    <s v="Игнатьев Геннадий Кондратьевич"/>
    <s v="линейный_руководитель_2"/>
    <s v="Подразделение48"/>
    <x v="0"/>
    <x v="2"/>
    <n v="0"/>
    <n v="0"/>
    <s v="назначение на равнозначную должность"/>
    <d v="2022-04-18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3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7"/>
    <s v="Степанов Роман Кондратьевич"/>
    <n v="2093"/>
    <s v="Дмитриев Савелий Богданович"/>
    <s v="линейный_руководитель_2"/>
    <s v="Подразделение48"/>
    <x v="1"/>
    <x v="2"/>
    <n v="0"/>
    <n v="0"/>
    <s v="увольнение"/>
    <d v="2023-01-13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499"/>
    <x v="1053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27"/>
    <s v="Степанов Роман Кондратьевич"/>
    <n v="2094"/>
    <s v="Ветров Геннадий Ефремович"/>
    <s v="линейный_руководитель_2"/>
    <s v="Подразделение48"/>
    <x v="2"/>
    <x v="2"/>
    <n v="0"/>
    <n v="0"/>
    <s v="прочее (перевод в другое СП / на другое предприятие)"/>
    <d v="2022-11-30T00:00:00"/>
    <s v="не рассматривали"/>
    <s v="протокол-№-15.11.2021"/>
  </r>
  <r>
    <s v="Функциональное направление 13"/>
    <n v="3"/>
    <d v="2018-12-21T00:00:00"/>
    <n v="1"/>
    <s v="не защищена"/>
    <n v="500500"/>
    <x v="1054"/>
    <n v="48"/>
    <s v="Подразделение48"/>
    <s v="подразделение_2_уровня48"/>
    <s v="-"/>
    <s v="руководитель_среднего_уровня_2"/>
    <n v="5"/>
    <s v="да"/>
    <d v="2023-03-20T00:00:00"/>
    <d v="2023-04-03T00:00:00"/>
    <s v="из резерва (учитываем)"/>
    <n v="1028"/>
    <s v="Павлов Арсений Ефремович"/>
    <n v="1034"/>
    <s v="Трофимов Матвей Геннадьевич"/>
    <s v="линейный_руководитель_4"/>
    <s v="Подразделение48"/>
    <x v="0"/>
    <x v="0"/>
    <n v="1"/>
    <n v="0"/>
    <m/>
    <m/>
    <s v="без изменений"/>
    <s v="протокол-№-05.07.2022"/>
  </r>
  <r>
    <s v="Функциональное направление 13"/>
    <n v="3"/>
    <d v="2018-12-21T00:00:00"/>
    <n v="0"/>
    <s v="не защищена"/>
    <n v="500500"/>
    <x v="1054"/>
    <n v="48"/>
    <s v="Подразделение48"/>
    <s v="подразделение_2_уровня48"/>
    <s v="-"/>
    <s v="руководитель_среднего_уровня_2"/>
    <n v="5"/>
    <s v="да"/>
    <d v="2023-03-20T00:00:00"/>
    <d v="2023-04-03T00:00:00"/>
    <s v="из резерва (учитываем)"/>
    <n v="1028"/>
    <s v="Павлов Арсений Ефремович"/>
    <n v="1028"/>
    <s v="Павлов Арсений Ефремович"/>
    <s v="руководитель_среднего_уровня_2"/>
    <s v="Подразделение48"/>
    <x v="0"/>
    <x v="1"/>
    <n v="1"/>
    <n v="1"/>
    <s v="назначение на целевую должность"/>
    <d v="2023-04-03T00:00:00"/>
    <s v="без изменений"/>
    <s v="протокол-№-05.07.2022"/>
  </r>
  <r>
    <s v="Функциональное направление 13"/>
    <n v="4"/>
    <d v="2021-11-15T00:00:00"/>
    <n v="1"/>
    <s v="не защищена"/>
    <n v="500501"/>
    <x v="1055"/>
    <n v="48"/>
    <s v="Подразделение48"/>
    <s v="подразделение_2_уровня48"/>
    <s v="подразделение_3_уровня48"/>
    <s v="руководитель_среднего_уровня_4"/>
    <n v="6"/>
    <s v="да"/>
    <d v="2023-04-03T00:00:00"/>
    <d v="2023-04-12T00:00:00"/>
    <s v="внутр. сотр. из списка КР (учитываем)"/>
    <n v="1029"/>
    <s v="Дмитриев Геннадий Николаевич"/>
    <n v="1033"/>
    <s v="Ярославов Илья Тимофеевич"/>
    <s v="линейный_руководитель_2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1"/>
    <x v="1055"/>
    <n v="48"/>
    <s v="Подразделение48"/>
    <s v="подразделение_2_уровня48"/>
    <s v="подразделение_3_уровня48"/>
    <s v="руководитель_среднего_уровня_4"/>
    <n v="6"/>
    <s v="да"/>
    <d v="2023-04-03T00:00:00"/>
    <d v="2023-04-12T00:00:00"/>
    <s v="внутр. сотр. из списка КР (учитываем)"/>
    <n v="1029"/>
    <s v="Дмитриев Геннадий Николаевич"/>
    <n v="2095"/>
    <s v="Незнамов Юрий Богданович"/>
    <s v="Специалист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1"/>
    <x v="1055"/>
    <n v="48"/>
    <s v="Подразделение48"/>
    <s v="подразделение_2_уровня48"/>
    <s v="подразделение_3_уровня48"/>
    <s v="руководитель_среднего_уровня_4"/>
    <n v="6"/>
    <s v="да"/>
    <d v="2023-04-03T00:00:00"/>
    <d v="2023-04-12T00:00:00"/>
    <s v="внутр. сотр. из списка КР (учитываем)"/>
    <n v="1029"/>
    <s v="Дмитриев Геннадий Николаевич"/>
    <n v="2096"/>
    <s v="Тимофеев Савелий Александрович"/>
    <s v="линейный_руководитель_2"/>
    <s v="Подразделение384"/>
    <x v="2"/>
    <x v="2"/>
    <n v="1"/>
    <n v="0"/>
    <s v="прочее (перевод в другое СП / на другое предприятие)"/>
    <d v="2022-02-14T00:00:00"/>
    <s v="исключение"/>
    <s v="протокол-№-30.11.2022"/>
  </r>
  <r>
    <s v="Функциональное направление 13"/>
    <n v="4"/>
    <d v="2021-11-15T00:00:00"/>
    <n v="1"/>
    <s v="не защищена"/>
    <n v="500502"/>
    <x v="1056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0"/>
    <s v="Коровкин Денис Ефремович"/>
    <n v="2097"/>
    <s v="Ветро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6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0"/>
    <s v="Коровкин Денис Ефремович"/>
    <n v="2077"/>
    <s v="Тимофеев Геннадий Михайлович"/>
    <s v="Специалист"/>
    <s v="Подразделение48"/>
    <x v="0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6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0"/>
    <s v="Коровкин Денис Ефремович"/>
    <n v="2095"/>
    <s v="Незнамов Юрий Богданович"/>
    <s v="Специалист"/>
    <s v="Подразделение48"/>
    <x v="1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6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0"/>
    <s v="Коровкин Денис Ефремович"/>
    <n v="2098"/>
    <s v="Незнамов Виталий Александр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6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0"/>
    <s v="Коровкин Денис Ефремович"/>
    <n v="2099"/>
    <s v="Тимофеев Савелий Ефрем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6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0"/>
    <s v="Коровкин Денис Ефремович"/>
    <n v="2100"/>
    <s v="Ветров Матвей Семенович"/>
    <s v="Рабочий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6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0"/>
    <s v="Коровкин Денис Ефремович"/>
    <n v="2101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6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0"/>
    <s v="Коровкин Денис Ефремович"/>
    <n v="1035"/>
    <s v="Романов Илья Тарасович"/>
    <s v="линейный_руководитель_2"/>
    <s v="Подразделение48"/>
    <x v="0"/>
    <x v="2"/>
    <n v="1"/>
    <n v="0"/>
    <s v="назначение на равнозначную должность"/>
    <d v="2023-05-01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6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0"/>
    <s v="Коровкин Денис Ефремович"/>
    <n v="2102"/>
    <s v="Тимофеев Виталий Александрович"/>
    <s v="Рабочий"/>
    <s v="Подразделение48"/>
    <x v="2"/>
    <x v="2"/>
    <n v="0"/>
    <n v="0"/>
    <s v="увольнение"/>
    <d v="2023-06-14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502"/>
    <x v="105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1"/>
    <s v="Романов Савелий Кириллович"/>
    <n v="2097"/>
    <s v="Ветро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1"/>
    <s v="Романов Савелий Кириллович"/>
    <n v="2077"/>
    <s v="Тимофеев Геннадий Михайл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1"/>
    <s v="Романов Савелий Кириллович"/>
    <n v="2095"/>
    <s v="Незнамов Юрий Богданович"/>
    <s v="Специалист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1"/>
    <s v="Романов Савелий Кириллович"/>
    <n v="2098"/>
    <s v="Незнамов Виталий Александр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1"/>
    <s v="Романов Савелий Кириллович"/>
    <n v="2099"/>
    <s v="Тимофеев Савелий Ефрем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1"/>
    <s v="Романов Савелий Кириллович"/>
    <n v="2100"/>
    <s v="Ветров Матвей Семен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1"/>
    <s v="Романов Савелий Кириллович"/>
    <n v="2101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1"/>
    <s v="Романов Савелий Кириллович"/>
    <n v="1035"/>
    <s v="Романов Илья Тарасович"/>
    <s v="линейный_руководитель_2"/>
    <s v="Подразделение48"/>
    <x v="0"/>
    <x v="2"/>
    <n v="0"/>
    <n v="0"/>
    <s v="назначение на равнозначную должность"/>
    <d v="2023-05-01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7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1"/>
    <s v="Романов Савелий Кириллович"/>
    <n v="2102"/>
    <s v="Тимофеев Виталий Александрович"/>
    <s v="Рабочий"/>
    <s v="Подразделение48"/>
    <x v="2"/>
    <x v="2"/>
    <n v="0"/>
    <n v="0"/>
    <s v="увольнение"/>
    <d v="2023-06-14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502"/>
    <x v="1058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2"/>
    <s v="Тимофеев Петр Герасимович"/>
    <n v="2097"/>
    <s v="Ветро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8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2"/>
    <s v="Тимофеев Петр Герасимович"/>
    <n v="2077"/>
    <s v="Тимофеев Геннадий Михайл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8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2"/>
    <s v="Тимофеев Петр Герасимович"/>
    <n v="2095"/>
    <s v="Незнамов Юрий Богданович"/>
    <s v="Специалист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8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2"/>
    <s v="Тимофеев Петр Герасимович"/>
    <n v="2098"/>
    <s v="Незнамов Виталий Александр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8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2"/>
    <s v="Тимофеев Петр Герасимович"/>
    <n v="2099"/>
    <s v="Тимофеев Савелий Ефрем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8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2"/>
    <s v="Тимофеев Петр Герасимович"/>
    <n v="2100"/>
    <s v="Ветров Матвей Семен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8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2"/>
    <s v="Тимофеев Петр Герасимович"/>
    <n v="2101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8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2"/>
    <s v="Тимофеев Петр Герасимович"/>
    <n v="1035"/>
    <s v="Романов Илья Тарасович"/>
    <s v="линейный_руководитель_2"/>
    <s v="Подразделение48"/>
    <x v="0"/>
    <x v="2"/>
    <n v="0"/>
    <n v="0"/>
    <s v="назначение на равнозначную должность"/>
    <d v="2023-05-01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8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2"/>
    <s v="Тимофеев Петр Герасимович"/>
    <n v="2102"/>
    <s v="Тимофеев Виталий Александрович"/>
    <s v="Рабочий"/>
    <s v="Подразделение48"/>
    <x v="2"/>
    <x v="2"/>
    <n v="0"/>
    <n v="0"/>
    <s v="увольнение"/>
    <d v="2023-06-14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502"/>
    <x v="105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3"/>
    <s v="Ярославов Илья Тимофеевич"/>
    <n v="2097"/>
    <s v="Ветро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3"/>
    <s v="Ярославов Илья Тимофеевич"/>
    <n v="2077"/>
    <s v="Тимофеев Геннадий Михайл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3"/>
    <s v="Ярославов Илья Тимофеевич"/>
    <n v="2095"/>
    <s v="Незнамов Юрий Богданович"/>
    <s v="Специалист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3"/>
    <s v="Ярославов Илья Тимофеевич"/>
    <n v="2098"/>
    <s v="Незнамов Виталий Александр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3"/>
    <s v="Ярославов Илья Тимофеевич"/>
    <n v="2099"/>
    <s v="Тимофеев Савелий Ефрем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3"/>
    <s v="Ярославов Илья Тимофеевич"/>
    <n v="2100"/>
    <s v="Ветров Матвей Семен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3"/>
    <s v="Ярославов Илья Тимофеевич"/>
    <n v="2101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3"/>
    <s v="Ярославов Илья Тимофеевич"/>
    <n v="1035"/>
    <s v="Романов Илья Тарасович"/>
    <s v="линейный_руководитель_2"/>
    <s v="Подразделение48"/>
    <x v="0"/>
    <x v="2"/>
    <n v="0"/>
    <n v="0"/>
    <s v="назначение на равнозначную должность"/>
    <d v="2023-05-01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2"/>
    <x v="105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33"/>
    <s v="Ярославов Илья Тимофеевич"/>
    <n v="2102"/>
    <s v="Тимофеев Виталий Александрович"/>
    <s v="Рабочий"/>
    <s v="Подразделение48"/>
    <x v="2"/>
    <x v="2"/>
    <n v="0"/>
    <n v="0"/>
    <s v="увольнение"/>
    <d v="2023-06-14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2097"/>
    <s v="Ветро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2077"/>
    <s v="Тимофеев Геннадий Михайлович"/>
    <s v="Специалист"/>
    <s v="Подразделение48"/>
    <x v="0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2095"/>
    <s v="Незнамов Юрий Богданович"/>
    <s v="Специалист"/>
    <s v="Подразделение48"/>
    <x v="1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2098"/>
    <s v="Незнамов Виталий Александр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2099"/>
    <s v="Тимофеев Савелий Ефрем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2100"/>
    <s v="Ветров Матвей Семен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2101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1035"/>
    <s v="Романов Илья Тарасович"/>
    <s v="линейный_руководитель_2"/>
    <s v="Подразделение48"/>
    <x v="0"/>
    <x v="2"/>
    <n v="1"/>
    <n v="0"/>
    <s v="назначение на равнозначную должность"/>
    <d v="2023-05-01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2102"/>
    <s v="Тимофеев Виталий Александрович"/>
    <s v="Рабочий"/>
    <s v="Подразделение48"/>
    <x v="2"/>
    <x v="2"/>
    <n v="0"/>
    <n v="0"/>
    <s v="увольнение"/>
    <d v="2023-06-14T00:00:00"/>
    <s v="не рассматривали"/>
    <s v="протокол-№-15.11.2021"/>
  </r>
  <r>
    <s v="Функциональное направление 13"/>
    <n v="4"/>
    <d v="2022-11-30T00:00:00"/>
    <n v="0"/>
    <s v="не защищена"/>
    <n v="500503"/>
    <x v="1060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6-14T00:00:00"/>
    <m/>
    <m/>
    <m/>
    <m/>
    <n v="2103"/>
    <s v="Брежнев Виталий Ефремович"/>
    <s v="Рабочий"/>
    <s v="Подразделение48"/>
    <x v="2"/>
    <x v="0"/>
    <n v="1"/>
    <n v="0"/>
    <m/>
    <m/>
    <s v="не рассматривали"/>
    <s v="протокол-№-30.11.2022"/>
  </r>
  <r>
    <s v="Функциональное направление 13"/>
    <n v="4"/>
    <d v="2021-11-15T00:00:00"/>
    <n v="1"/>
    <s v="не защищена"/>
    <n v="500504"/>
    <x v="1061"/>
    <n v="48"/>
    <s v="Подразделение48"/>
    <s v="подразделение_2_уровня48"/>
    <s v="подразделение_3_уровня48"/>
    <s v="линейный_руководитель_4"/>
    <n v="6"/>
    <s v="нет"/>
    <m/>
    <m/>
    <m/>
    <n v="1034"/>
    <s v="Трофимов Матвей Геннадьевич"/>
    <n v="1029"/>
    <s v="Дмитриев Геннадий Николаевич"/>
    <s v="руководитель_среднего_уровня_4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505"/>
    <x v="1062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4-12T00:00:00"/>
    <d v="2023-05-01T00:00:00"/>
    <s v="из резерва (учитываем)"/>
    <n v="1035"/>
    <s v="Романов Илья Тарасович"/>
    <n v="2097"/>
    <s v="Ветро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5"/>
    <x v="1062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4-12T00:00:00"/>
    <d v="2023-05-01T00:00:00"/>
    <s v="из резерва (учитываем)"/>
    <n v="1035"/>
    <s v="Романов Илья Тарасович"/>
    <n v="2077"/>
    <s v="Тимофеев Геннадий Михайл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5"/>
    <x v="1062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4-12T00:00:00"/>
    <d v="2023-05-01T00:00:00"/>
    <s v="из резерва (учитываем)"/>
    <n v="1035"/>
    <s v="Романов Илья Тарасович"/>
    <n v="2095"/>
    <s v="Незнамов Юрий Богданович"/>
    <s v="Специалист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5"/>
    <x v="1062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4-12T00:00:00"/>
    <d v="2023-05-01T00:00:00"/>
    <s v="из резерва (учитываем)"/>
    <n v="1035"/>
    <s v="Романов Илья Тарасович"/>
    <n v="2098"/>
    <s v="Незнамов Виталий Александр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5"/>
    <x v="1062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4-12T00:00:00"/>
    <d v="2023-05-01T00:00:00"/>
    <s v="из резерва (учитываем)"/>
    <n v="1035"/>
    <s v="Романов Илья Тарасович"/>
    <n v="2099"/>
    <s v="Тимофеев Савелий Ефрем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5"/>
    <x v="1062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4-12T00:00:00"/>
    <d v="2023-05-01T00:00:00"/>
    <s v="из резерва (учитываем)"/>
    <n v="1035"/>
    <s v="Романов Илья Тарасович"/>
    <n v="2100"/>
    <s v="Ветров Матвей Семен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5"/>
    <x v="1062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4-12T00:00:00"/>
    <d v="2023-05-01T00:00:00"/>
    <s v="из резерва (учитываем)"/>
    <n v="1035"/>
    <s v="Романов Илья Тарасович"/>
    <n v="2101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5"/>
    <x v="1062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4-12T00:00:00"/>
    <d v="2023-05-01T00:00:00"/>
    <s v="из резерва (учитываем)"/>
    <n v="1035"/>
    <s v="Романов Илья Тарасович"/>
    <n v="1035"/>
    <s v="Романов Илья Тарасович"/>
    <s v="линейный_руководитель_2"/>
    <s v="Подразделение48"/>
    <x v="0"/>
    <x v="1"/>
    <n v="0"/>
    <n v="1"/>
    <s v="назначение на целевую должность"/>
    <d v="2023-05-01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5"/>
    <x v="1062"/>
    <n v="48"/>
    <s v="Подразделение48"/>
    <s v="подразделение_2_уровня48"/>
    <s v="подразделение_3_уровня48"/>
    <s v="линейный_руководитель_2"/>
    <n v="7"/>
    <s v="да"/>
    <d v="2023-04-12T00:00:00"/>
    <d v="2023-05-01T00:00:00"/>
    <s v="из резерва (учитываем)"/>
    <n v="1035"/>
    <s v="Романов Илья Тарасович"/>
    <n v="2102"/>
    <s v="Тимофеев Виталий Александрович"/>
    <s v="Рабочий"/>
    <s v="Подразделение48"/>
    <x v="2"/>
    <x v="2"/>
    <n v="0"/>
    <n v="0"/>
    <s v="увольнение"/>
    <d v="2023-06-14T00:00:00"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506"/>
    <x v="1063"/>
    <n v="48"/>
    <s v="Подразделение48"/>
    <s v="подразделение_2_уровня48"/>
    <s v="подразделение_3_уровня48"/>
    <s v="линейный_руководитель_2"/>
    <n v="7"/>
    <s v="нет"/>
    <m/>
    <m/>
    <m/>
    <n v="1036"/>
    <s v="Трофимов Лавр Константинович"/>
    <n v="2097"/>
    <s v="Ветров Матве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6"/>
    <x v="1063"/>
    <n v="48"/>
    <s v="Подразделение48"/>
    <s v="подразделение_2_уровня48"/>
    <s v="подразделение_3_уровня48"/>
    <s v="линейный_руководитель_2"/>
    <n v="7"/>
    <s v="нет"/>
    <m/>
    <m/>
    <m/>
    <n v="1036"/>
    <s v="Трофимов Лавр Константинович"/>
    <n v="2077"/>
    <s v="Тимофеев Геннадий Михайл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6"/>
    <x v="1063"/>
    <n v="48"/>
    <s v="Подразделение48"/>
    <s v="подразделение_2_уровня48"/>
    <s v="подразделение_3_уровня48"/>
    <s v="линейный_руководитель_2"/>
    <n v="7"/>
    <s v="нет"/>
    <m/>
    <m/>
    <m/>
    <n v="1036"/>
    <s v="Трофимов Лавр Константинович"/>
    <n v="2095"/>
    <s v="Незнамов Юрий Богданович"/>
    <s v="Специалист"/>
    <s v="Подразделение48"/>
    <x v="1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6"/>
    <x v="1063"/>
    <n v="48"/>
    <s v="Подразделение48"/>
    <s v="подразделение_2_уровня48"/>
    <s v="подразделение_3_уровня48"/>
    <s v="линейный_руководитель_2"/>
    <n v="7"/>
    <s v="нет"/>
    <m/>
    <m/>
    <m/>
    <n v="1036"/>
    <s v="Трофимов Лавр Константинович"/>
    <n v="2098"/>
    <s v="Незнамов Виталий Александрович"/>
    <s v="Специалист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6"/>
    <x v="1063"/>
    <n v="48"/>
    <s v="Подразделение48"/>
    <s v="подразделение_2_уровня48"/>
    <s v="подразделение_3_уровня48"/>
    <s v="линейный_руководитель_2"/>
    <n v="7"/>
    <s v="нет"/>
    <m/>
    <m/>
    <m/>
    <n v="1036"/>
    <s v="Трофимов Лавр Константинович"/>
    <n v="2099"/>
    <s v="Тимофеев Савелий Ефремович"/>
    <s v="Специалист"/>
    <s v="Подразделение48"/>
    <x v="0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6"/>
    <x v="1063"/>
    <n v="48"/>
    <s v="Подразделение48"/>
    <s v="подразделение_2_уровня48"/>
    <s v="подразделение_3_уровня48"/>
    <s v="линейный_руководитель_2"/>
    <n v="7"/>
    <s v="нет"/>
    <m/>
    <m/>
    <m/>
    <n v="1036"/>
    <s v="Трофимов Лавр Константинович"/>
    <n v="2100"/>
    <s v="Ветров Матвей Семен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6"/>
    <x v="1063"/>
    <n v="48"/>
    <s v="Подразделение48"/>
    <s v="подразделение_2_уровня48"/>
    <s v="подразделение_3_уровня48"/>
    <s v="линейный_руководитель_2"/>
    <n v="7"/>
    <s v="нет"/>
    <m/>
    <m/>
    <m/>
    <n v="1036"/>
    <s v="Трофимов Лавр Константинович"/>
    <n v="2101"/>
    <s v="Ветро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6"/>
    <x v="1063"/>
    <n v="48"/>
    <s v="Подразделение48"/>
    <s v="подразделение_2_уровня48"/>
    <s v="подразделение_3_уровня48"/>
    <s v="линейный_руководитель_2"/>
    <n v="7"/>
    <s v="нет"/>
    <m/>
    <m/>
    <m/>
    <n v="1036"/>
    <s v="Трофимов Лавр Константинович"/>
    <n v="1035"/>
    <s v="Романов Илья Тарасович"/>
    <s v="линейный_руководитель_2"/>
    <s v="Подразделение48"/>
    <x v="0"/>
    <x v="2"/>
    <n v="0"/>
    <n v="0"/>
    <s v="назначение на равнозначную должность"/>
    <d v="2023-05-01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6"/>
    <x v="1063"/>
    <n v="48"/>
    <s v="Подразделение48"/>
    <s v="подразделение_2_уровня48"/>
    <s v="подразделение_3_уровня48"/>
    <s v="линейный_руководитель_2"/>
    <n v="7"/>
    <s v="нет"/>
    <m/>
    <m/>
    <m/>
    <n v="1036"/>
    <s v="Трофимов Лавр Константинович"/>
    <n v="2102"/>
    <s v="Тимофеев Виталий Александрович"/>
    <s v="Рабочий"/>
    <s v="Подразделение48"/>
    <x v="2"/>
    <x v="2"/>
    <n v="0"/>
    <n v="0"/>
    <s v="увольнение"/>
    <d v="2023-06-14T00:00:00"/>
    <s v="не рассматривали"/>
    <s v="протокол-№-15.11.2021"/>
  </r>
  <r>
    <s v="Функциональное направление 13"/>
    <n v="3"/>
    <d v="2018-12-21T00:00:00"/>
    <n v="1"/>
    <s v="не защищена"/>
    <n v="500507"/>
    <x v="1064"/>
    <n v="48"/>
    <s v="Подразделение48"/>
    <s v="подразделение_2_уровня48"/>
    <s v="-"/>
    <s v="руководитель_среднего_уровня_2"/>
    <n v="5"/>
    <s v="нет"/>
    <m/>
    <m/>
    <m/>
    <n v="1037"/>
    <s v="Прохоров Константин Иванович"/>
    <n v="1039"/>
    <s v="Зверев Матвей Кондратьевич"/>
    <s v="линейный_руководитель_4"/>
    <s v="Подразделение48"/>
    <x v="1"/>
    <x v="0"/>
    <n v="1"/>
    <n v="0"/>
    <m/>
    <m/>
    <s v="без изменений"/>
    <s v="протокол-№-05.07.2022"/>
  </r>
  <r>
    <s v="Функциональное направление 13"/>
    <n v="3"/>
    <d v="2020-06-23T00:00:00"/>
    <n v="0"/>
    <s v="не защищена"/>
    <n v="500507"/>
    <x v="1064"/>
    <n v="48"/>
    <s v="Подразделение48"/>
    <s v="подразделение_2_уровня48"/>
    <s v="-"/>
    <s v="руководитель_среднего_уровня_2"/>
    <n v="5"/>
    <s v="нет"/>
    <m/>
    <m/>
    <m/>
    <n v="1037"/>
    <s v="Прохоров Константин Иванович"/>
    <n v="1038"/>
    <s v="Сорокин Тимофей Тихонович"/>
    <s v="руководитель_среднего_уровня_4"/>
    <s v="Подразделение48"/>
    <x v="2"/>
    <x v="0"/>
    <n v="1"/>
    <n v="0"/>
    <m/>
    <m/>
    <s v="без изменений"/>
    <s v="протокол-№-05.07.2022"/>
  </r>
  <r>
    <s v="Функциональное направление 13"/>
    <n v="3"/>
    <d v="2018-12-21T00:00:00"/>
    <n v="0"/>
    <s v="не защищена"/>
    <n v="500507"/>
    <x v="1064"/>
    <n v="48"/>
    <s v="Подразделение48"/>
    <s v="подразделение_2_уровня48"/>
    <s v="-"/>
    <s v="руководитель_среднего_уровня_2"/>
    <n v="5"/>
    <s v="нет"/>
    <m/>
    <m/>
    <m/>
    <n v="1037"/>
    <s v="Прохоров Константин Иванович"/>
    <n v="2104"/>
    <s v="Ветров Савелий Богданович"/>
    <s v="Рабочий"/>
    <s v="Подразделение48"/>
    <x v="1"/>
    <x v="2"/>
    <n v="1"/>
    <n v="0"/>
    <s v="инициатива комитета / руководителя"/>
    <d v="2020-06-23T00:00:00"/>
    <s v="исключение"/>
    <s v="протокол-№-23.06.2020"/>
  </r>
  <r>
    <s v="Функциональное направление 13"/>
    <n v="4"/>
    <d v="2021-11-15T00:00:00"/>
    <n v="1"/>
    <s v="не защищена"/>
    <n v="500508"/>
    <x v="1065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38"/>
    <s v="Сорокин Тимофей Тихонович"/>
    <n v="2104"/>
    <s v="Ветров Савелий Богданович"/>
    <s v="Рабочий"/>
    <s v="Подразделение48"/>
    <x v="1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08"/>
    <x v="1065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38"/>
    <s v="Сорокин Тимофей Тихонович"/>
    <n v="1039"/>
    <s v="Зверев Матвей Кондратьевич"/>
    <s v="линейный_руководитель_4"/>
    <s v="Подразделение48"/>
    <x v="1"/>
    <x v="0"/>
    <n v="1"/>
    <n v="0"/>
    <m/>
    <m/>
    <s v="без изменений"/>
    <s v="протокол-№-05.07.2022"/>
  </r>
  <r>
    <s v="Функциональное направление 13"/>
    <n v="4"/>
    <d v="2021-11-15T00:00:00"/>
    <n v="1"/>
    <s v="не защищена"/>
    <n v="500509"/>
    <x v="1066"/>
    <n v="48"/>
    <s v="Подразделение48"/>
    <s v="подразделение_2_уровня48"/>
    <s v="подразделение_3_уровня48"/>
    <s v="линейный_руководитель_4"/>
    <n v="6"/>
    <s v="нет"/>
    <m/>
    <m/>
    <m/>
    <n v="1039"/>
    <s v="Зверев Матвей Кондратьевич"/>
    <n v="2105"/>
    <s v="Тимофеев Савел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2-11-30T00:00:00"/>
    <n v="0"/>
    <s v="не защищена"/>
    <n v="500509"/>
    <x v="1066"/>
    <n v="48"/>
    <s v="Подразделение48"/>
    <s v="подразделение_2_уровня48"/>
    <s v="подразделение_3_уровня48"/>
    <s v="линейный_руководитель_4"/>
    <n v="6"/>
    <s v="нет"/>
    <m/>
    <m/>
    <m/>
    <n v="1039"/>
    <s v="Зверев Матвей Кондратьевич"/>
    <n v="2106"/>
    <s v="Ветров Савелий Ефремович"/>
    <s v="Рабочий"/>
    <s v="Подразделение48"/>
    <x v="2"/>
    <x v="0"/>
    <n v="1"/>
    <n v="0"/>
    <m/>
    <m/>
    <s v="не рассматривали"/>
    <s v="протокол-№-30.11.2022"/>
  </r>
  <r>
    <s v="Функциональное направление 13"/>
    <n v="3"/>
    <d v="2018-12-21T00:00:00"/>
    <n v="1"/>
    <s v="не защищена"/>
    <n v="500510"/>
    <x v="1067"/>
    <n v="48"/>
    <s v="Подразделение48"/>
    <s v="подразделение_2_уровня48"/>
    <s v="-"/>
    <s v="руководитель_среднего_уровня_2"/>
    <n v="5"/>
    <s v="нет"/>
    <m/>
    <m/>
    <m/>
    <n v="1040"/>
    <s v="Баранов Семен Богданович"/>
    <n v="2107"/>
    <s v="Исаев Савелий Александрович"/>
    <s v="Специалист"/>
    <s v="Подразделение48"/>
    <x v="2"/>
    <x v="0"/>
    <n v="1"/>
    <n v="0"/>
    <m/>
    <m/>
    <s v="понижение"/>
    <s v="протокол-№-05.07.2022"/>
  </r>
  <r>
    <s v="Функциональное направление 13"/>
    <n v="3"/>
    <d v="2018-12-21T00:00:00"/>
    <n v="0"/>
    <s v="не защищена"/>
    <n v="500510"/>
    <x v="1067"/>
    <n v="48"/>
    <s v="Подразделение48"/>
    <s v="подразделение_2_уровня48"/>
    <s v="-"/>
    <s v="руководитель_среднего_уровня_2"/>
    <n v="5"/>
    <s v="нет"/>
    <m/>
    <m/>
    <m/>
    <n v="1040"/>
    <s v="Баранов Семен Богданович"/>
    <n v="1041"/>
    <s v="Карасев Данил Георгиевич"/>
    <s v="руководитель_среднего_уровня_4"/>
    <s v="Подразделение48"/>
    <x v="1"/>
    <x v="0"/>
    <n v="1"/>
    <n v="0"/>
    <m/>
    <m/>
    <s v="без изменений"/>
    <s v="протокол-№-05.07.2022"/>
  </r>
  <r>
    <s v="Функциональное направление 13"/>
    <n v="4"/>
    <d v="2021-11-15T00:00:00"/>
    <n v="1"/>
    <s v="не защищена"/>
    <n v="500511"/>
    <x v="1068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41"/>
    <s v="Карасев Данил Георгиевич"/>
    <n v="2107"/>
    <s v="Исаев Савелий Александрович"/>
    <s v="Специалист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512"/>
    <x v="106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42"/>
    <s v="Ветров Арсений Григорьевич"/>
    <n v="2108"/>
    <s v="Незнамов Геннадий Ефремович"/>
    <s v="Рабочий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12"/>
    <x v="106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42"/>
    <s v="Ветров Арсений Григорьевич"/>
    <n v="2109"/>
    <s v="Исаев Юрий Александрович"/>
    <s v="Рабочий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12"/>
    <x v="1069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42"/>
    <s v="Ветров Арсений Григорьевич"/>
    <n v="2110"/>
    <s v="Тимофеев Савелий Богданович"/>
    <s v="Рабочий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512"/>
    <x v="107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43"/>
    <s v="Цаплин Савелий Борисович"/>
    <n v="2108"/>
    <s v="Незнамов Геннад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12"/>
    <x v="107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43"/>
    <s v="Цаплин Савелий Борисович"/>
    <n v="2109"/>
    <s v="Исаев Юр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12"/>
    <x v="1070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43"/>
    <s v="Цаплин Савелий Борисович"/>
    <n v="2110"/>
    <s v="Тимофеев Савелий Богдан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1"/>
    <s v="не защищена"/>
    <n v="500512"/>
    <x v="107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44"/>
    <s v="Тимофеев Родион Никитинич"/>
    <n v="2108"/>
    <s v="Незнамов Геннадий Ефрем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12"/>
    <x v="107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44"/>
    <s v="Тимофеев Родион Никитинич"/>
    <n v="2109"/>
    <s v="Исаев Юрий Александр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12"/>
    <x v="1071"/>
    <n v="48"/>
    <s v="Подразделение48"/>
    <s v="подразделение_2_уровня48"/>
    <s v="подразделение_3_уровня48"/>
    <s v="линейный_руководитель_1"/>
    <n v="7"/>
    <s v="нет"/>
    <m/>
    <m/>
    <m/>
    <n v="1044"/>
    <s v="Тимофеев Родион Никитинич"/>
    <n v="2110"/>
    <s v="Тимофеев Савелий Богданович"/>
    <s v="Рабочий"/>
    <s v="Подразделение48"/>
    <x v="2"/>
    <x v="0"/>
    <n v="0"/>
    <n v="0"/>
    <m/>
    <m/>
    <s v="не рассматривали"/>
    <s v="протокол-№-15.11.2021"/>
  </r>
  <r>
    <s v="Функциональное направление 13"/>
    <n v="3"/>
    <d v="2022-07-05T00:00:00"/>
    <n v="1"/>
    <s v="не защищена"/>
    <n v="500513"/>
    <x v="1072"/>
    <n v="48"/>
    <s v="Подразделение48"/>
    <s v="подразделение_2_уровня48"/>
    <s v="-"/>
    <s v="руководитель_среднего_уровня_2"/>
    <n v="5"/>
    <s v="да"/>
    <d v="2023-02-01T00:00:00"/>
    <d v="2023-06-13T00:00:00"/>
    <s v="внутр. сотр. (не учитываем)"/>
    <n v="1045"/>
    <s v="Потапов Трофим Еремеевич"/>
    <n v="1010"/>
    <s v="Дорофеев Данил Александрович"/>
    <s v="руководитель_среднего_уровня_4"/>
    <s v="Подразделение48"/>
    <x v="2"/>
    <x v="0"/>
    <n v="1"/>
    <n v="0"/>
    <m/>
    <m/>
    <s v="не рассматривали"/>
    <s v="протокол-№-05.07.2022"/>
  </r>
  <r>
    <s v="Функциональное направление 13"/>
    <n v="3"/>
    <d v="2018-12-21T00:00:00"/>
    <n v="0"/>
    <s v="не защищена"/>
    <n v="500513"/>
    <x v="1072"/>
    <n v="48"/>
    <s v="Подразделение48"/>
    <s v="подразделение_2_уровня48"/>
    <s v="-"/>
    <s v="руководитель_среднего_уровня_2"/>
    <n v="5"/>
    <s v="да"/>
    <d v="2023-02-01T00:00:00"/>
    <m/>
    <m/>
    <s v="вакансия"/>
    <s v="вакансия"/>
    <n v="2075"/>
    <s v="Кириллов Савелий Ефремович"/>
    <s v="линейный_руководитель_2"/>
    <s v="Подразделение_др14"/>
    <x v="1"/>
    <x v="1"/>
    <n v="1"/>
    <n v="0"/>
    <s v="назначение на целевую должность"/>
    <d v="2021-06-02T00:00:00"/>
    <s v="без изменений"/>
    <s v="протокол-№-23.06.2020"/>
  </r>
  <r>
    <s v="Функциональное направление 13"/>
    <n v="3"/>
    <d v="2018-12-21T00:00:00"/>
    <n v="0"/>
    <s v="не защищена"/>
    <n v="500513"/>
    <x v="1072"/>
    <n v="48"/>
    <s v="Подразделение48"/>
    <s v="подразделение_2_уровня48"/>
    <s v="-"/>
    <s v="руководитель_среднего_уровня_2"/>
    <n v="5"/>
    <s v="да"/>
    <d v="2023-02-01T00:00:00"/>
    <m/>
    <m/>
    <s v="вакансия"/>
    <s v="вакансия"/>
    <n v="2111"/>
    <s v="Кириллов Геннадий Михайлович"/>
    <s v="функциональный_руководитель_2"/>
    <s v="Подразделение_др22"/>
    <x v="0"/>
    <x v="2"/>
    <n v="1"/>
    <n v="0"/>
    <s v="самоотвод"/>
    <d v="2022-07-05T00:00:00"/>
    <s v="исключение"/>
    <s v="протокол-№-05.07.2022"/>
  </r>
  <r>
    <s v="Функциональное направление 13"/>
    <n v="4"/>
    <d v="2021-11-15T00:00:00"/>
    <n v="1"/>
    <s v="не защищена"/>
    <n v="500514"/>
    <x v="1073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46"/>
    <s v="Трофимов Еремей Васильевич"/>
    <n v="1053"/>
    <s v="Семенов Андрей Геннадьевич"/>
    <s v="руководитель_среднего_уровня_4"/>
    <s v="Подразделение48"/>
    <x v="0"/>
    <x v="2"/>
    <n v="1"/>
    <n v="0"/>
    <s v="назначение на равнозначную должность"/>
    <d v="2023-06-14T00:00:00"/>
    <s v="не рассматривали"/>
    <s v="протокол-№-15.11.2021"/>
  </r>
  <r>
    <s v="Функциональное направление 13"/>
    <n v="4"/>
    <d v="2021-11-15T00:00:00"/>
    <n v="0"/>
    <s v="не защищена"/>
    <n v="500514"/>
    <x v="1073"/>
    <n v="48"/>
    <s v="Подразделение48"/>
    <s v="подразделение_2_уровня48"/>
    <s v="подразделение_3_уровня48"/>
    <s v="руководитель_среднего_уровня_4"/>
    <n v="6"/>
    <s v="нет"/>
    <m/>
    <m/>
    <m/>
    <n v="1046"/>
    <s v="Трофимов Еремей Васильевич"/>
    <n v="2099"/>
    <s v="Тимофеев Савелий Ефремович"/>
    <s v="Специалист"/>
    <s v="Подразделение48"/>
    <x v="2"/>
    <x v="0"/>
    <n v="1"/>
    <n v="0"/>
    <m/>
    <m/>
    <s v="не рассматривали"/>
    <s v="протокол-№-15.11.2021"/>
  </r>
  <r>
    <s v="Функциональное направление 13"/>
    <n v="4"/>
    <d v="2021-11-10T00:00:00"/>
    <n v="1"/>
    <s v="не защищена"/>
    <n v="500518"/>
    <x v="1074"/>
    <n v="221"/>
    <s v="Подразделение221"/>
    <s v="подразделение_2_уровня221"/>
    <s v="-"/>
    <s v="руководитель_среднего_уровня_2"/>
    <n v="6"/>
    <s v="нет"/>
    <m/>
    <m/>
    <m/>
    <n v="1047"/>
    <s v="Потапов Антон Тарасович"/>
    <n v="1054"/>
    <s v="Федотов Геннадий Игнатович"/>
    <s v="руководитель_среднего_уровня_4"/>
    <s v="Подразделение221"/>
    <x v="1"/>
    <x v="0"/>
    <n v="1"/>
    <n v="0"/>
    <m/>
    <m/>
    <s v="без изменений"/>
    <s v="протокол-№-05.07.2022"/>
  </r>
  <r>
    <s v="Функциональное направление 13"/>
    <n v="4"/>
    <d v="2021-11-10T00:00:00"/>
    <n v="0"/>
    <s v="не защищена"/>
    <n v="500518"/>
    <x v="1074"/>
    <n v="221"/>
    <s v="Подразделение221"/>
    <s v="подразделение_2_уровня221"/>
    <s v="-"/>
    <s v="руководитель_среднего_уровня_2"/>
    <n v="6"/>
    <s v="нет"/>
    <m/>
    <m/>
    <m/>
    <n v="1047"/>
    <s v="Потапов Антон Тарасович"/>
    <n v="1052"/>
    <s v="Волков Андрей Родионович"/>
    <s v="руководитель_среднего_уровня_4"/>
    <s v="Подразделение221"/>
    <x v="2"/>
    <x v="0"/>
    <n v="1"/>
    <n v="0"/>
    <m/>
    <m/>
    <s v="без изменений"/>
    <s v="протокол-№-05.07.2022"/>
  </r>
  <r>
    <s v="Функциональное направление 13"/>
    <n v="4"/>
    <d v="2021-11-10T00:00:00"/>
    <n v="1"/>
    <s v="не защищена"/>
    <n v="500519"/>
    <x v="1075"/>
    <n v="221"/>
    <s v="Подразделение221"/>
    <s v="подразделение_2_уровня221"/>
    <s v="-"/>
    <s v="линейный_руководитель_1"/>
    <n v="7"/>
    <s v="да"/>
    <d v="2022-09-02T00:00:00"/>
    <d v="2022-09-21T00:00:00"/>
    <s v="из резерва (учитываем)"/>
    <n v="1048"/>
    <s v="Тимофеев Виталий Александрович"/>
    <n v="2112"/>
    <s v="Исаев Виталий Богданович"/>
    <s v="Рабочий"/>
    <s v="Подразделение221"/>
    <x v="1"/>
    <x v="0"/>
    <n v="1"/>
    <n v="0"/>
    <m/>
    <m/>
    <s v="повышение"/>
    <s v="протокол-№-14.11.2022"/>
  </r>
  <r>
    <s v="Функциональное направление 13"/>
    <n v="4"/>
    <d v="2021-11-10T00:00:00"/>
    <n v="0"/>
    <s v="не защищена"/>
    <n v="500519"/>
    <x v="1075"/>
    <n v="221"/>
    <s v="Подразделение221"/>
    <s v="подразделение_2_уровня221"/>
    <s v="-"/>
    <s v="линейный_руководитель_1"/>
    <n v="7"/>
    <s v="да"/>
    <d v="2022-09-02T00:00:00"/>
    <d v="2022-09-21T00:00:00"/>
    <s v="из резерва (учитываем)"/>
    <n v="1048"/>
    <s v="Тимофеев Виталий Александрович"/>
    <n v="1048"/>
    <s v="Тимофеев Виталий Александрович"/>
    <s v="линейный_руководитель_2"/>
    <s v="Подразделение221"/>
    <x v="2"/>
    <x v="1"/>
    <n v="0"/>
    <n v="1"/>
    <s v="назначение на целевую должность"/>
    <d v="2022-09-21T00:00:00"/>
    <s v="не рассматривали"/>
    <s v="протокол-№-10.11.2021"/>
  </r>
  <r>
    <s v="Функциональное направление 13"/>
    <n v="4"/>
    <d v="2021-11-10T00:00:00"/>
    <n v="0"/>
    <s v="не защищена"/>
    <n v="500519"/>
    <x v="1075"/>
    <n v="221"/>
    <s v="Подразделение221"/>
    <s v="подразделение_2_уровня221"/>
    <s v="-"/>
    <s v="линейный_руководитель_1"/>
    <n v="7"/>
    <s v="да"/>
    <d v="2022-09-02T00:00:00"/>
    <d v="2022-09-21T00:00:00"/>
    <s v="из резерва (учитываем)"/>
    <n v="1048"/>
    <s v="Тимофеев Виталий Александрович"/>
    <n v="1049"/>
    <s v="Незнамов Дмитрий Владиславович"/>
    <s v="линейный_руководитель_2"/>
    <s v="Подразделение221"/>
    <x v="2"/>
    <x v="1"/>
    <n v="1"/>
    <n v="0"/>
    <s v="назначение на целевую должность"/>
    <d v="2023-02-06T00:00:00"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519"/>
    <x v="1076"/>
    <n v="221"/>
    <s v="Подразделение221"/>
    <s v="подразделение_2_уровня221"/>
    <s v="-"/>
    <s v="линейный_руководитель_1"/>
    <n v="7"/>
    <s v="да"/>
    <d v="2023-01-25T00:00:00"/>
    <d v="2023-02-06T00:00:00"/>
    <s v="из резерва (учитываем)"/>
    <n v="1049"/>
    <s v="Незнамов Дмитрий Владиславович"/>
    <n v="2112"/>
    <s v="Исаев Виталий Богданович"/>
    <s v="Рабочий"/>
    <s v="Подразделение221"/>
    <x v="1"/>
    <x v="0"/>
    <n v="0"/>
    <n v="0"/>
    <m/>
    <m/>
    <s v="повышение"/>
    <s v="протокол-№-14.11.2022"/>
  </r>
  <r>
    <s v="Функциональное направление 13"/>
    <n v="4"/>
    <d v="2021-11-10T00:00:00"/>
    <n v="0"/>
    <s v="не защищена"/>
    <n v="500519"/>
    <x v="1076"/>
    <n v="221"/>
    <s v="Подразделение221"/>
    <s v="подразделение_2_уровня221"/>
    <s v="-"/>
    <s v="линейный_руководитель_1"/>
    <n v="7"/>
    <s v="да"/>
    <d v="2023-01-25T00:00:00"/>
    <d v="2023-02-06T00:00:00"/>
    <s v="из резерва (учитываем)"/>
    <n v="1049"/>
    <s v="Незнамов Дмитрий Владиславович"/>
    <n v="1048"/>
    <s v="Тимофеев Виталий Александрович"/>
    <s v="линейный_руководитель_2"/>
    <s v="Подразделение221"/>
    <x v="2"/>
    <x v="1"/>
    <n v="0"/>
    <n v="0"/>
    <s v="назначение на целевую должность"/>
    <d v="2022-09-21T00:00:00"/>
    <s v="не рассматривали"/>
    <s v="протокол-№-10.11.2021"/>
  </r>
  <r>
    <s v="Функциональное направление 13"/>
    <n v="4"/>
    <d v="2021-11-10T00:00:00"/>
    <n v="0"/>
    <s v="не защищена"/>
    <n v="500519"/>
    <x v="1076"/>
    <n v="221"/>
    <s v="Подразделение221"/>
    <s v="подразделение_2_уровня221"/>
    <s v="-"/>
    <s v="линейный_руководитель_1"/>
    <n v="7"/>
    <s v="да"/>
    <d v="2023-01-25T00:00:00"/>
    <d v="2023-02-06T00:00:00"/>
    <s v="из резерва (учитываем)"/>
    <n v="1049"/>
    <s v="Незнамов Дмитрий Владиславович"/>
    <n v="1049"/>
    <s v="Незнамов Дмитрий Владиславович"/>
    <s v="линейный_руководитель_2"/>
    <s v="Подразделение221"/>
    <x v="2"/>
    <x v="1"/>
    <n v="0"/>
    <n v="1"/>
    <s v="назначение на целевую должность"/>
    <d v="2023-02-06T00:00:00"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519"/>
    <x v="1077"/>
    <n v="221"/>
    <s v="Подразделение221"/>
    <s v="подразделение_2_уровня221"/>
    <s v="-"/>
    <s v="линейный_руководитель_1"/>
    <n v="7"/>
    <s v="нет"/>
    <m/>
    <m/>
    <m/>
    <n v="1050"/>
    <s v="Романов Борис Климович"/>
    <n v="2112"/>
    <s v="Исаев Виталий Богданович"/>
    <s v="Рабочий"/>
    <s v="Подразделение221"/>
    <x v="1"/>
    <x v="0"/>
    <n v="0"/>
    <n v="0"/>
    <m/>
    <m/>
    <s v="повышение"/>
    <s v="протокол-№-14.11.2022"/>
  </r>
  <r>
    <s v="Функциональное направление 13"/>
    <n v="4"/>
    <d v="2021-11-10T00:00:00"/>
    <n v="0"/>
    <s v="не защищена"/>
    <n v="500519"/>
    <x v="1077"/>
    <n v="221"/>
    <s v="Подразделение221"/>
    <s v="подразделение_2_уровня221"/>
    <s v="-"/>
    <s v="линейный_руководитель_1"/>
    <n v="7"/>
    <s v="нет"/>
    <m/>
    <m/>
    <m/>
    <n v="1050"/>
    <s v="Романов Борис Климович"/>
    <n v="1048"/>
    <s v="Тимофеев Виталий Александрович"/>
    <s v="линейный_руководитель_2"/>
    <s v="Подразделение221"/>
    <x v="2"/>
    <x v="1"/>
    <n v="0"/>
    <n v="0"/>
    <s v="назначение на целевую должность"/>
    <d v="2022-09-21T00:00:00"/>
    <s v="не рассматривали"/>
    <s v="протокол-№-10.11.2021"/>
  </r>
  <r>
    <s v="Функциональное направление 13"/>
    <n v="4"/>
    <d v="2021-11-10T00:00:00"/>
    <n v="0"/>
    <s v="не защищена"/>
    <n v="500519"/>
    <x v="1077"/>
    <n v="221"/>
    <s v="Подразделение221"/>
    <s v="подразделение_2_уровня221"/>
    <s v="-"/>
    <s v="линейный_руководитель_1"/>
    <n v="7"/>
    <s v="нет"/>
    <m/>
    <m/>
    <m/>
    <n v="1050"/>
    <s v="Романов Борис Климович"/>
    <n v="1049"/>
    <s v="Незнамов Дмитрий Владиславович"/>
    <s v="линейный_руководитель_2"/>
    <s v="Подразделение221"/>
    <x v="2"/>
    <x v="1"/>
    <n v="0"/>
    <n v="0"/>
    <s v="назначение на целевую должность"/>
    <d v="2023-02-06T00:00:00"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519"/>
    <x v="1078"/>
    <n v="221"/>
    <s v="Подразделение221"/>
    <s v="подразделение_2_уровня221"/>
    <s v="-"/>
    <s v="линейный_руководитель_1"/>
    <n v="7"/>
    <s v="нет"/>
    <m/>
    <m/>
    <m/>
    <n v="1051"/>
    <s v="Булкин Виталий Корнеевич"/>
    <n v="2112"/>
    <s v="Исаев Виталий Богданович"/>
    <s v="Рабочий"/>
    <s v="Подразделение221"/>
    <x v="1"/>
    <x v="0"/>
    <n v="0"/>
    <n v="0"/>
    <m/>
    <m/>
    <s v="повышение"/>
    <s v="протокол-№-14.11.2022"/>
  </r>
  <r>
    <s v="Функциональное направление 13"/>
    <n v="4"/>
    <d v="2021-11-10T00:00:00"/>
    <n v="0"/>
    <s v="не защищена"/>
    <n v="500519"/>
    <x v="1078"/>
    <n v="221"/>
    <s v="Подразделение221"/>
    <s v="подразделение_2_уровня221"/>
    <s v="-"/>
    <s v="линейный_руководитель_1"/>
    <n v="7"/>
    <s v="нет"/>
    <m/>
    <m/>
    <m/>
    <n v="1051"/>
    <s v="Булкин Виталий Корнеевич"/>
    <n v="1048"/>
    <s v="Тимофеев Виталий Александрович"/>
    <s v="линейный_руководитель_2"/>
    <s v="Подразделение221"/>
    <x v="2"/>
    <x v="1"/>
    <n v="0"/>
    <n v="0"/>
    <s v="назначение на целевую должность"/>
    <d v="2022-09-21T00:00:00"/>
    <s v="не рассматривали"/>
    <s v="протокол-№-10.11.2021"/>
  </r>
  <r>
    <s v="Функциональное направление 13"/>
    <n v="4"/>
    <d v="2021-11-10T00:00:00"/>
    <n v="0"/>
    <s v="не защищена"/>
    <n v="500519"/>
    <x v="1078"/>
    <n v="221"/>
    <s v="Подразделение221"/>
    <s v="подразделение_2_уровня221"/>
    <s v="-"/>
    <s v="линейный_руководитель_1"/>
    <n v="7"/>
    <s v="нет"/>
    <m/>
    <m/>
    <m/>
    <n v="1051"/>
    <s v="Булкин Виталий Корнеевич"/>
    <n v="1049"/>
    <s v="Незнамов Дмитрий Владиславович"/>
    <s v="линейный_руководитель_2"/>
    <s v="Подразделение221"/>
    <x v="2"/>
    <x v="1"/>
    <n v="0"/>
    <n v="0"/>
    <s v="назначение на целевую должность"/>
    <d v="2023-02-06T00:00:00"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520"/>
    <x v="1079"/>
    <n v="221"/>
    <s v="Подразделение221"/>
    <s v="подразделение_2_уровня221"/>
    <s v="подразделение_3_уровня221"/>
    <s v="руководитель_среднего_уровня_4"/>
    <n v="7"/>
    <s v="нет"/>
    <m/>
    <m/>
    <m/>
    <n v="1052"/>
    <s v="Волков Андрей Родионович"/>
    <n v="2113"/>
    <s v="Исаев Юрий Ефремович"/>
    <s v="Специалист"/>
    <s v="Подразделение221"/>
    <x v="0"/>
    <x v="0"/>
    <n v="1"/>
    <n v="0"/>
    <m/>
    <m/>
    <s v="повышение"/>
    <s v="протокол-№-14.11.2022"/>
  </r>
  <r>
    <s v="Функциональное направление 13"/>
    <n v="4"/>
    <d v="2021-11-10T00:00:00"/>
    <n v="1"/>
    <s v="не защищена"/>
    <n v="500521"/>
    <x v="1080"/>
    <n v="221"/>
    <s v="Подразделение221"/>
    <s v="подразделение_2_уровня221"/>
    <s v="подразделение_3_уровня221"/>
    <s v="руководитель_среднего_уровня_4"/>
    <n v="7"/>
    <s v="да"/>
    <d v="2023-02-09T00:00:00"/>
    <d v="2023-06-14T00:00:00"/>
    <s v="внутр. сотр. из списка КР (учитываем)"/>
    <n v="1053"/>
    <s v="Семенов Андрей Геннадьевич"/>
    <n v="2114"/>
    <s v="Тимофеев Виталий Ефремович"/>
    <s v="Специалист"/>
    <s v="Подразделение_др1"/>
    <x v="0"/>
    <x v="0"/>
    <n v="0"/>
    <n v="0"/>
    <m/>
    <m/>
    <s v="повышение"/>
    <s v="протокол-№-14.11.2022"/>
  </r>
  <r>
    <s v="Функциональное направление 13"/>
    <n v="4"/>
    <d v="2021-11-10T00:00:00"/>
    <n v="1"/>
    <s v="не защищена"/>
    <n v="500522"/>
    <x v="1081"/>
    <n v="221"/>
    <s v="Подразделение221"/>
    <s v="подразделение_2_уровня221"/>
    <s v="подразделение_3_уровня221"/>
    <s v="руководитель_среднего_уровня_4"/>
    <n v="7"/>
    <s v="нет"/>
    <m/>
    <m/>
    <m/>
    <n v="1054"/>
    <s v="Федотов Геннадий Игнатович"/>
    <n v="1064"/>
    <s v="Коровкин Валерий Александрович"/>
    <s v="руководитель_среднего_уровня_3"/>
    <s v="Подразделение221"/>
    <x v="1"/>
    <x v="1"/>
    <n v="1"/>
    <n v="0"/>
    <s v="назначение на целевую должность"/>
    <d v="2023-01-25T00:00:00"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523"/>
    <x v="1082"/>
    <n v="221"/>
    <s v="Подразделение221"/>
    <s v="подразделение_2_уровня221"/>
    <s v="-"/>
    <s v="руководитель_среднего_уровня_2"/>
    <n v="6"/>
    <s v="нет"/>
    <m/>
    <m/>
    <m/>
    <n v="1055"/>
    <s v="Коростелев Сидор Александрович"/>
    <n v="1099"/>
    <s v="Незнамов Родион Кондратьевич"/>
    <s v="линейный_руководитель_2"/>
    <s v="Подразделение221"/>
    <x v="0"/>
    <x v="0"/>
    <n v="1"/>
    <n v="0"/>
    <m/>
    <m/>
    <s v="без изменений"/>
    <s v="протокол-№-05.07.2022"/>
  </r>
  <r>
    <s v="Функциональное направление 13"/>
    <n v="4"/>
    <d v="2021-11-10T00:00:00"/>
    <n v="0"/>
    <s v="не защищена"/>
    <n v="500523"/>
    <x v="1082"/>
    <n v="221"/>
    <s v="Подразделение221"/>
    <s v="подразделение_2_уровня221"/>
    <s v="-"/>
    <s v="руководитель_среднего_уровня_2"/>
    <n v="6"/>
    <s v="нет"/>
    <m/>
    <m/>
    <m/>
    <n v="1055"/>
    <s v="Коростелев Сидор Александрович"/>
    <n v="2115"/>
    <s v="Ветров Савелий Ефремович"/>
    <s v="линейный_руководитель_4"/>
    <s v="Подразделение221"/>
    <x v="2"/>
    <x v="0"/>
    <n v="1"/>
    <n v="0"/>
    <m/>
    <m/>
    <s v="не рассматривали"/>
    <s v="протокол-№-05.07.2022"/>
  </r>
  <r>
    <s v="Функциональное направление 13"/>
    <n v="4"/>
    <d v="2021-11-10T00:00:00"/>
    <n v="1"/>
    <s v="не защищена"/>
    <n v="500524"/>
    <x v="1083"/>
    <n v="221"/>
    <s v="Подразделение221"/>
    <s v="подразделение_2_уровня221"/>
    <s v="-"/>
    <s v="линейный_руководитель_1"/>
    <n v="7"/>
    <s v="да"/>
    <d v="2022-12-06T00:00:00"/>
    <d v="2022-12-16T00:00:00"/>
    <s v="из резерва (учитываем)"/>
    <n v="1056"/>
    <s v="Самойлов Арсений Богданович"/>
    <n v="1056"/>
    <s v="Самойлов Арсений Богданович"/>
    <s v="линейный_руководитель_2"/>
    <s v="Подразделение221"/>
    <x v="1"/>
    <x v="1"/>
    <n v="1"/>
    <n v="1"/>
    <s v="назначение на целевую должность"/>
    <d v="2022-12-16T00:00:00"/>
    <s v="повышение"/>
    <s v="протокол-№-14.11.2022"/>
  </r>
  <r>
    <s v="Функциональное направление 13"/>
    <n v="4"/>
    <d v="2021-11-10T00:00:00"/>
    <n v="1"/>
    <s v="не защищена"/>
    <n v="500524"/>
    <x v="1084"/>
    <n v="221"/>
    <s v="Подразделение221"/>
    <s v="подразделение_2_уровня221"/>
    <s v="-"/>
    <s v="линейный_руководитель_1"/>
    <n v="7"/>
    <s v="нет"/>
    <m/>
    <m/>
    <m/>
    <n v="1057"/>
    <s v="Филиппов Потап Александрович"/>
    <n v="1056"/>
    <s v="Самойлов Арсений Богданович"/>
    <s v="линейный_руководитель_2"/>
    <s v="Подразделение221"/>
    <x v="1"/>
    <x v="1"/>
    <n v="0"/>
    <n v="0"/>
    <s v="назначение на целевую должность"/>
    <d v="2022-12-16T00:00:00"/>
    <s v="повышение"/>
    <s v="протокол-№-14.11.2022"/>
  </r>
  <r>
    <s v="Функциональное направление 13"/>
    <n v="4"/>
    <d v="2021-11-10T00:00:00"/>
    <n v="1"/>
    <s v="не защищена"/>
    <n v="500524"/>
    <x v="1085"/>
    <n v="221"/>
    <s v="Подразделение221"/>
    <s v="подразделение_2_уровня221"/>
    <s v="-"/>
    <s v="линейный_руководитель_1"/>
    <n v="7"/>
    <s v="нет"/>
    <m/>
    <m/>
    <m/>
    <n v="1058"/>
    <s v="Потапов Борис Михайлович"/>
    <n v="1056"/>
    <s v="Самойлов Арсений Богданович"/>
    <s v="линейный_руководитель_2"/>
    <s v="Подразделение221"/>
    <x v="1"/>
    <x v="1"/>
    <n v="0"/>
    <n v="0"/>
    <s v="назначение на целевую должность"/>
    <d v="2022-12-16T00:00:00"/>
    <s v="повышение"/>
    <s v="протокол-№-14.11.2022"/>
  </r>
  <r>
    <s v="Функциональное направление 13"/>
    <n v="4"/>
    <d v="2021-11-10T00:00:00"/>
    <n v="1"/>
    <s v="не защищена"/>
    <n v="500524"/>
    <x v="1086"/>
    <n v="221"/>
    <s v="Подразделение221"/>
    <s v="подразделение_2_уровня221"/>
    <s v="-"/>
    <s v="линейный_руководитель_1"/>
    <n v="7"/>
    <s v="нет"/>
    <m/>
    <m/>
    <m/>
    <n v="1059"/>
    <s v="Сорокин Дмитрий Венедиктович"/>
    <n v="1056"/>
    <s v="Самойлов Арсений Богданович"/>
    <s v="линейный_руководитель_2"/>
    <s v="Подразделение221"/>
    <x v="1"/>
    <x v="1"/>
    <n v="0"/>
    <n v="0"/>
    <s v="назначение на целевую должность"/>
    <d v="2022-12-16T00:00:00"/>
    <s v="повышение"/>
    <s v="протокол-№-14.11.2022"/>
  </r>
  <r>
    <s v="Функциональное направление 13"/>
    <n v="4"/>
    <d v="2021-11-10T00:00:00"/>
    <n v="1"/>
    <s v="не защищена"/>
    <n v="500525"/>
    <x v="1087"/>
    <n v="221"/>
    <s v="Подразделение221"/>
    <s v="подразделение_2_уровня221"/>
    <s v="-"/>
    <s v="руководитель_среднего_уровня_2"/>
    <n v="6"/>
    <s v="нет"/>
    <m/>
    <m/>
    <m/>
    <n v="1060"/>
    <s v="Синицин Данил Венедиктович"/>
    <n v="2116"/>
    <s v="Ветров Савелий Ефремович"/>
    <s v="функциональный_руководитель_1"/>
    <s v="Подразделение221"/>
    <x v="1"/>
    <x v="0"/>
    <n v="0"/>
    <n v="0"/>
    <m/>
    <m/>
    <s v="без изменений"/>
    <s v="протокол-№-05.07.2022"/>
  </r>
  <r>
    <s v="Функциональное направление 13"/>
    <n v="4"/>
    <d v="2021-11-10T00:00:00"/>
    <n v="0"/>
    <s v="не защищена"/>
    <n v="500525"/>
    <x v="1087"/>
    <n v="221"/>
    <s v="Подразделение221"/>
    <s v="подразделение_2_уровня221"/>
    <s v="-"/>
    <s v="руководитель_среднего_уровня_2"/>
    <n v="6"/>
    <s v="нет"/>
    <m/>
    <m/>
    <m/>
    <n v="1060"/>
    <s v="Синицин Данил Венедиктович"/>
    <n v="2117"/>
    <s v="Ветров Матвей Ефремович"/>
    <s v="функциональный_руководитель_1"/>
    <s v="Подразделение_др23"/>
    <x v="2"/>
    <x v="0"/>
    <n v="1"/>
    <n v="0"/>
    <m/>
    <m/>
    <s v="без изменений"/>
    <s v="протокол-№-05.07.2022"/>
  </r>
  <r>
    <s v="Функциональное направление 13"/>
    <n v="4"/>
    <d v="2021-11-10T00:00:00"/>
    <n v="1"/>
    <s v="не защищена"/>
    <n v="500526"/>
    <x v="1088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1"/>
    <s v="Брежнев Сергей Борисович"/>
    <n v="2118"/>
    <s v="Ветров Савелий Михайлович"/>
    <s v="Специалист"/>
    <s v="Подразделение221"/>
    <x v="2"/>
    <x v="0"/>
    <n v="1"/>
    <n v="0"/>
    <m/>
    <m/>
    <s v="повышение"/>
    <s v="протокол-№-14.11.2022"/>
  </r>
  <r>
    <s v="Функциональное направление 13"/>
    <n v="4"/>
    <d v="2022-11-14T00:00:00"/>
    <n v="0"/>
    <s v="не защищена"/>
    <n v="500526"/>
    <x v="1088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1"/>
    <s v="Брежнев Сергей Борисович"/>
    <n v="2119"/>
    <s v="Дмитриев Савелий Александрович"/>
    <s v="Специалист"/>
    <s v="Подразделение221"/>
    <x v="2"/>
    <x v="0"/>
    <n v="1"/>
    <n v="0"/>
    <m/>
    <m/>
    <s v="не рассматривали"/>
    <s v="протокол-№-14.11.2022"/>
  </r>
  <r>
    <s v="Функциональное направление 13"/>
    <n v="4"/>
    <d v="2021-11-10T00:00:00"/>
    <n v="0"/>
    <s v="не защищена"/>
    <n v="500526"/>
    <x v="1088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1"/>
    <s v="Брежнев Сергей Борисович"/>
    <n v="1062"/>
    <s v="Русланов Герасим Константинович"/>
    <s v="руководитель_среднего_уровня_3"/>
    <s v="Подразделение221"/>
    <x v="2"/>
    <x v="1"/>
    <n v="1"/>
    <n v="0"/>
    <s v="назначение на целевую должность"/>
    <d v="2022-09-02T00:00:00"/>
    <s v="исключение"/>
    <s v="протокол-№-14.11.2022"/>
  </r>
  <r>
    <s v="Функциональное направление 13"/>
    <n v="4"/>
    <d v="2021-11-10T00:00:00"/>
    <n v="0"/>
    <s v="не защищена"/>
    <n v="500526"/>
    <x v="1088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1"/>
    <s v="Брежнев Сергей Борисович"/>
    <n v="1064"/>
    <s v="Коровкин Валерий Александрович"/>
    <s v="руководитель_среднего_уровня_3"/>
    <s v="Подразделение221"/>
    <x v="1"/>
    <x v="1"/>
    <n v="1"/>
    <n v="0"/>
    <s v="назначение на целевую должность"/>
    <d v="2023-01-25T00:00:00"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526"/>
    <x v="1089"/>
    <n v="221"/>
    <s v="Подразделение221"/>
    <s v="подразделение_2_уровня221"/>
    <s v="-"/>
    <s v="руководитель_среднего_уровня_3"/>
    <n v="7"/>
    <s v="да"/>
    <d v="2022-08-08T00:00:00"/>
    <d v="2022-09-02T00:00:00"/>
    <s v="из резерва (учитываем)"/>
    <n v="1062"/>
    <s v="Русланов Герасим Константинович"/>
    <n v="2118"/>
    <s v="Ветров Савелий Михайлович"/>
    <s v="Специалист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2-11-14T00:00:00"/>
    <n v="0"/>
    <s v="не защищена"/>
    <n v="500526"/>
    <x v="1089"/>
    <n v="221"/>
    <s v="Подразделение221"/>
    <s v="подразделение_2_уровня221"/>
    <s v="-"/>
    <s v="руководитель_среднего_уровня_3"/>
    <n v="7"/>
    <s v="да"/>
    <d v="2022-08-08T00:00:00"/>
    <d v="2022-09-02T00:00:00"/>
    <s v="из резерва (учитываем)"/>
    <n v="1062"/>
    <s v="Русланов Герасим Константинович"/>
    <n v="2119"/>
    <s v="Дмитриев Савелий Александрович"/>
    <s v="Специалист"/>
    <s v="Подразделение221"/>
    <x v="2"/>
    <x v="0"/>
    <n v="0"/>
    <n v="0"/>
    <m/>
    <m/>
    <s v="не рассматривали"/>
    <s v="протокол-№-14.11.2022"/>
  </r>
  <r>
    <s v="Функциональное направление 13"/>
    <n v="4"/>
    <d v="2021-11-10T00:00:00"/>
    <n v="0"/>
    <s v="не защищена"/>
    <n v="500526"/>
    <x v="1089"/>
    <n v="221"/>
    <s v="Подразделение221"/>
    <s v="подразделение_2_уровня221"/>
    <s v="-"/>
    <s v="руководитель_среднего_уровня_3"/>
    <n v="7"/>
    <s v="да"/>
    <d v="2022-08-08T00:00:00"/>
    <d v="2022-09-02T00:00:00"/>
    <s v="из резерва (учитываем)"/>
    <n v="1062"/>
    <s v="Русланов Герасим Константинович"/>
    <n v="1062"/>
    <s v="Русланов Герасим Константинович"/>
    <s v="руководитель_среднего_уровня_3"/>
    <s v="Подразделение221"/>
    <x v="2"/>
    <x v="1"/>
    <n v="0"/>
    <n v="1"/>
    <s v="назначение на целевую должность"/>
    <d v="2022-09-02T00:00:00"/>
    <s v="исключение"/>
    <s v="протокол-№-14.11.2022"/>
  </r>
  <r>
    <s v="Функциональное направление 13"/>
    <n v="4"/>
    <d v="2021-11-10T00:00:00"/>
    <n v="0"/>
    <s v="не защищена"/>
    <n v="500526"/>
    <x v="1089"/>
    <n v="221"/>
    <s v="Подразделение221"/>
    <s v="подразделение_2_уровня221"/>
    <s v="-"/>
    <s v="руководитель_среднего_уровня_3"/>
    <n v="7"/>
    <s v="да"/>
    <d v="2022-08-08T00:00:00"/>
    <d v="2022-09-02T00:00:00"/>
    <s v="из резерва (учитываем)"/>
    <n v="1062"/>
    <s v="Русланов Герасим Константинович"/>
    <n v="1064"/>
    <s v="Коровкин Валерий Александрович"/>
    <s v="руководитель_среднего_уровня_3"/>
    <s v="Подразделение221"/>
    <x v="1"/>
    <x v="1"/>
    <n v="0"/>
    <n v="0"/>
    <s v="назначение на целевую должность"/>
    <d v="2023-01-25T00:00:00"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526"/>
    <x v="1090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3"/>
    <s v="Жбанов Виктор Иванович"/>
    <n v="2118"/>
    <s v="Ветров Савелий Михайлович"/>
    <s v="Специалист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2-11-14T00:00:00"/>
    <n v="0"/>
    <s v="не защищена"/>
    <n v="500526"/>
    <x v="1090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3"/>
    <s v="Жбанов Виктор Иванович"/>
    <n v="2119"/>
    <s v="Дмитриев Савелий Александрович"/>
    <s v="Специалист"/>
    <s v="Подразделение221"/>
    <x v="2"/>
    <x v="0"/>
    <n v="0"/>
    <n v="0"/>
    <m/>
    <m/>
    <s v="не рассматривали"/>
    <s v="протокол-№-14.11.2022"/>
  </r>
  <r>
    <s v="Функциональное направление 13"/>
    <n v="4"/>
    <d v="2021-11-10T00:00:00"/>
    <n v="0"/>
    <s v="не защищена"/>
    <n v="500526"/>
    <x v="1090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3"/>
    <s v="Жбанов Виктор Иванович"/>
    <n v="1062"/>
    <s v="Русланов Герасим Константинович"/>
    <s v="руководитель_среднего_уровня_3"/>
    <s v="Подразделение221"/>
    <x v="2"/>
    <x v="1"/>
    <n v="0"/>
    <n v="0"/>
    <s v="назначение на целевую должность"/>
    <d v="2022-09-02T00:00:00"/>
    <s v="исключение"/>
    <s v="протокол-№-14.11.2022"/>
  </r>
  <r>
    <s v="Функциональное направление 13"/>
    <n v="4"/>
    <d v="2021-11-10T00:00:00"/>
    <n v="0"/>
    <s v="не защищена"/>
    <n v="500526"/>
    <x v="1090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3"/>
    <s v="Жбанов Виктор Иванович"/>
    <n v="1064"/>
    <s v="Коровкин Валерий Александрович"/>
    <s v="руководитель_среднего_уровня_3"/>
    <s v="Подразделение221"/>
    <x v="1"/>
    <x v="1"/>
    <n v="0"/>
    <n v="0"/>
    <s v="назначение на целевую должность"/>
    <d v="2023-01-25T00:00:00"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526"/>
    <x v="1091"/>
    <n v="221"/>
    <s v="Подразделение221"/>
    <s v="подразделение_2_уровня221"/>
    <s v="-"/>
    <s v="руководитель_среднего_уровня_3"/>
    <n v="7"/>
    <s v="да"/>
    <d v="2023-01-16T00:00:00"/>
    <d v="2023-01-25T00:00:00"/>
    <s v="из резерва (учитываем)"/>
    <n v="1064"/>
    <s v="Коровкин Валерий Александрович"/>
    <n v="2118"/>
    <s v="Ветров Савелий Михайлович"/>
    <s v="Специалист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2-11-14T00:00:00"/>
    <n v="0"/>
    <s v="не защищена"/>
    <n v="500526"/>
    <x v="1091"/>
    <n v="221"/>
    <s v="Подразделение221"/>
    <s v="подразделение_2_уровня221"/>
    <s v="-"/>
    <s v="руководитель_среднего_уровня_3"/>
    <n v="7"/>
    <s v="да"/>
    <d v="2023-01-16T00:00:00"/>
    <d v="2023-01-25T00:00:00"/>
    <s v="из резерва (учитываем)"/>
    <n v="1064"/>
    <s v="Коровкин Валерий Александрович"/>
    <n v="2119"/>
    <s v="Дмитриев Савелий Александрович"/>
    <s v="Специалист"/>
    <s v="Подразделение221"/>
    <x v="2"/>
    <x v="0"/>
    <n v="0"/>
    <n v="0"/>
    <m/>
    <m/>
    <s v="не рассматривали"/>
    <s v="протокол-№-14.11.2022"/>
  </r>
  <r>
    <s v="Функциональное направление 13"/>
    <n v="4"/>
    <d v="2021-11-10T00:00:00"/>
    <n v="0"/>
    <s v="не защищена"/>
    <n v="500526"/>
    <x v="1091"/>
    <n v="221"/>
    <s v="Подразделение221"/>
    <s v="подразделение_2_уровня221"/>
    <s v="-"/>
    <s v="руководитель_среднего_уровня_3"/>
    <n v="7"/>
    <s v="да"/>
    <d v="2023-01-16T00:00:00"/>
    <d v="2023-01-25T00:00:00"/>
    <s v="из резерва (учитываем)"/>
    <n v="1064"/>
    <s v="Коровкин Валерий Александрович"/>
    <n v="1062"/>
    <s v="Русланов Герасим Константинович"/>
    <s v="руководитель_среднего_уровня_3"/>
    <s v="Подразделение221"/>
    <x v="2"/>
    <x v="1"/>
    <n v="0"/>
    <n v="0"/>
    <s v="назначение на целевую должность"/>
    <d v="2022-09-02T00:00:00"/>
    <s v="исключение"/>
    <s v="протокол-№-14.11.2022"/>
  </r>
  <r>
    <s v="Функциональное направление 13"/>
    <n v="4"/>
    <d v="2021-11-10T00:00:00"/>
    <n v="0"/>
    <s v="не защищена"/>
    <n v="500526"/>
    <x v="1091"/>
    <n v="221"/>
    <s v="Подразделение221"/>
    <s v="подразделение_2_уровня221"/>
    <s v="-"/>
    <s v="руководитель_среднего_уровня_3"/>
    <n v="7"/>
    <s v="да"/>
    <d v="2023-01-16T00:00:00"/>
    <d v="2023-01-25T00:00:00"/>
    <s v="из резерва (учитываем)"/>
    <n v="1064"/>
    <s v="Коровкин Валерий Александрович"/>
    <n v="1064"/>
    <s v="Коровкин Валерий Александрович"/>
    <s v="руководитель_среднего_уровня_3"/>
    <s v="Подразделение221"/>
    <x v="1"/>
    <x v="1"/>
    <n v="0"/>
    <n v="1"/>
    <s v="назначение на целевую должность"/>
    <d v="2023-01-25T00:00:00"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526"/>
    <x v="1092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5"/>
    <s v="Владимиров Константин Савельевич"/>
    <n v="2118"/>
    <s v="Ветров Савелий Михайлович"/>
    <s v="Специалист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2-11-14T00:00:00"/>
    <n v="0"/>
    <s v="не защищена"/>
    <n v="500526"/>
    <x v="1092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5"/>
    <s v="Владимиров Константин Савельевич"/>
    <n v="2119"/>
    <s v="Дмитриев Савелий Александрович"/>
    <s v="Специалист"/>
    <s v="Подразделение221"/>
    <x v="2"/>
    <x v="0"/>
    <n v="0"/>
    <n v="0"/>
    <m/>
    <m/>
    <s v="не рассматривали"/>
    <s v="протокол-№-14.11.2022"/>
  </r>
  <r>
    <s v="Функциональное направление 13"/>
    <n v="4"/>
    <d v="2021-11-10T00:00:00"/>
    <n v="0"/>
    <s v="не защищена"/>
    <n v="500526"/>
    <x v="1092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5"/>
    <s v="Владимиров Константин Савельевич"/>
    <n v="1062"/>
    <s v="Русланов Герасим Константинович"/>
    <s v="руководитель_среднего_уровня_3"/>
    <s v="Подразделение221"/>
    <x v="2"/>
    <x v="1"/>
    <n v="0"/>
    <n v="0"/>
    <s v="назначение на целевую должность"/>
    <d v="2022-09-02T00:00:00"/>
    <s v="исключение"/>
    <s v="протокол-№-14.11.2022"/>
  </r>
  <r>
    <s v="Функциональное направление 13"/>
    <n v="4"/>
    <d v="2021-11-10T00:00:00"/>
    <n v="0"/>
    <s v="не защищена"/>
    <n v="500526"/>
    <x v="1092"/>
    <n v="221"/>
    <s v="Подразделение221"/>
    <s v="подразделение_2_уровня221"/>
    <s v="-"/>
    <s v="руководитель_среднего_уровня_3"/>
    <n v="7"/>
    <s v="нет"/>
    <m/>
    <m/>
    <m/>
    <n v="1065"/>
    <s v="Владимиров Константин Савельевич"/>
    <n v="1064"/>
    <s v="Коровкин Валерий Александрович"/>
    <s v="руководитель_среднего_уровня_3"/>
    <s v="Подразделение221"/>
    <x v="1"/>
    <x v="1"/>
    <n v="0"/>
    <n v="0"/>
    <s v="назначение на целевую должность"/>
    <d v="2023-01-25T00:00:00"/>
    <s v="не рассматривали"/>
    <s v="протокол-№-10.11.2021"/>
  </r>
  <r>
    <s v="Функциональное направление 13"/>
    <n v="3"/>
    <d v="2017-02-21T00:00:00"/>
    <n v="1"/>
    <s v="не защищена"/>
    <n v="500209"/>
    <x v="1093"/>
    <n v="221"/>
    <s v="Подразделение221"/>
    <s v="подразделение_2_уровня221"/>
    <s v="-"/>
    <s v="ТОП_руководитель_2"/>
    <n v="5"/>
    <s v="нет"/>
    <m/>
    <m/>
    <m/>
    <n v="1066"/>
    <s v="Игнатьев Борис Денисович"/>
    <n v="1067"/>
    <s v="Семенов Александр Романович"/>
    <s v="руководитель_среднего_уровня_2"/>
    <s v="Подразделение221"/>
    <x v="1"/>
    <x v="0"/>
    <n v="1"/>
    <n v="0"/>
    <m/>
    <m/>
    <s v="повышение"/>
    <s v="протокол-№-01.07.2022"/>
  </r>
  <r>
    <s v="Функциональное направление 13"/>
    <n v="3"/>
    <d v="2020-01-25T00:00:00"/>
    <n v="0"/>
    <s v="не защищена"/>
    <n v="500209"/>
    <x v="1093"/>
    <n v="221"/>
    <s v="Подразделение221"/>
    <s v="подразделение_2_уровня221"/>
    <s v="-"/>
    <s v="ТОП_руководитель_2"/>
    <n v="5"/>
    <s v="нет"/>
    <m/>
    <m/>
    <m/>
    <n v="1066"/>
    <s v="Игнатьев Борис Денисович"/>
    <n v="2116"/>
    <s v="Ветров Савелий Ефремович"/>
    <s v="функциональный_руководитель_1"/>
    <s v="Подразделение221"/>
    <x v="2"/>
    <x v="0"/>
    <n v="1"/>
    <n v="0"/>
    <m/>
    <m/>
    <s v="без изменений"/>
    <s v="протокол-№-01.07.2022"/>
  </r>
  <r>
    <s v="Функциональное направление 13"/>
    <n v="3"/>
    <d v="2020-01-25T00:00:00"/>
    <n v="0"/>
    <s v="не защищена"/>
    <n v="500209"/>
    <x v="1093"/>
    <n v="221"/>
    <s v="Подразделение221"/>
    <s v="подразделение_2_уровня221"/>
    <s v="-"/>
    <s v="ТОП_руководитель_2"/>
    <n v="5"/>
    <s v="нет"/>
    <m/>
    <m/>
    <m/>
    <n v="1066"/>
    <s v="Игнатьев Борис Денисович"/>
    <n v="1060"/>
    <s v="Синицин Данил Венедиктович"/>
    <s v="руководитель_среднего_уровня_2"/>
    <s v="Подразделение221"/>
    <x v="2"/>
    <x v="0"/>
    <n v="1"/>
    <n v="0"/>
    <m/>
    <m/>
    <s v="без изменений"/>
    <s v="протокол-№-01.07.2022"/>
  </r>
  <r>
    <s v="Функциональное направление 13"/>
    <n v="3"/>
    <d v="2017-02-21T00:00:00"/>
    <n v="0"/>
    <s v="не защищена"/>
    <n v="500209"/>
    <x v="1093"/>
    <n v="221"/>
    <s v="Подразделение221"/>
    <s v="подразделение_2_уровня221"/>
    <s v="-"/>
    <s v="ТОП_руководитель_2"/>
    <n v="5"/>
    <s v="нет"/>
    <m/>
    <m/>
    <m/>
    <n v="1066"/>
    <s v="Игнатьев Борис Денисович"/>
    <n v="2120"/>
    <s v="Степанов Савелий Михайлович"/>
    <s v="линейный_руководитель_2"/>
    <s v="Подразделение221"/>
    <x v="1"/>
    <x v="2"/>
    <n v="1"/>
    <n v="0"/>
    <s v="назначение на равнозначную должность"/>
    <d v="2021-09-10T00:00:00"/>
    <s v="без изменений"/>
    <s v="протокол-№-23.06.2020"/>
  </r>
  <r>
    <s v="Функциональное направление 13"/>
    <n v="4"/>
    <d v="2021-11-10T00:00:00"/>
    <n v="1"/>
    <s v="не защищена"/>
    <n v="500210"/>
    <x v="1094"/>
    <n v="221"/>
    <s v="Подразделение221"/>
    <s v="подразделение_2_уровня221"/>
    <s v="-"/>
    <s v="руководитель_среднего_уровня_2"/>
    <n v="6"/>
    <s v="нет"/>
    <m/>
    <m/>
    <m/>
    <n v="1067"/>
    <s v="Семенов Александр Романович"/>
    <n v="1045"/>
    <s v="Потапов Трофим Еремеевич"/>
    <s v="функциональный_руководитель_1"/>
    <s v="Подразделение221"/>
    <x v="1"/>
    <x v="2"/>
    <n v="1"/>
    <n v="0"/>
    <s v="назначение на равнозначную должность"/>
    <d v="2023-06-13T00:00:00"/>
    <s v="без изменений"/>
    <s v="протокол-№-05.07.2022"/>
  </r>
  <r>
    <s v="Функциональное направление 13"/>
    <n v="4"/>
    <d v="2021-11-10T00:00:00"/>
    <n v="0"/>
    <s v="не защищена"/>
    <n v="500210"/>
    <x v="1094"/>
    <n v="221"/>
    <s v="Подразделение221"/>
    <s v="подразделение_2_уровня221"/>
    <s v="-"/>
    <s v="руководитель_среднего_уровня_2"/>
    <n v="6"/>
    <s v="нет"/>
    <m/>
    <m/>
    <m/>
    <n v="1067"/>
    <s v="Семенов Александр Романович"/>
    <n v="2121"/>
    <s v="Ветров Савелий Ефремович"/>
    <s v="функциональный_руководитель_1"/>
    <s v="Подразделение221"/>
    <x v="1"/>
    <x v="0"/>
    <n v="0"/>
    <n v="0"/>
    <m/>
    <m/>
    <s v="без изменений"/>
    <s v="протокол-№-05.07.2022"/>
  </r>
  <r>
    <s v="Функциональное направление 13"/>
    <n v="4"/>
    <d v="2021-11-10T00:00:00"/>
    <n v="1"/>
    <s v="не защищена"/>
    <n v="500211"/>
    <x v="1095"/>
    <n v="221"/>
    <s v="Подразделение221"/>
    <s v="подразделение_2_уровня221"/>
    <s v="-"/>
    <s v="линейный_руководитель_1"/>
    <n v="7"/>
    <s v="нет"/>
    <m/>
    <m/>
    <m/>
    <n v="1068"/>
    <s v="Ветров Денис Иванович"/>
    <n v="2122"/>
    <s v="Исаев Савелий Ефремович"/>
    <s v="Рабочий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2-11-14T00:00:00"/>
    <n v="0"/>
    <s v="не защищена"/>
    <n v="500211"/>
    <x v="1095"/>
    <n v="221"/>
    <s v="Подразделение221"/>
    <s v="подразделение_2_уровня221"/>
    <s v="-"/>
    <s v="линейный_руководитель_1"/>
    <n v="7"/>
    <s v="нет"/>
    <m/>
    <m/>
    <m/>
    <n v="1068"/>
    <s v="Ветров Денис Иванович"/>
    <n v="2123"/>
    <s v="Тимофеев Савелий Ефремович"/>
    <s v="Рабочий"/>
    <s v="Подразделение221"/>
    <x v="0"/>
    <x v="0"/>
    <n v="0"/>
    <n v="0"/>
    <m/>
    <m/>
    <s v="не рассматривали"/>
    <s v="протокол-№-14.11.2022"/>
  </r>
  <r>
    <s v="Функциональное направление 13"/>
    <n v="4"/>
    <d v="2021-11-10T00:00:00"/>
    <n v="1"/>
    <s v="не защищена"/>
    <n v="500211"/>
    <x v="1096"/>
    <n v="221"/>
    <s v="Подразделение221"/>
    <s v="подразделение_2_уровня221"/>
    <s v="-"/>
    <s v="линейный_руководитель_1"/>
    <n v="7"/>
    <s v="нет"/>
    <m/>
    <m/>
    <m/>
    <n v="1069"/>
    <s v="Ветров Савелий Игнатович"/>
    <n v="2122"/>
    <s v="Исаев Савелий Ефремович"/>
    <s v="Рабочий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2-11-14T00:00:00"/>
    <n v="0"/>
    <s v="не защищена"/>
    <n v="500211"/>
    <x v="1096"/>
    <n v="221"/>
    <s v="Подразделение221"/>
    <s v="подразделение_2_уровня221"/>
    <s v="-"/>
    <s v="линейный_руководитель_1"/>
    <n v="7"/>
    <s v="нет"/>
    <m/>
    <m/>
    <m/>
    <n v="1069"/>
    <s v="Ветров Савелий Игнатович"/>
    <n v="2123"/>
    <s v="Тимофеев Савелий Ефремович"/>
    <s v="Рабочий"/>
    <s v="Подразделение221"/>
    <x v="0"/>
    <x v="0"/>
    <n v="0"/>
    <n v="0"/>
    <m/>
    <m/>
    <s v="не рассматривали"/>
    <s v="протокол-№-14.11.2022"/>
  </r>
  <r>
    <s v="Функциональное направление 13"/>
    <n v="4"/>
    <d v="2021-11-10T00:00:00"/>
    <n v="1"/>
    <s v="не защищена"/>
    <n v="500211"/>
    <x v="1097"/>
    <n v="221"/>
    <s v="Подразделение221"/>
    <s v="подразделение_2_уровня221"/>
    <s v="-"/>
    <s v="линейный_руководитель_1"/>
    <n v="7"/>
    <s v="нет"/>
    <m/>
    <m/>
    <m/>
    <n v="1070"/>
    <s v="Дорофеев Андрей Ильич"/>
    <n v="2122"/>
    <s v="Исаев Савелий Ефремович"/>
    <s v="Рабочий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2-11-14T00:00:00"/>
    <n v="0"/>
    <s v="не защищена"/>
    <n v="500211"/>
    <x v="1097"/>
    <n v="221"/>
    <s v="Подразделение221"/>
    <s v="подразделение_2_уровня221"/>
    <s v="-"/>
    <s v="линейный_руководитель_1"/>
    <n v="7"/>
    <s v="нет"/>
    <m/>
    <m/>
    <m/>
    <n v="1070"/>
    <s v="Дорофеев Андрей Ильич"/>
    <n v="2123"/>
    <s v="Тимофеев Савелий Ефремович"/>
    <s v="Рабочий"/>
    <s v="Подразделение221"/>
    <x v="0"/>
    <x v="0"/>
    <n v="0"/>
    <n v="0"/>
    <m/>
    <m/>
    <s v="не рассматривали"/>
    <s v="протокол-№-14.11.2022"/>
  </r>
  <r>
    <s v="Функциональное направление 13"/>
    <n v="4"/>
    <d v="2021-11-10T00:00:00"/>
    <n v="1"/>
    <s v="не защищена"/>
    <n v="500211"/>
    <x v="1098"/>
    <n v="221"/>
    <s v="Подразделение221"/>
    <s v="подразделение_2_уровня221"/>
    <s v="-"/>
    <s v="линейный_руководитель_1"/>
    <n v="7"/>
    <s v="нет"/>
    <m/>
    <m/>
    <m/>
    <n v="1071"/>
    <s v="Кирюхин Тимофей Денисович"/>
    <n v="2122"/>
    <s v="Исаев Савелий Ефремович"/>
    <s v="Рабочий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2-11-14T00:00:00"/>
    <n v="0"/>
    <s v="не защищена"/>
    <n v="500211"/>
    <x v="1098"/>
    <n v="221"/>
    <s v="Подразделение221"/>
    <s v="подразделение_2_уровня221"/>
    <s v="-"/>
    <s v="линейный_руководитель_1"/>
    <n v="7"/>
    <s v="нет"/>
    <m/>
    <m/>
    <m/>
    <n v="1071"/>
    <s v="Кирюхин Тимофей Денисович"/>
    <n v="2123"/>
    <s v="Тимофеев Савелий Ефремович"/>
    <s v="Рабочий"/>
    <s v="Подразделение221"/>
    <x v="0"/>
    <x v="0"/>
    <n v="0"/>
    <n v="0"/>
    <m/>
    <m/>
    <s v="не рассматривали"/>
    <s v="протокол-№-14.11.2022"/>
  </r>
  <r>
    <s v="Функциональное направление 13"/>
    <n v="4"/>
    <d v="2021-11-10T00:00:00"/>
    <n v="1"/>
    <s v="не защищена"/>
    <n v="500211"/>
    <x v="1099"/>
    <n v="221"/>
    <s v="Подразделение221"/>
    <s v="подразделение_2_уровня221"/>
    <s v="-"/>
    <s v="линейный_руководитель_1"/>
    <n v="7"/>
    <s v="нет"/>
    <m/>
    <m/>
    <m/>
    <n v="1072"/>
    <s v="Зверев Герасим Александрович"/>
    <n v="2122"/>
    <s v="Исаев Савелий Ефремович"/>
    <s v="Рабочий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2-11-14T00:00:00"/>
    <n v="0"/>
    <s v="не защищена"/>
    <n v="500211"/>
    <x v="1099"/>
    <n v="221"/>
    <s v="Подразделение221"/>
    <s v="подразделение_2_уровня221"/>
    <s v="-"/>
    <s v="линейный_руководитель_1"/>
    <n v="7"/>
    <s v="нет"/>
    <m/>
    <m/>
    <m/>
    <n v="1072"/>
    <s v="Зверев Герасим Александрович"/>
    <n v="2123"/>
    <s v="Тимофеев Савелий Ефремович"/>
    <s v="Рабочий"/>
    <s v="Подразделение221"/>
    <x v="0"/>
    <x v="0"/>
    <n v="0"/>
    <n v="0"/>
    <m/>
    <m/>
    <s v="не рассматривали"/>
    <s v="протокол-№-14.11.2022"/>
  </r>
  <r>
    <s v="Функциональное направление 13"/>
    <n v="4"/>
    <d v="2021-11-10T00:00:00"/>
    <n v="1"/>
    <s v="не защищена"/>
    <n v="500212"/>
    <x v="1100"/>
    <n v="221"/>
    <s v="Подразделение221"/>
    <s v="подразделение_2_уровня221"/>
    <s v="-"/>
    <s v="линейный_руководитель_2"/>
    <n v="7"/>
    <s v="нет"/>
    <m/>
    <m/>
    <m/>
    <n v="1073"/>
    <s v="Игнатьев Игнат Владиславович"/>
    <n v="2124"/>
    <s v="Кириллов Савелий Семенович"/>
    <s v="Рабочий"/>
    <s v="Подразделение221"/>
    <x v="2"/>
    <x v="0"/>
    <n v="1"/>
    <n v="0"/>
    <m/>
    <m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214"/>
    <x v="1101"/>
    <n v="221"/>
    <s v="Подразделение221"/>
    <s v="подразделение_2_уровня221"/>
    <s v="-"/>
    <s v="руководитель_среднего_уровня_2"/>
    <n v="6"/>
    <s v="да"/>
    <d v="2022-10-03T00:00:00"/>
    <d v="2023-01-23T00:00:00"/>
    <s v="из резерва (учитываем)"/>
    <n v="1074"/>
    <s v="Гуськов Антон Геннадьевич"/>
    <n v="1074"/>
    <s v="Гуськов Антон Геннадьевич"/>
    <s v="линейный_руководитель_2"/>
    <s v="Подразделение221"/>
    <x v="2"/>
    <x v="1"/>
    <n v="1"/>
    <n v="1"/>
    <s v="назначение на целевую должность"/>
    <d v="2023-01-23T00:00:00"/>
    <s v="без изменений"/>
    <s v="протокол-№-05.07.2022"/>
  </r>
  <r>
    <s v="Функциональное направление 13"/>
    <n v="4"/>
    <d v="2021-11-10T00:00:00"/>
    <n v="1"/>
    <s v="не защищена"/>
    <n v="500215"/>
    <x v="1102"/>
    <n v="221"/>
    <s v="Подразделение221"/>
    <s v="подразделение_2_уровня221"/>
    <s v="-"/>
    <s v="линейный_руководитель_1"/>
    <n v="7"/>
    <s v="нет"/>
    <m/>
    <m/>
    <m/>
    <n v="1075"/>
    <s v="Корнев Родион Григорьевич"/>
    <n v="2125"/>
    <s v="Ветров Юрий Ефремович"/>
    <s v="Рабочий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215"/>
    <x v="1103"/>
    <n v="221"/>
    <s v="Подразделение221"/>
    <s v="подразделение_2_уровня221"/>
    <s v="-"/>
    <s v="линейный_руководитель_1"/>
    <n v="7"/>
    <s v="нет"/>
    <m/>
    <m/>
    <m/>
    <n v="1076"/>
    <s v="Романов Виталий Вадимович"/>
    <n v="2125"/>
    <s v="Ветров Юрий Ефремович"/>
    <s v="Рабочий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215"/>
    <x v="1104"/>
    <n v="221"/>
    <s v="Подразделение221"/>
    <s v="подразделение_2_уровня221"/>
    <s v="-"/>
    <s v="линейный_руководитель_1"/>
    <n v="7"/>
    <s v="нет"/>
    <m/>
    <m/>
    <m/>
    <n v="1077"/>
    <s v="Карасев Родион Эдуардович"/>
    <n v="2125"/>
    <s v="Ветров Юрий Ефремович"/>
    <s v="Рабочий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1-11-10T00:00:00"/>
    <n v="1"/>
    <s v="не защищена"/>
    <n v="500215"/>
    <x v="1105"/>
    <n v="221"/>
    <s v="Подразделение221"/>
    <s v="подразделение_2_уровня221"/>
    <s v="-"/>
    <s v="линейный_руководитель_1"/>
    <n v="7"/>
    <s v="нет"/>
    <m/>
    <m/>
    <m/>
    <n v="1078"/>
    <s v="Фирсов Клим Ильич"/>
    <n v="2125"/>
    <s v="Ветров Юрий Ефремович"/>
    <s v="Рабочий"/>
    <s v="Подразделение221"/>
    <x v="2"/>
    <x v="0"/>
    <n v="0"/>
    <n v="0"/>
    <m/>
    <m/>
    <s v="не рассматривали"/>
    <s v="протокол-№-10.11.2021"/>
  </r>
  <r>
    <s v="Функциональное направление 13"/>
    <n v="4"/>
    <d v="2020-12-25T00:00:00"/>
    <n v="1"/>
    <s v="не защищена"/>
    <n v="500533"/>
    <x v="1106"/>
    <n v="50"/>
    <s v="Подразделение50"/>
    <s v="подразделение_2_уровня50"/>
    <s v="-"/>
    <s v="линейный_руководитель_2"/>
    <n v="7"/>
    <s v="нет"/>
    <m/>
    <m/>
    <m/>
    <n v="1079"/>
    <s v="Потапов Захар Захарович"/>
    <n v="2064"/>
    <s v="Незнамов Матвей Ефрем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533"/>
    <x v="1106"/>
    <n v="50"/>
    <s v="Подразделение50"/>
    <s v="подразделение_2_уровня50"/>
    <s v="-"/>
    <s v="линейный_руководитель_2"/>
    <n v="7"/>
    <s v="нет"/>
    <m/>
    <m/>
    <m/>
    <n v="1079"/>
    <s v="Потапов Захар Захарович"/>
    <n v="2126"/>
    <s v="Исаев Савелий Александр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1"/>
    <s v="не защищена"/>
    <n v="500534"/>
    <x v="1107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80"/>
    <s v="Трофимов Владимир Ильич"/>
    <n v="2061"/>
    <s v="Ветров Савелий Семен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1"/>
    <s v="не защищена"/>
    <n v="500536"/>
    <x v="1108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81"/>
    <s v="Семенов Ефрем Иванович"/>
    <n v="2061"/>
    <s v="Ветров Савелий Семен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0-12-25T00:00:00"/>
    <n v="0"/>
    <s v="не защищена"/>
    <n v="500536"/>
    <x v="1108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81"/>
    <s v="Семенов Ефрем Иванович"/>
    <n v="982"/>
    <s v="Вобликов Григорий Романович"/>
    <s v="линейный_руководитель_2"/>
    <s v="Подразделение50"/>
    <x v="1"/>
    <x v="2"/>
    <n v="0"/>
    <n v="0"/>
    <s v="назначение на равнозначную должность"/>
    <d v="2021-12-28T00:00:00"/>
    <s v="не рассматривали"/>
    <s v="протокол-№-25.12.2020"/>
  </r>
  <r>
    <s v="Функциональное направление 13"/>
    <n v="4"/>
    <d v="2021-11-25T00:00:00"/>
    <n v="1"/>
    <s v="не защищена"/>
    <n v="500537"/>
    <x v="1109"/>
    <n v="49"/>
    <s v="Подразделение49"/>
    <s v="подразделение_2_уровня49"/>
    <s v="-"/>
    <s v="линейный_руководитель_2"/>
    <n v="7"/>
    <s v="нет"/>
    <m/>
    <m/>
    <m/>
    <n v="1082"/>
    <s v="Гуськов Вениамин Федорович"/>
    <n v="2127"/>
    <s v="Кириллов Виталий Ефремович"/>
    <s v="Рабочий"/>
    <s v="Подразделение49"/>
    <x v="2"/>
    <x v="0"/>
    <n v="1"/>
    <n v="0"/>
    <m/>
    <m/>
    <s v="не рассматривали"/>
    <s v="протокол-№-25.11.2021"/>
  </r>
  <r>
    <s v="Функциональное направление 13"/>
    <n v="4"/>
    <d v="2021-11-25T00:00:00"/>
    <n v="0"/>
    <s v="не защищена"/>
    <n v="500537"/>
    <x v="1109"/>
    <n v="49"/>
    <s v="Подразделение49"/>
    <s v="подразделение_2_уровня49"/>
    <s v="-"/>
    <s v="линейный_руководитель_2"/>
    <n v="7"/>
    <s v="нет"/>
    <m/>
    <m/>
    <m/>
    <n v="1082"/>
    <s v="Гуськов Вениамин Федорович"/>
    <n v="2128"/>
    <s v="Степанов Савелий Ефремович"/>
    <s v="Рабочий"/>
    <s v="Подразделение49"/>
    <x v="2"/>
    <x v="0"/>
    <n v="0"/>
    <n v="0"/>
    <m/>
    <m/>
    <s v="не рассматривали"/>
    <s v="протокол-№-25.11.2021"/>
  </r>
  <r>
    <s v="Функциональное направление 13"/>
    <n v="4"/>
    <d v="2021-11-25T00:00:00"/>
    <n v="1"/>
    <s v="не защищена"/>
    <n v="500538"/>
    <x v="1110"/>
    <n v="49"/>
    <s v="Подразделение49"/>
    <s v="подразделение_2_уровня49"/>
    <s v="-"/>
    <s v="линейный_руководитель_2"/>
    <n v="7"/>
    <s v="нет"/>
    <m/>
    <m/>
    <m/>
    <n v="1083"/>
    <s v="Журавлев Богдан Климович"/>
    <n v="2127"/>
    <s v="Кириллов Виталий Ефремович"/>
    <s v="Рабочий"/>
    <s v="Подразделение49"/>
    <x v="2"/>
    <x v="0"/>
    <n v="0"/>
    <n v="0"/>
    <m/>
    <m/>
    <s v="не рассматривали"/>
    <s v="протокол-№-25.11.2021"/>
  </r>
  <r>
    <s v="Функциональное направление 13"/>
    <n v="4"/>
    <d v="2021-11-25T00:00:00"/>
    <n v="0"/>
    <s v="не защищена"/>
    <n v="500538"/>
    <x v="1110"/>
    <n v="49"/>
    <s v="Подразделение49"/>
    <s v="подразделение_2_уровня49"/>
    <s v="-"/>
    <s v="линейный_руководитель_2"/>
    <n v="7"/>
    <s v="нет"/>
    <m/>
    <m/>
    <m/>
    <n v="1083"/>
    <s v="Журавлев Богдан Климович"/>
    <n v="2128"/>
    <s v="Степанов Савелий Ефремович"/>
    <s v="Рабочий"/>
    <s v="Подразделение49"/>
    <x v="2"/>
    <x v="0"/>
    <n v="0"/>
    <n v="0"/>
    <m/>
    <m/>
    <s v="не рассматривали"/>
    <s v="протокол-№-25.11.2021"/>
  </r>
  <r>
    <s v="Функциональное направление 13"/>
    <s v="2"/>
    <d v="2021-07-14T00:00:00"/>
    <n v="1"/>
    <s v="не защищена"/>
    <n v="500545"/>
    <x v="1111"/>
    <n v="110"/>
    <s v="Подразделение110"/>
    <s v="подразделение_2_уровня110"/>
    <s v="-"/>
    <s v="ТОП_руководитель_1"/>
    <n v="3"/>
    <s v="да"/>
    <d v="2019-04-01T00:00:00"/>
    <d v="2019-04-01T00:00:00"/>
    <s v="из резерва (учитываем)"/>
    <n v="1084"/>
    <s v="Игнатьев Ефрем Игнатович"/>
    <n v="1088"/>
    <s v="Брежнев Глеб Савельевич"/>
    <s v="ТОП_руководитель_3"/>
    <s v="Подразделение110"/>
    <x v="1"/>
    <x v="0"/>
    <n v="1"/>
    <n v="0"/>
    <m/>
    <m/>
    <s v="без изменений"/>
    <s v="протокол-№-20.12.2022"/>
  </r>
  <r>
    <s v="Функциональное направление 13"/>
    <s v="2"/>
    <d v="2017-02-21T00:00:00"/>
    <n v="0"/>
    <s v="не защищена"/>
    <n v="500545"/>
    <x v="1111"/>
    <n v="110"/>
    <s v="Подразделение110"/>
    <s v="подразделение_2_уровня110"/>
    <s v="-"/>
    <s v="ТОП_руководитель_1"/>
    <n v="3"/>
    <s v="да"/>
    <d v="2019-04-01T00:00:00"/>
    <d v="2019-04-01T00:00:00"/>
    <s v="из резерва (учитываем)"/>
    <n v="1084"/>
    <s v="Игнатьев Ефрем Игнатович"/>
    <n v="1066"/>
    <s v="Игнатьев Борис Денисович"/>
    <s v="ТОП_руководитель_2"/>
    <s v="Подразделение221"/>
    <x v="0"/>
    <x v="0"/>
    <n v="1"/>
    <n v="0"/>
    <m/>
    <m/>
    <s v="без изменений"/>
    <s v="протокол-№-20.12.2022"/>
  </r>
  <r>
    <s v="Функциональное направление 13"/>
    <s v="2"/>
    <d v="2017-02-21T00:00:00"/>
    <n v="0"/>
    <s v="не защищена"/>
    <n v="500545"/>
    <x v="1111"/>
    <n v="110"/>
    <s v="Подразделение110"/>
    <s v="подразделение_2_уровня110"/>
    <s v="-"/>
    <s v="ТОП_руководитель_1"/>
    <n v="3"/>
    <s v="да"/>
    <d v="2019-04-01T00:00:00"/>
    <d v="2019-04-01T00:00:00"/>
    <s v="из резерва (учитываем)"/>
    <n v="1084"/>
    <s v="Игнатьев Ефрем Игнатович"/>
    <n v="1084"/>
    <s v="Игнатьев Ефрем Игнатович"/>
    <s v="ТОП_руководитель_2"/>
    <s v="Подразделение110"/>
    <x v="0"/>
    <x v="1"/>
    <n v="1"/>
    <n v="1"/>
    <s v="назначение на целевую должность"/>
    <d v="2019-04-01T00:00:00"/>
    <s v="повышение"/>
    <s v="протокол-№-09.04.2018"/>
  </r>
  <r>
    <s v="Функциональное направление 13"/>
    <n v="4"/>
    <d v="2020-12-25T00:00:00"/>
    <n v="1"/>
    <s v="не защищена"/>
    <n v="500469"/>
    <x v="1112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85"/>
    <s v="Семенов Лавр Никитинич"/>
    <n v="995"/>
    <s v="Цветков Валерий Владиславович"/>
    <s v="линейный_руководитель_2"/>
    <s v="Подразделение50"/>
    <x v="2"/>
    <x v="0"/>
    <n v="0"/>
    <n v="0"/>
    <m/>
    <m/>
    <s v="не рассматривали"/>
    <s v="протокол-№-25.12.2020"/>
  </r>
  <r>
    <s v="Функциональное направление 13"/>
    <n v="4"/>
    <d v="2020-12-25T00:00:00"/>
    <n v="0"/>
    <s v="не защищена"/>
    <n v="500469"/>
    <x v="1112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85"/>
    <s v="Семенов Лавр Никитинич"/>
    <n v="2061"/>
    <s v="Ветров Савелий Семенович"/>
    <s v="Рабочий"/>
    <s v="Подразделение50"/>
    <x v="2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469"/>
    <x v="1112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85"/>
    <s v="Семенов Лавр Никитинич"/>
    <n v="2062"/>
    <s v="Тимофеев Глеб Семен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469"/>
    <x v="1112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85"/>
    <s v="Семенов Лавр Никитинич"/>
    <n v="2063"/>
    <s v="Ветров Виталий Александр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0-12-25T00:00:00"/>
    <n v="0"/>
    <s v="не защищена"/>
    <n v="500469"/>
    <x v="1112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085"/>
    <s v="Семенов Лавр Никитинич"/>
    <n v="982"/>
    <s v="Вобликов Григорий Романович"/>
    <s v="линейный_руководитель_2"/>
    <s v="Подразделение50"/>
    <x v="1"/>
    <x v="2"/>
    <n v="0"/>
    <n v="0"/>
    <s v="назначение на равнозначную должность"/>
    <d v="2021-12-28T00:00:00"/>
    <s v="не рассматривали"/>
    <s v="протокол-№-25.12.2020"/>
  </r>
  <r>
    <s v="Функциональное направление 13"/>
    <n v="4"/>
    <d v="2020-12-09T00:00:00"/>
    <n v="1"/>
    <s v="не защищена"/>
    <n v="500363"/>
    <x v="1113"/>
    <n v="52"/>
    <s v="Подразделение52"/>
    <s v="подразделение_2_уровня52"/>
    <s v="-"/>
    <s v="линейный_руководитель_1"/>
    <n v="7"/>
    <s v="да"/>
    <d v="2023-06-14T00:00:00"/>
    <d v="2023-06-14T00:00:00"/>
    <s v="из резерва (учитываем)"/>
    <n v="1086"/>
    <s v="Кириллов Савелий Викторович"/>
    <n v="1986"/>
    <s v="Тимофеев Виталий Александрович"/>
    <s v="Рабочий"/>
    <s v="Подразделение52"/>
    <x v="0"/>
    <x v="0"/>
    <n v="0"/>
    <n v="0"/>
    <m/>
    <m/>
    <s v="повышение"/>
    <s v="протокол-№-23.11.2022"/>
  </r>
  <r>
    <s v="Функциональное направление 13"/>
    <n v="4"/>
    <d v="2020-12-09T00:00:00"/>
    <n v="0"/>
    <s v="не защищена"/>
    <n v="500363"/>
    <x v="1113"/>
    <n v="52"/>
    <s v="Подразделение52"/>
    <s v="подразделение_2_уровня52"/>
    <s v="-"/>
    <s v="линейный_руководитель_1"/>
    <n v="7"/>
    <s v="да"/>
    <d v="2023-06-14T00:00:00"/>
    <d v="2023-06-14T00:00:00"/>
    <s v="из резерва (учитываем)"/>
    <n v="1086"/>
    <s v="Кириллов Савелий Викторович"/>
    <n v="1987"/>
    <s v="Тимофеев Матвей Ефремович"/>
    <s v="Рабочий"/>
    <s v="Подразделение52"/>
    <x v="2"/>
    <x v="0"/>
    <n v="0"/>
    <n v="0"/>
    <m/>
    <m/>
    <s v="не рассматривали"/>
    <s v="протокол-№-09.12.2020"/>
  </r>
  <r>
    <s v="Функциональное направление 13"/>
    <n v="4"/>
    <d v="2020-12-09T00:00:00"/>
    <n v="0"/>
    <s v="не защищена"/>
    <n v="500363"/>
    <x v="1113"/>
    <n v="52"/>
    <s v="Подразделение52"/>
    <s v="подразделение_2_уровня52"/>
    <s v="-"/>
    <s v="линейный_руководитель_1"/>
    <n v="7"/>
    <s v="да"/>
    <d v="2023-06-14T00:00:00"/>
    <d v="2023-06-14T00:00:00"/>
    <s v="из резерва (учитываем)"/>
    <n v="1086"/>
    <s v="Кириллов Савелий Викторович"/>
    <n v="1988"/>
    <s v="Ветров Савелий Герасимович"/>
    <s v="Рабочий"/>
    <s v="Подразделение52"/>
    <x v="0"/>
    <x v="0"/>
    <n v="0"/>
    <n v="0"/>
    <m/>
    <m/>
    <s v="без изменений"/>
    <s v="протокол-№-23.11.2022"/>
  </r>
  <r>
    <s v="Функциональное направление 13"/>
    <n v="4"/>
    <d v="2022-11-23T00:00:00"/>
    <n v="0"/>
    <s v="не защищена"/>
    <n v="500363"/>
    <x v="1113"/>
    <n v="52"/>
    <s v="Подразделение52"/>
    <s v="подразделение_2_уровня52"/>
    <s v="-"/>
    <s v="линейный_руководитель_1"/>
    <n v="7"/>
    <s v="да"/>
    <d v="2023-06-14T00:00:00"/>
    <d v="2023-06-14T00:00:00"/>
    <s v="из резерва (учитываем)"/>
    <n v="1086"/>
    <s v="Кириллов Савелий Викторович"/>
    <n v="1086"/>
    <s v="Кириллов Савелий Викторович"/>
    <s v="линейный_руководитель_2"/>
    <s v="Подразделение52"/>
    <x v="1"/>
    <x v="1"/>
    <n v="0"/>
    <n v="1"/>
    <s v="назначение на целевую должность"/>
    <d v="2023-06-14T00:00:00"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363"/>
    <x v="1113"/>
    <n v="52"/>
    <s v="Подразделение52"/>
    <s v="подразделение_2_уровня52"/>
    <s v="-"/>
    <s v="линейный_руководитель_1"/>
    <n v="7"/>
    <s v="да"/>
    <d v="2023-06-14T00:00:00"/>
    <d v="2023-06-14T00:00:00"/>
    <s v="из резерва (учитываем)"/>
    <n v="1086"/>
    <s v="Кириллов Савелий Викторович"/>
    <n v="1989"/>
    <s v="Незнамов Савелий Богданович"/>
    <s v="Рабочий"/>
    <s v="Подразделение52"/>
    <x v="0"/>
    <x v="0"/>
    <n v="0"/>
    <n v="0"/>
    <m/>
    <m/>
    <s v="не рассматривали"/>
    <s v="протокол-№-23.11.2022"/>
  </r>
  <r>
    <s v="Функциональное направление 13"/>
    <n v="4"/>
    <d v="2020-12-09T00:00:00"/>
    <n v="0"/>
    <s v="не защищена"/>
    <n v="500363"/>
    <x v="1113"/>
    <n v="52"/>
    <s v="Подразделение52"/>
    <s v="подразделение_2_уровня52"/>
    <s v="-"/>
    <s v="линейный_руководитель_1"/>
    <n v="7"/>
    <s v="да"/>
    <d v="2023-06-14T00:00:00"/>
    <d v="2023-06-14T00:00:00"/>
    <s v="из резерва (учитываем)"/>
    <n v="1086"/>
    <s v="Кириллов Савелий Викторович"/>
    <n v="884"/>
    <s v="Русланов Тихон Александрович"/>
    <s v="линейный_руководитель_2"/>
    <s v="Подразделение52"/>
    <x v="1"/>
    <x v="1"/>
    <n v="0"/>
    <n v="0"/>
    <s v="назначение на целевую должность"/>
    <d v="2021-04-15T00:00:00"/>
    <s v="не рассматривали"/>
    <s v="протокол-№-09.12.2020"/>
  </r>
  <r>
    <s v="Функциональное направление 13"/>
    <n v="3"/>
    <d v="2017-02-21T00:00:00"/>
    <n v="1"/>
    <s v="не защищена"/>
    <n v="500080"/>
    <x v="1114"/>
    <n v="110"/>
    <s v="Подразделение110"/>
    <s v="подразделение_2_уровня110"/>
    <s v="-"/>
    <s v="ТОП_руководитель_3"/>
    <n v="5"/>
    <s v="да"/>
    <d v="2019-01-21T00:00:00"/>
    <d v="2019-01-21T00:00:00"/>
    <s v="из резерва (учитываем)"/>
    <n v="1087"/>
    <s v="Филиппов Виталий Ильич"/>
    <n v="2129"/>
    <s v="Незнамов Виталий Александрович"/>
    <s v="функциональный_руководитель_1"/>
    <s v="Подразделение110"/>
    <x v="1"/>
    <x v="0"/>
    <n v="1"/>
    <n v="0"/>
    <m/>
    <m/>
    <s v="повышение"/>
    <s v="протокол-№-01.07.2022"/>
  </r>
  <r>
    <s v="Функциональное направление 13"/>
    <n v="3"/>
    <d v="2018-04-09T00:00:00"/>
    <n v="0"/>
    <s v="не защищена"/>
    <n v="500080"/>
    <x v="1114"/>
    <n v="110"/>
    <s v="Подразделение110"/>
    <s v="подразделение_2_уровня110"/>
    <s v="-"/>
    <s v="ТОП_руководитель_3"/>
    <n v="5"/>
    <s v="да"/>
    <d v="2019-01-21T00:00:00"/>
    <d v="2019-01-21T00:00:00"/>
    <s v="из резерва (учитываем)"/>
    <n v="1087"/>
    <s v="Филиппов Виталий Ильич"/>
    <n v="2130"/>
    <s v="Брежнев Савелий Ефремович"/>
    <s v="функциональный_руководитель_1"/>
    <s v="Подразделение110"/>
    <x v="0"/>
    <x v="0"/>
    <n v="1"/>
    <n v="0"/>
    <m/>
    <m/>
    <s v="повышение"/>
    <s v="протокол-№-01.07.2022"/>
  </r>
  <r>
    <s v="Функциональное направление 13"/>
    <n v="3"/>
    <d v="2018-04-09T00:00:00"/>
    <n v="0"/>
    <s v="не защищена"/>
    <n v="500080"/>
    <x v="1114"/>
    <n v="110"/>
    <s v="Подразделение110"/>
    <s v="подразделение_2_уровня110"/>
    <s v="-"/>
    <s v="ТОП_руководитель_3"/>
    <n v="5"/>
    <s v="да"/>
    <d v="2019-01-21T00:00:00"/>
    <d v="2019-01-21T00:00:00"/>
    <s v="из резерва (учитываем)"/>
    <n v="1087"/>
    <s v="Филиппов Виталий Ильич"/>
    <n v="1087"/>
    <s v="Филиппов Виталий Ильич"/>
    <s v="руководитель_среднего_уровня_2"/>
    <s v="Подразделение110"/>
    <x v="2"/>
    <x v="1"/>
    <n v="1"/>
    <n v="1"/>
    <s v="назначение на целевую должность"/>
    <d v="2019-01-21T00:00:00"/>
    <s v="не рассматривали"/>
    <s v="протокол-№-09.04.2018"/>
  </r>
  <r>
    <s v="Функциональное направление 13"/>
    <n v="3"/>
    <d v="2021-08-24T00:00:00"/>
    <n v="1"/>
    <s v="не защищена"/>
    <n v="500081"/>
    <x v="1115"/>
    <n v="110"/>
    <s v="Подразделение110"/>
    <s v="подразделение_2_уровня110"/>
    <s v="-"/>
    <s v="ТОП_руководитель_3"/>
    <n v="5"/>
    <s v="нет"/>
    <m/>
    <m/>
    <m/>
    <n v="1088"/>
    <s v="Брежнев Глеб Савельевич"/>
    <n v="861"/>
    <s v="Пальчиков Алексей Тимофеевич"/>
    <s v="ТОП_руководитель_2"/>
    <s v="Подразделение52"/>
    <x v="2"/>
    <x v="0"/>
    <n v="1"/>
    <n v="0"/>
    <m/>
    <m/>
    <s v="без изменений"/>
    <s v="протокол-№-01.07.2022"/>
  </r>
  <r>
    <s v="Функциональное направление 13"/>
    <n v="3"/>
    <d v="2021-08-24T00:00:00"/>
    <n v="0"/>
    <s v="не защищена"/>
    <n v="500081"/>
    <x v="1115"/>
    <n v="110"/>
    <s v="Подразделение110"/>
    <s v="подразделение_2_уровня110"/>
    <s v="-"/>
    <s v="ТОП_руководитель_3"/>
    <n v="5"/>
    <s v="нет"/>
    <m/>
    <m/>
    <m/>
    <n v="1088"/>
    <s v="Брежнев Глеб Савельевич"/>
    <n v="1067"/>
    <s v="Семенов Александр Романович"/>
    <s v="руководитель_среднего_уровня_2"/>
    <s v="Подразделение221"/>
    <x v="2"/>
    <x v="0"/>
    <n v="1"/>
    <n v="0"/>
    <m/>
    <m/>
    <s v="без изменений"/>
    <s v="протокол-№-01.07.2022"/>
  </r>
  <r>
    <s v="Функциональное направление 13"/>
    <n v="3"/>
    <d v="2018-04-09T00:00:00"/>
    <n v="0"/>
    <s v="не защищена"/>
    <n v="500081"/>
    <x v="1115"/>
    <n v="110"/>
    <s v="Подразделение110"/>
    <s v="подразделение_2_уровня110"/>
    <s v="-"/>
    <s v="ТОП_руководитель_3"/>
    <n v="5"/>
    <s v="нет"/>
    <m/>
    <m/>
    <m/>
    <n v="1088"/>
    <s v="Брежнев Глеб Савельевич"/>
    <n v="1066"/>
    <s v="Игнатьев Борис Денисович"/>
    <s v="ТОП_руководитель_2"/>
    <s v="Подразделение221"/>
    <x v="2"/>
    <x v="2"/>
    <n v="1"/>
    <n v="0"/>
    <s v="инициатива комитета / руководителя"/>
    <d v="2022-07-01T00:00:00"/>
    <s v="исключение"/>
    <s v="протокол-№-01.07.2022"/>
  </r>
  <r>
    <s v="Функциональное направление 13"/>
    <n v="3"/>
    <d v="2018-04-09T00:00:00"/>
    <n v="0"/>
    <s v="не защищена"/>
    <n v="500081"/>
    <x v="1115"/>
    <n v="110"/>
    <s v="Подразделение110"/>
    <s v="подразделение_2_уровня110"/>
    <s v="-"/>
    <s v="ТОП_руководитель_3"/>
    <n v="5"/>
    <s v="нет"/>
    <m/>
    <m/>
    <m/>
    <n v="1088"/>
    <s v="Брежнев Глеб Савельевич"/>
    <n v="1089"/>
    <s v="Игнатьев Кирилл Корнеевич"/>
    <s v="линейный_руководитель_3"/>
    <s v="Подразделение110"/>
    <x v="0"/>
    <x v="2"/>
    <n v="1"/>
    <n v="0"/>
    <s v="самоотвод"/>
    <d v="2022-07-01T00:00:00"/>
    <s v="исключение"/>
    <s v="протокол-№-01.07.2022"/>
  </r>
  <r>
    <s v="Функциональное направление 13"/>
    <n v="3"/>
    <d v="2018-04-09T00:00:00"/>
    <n v="0"/>
    <s v="не защищена"/>
    <n v="500081"/>
    <x v="1115"/>
    <n v="110"/>
    <s v="Подразделение110"/>
    <s v="подразделение_2_уровня110"/>
    <s v="-"/>
    <s v="ТОП_руководитель_3"/>
    <n v="5"/>
    <s v="нет"/>
    <m/>
    <m/>
    <m/>
    <n v="1088"/>
    <s v="Брежнев Глеб Савельевич"/>
    <n v="2132"/>
    <s v="Тимофеев Савелий Семенович"/>
    <s v="функциональный_руководитель_1"/>
    <s v="Подразделение110"/>
    <x v="0"/>
    <x v="2"/>
    <n v="1"/>
    <n v="0"/>
    <s v="самоотвод"/>
    <d v="2022-07-01T00:00:00"/>
    <s v="исключение"/>
    <s v="протокол-№-01.07.2022"/>
  </r>
  <r>
    <s v="Функциональное направление 13"/>
    <n v="3"/>
    <d v="2022-07-01T00:00:00"/>
    <n v="1"/>
    <s v="не защищена"/>
    <n v="500082"/>
    <x v="1116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089"/>
    <s v="Игнатьев Кирилл Корнеевич"/>
    <n v="2133"/>
    <s v="Ветров Савелий Ефремович"/>
    <s v="Специалист"/>
    <s v="Подразделение110"/>
    <x v="0"/>
    <x v="0"/>
    <n v="1"/>
    <n v="0"/>
    <m/>
    <m/>
    <s v="не рассматривали"/>
    <s v="протокол-№-01.07.2022"/>
  </r>
  <r>
    <s v="Функциональное направление 13"/>
    <n v="3"/>
    <d v="2017-02-21T00:00:00"/>
    <n v="1"/>
    <s v="не защищена"/>
    <n v="500083"/>
    <x v="1117"/>
    <n v="110"/>
    <s v="Подразделение110"/>
    <s v="подразделение_2_уровня110"/>
    <s v="-"/>
    <s v="ТОП_руководитель_3"/>
    <n v="5"/>
    <s v="нет"/>
    <m/>
    <m/>
    <m/>
    <n v="1090"/>
    <s v="Трофимов Лавр Александрович"/>
    <n v="1089"/>
    <s v="Игнатьев Кирилл Корнеевич"/>
    <s v="линейный_руководитель_3"/>
    <s v="Подразделение110"/>
    <x v="1"/>
    <x v="0"/>
    <n v="1"/>
    <n v="0"/>
    <m/>
    <m/>
    <s v="повышение"/>
    <s v="протокол-№-01.07.2022"/>
  </r>
  <r>
    <s v="Функциональное направление 13"/>
    <n v="3"/>
    <d v="2022-07-01T00:00:00"/>
    <n v="0"/>
    <s v="не защищена"/>
    <n v="500083"/>
    <x v="1117"/>
    <n v="110"/>
    <s v="Подразделение110"/>
    <s v="подразделение_2_уровня110"/>
    <s v="-"/>
    <s v="ТОП_руководитель_3"/>
    <n v="5"/>
    <s v="нет"/>
    <m/>
    <m/>
    <m/>
    <n v="1090"/>
    <s v="Трофимов Лавр Александрович"/>
    <n v="2133"/>
    <s v="Ветров Савелий Ефремович"/>
    <s v="Специалист"/>
    <s v="Подразделение110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0"/>
    <s v="не защищена"/>
    <n v="500083"/>
    <x v="1117"/>
    <n v="110"/>
    <s v="Подразделение110"/>
    <s v="подразделение_2_уровня110"/>
    <s v="-"/>
    <s v="ТОП_руководитель_3"/>
    <n v="5"/>
    <s v="нет"/>
    <m/>
    <m/>
    <m/>
    <n v="1090"/>
    <s v="Трофимов Лавр Александрович"/>
    <n v="1091"/>
    <s v="Игнатьев Константин Климович"/>
    <s v="линейный_руководитель_3"/>
    <s v="Подразделение110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0"/>
    <s v="не защищена"/>
    <n v="500083"/>
    <x v="1117"/>
    <n v="110"/>
    <s v="Подразделение110"/>
    <s v="подразделение_2_уровня110"/>
    <s v="-"/>
    <s v="ТОП_руководитель_3"/>
    <n v="5"/>
    <s v="нет"/>
    <m/>
    <m/>
    <m/>
    <n v="1090"/>
    <s v="Трофимов Лавр Александрович"/>
    <n v="880"/>
    <s v="Романов Николай Александрович"/>
    <s v="руководитель_среднего_уровня_4"/>
    <s v="Подразделение52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21-08-24T00:00:00"/>
    <n v="0"/>
    <s v="не защищена"/>
    <n v="500083"/>
    <x v="1117"/>
    <n v="110"/>
    <s v="Подразделение110"/>
    <s v="подразделение_2_уровня110"/>
    <s v="-"/>
    <s v="ТОП_руководитель_3"/>
    <n v="5"/>
    <s v="нет"/>
    <m/>
    <m/>
    <m/>
    <n v="1090"/>
    <s v="Трофимов Лавр Александрович"/>
    <n v="865"/>
    <s v="Пальчиков Кирилл Александрович"/>
    <s v="ТОП_руководитель_2"/>
    <s v="Подразделение51"/>
    <x v="2"/>
    <x v="2"/>
    <n v="1"/>
    <n v="0"/>
    <s v="инициатива комитета / руководителя"/>
    <d v="2022-07-01T00:00:00"/>
    <s v="исключение"/>
    <s v="протокол-№-01.07.2022"/>
  </r>
  <r>
    <s v="Функциональное направление 13"/>
    <n v="3"/>
    <d v="2017-02-21T00:00:00"/>
    <n v="0"/>
    <s v="не защищена"/>
    <n v="500083"/>
    <x v="1117"/>
    <n v="110"/>
    <s v="Подразделение110"/>
    <s v="подразделение_2_уровня110"/>
    <s v="-"/>
    <s v="ТОП_руководитель_3"/>
    <n v="5"/>
    <s v="нет"/>
    <m/>
    <m/>
    <m/>
    <n v="1090"/>
    <s v="Трофимов Лавр Александрович"/>
    <n v="2132"/>
    <s v="Тимофеев Савелий Семенович"/>
    <s v="функциональный_руководитель_1"/>
    <s v="Подразделение110"/>
    <x v="2"/>
    <x v="2"/>
    <n v="1"/>
    <n v="0"/>
    <s v="инициатива комитета / руководителя"/>
    <d v="2022-07-01T00:00:00"/>
    <s v="исключение"/>
    <s v="протокол-№-01.07.2022"/>
  </r>
  <r>
    <s v="Функциональное направление 13"/>
    <n v="3"/>
    <d v="2022-07-01T00:00:00"/>
    <n v="1"/>
    <s v="не защищена"/>
    <n v="500084"/>
    <x v="1118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091"/>
    <s v="Игнатьев Константин Климович"/>
    <n v="2134"/>
    <s v="Ветров Виталий Александрович"/>
    <s v="функциональный_руководитель_1"/>
    <s v="Подразделение_др22"/>
    <x v="1"/>
    <x v="2"/>
    <n v="0"/>
    <n v="0"/>
    <s v="прочее (перевод в другое СП / на другое предприятие)"/>
    <d v="2023-06-01T00:00:00"/>
    <s v="не рассматривали"/>
    <s v="протокол-№-01.07.2022"/>
  </r>
  <r>
    <s v="Функциональное направление 13"/>
    <n v="3"/>
    <d v="2022-07-01T00:00:00"/>
    <n v="1"/>
    <s v="не защищена"/>
    <n v="500085"/>
    <x v="1119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092"/>
    <s v="Зайцев Афанасий Георгиевич"/>
    <n v="2135"/>
    <s v="Ветров Савелий Богданович"/>
    <s v="Специалист"/>
    <s v="Подразделение110"/>
    <x v="1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0"/>
    <s v="не защищена"/>
    <n v="500085"/>
    <x v="1119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092"/>
    <s v="Зайцев Афанасий Георгиевич"/>
    <n v="1039"/>
    <s v="Зверев Матвей Кондратьевич"/>
    <s v="линейный_руководитель_4"/>
    <s v="Подразделение48"/>
    <x v="2"/>
    <x v="0"/>
    <n v="1"/>
    <n v="0"/>
    <m/>
    <m/>
    <s v="не рассматривали"/>
    <s v="протокол-№-01.07.2022"/>
  </r>
  <r>
    <s v="Функциональное направление 13"/>
    <n v="4"/>
    <d v="2021-11-16T00:00:00"/>
    <n v="1"/>
    <s v="не защищена"/>
    <n v="500576"/>
    <x v="1120"/>
    <n v="51"/>
    <s v="Подразделение51"/>
    <s v="-"/>
    <s v="-"/>
    <s v="функциональный_руководитель_1"/>
    <n v="7"/>
    <s v="нет"/>
    <m/>
    <m/>
    <m/>
    <n v="1093"/>
    <s v="Ветров Андрей Кондратьевич"/>
    <n v="2136"/>
    <s v="Тимофеев Савелий Александрович"/>
    <s v="Рабочий"/>
    <s v="Подразделение51"/>
    <x v="0"/>
    <x v="0"/>
    <n v="1"/>
    <n v="0"/>
    <m/>
    <m/>
    <s v="без изменений"/>
    <s v="протокол-№-01.12.2022"/>
  </r>
  <r>
    <s v="Функциональное направление 13"/>
    <n v="4"/>
    <d v="2020-12-25T00:00:00"/>
    <n v="0"/>
    <s v="не защищена"/>
    <n v="500576"/>
    <x v="1120"/>
    <n v="51"/>
    <s v="Подразделение51"/>
    <s v="-"/>
    <s v="-"/>
    <s v="функциональный_руководитель_1"/>
    <n v="7"/>
    <s v="нет"/>
    <m/>
    <m/>
    <m/>
    <n v="1093"/>
    <s v="Ветров Андрей Кондратьевич"/>
    <n v="890"/>
    <s v="Романов Алексей Юрьевич"/>
    <s v="руководитель_среднего_уровня_3"/>
    <s v="Подразделение51"/>
    <x v="0"/>
    <x v="2"/>
    <n v="1"/>
    <n v="0"/>
    <s v="самоотвод"/>
    <d v="2022-12-01T00:00:00"/>
    <s v="исключение"/>
    <s v="протокол-№-01.12.2022"/>
  </r>
  <r>
    <s v="Функциональное направление 13"/>
    <n v="3"/>
    <d v="2018-12-21T00:00:00"/>
    <n v="1"/>
    <s v="не защищена"/>
    <n v="500577"/>
    <x v="1121"/>
    <n v="49"/>
    <s v="Подразделение49"/>
    <s v="подразделение_2_уровня49"/>
    <s v="-"/>
    <s v="функциональный_руководитель_1"/>
    <n v="6"/>
    <s v="да"/>
    <d v="2022-03-17T00:00:00"/>
    <d v="2022-03-17T00:00:00"/>
    <s v="внутр. сотр. (не учитываем)"/>
    <n v="1094"/>
    <s v="Филиппов Афанасий Кондратьевич"/>
    <n v="2137"/>
    <s v="Ветров Геннадий Ефремович"/>
    <s v="функциональный_руководитель_1"/>
    <s v="Подразделение49"/>
    <x v="2"/>
    <x v="2"/>
    <n v="1"/>
    <n v="0"/>
    <s v="увольнение"/>
    <d v="2022-06-02T00:00:00"/>
    <s v="не рассматривали"/>
    <s v="протокол-№-21.12.2018"/>
  </r>
  <r>
    <s v="Функциональное направление 13"/>
    <n v="3"/>
    <d v="2022-07-01T00:00:00"/>
    <n v="1"/>
    <s v="не защищена"/>
    <n v="500591"/>
    <x v="1122"/>
    <n v="110"/>
    <s v="Подразделение110"/>
    <s v="подразделение_2_уровня110"/>
    <s v="-"/>
    <s v="ТОП_руководитель_3"/>
    <n v="5"/>
    <s v="нет"/>
    <m/>
    <m/>
    <m/>
    <n v="1095"/>
    <s v="Коровкин Виталий Иванович"/>
    <n v="1097"/>
    <s v="Дорофеев Савелий Ефремович"/>
    <s v="линейный_руководитель_3"/>
    <s v="Подразделение110"/>
    <x v="0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0"/>
    <s v="не защищена"/>
    <n v="500591"/>
    <x v="1122"/>
    <n v="110"/>
    <s v="Подразделение110"/>
    <s v="подразделение_2_уровня110"/>
    <s v="-"/>
    <s v="ТОП_руководитель_3"/>
    <n v="5"/>
    <s v="нет"/>
    <m/>
    <m/>
    <m/>
    <n v="1095"/>
    <s v="Коровкин Виталий Иванович"/>
    <n v="2138"/>
    <s v="Исаев Савелий Михайлович"/>
    <s v="функциональный_руководитель_1"/>
    <s v="Подразделение110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0"/>
    <s v="не защищена"/>
    <n v="500591"/>
    <x v="1122"/>
    <n v="110"/>
    <s v="Подразделение110"/>
    <s v="подразделение_2_уровня110"/>
    <s v="-"/>
    <s v="ТОП_руководитель_3"/>
    <n v="5"/>
    <s v="нет"/>
    <m/>
    <m/>
    <m/>
    <n v="1095"/>
    <s v="Коровкин Виталий Иванович"/>
    <n v="1047"/>
    <s v="Потапов Антон Тарасович"/>
    <s v="руководитель_среднего_уровня_2"/>
    <s v="Подразделение221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1"/>
    <s v="не защищена"/>
    <n v="500592"/>
    <x v="1123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096"/>
    <s v="Кирюхин Юрий Никитинич"/>
    <n v="2139"/>
    <s v="Тимофеев Глеб Александрович"/>
    <s v="функциональный_руководитель_1"/>
    <s v="Подразделение110"/>
    <x v="1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1"/>
    <s v="не защищена"/>
    <n v="500593"/>
    <x v="1124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097"/>
    <s v="Дорофеев Савелий Ефремович"/>
    <n v="2138"/>
    <s v="Исаев Савелий Михайлович"/>
    <s v="функциональный_руководитель_1"/>
    <s v="Подразделение110"/>
    <x v="1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0"/>
    <s v="не защищена"/>
    <n v="500593"/>
    <x v="1124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097"/>
    <s v="Дорофеев Савелий Ефремович"/>
    <n v="2140"/>
    <s v="Кириллов Савелий Ефремович"/>
    <s v="Рабочий"/>
    <s v="Подразделение214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0"/>
    <s v="не защищена"/>
    <n v="500593"/>
    <x v="1124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097"/>
    <s v="Дорофеев Савелий Ефремович"/>
    <n v="2141"/>
    <s v="Исаев Савелий Ефремович"/>
    <s v="линейный_руководитель_2"/>
    <s v="Подразделение110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1"/>
    <s v="не защищена"/>
    <n v="500610"/>
    <x v="1125"/>
    <n v="384"/>
    <s v="Подразделение384"/>
    <s v="подразделение_2_уровня384"/>
    <s v="-"/>
    <s v="ТОП_руководитель_2"/>
    <n v="5"/>
    <s v="да"/>
    <d v="2023-05-27T00:00:00"/>
    <d v="2023-06-21T00:00:00"/>
    <s v="внешний найм (не учитываем)"/>
    <n v="1098"/>
    <s v="Тимофеев Роман Климович"/>
    <n v="2142"/>
    <s v="Дмитриев Виталий Семенович"/>
    <s v="руководитель_среднего_уровня_2"/>
    <s v="Подразделение384"/>
    <x v="0"/>
    <x v="2"/>
    <n v="1"/>
    <n v="0"/>
    <s v="увольнение"/>
    <d v="2023-05-27T00:00:00"/>
    <s v="не рассматривали"/>
    <s v="протокол-№-01.07.2022"/>
  </r>
  <r>
    <s v="Функциональное направление 13"/>
    <n v="3"/>
    <d v="2022-07-01T00:00:00"/>
    <n v="0"/>
    <s v="не защищена"/>
    <n v="500610"/>
    <x v="1125"/>
    <n v="384"/>
    <s v="Подразделение384"/>
    <s v="подразделение_2_уровня384"/>
    <s v="-"/>
    <s v="ТОП_руководитель_2"/>
    <n v="5"/>
    <s v="да"/>
    <d v="2023-05-27T00:00:00"/>
    <d v="2023-06-21T00:00:00"/>
    <s v="внешний найм (не учитываем)"/>
    <n v="1098"/>
    <s v="Тимофеев Роман Климович"/>
    <n v="2143"/>
    <s v="Ветров Савелий Богданович"/>
    <s v="руководитель_среднего_уровня_2"/>
    <s v="Подразделение384"/>
    <x v="2"/>
    <x v="2"/>
    <n v="1"/>
    <n v="0"/>
    <s v="увольнение"/>
    <d v="2023-06-01T00:00:00"/>
    <s v="не рассматривали"/>
    <s v="протокол-№-01.07.2022"/>
  </r>
  <r>
    <s v="Функциональное направление 13"/>
    <n v="4"/>
    <d v="2021-11-10T00:00:00"/>
    <n v="1"/>
    <s v="не защищена"/>
    <n v="500611"/>
    <x v="1126"/>
    <n v="221"/>
    <s v="Подразделение221"/>
    <s v="подразделение_2_уровня221"/>
    <s v="подразделение_3_уровня221"/>
    <s v="линейный_руководитель_2"/>
    <n v="7"/>
    <s v="нет"/>
    <m/>
    <m/>
    <m/>
    <n v="1099"/>
    <s v="Незнамов Родион Кондратьевич"/>
    <n v="2144"/>
    <s v="Исаев Матвей Ефремович"/>
    <s v="Рабочий"/>
    <s v="Подразделение221"/>
    <x v="0"/>
    <x v="0"/>
    <n v="1"/>
    <n v="0"/>
    <m/>
    <m/>
    <s v="повышение"/>
    <s v="протокол-№-14.11.2022"/>
  </r>
  <r>
    <s v="Функциональное направление 13"/>
    <n v="4"/>
    <d v="2022-11-23T00:00:00"/>
    <n v="1"/>
    <s v="не защищена"/>
    <n v="500616"/>
    <x v="1127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100"/>
    <s v="Дорофеев Ефрем Кузьмич"/>
    <n v="2145"/>
    <s v="Степанов Савелий Богданович"/>
    <s v="Рабочий"/>
    <s v="Подразделение50"/>
    <x v="2"/>
    <x v="0"/>
    <n v="1"/>
    <n v="0"/>
    <m/>
    <m/>
    <s v="не рассматривали"/>
    <s v="протокол-№-23.11.2022"/>
  </r>
  <r>
    <s v="Функциональное направление 13"/>
    <n v="4"/>
    <d v="2022-11-23T00:00:00"/>
    <n v="0"/>
    <s v="не защищена"/>
    <n v="500616"/>
    <x v="1127"/>
    <n v="50"/>
    <s v="Подразделение50"/>
    <s v="подразделение_2_уровня50"/>
    <s v="подразделение_3_уровня50"/>
    <s v="линейный_руководитель_2"/>
    <n v="7"/>
    <s v="нет"/>
    <m/>
    <m/>
    <m/>
    <n v="1100"/>
    <s v="Дорофеев Ефрем Кузьмич"/>
    <n v="2146"/>
    <s v="Степанов Савелий Ефремович"/>
    <s v="Рабочий"/>
    <s v="Подразделение50"/>
    <x v="2"/>
    <x v="0"/>
    <n v="0"/>
    <n v="0"/>
    <m/>
    <m/>
    <s v="не рассматривали"/>
    <s v="протокол-№-23.11.2022"/>
  </r>
  <r>
    <s v="Функциональное направление 13"/>
    <n v="4"/>
    <d v="2022-12-01T00:00:00"/>
    <n v="1"/>
    <s v="не защищена"/>
    <n v="500621"/>
    <x v="1128"/>
    <n v="51"/>
    <s v="Подразделение51"/>
    <s v="подразделение_2_уровня51"/>
    <s v="-"/>
    <s v="функциональный_руководитель_1"/>
    <n v="7"/>
    <s v="нет"/>
    <m/>
    <m/>
    <m/>
    <n v="1101"/>
    <s v="Коростелев Дмитрий Михайлович"/>
    <n v="1237"/>
    <s v="Филиппов Афанасий Александрович"/>
    <s v="-"/>
    <s v="-"/>
    <x v="3"/>
    <x v="3"/>
    <n v="0"/>
    <n v="0"/>
    <m/>
    <m/>
    <m/>
    <s v="протокол-№-01.12.2022"/>
  </r>
  <r>
    <s v="Функциональное направление 13"/>
    <n v="4"/>
    <d v="2022-11-14T00:00:00"/>
    <n v="1"/>
    <s v="не защищена"/>
    <n v="500622"/>
    <x v="1129"/>
    <n v="221"/>
    <s v="Подразделение221"/>
    <s v="подразделение_2_уровня221"/>
    <s v="подразделение_3_уровня221"/>
    <s v="линейный_руководитель_2"/>
    <n v="7"/>
    <s v="нет"/>
    <m/>
    <m/>
    <m/>
    <n v="1102"/>
    <s v="Исаев Борис Тарасович"/>
    <n v="2147"/>
    <s v="Брежнев Савелий Александрович"/>
    <s v="Рабочий"/>
    <s v="Подразделение221"/>
    <x v="1"/>
    <x v="0"/>
    <n v="1"/>
    <n v="0"/>
    <m/>
    <m/>
    <s v="не рассматривали"/>
    <s v="протокол-№-14.11.2022"/>
  </r>
  <r>
    <s v="Функциональное направление 13"/>
    <n v="4"/>
    <d v="2022-11-14T00:00:00"/>
    <n v="0"/>
    <s v="не защищена"/>
    <n v="500622"/>
    <x v="1129"/>
    <n v="221"/>
    <s v="Подразделение221"/>
    <s v="подразделение_2_уровня221"/>
    <s v="подразделение_3_уровня221"/>
    <s v="линейный_руководитель_2"/>
    <n v="7"/>
    <s v="нет"/>
    <m/>
    <m/>
    <m/>
    <n v="1102"/>
    <s v="Исаев Борис Тарасович"/>
    <n v="2148"/>
    <s v="Ветров Савелий Ефремович"/>
    <s v="Рабочий"/>
    <s v="Подразделение221"/>
    <x v="0"/>
    <x v="0"/>
    <n v="0"/>
    <n v="0"/>
    <m/>
    <m/>
    <s v="не рассматривали"/>
    <s v="протокол-№-14.11.2022"/>
  </r>
  <r>
    <s v="Функциональное направление 13"/>
    <n v="3"/>
    <d v="2022-07-05T00:00:00"/>
    <n v="1"/>
    <s v="не защищена"/>
    <n v="500641"/>
    <x v="1130"/>
    <n v="51"/>
    <s v="Подразделение51"/>
    <s v="подразделение_2_уровня51"/>
    <s v="-"/>
    <s v="руководитель_среднего_уровня_2"/>
    <n v="6"/>
    <s v="нет"/>
    <m/>
    <m/>
    <m/>
    <n v="1103"/>
    <s v="Трухачев Герасим Геннадьевич"/>
    <n v="1105"/>
    <s v="Игнатьев Матвей Захарович"/>
    <s v="руководитель_среднего_уровня_4"/>
    <s v="Подразделение51"/>
    <x v="0"/>
    <x v="0"/>
    <n v="1"/>
    <n v="0"/>
    <m/>
    <m/>
    <s v="не рассматривали"/>
    <s v="протокол-№-05.07.2022"/>
  </r>
  <r>
    <s v="Функциональное направление 13"/>
    <n v="4"/>
    <d v="2022-12-01T00:00:00"/>
    <n v="1"/>
    <s v="не защищена"/>
    <n v="500639"/>
    <x v="1131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1104"/>
    <s v="Дорофеев Иван Дмитриевич"/>
    <n v="2149"/>
    <s v="Ветров Савелий Богданович"/>
    <s v="Рабочий"/>
    <s v="Подразделение51"/>
    <x v="0"/>
    <x v="0"/>
    <n v="1"/>
    <n v="0"/>
    <m/>
    <m/>
    <s v="не рассматривали"/>
    <s v="протокол-№-01.12.2022"/>
  </r>
  <r>
    <s v="Функциональное направление 13"/>
    <n v="4"/>
    <d v="2020-12-25T00:00:00"/>
    <n v="0"/>
    <s v="не защищена"/>
    <n v="500639"/>
    <x v="1131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1104"/>
    <s v="Дорофеев Иван Дмитриевич"/>
    <n v="2149"/>
    <s v="Ветров Савелий Богданович"/>
    <s v="Рабочий"/>
    <s v="Подразделение51"/>
    <x v="0"/>
    <x v="2"/>
    <n v="0"/>
    <n v="0"/>
    <s v="самоотвод"/>
    <d v="2021-11-11T00:00:00"/>
    <s v="не рассматривали"/>
    <s v="протокол-№-25.12.2020"/>
  </r>
  <r>
    <s v="Функциональное направление 13"/>
    <n v="4"/>
    <d v="2020-12-25T00:00:00"/>
    <n v="1"/>
    <s v="не защищена"/>
    <n v="500640"/>
    <x v="1132"/>
    <n v="51"/>
    <s v="Подразделение51"/>
    <s v="подразделение_2_уровня51"/>
    <s v="подразделение_3_уровня51"/>
    <s v="руководитель_среднего_уровня_4"/>
    <n v="7"/>
    <s v="да"/>
    <d v="2022-05-01T00:00:00"/>
    <d v="2022-05-06T00:00:00"/>
    <s v="внешний найм (учитываем)"/>
    <n v="1105"/>
    <s v="Игнатьев Матвей Захарович"/>
    <n v="1104"/>
    <s v="Дорофеев Иван Дмитриевич"/>
    <s v="линейный_руководитель_2"/>
    <s v="Подразделение51"/>
    <x v="0"/>
    <x v="0"/>
    <n v="1"/>
    <n v="0"/>
    <m/>
    <m/>
    <s v="без изменений"/>
    <s v="протокол-№-01.12.2022"/>
  </r>
  <r>
    <s v="Функциональное направление 13"/>
    <n v="4"/>
    <d v="2022-12-01T00:00:00"/>
    <n v="1"/>
    <s v="не защищена"/>
    <n v="500642"/>
    <x v="1133"/>
    <n v="51"/>
    <s v="Подразделение51"/>
    <s v="подразделение_2_уровня51"/>
    <s v="подразделение_3_уровня51"/>
    <s v="линейный_руководитель_2"/>
    <n v="7"/>
    <s v="нет"/>
    <m/>
    <m/>
    <m/>
    <n v="1106"/>
    <s v="Карасев Матвей Кондратьевич"/>
    <n v="1237"/>
    <s v="Филиппов Афанасий Александрович"/>
    <s v="-"/>
    <s v="-"/>
    <x v="3"/>
    <x v="3"/>
    <n v="0"/>
    <n v="0"/>
    <m/>
    <m/>
    <m/>
    <s v="протокол-№-01.12.2022"/>
  </r>
  <r>
    <s v="Функциональное направление 13"/>
    <n v="3"/>
    <d v="2022-07-01T00:00:00"/>
    <n v="1"/>
    <s v="не защищена"/>
    <n v="500644"/>
    <x v="1134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107"/>
    <s v="Исаев Трофим Александрович"/>
    <n v="2150"/>
    <s v="Тимофеев Виталий Ефремович"/>
    <s v="функциональный_руководитель_1"/>
    <s v="Подразделение110"/>
    <x v="0"/>
    <x v="0"/>
    <n v="1"/>
    <n v="0"/>
    <m/>
    <m/>
    <s v="не рассматривали"/>
    <s v="протокол-№-01.07.2022"/>
  </r>
  <r>
    <s v="Функциональное направление 13"/>
    <n v="3"/>
    <d v="2022-07-01T00:00:00"/>
    <n v="0"/>
    <s v="не защищена"/>
    <n v="500644"/>
    <x v="1134"/>
    <n v="110"/>
    <s v="Подразделение110"/>
    <s v="подразделение_2_уровня110"/>
    <s v="подразделение_3_уровня110"/>
    <s v="линейный_руководитель_3"/>
    <n v="6"/>
    <s v="нет"/>
    <m/>
    <m/>
    <m/>
    <n v="1107"/>
    <s v="Исаев Трофим Александрович"/>
    <n v="2151"/>
    <s v="Тимофеев Савелий Александрович"/>
    <s v="функциональный_руководитель_1"/>
    <s v="Подразделение110"/>
    <x v="2"/>
    <x v="0"/>
    <n v="1"/>
    <n v="0"/>
    <m/>
    <m/>
    <s v="не рассматривали"/>
    <s v="протокол-№-01.07.2022"/>
  </r>
  <r>
    <s v="Функциональное направление 13"/>
    <n v="3"/>
    <d v="2018-12-21T00:00:00"/>
    <n v="1"/>
    <s v="не защищена"/>
    <n v="500719"/>
    <x v="1135"/>
    <n v="49"/>
    <s v="Подразделение49"/>
    <s v="подразделение_2_уровня49"/>
    <s v="-"/>
    <s v="руководитель_среднего_уровня_4"/>
    <n v="6"/>
    <s v="да"/>
    <d v="2022-09-02T00:00:00"/>
    <d v="2022-09-04T00:00:00"/>
    <s v="внутр. сотр. (учитываем)"/>
    <n v="1108"/>
    <s v="Семенов Виталий Михайлович"/>
    <n v="2152"/>
    <s v="Исаев Савелий Семенович"/>
    <s v="Специалист"/>
    <s v="Подразделение49"/>
    <x v="0"/>
    <x v="0"/>
    <n v="1"/>
    <n v="0"/>
    <m/>
    <m/>
    <s v="понижение"/>
    <s v="протокол-№-05.07.2022"/>
  </r>
  <r>
    <s v="Функциональное направление 13"/>
    <n v="3"/>
    <d v="2018-12-21T00:00:00"/>
    <n v="0"/>
    <s v="не защищена"/>
    <n v="500719"/>
    <x v="1135"/>
    <n v="49"/>
    <s v="Подразделение49"/>
    <s v="подразделение_2_уровня49"/>
    <s v="-"/>
    <s v="руководитель_среднего_уровня_4"/>
    <n v="6"/>
    <s v="да"/>
    <d v="2022-09-02T00:00:00"/>
    <d v="2022-09-04T00:00:00"/>
    <s v="внутр. сотр. (учитываем)"/>
    <n v="1108"/>
    <s v="Семенов Виталий Михайлович"/>
    <n v="1109"/>
    <s v="Прохоров Арсений Викторович"/>
    <s v="линейный_руководитель_2"/>
    <s v="Подразделение49"/>
    <x v="2"/>
    <x v="0"/>
    <n v="1"/>
    <n v="0"/>
    <m/>
    <m/>
    <s v="не рассматривали"/>
    <s v="протокол-№-21.12.2018"/>
  </r>
  <r>
    <s v="Функциональное направление 13"/>
    <n v="4"/>
    <d v="2021-11-25T00:00:00"/>
    <n v="1"/>
    <s v="не защищена"/>
    <n v="500720"/>
    <x v="1136"/>
    <n v="49"/>
    <s v="Подразделение49"/>
    <s v="подразделение_2_уровня49"/>
    <s v="-"/>
    <s v="линейный_руководитель_2"/>
    <n v="7"/>
    <s v="нет"/>
    <m/>
    <m/>
    <m/>
    <n v="1109"/>
    <s v="Прохоров Арсений Викторович"/>
    <n v="2153"/>
    <s v="Брежнев Савелий Александрович"/>
    <s v="Рабочий"/>
    <s v="Подразделение49"/>
    <x v="0"/>
    <x v="0"/>
    <n v="0"/>
    <n v="0"/>
    <m/>
    <m/>
    <s v="повышение"/>
    <s v="протокол-№-23.11.2022"/>
  </r>
  <r>
    <s v="Функциональное направление 13"/>
    <n v="4"/>
    <d v="2021-11-25T00:00:00"/>
    <n v="1"/>
    <s v="не защищена"/>
    <n v="500721"/>
    <x v="1137"/>
    <n v="49"/>
    <s v="Подразделение49"/>
    <s v="подразделение_2_уровня49"/>
    <s v="-"/>
    <s v="линейный_руководитель_2"/>
    <n v="7"/>
    <s v="нет"/>
    <m/>
    <m/>
    <m/>
    <n v="1110"/>
    <s v="Брежнев Ефрем Никитинич"/>
    <n v="2154"/>
    <s v="Брежнев Савелий Ефремович"/>
    <s v="Рабочий"/>
    <s v="Подразделение49"/>
    <x v="0"/>
    <x v="0"/>
    <n v="1"/>
    <n v="0"/>
    <m/>
    <m/>
    <s v="повышение"/>
    <s v="протокол-№-23.11.2022"/>
  </r>
  <r>
    <s v="Функциональное направление 5"/>
    <n v="4"/>
    <d v="2023-05-25T00:00:00"/>
    <n v="0"/>
    <s v="не защищена"/>
    <n v="500186"/>
    <x v="23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14T00:00:00"/>
    <d v="2022-03-14T00:00:00"/>
    <s v="ротация (не учитываем)"/>
    <n v="232"/>
    <s v="Зверев Петр Ильич"/>
    <n v="1317"/>
    <s v="Гуськов Роман Герасим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5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1317"/>
    <s v="Гуськов Роман Герасим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6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1317"/>
    <s v="Гуськов Роман Герасим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46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0"/>
    <s v="Аксенов Степан Егорович"/>
    <n v="1317"/>
    <s v="Гуськов Роман Герасим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14T00:00:00"/>
    <d v="2022-03-14T00:00:00"/>
    <s v="ротация (не учитываем)"/>
    <n v="232"/>
    <s v="Зверев Петр Ильич"/>
    <n v="2155"/>
    <s v="Степанов Константин Александр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5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2155"/>
    <s v="Степанов Константин Александр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6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2155"/>
    <s v="Степанов Константин Александр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46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0"/>
    <s v="Аксенов Степан Егорович"/>
    <n v="2155"/>
    <s v="Степанов Константин Александр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14T00:00:00"/>
    <d v="2022-03-14T00:00:00"/>
    <s v="ротация (не учитываем)"/>
    <n v="232"/>
    <s v="Зверев Петр Ильич"/>
    <n v="2156"/>
    <s v="Брежнев Савелий Ефремович"/>
    <s v="Рабочий"/>
    <s v="Подразделение28"/>
    <x v="0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5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2156"/>
    <s v="Брежнев Савелий Ефремович"/>
    <s v="Рабочий"/>
    <s v="Подразделение28"/>
    <x v="0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6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2156"/>
    <s v="Брежнев Савелий Ефремович"/>
    <s v="Рабочий"/>
    <s v="Подразделение28"/>
    <x v="0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46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0"/>
    <s v="Аксенов Степан Егорович"/>
    <n v="2156"/>
    <s v="Брежнев Савелий Ефремович"/>
    <s v="Рабочий"/>
    <s v="Подразделение28"/>
    <x v="0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14T00:00:00"/>
    <d v="2022-03-14T00:00:00"/>
    <s v="ротация (не учитываем)"/>
    <n v="232"/>
    <s v="Зверев Петр Ильич"/>
    <n v="2157"/>
    <s v="Степанов Савелий Ефремович"/>
    <s v="Рабочий"/>
    <s v="Подразделение28"/>
    <x v="0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5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2157"/>
    <s v="Степанов Савелий Ефремович"/>
    <s v="Рабочий"/>
    <s v="Подразделение28"/>
    <x v="0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36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10-06T00:00:00"/>
    <m/>
    <m/>
    <s v="вакансия"/>
    <s v="вакансия"/>
    <n v="2157"/>
    <s v="Степанов Савелий Ефремович"/>
    <s v="Рабочий"/>
    <s v="Подразделение28"/>
    <x v="0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186"/>
    <x v="246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40"/>
    <s v="Аксенов Степан Егорович"/>
    <n v="2157"/>
    <s v="Степанов Савелий Ефремович"/>
    <s v="Рабочий"/>
    <s v="Подразделение28"/>
    <x v="0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222"/>
    <x v="243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39"/>
    <s v="Баранкин Емельян Константинович"/>
    <n v="2158"/>
    <s v="Незнамов Матвей Александрович"/>
    <s v="Рабочий"/>
    <s v="Подразделение28"/>
    <x v="1"/>
    <x v="0"/>
    <n v="1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222"/>
    <x v="24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2158"/>
    <s v="Незнамов Матвей Александрович"/>
    <s v="Рабочий"/>
    <s v="Подразделение28"/>
    <x v="1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222"/>
    <x v="247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2158"/>
    <s v="Незнамов Матвей Александрович"/>
    <s v="Рабочий"/>
    <s v="Подразделение28"/>
    <x v="1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222"/>
    <x v="248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d v="2022-12-15T00:00:00"/>
    <s v="из резерва (учитываем)"/>
    <n v="241"/>
    <s v="Баранкин Емельян Кондратьевич"/>
    <n v="2158"/>
    <s v="Незнамов Матвей Александрович"/>
    <s v="Рабочий"/>
    <s v="Подразделение28"/>
    <x v="1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222"/>
    <x v="243"/>
    <n v="28"/>
    <s v="Подразделение28"/>
    <s v="подразделение_2_уровня28"/>
    <s v="подразделение_3_уровня28"/>
    <s v="линейный_руководитель_1"/>
    <n v="7"/>
    <s v="нет"/>
    <m/>
    <m/>
    <m/>
    <n v="239"/>
    <s v="Баранкин Емельян Константинович"/>
    <n v="2159"/>
    <s v="Степанов Юрий Ефремович"/>
    <s v="Рабочий"/>
    <s v="Подразделение28"/>
    <x v="2"/>
    <x v="0"/>
    <n v="1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222"/>
    <x v="244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2159"/>
    <s v="Степанов Юрий Ефрем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222"/>
    <x v="247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m/>
    <m/>
    <s v="вакансия"/>
    <s v="вакансия"/>
    <n v="2159"/>
    <s v="Степанов Юрий Ефрем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222"/>
    <x v="248"/>
    <n v="28"/>
    <s v="Подразделение28"/>
    <s v="подразделение_2_уровня28"/>
    <s v="подразделение_3_уровня28"/>
    <s v="линейный_руководитель_1"/>
    <n v="7"/>
    <s v="да"/>
    <d v="2022-03-02T00:00:00"/>
    <d v="2022-12-15T00:00:00"/>
    <s v="из резерва (учитываем)"/>
    <n v="241"/>
    <s v="Баранкин Емельян Кондратьевич"/>
    <n v="2159"/>
    <s v="Степанов Юрий Ефремович"/>
    <s v="Рабочий"/>
    <s v="Подразделение28"/>
    <x v="2"/>
    <x v="0"/>
    <n v="0"/>
    <n v="0"/>
    <m/>
    <m/>
    <s v="не рассматривали"/>
    <s v="протокол-№-08.11.2022-ДОП"/>
  </r>
  <r>
    <s v="Функциональное направление 5"/>
    <n v="4"/>
    <d v="2023-05-25T00:00:00"/>
    <n v="0"/>
    <s v="не защищена"/>
    <n v="500216"/>
    <x v="241"/>
    <n v="28"/>
    <s v="Подразделение28"/>
    <s v="подразделение_2_уровня28"/>
    <s v="-"/>
    <s v="линейный_руководитель_2"/>
    <n v="7"/>
    <s v="да"/>
    <d v="2022-05-01T00:00:00"/>
    <d v="2022-12-15T00:00:00"/>
    <s v="из резерва (учитываем)"/>
    <n v="237"/>
    <s v="Макаров Корней Лаврович"/>
    <n v="2160"/>
    <s v="Незнамов Виталий Семенович"/>
    <s v="Рабочий"/>
    <s v="Подразделение28"/>
    <x v="2"/>
    <x v="0"/>
    <n v="1"/>
    <n v="0"/>
    <m/>
    <m/>
    <s v="не рассматривали"/>
    <s v="протокол-№-08.11.2022-ДОП"/>
  </r>
  <r>
    <s v="Функциональное направление 10"/>
    <n v="3"/>
    <d v="2023-06-23T00:00:00"/>
    <n v="0"/>
    <s v="не защищена"/>
    <n v="500009"/>
    <x v="647"/>
    <n v="21"/>
    <s v="Подразделение21"/>
    <s v="-"/>
    <s v="-"/>
    <s v="ТОП_руководитель_2"/>
    <n v="5"/>
    <s v="да"/>
    <d v="2018-07-02T00:00:00"/>
    <d v="2018-07-02T00:00:00"/>
    <s v="из резерва (учитываем)"/>
    <n v="629"/>
    <s v="Волков Константин Егорович"/>
    <n v="715"/>
    <s v="Вобликов Григорий Тимофеевич"/>
    <s v="руководитель_среднего_уровня_4"/>
    <s v="Подразделение21"/>
    <x v="2"/>
    <x v="0"/>
    <n v="1"/>
    <n v="0"/>
    <m/>
    <m/>
    <s v="не рассматривали"/>
    <s v="протокол-№-28.06.2022"/>
  </r>
  <r>
    <s v="Функциональное направление 10"/>
    <n v="3"/>
    <d v="2023-06-23T00:00:00"/>
    <n v="0"/>
    <s v="не защищена"/>
    <n v="500157"/>
    <x v="753"/>
    <n v="21"/>
    <s v="Подразделение21"/>
    <s v="подразделение_2_уровня21"/>
    <s v="-"/>
    <s v="линейный_руководитель_3"/>
    <n v="6"/>
    <s v="да"/>
    <d v="2023-06-24T00:00:00"/>
    <m/>
    <m/>
    <s v="вакансия"/>
    <s v="вакансия"/>
    <n v="722"/>
    <s v="Русланов Алексей Михайлович"/>
    <s v="линейный_руководитель_2"/>
    <s v="Подразделение21"/>
    <x v="0"/>
    <x v="0"/>
    <n v="1"/>
    <n v="0"/>
    <m/>
    <m/>
    <s v="не рассматривали"/>
    <s v="протокол-№-28.06.20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outline="1" outlineData="1" multipleFieldFilters="0">
  <location ref="B5:E1089" firstHeaderRow="1" firstDataRow="2" firstDataCol="1" rowPageCount="1" colPageCount="1"/>
  <pivotFields count="31">
    <pivotField showAll="0"/>
    <pivotField showAll="0" defaultSubtotal="0"/>
    <pivotField numFmtId="14" showAll="0" defaultSubtotal="0"/>
    <pivotField numFmtId="1" showAll="0" defaultSubtotal="0"/>
    <pivotField showAll="0"/>
    <pivotField numFmtId="1" showAll="0" defaultSubtotal="0"/>
    <pivotField axis="axisRow" numFmtId="1" showAll="0" defaultSubtotal="0">
      <items count="2279">
        <item m="1" x="1252"/>
        <item m="1" x="1522"/>
        <item m="1" x="2190"/>
        <item m="1" x="1351"/>
        <item m="1" x="1549"/>
        <item m="1" x="1629"/>
        <item m="1" x="1240"/>
        <item m="1" x="1357"/>
        <item m="1" x="1879"/>
        <item m="1" x="1341"/>
        <item m="1" x="1882"/>
        <item m="1" x="2198"/>
        <item m="1" x="2182"/>
        <item m="1" x="2120"/>
        <item m="1" x="1566"/>
        <item m="1" x="2188"/>
        <item m="1" x="1600"/>
        <item m="1" x="1350"/>
        <item m="1" x="1890"/>
        <item m="1" x="1333"/>
        <item m="1" x="1872"/>
        <item m="1" x="2192"/>
        <item m="1" x="1616"/>
        <item m="1" x="2176"/>
        <item m="1" x="1603"/>
        <item m="1" x="2166"/>
        <item m="1" x="2153"/>
        <item m="1" x="1281"/>
        <item m="1" x="1556"/>
        <item m="1" x="1261"/>
        <item m="1" x="1929"/>
        <item m="1" x="2212"/>
        <item m="1" x="1636"/>
        <item m="1" x="1378"/>
        <item m="1" x="2187"/>
        <item m="1" x="2172"/>
        <item m="1" x="1306"/>
        <item m="1" x="1613"/>
        <item m="1" x="2142"/>
        <item m="1" x="1646"/>
        <item m="1" x="1862"/>
        <item m="1" x="2154"/>
        <item m="1" x="1311"/>
        <item m="1" x="1582"/>
        <item m="1" x="1854"/>
        <item m="1" x="2145"/>
        <item m="1" x="1298"/>
        <item m="1" x="1679"/>
        <item m="1" x="1955"/>
        <item m="1" x="2242"/>
        <item m="1" x="1931"/>
        <item m="1" x="2215"/>
        <item m="1" x="1379"/>
        <item m="1" x="1638"/>
        <item m="1" x="1396"/>
        <item m="1" x="1362"/>
        <item m="1" x="1585"/>
        <item m="1" x="1626"/>
        <item m="1" x="1859"/>
        <item m="1" x="1951"/>
        <item m="1" x="1602"/>
        <item m="1" x="1876"/>
        <item m="1" x="2164"/>
        <item m="1" x="1324"/>
        <item m="1" x="1310"/>
        <item m="1" x="1926"/>
        <item m="1" x="2208"/>
        <item m="1" x="1375"/>
        <item m="1" x="1634"/>
        <item m="1" x="1910"/>
        <item m="1" x="2196"/>
        <item m="1" x="1360"/>
        <item m="1" x="1900"/>
        <item m="1" x="1606"/>
        <item m="1" x="2169"/>
        <item m="1" x="1592"/>
        <item m="1" x="1666"/>
        <item m="1" x="1670"/>
        <item m="1" x="1916"/>
        <item m="1" x="1597"/>
        <item m="1" x="1598"/>
        <item m="1" x="1868"/>
        <item m="1" x="1321"/>
        <item m="1" x="1975"/>
        <item m="1" x="1411"/>
        <item m="1" x="1958"/>
        <item m="1" x="1354"/>
        <item m="1" x="1705"/>
        <item m="1" x="1913"/>
        <item m="1" x="1710"/>
        <item m="1" x="1363"/>
        <item m="1" x="1914"/>
        <item m="1" x="1934"/>
        <item m="1" x="2219"/>
        <item m="1" x="1972"/>
        <item m="1" x="2189"/>
        <item m="1" x="1889"/>
        <item m="1" x="1332"/>
        <item m="1" x="1995"/>
        <item m="1" x="1429"/>
        <item m="1" x="1973"/>
        <item m="1" x="1410"/>
        <item m="1" x="1959"/>
        <item m="1" x="1399"/>
        <item m="1" x="1949"/>
        <item m="1" x="2236"/>
        <item m="1" x="1960"/>
        <item m="1" x="1401"/>
        <item m="1" x="2237"/>
        <item m="1" x="1938"/>
        <item m="1" x="1383"/>
        <item m="1" x="1921"/>
        <item m="1" x="1369"/>
        <item m="1" x="1905"/>
        <item m="1" x="1353"/>
        <item m="1" x="1893"/>
        <item m="1" x="1334"/>
        <item m="1" x="1997"/>
        <item m="1" x="1430"/>
        <item m="1" x="1978"/>
        <item m="1" x="2265"/>
        <item m="1" x="1687"/>
        <item m="1" x="2250"/>
        <item m="1" x="1674"/>
        <item m="1" x="2238"/>
        <item m="1" x="1335"/>
        <item m="1" x="2252"/>
        <item m="1" x="2000"/>
        <item m="1" x="1431"/>
        <item m="1" x="1981"/>
        <item m="1" x="1719"/>
        <item m="1" x="1145"/>
        <item m="1" x="1432"/>
        <item m="1" x="1983"/>
        <item m="1" x="1417"/>
        <item m="1" x="1661"/>
        <item m="1" x="1139"/>
        <item m="1" x="2202"/>
        <item m="1" x="1141"/>
        <item m="1" x="1697"/>
        <item m="1" x="2266"/>
        <item m="1" x="1685"/>
        <item m="1" x="2230"/>
        <item m="1" x="2210"/>
        <item m="1" x="1409"/>
        <item m="1" x="1957"/>
        <item m="1" x="1386"/>
        <item m="1" x="2260"/>
        <item m="1" x="1682"/>
        <item m="1" x="2245"/>
        <item m="1" x="1143"/>
        <item m="1" x="1698"/>
        <item m="1" x="1686"/>
        <item m="1" x="2224"/>
        <item m="1" x="1774"/>
        <item m="1" x="1207"/>
        <item m="1" x="1757"/>
        <item m="1" x="1184"/>
        <item m="1" x="1740"/>
        <item m="1" x="1160"/>
        <item m="1" x="1185"/>
        <item m="1" x="1392"/>
        <item m="1" x="1675"/>
        <item m="1" x="2239"/>
        <item m="1" x="1659"/>
        <item m="1" x="2227"/>
        <item m="1" x="1153"/>
        <item m="1" x="1708"/>
        <item m="1" x="1217"/>
        <item m="1" x="1197"/>
        <item m="1" x="1751"/>
        <item m="1" x="1174"/>
        <item m="1" x="1424"/>
        <item m="1" x="1712"/>
        <item m="1" x="2263"/>
        <item m="1" x="1182"/>
        <item m="1" x="1738"/>
        <item m="1" x="1157"/>
        <item m="1" x="1415"/>
        <item m="1" x="1962"/>
        <item m="1" x="1779"/>
        <item m="1" x="1963"/>
        <item m="1" x="2253"/>
        <item m="1" x="1965"/>
        <item m="1" x="2021"/>
        <item m="1" x="1451"/>
        <item m="1" x="1725"/>
        <item m="1" x="1149"/>
        <item m="1" x="1706"/>
        <item m="1" x="2277"/>
        <item m="1" x="1693"/>
        <item m="1" x="2256"/>
        <item m="1" x="1678"/>
        <item m="1" x="1727"/>
        <item m="1" x="1218"/>
        <item m="1" x="1731"/>
        <item m="1" x="1497"/>
        <item m="1" x="2011"/>
        <item m="1" x="1989"/>
        <item m="1" x="1991"/>
        <item m="1" x="1694"/>
        <item m="1" x="1814"/>
        <item m="1" x="1247"/>
        <item m="1" x="2027"/>
        <item m="1" x="2094"/>
        <item m="1" x="1696"/>
        <item m="1" x="2259"/>
        <item m="1" x="1680"/>
        <item m="1" x="2244"/>
        <item m="1" x="1699"/>
        <item m="1" x="1741"/>
        <item m="1" x="1488"/>
        <item m="1" x="1468"/>
        <item m="1" x="2018"/>
        <item m="1" x="1446"/>
        <item m="1" x="2100"/>
        <item m="1" x="2084"/>
        <item m="1" x="1507"/>
        <item m="1" x="1254"/>
        <item m="1" x="1797"/>
        <item m="1" x="1235"/>
        <item m="1" x="1780"/>
        <item m="1" x="1490"/>
        <item m="1" x="1759"/>
        <item m="1" x="1188"/>
        <item m="1" x="1744"/>
        <item m="1" x="1166"/>
        <item m="1" x="1433"/>
        <item m="1" x="2274"/>
        <item m="1" x="1691"/>
        <item m="1" x="2254"/>
        <item m="1" x="1255"/>
        <item m="1" x="1800"/>
        <item m="1" x="1509"/>
        <item m="1" x="1783"/>
        <item m="1" x="1491"/>
        <item m="1" x="1470"/>
        <item m="1" x="2020"/>
        <item m="1" x="1449"/>
        <item m="1" x="1192"/>
        <item m="1" x="1745"/>
        <item m="1" x="1723"/>
        <item m="1" x="1147"/>
        <item m="1" x="1704"/>
        <item m="1" x="2276"/>
        <item m="1" x="1801"/>
        <item m="1" x="1238"/>
        <item m="1" x="1784"/>
        <item m="1" x="1213"/>
        <item m="1" x="1405"/>
        <item m="1" x="1438"/>
        <item m="1" x="1985"/>
        <item m="1" x="1422"/>
        <item m="1" x="2257"/>
        <item m="1" x="1728"/>
        <item m="1" x="1476"/>
        <item m="1" x="1810"/>
        <item m="1" x="1792"/>
        <item m="1" x="1224"/>
        <item m="1" x="1768"/>
        <item m="1" x="1479"/>
        <item m="1" x="2028"/>
        <item m="1" x="1456"/>
        <item m="1" x="1484"/>
        <item m="1" x="2037"/>
        <item m="1" x="1267"/>
        <item m="1" x="1817"/>
        <item m="1" x="1998"/>
        <item m="1" x="1144"/>
        <item m="1" x="2016"/>
        <item m="1" x="1999"/>
        <item m="1" x="1418"/>
        <item m="1" x="1832"/>
        <item m="1" x="1798"/>
        <item m="1" x="1434"/>
        <item m="1" x="1984"/>
        <item m="1" x="1420"/>
        <item m="1" x="2122"/>
        <item m="1" x="1551"/>
        <item m="1" x="2278"/>
        <item m="1" x="1837"/>
        <item m="1" x="1275"/>
        <item m="1" x="1807"/>
        <item m="1" x="1219"/>
        <item m="1" x="1766"/>
        <item m="1" x="1198"/>
        <item m="1" x="1749"/>
        <item m="1" x="1170"/>
        <item m="1" x="1987"/>
        <item m="1" x="1200"/>
        <item m="1" x="1811"/>
        <item m="1" x="1244"/>
        <item m="1" x="1791"/>
        <item m="1" x="1793"/>
        <item m="1" x="2030"/>
        <item m="1" x="1539"/>
        <item m="1" x="2033"/>
        <item m="1" x="1427"/>
        <item m="1" x="2132"/>
        <item m="1" x="1520"/>
        <item m="1" x="1483"/>
        <item m="1" x="2036"/>
        <item m="1" x="1464"/>
        <item m="1" x="2014"/>
        <item m="1" x="1443"/>
        <item m="1" x="1993"/>
        <item m="1" x="1183"/>
        <item m="1" x="1159"/>
        <item m="1" x="1716"/>
        <item m="1" x="1142"/>
        <item m="1" x="1847"/>
        <item m="1" x="2039"/>
        <item m="1" x="1467"/>
        <item m="1" x="2017"/>
        <item m="1" x="1546"/>
        <item m="1" x="2101"/>
        <item m="1" x="1524"/>
        <item m="1" x="2085"/>
        <item m="1" x="1508"/>
        <item m="1" x="2062"/>
        <item m="1" x="1489"/>
        <item m="1" x="2040"/>
        <item m="1" x="1469"/>
        <item m="1" x="1163"/>
        <item m="1" x="1447"/>
        <item m="1" x="1513"/>
        <item m="1" x="1763"/>
        <item m="1" x="1473"/>
        <item m="1" x="2022"/>
        <item m="1" x="1452"/>
        <item m="1" x="2008"/>
        <item m="1" x="1806"/>
        <item m="1" x="1168"/>
        <item m="1" x="1839"/>
        <item m="1" x="1277"/>
        <item m="1" x="1825"/>
        <item m="1" x="1259"/>
        <item m="1" x="1201"/>
        <item m="1" x="1573"/>
        <item m="1" x="2130"/>
        <item m="1" x="2118"/>
        <item m="1" x="1265"/>
        <item m="1" x="2097"/>
        <item m="1" x="1248"/>
        <item m="1" x="2055"/>
        <item m="1" x="1268"/>
        <item m="1" x="1542"/>
        <item m="1" x="2136"/>
        <item m="1" x="1567"/>
        <item m="1" x="1253"/>
        <item m="1" x="2082"/>
        <item m="1" x="1506"/>
        <item m="1" x="2059"/>
        <item m="1" x="2150"/>
        <item m="1" x="1850"/>
        <item m="1" x="1292"/>
        <item m="1" x="1833"/>
        <item m="1" x="1271"/>
        <item m="1" x="1237"/>
        <item m="1" x="1278"/>
        <item m="1" x="2107"/>
        <item m="1" x="1529"/>
        <item m="1" x="2090"/>
        <item m="1" x="2110"/>
        <item m="1" x="1533"/>
        <item m="1" x="1176"/>
        <item m="1" x="2098"/>
        <item m="1" x="1249"/>
        <item m="1" x="1519"/>
        <item m="1" x="2074"/>
        <item m="1" x="1228"/>
        <item m="1" x="1502"/>
        <item m="1" x="1772"/>
        <item m="1" x="2053"/>
        <item m="1" x="1205"/>
        <item m="1" x="1481"/>
        <item m="1" x="1756"/>
        <item m="1" x="2034"/>
        <item m="1" x="1179"/>
        <item m="1" x="1461"/>
        <item m="1" x="1465"/>
        <item m="1" x="1576"/>
        <item m="1" x="1818"/>
        <item m="1" x="2038"/>
        <item m="1" x="1866"/>
        <item m="1" x="1320"/>
        <item m="1" x="1858"/>
        <item m="1" x="2135"/>
        <item m="1" x="1541"/>
        <item m="1" x="1250"/>
        <item m="1" x="2077"/>
        <item m="1" x="1231"/>
        <item m="1" x="1503"/>
        <item m="1" x="1773"/>
        <item m="1" x="2057"/>
        <item m="1" x="2079"/>
        <item m="1" x="1233"/>
        <item m="1" x="1504"/>
        <item m="1" x="1775"/>
        <item m="1" x="1208"/>
        <item m="1" x="1777"/>
        <item m="1" x="1758"/>
        <item m="1" x="2041"/>
        <item m="1" x="1799"/>
        <item m="1" x="2086"/>
        <item m="1" x="1781"/>
        <item m="1" x="1851"/>
        <item m="1" x="2140"/>
        <item m="1" x="1761"/>
        <item m="1" x="2043"/>
        <item m="1" x="1190"/>
        <item m="1" x="1803"/>
        <item m="1" x="2087"/>
        <item m="1" x="1239"/>
        <item m="1" x="1511"/>
        <item m="1" x="1785"/>
        <item m="1" x="2065"/>
        <item m="1" x="1214"/>
        <item m="1" x="1492"/>
        <item m="1" x="1193"/>
        <item m="1" x="1472"/>
        <item m="1" x="1874"/>
        <item m="1" x="2162"/>
        <item m="1" x="1323"/>
        <item m="1" x="1570"/>
        <item m="1" x="1196"/>
        <item m="1" x="1474"/>
        <item m="1" x="1878"/>
        <item m="1" x="2167"/>
        <item m="1" x="1325"/>
        <item m="1" x="1589"/>
        <item m="1" x="1860"/>
        <item m="1" x="2152"/>
        <item m="1" x="1580"/>
        <item m="1" x="1838"/>
        <item m="1" x="2125"/>
        <item m="1" x="1276"/>
        <item m="1" x="1553"/>
        <item m="1" x="1823"/>
        <item m="1" x="2106"/>
        <item m="1" x="1258"/>
        <item m="1" x="1528"/>
        <item m="1" x="1805"/>
        <item m="1" x="2089"/>
        <item m="1" x="2126"/>
        <item m="1" x="1279"/>
        <item m="1" x="1554"/>
        <item m="1" x="1826"/>
        <item m="1" x="2108"/>
        <item m="1" x="1260"/>
        <item m="1" x="1531"/>
        <item m="1" x="1808"/>
        <item m="1" x="2091"/>
        <item m="1" x="1241"/>
        <item m="1" x="1514"/>
        <item m="1" x="1787"/>
        <item m="1" x="2069"/>
        <item m="1" x="1220"/>
        <item m="1" x="1296"/>
        <item m="1" x="1226"/>
        <item m="1" x="2156"/>
        <item m="1" x="1523"/>
        <item m="1" x="2083"/>
        <item m="1" x="1308"/>
        <item m="1" x="1852"/>
        <item m="1" x="1294"/>
        <item m="1" x="1835"/>
        <item m="1" x="2151"/>
        <item m="1" x="1579"/>
        <item m="1" x="2124"/>
        <item m="1" x="2105"/>
        <item m="1" x="1527"/>
        <item m="1" x="2088"/>
        <item m="1" x="1530"/>
        <item m="1" x="1280"/>
        <item m="1" x="2109"/>
        <item m="1" x="1532"/>
        <item m="1" x="2092"/>
        <item m="1" x="1515"/>
        <item m="1" x="2070"/>
        <item m="1" x="1809"/>
        <item m="1" x="1242"/>
        <item m="1" x="1788"/>
        <item m="1" x="2180"/>
        <item m="1" x="1883"/>
        <item m="1" x="1327"/>
        <item m="1" x="1863"/>
        <item m="1" x="1314"/>
        <item m="1" x="1499"/>
        <item m="1" x="2181"/>
        <item m="1" x="2146"/>
        <item m="1" x="1593"/>
        <item m="1" x="2148"/>
        <item m="1" x="1230"/>
        <item m="1" x="1902"/>
        <item m="1" x="1348"/>
        <item m="1" x="1887"/>
        <item m="1" x="1331"/>
        <item m="1" x="1867"/>
        <item m="1" x="1848"/>
        <item m="1" x="1291"/>
        <item m="1" x="1903"/>
        <item m="1" x="1795"/>
        <item m="1" x="1232"/>
        <item m="1" x="1904"/>
        <item m="1" x="1349"/>
        <item m="1" x="2173"/>
        <item m="1" x="1894"/>
        <item m="1" x="1873"/>
        <item m="1" x="1355"/>
        <item m="1" x="1614"/>
        <item m="1" x="1336"/>
        <item m="1" x="1877"/>
        <item m="1" x="2165"/>
        <item m="1" x="1912"/>
        <item m="1" x="1359"/>
        <item m="1" x="1899"/>
        <item m="1" x="1340"/>
        <item m="1" x="1881"/>
        <item m="1" x="2127"/>
        <item m="1" x="1557"/>
        <item m="1" x="2111"/>
        <item m="1" x="1534"/>
        <item m="1" x="2093"/>
        <item m="1" x="1517"/>
        <item m="1" x="1328"/>
        <item m="1" x="1560"/>
        <item m="1" x="2115"/>
        <item m="1" x="2095"/>
        <item m="1" x="1855"/>
        <item m="1" x="1856"/>
        <item m="1" x="1346"/>
        <item m="1" x="1318"/>
        <item m="1" x="1623"/>
        <item m="1" x="1610"/>
        <item m="1" x="1586"/>
        <item m="1" x="2201"/>
        <item m="1" x="1625"/>
        <item m="1" x="2186"/>
        <item m="1" x="1601"/>
        <item m="1" x="2160"/>
        <item m="1" x="1568"/>
        <item m="1" x="1547"/>
        <item m="1" x="1898"/>
        <item m="1" x="1339"/>
        <item m="1" x="1880"/>
        <item m="1" x="1326"/>
        <item m="1" x="1572"/>
        <item m="1" x="2128"/>
        <item m="1" x="2114"/>
        <item m="1" x="1536"/>
        <item m="1" x="2213"/>
        <item m="1" x="1282"/>
        <item m="1" x="1559"/>
        <item m="1" x="1827"/>
        <item m="1" x="1361"/>
        <item m="1" x="1620"/>
        <item m="1" x="1300"/>
        <item m="1" x="1608"/>
        <item m="1" x="1285"/>
        <item m="1" x="1561"/>
        <item m="1" x="1621"/>
        <item m="1" x="1562"/>
        <item m="1" x="2217"/>
        <item m="1" x="1365"/>
        <item m="1" x="1347"/>
        <item m="1" x="1885"/>
        <item m="1" x="1329"/>
        <item m="1" x="1864"/>
        <item m="1" x="1317"/>
        <item m="1" x="1303"/>
        <item m="1" x="1575"/>
        <item m="1" x="1845"/>
        <item m="1" x="2133"/>
        <item m="1" x="1290"/>
        <item m="1" x="1565"/>
        <item m="1" x="1831"/>
        <item m="1" x="1865"/>
        <item m="1" x="1319"/>
        <item m="1" x="1857"/>
        <item m="1" x="1304"/>
        <item m="1" x="1940"/>
        <item m="1" x="2226"/>
        <item m="1" x="1385"/>
        <item m="1" x="1649"/>
        <item m="1" x="1631"/>
        <item m="1" x="1313"/>
        <item m="1" x="1301"/>
        <item m="1" x="2183"/>
        <item m="1" x="1609"/>
        <item m="1" x="1886"/>
        <item m="1" x="2170"/>
        <item m="1" x="1330"/>
        <item m="1" x="1596"/>
        <item m="1" x="2184"/>
        <item m="1" x="1352"/>
        <item m="1" x="1612"/>
        <item m="1" x="1922"/>
        <item m="1" x="2205"/>
        <item m="1" x="1370"/>
        <item m="1" x="1628"/>
        <item m="1" x="1906"/>
        <item m="1" x="1577"/>
        <item m="1" x="2240"/>
        <item m="1" x="1393"/>
        <item m="1" x="1660"/>
        <item m="1" x="1941"/>
        <item m="1" x="2228"/>
        <item m="1" x="1908"/>
        <item m="1" x="2193"/>
        <item m="1" x="1356"/>
        <item m="1" x="1615"/>
        <item m="1" x="1896"/>
        <item m="1" x="2175"/>
        <item m="1" x="1338"/>
        <item m="1" x="1571"/>
        <item m="1" x="1953"/>
        <item m="1" x="1604"/>
        <item m="1" x="2179"/>
        <item m="1" x="1343"/>
        <item m="1" x="1917"/>
        <item m="1" x="2249"/>
        <item m="1" x="1400"/>
        <item m="1" x="1950"/>
        <item m="1" x="1307"/>
        <item m="1" x="1578"/>
        <item m="1" x="1961"/>
        <item m="1" x="2251"/>
        <item m="1" x="1403"/>
        <item m="1" x="1322"/>
        <item m="1" x="2229"/>
        <item m="1" x="1650"/>
        <item m="1" x="1927"/>
        <item m="1" x="2209"/>
        <item m="1" x="1376"/>
        <item m="1" x="1635"/>
        <item m="1" x="1911"/>
        <item m="1" x="2197"/>
        <item m="1" x="1640"/>
        <item m="1" x="2171"/>
        <item m="1" x="1611"/>
        <item m="1" x="1888"/>
        <item m="1" x="1656"/>
        <item m="1" x="1935"/>
        <item m="1" x="2220"/>
        <item m="1" x="1381"/>
        <item m="1" x="1642"/>
        <item m="1" x="1918"/>
        <item m="1" x="2203"/>
        <item m="1" x="1367"/>
        <item m="1" x="1588"/>
        <item m="1" x="2273"/>
        <item m="1" x="1419"/>
        <item m="1" x="1690"/>
        <item m="1" x="1964"/>
        <item m="1" x="1663"/>
        <item m="1" x="1358"/>
        <item m="1" x="1344"/>
        <item m="1" x="2199"/>
        <item m="1" x="1152"/>
        <item m="1" x="2258"/>
        <item m="1" x="2214"/>
        <item m="1" x="1390"/>
        <item m="1" x="1653"/>
        <item m="1" x="2264"/>
        <item m="1" x="1683"/>
        <item m="1" x="2248"/>
        <item m="1" x="1630"/>
        <item m="1" x="1742"/>
        <item m="1" x="1164"/>
        <item m="1" x="1720"/>
        <item m="1" x="1146"/>
        <item m="1" x="2275"/>
        <item m="1" x="1692"/>
        <item m="1" x="2255"/>
        <item m="1" x="1676"/>
        <item m="1" x="1637"/>
        <item m="1" x="1389"/>
        <item m="1" x="1930"/>
        <item m="1" x="1377"/>
        <item m="1" x="1475"/>
        <item m="1" x="2025"/>
        <item m="1" x="1171"/>
        <item m="1" x="1729"/>
        <item m="1" x="2010"/>
        <item m="1" x="1439"/>
        <item m="1" x="1709"/>
        <item m="1" x="1988"/>
        <item m="1" x="1968"/>
        <item m="1" x="1406"/>
        <item m="1" x="2216"/>
        <item m="1" x="1969"/>
        <item m="1" x="1407"/>
        <item m="1" x="1956"/>
        <item m="1" x="1397"/>
        <item m="1" x="1669"/>
        <item m="1" x="2234"/>
        <item m="1" x="1655"/>
        <item m="1" x="2218"/>
        <item m="1" x="1425"/>
        <item m="1" x="1671"/>
        <item m="1" x="1736"/>
        <item m="1" x="1643"/>
        <item m="1" x="1952"/>
        <item m="1" x="1384"/>
        <item m="1" x="2058"/>
        <item m="1" x="1485"/>
        <item m="1" x="1445"/>
        <item m="1" x="1700"/>
        <item m="1" x="1979"/>
        <item m="1" x="2267"/>
        <item m="1" x="1413"/>
        <item m="1" x="1161"/>
        <item m="1" x="1658"/>
        <item m="1" x="1701"/>
        <item m="1" x="1689"/>
        <item m="1" x="2042"/>
        <item m="1" x="2004"/>
        <item m="1" x="1954"/>
        <item m="1" x="2023"/>
        <item m="1" x="1726"/>
        <item m="1" x="1986"/>
        <item m="1" x="1423"/>
        <item m="1" x="1387"/>
        <item m="1" x="2067"/>
        <item m="1" x="1764"/>
        <item m="1" x="1388"/>
        <item m="1" x="2068"/>
        <item m="1" x="1494"/>
        <item m="1" x="1765"/>
        <item m="1" x="1748"/>
        <item m="1" x="1172"/>
        <item m="1" x="1990"/>
        <item m="1" x="1668"/>
        <item m="1" x="1752"/>
        <item m="1" x="1971"/>
        <item m="1" x="1974"/>
        <item m="1" x="1743"/>
        <item m="1" x="2019"/>
        <item m="1" x="1165"/>
        <item m="1" x="1448"/>
        <item m="1" x="1721"/>
        <item m="1" x="2002"/>
        <item m="1" x="1421"/>
        <item m="1" x="2241"/>
        <item m="1" x="1786"/>
        <item m="1" x="1495"/>
        <item m="1" x="2045"/>
        <item m="1" x="1440"/>
        <item m="1" x="1408"/>
        <item m="1" x="1412"/>
        <item m="1" x="2080"/>
        <item m="1" x="2001"/>
        <item m="1" x="1416"/>
        <item m="1" x="1211"/>
        <item m="1" x="1187"/>
        <item m="1" x="2003"/>
        <item m="1" x="1435"/>
        <item m="1" x="1216"/>
        <item m="1" x="2117"/>
        <item m="1" x="1540"/>
        <item m="1" x="2269"/>
        <item m="1" x="1414"/>
        <item m="1" x="1688"/>
        <item m="1" x="2121"/>
        <item m="1" x="1269"/>
        <item m="1" x="1545"/>
        <item m="1" x="1209"/>
        <item m="1" x="2102"/>
        <item m="1" x="1236"/>
        <item m="1" x="1510"/>
        <item m="1" x="1782"/>
        <item m="1" x="2063"/>
        <item m="1" x="1189"/>
        <item m="1" x="1789"/>
        <item m="1" x="1221"/>
        <item m="1" x="1496"/>
        <item m="1" x="1767"/>
        <item m="1" x="2046"/>
        <item m="1" x="1477"/>
        <item m="1" x="2112"/>
        <item m="1" x="1263"/>
        <item m="1" x="1537"/>
        <item m="1" x="1815"/>
        <item m="1" x="1288"/>
        <item m="1" x="1563"/>
        <item m="1" x="1457"/>
        <item m="1" x="1718"/>
        <item m="1" x="2099"/>
        <item m="1" x="1251"/>
        <item m="1" x="1521"/>
        <item m="1" x="1796"/>
        <item m="1" x="2081"/>
        <item m="1" x="1234"/>
        <item m="1" x="1505"/>
        <item m="1" x="1776"/>
        <item m="1" x="1778"/>
        <item m="1" x="2060"/>
        <item m="1" x="1486"/>
        <item m="1" x="1703"/>
        <item m="1" x="2137"/>
        <item m="1" x="1272"/>
        <item m="1" x="1820"/>
        <item m="1" x="2104"/>
        <item m="1" x="2005"/>
        <item m="1" x="1257"/>
        <item m="1" x="1526"/>
        <item m="1" x="1804"/>
        <item m="1" x="1274"/>
        <item m="1" x="1550"/>
        <item m="1" x="2007"/>
        <item m="1" x="1150"/>
        <item m="1" x="1437"/>
        <item m="1" x="1707"/>
        <item m="1" x="1790"/>
        <item m="1" x="2071"/>
        <item m="1" x="1222"/>
        <item m="1" x="2113"/>
        <item m="1" x="1262"/>
        <item m="1" x="1535"/>
        <item m="1" x="1812"/>
        <item m="1" x="1501"/>
        <item m="1" x="1770"/>
        <item m="1" x="2051"/>
        <item m="1" x="1203"/>
        <item m="1" x="1753"/>
        <item m="1" x="2031"/>
        <item m="1" x="1177"/>
        <item m="1" x="1458"/>
        <item m="1" x="1733"/>
        <item m="1" x="2035"/>
        <item m="1" x="1180"/>
        <item m="1" x="1462"/>
        <item m="1" x="1734"/>
        <item m="1" x="2012"/>
        <item m="1" x="1155"/>
        <item m="1" x="1442"/>
        <item m="1" x="1714"/>
        <item m="1" x="2147"/>
        <item m="1" x="1302"/>
        <item m="1" x="1844"/>
        <item m="1" x="2131"/>
        <item m="1" x="1289"/>
        <item m="1" x="1564"/>
        <item m="1" x="1830"/>
        <item m="1" x="2119"/>
        <item m="1" x="1266"/>
        <item m="1" x="1181"/>
        <item m="1" x="1463"/>
        <item m="1" x="1735"/>
        <item m="1" x="2013"/>
        <item m="1" x="2056"/>
        <item m="1" x="1760"/>
        <item m="1" x="1471"/>
        <item m="1" x="1167"/>
        <item m="1" x="1925"/>
        <item m="1" x="2194"/>
        <item m="1" x="2143"/>
        <item m="1" x="1295"/>
        <item m="1" x="1605"/>
        <item m="1" x="1681"/>
        <item m="1" x="1672"/>
        <item m="1" x="2246"/>
        <item m="1" x="1884"/>
        <item m="1" x="1869"/>
        <item m="1" x="1976"/>
        <item m="1" x="2222"/>
        <item m="1" x="1947"/>
        <item m="1" x="1943"/>
        <item m="1" x="2261"/>
        <item m="1" x="1695"/>
        <item m="1" x="1891"/>
        <item m="1" x="1732"/>
        <item m="1" x="1647"/>
        <item m="1" x="1194"/>
        <item m="1" x="1186"/>
        <item m="1" x="1702"/>
        <item m="1" x="1982"/>
        <item m="1" x="2271"/>
        <item m="1" x="1558"/>
        <item m="1" x="1813"/>
        <item m="1" x="2072"/>
        <item m="1" x="1225"/>
        <item m="1" x="2064"/>
        <item m="1" x="1942"/>
        <item m="1" x="1543"/>
        <item m="1" x="1936"/>
        <item m="1" x="1162"/>
        <item m="1" x="1819"/>
        <item m="1" x="1227"/>
        <item m="1" x="2026"/>
        <item m="1" x="1754"/>
        <item m="1" x="1459"/>
        <item m="1" x="1821"/>
        <item m="1" x="1525"/>
        <item m="1" x="1453"/>
        <item m="1" x="1581"/>
        <item m="1" x="1555"/>
        <item m="1" x="1394"/>
        <item m="1" x="1651"/>
        <item m="1" x="1928"/>
        <item m="1" x="2211"/>
        <item m="1" x="2178"/>
        <item m="1" x="1342"/>
        <item m="1" x="1337"/>
        <item m="1" x="1722"/>
        <item m="1" x="1639"/>
        <item m="1" x="1915"/>
        <item m="1" x="1243"/>
        <item m="1" x="1516"/>
        <item m="1" x="1223"/>
        <item m="1" x="1498"/>
        <item m="1" x="2048"/>
        <item m="1" x="2075"/>
        <item m="1" x="1315"/>
        <item m="1" x="2076"/>
        <item m="1" x="1840"/>
        <item m="1" x="1245"/>
        <item m="1" x="1970"/>
        <item m="1" x="2078"/>
        <item m="1" x="2029"/>
        <item m="1" x="1518"/>
        <item m="1" x="2054"/>
        <item m="1" x="1305"/>
        <item m="1" x="1870"/>
        <item m="1" x="2161"/>
        <item m="1" x="1309"/>
        <item m="1" x="1853"/>
        <item m="1" x="1875"/>
        <item m="1" x="2163"/>
        <item m="1" x="1372"/>
        <item m="1" x="1373"/>
        <item m="1" x="1632"/>
        <item m="1" x="1617"/>
        <item m="1" x="1374"/>
        <item m="1" x="1861"/>
        <item m="1" x="1824"/>
        <item m="1" x="1590"/>
        <item m="1" x="1944"/>
        <item m="1" x="1932"/>
        <item m="1" x="1345"/>
        <item m="1" x="1897"/>
        <item m="1" x="1966"/>
        <item m="1" x="2073"/>
        <item m="1" x="2200"/>
        <item m="1" x="1901"/>
        <item m="1" x="1398"/>
        <item m="1" x="1283"/>
        <item m="1" x="1191"/>
        <item m="1" x="1802"/>
        <item m="1" x="1746"/>
        <item m="1" x="2141"/>
        <item m="1" x="1246"/>
        <item m="1" x="2049"/>
        <item m="1" x="2191"/>
        <item m="1" x="1836"/>
        <item m="1" x="1395"/>
        <item m="1" x="1664"/>
        <item m="1" x="1794"/>
        <item m="1" x="2195"/>
        <item m="1" x="2138"/>
        <item m="1" x="1599"/>
        <item m="1" x="2231"/>
        <item m="1" x="1366"/>
        <item m="1" x="1624"/>
        <item m="1" x="1426"/>
        <item m="1" x="2168"/>
        <item m="1" x="1574"/>
        <item m="1" x="2262"/>
        <item m="1" x="2024"/>
        <item m="1" x="1169"/>
        <item m="1" x="1454"/>
        <item m="1" x="2247"/>
        <item m="1" x="2235"/>
        <item m="1" x="1739"/>
        <item m="1" x="1717"/>
        <item m="1" x="1512"/>
        <item m="1" x="1151"/>
        <item m="1" x="1173"/>
        <item m="1" x="1730"/>
        <item m="1" x="2009"/>
        <item m="1" x="1154"/>
        <item m="1" x="1441"/>
        <item m="1" x="1711"/>
        <item m="1" x="1992"/>
        <item m="1" x="1138"/>
        <item m="1" x="2096"/>
        <item m="1" x="1202"/>
        <item m="1" x="1175"/>
        <item m="1" x="1286"/>
        <item m="1" x="1828"/>
        <item m="1" x="2116"/>
        <item m="1" x="1264"/>
        <item m="1" x="1538"/>
        <item m="1" x="1816"/>
        <item m="1" x="1771"/>
        <item m="1" x="2052"/>
        <item m="1" x="1204"/>
        <item m="1" x="1480"/>
        <item m="1" x="1755"/>
        <item m="1" x="2032"/>
        <item m="1" x="1178"/>
        <item m="1" x="1460"/>
        <item m="1" x="1229"/>
        <item m="1" x="1466"/>
        <item m="1" x="1737"/>
        <item m="1" x="2015"/>
        <item m="1" x="1156"/>
        <item m="1" x="1444"/>
        <item m="1" x="1715"/>
        <item m="1" x="1994"/>
        <item m="1" x="1140"/>
        <item m="1" x="1428"/>
        <item m="1" x="1846"/>
        <item m="1" x="2134"/>
        <item m="1" x="1544"/>
        <item m="1" x="2061"/>
        <item m="1" x="1210"/>
        <item m="1" x="1487"/>
        <item m="1" x="1849"/>
        <item m="1" x="1270"/>
        <item m="1" x="1548"/>
        <item m="1" x="1822"/>
        <item m="1" x="2103"/>
        <item m="1" x="1212"/>
        <item m="1" x="2139"/>
        <item m="1" x="1293"/>
        <item m="1" x="1569"/>
        <item m="1" x="1834"/>
        <item m="1" x="2123"/>
        <item m="1" x="1273"/>
        <item m="1" x="1450"/>
        <item m="1" x="1724"/>
        <item m="1" x="2006"/>
        <item m="1" x="1148"/>
        <item m="1" x="1436"/>
        <item m="1" x="2066"/>
        <item m="1" x="1215"/>
        <item m="1" x="1493"/>
        <item m="1" x="1762"/>
        <item m="1" x="2044"/>
        <item m="1" x="2223"/>
        <item m="1" x="1404"/>
        <item m="1" x="2221"/>
        <item m="1" x="1382"/>
        <item m="1" x="1644"/>
        <item m="1" x="1919"/>
        <item m="1" x="2204"/>
        <item m="1" x="1368"/>
        <item m="1" x="1627"/>
        <item m="1" x="1657"/>
        <item m="1" x="1937"/>
        <item m="1" x="1402"/>
        <item m="1" x="1673"/>
        <item m="1" x="2268"/>
        <item m="1" x="1907"/>
        <item m="1" x="2270"/>
        <item m="1" x="1939"/>
        <item m="1" x="2225"/>
        <item m="1" x="1923"/>
        <item m="1" x="2206"/>
        <item m="1" x="1895"/>
        <item m="1" x="2174"/>
        <item m="1" x="2177"/>
        <item m="1" x="1662"/>
        <item m="1" x="1909"/>
        <item m="1" x="2272"/>
        <item m="1" x="1996"/>
        <item m="1" x="1677"/>
        <item m="1" x="1633"/>
        <item m="1" x="1967"/>
        <item m="1" x="1195"/>
        <item m="1" x="1747"/>
        <item m="1" x="2047"/>
        <item m="1" x="2243"/>
        <item m="1" x="1713"/>
        <item m="1" x="1482"/>
        <item m="1" x="1684"/>
        <item m="1" x="1980"/>
        <item m="1" x="1948"/>
        <item m="1" x="1500"/>
        <item m="1" x="1769"/>
        <item m="1" x="2050"/>
        <item m="1" x="1256"/>
        <item m="1" x="1648"/>
        <item m="1" x="1924"/>
        <item m="1" x="2207"/>
        <item m="1" x="1371"/>
        <item m="1" x="1552"/>
        <item m="1" x="1871"/>
        <item m="1" x="2157"/>
        <item m="1" x="1316"/>
        <item m="1" x="1206"/>
        <item m="1" x="1977"/>
        <item m="1" x="1645"/>
        <item m="1" x="1920"/>
        <item m="1" x="1158"/>
        <item m="1" x="1455"/>
        <item m="1" x="1299"/>
        <item m="1" x="1584"/>
        <item m="1" x="1829"/>
        <item m="1" x="1594"/>
        <item m="1" x="1946"/>
        <item m="1" x="1595"/>
        <item m="1" x="2158"/>
        <item m="1" x="2149"/>
        <item m="1" x="1618"/>
        <item m="1" x="1892"/>
        <item m="1" x="1587"/>
        <item m="1" x="1199"/>
        <item m="1" x="1750"/>
        <item m="1" x="1841"/>
        <item m="1" x="1478"/>
        <item m="1" x="2155"/>
        <item m="1" x="1312"/>
        <item m="1" x="1842"/>
        <item m="1" x="1652"/>
        <item m="1" x="1619"/>
        <item m="1" x="1591"/>
        <item m="1" x="1297"/>
        <item m="1" x="1665"/>
        <item m="1" x="2232"/>
        <item m="1" x="1607"/>
        <item m="1" x="1284"/>
        <item m="1" x="1843"/>
        <item m="1" x="2129"/>
        <item m="1" x="1287"/>
        <item m="1" x="1667"/>
        <item m="1" x="1945"/>
        <item m="1" x="2233"/>
        <item m="1" x="1391"/>
        <item m="1" x="1654"/>
        <item m="1" x="1933"/>
        <item m="1" x="1380"/>
        <item m="1" x="1364"/>
        <item m="1" x="1622"/>
        <item m="1" x="1641"/>
        <item m="1" x="2185"/>
        <item m="1" x="2159"/>
        <item m="1" x="1583"/>
        <item m="1" x="2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numFmtId="1" showAll="0" defaultSubtota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axis="axisCol" showAll="0">
      <items count="9">
        <item m="1" x="7"/>
        <item m="1" x="6"/>
        <item m="1" x="5"/>
        <item x="3"/>
        <item m="1" x="4"/>
        <item x="0"/>
        <item x="1"/>
        <item x="2"/>
        <item t="default"/>
      </items>
    </pivotField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showAll="0" defaultSubtotal="0"/>
    <pivotField showAll="0"/>
    <pivotField showAll="0" defaultSubtotal="0"/>
    <pivotField showAll="0" defaultSubtotal="0"/>
    <pivotField showAll="0"/>
    <pivotField showAll="0" defaultSubtotal="0"/>
  </pivotFields>
  <rowFields count="1">
    <field x="6"/>
  </rowFields>
  <rowItems count="1083"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4"/>
    </i>
    <i>
      <x v="1345"/>
    </i>
    <i>
      <x v="1346"/>
    </i>
    <i>
      <x v="1347"/>
    </i>
    <i>
      <x v="1350"/>
    </i>
    <i>
      <x v="1351"/>
    </i>
    <i>
      <x v="1352"/>
    </i>
    <i>
      <x v="1353"/>
    </i>
    <i>
      <x v="1354"/>
    </i>
    <i>
      <x v="1356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1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9"/>
    </i>
    <i>
      <x v="1710"/>
    </i>
    <i>
      <x v="1711"/>
    </i>
    <i>
      <x v="1714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8"/>
    </i>
    <i>
      <x v="1829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3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60"/>
    </i>
    <i>
      <x v="2261"/>
    </i>
    <i>
      <x v="2263"/>
    </i>
    <i>
      <x v="2264"/>
    </i>
    <i>
      <x v="2265"/>
    </i>
    <i>
      <x v="2267"/>
    </i>
    <i>
      <x v="2268"/>
    </i>
    <i>
      <x v="2270"/>
    </i>
    <i>
      <x v="2271"/>
    </i>
    <i>
      <x v="2272"/>
    </i>
    <i>
      <x v="2273"/>
    </i>
    <i>
      <x v="2275"/>
    </i>
    <i>
      <x v="2276"/>
    </i>
    <i>
      <x v="2277"/>
    </i>
    <i>
      <x v="2278"/>
    </i>
  </rowItems>
  <colFields count="1">
    <field x="23"/>
  </colFields>
  <colItems count="3">
    <i>
      <x v="5"/>
    </i>
    <i>
      <x v="6"/>
    </i>
    <i>
      <x v="7"/>
    </i>
  </colItems>
  <pageFields count="1">
    <pageField fld="24" hier="-1"/>
  </pageFields>
  <dataFields count="1">
    <dataField name="Количество по полю Таб.номер резервиста" fld="19" subtotal="count" baseField="11" baseItem="0"/>
  </dataFields>
  <formats count="30">
    <format dxfId="29">
      <pivotArea outline="0" collapsedLevelsAreSubtotals="1" fieldPosition="0">
        <references count="1">
          <reference field="23" count="3" selected="0">
            <x v="0"/>
            <x v="1"/>
            <x v="2"/>
          </reference>
        </references>
      </pivotArea>
    </format>
    <format dxfId="28">
      <pivotArea dataOnly="0" labelOnly="1" outline="0" fieldPosition="0">
        <references count="1">
          <reference field="24" count="0"/>
        </references>
      </pivotArea>
    </format>
    <format dxfId="27">
      <pivotArea field="23" type="button" dataOnly="0" labelOnly="1" outline="0" axis="axisCol" fieldPosition="0"/>
    </format>
    <format dxfId="26">
      <pivotArea type="topRight" dataOnly="0" labelOnly="1" outline="0" fieldPosition="0"/>
    </format>
    <format dxfId="25">
      <pivotArea dataOnly="0" labelOnly="1" fieldPosition="0">
        <references count="1">
          <reference field="23" count="3">
            <x v="0"/>
            <x v="1"/>
            <x v="2"/>
          </reference>
        </references>
      </pivotArea>
    </format>
    <format dxfId="24">
      <pivotArea outline="0" collapsedLevelsAreSubtotals="1" fieldPosition="0">
        <references count="1">
          <reference field="23" count="3" selected="0">
            <x v="0"/>
            <x v="1"/>
            <x v="2"/>
          </reference>
        </references>
      </pivotArea>
    </format>
    <format dxfId="23">
      <pivotArea dataOnly="0" labelOnly="1" outline="0" fieldPosition="0">
        <references count="1">
          <reference field="24" count="0"/>
        </references>
      </pivotArea>
    </format>
    <format dxfId="22">
      <pivotArea field="23" type="button" dataOnly="0" labelOnly="1" outline="0" axis="axisCol" fieldPosition="0"/>
    </format>
    <format dxfId="21">
      <pivotArea type="topRight" dataOnly="0" labelOnly="1" outline="0" fieldPosition="0"/>
    </format>
    <format dxfId="20">
      <pivotArea dataOnly="0" labelOnly="1" fieldPosition="0">
        <references count="1">
          <reference field="23" count="3">
            <x v="0"/>
            <x v="1"/>
            <x v="2"/>
          </reference>
        </references>
      </pivotArea>
    </format>
    <format dxfId="19">
      <pivotArea type="origin" dataOnly="0" labelOnly="1" outline="0" fieldPosition="0"/>
    </format>
    <format dxfId="18">
      <pivotArea dataOnly="0" labelOnly="1" outline="0" fieldPosition="0">
        <references count="1">
          <reference field="24" count="0"/>
        </references>
      </pivotArea>
    </format>
    <format dxfId="17">
      <pivotArea field="23" type="button" dataOnly="0" labelOnly="1" outline="0" axis="axisCol" fieldPosition="0"/>
    </format>
    <format dxfId="16">
      <pivotArea dataOnly="0" labelOnly="1" fieldPosition="0">
        <references count="1">
          <reference field="23" count="3">
            <x v="1"/>
            <x v="2"/>
            <x v="4"/>
          </reference>
        </references>
      </pivotArea>
    </format>
    <format dxfId="15">
      <pivotArea dataOnly="0" labelOnly="1" fieldPosition="0">
        <references count="1">
          <reference field="23" count="3">
            <x v="1"/>
            <x v="2"/>
            <x v="4"/>
          </reference>
        </references>
      </pivotArea>
    </format>
    <format dxfId="14">
      <pivotArea outline="0" collapsedLevelsAreSubtotals="1" fieldPosition="0"/>
    </format>
    <format dxfId="13">
      <pivotArea dataOnly="0" labelOnly="1" outline="0" fieldPosition="0">
        <references count="1">
          <reference field="24" count="0"/>
        </references>
      </pivotArea>
    </format>
    <format dxfId="12">
      <pivotArea field="23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23" count="3">
            <x v="1"/>
            <x v="2"/>
            <x v="4"/>
          </reference>
        </references>
      </pivotArea>
    </format>
    <format dxfId="9">
      <pivotArea outline="0" collapsedLevelsAreSubtotals="1" fieldPosition="0"/>
    </format>
    <format dxfId="8">
      <pivotArea dataOnly="0" labelOnly="1" outline="0" fieldPosition="0">
        <references count="1">
          <reference field="24" count="0"/>
        </references>
      </pivotArea>
    </format>
    <format dxfId="7">
      <pivotArea field="23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23" count="3">
            <x v="1"/>
            <x v="2"/>
            <x v="4"/>
          </reference>
        </references>
      </pivotArea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24" count="0"/>
        </references>
      </pivotArea>
    </format>
    <format dxfId="2">
      <pivotArea field="23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23" count="3">
            <x v="1"/>
            <x v="2"/>
            <x v="4"/>
          </reference>
        </references>
      </pivotArea>
    </format>
  </formats>
  <pivotTableStyleInfo name="PivotStyleLight16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" name="целевые_показатели" displayName="целевые_показатели" ref="A1:D5" totalsRowShown="0" headerRowDxfId="126">
  <autoFilter ref="A1:D5"/>
  <tableColumns count="4">
    <tableColumn id="1" name="год" dataDxfId="125"/>
    <tableColumn id="2" name="Показатель" dataDxfId="124"/>
    <tableColumn id="3" name="Технический столбец" dataDxfId="123">
      <calculatedColumnFormula>A2&amp;B2</calculatedColumnFormula>
    </tableColumn>
    <tableColumn id="4" name="Значение плана" dataDxfId="12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База_КР_КК" displayName="База_КР_КК" ref="A1:AE4469" totalsRowShown="0" headerRowDxfId="112" dataDxfId="110" headerRowBorderDxfId="111" tableBorderDxfId="109" totalsRowBorderDxfId="108">
  <autoFilter ref="A1:AE4469"/>
  <tableColumns count="31">
    <tableColumn id="1" name="ФН резервируемой должности" dataDxfId="107" dataCellStyle="Обычный 3">
      <calculatedColumnFormula>INDEX('Списки данных'!$E$2:$E$1048576,MATCH(База_КР_КК[[#This Row],[Структурное подразделение]],'Списки данных'!$C$2:$C$1048576,0))</calculatedColumnFormula>
    </tableColumn>
    <tableColumn id="2" name="Уровень КК" dataDxfId="106" dataCellStyle="Обычный 3"/>
    <tableColumn id="3" name="Дата включения в резерв" dataDxfId="105" dataCellStyle="Обычный 3"/>
    <tableColumn id="45" name="Кол-во резервируемых должностей" dataDxfId="104" dataCellStyle="Обычный 3">
      <calculatedColumnFormula>IF(COUNTIF($G$2:$G2,$G2)=1,1,0)</calculatedColumnFormula>
    </tableColumn>
    <tableColumn id="50" name="Уровень защищенности должности" dataDxfId="103" dataCellStyle="Обычный 3">
      <calculatedColumnFormula>IFERROR(VLOOKUP(База_КР_КК[[#This Row],[ИД штатной должности (S)]],'уровень защищенности'!$B$7:$F$1095,5,0),"не защищена")</calculatedColumnFormula>
    </tableColumn>
    <tableColumn id="42" name="ИД рабочего места (A)" dataDxfId="102" dataCellStyle="Обычный 3"/>
    <tableColumn id="44" name="ИД штатной должности (S)" dataDxfId="101" dataCellStyle="Обычный 3"/>
    <tableColumn id="46" name="Код СП" dataDxfId="100" dataCellStyle="Обычный 3">
      <calculatedColumnFormula>INDEX('Списки данных'!$D$2:$D$1048576,MATCH(База_КР_КК[[#This Row],[Структурное подразделение]],'Списки данных'!$C$2:$C$1048576,0))</calculatedColumnFormula>
    </tableColumn>
    <tableColumn id="48" name="Структурное подразделение" dataDxfId="99" dataCellStyle="Обычный 3"/>
    <tableColumn id="49" name="Подразделение 2 уровня" dataDxfId="98" dataCellStyle="Обычный 3"/>
    <tableColumn id="47" name="Подразделение 3 уровня" dataDxfId="97" dataCellStyle="Обычный 3"/>
    <tableColumn id="5" name="Резервируемая должность " dataDxfId="96" dataCellStyle="Обычный 3"/>
    <tableColumn id="14" name="Уровень должности " dataDxfId="95" dataCellStyle="Обычный 3"/>
    <tableColumn id="16" name="Резервируемая должность становилась вакантной (да/нет)" dataDxfId="94" dataCellStyle="Обычный 3">
      <calculatedColumnFormula>IF(ISBLANK(O2),"нет","да")</calculatedColumnFormula>
    </tableColumn>
    <tableColumn id="17" name="Дата, когда должность стала вакантна" dataDxfId="93" dataCellStyle="Обычный 3"/>
    <tableColumn id="18" name="Дата закрытия вакансии (Дата назначения)" dataDxfId="92" dataCellStyle="Обычный 3"/>
    <tableColumn id="19" name="Тип назначения" dataDxfId="91" dataCellStyle="Обычный 3"/>
    <tableColumn id="20" name="таб. держателя должности" dataDxfId="90" dataCellStyle="Обычный 3"/>
    <tableColumn id="21" name="ФИО держателя резервной позиции" dataDxfId="89" dataCellStyle="Обычный 3"/>
    <tableColumn id="22" name="Таб.номер резервиста" dataDxfId="88" dataCellStyle="Обычный 3"/>
    <tableColumn id="23" name="ФИО резервиста" dataDxfId="87" dataCellStyle="Обычный 3"/>
    <tableColumn id="25" name="Должность резервиста" dataDxfId="86" dataCellStyle="Обычный 3"/>
    <tableColumn id="27" name="СП резервиста" dataDxfId="85" dataCellStyle="Обычный 3"/>
    <tableColumn id="28" name="Текущий статус готовности" dataDxfId="84" dataCellStyle="Обычный 3"/>
    <tableColumn id="29" name="Статус в резерве" dataDxfId="83" dataCellStyle="Обычный 3"/>
    <tableColumn id="24" name="Кол-во резервистов на уникальных должностях" dataDxfId="82" dataCellStyle="Обычный 3">
      <calculatedColumnFormula>IF(База_КР_КК[[#This Row],[Таб.номер резервиста]]="-","-",IF(OR(База_КР_КК[[#This Row],[Уровень КК]]=2,База_КР_КК[[#This Row],[Уровень КК]]=3),IF(COUNTIFS($U$2:$U2,$U2,$F$2:$F2,$F2)=1,1,0),IF(COUNTIFS($U$2:$U2,$U2,$L$2:$L2,$L2)=1,1,0)))</calculatedColumnFormula>
    </tableColumn>
    <tableColumn id="30" name="Назначен на целевую должность (1 - назначен, 0 - не назначен)" dataDxfId="81" dataCellStyle="Обычный 3">
      <calculatedColumnFormula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calculatedColumnFormula>
    </tableColumn>
    <tableColumn id="31" name="Причина исключения из КР" dataDxfId="80" dataCellStyle="Обычный 3"/>
    <tableColumn id="32" name="Дата исключения из КР" dataDxfId="79" dataCellStyle="Обычный 3"/>
    <tableColumn id="33" name="Изменение статуса готовности при повторном КК?" dataDxfId="78" dataCellStyle="Обычный 3"/>
    <tableColumn id="34" name="Основание (документ)" dataDxfId="77" dataCellStyle="Обычный 3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2" name="Защищенность" displayName="Защищенность" ref="A1:O7" totalsRowCount="1" headerRowDxfId="64" dataDxfId="62" headerRowBorderDxfId="63" tableBorderDxfId="61" totalsRowBorderDxfId="60">
  <autoFilter ref="A1:O6"/>
  <tableColumns count="15">
    <tableColumn id="1" name="Год" dataDxfId="59" totalsRowDxfId="58">
      <calculatedColumnFormula>КПЭ!$W$1</calculatedColumnFormula>
    </tableColumn>
    <tableColumn id="2" name="ФН" dataDxfId="57" totalsRowDxfId="56">
      <calculatedColumnFormula>КПЭ!$B$2</calculatedColumnFormula>
    </tableColumn>
    <tableColumn id="3" name="УУ" totalsRowLabel="ВСЕ УУ" dataDxfId="55" totalsRowDxfId="54" dataCellStyle="Обычный 3"/>
    <tableColumn id="6" name="Высокая защищенность1" totalsRowFunction="sum" dataDxfId="53" totalsRowDxfId="52" dataCellStyle="Обычный 3">
      <calculatedColumnFormula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должности],"высокий"),SUMIFS(База_КР_КК[Кол-во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должности],"высокий"))</calculatedColumnFormula>
    </tableColumn>
    <tableColumn id="7" name="Высокая защищенность" totalsRowFunction="custom" dataDxfId="51" totalsRowDxfId="50" dataCellStyle="Процентный">
      <calculatedColumnFormula>IFERROR(Защищенность[[#This Row],[Высокая защищенность1]]/Защищенность[[#This Row],[Должностей рассмотрено (всего)]],"-")</calculatedColumnFormula>
      <totalsRowFormula>Защищенность[[#Totals],[Высокая защищенность1]]/Защищенность[[#Totals],[Должностей рассмотрено (всего)]]</totalsRowFormula>
    </tableColumn>
    <tableColumn id="8" name="Средняя защищенность1" totalsRowFunction="sum" dataDxfId="49" totalsRowDxfId="48" dataCellStyle="Процентный">
      <calculatedColumnFormula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должности],"средний"),SUMIFS(База_КР_КК[Кол-во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должности],"средний"))</calculatedColumnFormula>
    </tableColumn>
    <tableColumn id="9" name="Средняя защищенность" totalsRowFunction="custom" dataDxfId="47" totalsRowDxfId="46" dataCellStyle="Процентный">
      <calculatedColumnFormula>IFERROR(Защищенность[[#This Row],[Средняя защищенность1]]/Защищенность[[#This Row],[Должностей рассмотрено (всего)]],"-")</calculatedColumnFormula>
      <totalsRowFormula>Защищенность[[#Totals],[Средняя защищенность1]]/Защищенность[[#Totals],[Должностей рассмотрено (всего)]]</totalsRowFormula>
    </tableColumn>
    <tableColumn id="10" name="Низкая защищенность1" totalsRowFunction="sum" dataDxfId="45" totalsRowDxfId="44" dataCellStyle="Процентный">
      <calculatedColumnFormula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должности],"низкий"),SUMIFS(База_КР_КК[Кол-во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должности],"низкий"))</calculatedColumnFormula>
    </tableColumn>
    <tableColumn id="11" name="Низкая защищенность" totalsRowFunction="custom" dataDxfId="43" totalsRowDxfId="42" dataCellStyle="Процентный">
      <calculatedColumnFormula>IFERROR(Защищенность[[#This Row],[Низкая защищенность1]]/Защищенность[[#This Row],[Должностей рассмотрено (всего)]],"-")</calculatedColumnFormula>
      <totalsRowFormula>Защищенность[[#Totals],[Низкая защищенность1]]/Защищенность[[#Totals],[Должностей рассмотрено (всего)]]</totalsRowFormula>
    </tableColumn>
    <tableColumn id="12" name="Незащищенные должности1" totalsRowFunction="sum" dataDxfId="41" totalsRowDxfId="40" dataCellStyle="Процентный">
      <calculatedColumnFormula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должности],"не защищена"))</calculatedColumnFormula>
    </tableColumn>
    <tableColumn id="13" name="Незащищенные должности" totalsRowFunction="custom" dataDxfId="39" totalsRowDxfId="38" dataCellStyle="Процентный">
      <calculatedColumnFormula>IFERROR(Защищенность[[#This Row],[Незащищенные должности1]]/Защищенность[[#This Row],[Должностей рассмотрено (всего)]],"-")</calculatedColumnFormula>
      <totalsRowFormula>Защищенность[[#Totals],[Незащищенные должности1]]/Защищенность[[#Totals],[Должностей рассмотрено (всего)]]</totalsRowFormula>
    </tableColumn>
    <tableColumn id="4" name="Должностей рассмотрено (всего)" totalsRowFunction="sum" dataDxfId="37" totalsRowDxfId="36">
      <calculatedColumnFormula>IF(Защищенность[[#This Row],[ФН]]="ВСЕ ФН",SUMIF(База_КР_КК[[Уровень должности ]],LEFT(Защищенность[[#This Row],[УУ]],1),База_КР_КК[Кол-во резервируемых должностей]),SUMIFS(База_КР_КК[Кол-во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Row],[ФН]]))</calculatedColumnFormula>
    </tableColumn>
    <tableColumn id="5" name="Должностей защищено (всего)" totalsRowFunction="sum" dataDxfId="35" totalsRowDxfId="34">
      <calculatedColumnFormula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должности],"&lt;&gt;не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должности],"&lt;&gt;не защищена"))</calculatedColumnFormula>
    </tableColumn>
    <tableColumn id="14" name="Плановая защищенность" totalsRowFunction="average" dataDxfId="33" totalsRowDxfId="32" dataCellStyle="Процентный">
      <calculatedColumnFormula>VLOOKUP(Защищенность[[#This Row],[Год]]&amp;Защищенность[[#Headers],[Плановая защищенность]],целевые_показатели[[Технический столбец]:[Значение плана]],2,0)</calculatedColumnFormula>
    </tableColumn>
    <tableColumn id="15" name="Фактическая защищенность" totalsRowFunction="custom" dataDxfId="31" totalsRowDxfId="30" dataCellStyle="Процентный">
      <calculatedColumnFormula>IFERROR(Защищенность[[#This Row],[Должностей защищено (всего)]]/Защищенность[[#This Row],[Должностей рассмотрено (всего)]],"-")</calculatedColumnFormula>
      <totalsRowFormula>Защищенность[[#Totals],[Должностей защищено (всего)]]/Защищенность[[#Totals],[Должностей рассмотрено (всего)]]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2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92D050"/>
  </sheetPr>
  <dimension ref="A1:E5"/>
  <sheetViews>
    <sheetView workbookViewId="0">
      <selection activeCell="E17" sqref="E17"/>
    </sheetView>
  </sheetViews>
  <sheetFormatPr defaultColWidth="9.140625" defaultRowHeight="12.75" x14ac:dyDescent="0.2"/>
  <cols>
    <col min="1" max="1" width="9.140625" style="130"/>
    <col min="2" max="2" width="41.140625" style="130" customWidth="1"/>
    <col min="3" max="3" width="41.140625" style="130" hidden="1" customWidth="1"/>
    <col min="4" max="4" width="16" style="130" customWidth="1"/>
    <col min="5" max="5" width="11.85546875" style="140" customWidth="1"/>
    <col min="6" max="16384" width="9.140625" style="130"/>
  </cols>
  <sheetData>
    <row r="1" spans="1:5" x14ac:dyDescent="0.2">
      <c r="A1" s="135" t="s">
        <v>103</v>
      </c>
      <c r="B1" s="135" t="s">
        <v>106</v>
      </c>
      <c r="C1" s="135" t="s">
        <v>107</v>
      </c>
      <c r="D1" s="135" t="s">
        <v>108</v>
      </c>
      <c r="E1" s="136"/>
    </row>
    <row r="2" spans="1:5" x14ac:dyDescent="0.2">
      <c r="A2" s="137">
        <v>2023</v>
      </c>
      <c r="B2" s="130" t="s">
        <v>76</v>
      </c>
      <c r="C2" s="138" t="str">
        <f t="shared" ref="C2:C5" si="0">A2&amp;B2</f>
        <v>2023Плановая защищенность</v>
      </c>
      <c r="D2" s="139">
        <v>0.8</v>
      </c>
    </row>
    <row r="3" spans="1:5" x14ac:dyDescent="0.2">
      <c r="A3" s="137">
        <v>2023</v>
      </c>
      <c r="B3" s="130" t="s">
        <v>88</v>
      </c>
      <c r="C3" s="138" t="str">
        <f t="shared" si="0"/>
        <v>2023Плановая назначаемость</v>
      </c>
      <c r="D3" s="139">
        <v>0.7</v>
      </c>
    </row>
    <row r="4" spans="1:5" x14ac:dyDescent="0.2">
      <c r="A4" s="137">
        <v>2023</v>
      </c>
      <c r="B4" s="130" t="s">
        <v>101</v>
      </c>
      <c r="C4" s="138" t="str">
        <f t="shared" si="0"/>
        <v xml:space="preserve">2023Плановое повышение статуса готовности </v>
      </c>
      <c r="D4" s="139">
        <v>0.2</v>
      </c>
    </row>
    <row r="5" spans="1:5" x14ac:dyDescent="0.2">
      <c r="A5" s="137">
        <v>2023</v>
      </c>
      <c r="B5" s="130" t="s">
        <v>98</v>
      </c>
      <c r="C5" s="138" t="str">
        <f t="shared" si="0"/>
        <v>2023Плановая текучесть резервистов</v>
      </c>
      <c r="D5" s="139">
        <v>7.0000000000000007E-2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A12"/>
  <sheetViews>
    <sheetView tabSelected="1" workbookViewId="0">
      <selection activeCell="A6" sqref="A6"/>
    </sheetView>
  </sheetViews>
  <sheetFormatPr defaultRowHeight="15" x14ac:dyDescent="0.25"/>
  <cols>
    <col min="1" max="1" width="247.42578125" customWidth="1"/>
  </cols>
  <sheetData>
    <row r="1" spans="1:1" x14ac:dyDescent="0.25">
      <c r="A1" s="203" t="s">
        <v>3296</v>
      </c>
    </row>
    <row r="2" spans="1:1" ht="105" x14ac:dyDescent="0.25">
      <c r="A2" s="202" t="s">
        <v>3303</v>
      </c>
    </row>
    <row r="4" spans="1:1" x14ac:dyDescent="0.25">
      <c r="A4" s="204" t="s">
        <v>3297</v>
      </c>
    </row>
    <row r="5" spans="1:1" ht="75" x14ac:dyDescent="0.25">
      <c r="A5" s="205" t="s">
        <v>3306</v>
      </c>
    </row>
    <row r="6" spans="1:1" ht="116.25" customHeight="1" x14ac:dyDescent="0.25">
      <c r="A6" s="218" t="s">
        <v>3304</v>
      </c>
    </row>
    <row r="7" spans="1:1" x14ac:dyDescent="0.25">
      <c r="A7" s="202" t="s">
        <v>3298</v>
      </c>
    </row>
    <row r="9" spans="1:1" ht="30" x14ac:dyDescent="0.25">
      <c r="A9" s="202" t="s">
        <v>3307</v>
      </c>
    </row>
    <row r="11" spans="1:1" x14ac:dyDescent="0.25">
      <c r="A11" s="207" t="s">
        <v>3300</v>
      </c>
    </row>
    <row r="12" spans="1:1" ht="30" x14ac:dyDescent="0.25">
      <c r="A12" s="202" t="s">
        <v>3305</v>
      </c>
    </row>
  </sheetData>
  <hyperlinks>
    <hyperlink ref="A4" location="'База КР'!A1" display="База КР"/>
    <hyperlink ref="A11" location="КПЭ!A1" display="КПЭ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>
    <tabColor theme="4" tint="0.39997558519241921"/>
  </sheetPr>
  <dimension ref="A1:AE1043675"/>
  <sheetViews>
    <sheetView zoomScale="80" zoomScaleNormal="80" workbookViewId="0">
      <pane ySplit="1" topLeftCell="A5" activePane="bottomLeft" state="frozen"/>
      <selection pane="bottomLeft" activeCell="K19" sqref="K19"/>
    </sheetView>
  </sheetViews>
  <sheetFormatPr defaultColWidth="9.140625" defaultRowHeight="12" outlineLevelCol="1" x14ac:dyDescent="0.25"/>
  <cols>
    <col min="1" max="1" width="21.5703125" style="29" customWidth="1"/>
    <col min="2" max="2" width="9.42578125" style="29" customWidth="1"/>
    <col min="3" max="3" width="12.140625" style="29" customWidth="1"/>
    <col min="4" max="5" width="13.28515625" style="29" customWidth="1"/>
    <col min="6" max="6" width="15.5703125" style="36" customWidth="1"/>
    <col min="7" max="7" width="16.42578125" style="36" customWidth="1"/>
    <col min="8" max="8" width="10" style="29" customWidth="1"/>
    <col min="9" max="9" width="20" style="35" customWidth="1"/>
    <col min="10" max="10" width="27.28515625" style="35" customWidth="1"/>
    <col min="11" max="11" width="22.42578125" style="35" customWidth="1"/>
    <col min="12" max="12" width="21.7109375" style="29" customWidth="1"/>
    <col min="13" max="13" width="13" style="29" customWidth="1" outlineLevel="1"/>
    <col min="14" max="14" width="15.85546875" style="34" customWidth="1" outlineLevel="1"/>
    <col min="15" max="15" width="17.42578125" style="34" customWidth="1" outlineLevel="1"/>
    <col min="16" max="16" width="17.28515625" style="34" customWidth="1" outlineLevel="1"/>
    <col min="17" max="17" width="16.42578125" style="29" customWidth="1" outlineLevel="1"/>
    <col min="18" max="18" width="12.28515625" style="29" customWidth="1"/>
    <col min="19" max="19" width="22.140625" style="29" customWidth="1"/>
    <col min="20" max="20" width="13.140625" style="29" customWidth="1"/>
    <col min="21" max="21" width="24.5703125" style="29" customWidth="1"/>
    <col min="22" max="22" width="23" style="29" customWidth="1"/>
    <col min="23" max="23" width="16.42578125" style="29" customWidth="1"/>
    <col min="24" max="24" width="16.5703125" style="29" customWidth="1"/>
    <col min="25" max="25" width="24.5703125" style="50" customWidth="1"/>
    <col min="26" max="26" width="16.5703125" style="34" customWidth="1"/>
    <col min="27" max="27" width="16.42578125" style="34" customWidth="1"/>
    <col min="28" max="28" width="32.7109375" style="29" customWidth="1"/>
    <col min="29" max="29" width="14.5703125" style="34" customWidth="1"/>
    <col min="30" max="30" width="17.140625" style="29" customWidth="1"/>
    <col min="31" max="31" width="25.85546875" style="29" customWidth="1"/>
    <col min="32" max="16384" width="9.140625" style="54"/>
  </cols>
  <sheetData>
    <row r="1" spans="1:31" s="53" customFormat="1" ht="56.25" customHeight="1" x14ac:dyDescent="0.25">
      <c r="A1" s="198" t="s">
        <v>0</v>
      </c>
      <c r="B1" s="21" t="s">
        <v>120</v>
      </c>
      <c r="C1" s="21" t="s">
        <v>61</v>
      </c>
      <c r="D1" s="197" t="s">
        <v>56</v>
      </c>
      <c r="E1" s="197" t="s">
        <v>1</v>
      </c>
      <c r="F1" s="200" t="s">
        <v>25</v>
      </c>
      <c r="G1" s="199" t="s">
        <v>26</v>
      </c>
      <c r="H1" s="197" t="s">
        <v>39</v>
      </c>
      <c r="I1" s="200" t="s">
        <v>11</v>
      </c>
      <c r="J1" s="200" t="s">
        <v>62</v>
      </c>
      <c r="K1" s="200" t="s">
        <v>63</v>
      </c>
      <c r="L1" s="200" t="s">
        <v>64</v>
      </c>
      <c r="M1" s="200" t="s">
        <v>3301</v>
      </c>
      <c r="N1" s="197" t="s">
        <v>2</v>
      </c>
      <c r="O1" s="21" t="s">
        <v>27</v>
      </c>
      <c r="P1" s="21" t="s">
        <v>28</v>
      </c>
      <c r="Q1" s="21" t="s">
        <v>40</v>
      </c>
      <c r="R1" s="200" t="s">
        <v>3302</v>
      </c>
      <c r="S1" s="200" t="s">
        <v>32</v>
      </c>
      <c r="T1" s="199" t="s">
        <v>4</v>
      </c>
      <c r="U1" s="201" t="s">
        <v>5</v>
      </c>
      <c r="V1" s="200" t="s">
        <v>10</v>
      </c>
      <c r="W1" s="200" t="s">
        <v>55</v>
      </c>
      <c r="X1" s="21" t="s">
        <v>6</v>
      </c>
      <c r="Y1" s="21" t="s">
        <v>7</v>
      </c>
      <c r="Z1" s="197" t="s">
        <v>29</v>
      </c>
      <c r="AA1" s="197" t="s">
        <v>30</v>
      </c>
      <c r="AB1" s="21" t="s">
        <v>59</v>
      </c>
      <c r="AC1" s="21" t="s">
        <v>60</v>
      </c>
      <c r="AD1" s="21" t="s">
        <v>9</v>
      </c>
      <c r="AE1" s="199" t="s">
        <v>116</v>
      </c>
    </row>
    <row r="2" spans="1:31" ht="18" customHeight="1" x14ac:dyDescent="0.25">
      <c r="A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" s="79">
        <v>3</v>
      </c>
      <c r="C2" s="23">
        <v>43410</v>
      </c>
      <c r="D2" s="67">
        <f>IF(COUNTIF($G$2:$G2,$G2)=1,1,0)</f>
        <v>1</v>
      </c>
      <c r="E2" s="67" t="str">
        <f>IFERROR(VLOOKUP(База_КР_КК[[#This Row],[ИД штатной должности (S)]],'уровень защищенности'!$B$7:$F$1095,5,0),"не защищена")</f>
        <v>высокий</v>
      </c>
      <c r="F2" s="68">
        <v>500045</v>
      </c>
      <c r="G2" s="74" t="s">
        <v>2158</v>
      </c>
      <c r="H2" s="181">
        <f>INDEX('Списки данных'!$D$2:$D$1048576,MATCH(База_КР_КК[[#This Row],[Структурное подразделение]],'Списки данных'!$C$2:$C$1048576,0))</f>
        <v>243</v>
      </c>
      <c r="I2" s="80" t="s">
        <v>124</v>
      </c>
      <c r="J2" s="80" t="s">
        <v>178</v>
      </c>
      <c r="K2" s="80" t="s">
        <v>21</v>
      </c>
      <c r="L2" s="30" t="s">
        <v>179</v>
      </c>
      <c r="M2" s="68">
        <v>5</v>
      </c>
      <c r="N2" s="181" t="str">
        <f t="shared" ref="N2:N65" si="0">IF(ISBLANK(O2),"нет","да")</f>
        <v>да</v>
      </c>
      <c r="O2" s="23">
        <v>44378</v>
      </c>
      <c r="P2" s="23">
        <v>44392</v>
      </c>
      <c r="Q2" s="106" t="s">
        <v>66</v>
      </c>
      <c r="R2" s="37">
        <v>1</v>
      </c>
      <c r="S2" s="39" t="s">
        <v>415</v>
      </c>
      <c r="T2" s="37">
        <v>1111</v>
      </c>
      <c r="U2" s="39" t="s">
        <v>1520</v>
      </c>
      <c r="V2" s="89" t="s">
        <v>189</v>
      </c>
      <c r="W2" s="87" t="s">
        <v>124</v>
      </c>
      <c r="X2" s="106" t="s">
        <v>297</v>
      </c>
      <c r="Y2" s="107" t="s">
        <v>12</v>
      </c>
      <c r="Z2" s="67">
        <f>IF(База_КР_КК[[#This Row],[Таб.номер резервиста]]="-","-",IF(OR(База_КР_КК[[#This Row],[Уровень КК]]=2,База_КР_КК[[#This Row],[Уровень КК]]=3),IF(COUNTIFS($U$2:$U2,$U2,$F$2:$F2,$F2)=1,1,0),IF(COUNTIFS($U$2:$U2,$U2,$L$2:$L2,$L2)=1,1,0)))</f>
        <v>1</v>
      </c>
      <c r="AA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" s="106"/>
      <c r="AC2" s="51"/>
      <c r="AD2" s="106" t="s">
        <v>13</v>
      </c>
      <c r="AE2" s="38" t="s">
        <v>402</v>
      </c>
    </row>
    <row r="3" spans="1:31" ht="18" customHeight="1" x14ac:dyDescent="0.25">
      <c r="A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3" s="79">
        <v>3</v>
      </c>
      <c r="C3" s="23">
        <v>43410</v>
      </c>
      <c r="D3" s="67">
        <f>IF(COUNTIF($G$2:$G3,$G3)=1,1,0)</f>
        <v>0</v>
      </c>
      <c r="E3" s="67" t="str">
        <f>IFERROR(VLOOKUP(База_КР_КК[[#This Row],[ИД штатной должности (S)]],'уровень защищенности'!$B$7:$F$1095,5,0),"не защищена")</f>
        <v>высокий</v>
      </c>
      <c r="F3" s="68">
        <v>500045</v>
      </c>
      <c r="G3" s="74" t="s">
        <v>2158</v>
      </c>
      <c r="H3" s="181">
        <f>INDEX('Списки данных'!$D$2:$D$1048576,MATCH(База_КР_КК[[#This Row],[Структурное подразделение]],'Списки данных'!$C$2:$C$1048576,0))</f>
        <v>243</v>
      </c>
      <c r="I3" s="80" t="s">
        <v>124</v>
      </c>
      <c r="J3" s="80" t="s">
        <v>178</v>
      </c>
      <c r="K3" s="80" t="s">
        <v>21</v>
      </c>
      <c r="L3" s="30" t="s">
        <v>179</v>
      </c>
      <c r="M3" s="68">
        <v>5</v>
      </c>
      <c r="N3" s="181" t="str">
        <f t="shared" si="0"/>
        <v>да</v>
      </c>
      <c r="O3" s="23">
        <v>44378</v>
      </c>
      <c r="P3" s="23">
        <v>44392</v>
      </c>
      <c r="Q3" s="106" t="s">
        <v>66</v>
      </c>
      <c r="R3" s="37">
        <v>1</v>
      </c>
      <c r="S3" s="39" t="s">
        <v>415</v>
      </c>
      <c r="T3" s="37">
        <v>1112</v>
      </c>
      <c r="U3" s="39" t="s">
        <v>1521</v>
      </c>
      <c r="V3" s="89" t="s">
        <v>189</v>
      </c>
      <c r="W3" s="87" t="s">
        <v>124</v>
      </c>
      <c r="X3" s="106" t="s">
        <v>295</v>
      </c>
      <c r="Y3" s="107" t="s">
        <v>12</v>
      </c>
      <c r="Z3" s="67">
        <f>IF(База_КР_КК[[#This Row],[Таб.номер резервиста]]="-","-",IF(OR(База_КР_КК[[#This Row],[Уровень КК]]=2,База_КР_КК[[#This Row],[Уровень КК]]=3),IF(COUNTIFS($U$2:$U3,$U3,$F$2:$F3,$F3)=1,1,0),IF(COUNTIFS($U$2:$U3,$U3,$L$2:$L3,$L3)=1,1,0)))</f>
        <v>1</v>
      </c>
      <c r="AA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" s="106"/>
      <c r="AC3" s="51"/>
      <c r="AD3" s="106" t="s">
        <v>13</v>
      </c>
      <c r="AE3" s="38" t="s">
        <v>402</v>
      </c>
    </row>
    <row r="4" spans="1:31" ht="18" customHeight="1" x14ac:dyDescent="0.25">
      <c r="A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4" s="79">
        <v>3</v>
      </c>
      <c r="C4" s="23">
        <v>43312</v>
      </c>
      <c r="D4" s="67">
        <f>IF(COUNTIF($G$2:$G4,$G4)=1,1,0)</f>
        <v>0</v>
      </c>
      <c r="E4" s="67" t="str">
        <f>IFERROR(VLOOKUP(База_КР_КК[[#This Row],[ИД штатной должности (S)]],'уровень защищенности'!$B$7:$F$1095,5,0),"не защищена")</f>
        <v>высокий</v>
      </c>
      <c r="F4" s="68">
        <v>500045</v>
      </c>
      <c r="G4" s="74" t="s">
        <v>2158</v>
      </c>
      <c r="H4" s="181">
        <f>INDEX('Списки данных'!$D$2:$D$1048576,MATCH(База_КР_КК[[#This Row],[Структурное подразделение]],'Списки данных'!$C$2:$C$1048576,0))</f>
        <v>243</v>
      </c>
      <c r="I4" s="80" t="s">
        <v>124</v>
      </c>
      <c r="J4" s="80" t="s">
        <v>178</v>
      </c>
      <c r="K4" s="80" t="s">
        <v>21</v>
      </c>
      <c r="L4" s="30" t="s">
        <v>179</v>
      </c>
      <c r="M4" s="68">
        <v>5</v>
      </c>
      <c r="N4" s="181" t="str">
        <f t="shared" si="0"/>
        <v>да</v>
      </c>
      <c r="O4" s="23">
        <v>44378</v>
      </c>
      <c r="P4" s="23">
        <v>44392</v>
      </c>
      <c r="Q4" s="106" t="s">
        <v>66</v>
      </c>
      <c r="R4" s="37">
        <v>1</v>
      </c>
      <c r="S4" s="39" t="s">
        <v>415</v>
      </c>
      <c r="T4" s="37">
        <v>1</v>
      </c>
      <c r="U4" s="39" t="s">
        <v>415</v>
      </c>
      <c r="V4" s="89" t="s">
        <v>179</v>
      </c>
      <c r="W4" s="87" t="s">
        <v>124</v>
      </c>
      <c r="X4" s="106" t="s">
        <v>295</v>
      </c>
      <c r="Y4" s="107" t="s">
        <v>14</v>
      </c>
      <c r="Z4" s="67">
        <f>IF(База_КР_КК[[#This Row],[Таб.номер резервиста]]="-","-",IF(OR(База_КР_КК[[#This Row],[Уровень КК]]=2,База_КР_КК[[#This Row],[Уровень КК]]=3),IF(COUNTIFS($U$2:$U4,$U4,$F$2:$F4,$F4)=1,1,0),IF(COUNTIFS($U$2:$U4,$U4,$L$2:$L4,$L4)=1,1,0)))</f>
        <v>1</v>
      </c>
      <c r="AA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" s="106" t="s">
        <v>24</v>
      </c>
      <c r="AC4" s="51">
        <v>44392</v>
      </c>
      <c r="AD4" s="106" t="s">
        <v>17</v>
      </c>
      <c r="AE4" s="38" t="s">
        <v>302</v>
      </c>
    </row>
    <row r="5" spans="1:31" ht="18" customHeight="1" x14ac:dyDescent="0.25">
      <c r="A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5" s="79">
        <v>3</v>
      </c>
      <c r="C5" s="23">
        <v>43410</v>
      </c>
      <c r="D5" s="67">
        <f>IF(COUNTIF($G$2:$G5,$G5)=1,1,0)</f>
        <v>0</v>
      </c>
      <c r="E5" s="67" t="str">
        <f>IFERROR(VLOOKUP(База_КР_КК[[#This Row],[ИД штатной должности (S)]],'уровень защищенности'!$B$7:$F$1095,5,0),"не защищена")</f>
        <v>высокий</v>
      </c>
      <c r="F5" s="68">
        <v>500045</v>
      </c>
      <c r="G5" s="74" t="s">
        <v>2158</v>
      </c>
      <c r="H5" s="181">
        <f>INDEX('Списки данных'!$D$2:$D$1048576,MATCH(База_КР_КК[[#This Row],[Структурное подразделение]],'Списки данных'!$C$2:$C$1048576,0))</f>
        <v>243</v>
      </c>
      <c r="I5" s="80" t="s">
        <v>124</v>
      </c>
      <c r="J5" s="80" t="s">
        <v>178</v>
      </c>
      <c r="K5" s="80" t="s">
        <v>21</v>
      </c>
      <c r="L5" s="30" t="s">
        <v>179</v>
      </c>
      <c r="M5" s="68">
        <v>5</v>
      </c>
      <c r="N5" s="181" t="str">
        <f t="shared" si="0"/>
        <v>да</v>
      </c>
      <c r="O5" s="23">
        <v>44378</v>
      </c>
      <c r="P5" s="23">
        <v>44392</v>
      </c>
      <c r="Q5" s="106" t="s">
        <v>66</v>
      </c>
      <c r="R5" s="37">
        <v>1</v>
      </c>
      <c r="S5" s="39" t="s">
        <v>415</v>
      </c>
      <c r="T5" s="37">
        <v>1113</v>
      </c>
      <c r="U5" s="39" t="s">
        <v>1522</v>
      </c>
      <c r="V5" s="89" t="s">
        <v>187</v>
      </c>
      <c r="W5" s="87" t="s">
        <v>124</v>
      </c>
      <c r="X5" s="106" t="s">
        <v>297</v>
      </c>
      <c r="Y5" s="107" t="s">
        <v>18</v>
      </c>
      <c r="Z5" s="67">
        <f>IF(База_КР_КК[[#This Row],[Таб.номер резервиста]]="-","-",IF(OR(База_КР_КК[[#This Row],[Уровень КК]]=2,База_КР_КК[[#This Row],[Уровень КК]]=3),IF(COUNTIFS($U$2:$U5,$U5,$F$2:$F5,$F5)=1,1,0),IF(COUNTIFS($U$2:$U5,$U5,$L$2:$L5,$L5)=1,1,0)))</f>
        <v>1</v>
      </c>
      <c r="AA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" s="106" t="s">
        <v>45</v>
      </c>
      <c r="AC5" s="51">
        <v>45071</v>
      </c>
      <c r="AD5" s="106" t="s">
        <v>31</v>
      </c>
      <c r="AE5" s="38" t="s">
        <v>402</v>
      </c>
    </row>
    <row r="6" spans="1:31" ht="18" customHeight="1" x14ac:dyDescent="0.25">
      <c r="A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6" s="79">
        <v>3</v>
      </c>
      <c r="C6" s="23">
        <v>43797</v>
      </c>
      <c r="D6" s="67">
        <f>IF(COUNTIF($G$2:$G6,$G6)=1,1,0)</f>
        <v>1</v>
      </c>
      <c r="E6" s="67" t="str">
        <f>IFERROR(VLOOKUP(База_КР_КК[[#This Row],[ИД штатной должности (S)]],'уровень защищенности'!$B$7:$F$1095,5,0),"не защищена")</f>
        <v>высокий</v>
      </c>
      <c r="F6" s="68">
        <v>500527</v>
      </c>
      <c r="G6" s="74" t="s">
        <v>2159</v>
      </c>
      <c r="H6" s="181">
        <f>INDEX('Списки данных'!$D$2:$D$1048576,MATCH(База_КР_КК[[#This Row],[Структурное подразделение]],'Списки данных'!$C$2:$C$1048576,0))</f>
        <v>243</v>
      </c>
      <c r="I6" s="80" t="s">
        <v>124</v>
      </c>
      <c r="J6" s="80" t="s">
        <v>21</v>
      </c>
      <c r="K6" s="80" t="s">
        <v>21</v>
      </c>
      <c r="L6" s="30" t="s">
        <v>180</v>
      </c>
      <c r="M6" s="68">
        <v>5</v>
      </c>
      <c r="N6" s="181" t="str">
        <f t="shared" si="0"/>
        <v>нет</v>
      </c>
      <c r="O6" s="23"/>
      <c r="P6" s="23"/>
      <c r="Q6" s="106"/>
      <c r="R6" s="37">
        <v>2</v>
      </c>
      <c r="S6" s="38" t="s">
        <v>416</v>
      </c>
      <c r="T6" s="37">
        <v>1114</v>
      </c>
      <c r="U6" s="39" t="s">
        <v>1523</v>
      </c>
      <c r="V6" s="89" t="s">
        <v>189</v>
      </c>
      <c r="W6" s="87" t="s">
        <v>124</v>
      </c>
      <c r="X6" s="106" t="s">
        <v>295</v>
      </c>
      <c r="Y6" s="107" t="s">
        <v>12</v>
      </c>
      <c r="Z6" s="67">
        <f>IF(База_КР_КК[[#This Row],[Таб.номер резервиста]]="-","-",IF(OR(База_КР_КК[[#This Row],[Уровень КК]]=2,База_КР_КК[[#This Row],[Уровень КК]]=3),IF(COUNTIFS($U$2:$U6,$U6,$F$2:$F6,$F6)=1,1,0),IF(COUNTIFS($U$2:$U6,$U6,$L$2:$L6,$L6)=1,1,0)))</f>
        <v>1</v>
      </c>
      <c r="AA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" s="106"/>
      <c r="AC6" s="51"/>
      <c r="AD6" s="106" t="s">
        <v>13</v>
      </c>
      <c r="AE6" s="38" t="s">
        <v>402</v>
      </c>
    </row>
    <row r="7" spans="1:31" ht="18" customHeight="1" x14ac:dyDescent="0.25">
      <c r="A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7" s="79">
        <v>3</v>
      </c>
      <c r="C7" s="23">
        <v>43797</v>
      </c>
      <c r="D7" s="67">
        <f>IF(COUNTIF($G$2:$G7,$G7)=1,1,0)</f>
        <v>0</v>
      </c>
      <c r="E7" s="67" t="str">
        <f>IFERROR(VLOOKUP(База_КР_КК[[#This Row],[ИД штатной должности (S)]],'уровень защищенности'!$B$7:$F$1095,5,0),"не защищена")</f>
        <v>высокий</v>
      </c>
      <c r="F7" s="68">
        <v>500527</v>
      </c>
      <c r="G7" s="74" t="s">
        <v>2159</v>
      </c>
      <c r="H7" s="181">
        <f>INDEX('Списки данных'!$D$2:$D$1048576,MATCH(База_КР_КК[[#This Row],[Структурное подразделение]],'Списки данных'!$C$2:$C$1048576,0))</f>
        <v>243</v>
      </c>
      <c r="I7" s="80" t="s">
        <v>124</v>
      </c>
      <c r="J7" s="80" t="s">
        <v>21</v>
      </c>
      <c r="K7" s="80" t="s">
        <v>21</v>
      </c>
      <c r="L7" s="30" t="s">
        <v>180</v>
      </c>
      <c r="M7" s="68">
        <v>5</v>
      </c>
      <c r="N7" s="181" t="str">
        <f t="shared" si="0"/>
        <v>нет</v>
      </c>
      <c r="O7" s="23"/>
      <c r="P7" s="23"/>
      <c r="Q7" s="106"/>
      <c r="R7" s="37">
        <v>2</v>
      </c>
      <c r="S7" s="38" t="s">
        <v>416</v>
      </c>
      <c r="T7" s="37">
        <v>1115</v>
      </c>
      <c r="U7" s="39" t="s">
        <v>1524</v>
      </c>
      <c r="V7" s="89" t="s">
        <v>187</v>
      </c>
      <c r="W7" s="87" t="s">
        <v>124</v>
      </c>
      <c r="X7" s="106" t="s">
        <v>295</v>
      </c>
      <c r="Y7" s="107" t="s">
        <v>12</v>
      </c>
      <c r="Z7" s="67">
        <f>IF(База_КР_КК[[#This Row],[Таб.номер резервиста]]="-","-",IF(OR(База_КР_КК[[#This Row],[Уровень КК]]=2,База_КР_КК[[#This Row],[Уровень КК]]=3),IF(COUNTIFS($U$2:$U7,$U7,$F$2:$F7,$F7)=1,1,0),IF(COUNTIFS($U$2:$U7,$U7,$L$2:$L7,$L7)=1,1,0)))</f>
        <v>1</v>
      </c>
      <c r="AA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" s="106"/>
      <c r="AC7" s="51"/>
      <c r="AD7" s="106" t="s">
        <v>13</v>
      </c>
      <c r="AE7" s="38" t="s">
        <v>402</v>
      </c>
    </row>
    <row r="8" spans="1:31" ht="18" customHeight="1" x14ac:dyDescent="0.25">
      <c r="A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8" s="79">
        <v>3</v>
      </c>
      <c r="C8" s="23">
        <v>43410</v>
      </c>
      <c r="D8" s="67">
        <f>IF(COUNTIF($G$2:$G8,$G8)=1,1,0)</f>
        <v>1</v>
      </c>
      <c r="E8" s="67" t="str">
        <f>IFERROR(VLOOKUP(База_КР_КК[[#This Row],[ИД штатной должности (S)]],'уровень защищенности'!$B$7:$F$1095,5,0),"не защищена")</f>
        <v>высокий</v>
      </c>
      <c r="F8" s="68">
        <v>500528</v>
      </c>
      <c r="G8" s="74" t="s">
        <v>2160</v>
      </c>
      <c r="H8" s="181">
        <f>INDEX('Списки данных'!$D$2:$D$1048576,MATCH(База_КР_КК[[#This Row],[Структурное подразделение]],'Списки данных'!$C$2:$C$1048576,0))</f>
        <v>243</v>
      </c>
      <c r="I8" s="80" t="s">
        <v>124</v>
      </c>
      <c r="J8" s="80" t="s">
        <v>178</v>
      </c>
      <c r="K8" s="80" t="s">
        <v>21</v>
      </c>
      <c r="L8" s="30" t="s">
        <v>179</v>
      </c>
      <c r="M8" s="68">
        <v>5</v>
      </c>
      <c r="N8" s="181" t="str">
        <f t="shared" si="0"/>
        <v>да</v>
      </c>
      <c r="O8" s="23">
        <v>43451</v>
      </c>
      <c r="P8" s="23">
        <v>43451</v>
      </c>
      <c r="Q8" s="106" t="s">
        <v>57</v>
      </c>
      <c r="R8" s="37">
        <v>3</v>
      </c>
      <c r="S8" s="38" t="s">
        <v>417</v>
      </c>
      <c r="T8" s="37">
        <v>1116</v>
      </c>
      <c r="U8" s="39" t="s">
        <v>1525</v>
      </c>
      <c r="V8" s="89" t="s">
        <v>187</v>
      </c>
      <c r="W8" s="87" t="s">
        <v>124</v>
      </c>
      <c r="X8" s="106" t="s">
        <v>295</v>
      </c>
      <c r="Y8" s="107" t="s">
        <v>12</v>
      </c>
      <c r="Z8" s="67">
        <f>IF(База_КР_КК[[#This Row],[Таб.номер резервиста]]="-","-",IF(OR(База_КР_КК[[#This Row],[Уровень КК]]=2,База_КР_КК[[#This Row],[Уровень КК]]=3),IF(COUNTIFS($U$2:$U8,$U8,$F$2:$F8,$F8)=1,1,0),IF(COUNTIFS($U$2:$U8,$U8,$L$2:$L8,$L8)=1,1,0)))</f>
        <v>1</v>
      </c>
      <c r="AA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" s="106"/>
      <c r="AC8" s="51"/>
      <c r="AD8" s="106" t="s">
        <v>13</v>
      </c>
      <c r="AE8" s="38" t="s">
        <v>402</v>
      </c>
    </row>
    <row r="9" spans="1:31" ht="18" customHeight="1" x14ac:dyDescent="0.25">
      <c r="A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9" s="79">
        <v>3</v>
      </c>
      <c r="C9" s="23">
        <v>43410</v>
      </c>
      <c r="D9" s="67">
        <f>IF(COUNTIF($G$2:$G9,$G9)=1,1,0)</f>
        <v>0</v>
      </c>
      <c r="E9" s="67" t="str">
        <f>IFERROR(VLOOKUP(База_КР_КК[[#This Row],[ИД штатной должности (S)]],'уровень защищенности'!$B$7:$F$1095,5,0),"не защищена")</f>
        <v>высокий</v>
      </c>
      <c r="F9" s="68">
        <v>500528</v>
      </c>
      <c r="G9" s="74" t="s">
        <v>2160</v>
      </c>
      <c r="H9" s="181">
        <f>INDEX('Списки данных'!$D$2:$D$1048576,MATCH(База_КР_КК[[#This Row],[Структурное подразделение]],'Списки данных'!$C$2:$C$1048576,0))</f>
        <v>243</v>
      </c>
      <c r="I9" s="80" t="s">
        <v>124</v>
      </c>
      <c r="J9" s="80" t="s">
        <v>178</v>
      </c>
      <c r="K9" s="80" t="s">
        <v>21</v>
      </c>
      <c r="L9" s="30" t="s">
        <v>179</v>
      </c>
      <c r="M9" s="68">
        <v>5</v>
      </c>
      <c r="N9" s="181" t="str">
        <f t="shared" si="0"/>
        <v>да</v>
      </c>
      <c r="O9" s="23">
        <v>43451</v>
      </c>
      <c r="P9" s="23">
        <v>43451</v>
      </c>
      <c r="Q9" s="106" t="s">
        <v>57</v>
      </c>
      <c r="R9" s="37">
        <v>3</v>
      </c>
      <c r="S9" s="38" t="s">
        <v>417</v>
      </c>
      <c r="T9" s="37">
        <v>9</v>
      </c>
      <c r="U9" s="39" t="s">
        <v>423</v>
      </c>
      <c r="V9" s="89" t="s">
        <v>180</v>
      </c>
      <c r="W9" s="87" t="s">
        <v>124</v>
      </c>
      <c r="X9" s="106" t="s">
        <v>295</v>
      </c>
      <c r="Y9" s="107" t="s">
        <v>12</v>
      </c>
      <c r="Z9" s="67">
        <f>IF(База_КР_КК[[#This Row],[Таб.номер резервиста]]="-","-",IF(OR(База_КР_КК[[#This Row],[Уровень КК]]=2,База_КР_КК[[#This Row],[Уровень КК]]=3),IF(COUNTIFS($U$2:$U9,$U9,$F$2:$F9,$F9)=1,1,0),IF(COUNTIFS($U$2:$U9,$U9,$L$2:$L9,$L9)=1,1,0)))</f>
        <v>1</v>
      </c>
      <c r="AA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" s="106"/>
      <c r="AC9" s="51"/>
      <c r="AD9" s="106" t="s">
        <v>13</v>
      </c>
      <c r="AE9" s="38" t="s">
        <v>402</v>
      </c>
    </row>
    <row r="10" spans="1:31" ht="18" customHeight="1" x14ac:dyDescent="0.25">
      <c r="A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0" s="79">
        <v>3</v>
      </c>
      <c r="C10" s="23">
        <v>43410</v>
      </c>
      <c r="D10" s="67">
        <f>IF(COUNTIF($G$2:$G10,$G10)=1,1,0)</f>
        <v>1</v>
      </c>
      <c r="E10" s="67" t="str">
        <f>IFERROR(VLOOKUP(База_КР_КК[[#This Row],[ИД штатной должности (S)]],'уровень защищенности'!$B$7:$F$1095,5,0),"не защищена")</f>
        <v>средний</v>
      </c>
      <c r="F10" s="68">
        <v>500529</v>
      </c>
      <c r="G10" s="74" t="s">
        <v>2161</v>
      </c>
      <c r="H10" s="181">
        <f>INDEX('Списки данных'!$D$2:$D$1048576,MATCH(База_КР_КК[[#This Row],[Структурное подразделение]],'Списки данных'!$C$2:$C$1048576,0))</f>
        <v>243</v>
      </c>
      <c r="I10" s="80" t="s">
        <v>124</v>
      </c>
      <c r="J10" s="80" t="s">
        <v>178</v>
      </c>
      <c r="K10" s="80" t="s">
        <v>21</v>
      </c>
      <c r="L10" s="30" t="s">
        <v>179</v>
      </c>
      <c r="M10" s="68">
        <v>5</v>
      </c>
      <c r="N10" s="181" t="str">
        <f t="shared" si="0"/>
        <v>да</v>
      </c>
      <c r="O10" s="23">
        <v>44191</v>
      </c>
      <c r="P10" s="23">
        <v>44256</v>
      </c>
      <c r="Q10" s="106" t="s">
        <v>57</v>
      </c>
      <c r="R10" s="37">
        <v>4</v>
      </c>
      <c r="S10" s="39" t="s">
        <v>418</v>
      </c>
      <c r="T10" s="37">
        <v>1117</v>
      </c>
      <c r="U10" s="39" t="s">
        <v>1526</v>
      </c>
      <c r="V10" s="89" t="s">
        <v>187</v>
      </c>
      <c r="W10" s="87" t="s">
        <v>124</v>
      </c>
      <c r="X10" s="106" t="s">
        <v>297</v>
      </c>
      <c r="Y10" s="107" t="s">
        <v>12</v>
      </c>
      <c r="Z10" s="67">
        <f>IF(База_КР_КК[[#This Row],[Таб.номер резервиста]]="-","-",IF(OR(База_КР_КК[[#This Row],[Уровень КК]]=2,База_КР_КК[[#This Row],[Уровень КК]]=3),IF(COUNTIFS($U$2:$U10,$U10,$F$2:$F10,$F10)=1,1,0),IF(COUNTIFS($U$2:$U10,$U10,$L$2:$L10,$L10)=1,1,0)))</f>
        <v>1</v>
      </c>
      <c r="AA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" s="106"/>
      <c r="AC10" s="51"/>
      <c r="AD10" s="106" t="s">
        <v>13</v>
      </c>
      <c r="AE10" s="38" t="s">
        <v>402</v>
      </c>
    </row>
    <row r="11" spans="1:31" ht="18" customHeight="1" x14ac:dyDescent="0.25">
      <c r="A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1" s="79">
        <v>3</v>
      </c>
      <c r="C11" s="23">
        <v>44706</v>
      </c>
      <c r="D11" s="67">
        <f>IF(COUNTIF($G$2:$G11,$G11)=1,1,0)</f>
        <v>0</v>
      </c>
      <c r="E11" s="67" t="str">
        <f>IFERROR(VLOOKUP(База_КР_КК[[#This Row],[ИД штатной должности (S)]],'уровень защищенности'!$B$7:$F$1095,5,0),"не защищена")</f>
        <v>средний</v>
      </c>
      <c r="F11" s="68">
        <v>500529</v>
      </c>
      <c r="G11" s="74" t="s">
        <v>2161</v>
      </c>
      <c r="H11" s="181">
        <f>INDEX('Списки данных'!$D$2:$D$1048576,MATCH(База_КР_КК[[#This Row],[Структурное подразделение]],'Списки данных'!$C$2:$C$1048576,0))</f>
        <v>243</v>
      </c>
      <c r="I11" s="80" t="s">
        <v>124</v>
      </c>
      <c r="J11" s="80" t="s">
        <v>178</v>
      </c>
      <c r="K11" s="80" t="s">
        <v>21</v>
      </c>
      <c r="L11" s="30" t="s">
        <v>179</v>
      </c>
      <c r="M11" s="68">
        <v>5</v>
      </c>
      <c r="N11" s="181" t="str">
        <f t="shared" si="0"/>
        <v>да</v>
      </c>
      <c r="O11" s="23">
        <v>44191</v>
      </c>
      <c r="P11" s="23">
        <v>44256</v>
      </c>
      <c r="Q11" s="106" t="s">
        <v>57</v>
      </c>
      <c r="R11" s="37">
        <v>4</v>
      </c>
      <c r="S11" s="39" t="s">
        <v>418</v>
      </c>
      <c r="T11" s="37">
        <v>1113</v>
      </c>
      <c r="U11" s="38" t="s">
        <v>1522</v>
      </c>
      <c r="V11" s="89" t="s">
        <v>187</v>
      </c>
      <c r="W11" s="87" t="s">
        <v>124</v>
      </c>
      <c r="X11" s="106" t="s">
        <v>297</v>
      </c>
      <c r="Y11" s="107" t="s">
        <v>12</v>
      </c>
      <c r="Z11" s="67">
        <f>IF(База_КР_КК[[#This Row],[Таб.номер резервиста]]="-","-",IF(OR(База_КР_КК[[#This Row],[Уровень КК]]=2,База_КР_КК[[#This Row],[Уровень КК]]=3),IF(COUNTIFS($U$2:$U11,$U11,$F$2:$F11,$F11)=1,1,0),IF(COUNTIFS($U$2:$U11,$U11,$L$2:$L11,$L11)=1,1,0)))</f>
        <v>1</v>
      </c>
      <c r="AA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" s="106"/>
      <c r="AC11" s="51"/>
      <c r="AD11" s="106" t="s">
        <v>15</v>
      </c>
      <c r="AE11" s="38" t="s">
        <v>402</v>
      </c>
    </row>
    <row r="12" spans="1:31" ht="18" customHeight="1" x14ac:dyDescent="0.25">
      <c r="A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2" s="79">
        <v>3</v>
      </c>
      <c r="C12" s="23">
        <v>43797</v>
      </c>
      <c r="D12" s="67">
        <f>IF(COUNTIF($G$2:$G12,$G12)=1,1,0)</f>
        <v>1</v>
      </c>
      <c r="E12" s="67" t="str">
        <f>IFERROR(VLOOKUP(База_КР_КК[[#This Row],[ИД штатной должности (S)]],'уровень защищенности'!$B$7:$F$1095,5,0),"не защищена")</f>
        <v>высокий</v>
      </c>
      <c r="F12" s="68">
        <v>500530</v>
      </c>
      <c r="G12" s="74" t="s">
        <v>2162</v>
      </c>
      <c r="H12" s="181">
        <f>INDEX('Списки данных'!$D$2:$D$1048576,MATCH(База_КР_КК[[#This Row],[Структурное подразделение]],'Списки данных'!$C$2:$C$1048576,0))</f>
        <v>243</v>
      </c>
      <c r="I12" s="80" t="s">
        <v>124</v>
      </c>
      <c r="J12" s="80" t="s">
        <v>21</v>
      </c>
      <c r="K12" s="80" t="s">
        <v>21</v>
      </c>
      <c r="L12" s="30" t="s">
        <v>180</v>
      </c>
      <c r="M12" s="68">
        <v>5</v>
      </c>
      <c r="N12" s="181" t="str">
        <f t="shared" si="0"/>
        <v>нет</v>
      </c>
      <c r="O12" s="23"/>
      <c r="P12" s="23"/>
      <c r="Q12" s="106"/>
      <c r="R12" s="37">
        <v>5</v>
      </c>
      <c r="S12" s="38" t="s">
        <v>419</v>
      </c>
      <c r="T12" s="37">
        <v>1118</v>
      </c>
      <c r="U12" s="39" t="s">
        <v>1527</v>
      </c>
      <c r="V12" s="89" t="s">
        <v>187</v>
      </c>
      <c r="W12" s="87" t="s">
        <v>124</v>
      </c>
      <c r="X12" s="106" t="s">
        <v>295</v>
      </c>
      <c r="Y12" s="107" t="s">
        <v>12</v>
      </c>
      <c r="Z12" s="67">
        <f>IF(База_КР_КК[[#This Row],[Таб.номер резервиста]]="-","-",IF(OR(База_КР_КК[[#This Row],[Уровень КК]]=2,База_КР_КК[[#This Row],[Уровень КК]]=3),IF(COUNTIFS($U$2:$U12,$U12,$F$2:$F12,$F12)=1,1,0),IF(COUNTIFS($U$2:$U12,$U12,$L$2:$L12,$L12)=1,1,0)))</f>
        <v>1</v>
      </c>
      <c r="AA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" s="106"/>
      <c r="AC12" s="51"/>
      <c r="AD12" s="106" t="s">
        <v>13</v>
      </c>
      <c r="AE12" s="38" t="s">
        <v>402</v>
      </c>
    </row>
    <row r="13" spans="1:31" ht="18" customHeight="1" x14ac:dyDescent="0.25">
      <c r="A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3" s="79">
        <v>3</v>
      </c>
      <c r="C13" s="23">
        <v>44706</v>
      </c>
      <c r="D13" s="67">
        <f>IF(COUNTIF($G$2:$G13,$G13)=1,1,0)</f>
        <v>0</v>
      </c>
      <c r="E13" s="67" t="str">
        <f>IFERROR(VLOOKUP(База_КР_КК[[#This Row],[ИД штатной должности (S)]],'уровень защищенности'!$B$7:$F$1095,5,0),"не защищена")</f>
        <v>высокий</v>
      </c>
      <c r="F13" s="68">
        <v>500530</v>
      </c>
      <c r="G13" s="74" t="s">
        <v>2162</v>
      </c>
      <c r="H13" s="181">
        <f>INDEX('Списки данных'!$D$2:$D$1048576,MATCH(База_КР_КК[[#This Row],[Структурное подразделение]],'Списки данных'!$C$2:$C$1048576,0))</f>
        <v>243</v>
      </c>
      <c r="I13" s="80" t="s">
        <v>124</v>
      </c>
      <c r="J13" s="80" t="s">
        <v>21</v>
      </c>
      <c r="K13" s="80" t="s">
        <v>21</v>
      </c>
      <c r="L13" s="30" t="s">
        <v>180</v>
      </c>
      <c r="M13" s="68">
        <v>5</v>
      </c>
      <c r="N13" s="181" t="str">
        <f t="shared" si="0"/>
        <v>нет</v>
      </c>
      <c r="O13" s="23"/>
      <c r="P13" s="23"/>
      <c r="Q13" s="106"/>
      <c r="R13" s="37">
        <v>5</v>
      </c>
      <c r="S13" s="39" t="s">
        <v>419</v>
      </c>
      <c r="T13" s="37">
        <v>1119</v>
      </c>
      <c r="U13" s="38" t="s">
        <v>1528</v>
      </c>
      <c r="V13" s="89" t="s">
        <v>16</v>
      </c>
      <c r="W13" s="87" t="s">
        <v>124</v>
      </c>
      <c r="X13" s="106" t="s">
        <v>296</v>
      </c>
      <c r="Y13" s="107" t="s">
        <v>12</v>
      </c>
      <c r="Z13" s="67">
        <f>IF(База_КР_КК[[#This Row],[Таб.номер резервиста]]="-","-",IF(OR(База_КР_КК[[#This Row],[Уровень КК]]=2,База_КР_КК[[#This Row],[Уровень КК]]=3),IF(COUNTIFS($U$2:$U13,$U13,$F$2:$F13,$F13)=1,1,0),IF(COUNTIFS($U$2:$U13,$U13,$L$2:$L13,$L13)=1,1,0)))</f>
        <v>1</v>
      </c>
      <c r="AA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" s="106"/>
      <c r="AC13" s="51"/>
      <c r="AD13" s="106" t="s">
        <v>15</v>
      </c>
      <c r="AE13" s="38" t="s">
        <v>402</v>
      </c>
    </row>
    <row r="14" spans="1:31" ht="18" customHeight="1" x14ac:dyDescent="0.25">
      <c r="A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4" s="79">
        <v>3</v>
      </c>
      <c r="C14" s="23">
        <v>43410</v>
      </c>
      <c r="D14" s="67">
        <f>IF(COUNTIF($G$2:$G14,$G14)=1,1,0)</f>
        <v>0</v>
      </c>
      <c r="E14" s="67" t="str">
        <f>IFERROR(VLOOKUP(База_КР_КК[[#This Row],[ИД штатной должности (S)]],'уровень защищенности'!$B$7:$F$1095,5,0),"не защищена")</f>
        <v>высокий</v>
      </c>
      <c r="F14" s="68">
        <v>500530</v>
      </c>
      <c r="G14" s="74" t="s">
        <v>2162</v>
      </c>
      <c r="H14" s="181">
        <f>INDEX('Списки данных'!$D$2:$D$1048576,MATCH(База_КР_КК[[#This Row],[Структурное подразделение]],'Списки данных'!$C$2:$C$1048576,0))</f>
        <v>243</v>
      </c>
      <c r="I14" s="80" t="s">
        <v>124</v>
      </c>
      <c r="J14" s="80" t="s">
        <v>21</v>
      </c>
      <c r="K14" s="80" t="s">
        <v>21</v>
      </c>
      <c r="L14" s="30" t="s">
        <v>180</v>
      </c>
      <c r="M14" s="68">
        <v>5</v>
      </c>
      <c r="N14" s="181" t="str">
        <f t="shared" si="0"/>
        <v>нет</v>
      </c>
      <c r="O14" s="23"/>
      <c r="P14" s="23"/>
      <c r="Q14" s="106"/>
      <c r="R14" s="37">
        <v>5</v>
      </c>
      <c r="S14" s="38" t="s">
        <v>419</v>
      </c>
      <c r="T14" s="37">
        <v>1120</v>
      </c>
      <c r="U14" s="39" t="s">
        <v>1529</v>
      </c>
      <c r="V14" s="89" t="s">
        <v>187</v>
      </c>
      <c r="W14" s="193" t="s">
        <v>273</v>
      </c>
      <c r="X14" s="106" t="s">
        <v>297</v>
      </c>
      <c r="Y14" s="107" t="s">
        <v>18</v>
      </c>
      <c r="Z14" s="67">
        <f>IF(База_КР_КК[[#This Row],[Таб.номер резервиста]]="-","-",IF(OR(База_КР_КК[[#This Row],[Уровень КК]]=2,База_КР_КК[[#This Row],[Уровень КК]]=3),IF(COUNTIFS($U$2:$U14,$U14,$F$2:$F14,$F14)=1,1,0),IF(COUNTIFS($U$2:$U14,$U14,$L$2:$L14,$L14)=1,1,0)))</f>
        <v>1</v>
      </c>
      <c r="AA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" s="106" t="s">
        <v>45</v>
      </c>
      <c r="AC14" s="51">
        <v>45071</v>
      </c>
      <c r="AD14" s="106" t="s">
        <v>31</v>
      </c>
      <c r="AE14" s="38" t="s">
        <v>402</v>
      </c>
    </row>
    <row r="15" spans="1:31" ht="18" customHeight="1" x14ac:dyDescent="0.25">
      <c r="A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5" s="79">
        <v>2</v>
      </c>
      <c r="C15" s="23">
        <v>43080</v>
      </c>
      <c r="D15" s="67">
        <f>IF(COUNTIF($G$2:$G15,$G15)=1,1,0)</f>
        <v>1</v>
      </c>
      <c r="E15" s="67" t="str">
        <f>IFERROR(VLOOKUP(База_КР_КК[[#This Row],[ИД штатной должности (S)]],'уровень защищенности'!$B$7:$F$1095,5,0),"не защищена")</f>
        <v>средний</v>
      </c>
      <c r="F15" s="68">
        <v>500548</v>
      </c>
      <c r="G15" s="74" t="s">
        <v>2163</v>
      </c>
      <c r="H15" s="181">
        <f>INDEX('Списки данных'!$D$2:$D$1048576,MATCH(База_КР_КК[[#This Row],[Структурное подразделение]],'Списки данных'!$C$2:$C$1048576,0))</f>
        <v>243</v>
      </c>
      <c r="I15" s="80" t="s">
        <v>124</v>
      </c>
      <c r="J15" s="80" t="s">
        <v>21</v>
      </c>
      <c r="K15" s="80" t="s">
        <v>21</v>
      </c>
      <c r="L15" s="30" t="s">
        <v>181</v>
      </c>
      <c r="M15" s="68">
        <v>5</v>
      </c>
      <c r="N15" s="181" t="str">
        <f t="shared" si="0"/>
        <v>да</v>
      </c>
      <c r="O15" s="23">
        <v>43840</v>
      </c>
      <c r="P15" s="23">
        <v>44378</v>
      </c>
      <c r="Q15" s="106" t="s">
        <v>66</v>
      </c>
      <c r="R15" s="37">
        <v>6</v>
      </c>
      <c r="S15" s="39" t="s">
        <v>420</v>
      </c>
      <c r="T15" s="37">
        <v>3</v>
      </c>
      <c r="U15" s="39" t="s">
        <v>417</v>
      </c>
      <c r="V15" s="89" t="s">
        <v>179</v>
      </c>
      <c r="W15" s="87" t="s">
        <v>124</v>
      </c>
      <c r="X15" s="106" t="s">
        <v>297</v>
      </c>
      <c r="Y15" s="107" t="s">
        <v>12</v>
      </c>
      <c r="Z15" s="67">
        <f>IF(База_КР_КК[[#This Row],[Таб.номер резервиста]]="-","-",IF(OR(База_КР_КК[[#This Row],[Уровень КК]]=2,База_КР_КК[[#This Row],[Уровень КК]]=3),IF(COUNTIFS($U$2:$U15,$U15,$F$2:$F15,$F15)=1,1,0),IF(COUNTIFS($U$2:$U15,$U15,$L$2:$L15,$L15)=1,1,0)))</f>
        <v>1</v>
      </c>
      <c r="AA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" s="106"/>
      <c r="AC15" s="51"/>
      <c r="AD15" s="106" t="s">
        <v>22</v>
      </c>
      <c r="AE15" s="38" t="s">
        <v>303</v>
      </c>
    </row>
    <row r="16" spans="1:31" ht="18" customHeight="1" x14ac:dyDescent="0.25">
      <c r="A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6" s="79">
        <v>2</v>
      </c>
      <c r="C16" s="23">
        <v>44912</v>
      </c>
      <c r="D16" s="67">
        <f>IF(COUNTIF($G$2:$G16,$G16)=1,1,0)</f>
        <v>0</v>
      </c>
      <c r="E16" s="67" t="str">
        <f>IFERROR(VLOOKUP(База_КР_КК[[#This Row],[ИД штатной должности (S)]],'уровень защищенности'!$B$7:$F$1095,5,0),"не защищена")</f>
        <v>средний</v>
      </c>
      <c r="F16" s="68">
        <v>500548</v>
      </c>
      <c r="G16" s="74" t="s">
        <v>2163</v>
      </c>
      <c r="H16" s="181">
        <f>INDEX('Списки данных'!$D$2:$D$1048576,MATCH(База_КР_КК[[#This Row],[Структурное подразделение]],'Списки данных'!$C$2:$C$1048576,0))</f>
        <v>243</v>
      </c>
      <c r="I16" s="80" t="s">
        <v>124</v>
      </c>
      <c r="J16" s="80" t="s">
        <v>21</v>
      </c>
      <c r="K16" s="80" t="s">
        <v>21</v>
      </c>
      <c r="L16" s="30" t="s">
        <v>181</v>
      </c>
      <c r="M16" s="68">
        <v>5</v>
      </c>
      <c r="N16" s="181" t="str">
        <f t="shared" si="0"/>
        <v>да</v>
      </c>
      <c r="O16" s="23">
        <v>43840</v>
      </c>
      <c r="P16" s="23">
        <v>44519</v>
      </c>
      <c r="Q16" s="106" t="s">
        <v>66</v>
      </c>
      <c r="R16" s="37">
        <v>6</v>
      </c>
      <c r="S16" s="39" t="s">
        <v>420</v>
      </c>
      <c r="T16" s="37">
        <v>9</v>
      </c>
      <c r="U16" s="39" t="s">
        <v>423</v>
      </c>
      <c r="V16" s="89" t="s">
        <v>180</v>
      </c>
      <c r="W16" s="87" t="s">
        <v>124</v>
      </c>
      <c r="X16" s="106" t="s">
        <v>296</v>
      </c>
      <c r="Y16" s="107" t="s">
        <v>12</v>
      </c>
      <c r="Z16" s="67">
        <f>IF(База_КР_КК[[#This Row],[Таб.номер резервиста]]="-","-",IF(OR(База_КР_КК[[#This Row],[Уровень КК]]=2,База_КР_КК[[#This Row],[Уровень КК]]=3),IF(COUNTIFS($U$2:$U16,$U16,$F$2:$F16,$F16)=1,1,0),IF(COUNTIFS($U$2:$U16,$U16,$L$2:$L16,$L16)=1,1,0)))</f>
        <v>1</v>
      </c>
      <c r="AA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" s="106"/>
      <c r="AC16" s="51"/>
      <c r="AD16" s="106" t="s">
        <v>15</v>
      </c>
      <c r="AE16" s="38" t="s">
        <v>304</v>
      </c>
    </row>
    <row r="17" spans="1:31" ht="18" customHeight="1" x14ac:dyDescent="0.25">
      <c r="A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7" s="79">
        <v>2</v>
      </c>
      <c r="C17" s="23">
        <v>43080</v>
      </c>
      <c r="D17" s="67">
        <f>IF(COUNTIF($G$2:$G17,$G17)=1,1,0)</f>
        <v>0</v>
      </c>
      <c r="E17" s="67" t="str">
        <f>IFERROR(VLOOKUP(База_КР_КК[[#This Row],[ИД штатной должности (S)]],'уровень защищенности'!$B$7:$F$1095,5,0),"не защищена")</f>
        <v>средний</v>
      </c>
      <c r="F17" s="68">
        <v>500548</v>
      </c>
      <c r="G17" s="74" t="s">
        <v>2163</v>
      </c>
      <c r="H17" s="181">
        <f>INDEX('Списки данных'!$D$2:$D$1048576,MATCH(База_КР_КК[[#This Row],[Структурное подразделение]],'Списки данных'!$C$2:$C$1048576,0))</f>
        <v>243</v>
      </c>
      <c r="I17" s="80" t="s">
        <v>124</v>
      </c>
      <c r="J17" s="80" t="s">
        <v>21</v>
      </c>
      <c r="K17" s="80" t="s">
        <v>21</v>
      </c>
      <c r="L17" s="30" t="s">
        <v>181</v>
      </c>
      <c r="M17" s="68">
        <v>5</v>
      </c>
      <c r="N17" s="181" t="str">
        <f t="shared" si="0"/>
        <v>да</v>
      </c>
      <c r="O17" s="23">
        <v>43840</v>
      </c>
      <c r="P17" s="23">
        <v>44378</v>
      </c>
      <c r="Q17" s="106" t="s">
        <v>66</v>
      </c>
      <c r="R17" s="37">
        <v>6</v>
      </c>
      <c r="S17" s="39" t="s">
        <v>420</v>
      </c>
      <c r="T17" s="37">
        <v>6</v>
      </c>
      <c r="U17" s="39" t="s">
        <v>420</v>
      </c>
      <c r="V17" s="89" t="s">
        <v>179</v>
      </c>
      <c r="W17" s="87" t="s">
        <v>124</v>
      </c>
      <c r="X17" s="106" t="s">
        <v>295</v>
      </c>
      <c r="Y17" s="107" t="s">
        <v>14</v>
      </c>
      <c r="Z17" s="67">
        <f>IF(База_КР_КК[[#This Row],[Таб.номер резервиста]]="-","-",IF(OR(База_КР_КК[[#This Row],[Уровень КК]]=2,База_КР_КК[[#This Row],[Уровень КК]]=3),IF(COUNTIFS($U$2:$U17,$U17,$F$2:$F17,$F17)=1,1,0),IF(COUNTIFS($U$2:$U17,$U17,$L$2:$L17,$L17)=1,1,0)))</f>
        <v>1</v>
      </c>
      <c r="AA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7" s="106" t="s">
        <v>24</v>
      </c>
      <c r="AC17" s="51">
        <v>44378</v>
      </c>
      <c r="AD17" s="106" t="s">
        <v>13</v>
      </c>
      <c r="AE17" s="38" t="s">
        <v>305</v>
      </c>
    </row>
    <row r="18" spans="1:31" ht="18" customHeight="1" x14ac:dyDescent="0.25">
      <c r="A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8" s="79">
        <v>2</v>
      </c>
      <c r="C18" s="23">
        <v>43080</v>
      </c>
      <c r="D18" s="67">
        <f>IF(COUNTIF($G$2:$G18,$G18)=1,1,0)</f>
        <v>0</v>
      </c>
      <c r="E18" s="67" t="str">
        <f>IFERROR(VLOOKUP(База_КР_КК[[#This Row],[ИД штатной должности (S)]],'уровень защищенности'!$B$7:$F$1095,5,0),"не защищена")</f>
        <v>средний</v>
      </c>
      <c r="F18" s="68">
        <v>500548</v>
      </c>
      <c r="G18" s="74" t="s">
        <v>2163</v>
      </c>
      <c r="H18" s="181">
        <f>INDEX('Списки данных'!$D$2:$D$1048576,MATCH(База_КР_КК[[#This Row],[Структурное подразделение]],'Списки данных'!$C$2:$C$1048576,0))</f>
        <v>243</v>
      </c>
      <c r="I18" s="80" t="s">
        <v>124</v>
      </c>
      <c r="J18" s="80" t="s">
        <v>21</v>
      </c>
      <c r="K18" s="80" t="s">
        <v>21</v>
      </c>
      <c r="L18" s="30" t="s">
        <v>181</v>
      </c>
      <c r="M18" s="68">
        <v>5</v>
      </c>
      <c r="N18" s="181" t="str">
        <f t="shared" si="0"/>
        <v>да</v>
      </c>
      <c r="O18" s="23">
        <v>43840</v>
      </c>
      <c r="P18" s="23">
        <v>44378</v>
      </c>
      <c r="Q18" s="106" t="s">
        <v>66</v>
      </c>
      <c r="R18" s="37">
        <v>6</v>
      </c>
      <c r="S18" s="39" t="s">
        <v>420</v>
      </c>
      <c r="T18" s="37">
        <v>1121</v>
      </c>
      <c r="U18" s="39" t="s">
        <v>1530</v>
      </c>
      <c r="V18" s="89" t="s">
        <v>180</v>
      </c>
      <c r="W18" s="87" t="s">
        <v>274</v>
      </c>
      <c r="X18" s="106" t="s">
        <v>297</v>
      </c>
      <c r="Y18" s="107" t="s">
        <v>18</v>
      </c>
      <c r="Z18" s="67">
        <f>IF(База_КР_КК[[#This Row],[Таб.номер резервиста]]="-","-",IF(OR(База_КР_КК[[#This Row],[Уровень КК]]=2,База_КР_КК[[#This Row],[Уровень КК]]=3),IF(COUNTIFS($U$2:$U18,$U18,$F$2:$F18,$F18)=1,1,0),IF(COUNTIFS($U$2:$U18,$U18,$L$2:$L18,$L18)=1,1,0)))</f>
        <v>1</v>
      </c>
      <c r="AA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" s="106" t="s">
        <v>33</v>
      </c>
      <c r="AC18" s="51">
        <v>44774</v>
      </c>
      <c r="AD18" s="106" t="s">
        <v>31</v>
      </c>
      <c r="AE18" s="38" t="s">
        <v>303</v>
      </c>
    </row>
    <row r="19" spans="1:31" ht="18" customHeight="1" x14ac:dyDescent="0.25">
      <c r="A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19" s="79">
        <v>2</v>
      </c>
      <c r="C19" s="23">
        <v>43080</v>
      </c>
      <c r="D19" s="67">
        <f>IF(COUNTIF($G$2:$G19,$G19)=1,1,0)</f>
        <v>0</v>
      </c>
      <c r="E19" s="67" t="str">
        <f>IFERROR(VLOOKUP(База_КР_КК[[#This Row],[ИД штатной должности (S)]],'уровень защищенности'!$B$7:$F$1095,5,0),"не защищена")</f>
        <v>средний</v>
      </c>
      <c r="F19" s="68">
        <v>500548</v>
      </c>
      <c r="G19" s="74" t="s">
        <v>2163</v>
      </c>
      <c r="H19" s="181">
        <f>INDEX('Списки данных'!$D$2:$D$1048576,MATCH(База_КР_КК[[#This Row],[Структурное подразделение]],'Списки данных'!$C$2:$C$1048576,0))</f>
        <v>243</v>
      </c>
      <c r="I19" s="80" t="s">
        <v>124</v>
      </c>
      <c r="J19" s="80" t="s">
        <v>21</v>
      </c>
      <c r="K19" s="80" t="s">
        <v>21</v>
      </c>
      <c r="L19" s="30" t="s">
        <v>181</v>
      </c>
      <c r="M19" s="68">
        <v>5</v>
      </c>
      <c r="N19" s="181" t="str">
        <f t="shared" si="0"/>
        <v>да</v>
      </c>
      <c r="O19" s="23">
        <v>43840</v>
      </c>
      <c r="P19" s="23">
        <v>44378</v>
      </c>
      <c r="Q19" s="106" t="s">
        <v>66</v>
      </c>
      <c r="R19" s="37">
        <v>6</v>
      </c>
      <c r="S19" s="39" t="s">
        <v>420</v>
      </c>
      <c r="T19" s="37">
        <v>1</v>
      </c>
      <c r="U19" s="39" t="s">
        <v>415</v>
      </c>
      <c r="V19" s="89" t="s">
        <v>179</v>
      </c>
      <c r="W19" s="87" t="s">
        <v>124</v>
      </c>
      <c r="X19" s="106" t="s">
        <v>297</v>
      </c>
      <c r="Y19" s="107" t="s">
        <v>18</v>
      </c>
      <c r="Z19" s="67">
        <f>IF(База_КР_КК[[#This Row],[Таб.номер резервиста]]="-","-",IF(OR(База_КР_КК[[#This Row],[Уровень КК]]=2,База_КР_КК[[#This Row],[Уровень КК]]=3),IF(COUNTIFS($U$2:$U19,$U19,$F$2:$F19,$F19)=1,1,0),IF(COUNTIFS($U$2:$U19,$U19,$L$2:$L19,$L19)=1,1,0)))</f>
        <v>1</v>
      </c>
      <c r="AA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" s="106" t="s">
        <v>38</v>
      </c>
      <c r="AC19" s="51">
        <v>45277</v>
      </c>
      <c r="AD19" s="106" t="s">
        <v>31</v>
      </c>
      <c r="AE19" s="38" t="s">
        <v>407</v>
      </c>
    </row>
    <row r="20" spans="1:31" ht="18" customHeight="1" x14ac:dyDescent="0.25">
      <c r="A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0" s="79">
        <v>3</v>
      </c>
      <c r="C20" s="23">
        <v>43410</v>
      </c>
      <c r="D20" s="67">
        <f>IF(COUNTIF($G$2:$G20,$G20)=1,1,0)</f>
        <v>1</v>
      </c>
      <c r="E20" s="67" t="str">
        <f>IFERROR(VLOOKUP(База_КР_КК[[#This Row],[ИД штатной должности (S)]],'уровень защищенности'!$B$7:$F$1095,5,0),"не защищена")</f>
        <v>высокий</v>
      </c>
      <c r="F20" s="68">
        <v>500078</v>
      </c>
      <c r="G20" s="74" t="s">
        <v>2164</v>
      </c>
      <c r="H20" s="181">
        <f>INDEX('Списки данных'!$D$2:$D$1048576,MATCH(База_КР_КК[[#This Row],[Структурное подразделение]],'Списки данных'!$C$2:$C$1048576,0))</f>
        <v>243</v>
      </c>
      <c r="I20" s="80" t="s">
        <v>124</v>
      </c>
      <c r="J20" s="80" t="s">
        <v>178</v>
      </c>
      <c r="K20" s="80" t="s">
        <v>21</v>
      </c>
      <c r="L20" s="30" t="s">
        <v>180</v>
      </c>
      <c r="M20" s="68">
        <v>5</v>
      </c>
      <c r="N20" s="181" t="str">
        <f t="shared" si="0"/>
        <v>нет</v>
      </c>
      <c r="O20" s="23"/>
      <c r="P20" s="23"/>
      <c r="Q20" s="106"/>
      <c r="R20" s="37">
        <v>7</v>
      </c>
      <c r="S20" s="38" t="s">
        <v>421</v>
      </c>
      <c r="T20" s="37">
        <v>1120</v>
      </c>
      <c r="U20" s="39" t="s">
        <v>1529</v>
      </c>
      <c r="V20" s="89" t="s">
        <v>187</v>
      </c>
      <c r="W20" s="193" t="s">
        <v>273</v>
      </c>
      <c r="X20" s="106" t="s">
        <v>295</v>
      </c>
      <c r="Y20" s="107" t="s">
        <v>12</v>
      </c>
      <c r="Z20" s="67">
        <f>IF(База_КР_КК[[#This Row],[Таб.номер резервиста]]="-","-",IF(OR(База_КР_КК[[#This Row],[Уровень КК]]=2,База_КР_КК[[#This Row],[Уровень КК]]=3),IF(COUNTIFS($U$2:$U20,$U20,$F$2:$F20,$F20)=1,1,0),IF(COUNTIFS($U$2:$U20,$U20,$L$2:$L20,$L20)=1,1,0)))</f>
        <v>1</v>
      </c>
      <c r="AA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" s="106"/>
      <c r="AC20" s="51"/>
      <c r="AD20" s="106" t="s">
        <v>17</v>
      </c>
      <c r="AE20" s="38" t="s">
        <v>402</v>
      </c>
    </row>
    <row r="21" spans="1:31" ht="18" customHeight="1" x14ac:dyDescent="0.25">
      <c r="A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1" s="79">
        <v>3</v>
      </c>
      <c r="C21" s="23">
        <v>43410</v>
      </c>
      <c r="D21" s="67">
        <f>IF(COUNTIF($G$2:$G21,$G21)=1,1,0)</f>
        <v>0</v>
      </c>
      <c r="E21" s="67" t="str">
        <f>IFERROR(VLOOKUP(База_КР_КК[[#This Row],[ИД штатной должности (S)]],'уровень защищенности'!$B$7:$F$1095,5,0),"не защищена")</f>
        <v>высокий</v>
      </c>
      <c r="F21" s="68">
        <v>500078</v>
      </c>
      <c r="G21" s="74" t="s">
        <v>2164</v>
      </c>
      <c r="H21" s="181">
        <f>INDEX('Списки данных'!$D$2:$D$1048576,MATCH(База_КР_КК[[#This Row],[Структурное подразделение]],'Списки данных'!$C$2:$C$1048576,0))</f>
        <v>243</v>
      </c>
      <c r="I21" s="80" t="s">
        <v>124</v>
      </c>
      <c r="J21" s="80" t="s">
        <v>178</v>
      </c>
      <c r="K21" s="80" t="s">
        <v>21</v>
      </c>
      <c r="L21" s="30" t="s">
        <v>180</v>
      </c>
      <c r="M21" s="68">
        <v>5</v>
      </c>
      <c r="N21" s="181" t="str">
        <f t="shared" si="0"/>
        <v>нет</v>
      </c>
      <c r="O21" s="23"/>
      <c r="P21" s="23"/>
      <c r="Q21" s="106"/>
      <c r="R21" s="37">
        <v>7</v>
      </c>
      <c r="S21" s="38" t="s">
        <v>421</v>
      </c>
      <c r="T21" s="37">
        <v>1122</v>
      </c>
      <c r="U21" s="39" t="s">
        <v>1531</v>
      </c>
      <c r="V21" s="89" t="s">
        <v>187</v>
      </c>
      <c r="W21" s="193" t="s">
        <v>273</v>
      </c>
      <c r="X21" s="106" t="s">
        <v>297</v>
      </c>
      <c r="Y21" s="107" t="s">
        <v>12</v>
      </c>
      <c r="Z21" s="67">
        <f>IF(База_КР_КК[[#This Row],[Таб.номер резервиста]]="-","-",IF(OR(База_КР_КК[[#This Row],[Уровень КК]]=2,База_КР_КК[[#This Row],[Уровень КК]]=3),IF(COUNTIFS($U$2:$U21,$U21,$F$2:$F21,$F21)=1,1,0),IF(COUNTIFS($U$2:$U21,$U21,$L$2:$L21,$L21)=1,1,0)))</f>
        <v>1</v>
      </c>
      <c r="AA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" s="106"/>
      <c r="AC21" s="51"/>
      <c r="AD21" s="106" t="s">
        <v>13</v>
      </c>
      <c r="AE21" s="38" t="s">
        <v>402</v>
      </c>
    </row>
    <row r="22" spans="1:31" ht="18" customHeight="1" x14ac:dyDescent="0.25">
      <c r="A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2" s="79">
        <v>3</v>
      </c>
      <c r="C22" s="23">
        <v>43410</v>
      </c>
      <c r="D22" s="67">
        <f>IF(COUNTIF($G$2:$G22,$G22)=1,1,0)</f>
        <v>1</v>
      </c>
      <c r="E22" s="67" t="str">
        <f>IFERROR(VLOOKUP(База_КР_КК[[#This Row],[ИД штатной должности (S)]],'уровень защищенности'!$B$7:$F$1095,5,0),"не защищена")</f>
        <v>высокий</v>
      </c>
      <c r="F22" s="68">
        <v>500079</v>
      </c>
      <c r="G22" s="74" t="s">
        <v>2165</v>
      </c>
      <c r="H22" s="181">
        <f>INDEX('Списки данных'!$D$2:$D$1048576,MATCH(База_КР_КК[[#This Row],[Структурное подразделение]],'Списки данных'!$C$2:$C$1048576,0))</f>
        <v>243</v>
      </c>
      <c r="I22" s="80" t="s">
        <v>124</v>
      </c>
      <c r="J22" s="80" t="s">
        <v>178</v>
      </c>
      <c r="K22" s="80" t="s">
        <v>21</v>
      </c>
      <c r="L22" s="30" t="s">
        <v>180</v>
      </c>
      <c r="M22" s="68">
        <v>5</v>
      </c>
      <c r="N22" s="181" t="str">
        <f t="shared" si="0"/>
        <v>да</v>
      </c>
      <c r="O22" s="23">
        <v>44524</v>
      </c>
      <c r="P22" s="23"/>
      <c r="Q22" s="106" t="s">
        <v>66</v>
      </c>
      <c r="R22" s="37">
        <v>8</v>
      </c>
      <c r="S22" s="39" t="s">
        <v>422</v>
      </c>
      <c r="T22" s="37">
        <v>1123</v>
      </c>
      <c r="U22" s="39" t="s">
        <v>1532</v>
      </c>
      <c r="V22" s="89" t="s">
        <v>187</v>
      </c>
      <c r="W22" s="193" t="s">
        <v>273</v>
      </c>
      <c r="X22" s="106" t="s">
        <v>295</v>
      </c>
      <c r="Y22" s="107" t="s">
        <v>12</v>
      </c>
      <c r="Z22" s="67">
        <f>IF(База_КР_КК[[#This Row],[Таб.номер резервиста]]="-","-",IF(OR(База_КР_КК[[#This Row],[Уровень КК]]=2,База_КР_КК[[#This Row],[Уровень КК]]=3),IF(COUNTIFS($U$2:$U22,$U22,$F$2:$F22,$F22)=1,1,0),IF(COUNTIFS($U$2:$U22,$U22,$L$2:$L22,$L22)=1,1,0)))</f>
        <v>1</v>
      </c>
      <c r="AA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" s="106"/>
      <c r="AC22" s="51"/>
      <c r="AD22" s="106" t="s">
        <v>13</v>
      </c>
      <c r="AE22" s="38" t="s">
        <v>402</v>
      </c>
    </row>
    <row r="23" spans="1:31" ht="18" customHeight="1" x14ac:dyDescent="0.25">
      <c r="A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3" s="79">
        <v>3</v>
      </c>
      <c r="C23" s="23">
        <v>43410</v>
      </c>
      <c r="D23" s="67">
        <f>IF(COUNTIF($G$2:$G23,$G23)=1,1,0)</f>
        <v>0</v>
      </c>
      <c r="E23" s="67" t="str">
        <f>IFERROR(VLOOKUP(База_КР_КК[[#This Row],[ИД штатной должности (S)]],'уровень защищенности'!$B$7:$F$1095,5,0),"не защищена")</f>
        <v>высокий</v>
      </c>
      <c r="F23" s="68">
        <v>500079</v>
      </c>
      <c r="G23" s="74" t="s">
        <v>2165</v>
      </c>
      <c r="H23" s="181">
        <f>INDEX('Списки данных'!$D$2:$D$1048576,MATCH(База_КР_КК[[#This Row],[Структурное подразделение]],'Списки данных'!$C$2:$C$1048576,0))</f>
        <v>243</v>
      </c>
      <c r="I23" s="80" t="s">
        <v>124</v>
      </c>
      <c r="J23" s="80" t="s">
        <v>178</v>
      </c>
      <c r="K23" s="80" t="s">
        <v>21</v>
      </c>
      <c r="L23" s="30" t="s">
        <v>180</v>
      </c>
      <c r="M23" s="68">
        <v>5</v>
      </c>
      <c r="N23" s="181" t="str">
        <f t="shared" si="0"/>
        <v>да</v>
      </c>
      <c r="O23" s="23">
        <v>44524</v>
      </c>
      <c r="P23" s="23"/>
      <c r="Q23" s="106" t="s">
        <v>66</v>
      </c>
      <c r="R23" s="37">
        <v>8</v>
      </c>
      <c r="S23" s="39" t="s">
        <v>422</v>
      </c>
      <c r="T23" s="37">
        <v>1124</v>
      </c>
      <c r="U23" s="39" t="s">
        <v>1533</v>
      </c>
      <c r="V23" s="89" t="s">
        <v>180</v>
      </c>
      <c r="W23" s="87" t="s">
        <v>125</v>
      </c>
      <c r="X23" s="106" t="s">
        <v>295</v>
      </c>
      <c r="Y23" s="107" t="s">
        <v>12</v>
      </c>
      <c r="Z23" s="67">
        <f>IF(База_КР_КК[[#This Row],[Таб.номер резервиста]]="-","-",IF(OR(База_КР_КК[[#This Row],[Уровень КК]]=2,База_КР_КК[[#This Row],[Уровень КК]]=3),IF(COUNTIFS($U$2:$U23,$U23,$F$2:$F23,$F23)=1,1,0),IF(COUNTIFS($U$2:$U23,$U23,$L$2:$L23,$L23)=1,1,0)))</f>
        <v>1</v>
      </c>
      <c r="AA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" s="106"/>
      <c r="AC23" s="51"/>
      <c r="AD23" s="106" t="s">
        <v>13</v>
      </c>
      <c r="AE23" s="38" t="s">
        <v>402</v>
      </c>
    </row>
    <row r="24" spans="1:31" ht="18" customHeight="1" x14ac:dyDescent="0.25">
      <c r="A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4" s="79">
        <v>3</v>
      </c>
      <c r="C24" s="23">
        <v>43410</v>
      </c>
      <c r="D24" s="67">
        <f>IF(COUNTIF($G$2:$G24,$G24)=1,1,0)</f>
        <v>0</v>
      </c>
      <c r="E24" s="67" t="str">
        <f>IFERROR(VLOOKUP(База_КР_КК[[#This Row],[ИД штатной должности (S)]],'уровень защищенности'!$B$7:$F$1095,5,0),"не защищена")</f>
        <v>высокий</v>
      </c>
      <c r="F24" s="68">
        <v>500079</v>
      </c>
      <c r="G24" s="74" t="s">
        <v>2165</v>
      </c>
      <c r="H24" s="181">
        <f>INDEX('Списки данных'!$D$2:$D$1048576,MATCH(База_КР_КК[[#This Row],[Структурное подразделение]],'Списки данных'!$C$2:$C$1048576,0))</f>
        <v>243</v>
      </c>
      <c r="I24" s="80" t="s">
        <v>124</v>
      </c>
      <c r="J24" s="80" t="s">
        <v>178</v>
      </c>
      <c r="K24" s="80" t="s">
        <v>21</v>
      </c>
      <c r="L24" s="30" t="s">
        <v>180</v>
      </c>
      <c r="M24" s="68">
        <v>5</v>
      </c>
      <c r="N24" s="181" t="str">
        <f t="shared" si="0"/>
        <v>да</v>
      </c>
      <c r="O24" s="23">
        <v>44524</v>
      </c>
      <c r="P24" s="23"/>
      <c r="Q24" s="106" t="s">
        <v>66</v>
      </c>
      <c r="R24" s="37">
        <v>8</v>
      </c>
      <c r="S24" s="39" t="s">
        <v>422</v>
      </c>
      <c r="T24" s="37">
        <v>1125</v>
      </c>
      <c r="U24" s="39" t="s">
        <v>1534</v>
      </c>
      <c r="V24" s="89" t="s">
        <v>187</v>
      </c>
      <c r="W24" s="193" t="s">
        <v>273</v>
      </c>
      <c r="X24" s="106" t="s">
        <v>295</v>
      </c>
      <c r="Y24" s="107" t="s">
        <v>12</v>
      </c>
      <c r="Z24" s="67">
        <f>IF(База_КР_КК[[#This Row],[Таб.номер резервиста]]="-","-",IF(OR(База_КР_КК[[#This Row],[Уровень КК]]=2,База_КР_КК[[#This Row],[Уровень КК]]=3),IF(COUNTIFS($U$2:$U24,$U24,$F$2:$F24,$F24)=1,1,0),IF(COUNTIFS($U$2:$U24,$U24,$L$2:$L24,$L24)=1,1,0)))</f>
        <v>1</v>
      </c>
      <c r="AA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" s="106"/>
      <c r="AC24" s="51"/>
      <c r="AD24" s="106" t="s">
        <v>17</v>
      </c>
      <c r="AE24" s="38" t="s">
        <v>402</v>
      </c>
    </row>
    <row r="25" spans="1:31" ht="18" customHeight="1" x14ac:dyDescent="0.25">
      <c r="A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5" s="79">
        <v>3</v>
      </c>
      <c r="C25" s="23">
        <v>43410</v>
      </c>
      <c r="D25" s="67">
        <f>IF(COUNTIF($G$2:$G25,$G25)=1,1,0)</f>
        <v>0</v>
      </c>
      <c r="E25" s="67" t="str">
        <f>IFERROR(VLOOKUP(База_КР_КК[[#This Row],[ИД штатной должности (S)]],'уровень защищенности'!$B$7:$F$1095,5,0),"не защищена")</f>
        <v>высокий</v>
      </c>
      <c r="F25" s="68">
        <v>500079</v>
      </c>
      <c r="G25" s="74" t="s">
        <v>2165</v>
      </c>
      <c r="H25" s="181">
        <f>INDEX('Списки данных'!$D$2:$D$1048576,MATCH(База_КР_КК[[#This Row],[Структурное подразделение]],'Списки данных'!$C$2:$C$1048576,0))</f>
        <v>243</v>
      </c>
      <c r="I25" s="80" t="s">
        <v>124</v>
      </c>
      <c r="J25" s="80" t="s">
        <v>178</v>
      </c>
      <c r="K25" s="80" t="s">
        <v>21</v>
      </c>
      <c r="L25" s="30" t="s">
        <v>180</v>
      </c>
      <c r="M25" s="68">
        <v>5</v>
      </c>
      <c r="N25" s="181" t="str">
        <f t="shared" si="0"/>
        <v>да</v>
      </c>
      <c r="O25" s="23">
        <v>44524</v>
      </c>
      <c r="P25" s="23"/>
      <c r="Q25" s="106" t="s">
        <v>66</v>
      </c>
      <c r="R25" s="37">
        <v>8</v>
      </c>
      <c r="S25" s="39" t="s">
        <v>422</v>
      </c>
      <c r="T25" s="37">
        <v>8</v>
      </c>
      <c r="U25" s="39" t="s">
        <v>422</v>
      </c>
      <c r="V25" s="89" t="s">
        <v>187</v>
      </c>
      <c r="W25" s="87" t="s">
        <v>124</v>
      </c>
      <c r="X25" s="106" t="s">
        <v>295</v>
      </c>
      <c r="Y25" s="107" t="s">
        <v>14</v>
      </c>
      <c r="Z25" s="67">
        <f>IF(База_КР_КК[[#This Row],[Таб.номер резервиста]]="-","-",IF(OR(База_КР_КК[[#This Row],[Уровень КК]]=2,База_КР_КК[[#This Row],[Уровень КК]]=3),IF(COUNTIFS($U$2:$U25,$U25,$F$2:$F25,$F25)=1,1,0),IF(COUNTIFS($U$2:$U25,$U25,$L$2:$L25,$L25)=1,1,0)))</f>
        <v>1</v>
      </c>
      <c r="AA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5" s="106" t="s">
        <v>24</v>
      </c>
      <c r="AC25" s="51">
        <v>44582</v>
      </c>
      <c r="AD25" s="106" t="s">
        <v>13</v>
      </c>
      <c r="AE25" s="38" t="s">
        <v>302</v>
      </c>
    </row>
    <row r="26" spans="1:31" ht="18" customHeight="1" x14ac:dyDescent="0.25">
      <c r="A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6" s="79">
        <v>3</v>
      </c>
      <c r="C26" s="23">
        <v>43797</v>
      </c>
      <c r="D26" s="67">
        <f>IF(COUNTIF($G$2:$G26,$G26)=1,1,0)</f>
        <v>1</v>
      </c>
      <c r="E26" s="67" t="str">
        <f>IFERROR(VLOOKUP(База_КР_КК[[#This Row],[ИД штатной должности (S)]],'уровень защищенности'!$B$7:$F$1095,5,0),"не защищена")</f>
        <v>средний</v>
      </c>
      <c r="F26" s="68">
        <v>500715</v>
      </c>
      <c r="G26" s="74" t="s">
        <v>2166</v>
      </c>
      <c r="H26" s="181">
        <f>INDEX('Списки данных'!$D$2:$D$1048576,MATCH(База_КР_КК[[#This Row],[Структурное подразделение]],'Списки данных'!$C$2:$C$1048576,0))</f>
        <v>243</v>
      </c>
      <c r="I26" s="80" t="s">
        <v>124</v>
      </c>
      <c r="J26" s="80" t="s">
        <v>21</v>
      </c>
      <c r="K26" s="80" t="s">
        <v>21</v>
      </c>
      <c r="L26" s="30" t="s">
        <v>180</v>
      </c>
      <c r="M26" s="68">
        <v>5</v>
      </c>
      <c r="N26" s="181" t="str">
        <f t="shared" si="0"/>
        <v>нет</v>
      </c>
      <c r="O26" s="23"/>
      <c r="P26" s="23"/>
      <c r="Q26" s="106"/>
      <c r="R26" s="37">
        <v>9</v>
      </c>
      <c r="S26" s="38" t="s">
        <v>423</v>
      </c>
      <c r="T26" s="37">
        <v>1126</v>
      </c>
      <c r="U26" s="39" t="s">
        <v>1535</v>
      </c>
      <c r="V26" s="89" t="s">
        <v>187</v>
      </c>
      <c r="W26" s="87" t="s">
        <v>124</v>
      </c>
      <c r="X26" s="106" t="s">
        <v>297</v>
      </c>
      <c r="Y26" s="107" t="s">
        <v>12</v>
      </c>
      <c r="Z26" s="67">
        <f>IF(База_КР_КК[[#This Row],[Таб.номер резервиста]]="-","-",IF(OR(База_КР_КК[[#This Row],[Уровень КК]]=2,База_КР_КК[[#This Row],[Уровень КК]]=3),IF(COUNTIFS($U$2:$U26,$U26,$F$2:$F26,$F26)=1,1,0),IF(COUNTIFS($U$2:$U26,$U26,$L$2:$L26,$L26)=1,1,0)))</f>
        <v>1</v>
      </c>
      <c r="AA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" s="106"/>
      <c r="AC26" s="51"/>
      <c r="AD26" s="106" t="s">
        <v>17</v>
      </c>
      <c r="AE26" s="38" t="s">
        <v>402</v>
      </c>
    </row>
    <row r="27" spans="1:31" ht="18" customHeight="1" x14ac:dyDescent="0.25">
      <c r="A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7" s="79">
        <v>3</v>
      </c>
      <c r="C27" s="23">
        <v>43797</v>
      </c>
      <c r="D27" s="67">
        <f>IF(COUNTIF($G$2:$G27,$G27)=1,1,0)</f>
        <v>0</v>
      </c>
      <c r="E27" s="67" t="str">
        <f>IFERROR(VLOOKUP(База_КР_КК[[#This Row],[ИД штатной должности (S)]],'уровень защищенности'!$B$7:$F$1095,5,0),"не защищена")</f>
        <v>средний</v>
      </c>
      <c r="F27" s="68">
        <v>500715</v>
      </c>
      <c r="G27" s="74" t="s">
        <v>2166</v>
      </c>
      <c r="H27" s="181">
        <f>INDEX('Списки данных'!$D$2:$D$1048576,MATCH(База_КР_КК[[#This Row],[Структурное подразделение]],'Списки данных'!$C$2:$C$1048576,0))</f>
        <v>243</v>
      </c>
      <c r="I27" s="80" t="s">
        <v>124</v>
      </c>
      <c r="J27" s="80" t="s">
        <v>21</v>
      </c>
      <c r="K27" s="80" t="s">
        <v>21</v>
      </c>
      <c r="L27" s="30" t="s">
        <v>180</v>
      </c>
      <c r="M27" s="68">
        <v>5</v>
      </c>
      <c r="N27" s="181" t="str">
        <f t="shared" si="0"/>
        <v>нет</v>
      </c>
      <c r="O27" s="23"/>
      <c r="P27" s="23"/>
      <c r="Q27" s="106"/>
      <c r="R27" s="37">
        <v>9</v>
      </c>
      <c r="S27" s="38" t="s">
        <v>423</v>
      </c>
      <c r="T27" s="37">
        <v>1127</v>
      </c>
      <c r="U27" s="39" t="s">
        <v>1536</v>
      </c>
      <c r="V27" s="89" t="s">
        <v>200</v>
      </c>
      <c r="W27" s="87" t="s">
        <v>124</v>
      </c>
      <c r="X27" s="106" t="s">
        <v>297</v>
      </c>
      <c r="Y27" s="107" t="s">
        <v>12</v>
      </c>
      <c r="Z27" s="67">
        <f>IF(База_КР_КК[[#This Row],[Таб.номер резервиста]]="-","-",IF(OR(База_КР_КК[[#This Row],[Уровень КК]]=2,База_КР_КК[[#This Row],[Уровень КК]]=3),IF(COUNTIFS($U$2:$U27,$U27,$F$2:$F27,$F27)=1,1,0),IF(COUNTIFS($U$2:$U27,$U27,$L$2:$L27,$L27)=1,1,0)))</f>
        <v>1</v>
      </c>
      <c r="AA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" s="106"/>
      <c r="AC27" s="51"/>
      <c r="AD27" s="106" t="s">
        <v>17</v>
      </c>
      <c r="AE27" s="38" t="s">
        <v>402</v>
      </c>
    </row>
    <row r="28" spans="1:31" ht="18" customHeight="1" x14ac:dyDescent="0.25">
      <c r="A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8" s="79">
        <v>3</v>
      </c>
      <c r="C28" s="23">
        <v>43797</v>
      </c>
      <c r="D28" s="67">
        <f>IF(COUNTIF($G$2:$G28,$G28)=1,1,0)</f>
        <v>1</v>
      </c>
      <c r="E28" s="67" t="str">
        <f>IFERROR(VLOOKUP(База_КР_КК[[#This Row],[ИД штатной должности (S)]],'уровень защищенности'!$B$7:$F$1095,5,0),"не защищена")</f>
        <v>средний</v>
      </c>
      <c r="F28" s="68">
        <v>500714</v>
      </c>
      <c r="G28" s="74" t="s">
        <v>2167</v>
      </c>
      <c r="H28" s="181">
        <f>INDEX('Списки данных'!$D$2:$D$1048576,MATCH(База_КР_КК[[#This Row],[Структурное подразделение]],'Списки данных'!$C$2:$C$1048576,0))</f>
        <v>243</v>
      </c>
      <c r="I28" s="80" t="s">
        <v>124</v>
      </c>
      <c r="J28" s="80" t="s">
        <v>21</v>
      </c>
      <c r="K28" s="80" t="s">
        <v>21</v>
      </c>
      <c r="L28" s="30" t="s">
        <v>180</v>
      </c>
      <c r="M28" s="68">
        <v>5</v>
      </c>
      <c r="N28" s="181" t="str">
        <f t="shared" si="0"/>
        <v>нет</v>
      </c>
      <c r="O28" s="23"/>
      <c r="P28" s="23"/>
      <c r="Q28" s="106"/>
      <c r="R28" s="37">
        <v>10</v>
      </c>
      <c r="S28" s="38" t="s">
        <v>424</v>
      </c>
      <c r="T28" s="37">
        <v>1128</v>
      </c>
      <c r="U28" s="39" t="s">
        <v>1537</v>
      </c>
      <c r="V28" s="89" t="s">
        <v>189</v>
      </c>
      <c r="W28" s="87" t="s">
        <v>124</v>
      </c>
      <c r="X28" s="106" t="s">
        <v>297</v>
      </c>
      <c r="Y28" s="107" t="s">
        <v>12</v>
      </c>
      <c r="Z28" s="67">
        <f>IF(База_КР_КК[[#This Row],[Таб.номер резервиста]]="-","-",IF(OR(База_КР_КК[[#This Row],[Уровень КК]]=2,База_КР_КК[[#This Row],[Уровень КК]]=3),IF(COUNTIFS($U$2:$U28,$U28,$F$2:$F28,$F28)=1,1,0),IF(COUNTIFS($U$2:$U28,$U28,$L$2:$L28,$L28)=1,1,0)))</f>
        <v>1</v>
      </c>
      <c r="AA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" s="106"/>
      <c r="AC28" s="51"/>
      <c r="AD28" s="106" t="s">
        <v>13</v>
      </c>
      <c r="AE28" s="38" t="s">
        <v>402</v>
      </c>
    </row>
    <row r="29" spans="1:31" ht="18" customHeight="1" x14ac:dyDescent="0.25">
      <c r="A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29" s="79">
        <v>3</v>
      </c>
      <c r="C29" s="23">
        <v>44706</v>
      </c>
      <c r="D29" s="67">
        <f>IF(COUNTIF($G$2:$G29,$G29)=1,1,0)</f>
        <v>0</v>
      </c>
      <c r="E29" s="67" t="str">
        <f>IFERROR(VLOOKUP(База_КР_КК[[#This Row],[ИД штатной должности (S)]],'уровень защищенности'!$B$7:$F$1095,5,0),"не защищена")</f>
        <v>средний</v>
      </c>
      <c r="F29" s="68">
        <v>500714</v>
      </c>
      <c r="G29" s="74" t="s">
        <v>2167</v>
      </c>
      <c r="H29" s="181">
        <f>INDEX('Списки данных'!$D$2:$D$1048576,MATCH(База_КР_КК[[#This Row],[Структурное подразделение]],'Списки данных'!$C$2:$C$1048576,0))</f>
        <v>243</v>
      </c>
      <c r="I29" s="80" t="s">
        <v>124</v>
      </c>
      <c r="J29" s="80" t="s">
        <v>21</v>
      </c>
      <c r="K29" s="80" t="s">
        <v>21</v>
      </c>
      <c r="L29" s="30" t="s">
        <v>180</v>
      </c>
      <c r="M29" s="68">
        <v>5</v>
      </c>
      <c r="N29" s="181" t="str">
        <f t="shared" si="0"/>
        <v>нет</v>
      </c>
      <c r="O29" s="23"/>
      <c r="P29" s="23"/>
      <c r="Q29" s="106"/>
      <c r="R29" s="37">
        <v>10</v>
      </c>
      <c r="S29" s="39" t="s">
        <v>424</v>
      </c>
      <c r="T29" s="37">
        <v>1129</v>
      </c>
      <c r="U29" s="38" t="s">
        <v>1538</v>
      </c>
      <c r="V29" s="89" t="s">
        <v>187</v>
      </c>
      <c r="W29" s="87" t="s">
        <v>124</v>
      </c>
      <c r="X29" s="106" t="s">
        <v>296</v>
      </c>
      <c r="Y29" s="107" t="s">
        <v>12</v>
      </c>
      <c r="Z29" s="67">
        <f>IF(База_КР_КК[[#This Row],[Таб.номер резервиста]]="-","-",IF(OR(База_КР_КК[[#This Row],[Уровень КК]]=2,База_КР_КК[[#This Row],[Уровень КК]]=3),IF(COUNTIFS($U$2:$U29,$U29,$F$2:$F29,$F29)=1,1,0),IF(COUNTIFS($U$2:$U29,$U29,$L$2:$L29,$L29)=1,1,0)))</f>
        <v>1</v>
      </c>
      <c r="AA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" s="106"/>
      <c r="AC29" s="51"/>
      <c r="AD29" s="106" t="s">
        <v>15</v>
      </c>
      <c r="AE29" s="38" t="s">
        <v>402</v>
      </c>
    </row>
    <row r="30" spans="1:31" ht="18" customHeight="1" x14ac:dyDescent="0.25">
      <c r="A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30" s="79">
        <v>3</v>
      </c>
      <c r="C30" s="23">
        <v>43797</v>
      </c>
      <c r="D30" s="67">
        <f>IF(COUNTIF($G$2:$G30,$G30)=1,1,0)</f>
        <v>0</v>
      </c>
      <c r="E30" s="67" t="str">
        <f>IFERROR(VLOOKUP(База_КР_КК[[#This Row],[ИД штатной должности (S)]],'уровень защищенности'!$B$7:$F$1095,5,0),"не защищена")</f>
        <v>средний</v>
      </c>
      <c r="F30" s="68">
        <v>500714</v>
      </c>
      <c r="G30" s="74" t="s">
        <v>2167</v>
      </c>
      <c r="H30" s="181">
        <f>INDEX('Списки данных'!$D$2:$D$1048576,MATCH(База_КР_КК[[#This Row],[Структурное подразделение]],'Списки данных'!$C$2:$C$1048576,0))</f>
        <v>243</v>
      </c>
      <c r="I30" s="80" t="s">
        <v>124</v>
      </c>
      <c r="J30" s="80" t="s">
        <v>21</v>
      </c>
      <c r="K30" s="80" t="s">
        <v>21</v>
      </c>
      <c r="L30" s="30" t="s">
        <v>180</v>
      </c>
      <c r="M30" s="68">
        <v>5</v>
      </c>
      <c r="N30" s="181" t="str">
        <f t="shared" si="0"/>
        <v>нет</v>
      </c>
      <c r="O30" s="23"/>
      <c r="P30" s="23"/>
      <c r="Q30" s="106"/>
      <c r="R30" s="37">
        <v>10</v>
      </c>
      <c r="S30" s="38" t="s">
        <v>424</v>
      </c>
      <c r="T30" s="37">
        <v>1123</v>
      </c>
      <c r="U30" s="39" t="s">
        <v>1532</v>
      </c>
      <c r="V30" s="89" t="s">
        <v>187</v>
      </c>
      <c r="W30" s="193" t="s">
        <v>273</v>
      </c>
      <c r="X30" s="106" t="s">
        <v>295</v>
      </c>
      <c r="Y30" s="107" t="s">
        <v>18</v>
      </c>
      <c r="Z30" s="67">
        <f>IF(База_КР_КК[[#This Row],[Таб.номер резервиста]]="-","-",IF(OR(База_КР_КК[[#This Row],[Уровень КК]]=2,База_КР_КК[[#This Row],[Уровень КК]]=3),IF(COUNTIFS($U$2:$U30,$U30,$F$2:$F30,$F30)=1,1,0),IF(COUNTIFS($U$2:$U30,$U30,$L$2:$L30,$L30)=1,1,0)))</f>
        <v>1</v>
      </c>
      <c r="AA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" s="106" t="s">
        <v>45</v>
      </c>
      <c r="AC30" s="51">
        <v>44706</v>
      </c>
      <c r="AD30" s="106" t="s">
        <v>13</v>
      </c>
      <c r="AE30" s="38" t="s">
        <v>302</v>
      </c>
    </row>
    <row r="31" spans="1:31" ht="18" customHeight="1" x14ac:dyDescent="0.25">
      <c r="A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</v>
      </c>
      <c r="B31" s="79">
        <v>3</v>
      </c>
      <c r="C31" s="23">
        <v>43797</v>
      </c>
      <c r="D31" s="67">
        <f>IF(COUNTIF($G$2:$G31,$G31)=1,1,0)</f>
        <v>0</v>
      </c>
      <c r="E31" s="67" t="str">
        <f>IFERROR(VLOOKUP(База_КР_КК[[#This Row],[ИД штатной должности (S)]],'уровень защищенности'!$B$7:$F$1095,5,0),"не защищена")</f>
        <v>средний</v>
      </c>
      <c r="F31" s="68">
        <v>500714</v>
      </c>
      <c r="G31" s="74" t="s">
        <v>2167</v>
      </c>
      <c r="H31" s="181">
        <f>INDEX('Списки данных'!$D$2:$D$1048576,MATCH(База_КР_КК[[#This Row],[Структурное подразделение]],'Списки данных'!$C$2:$C$1048576,0))</f>
        <v>243</v>
      </c>
      <c r="I31" s="80" t="s">
        <v>124</v>
      </c>
      <c r="J31" s="80" t="s">
        <v>21</v>
      </c>
      <c r="K31" s="80" t="s">
        <v>21</v>
      </c>
      <c r="L31" s="30" t="s">
        <v>180</v>
      </c>
      <c r="M31" s="68">
        <v>5</v>
      </c>
      <c r="N31" s="181" t="str">
        <f t="shared" si="0"/>
        <v>нет</v>
      </c>
      <c r="O31" s="23"/>
      <c r="P31" s="23"/>
      <c r="Q31" s="106"/>
      <c r="R31" s="37">
        <v>10</v>
      </c>
      <c r="S31" s="38" t="s">
        <v>424</v>
      </c>
      <c r="T31" s="37">
        <v>1130</v>
      </c>
      <c r="U31" s="39" t="s">
        <v>1539</v>
      </c>
      <c r="V31" s="89" t="s">
        <v>16</v>
      </c>
      <c r="W31" s="87" t="s">
        <v>124</v>
      </c>
      <c r="X31" s="106" t="s">
        <v>297</v>
      </c>
      <c r="Y31" s="107" t="s">
        <v>18</v>
      </c>
      <c r="Z31" s="67">
        <f>IF(База_КР_КК[[#This Row],[Таб.номер резервиста]]="-","-",IF(OR(База_КР_КК[[#This Row],[Уровень КК]]=2,База_КР_КК[[#This Row],[Уровень КК]]=3),IF(COUNTIFS($U$2:$U31,$U31,$F$2:$F31,$F31)=1,1,0),IF(COUNTIFS($U$2:$U31,$U31,$L$2:$L31,$L31)=1,1,0)))</f>
        <v>1</v>
      </c>
      <c r="AA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" s="106" t="s">
        <v>19</v>
      </c>
      <c r="AC31" s="51">
        <v>44128</v>
      </c>
      <c r="AD31" s="106" t="s">
        <v>17</v>
      </c>
      <c r="AE31" s="38" t="s">
        <v>302</v>
      </c>
    </row>
    <row r="32" spans="1:31" ht="18" customHeight="1" x14ac:dyDescent="0.25">
      <c r="A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32" s="79">
        <v>3</v>
      </c>
      <c r="C32" s="23">
        <v>44173</v>
      </c>
      <c r="D32" s="67">
        <f>IF(COUNTIF($G$2:$G32,$G32)=1,1,0)</f>
        <v>1</v>
      </c>
      <c r="E32" s="67" t="str">
        <f>IFERROR(VLOOKUP(База_КР_КК[[#This Row],[ИД штатной должности (S)]],'уровень защищенности'!$B$7:$F$1095,5,0),"не защищена")</f>
        <v>средний</v>
      </c>
      <c r="F32" s="68">
        <v>500296</v>
      </c>
      <c r="G32" s="74" t="s">
        <v>2168</v>
      </c>
      <c r="H32" s="181">
        <f>INDEX('Списки данных'!$D$2:$D$1048576,MATCH(База_КР_КК[[#This Row],[Структурное подразделение]],'Списки данных'!$C$2:$C$1048576,0))</f>
        <v>61</v>
      </c>
      <c r="I32" s="80" t="s">
        <v>121</v>
      </c>
      <c r="J32" s="80" t="s">
        <v>182</v>
      </c>
      <c r="K32" s="80" t="s">
        <v>21</v>
      </c>
      <c r="L32" s="30" t="s">
        <v>183</v>
      </c>
      <c r="M32" s="68">
        <v>5</v>
      </c>
      <c r="N32" s="181" t="str">
        <f t="shared" si="0"/>
        <v>нет</v>
      </c>
      <c r="O32" s="23"/>
      <c r="P32" s="23"/>
      <c r="Q32" s="106"/>
      <c r="R32" s="37">
        <v>11</v>
      </c>
      <c r="S32" s="39" t="s">
        <v>425</v>
      </c>
      <c r="T32" s="37">
        <v>17</v>
      </c>
      <c r="U32" s="38" t="s">
        <v>431</v>
      </c>
      <c r="V32" s="69" t="s">
        <v>186</v>
      </c>
      <c r="W32" s="88" t="s">
        <v>121</v>
      </c>
      <c r="X32" s="106" t="s">
        <v>297</v>
      </c>
      <c r="Y32" s="107" t="s">
        <v>12</v>
      </c>
      <c r="Z32" s="67">
        <f>IF(База_КР_КК[[#This Row],[Таб.номер резервиста]]="-","-",IF(OR(База_КР_КК[[#This Row],[Уровень КК]]=2,База_КР_КК[[#This Row],[Уровень КК]]=3),IF(COUNTIFS($U$2:$U32,$U32,$F$2:$F32,$F32)=1,1,0),IF(COUNTIFS($U$2:$U32,$U32,$L$2:$L32,$L32)=1,1,0)))</f>
        <v>1</v>
      </c>
      <c r="AA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" s="106"/>
      <c r="AC32" s="51"/>
      <c r="AD32" s="106" t="s">
        <v>17</v>
      </c>
      <c r="AE32" s="38" t="s">
        <v>403</v>
      </c>
    </row>
    <row r="33" spans="1:31" ht="18" customHeight="1" x14ac:dyDescent="0.25">
      <c r="A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33" s="79">
        <v>3</v>
      </c>
      <c r="C33" s="23">
        <v>44713</v>
      </c>
      <c r="D33" s="67">
        <f>IF(COUNTIF($G$2:$G33,$G33)=1,1,0)</f>
        <v>0</v>
      </c>
      <c r="E33" s="67" t="str">
        <f>IFERROR(VLOOKUP(База_КР_КК[[#This Row],[ИД штатной должности (S)]],'уровень защищенности'!$B$7:$F$1095,5,0),"не защищена")</f>
        <v>средний</v>
      </c>
      <c r="F33" s="68">
        <v>500296</v>
      </c>
      <c r="G33" s="74" t="s">
        <v>2168</v>
      </c>
      <c r="H33" s="181">
        <f>INDEX('Списки данных'!$D$2:$D$1048576,MATCH(База_КР_КК[[#This Row],[Структурное подразделение]],'Списки данных'!$C$2:$C$1048576,0))</f>
        <v>61</v>
      </c>
      <c r="I33" s="80" t="s">
        <v>121</v>
      </c>
      <c r="J33" s="80" t="s">
        <v>182</v>
      </c>
      <c r="K33" s="80" t="s">
        <v>21</v>
      </c>
      <c r="L33" s="30" t="s">
        <v>183</v>
      </c>
      <c r="M33" s="68">
        <v>5</v>
      </c>
      <c r="N33" s="181" t="str">
        <f t="shared" si="0"/>
        <v>нет</v>
      </c>
      <c r="O33" s="23"/>
      <c r="P33" s="23"/>
      <c r="Q33" s="106"/>
      <c r="R33" s="37">
        <v>11</v>
      </c>
      <c r="S33" s="39" t="s">
        <v>425</v>
      </c>
      <c r="T33" s="37">
        <v>12</v>
      </c>
      <c r="U33" s="38" t="s">
        <v>426</v>
      </c>
      <c r="V33" s="69" t="s">
        <v>185</v>
      </c>
      <c r="W33" s="88" t="s">
        <v>121</v>
      </c>
      <c r="X33" s="106" t="s">
        <v>296</v>
      </c>
      <c r="Y33" s="107" t="s">
        <v>12</v>
      </c>
      <c r="Z33" s="67">
        <f>IF(База_КР_КК[[#This Row],[Таб.номер резервиста]]="-","-",IF(OR(База_КР_КК[[#This Row],[Уровень КК]]=2,База_КР_КК[[#This Row],[Уровень КК]]=3),IF(COUNTIFS($U$2:$U33,$U33,$F$2:$F33,$F33)=1,1,0),IF(COUNTIFS($U$2:$U33,$U33,$L$2:$L33,$L33)=1,1,0)))</f>
        <v>1</v>
      </c>
      <c r="AA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" s="106"/>
      <c r="AC33" s="51"/>
      <c r="AD33" s="106" t="s">
        <v>15</v>
      </c>
      <c r="AE33" s="38" t="s">
        <v>403</v>
      </c>
    </row>
    <row r="34" spans="1:31" ht="18" customHeight="1" x14ac:dyDescent="0.25">
      <c r="A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34" s="79">
        <v>3</v>
      </c>
      <c r="C34" s="23">
        <v>44713</v>
      </c>
      <c r="D34" s="67">
        <f>IF(COUNTIF($G$2:$G34,$G34)=1,1,0)</f>
        <v>0</v>
      </c>
      <c r="E34" s="67" t="str">
        <f>IFERROR(VLOOKUP(База_КР_КК[[#This Row],[ИД штатной должности (S)]],'уровень защищенности'!$B$7:$F$1095,5,0),"не защищена")</f>
        <v>средний</v>
      </c>
      <c r="F34" s="68">
        <v>500296</v>
      </c>
      <c r="G34" s="74" t="s">
        <v>2168</v>
      </c>
      <c r="H34" s="181">
        <f>INDEX('Списки данных'!$D$2:$D$1048576,MATCH(База_КР_КК[[#This Row],[Структурное подразделение]],'Списки данных'!$C$2:$C$1048576,0))</f>
        <v>61</v>
      </c>
      <c r="I34" s="80" t="s">
        <v>121</v>
      </c>
      <c r="J34" s="80" t="s">
        <v>182</v>
      </c>
      <c r="K34" s="80" t="s">
        <v>21</v>
      </c>
      <c r="L34" s="30" t="s">
        <v>183</v>
      </c>
      <c r="M34" s="68">
        <v>5</v>
      </c>
      <c r="N34" s="181" t="str">
        <f t="shared" si="0"/>
        <v>нет</v>
      </c>
      <c r="O34" s="23"/>
      <c r="P34" s="23"/>
      <c r="Q34" s="106"/>
      <c r="R34" s="37">
        <v>11</v>
      </c>
      <c r="S34" s="39" t="s">
        <v>425</v>
      </c>
      <c r="T34" s="37">
        <v>1131</v>
      </c>
      <c r="U34" s="38" t="s">
        <v>1540</v>
      </c>
      <c r="V34" s="69" t="s">
        <v>189</v>
      </c>
      <c r="W34" s="88" t="s">
        <v>121</v>
      </c>
      <c r="X34" s="106" t="s">
        <v>296</v>
      </c>
      <c r="Y34" s="107" t="s">
        <v>12</v>
      </c>
      <c r="Z34" s="67">
        <f>IF(База_КР_КК[[#This Row],[Таб.номер резервиста]]="-","-",IF(OR(База_КР_КК[[#This Row],[Уровень КК]]=2,База_КР_КК[[#This Row],[Уровень КК]]=3),IF(COUNTIFS($U$2:$U34,$U34,$F$2:$F34,$F34)=1,1,0),IF(COUNTIFS($U$2:$U34,$U34,$L$2:$L34,$L34)=1,1,0)))</f>
        <v>1</v>
      </c>
      <c r="AA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" s="106"/>
      <c r="AC34" s="51"/>
      <c r="AD34" s="106" t="s">
        <v>15</v>
      </c>
      <c r="AE34" s="38" t="s">
        <v>403</v>
      </c>
    </row>
    <row r="35" spans="1:31" ht="18" customHeight="1" x14ac:dyDescent="0.25">
      <c r="A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35" s="79">
        <v>3</v>
      </c>
      <c r="C35" s="23">
        <v>44713</v>
      </c>
      <c r="D35" s="67">
        <f>IF(COUNTIF($G$2:$G35,$G35)=1,1,0)</f>
        <v>1</v>
      </c>
      <c r="E35" s="67" t="str">
        <f>IFERROR(VLOOKUP(База_КР_КК[[#This Row],[ИД штатной должности (S)]],'уровень защищенности'!$B$7:$F$1095,5,0),"не защищена")</f>
        <v>низкий</v>
      </c>
      <c r="F35" s="68">
        <v>500297</v>
      </c>
      <c r="G35" s="74" t="s">
        <v>2169</v>
      </c>
      <c r="H35" s="181">
        <f>INDEX('Списки данных'!$D$2:$D$1048576,MATCH(База_КР_КК[[#This Row],[Структурное подразделение]],'Списки данных'!$C$2:$C$1048576,0))</f>
        <v>61</v>
      </c>
      <c r="I35" s="80" t="s">
        <v>121</v>
      </c>
      <c r="J35" s="80" t="s">
        <v>182</v>
      </c>
      <c r="K35" s="80" t="s">
        <v>184</v>
      </c>
      <c r="L35" s="30" t="s">
        <v>185</v>
      </c>
      <c r="M35" s="68">
        <v>6</v>
      </c>
      <c r="N35" s="181" t="str">
        <f t="shared" si="0"/>
        <v>да</v>
      </c>
      <c r="O35" s="23">
        <v>45075</v>
      </c>
      <c r="P35" s="23"/>
      <c r="Q35" s="106"/>
      <c r="R35" s="37"/>
      <c r="S35" s="39"/>
      <c r="T35" s="37">
        <v>1132</v>
      </c>
      <c r="U35" s="38" t="s">
        <v>1541</v>
      </c>
      <c r="V35" s="69" t="s">
        <v>192</v>
      </c>
      <c r="W35" s="88" t="s">
        <v>121</v>
      </c>
      <c r="X35" s="106" t="s">
        <v>296</v>
      </c>
      <c r="Y35" s="107" t="s">
        <v>12</v>
      </c>
      <c r="Z35" s="67">
        <f>IF(База_КР_КК[[#This Row],[Таб.номер резервиста]]="-","-",IF(OR(База_КР_КК[[#This Row],[Уровень КК]]=2,База_КР_КК[[#This Row],[Уровень КК]]=3),IF(COUNTIFS($U$2:$U35,$U35,$F$2:$F35,$F35)=1,1,0),IF(COUNTIFS($U$2:$U35,$U35,$L$2:$L35,$L35)=1,1,0)))</f>
        <v>1</v>
      </c>
      <c r="AA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" s="106"/>
      <c r="AC35" s="51"/>
      <c r="AD35" s="106" t="s">
        <v>15</v>
      </c>
      <c r="AE35" s="38" t="s">
        <v>403</v>
      </c>
    </row>
    <row r="36" spans="1:31" ht="18" customHeight="1" x14ac:dyDescent="0.25">
      <c r="A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36" s="79">
        <v>3</v>
      </c>
      <c r="C36" s="23">
        <v>44713</v>
      </c>
      <c r="D36" s="67">
        <f>IF(COUNTIF($G$2:$G36,$G36)=1,1,0)</f>
        <v>1</v>
      </c>
      <c r="E36" s="67" t="str">
        <f>IFERROR(VLOOKUP(База_КР_КК[[#This Row],[ИД штатной должности (S)]],'уровень защищенности'!$B$7:$F$1095,5,0),"не защищена")</f>
        <v>низкий</v>
      </c>
      <c r="F36" s="68">
        <v>500300</v>
      </c>
      <c r="G36" s="74" t="s">
        <v>2170</v>
      </c>
      <c r="H36" s="181">
        <f>INDEX('Списки данных'!$D$2:$D$1048576,MATCH(База_КР_КК[[#This Row],[Структурное подразделение]],'Списки данных'!$C$2:$C$1048576,0))</f>
        <v>61</v>
      </c>
      <c r="I36" s="80" t="s">
        <v>121</v>
      </c>
      <c r="J36" s="80" t="s">
        <v>182</v>
      </c>
      <c r="K36" s="80" t="s">
        <v>184</v>
      </c>
      <c r="L36" s="30" t="s">
        <v>185</v>
      </c>
      <c r="M36" s="68">
        <v>6</v>
      </c>
      <c r="N36" s="181" t="str">
        <f t="shared" si="0"/>
        <v>нет</v>
      </c>
      <c r="O36" s="23"/>
      <c r="P36" s="23"/>
      <c r="Q36" s="106"/>
      <c r="R36" s="37">
        <v>12</v>
      </c>
      <c r="S36" s="39" t="s">
        <v>426</v>
      </c>
      <c r="T36" s="37">
        <v>1133</v>
      </c>
      <c r="U36" s="38" t="s">
        <v>1542</v>
      </c>
      <c r="V36" s="69" t="s">
        <v>194</v>
      </c>
      <c r="W36" s="88" t="s">
        <v>121</v>
      </c>
      <c r="X36" s="106" t="s">
        <v>296</v>
      </c>
      <c r="Y36" s="107" t="s">
        <v>12</v>
      </c>
      <c r="Z36" s="67">
        <f>IF(База_КР_КК[[#This Row],[Таб.номер резервиста]]="-","-",IF(OR(База_КР_КК[[#This Row],[Уровень КК]]=2,База_КР_КК[[#This Row],[Уровень КК]]=3),IF(COUNTIFS($U$2:$U36,$U36,$F$2:$F36,$F36)=1,1,0),IF(COUNTIFS($U$2:$U36,$U36,$L$2:$L36,$L36)=1,1,0)))</f>
        <v>1</v>
      </c>
      <c r="AA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" s="106"/>
      <c r="AC36" s="51"/>
      <c r="AD36" s="106" t="s">
        <v>15</v>
      </c>
      <c r="AE36" s="38" t="s">
        <v>403</v>
      </c>
    </row>
    <row r="37" spans="1:31" ht="18" customHeight="1" x14ac:dyDescent="0.25">
      <c r="A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37" s="79">
        <v>3</v>
      </c>
      <c r="C37" s="23">
        <v>44713</v>
      </c>
      <c r="D37" s="67">
        <f>IF(COUNTIF($G$2:$G37,$G37)=1,1,0)</f>
        <v>1</v>
      </c>
      <c r="E37" s="67" t="str">
        <f>IFERROR(VLOOKUP(База_КР_КК[[#This Row],[ИД штатной должности (S)]],'уровень защищенности'!$B$7:$F$1095,5,0),"не защищена")</f>
        <v>низкий</v>
      </c>
      <c r="F37" s="68">
        <v>500308</v>
      </c>
      <c r="G37" s="74" t="s">
        <v>2171</v>
      </c>
      <c r="H37" s="181">
        <f>INDEX('Списки данных'!$D$2:$D$1048576,MATCH(База_КР_КК[[#This Row],[Структурное подразделение]],'Списки данных'!$C$2:$C$1048576,0))</f>
        <v>61</v>
      </c>
      <c r="I37" s="80" t="s">
        <v>121</v>
      </c>
      <c r="J37" s="80" t="s">
        <v>182</v>
      </c>
      <c r="K37" s="80" t="s">
        <v>184</v>
      </c>
      <c r="L37" s="30" t="s">
        <v>185</v>
      </c>
      <c r="M37" s="68">
        <v>6</v>
      </c>
      <c r="N37" s="181" t="str">
        <f t="shared" si="0"/>
        <v>нет</v>
      </c>
      <c r="O37" s="23"/>
      <c r="P37" s="23"/>
      <c r="Q37" s="106"/>
      <c r="R37" s="37">
        <v>13</v>
      </c>
      <c r="S37" s="39" t="s">
        <v>427</v>
      </c>
      <c r="T37" s="37">
        <v>1134</v>
      </c>
      <c r="U37" s="38" t="s">
        <v>1543</v>
      </c>
      <c r="V37" s="69" t="s">
        <v>272</v>
      </c>
      <c r="W37" s="88" t="s">
        <v>121</v>
      </c>
      <c r="X37" s="106" t="s">
        <v>296</v>
      </c>
      <c r="Y37" s="107" t="s">
        <v>12</v>
      </c>
      <c r="Z37" s="67">
        <f>IF(База_КР_КК[[#This Row],[Таб.номер резервиста]]="-","-",IF(OR(База_КР_КК[[#This Row],[Уровень КК]]=2,База_КР_КК[[#This Row],[Уровень КК]]=3),IF(COUNTIFS($U$2:$U37,$U37,$F$2:$F37,$F37)=1,1,0),IF(COUNTIFS($U$2:$U37,$U37,$L$2:$L37,$L37)=1,1,0)))</f>
        <v>1</v>
      </c>
      <c r="AA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" s="106"/>
      <c r="AC37" s="51"/>
      <c r="AD37" s="106" t="s">
        <v>15</v>
      </c>
      <c r="AE37" s="38" t="s">
        <v>403</v>
      </c>
    </row>
    <row r="38" spans="1:31" ht="18" customHeight="1" x14ac:dyDescent="0.25">
      <c r="A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38" s="79">
        <v>3</v>
      </c>
      <c r="C38" s="23">
        <v>44713</v>
      </c>
      <c r="D38" s="67">
        <f>IF(COUNTIF($G$2:$G38,$G38)=1,1,0)</f>
        <v>1</v>
      </c>
      <c r="E38" s="67" t="str">
        <f>IFERROR(VLOOKUP(База_КР_КК[[#This Row],[ИД штатной должности (S)]],'уровень защищенности'!$B$7:$F$1095,5,0),"не защищена")</f>
        <v>низкий</v>
      </c>
      <c r="F38" s="68">
        <v>500327</v>
      </c>
      <c r="G38" s="74" t="s">
        <v>2172</v>
      </c>
      <c r="H38" s="181">
        <f>INDEX('Списки данных'!$D$2:$D$1048576,MATCH(База_КР_КК[[#This Row],[Структурное подразделение]],'Списки данных'!$C$2:$C$1048576,0))</f>
        <v>61</v>
      </c>
      <c r="I38" s="80" t="s">
        <v>121</v>
      </c>
      <c r="J38" s="80" t="s">
        <v>182</v>
      </c>
      <c r="K38" s="80" t="s">
        <v>184</v>
      </c>
      <c r="L38" s="30" t="s">
        <v>185</v>
      </c>
      <c r="M38" s="68">
        <v>6</v>
      </c>
      <c r="N38" s="181" t="str">
        <f t="shared" si="0"/>
        <v>нет</v>
      </c>
      <c r="O38" s="23"/>
      <c r="P38" s="23"/>
      <c r="Q38" s="106"/>
      <c r="R38" s="37">
        <v>14</v>
      </c>
      <c r="S38" s="39" t="s">
        <v>428</v>
      </c>
      <c r="T38" s="37">
        <v>1135</v>
      </c>
      <c r="U38" s="38" t="s">
        <v>1544</v>
      </c>
      <c r="V38" s="69" t="s">
        <v>16</v>
      </c>
      <c r="W38" s="88" t="s">
        <v>121</v>
      </c>
      <c r="X38" s="106" t="s">
        <v>296</v>
      </c>
      <c r="Y38" s="107" t="s">
        <v>12</v>
      </c>
      <c r="Z38" s="67">
        <f>IF(База_КР_КК[[#This Row],[Таб.номер резервиста]]="-","-",IF(OR(База_КР_КК[[#This Row],[Уровень КК]]=2,База_КР_КК[[#This Row],[Уровень КК]]=3),IF(COUNTIFS($U$2:$U38,$U38,$F$2:$F38,$F38)=1,1,0),IF(COUNTIFS($U$2:$U38,$U38,$L$2:$L38,$L38)=1,1,0)))</f>
        <v>1</v>
      </c>
      <c r="AA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" s="106"/>
      <c r="AC38" s="51"/>
      <c r="AD38" s="106" t="s">
        <v>15</v>
      </c>
      <c r="AE38" s="38" t="s">
        <v>403</v>
      </c>
    </row>
    <row r="39" spans="1:31" ht="18" customHeight="1" x14ac:dyDescent="0.25">
      <c r="A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39" s="79">
        <v>3</v>
      </c>
      <c r="C39" s="23">
        <v>44713</v>
      </c>
      <c r="D39" s="67">
        <f>IF(COUNTIF($G$2:$G39,$G39)=1,1,0)</f>
        <v>0</v>
      </c>
      <c r="E39" s="67" t="str">
        <f>IFERROR(VLOOKUP(База_КР_КК[[#This Row],[ИД штатной должности (S)]],'уровень защищенности'!$B$7:$F$1095,5,0),"не защищена")</f>
        <v>низкий</v>
      </c>
      <c r="F39" s="68">
        <v>500327</v>
      </c>
      <c r="G39" s="74" t="s">
        <v>2172</v>
      </c>
      <c r="H39" s="181">
        <f>INDEX('Списки данных'!$D$2:$D$1048576,MATCH(База_КР_КК[[#This Row],[Структурное подразделение]],'Списки данных'!$C$2:$C$1048576,0))</f>
        <v>61</v>
      </c>
      <c r="I39" s="80" t="s">
        <v>121</v>
      </c>
      <c r="J39" s="80" t="s">
        <v>182</v>
      </c>
      <c r="K39" s="80" t="s">
        <v>184</v>
      </c>
      <c r="L39" s="30" t="s">
        <v>185</v>
      </c>
      <c r="M39" s="68">
        <v>6</v>
      </c>
      <c r="N39" s="181" t="str">
        <f t="shared" si="0"/>
        <v>нет</v>
      </c>
      <c r="O39" s="23"/>
      <c r="P39" s="23"/>
      <c r="Q39" s="106"/>
      <c r="R39" s="37">
        <v>14</v>
      </c>
      <c r="S39" s="39" t="s">
        <v>428</v>
      </c>
      <c r="T39" s="37">
        <v>1136</v>
      </c>
      <c r="U39" s="38" t="s">
        <v>1545</v>
      </c>
      <c r="V39" s="69" t="s">
        <v>272</v>
      </c>
      <c r="W39" s="88" t="s">
        <v>121</v>
      </c>
      <c r="X39" s="106" t="s">
        <v>296</v>
      </c>
      <c r="Y39" s="107" t="s">
        <v>12</v>
      </c>
      <c r="Z39" s="67">
        <f>IF(База_КР_КК[[#This Row],[Таб.номер резервиста]]="-","-",IF(OR(База_КР_КК[[#This Row],[Уровень КК]]=2,База_КР_КК[[#This Row],[Уровень КК]]=3),IF(COUNTIFS($U$2:$U39,$U39,$F$2:$F39,$F39)=1,1,0),IF(COUNTIFS($U$2:$U39,$U39,$L$2:$L39,$L39)=1,1,0)))</f>
        <v>1</v>
      </c>
      <c r="AA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" s="106"/>
      <c r="AC39" s="51"/>
      <c r="AD39" s="106" t="s">
        <v>15</v>
      </c>
      <c r="AE39" s="38" t="s">
        <v>403</v>
      </c>
    </row>
    <row r="40" spans="1:31" ht="18" customHeight="1" x14ac:dyDescent="0.25">
      <c r="A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0" s="79">
        <v>3</v>
      </c>
      <c r="C40" s="23">
        <v>44713</v>
      </c>
      <c r="D40" s="67">
        <f>IF(COUNTIF($G$2:$G40,$G40)=1,1,0)</f>
        <v>1</v>
      </c>
      <c r="E40" s="67" t="str">
        <f>IFERROR(VLOOKUP(База_КР_КК[[#This Row],[ИД штатной должности (S)]],'уровень защищенности'!$B$7:$F$1095,5,0),"не защищена")</f>
        <v>низкий</v>
      </c>
      <c r="F40" s="68">
        <v>500328</v>
      </c>
      <c r="G40" s="74" t="s">
        <v>2173</v>
      </c>
      <c r="H40" s="181">
        <f>INDEX('Списки данных'!$D$2:$D$1048576,MATCH(База_КР_КК[[#This Row],[Структурное подразделение]],'Списки данных'!$C$2:$C$1048576,0))</f>
        <v>61</v>
      </c>
      <c r="I40" s="80" t="s">
        <v>121</v>
      </c>
      <c r="J40" s="80" t="s">
        <v>182</v>
      </c>
      <c r="K40" s="80" t="s">
        <v>184</v>
      </c>
      <c r="L40" s="30" t="s">
        <v>185</v>
      </c>
      <c r="M40" s="68">
        <v>6</v>
      </c>
      <c r="N40" s="181" t="str">
        <f t="shared" si="0"/>
        <v>нет</v>
      </c>
      <c r="O40" s="23"/>
      <c r="P40" s="23"/>
      <c r="Q40" s="106"/>
      <c r="R40" s="37">
        <v>15</v>
      </c>
      <c r="S40" s="39" t="s">
        <v>429</v>
      </c>
      <c r="T40" s="37">
        <v>1137</v>
      </c>
      <c r="U40" s="38" t="s">
        <v>1546</v>
      </c>
      <c r="V40" s="69" t="s">
        <v>16</v>
      </c>
      <c r="W40" s="88" t="s">
        <v>121</v>
      </c>
      <c r="X40" s="106" t="s">
        <v>296</v>
      </c>
      <c r="Y40" s="107" t="s">
        <v>12</v>
      </c>
      <c r="Z40" s="67">
        <f>IF(База_КР_КК[[#This Row],[Таб.номер резервиста]]="-","-",IF(OR(База_КР_КК[[#This Row],[Уровень КК]]=2,База_КР_КК[[#This Row],[Уровень КК]]=3),IF(COUNTIFS($U$2:$U40,$U40,$F$2:$F40,$F40)=1,1,0),IF(COUNTIFS($U$2:$U40,$U40,$L$2:$L40,$L40)=1,1,0)))</f>
        <v>1</v>
      </c>
      <c r="AA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" s="106"/>
      <c r="AC40" s="51"/>
      <c r="AD40" s="106" t="s">
        <v>15</v>
      </c>
      <c r="AE40" s="38" t="s">
        <v>403</v>
      </c>
    </row>
    <row r="41" spans="1:31" ht="18" customHeight="1" x14ac:dyDescent="0.25">
      <c r="A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1" s="79">
        <v>3</v>
      </c>
      <c r="C41" s="23">
        <v>44713</v>
      </c>
      <c r="D41" s="67">
        <f>IF(COUNTIF($G$2:$G41,$G41)=1,1,0)</f>
        <v>1</v>
      </c>
      <c r="E41" s="67" t="str">
        <f>IFERROR(VLOOKUP(База_КР_КК[[#This Row],[ИД штатной должности (S)]],'уровень защищенности'!$B$7:$F$1095,5,0),"не защищена")</f>
        <v>низкий</v>
      </c>
      <c r="F41" s="68">
        <v>500310</v>
      </c>
      <c r="G41" s="74" t="s">
        <v>2174</v>
      </c>
      <c r="H41" s="181">
        <f>INDEX('Списки данных'!$D$2:$D$1048576,MATCH(База_КР_КК[[#This Row],[Структурное подразделение]],'Списки данных'!$C$2:$C$1048576,0))</f>
        <v>61</v>
      </c>
      <c r="I41" s="80" t="s">
        <v>121</v>
      </c>
      <c r="J41" s="80" t="s">
        <v>182</v>
      </c>
      <c r="K41" s="80" t="s">
        <v>184</v>
      </c>
      <c r="L41" s="30" t="s">
        <v>185</v>
      </c>
      <c r="M41" s="68">
        <v>6</v>
      </c>
      <c r="N41" s="181" t="str">
        <f t="shared" si="0"/>
        <v>нет</v>
      </c>
      <c r="O41" s="23"/>
      <c r="P41" s="23"/>
      <c r="Q41" s="106"/>
      <c r="R41" s="37">
        <v>16</v>
      </c>
      <c r="S41" s="39" t="s">
        <v>430</v>
      </c>
      <c r="T41" s="37">
        <v>1138</v>
      </c>
      <c r="U41" s="38" t="s">
        <v>1547</v>
      </c>
      <c r="V41" s="69" t="s">
        <v>16</v>
      </c>
      <c r="W41" s="88" t="s">
        <v>121</v>
      </c>
      <c r="X41" s="106" t="s">
        <v>296</v>
      </c>
      <c r="Y41" s="107" t="s">
        <v>12</v>
      </c>
      <c r="Z41" s="67">
        <f>IF(База_КР_КК[[#This Row],[Таб.номер резервиста]]="-","-",IF(OR(База_КР_КК[[#This Row],[Уровень КК]]=2,База_КР_КК[[#This Row],[Уровень КК]]=3),IF(COUNTIFS($U$2:$U41,$U41,$F$2:$F41,$F41)=1,1,0),IF(COUNTIFS($U$2:$U41,$U41,$L$2:$L41,$L41)=1,1,0)))</f>
        <v>1</v>
      </c>
      <c r="AA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" s="106"/>
      <c r="AC41" s="51"/>
      <c r="AD41" s="106" t="s">
        <v>15</v>
      </c>
      <c r="AE41" s="38" t="s">
        <v>403</v>
      </c>
    </row>
    <row r="42" spans="1:31" ht="18" customHeight="1" x14ac:dyDescent="0.25">
      <c r="A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2" s="79">
        <v>3</v>
      </c>
      <c r="C42" s="23">
        <v>44713</v>
      </c>
      <c r="D42" s="67">
        <f>IF(COUNTIF($G$2:$G42,$G42)=1,1,0)</f>
        <v>0</v>
      </c>
      <c r="E42" s="67" t="str">
        <f>IFERROR(VLOOKUP(База_КР_КК[[#This Row],[ИД штатной должности (S)]],'уровень защищенности'!$B$7:$F$1095,5,0),"не защищена")</f>
        <v>низкий</v>
      </c>
      <c r="F42" s="68">
        <v>500310</v>
      </c>
      <c r="G42" s="74" t="s">
        <v>2174</v>
      </c>
      <c r="H42" s="181">
        <f>INDEX('Списки данных'!$D$2:$D$1048576,MATCH(База_КР_КК[[#This Row],[Структурное подразделение]],'Списки данных'!$C$2:$C$1048576,0))</f>
        <v>61</v>
      </c>
      <c r="I42" s="80" t="s">
        <v>121</v>
      </c>
      <c r="J42" s="80" t="s">
        <v>182</v>
      </c>
      <c r="K42" s="80" t="s">
        <v>184</v>
      </c>
      <c r="L42" s="30" t="s">
        <v>185</v>
      </c>
      <c r="M42" s="68">
        <v>6</v>
      </c>
      <c r="N42" s="181" t="str">
        <f t="shared" si="0"/>
        <v>нет</v>
      </c>
      <c r="O42" s="23"/>
      <c r="P42" s="23"/>
      <c r="Q42" s="106"/>
      <c r="R42" s="37">
        <v>16</v>
      </c>
      <c r="S42" s="39" t="s">
        <v>430</v>
      </c>
      <c r="T42" s="37">
        <v>1139</v>
      </c>
      <c r="U42" s="38" t="s">
        <v>1548</v>
      </c>
      <c r="V42" s="69" t="s">
        <v>16</v>
      </c>
      <c r="W42" s="88" t="s">
        <v>121</v>
      </c>
      <c r="X42" s="106" t="s">
        <v>296</v>
      </c>
      <c r="Y42" s="107" t="s">
        <v>18</v>
      </c>
      <c r="Z42" s="67">
        <f>IF(База_КР_КК[[#This Row],[Таб.номер резервиста]]="-","-",IF(OR(База_КР_КК[[#This Row],[Уровень КК]]=2,База_КР_КК[[#This Row],[Уровень КК]]=3),IF(COUNTIFS($U$2:$U42,$U42,$F$2:$F42,$F42)=1,1,0),IF(COUNTIFS($U$2:$U42,$U42,$L$2:$L42,$L42)=1,1,0)))</f>
        <v>1</v>
      </c>
      <c r="AA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" s="106" t="s">
        <v>19</v>
      </c>
      <c r="AC42" s="51"/>
      <c r="AD42" s="106" t="s">
        <v>15</v>
      </c>
      <c r="AE42" s="38" t="s">
        <v>403</v>
      </c>
    </row>
    <row r="43" spans="1:31" ht="18" customHeight="1" x14ac:dyDescent="0.25">
      <c r="A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3" s="79">
        <v>3</v>
      </c>
      <c r="C43" s="23">
        <v>44713</v>
      </c>
      <c r="D43" s="67">
        <f>IF(COUNTIF($G$2:$G43,$G43)=1,1,0)</f>
        <v>1</v>
      </c>
      <c r="E43" s="67" t="str">
        <f>IFERROR(VLOOKUP(База_КР_КК[[#This Row],[ИД штатной должности (S)]],'уровень защищенности'!$B$7:$F$1095,5,0),"не защищена")</f>
        <v>низкий</v>
      </c>
      <c r="F43" s="68">
        <v>500620</v>
      </c>
      <c r="G43" s="74" t="s">
        <v>2175</v>
      </c>
      <c r="H43" s="181">
        <f>INDEX('Списки данных'!$D$2:$D$1048576,MATCH(База_КР_КК[[#This Row],[Структурное подразделение]],'Списки данных'!$C$2:$C$1048576,0))</f>
        <v>61</v>
      </c>
      <c r="I43" s="80" t="s">
        <v>121</v>
      </c>
      <c r="J43" s="80" t="s">
        <v>182</v>
      </c>
      <c r="K43" s="80" t="s">
        <v>21</v>
      </c>
      <c r="L43" s="30" t="s">
        <v>186</v>
      </c>
      <c r="M43" s="68">
        <v>5</v>
      </c>
      <c r="N43" s="181" t="str">
        <f t="shared" si="0"/>
        <v>нет</v>
      </c>
      <c r="O43" s="23"/>
      <c r="P43" s="23"/>
      <c r="Q43" s="106"/>
      <c r="R43" s="37">
        <v>17</v>
      </c>
      <c r="S43" s="39" t="s">
        <v>431</v>
      </c>
      <c r="T43" s="37">
        <v>1140</v>
      </c>
      <c r="U43" s="38" t="s">
        <v>1549</v>
      </c>
      <c r="V43" s="69" t="s">
        <v>192</v>
      </c>
      <c r="W43" s="88" t="s">
        <v>121</v>
      </c>
      <c r="X43" s="106" t="s">
        <v>296</v>
      </c>
      <c r="Y43" s="107" t="s">
        <v>12</v>
      </c>
      <c r="Z43" s="67">
        <f>IF(База_КР_КК[[#This Row],[Таб.номер резервиста]]="-","-",IF(OR(База_КР_КК[[#This Row],[Уровень КК]]=2,База_КР_КК[[#This Row],[Уровень КК]]=3),IF(COUNTIFS($U$2:$U43,$U43,$F$2:$F43,$F43)=1,1,0),IF(COUNTIFS($U$2:$U43,$U43,$L$2:$L43,$L43)=1,1,0)))</f>
        <v>1</v>
      </c>
      <c r="AA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" s="106"/>
      <c r="AC43" s="51"/>
      <c r="AD43" s="106" t="s">
        <v>15</v>
      </c>
      <c r="AE43" s="38" t="s">
        <v>403</v>
      </c>
    </row>
    <row r="44" spans="1:31" ht="18" customHeight="1" x14ac:dyDescent="0.25">
      <c r="A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4" s="79">
        <v>3</v>
      </c>
      <c r="C44" s="23">
        <v>44713</v>
      </c>
      <c r="D44" s="67">
        <f>IF(COUNTIF($G$2:$G44,$G44)=1,1,0)</f>
        <v>0</v>
      </c>
      <c r="E44" s="67" t="str">
        <f>IFERROR(VLOOKUP(База_КР_КК[[#This Row],[ИД штатной должности (S)]],'уровень защищенности'!$B$7:$F$1095,5,0),"не защищена")</f>
        <v>низкий</v>
      </c>
      <c r="F44" s="68">
        <v>500620</v>
      </c>
      <c r="G44" s="74" t="s">
        <v>2175</v>
      </c>
      <c r="H44" s="181">
        <f>INDEX('Списки данных'!$D$2:$D$1048576,MATCH(База_КР_КК[[#This Row],[Структурное подразделение]],'Списки данных'!$C$2:$C$1048576,0))</f>
        <v>61</v>
      </c>
      <c r="I44" s="80" t="s">
        <v>121</v>
      </c>
      <c r="J44" s="80" t="s">
        <v>182</v>
      </c>
      <c r="K44" s="80" t="s">
        <v>21</v>
      </c>
      <c r="L44" s="30" t="s">
        <v>186</v>
      </c>
      <c r="M44" s="68">
        <v>5</v>
      </c>
      <c r="N44" s="181" t="str">
        <f t="shared" si="0"/>
        <v>нет</v>
      </c>
      <c r="O44" s="23"/>
      <c r="P44" s="23"/>
      <c r="Q44" s="106"/>
      <c r="R44" s="37">
        <v>17</v>
      </c>
      <c r="S44" s="39" t="s">
        <v>431</v>
      </c>
      <c r="T44" s="37">
        <v>1141</v>
      </c>
      <c r="U44" s="38" t="s">
        <v>1550</v>
      </c>
      <c r="V44" s="69" t="s">
        <v>192</v>
      </c>
      <c r="W44" s="88" t="s">
        <v>121</v>
      </c>
      <c r="X44" s="106" t="s">
        <v>296</v>
      </c>
      <c r="Y44" s="107" t="s">
        <v>12</v>
      </c>
      <c r="Z44" s="67">
        <f>IF(База_КР_КК[[#This Row],[Таб.номер резервиста]]="-","-",IF(OR(База_КР_КК[[#This Row],[Уровень КК]]=2,База_КР_КК[[#This Row],[Уровень КК]]=3),IF(COUNTIFS($U$2:$U44,$U44,$F$2:$F44,$F44)=1,1,0),IF(COUNTIFS($U$2:$U44,$U44,$L$2:$L44,$L44)=1,1,0)))</f>
        <v>1</v>
      </c>
      <c r="AA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" s="106"/>
      <c r="AC44" s="51"/>
      <c r="AD44" s="106" t="s">
        <v>15</v>
      </c>
      <c r="AE44" s="38" t="s">
        <v>403</v>
      </c>
    </row>
    <row r="45" spans="1:31" ht="18" customHeight="1" x14ac:dyDescent="0.25">
      <c r="A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5" s="79">
        <v>3</v>
      </c>
      <c r="C45" s="23">
        <v>44713</v>
      </c>
      <c r="D45" s="67">
        <f>IF(COUNTIF($G$2:$G45,$G45)=1,1,0)</f>
        <v>1</v>
      </c>
      <c r="E45" s="67" t="str">
        <f>IFERROR(VLOOKUP(База_КР_КК[[#This Row],[ИД штатной должности (S)]],'уровень защищенности'!$B$7:$F$1095,5,0),"не защищена")</f>
        <v>низкий</v>
      </c>
      <c r="F45" s="68">
        <v>500619</v>
      </c>
      <c r="G45" s="74" t="s">
        <v>2176</v>
      </c>
      <c r="H45" s="181">
        <f>INDEX('Списки данных'!$D$2:$D$1048576,MATCH(База_КР_КК[[#This Row],[Структурное подразделение]],'Списки данных'!$C$2:$C$1048576,0))</f>
        <v>61</v>
      </c>
      <c r="I45" s="80" t="s">
        <v>121</v>
      </c>
      <c r="J45" s="80" t="s">
        <v>182</v>
      </c>
      <c r="K45" s="80" t="s">
        <v>184</v>
      </c>
      <c r="L45" s="30" t="s">
        <v>187</v>
      </c>
      <c r="M45" s="68">
        <v>6</v>
      </c>
      <c r="N45" s="181" t="str">
        <f t="shared" si="0"/>
        <v>нет</v>
      </c>
      <c r="O45" s="23"/>
      <c r="P45" s="23"/>
      <c r="Q45" s="106"/>
      <c r="R45" s="37">
        <v>18</v>
      </c>
      <c r="S45" s="39" t="s">
        <v>432</v>
      </c>
      <c r="T45" s="37">
        <v>1142</v>
      </c>
      <c r="U45" s="38" t="s">
        <v>1551</v>
      </c>
      <c r="V45" s="69" t="s">
        <v>16</v>
      </c>
      <c r="W45" s="88" t="s">
        <v>121</v>
      </c>
      <c r="X45" s="106" t="s">
        <v>296</v>
      </c>
      <c r="Y45" s="107" t="s">
        <v>12</v>
      </c>
      <c r="Z45" s="67">
        <f>IF(База_КР_КК[[#This Row],[Таб.номер резервиста]]="-","-",IF(OR(База_КР_КК[[#This Row],[Уровень КК]]=2,База_КР_КК[[#This Row],[Уровень КК]]=3),IF(COUNTIFS($U$2:$U45,$U45,$F$2:$F45,$F45)=1,1,0),IF(COUNTIFS($U$2:$U45,$U45,$L$2:$L45,$L45)=1,1,0)))</f>
        <v>1</v>
      </c>
      <c r="AA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" s="106"/>
      <c r="AC45" s="51"/>
      <c r="AD45" s="106" t="s">
        <v>15</v>
      </c>
      <c r="AE45" s="38" t="s">
        <v>403</v>
      </c>
    </row>
    <row r="46" spans="1:31" ht="18" customHeight="1" x14ac:dyDescent="0.25">
      <c r="A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6" s="79">
        <v>3</v>
      </c>
      <c r="C46" s="23">
        <v>44713</v>
      </c>
      <c r="D46" s="67">
        <f>IF(COUNTIF($G$2:$G46,$G46)=1,1,0)</f>
        <v>1</v>
      </c>
      <c r="E46" s="67" t="str">
        <f>IFERROR(VLOOKUP(База_КР_КК[[#This Row],[ИД штатной должности (S)]],'уровень защищенности'!$B$7:$F$1095,5,0),"не защищена")</f>
        <v>низкий</v>
      </c>
      <c r="F46" s="68">
        <v>500617</v>
      </c>
      <c r="G46" s="74" t="s">
        <v>2177</v>
      </c>
      <c r="H46" s="181">
        <f>INDEX('Списки данных'!$D$2:$D$1048576,MATCH(База_КР_КК[[#This Row],[Структурное подразделение]],'Списки данных'!$C$2:$C$1048576,0))</f>
        <v>61</v>
      </c>
      <c r="I46" s="80" t="s">
        <v>121</v>
      </c>
      <c r="J46" s="80" t="s">
        <v>182</v>
      </c>
      <c r="K46" s="80" t="s">
        <v>184</v>
      </c>
      <c r="L46" s="30" t="s">
        <v>187</v>
      </c>
      <c r="M46" s="68">
        <v>6</v>
      </c>
      <c r="N46" s="181" t="str">
        <f t="shared" si="0"/>
        <v>нет</v>
      </c>
      <c r="O46" s="23"/>
      <c r="P46" s="46"/>
      <c r="Q46" s="106"/>
      <c r="R46" s="37">
        <v>19</v>
      </c>
      <c r="S46" s="39" t="s">
        <v>433</v>
      </c>
      <c r="T46" s="37">
        <v>1143</v>
      </c>
      <c r="U46" s="38" t="s">
        <v>1552</v>
      </c>
      <c r="V46" s="69" t="s">
        <v>16</v>
      </c>
      <c r="W46" s="88" t="s">
        <v>121</v>
      </c>
      <c r="X46" s="106" t="s">
        <v>296</v>
      </c>
      <c r="Y46" s="107" t="s">
        <v>12</v>
      </c>
      <c r="Z46" s="67">
        <f>IF(База_КР_КК[[#This Row],[Таб.номер резервиста]]="-","-",IF(OR(База_КР_КК[[#This Row],[Уровень КК]]=2,База_КР_КК[[#This Row],[Уровень КК]]=3),IF(COUNTIFS($U$2:$U46,$U46,$F$2:$F46,$F46)=1,1,0),IF(COUNTIFS($U$2:$U46,$U46,$L$2:$L46,$L46)=1,1,0)))</f>
        <v>1</v>
      </c>
      <c r="AA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" s="106"/>
      <c r="AC46" s="51"/>
      <c r="AD46" s="106" t="s">
        <v>15</v>
      </c>
      <c r="AE46" s="38" t="s">
        <v>403</v>
      </c>
    </row>
    <row r="47" spans="1:31" ht="18" customHeight="1" x14ac:dyDescent="0.25">
      <c r="A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7" s="79">
        <v>3</v>
      </c>
      <c r="C47" s="23">
        <v>44713</v>
      </c>
      <c r="D47" s="67">
        <f>IF(COUNTIF($G$2:$G47,$G47)=1,1,0)</f>
        <v>0</v>
      </c>
      <c r="E47" s="67" t="str">
        <f>IFERROR(VLOOKUP(База_КР_КК[[#This Row],[ИД штатной должности (S)]],'уровень защищенности'!$B$7:$F$1095,5,0),"не защищена")</f>
        <v>низкий</v>
      </c>
      <c r="F47" s="68">
        <v>500617</v>
      </c>
      <c r="G47" s="74" t="s">
        <v>2177</v>
      </c>
      <c r="H47" s="181">
        <f>INDEX('Списки данных'!$D$2:$D$1048576,MATCH(База_КР_КК[[#This Row],[Структурное подразделение]],'Списки данных'!$C$2:$C$1048576,0))</f>
        <v>61</v>
      </c>
      <c r="I47" s="80" t="s">
        <v>121</v>
      </c>
      <c r="J47" s="80" t="s">
        <v>182</v>
      </c>
      <c r="K47" s="80" t="s">
        <v>184</v>
      </c>
      <c r="L47" s="30" t="s">
        <v>187</v>
      </c>
      <c r="M47" s="68">
        <v>6</v>
      </c>
      <c r="N47" s="181" t="str">
        <f t="shared" si="0"/>
        <v>нет</v>
      </c>
      <c r="O47" s="23"/>
      <c r="P47" s="23"/>
      <c r="Q47" s="106"/>
      <c r="R47" s="37">
        <v>19</v>
      </c>
      <c r="S47" s="39" t="s">
        <v>433</v>
      </c>
      <c r="T47" s="37">
        <v>1144</v>
      </c>
      <c r="U47" s="38" t="s">
        <v>1553</v>
      </c>
      <c r="V47" s="69" t="s">
        <v>16</v>
      </c>
      <c r="W47" s="88" t="s">
        <v>121</v>
      </c>
      <c r="X47" s="106" t="s">
        <v>296</v>
      </c>
      <c r="Y47" s="107" t="s">
        <v>12</v>
      </c>
      <c r="Z47" s="67">
        <f>IF(База_КР_КК[[#This Row],[Таб.номер резервиста]]="-","-",IF(OR(База_КР_КК[[#This Row],[Уровень КК]]=2,База_КР_КК[[#This Row],[Уровень КК]]=3),IF(COUNTIFS($U$2:$U47,$U47,$F$2:$F47,$F47)=1,1,0),IF(COUNTIFS($U$2:$U47,$U47,$L$2:$L47,$L47)=1,1,0)))</f>
        <v>1</v>
      </c>
      <c r="AA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7" s="106"/>
      <c r="AC47" s="51"/>
      <c r="AD47" s="106" t="s">
        <v>15</v>
      </c>
      <c r="AE47" s="38" t="s">
        <v>403</v>
      </c>
    </row>
    <row r="48" spans="1:31" ht="18" customHeight="1" x14ac:dyDescent="0.25">
      <c r="A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8" s="79">
        <v>3</v>
      </c>
      <c r="C48" s="23">
        <v>44713</v>
      </c>
      <c r="D48" s="67">
        <f>IF(COUNTIF($G$2:$G48,$G48)=1,1,0)</f>
        <v>1</v>
      </c>
      <c r="E48" s="67" t="str">
        <f>IFERROR(VLOOKUP(База_КР_КК[[#This Row],[ИД штатной должности (S)]],'уровень защищенности'!$B$7:$F$1095,5,0),"не защищена")</f>
        <v>не защищена</v>
      </c>
      <c r="F48" s="68">
        <v>500618</v>
      </c>
      <c r="G48" s="74" t="s">
        <v>2178</v>
      </c>
      <c r="H48" s="181">
        <f>INDEX('Списки данных'!$D$2:$D$1048576,MATCH(База_КР_КК[[#This Row],[Структурное подразделение]],'Списки данных'!$C$2:$C$1048576,0))</f>
        <v>61</v>
      </c>
      <c r="I48" s="80" t="s">
        <v>121</v>
      </c>
      <c r="J48" s="80" t="s">
        <v>182</v>
      </c>
      <c r="K48" s="80" t="s">
        <v>184</v>
      </c>
      <c r="L48" s="30" t="s">
        <v>187</v>
      </c>
      <c r="M48" s="68">
        <v>6</v>
      </c>
      <c r="N48" s="181" t="str">
        <f t="shared" si="0"/>
        <v>да</v>
      </c>
      <c r="O48" s="23">
        <v>45012</v>
      </c>
      <c r="P48" s="23">
        <v>45012</v>
      </c>
      <c r="Q48" s="106" t="s">
        <v>66</v>
      </c>
      <c r="R48" s="37">
        <v>20</v>
      </c>
      <c r="S48" s="38" t="s">
        <v>434</v>
      </c>
      <c r="T48" s="37">
        <v>20</v>
      </c>
      <c r="U48" s="38" t="s">
        <v>434</v>
      </c>
      <c r="V48" s="69" t="s">
        <v>16</v>
      </c>
      <c r="W48" s="88" t="s">
        <v>121</v>
      </c>
      <c r="X48" s="106" t="s">
        <v>296</v>
      </c>
      <c r="Y48" s="107" t="s">
        <v>14</v>
      </c>
      <c r="Z48" s="67">
        <f>IF(База_КР_КК[[#This Row],[Таб.номер резервиста]]="-","-",IF(OR(База_КР_КК[[#This Row],[Уровень КК]]=2,База_КР_КК[[#This Row],[Уровень КК]]=3),IF(COUNTIFS($U$2:$U48,$U48,$F$2:$F48,$F48)=1,1,0),IF(COUNTIFS($U$2:$U48,$U48,$L$2:$L48,$L48)=1,1,0)))</f>
        <v>1</v>
      </c>
      <c r="AA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8" s="106" t="s">
        <v>24</v>
      </c>
      <c r="AC48" s="51">
        <v>45012</v>
      </c>
      <c r="AD48" s="106" t="s">
        <v>15</v>
      </c>
      <c r="AE48" s="38" t="s">
        <v>403</v>
      </c>
    </row>
    <row r="49" spans="1:31" ht="18" customHeight="1" x14ac:dyDescent="0.25">
      <c r="A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49" s="79">
        <v>3</v>
      </c>
      <c r="C49" s="23">
        <v>43018</v>
      </c>
      <c r="D49" s="67">
        <f>IF(COUNTIF($G$2:$G49,$G49)=1,1,0)</f>
        <v>1</v>
      </c>
      <c r="E49" s="67" t="str">
        <f>IFERROR(VLOOKUP(База_КР_КК[[#This Row],[ИД штатной должности (S)]],'уровень защищенности'!$B$7:$F$1095,5,0),"не защищена")</f>
        <v>средний</v>
      </c>
      <c r="F49" s="68">
        <v>500630</v>
      </c>
      <c r="G49" s="74" t="s">
        <v>2179</v>
      </c>
      <c r="H49" s="181">
        <f>INDEX('Списки данных'!$D$2:$D$1048576,MATCH(База_КР_КК[[#This Row],[Структурное подразделение]],'Списки данных'!$C$2:$C$1048576,0))</f>
        <v>61</v>
      </c>
      <c r="I49" s="80" t="s">
        <v>121</v>
      </c>
      <c r="J49" s="80" t="s">
        <v>182</v>
      </c>
      <c r="K49" s="80" t="s">
        <v>21</v>
      </c>
      <c r="L49" s="30" t="s">
        <v>187</v>
      </c>
      <c r="M49" s="68">
        <v>6</v>
      </c>
      <c r="N49" s="181" t="str">
        <f t="shared" si="0"/>
        <v>нет</v>
      </c>
      <c r="O49" s="23"/>
      <c r="P49" s="23"/>
      <c r="Q49" s="106"/>
      <c r="R49" s="37">
        <v>21</v>
      </c>
      <c r="S49" s="39" t="s">
        <v>435</v>
      </c>
      <c r="T49" s="37">
        <v>1145</v>
      </c>
      <c r="U49" s="38" t="s">
        <v>1554</v>
      </c>
      <c r="V49" s="69" t="s">
        <v>16</v>
      </c>
      <c r="W49" s="88" t="s">
        <v>121</v>
      </c>
      <c r="X49" s="106" t="s">
        <v>297</v>
      </c>
      <c r="Y49" s="107" t="s">
        <v>12</v>
      </c>
      <c r="Z49" s="67">
        <f>IF(База_КР_КК[[#This Row],[Таб.номер резервиста]]="-","-",IF(OR(База_КР_КК[[#This Row],[Уровень КК]]=2,База_КР_КК[[#This Row],[Уровень КК]]=3),IF(COUNTIFS($U$2:$U49,$U49,$F$2:$F49,$F49)=1,1,0),IF(COUNTIFS($U$2:$U49,$U49,$L$2:$L49,$L49)=1,1,0)))</f>
        <v>1</v>
      </c>
      <c r="AA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" s="106"/>
      <c r="AC49" s="51"/>
      <c r="AD49" s="106" t="s">
        <v>13</v>
      </c>
      <c r="AE49" s="38" t="s">
        <v>403</v>
      </c>
    </row>
    <row r="50" spans="1:31" ht="18" customHeight="1" x14ac:dyDescent="0.25">
      <c r="A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50" s="79">
        <v>3</v>
      </c>
      <c r="C50" s="23">
        <v>43397</v>
      </c>
      <c r="D50" s="67">
        <f>IF(COUNTIF($G$2:$G50,$G50)=1,1,0)</f>
        <v>0</v>
      </c>
      <c r="E50" s="67" t="str">
        <f>IFERROR(VLOOKUP(База_КР_КК[[#This Row],[ИД штатной должности (S)]],'уровень защищенности'!$B$7:$F$1095,5,0),"не защищена")</f>
        <v>средний</v>
      </c>
      <c r="F50" s="68">
        <v>500630</v>
      </c>
      <c r="G50" s="74" t="s">
        <v>2179</v>
      </c>
      <c r="H50" s="181">
        <f>INDEX('Списки данных'!$D$2:$D$1048576,MATCH(База_КР_КК[[#This Row],[Структурное подразделение]],'Списки данных'!$C$2:$C$1048576,0))</f>
        <v>61</v>
      </c>
      <c r="I50" s="80" t="s">
        <v>121</v>
      </c>
      <c r="J50" s="80" t="s">
        <v>182</v>
      </c>
      <c r="K50" s="80" t="s">
        <v>21</v>
      </c>
      <c r="L50" s="30" t="s">
        <v>187</v>
      </c>
      <c r="M50" s="68">
        <v>6</v>
      </c>
      <c r="N50" s="181" t="str">
        <f t="shared" si="0"/>
        <v>нет</v>
      </c>
      <c r="O50" s="23"/>
      <c r="P50" s="23"/>
      <c r="Q50" s="106"/>
      <c r="R50" s="37">
        <v>21</v>
      </c>
      <c r="S50" s="39" t="s">
        <v>435</v>
      </c>
      <c r="T50" s="37">
        <v>1146</v>
      </c>
      <c r="U50" s="38" t="s">
        <v>1555</v>
      </c>
      <c r="V50" s="69" t="s">
        <v>16</v>
      </c>
      <c r="W50" s="88" t="s">
        <v>121</v>
      </c>
      <c r="X50" s="106" t="s">
        <v>296</v>
      </c>
      <c r="Y50" s="107" t="s">
        <v>12</v>
      </c>
      <c r="Z50" s="67">
        <f>IF(База_КР_КК[[#This Row],[Таб.номер резервиста]]="-","-",IF(OR(База_КР_КК[[#This Row],[Уровень КК]]=2,База_КР_КК[[#This Row],[Уровень КК]]=3),IF(COUNTIFS($U$2:$U50,$U50,$F$2:$F50,$F50)=1,1,0),IF(COUNTIFS($U$2:$U50,$U50,$L$2:$L50,$L50)=1,1,0)))</f>
        <v>1</v>
      </c>
      <c r="AA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" s="106"/>
      <c r="AC50" s="51"/>
      <c r="AD50" s="106" t="s">
        <v>13</v>
      </c>
      <c r="AE50" s="38" t="s">
        <v>403</v>
      </c>
    </row>
    <row r="51" spans="1:31" ht="18" customHeight="1" x14ac:dyDescent="0.25">
      <c r="A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51" s="79">
        <v>3</v>
      </c>
      <c r="C51" s="23">
        <v>44713</v>
      </c>
      <c r="D51" s="67">
        <f>IF(COUNTIF($G$2:$G51,$G51)=1,1,0)</f>
        <v>1</v>
      </c>
      <c r="E51" s="67" t="str">
        <f>IFERROR(VLOOKUP(База_КР_КК[[#This Row],[ИД штатной должности (S)]],'уровень защищенности'!$B$7:$F$1095,5,0),"не защищена")</f>
        <v>низкий</v>
      </c>
      <c r="F51" s="68">
        <v>500637</v>
      </c>
      <c r="G51" s="74" t="s">
        <v>2180</v>
      </c>
      <c r="H51" s="181">
        <f>INDEX('Списки данных'!$D$2:$D$1048576,MATCH(База_КР_КК[[#This Row],[Структурное подразделение]],'Списки данных'!$C$2:$C$1048576,0))</f>
        <v>61</v>
      </c>
      <c r="I51" s="80" t="s">
        <v>121</v>
      </c>
      <c r="J51" s="80" t="s">
        <v>182</v>
      </c>
      <c r="K51" s="80" t="s">
        <v>184</v>
      </c>
      <c r="L51" s="30" t="s">
        <v>187</v>
      </c>
      <c r="M51" s="68">
        <v>6</v>
      </c>
      <c r="N51" s="181" t="str">
        <f t="shared" si="0"/>
        <v>нет</v>
      </c>
      <c r="O51" s="23"/>
      <c r="P51" s="23"/>
      <c r="Q51" s="106"/>
      <c r="R51" s="37">
        <v>22</v>
      </c>
      <c r="S51" s="39" t="s">
        <v>436</v>
      </c>
      <c r="T51" s="37">
        <v>1147</v>
      </c>
      <c r="U51" s="38" t="s">
        <v>1556</v>
      </c>
      <c r="V51" s="69" t="s">
        <v>16</v>
      </c>
      <c r="W51" s="88" t="s">
        <v>121</v>
      </c>
      <c r="X51" s="106" t="s">
        <v>296</v>
      </c>
      <c r="Y51" s="107" t="s">
        <v>12</v>
      </c>
      <c r="Z51" s="67">
        <f>IF(База_КР_КК[[#This Row],[Таб.номер резервиста]]="-","-",IF(OR(База_КР_КК[[#This Row],[Уровень КК]]=2,База_КР_КК[[#This Row],[Уровень КК]]=3),IF(COUNTIFS($U$2:$U51,$U51,$F$2:$F51,$F51)=1,1,0),IF(COUNTIFS($U$2:$U51,$U51,$L$2:$L51,$L51)=1,1,0)))</f>
        <v>1</v>
      </c>
      <c r="AA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" s="106"/>
      <c r="AC51" s="51"/>
      <c r="AD51" s="106" t="s">
        <v>15</v>
      </c>
      <c r="AE51" s="38" t="s">
        <v>403</v>
      </c>
    </row>
    <row r="52" spans="1:31" ht="18" customHeight="1" x14ac:dyDescent="0.25">
      <c r="A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2</v>
      </c>
      <c r="B52" s="79">
        <v>3</v>
      </c>
      <c r="C52" s="23">
        <v>44713</v>
      </c>
      <c r="D52" s="67">
        <f>IF(COUNTIF($G$2:$G52,$G52)=1,1,0)</f>
        <v>0</v>
      </c>
      <c r="E52" s="67" t="str">
        <f>IFERROR(VLOOKUP(База_КР_КК[[#This Row],[ИД штатной должности (S)]],'уровень защищенности'!$B$7:$F$1095,5,0),"не защищена")</f>
        <v>низкий</v>
      </c>
      <c r="F52" s="68">
        <v>500637</v>
      </c>
      <c r="G52" s="74" t="s">
        <v>2180</v>
      </c>
      <c r="H52" s="181">
        <f>INDEX('Списки данных'!$D$2:$D$1048576,MATCH(База_КР_КК[[#This Row],[Структурное подразделение]],'Списки данных'!$C$2:$C$1048576,0))</f>
        <v>61</v>
      </c>
      <c r="I52" s="80" t="s">
        <v>121</v>
      </c>
      <c r="J52" s="80" t="s">
        <v>182</v>
      </c>
      <c r="K52" s="80" t="s">
        <v>184</v>
      </c>
      <c r="L52" s="30" t="s">
        <v>187</v>
      </c>
      <c r="M52" s="68">
        <v>6</v>
      </c>
      <c r="N52" s="181" t="str">
        <f t="shared" si="0"/>
        <v>нет</v>
      </c>
      <c r="O52" s="23"/>
      <c r="P52" s="23"/>
      <c r="Q52" s="106"/>
      <c r="R52" s="37">
        <v>22</v>
      </c>
      <c r="S52" s="39" t="s">
        <v>436</v>
      </c>
      <c r="T52" s="37">
        <v>1148</v>
      </c>
      <c r="U52" s="38" t="s">
        <v>1557</v>
      </c>
      <c r="V52" s="69" t="s">
        <v>16</v>
      </c>
      <c r="W52" s="88" t="s">
        <v>121</v>
      </c>
      <c r="X52" s="106" t="s">
        <v>296</v>
      </c>
      <c r="Y52" s="107" t="s">
        <v>12</v>
      </c>
      <c r="Z52" s="67">
        <f>IF(База_КР_КК[[#This Row],[Таб.номер резервиста]]="-","-",IF(OR(База_КР_КК[[#This Row],[Уровень КК]]=2,База_КР_КК[[#This Row],[Уровень КК]]=3),IF(COUNTIFS($U$2:$U52,$U52,$F$2:$F52,$F52)=1,1,0),IF(COUNTIFS($U$2:$U52,$U52,$L$2:$L52,$L52)=1,1,0)))</f>
        <v>1</v>
      </c>
      <c r="AA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" s="106"/>
      <c r="AC52" s="51"/>
      <c r="AD52" s="106" t="s">
        <v>15</v>
      </c>
      <c r="AE52" s="38" t="s">
        <v>403</v>
      </c>
    </row>
    <row r="53" spans="1:31" ht="18" customHeight="1" x14ac:dyDescent="0.25">
      <c r="A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" s="79">
        <v>3</v>
      </c>
      <c r="C53" s="23">
        <v>43080</v>
      </c>
      <c r="D53" s="67">
        <f>IF(COUNTIF($G$2:$G53,$G53)=1,1,0)</f>
        <v>1</v>
      </c>
      <c r="E53" s="67" t="str">
        <f>IFERROR(VLOOKUP(База_КР_КК[[#This Row],[ИД штатной должности (S)]],'уровень защищенности'!$B$7:$F$1095,5,0),"не защищена")</f>
        <v>высокий</v>
      </c>
      <c r="F53" s="68">
        <v>500012</v>
      </c>
      <c r="G53" s="74" t="s">
        <v>2181</v>
      </c>
      <c r="H53" s="181">
        <f>INDEX('Списки данных'!$D$2:$D$1048576,MATCH(База_КР_КК[[#This Row],[Структурное подразделение]],'Списки данных'!$C$2:$C$1048576,0))</f>
        <v>2</v>
      </c>
      <c r="I53" s="80" t="s">
        <v>133</v>
      </c>
      <c r="J53" s="80" t="s">
        <v>21</v>
      </c>
      <c r="K53" s="80" t="s">
        <v>21</v>
      </c>
      <c r="L53" s="30" t="s">
        <v>183</v>
      </c>
      <c r="M53" s="68">
        <v>4</v>
      </c>
      <c r="N53" s="181" t="str">
        <f t="shared" si="0"/>
        <v>да</v>
      </c>
      <c r="O53" s="23">
        <v>45047</v>
      </c>
      <c r="P53" s="23">
        <v>45047</v>
      </c>
      <c r="Q53" s="106" t="s">
        <v>66</v>
      </c>
      <c r="R53" s="37">
        <v>23</v>
      </c>
      <c r="S53" s="39" t="s">
        <v>437</v>
      </c>
      <c r="T53" s="37">
        <v>202</v>
      </c>
      <c r="U53" s="39" t="s">
        <v>614</v>
      </c>
      <c r="V53" s="89" t="s">
        <v>187</v>
      </c>
      <c r="W53" s="89" t="s">
        <v>133</v>
      </c>
      <c r="X53" s="106" t="s">
        <v>295</v>
      </c>
      <c r="Y53" s="107" t="s">
        <v>12</v>
      </c>
      <c r="Z53" s="67">
        <f>IF(База_КР_КК[[#This Row],[Таб.номер резервиста]]="-","-",IF(OR(База_КР_КК[[#This Row],[Уровень КК]]=2,База_КР_КК[[#This Row],[Уровень КК]]=3),IF(COUNTIFS($U$2:$U53,$U53,$F$2:$F53,$F53)=1,1,0),IF(COUNTIFS($U$2:$U53,$U53,$L$2:$L53,$L53)=1,1,0)))</f>
        <v>1</v>
      </c>
      <c r="AA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" s="106"/>
      <c r="AC53" s="51"/>
      <c r="AD53" s="106" t="s">
        <v>13</v>
      </c>
      <c r="AE53" s="38" t="s">
        <v>404</v>
      </c>
    </row>
    <row r="54" spans="1:31" ht="18" customHeight="1" x14ac:dyDescent="0.25">
      <c r="A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" s="79">
        <v>3</v>
      </c>
      <c r="C54" s="23">
        <v>44340</v>
      </c>
      <c r="D54" s="67">
        <f>IF(COUNTIF($G$2:$G54,$G54)=1,1,0)</f>
        <v>0</v>
      </c>
      <c r="E54" s="67" t="str">
        <f>IFERROR(VLOOKUP(База_КР_КК[[#This Row],[ИД штатной должности (S)]],'уровень защищенности'!$B$7:$F$1095,5,0),"не защищена")</f>
        <v>высокий</v>
      </c>
      <c r="F54" s="68">
        <v>500012</v>
      </c>
      <c r="G54" s="74" t="s">
        <v>2181</v>
      </c>
      <c r="H54" s="181">
        <f>INDEX('Списки данных'!$D$2:$D$1048576,MATCH(База_КР_КК[[#This Row],[Структурное подразделение]],'Списки данных'!$C$2:$C$1048576,0))</f>
        <v>2</v>
      </c>
      <c r="I54" s="80" t="s">
        <v>133</v>
      </c>
      <c r="J54" s="80" t="s">
        <v>21</v>
      </c>
      <c r="K54" s="80" t="s">
        <v>21</v>
      </c>
      <c r="L54" s="30" t="s">
        <v>183</v>
      </c>
      <c r="M54" s="68">
        <v>4</v>
      </c>
      <c r="N54" s="181" t="str">
        <f t="shared" si="0"/>
        <v>да</v>
      </c>
      <c r="O54" s="23">
        <v>45047</v>
      </c>
      <c r="P54" s="23">
        <v>45047</v>
      </c>
      <c r="Q54" s="106" t="s">
        <v>66</v>
      </c>
      <c r="R54" s="37">
        <v>23</v>
      </c>
      <c r="S54" s="39" t="s">
        <v>437</v>
      </c>
      <c r="T54" s="37">
        <v>23</v>
      </c>
      <c r="U54" s="39" t="s">
        <v>437</v>
      </c>
      <c r="V54" s="69" t="s">
        <v>194</v>
      </c>
      <c r="W54" s="89" t="s">
        <v>133</v>
      </c>
      <c r="X54" s="106" t="s">
        <v>296</v>
      </c>
      <c r="Y54" s="107" t="s">
        <v>14</v>
      </c>
      <c r="Z54" s="67">
        <f>IF(База_КР_КК[[#This Row],[Таб.номер резервиста]]="-","-",IF(OR(База_КР_КК[[#This Row],[Уровень КК]]=2,База_КР_КК[[#This Row],[Уровень КК]]=3),IF(COUNTIFS($U$2:$U54,$U54,$F$2:$F54,$F54)=1,1,0),IF(COUNTIFS($U$2:$U54,$U54,$L$2:$L54,$L54)=1,1,0)))</f>
        <v>1</v>
      </c>
      <c r="AA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54" s="106" t="s">
        <v>24</v>
      </c>
      <c r="AC54" s="51">
        <v>45047</v>
      </c>
      <c r="AD54" s="106" t="s">
        <v>13</v>
      </c>
      <c r="AE54" s="38" t="s">
        <v>404</v>
      </c>
    </row>
    <row r="55" spans="1:31" ht="18" customHeight="1" x14ac:dyDescent="0.25">
      <c r="A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" s="79">
        <v>3</v>
      </c>
      <c r="C55" s="23">
        <v>44340</v>
      </c>
      <c r="D55" s="67">
        <f>IF(COUNTIF($G$2:$G55,$G55)=1,1,0)</f>
        <v>0</v>
      </c>
      <c r="E55" s="67" t="str">
        <f>IFERROR(VLOOKUP(База_КР_КК[[#This Row],[ИД штатной должности (S)]],'уровень защищенности'!$B$7:$F$1095,5,0),"не защищена")</f>
        <v>высокий</v>
      </c>
      <c r="F55" s="68">
        <v>500012</v>
      </c>
      <c r="G55" s="74" t="s">
        <v>2181</v>
      </c>
      <c r="H55" s="181">
        <f>INDEX('Списки данных'!$D$2:$D$1048576,MATCH(База_КР_КК[[#This Row],[Структурное подразделение]],'Списки данных'!$C$2:$C$1048576,0))</f>
        <v>2</v>
      </c>
      <c r="I55" s="80" t="s">
        <v>133</v>
      </c>
      <c r="J55" s="80" t="s">
        <v>21</v>
      </c>
      <c r="K55" s="80" t="s">
        <v>21</v>
      </c>
      <c r="L55" s="30" t="s">
        <v>183</v>
      </c>
      <c r="M55" s="68">
        <v>4</v>
      </c>
      <c r="N55" s="181" t="str">
        <f t="shared" si="0"/>
        <v>да</v>
      </c>
      <c r="O55" s="23">
        <v>45047</v>
      </c>
      <c r="P55" s="23">
        <v>45047</v>
      </c>
      <c r="Q55" s="106" t="s">
        <v>66</v>
      </c>
      <c r="R55" s="37">
        <v>23</v>
      </c>
      <c r="S55" s="39" t="s">
        <v>437</v>
      </c>
      <c r="T55" s="37">
        <v>110</v>
      </c>
      <c r="U55" s="39" t="s">
        <v>522</v>
      </c>
      <c r="V55" s="69" t="s">
        <v>187</v>
      </c>
      <c r="W55" s="89" t="s">
        <v>133</v>
      </c>
      <c r="X55" s="106" t="s">
        <v>296</v>
      </c>
      <c r="Y55" s="107" t="s">
        <v>12</v>
      </c>
      <c r="Z55" s="67">
        <f>IF(База_КР_КК[[#This Row],[Таб.номер резервиста]]="-","-",IF(OR(База_КР_КК[[#This Row],[Уровень КК]]=2,База_КР_КК[[#This Row],[Уровень КК]]=3),IF(COUNTIFS($U$2:$U55,$U55,$F$2:$F55,$F55)=1,1,0),IF(COUNTIFS($U$2:$U55,$U55,$L$2:$L55,$L55)=1,1,0)))</f>
        <v>1</v>
      </c>
      <c r="AA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" s="106"/>
      <c r="AC55" s="51"/>
      <c r="AD55" s="106" t="s">
        <v>13</v>
      </c>
      <c r="AE55" s="38" t="s">
        <v>404</v>
      </c>
    </row>
    <row r="56" spans="1:31" ht="18" customHeight="1" x14ac:dyDescent="0.25">
      <c r="A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" s="79">
        <v>3</v>
      </c>
      <c r="C56" s="23">
        <v>43080</v>
      </c>
      <c r="D56" s="67">
        <f>IF(COUNTIF($G$2:$G56,$G56)=1,1,0)</f>
        <v>0</v>
      </c>
      <c r="E56" s="67" t="str">
        <f>IFERROR(VLOOKUP(База_КР_КК[[#This Row],[ИД штатной должности (S)]],'уровень защищенности'!$B$7:$F$1095,5,0),"не защищена")</f>
        <v>высокий</v>
      </c>
      <c r="F56" s="68">
        <v>500012</v>
      </c>
      <c r="G56" s="74" t="s">
        <v>2181</v>
      </c>
      <c r="H56" s="181">
        <f>INDEX('Списки данных'!$D$2:$D$1048576,MATCH(База_КР_КК[[#This Row],[Структурное подразделение]],'Списки данных'!$C$2:$C$1048576,0))</f>
        <v>2</v>
      </c>
      <c r="I56" s="80" t="s">
        <v>133</v>
      </c>
      <c r="J56" s="80" t="s">
        <v>21</v>
      </c>
      <c r="K56" s="80" t="s">
        <v>21</v>
      </c>
      <c r="L56" s="30" t="s">
        <v>183</v>
      </c>
      <c r="M56" s="68">
        <v>4</v>
      </c>
      <c r="N56" s="181" t="str">
        <f t="shared" si="0"/>
        <v>да</v>
      </c>
      <c r="O56" s="23">
        <v>45047</v>
      </c>
      <c r="P56" s="23">
        <v>45047</v>
      </c>
      <c r="Q56" s="106" t="s">
        <v>66</v>
      </c>
      <c r="R56" s="37">
        <v>23</v>
      </c>
      <c r="S56" s="39" t="s">
        <v>437</v>
      </c>
      <c r="T56" s="37">
        <v>100</v>
      </c>
      <c r="U56" s="39" t="s">
        <v>512</v>
      </c>
      <c r="V56" s="89" t="s">
        <v>198</v>
      </c>
      <c r="W56" s="89" t="s">
        <v>133</v>
      </c>
      <c r="X56" s="106" t="s">
        <v>297</v>
      </c>
      <c r="Y56" s="107" t="s">
        <v>18</v>
      </c>
      <c r="Z56" s="67">
        <f>IF(База_КР_КК[[#This Row],[Таб.номер резервиста]]="-","-",IF(OR(База_КР_КК[[#This Row],[Уровень КК]]=2,База_КР_КК[[#This Row],[Уровень КК]]=3),IF(COUNTIFS($U$2:$U56,$U56,$F$2:$F56,$F56)=1,1,0),IF(COUNTIFS($U$2:$U56,$U56,$L$2:$L56,$L56)=1,1,0)))</f>
        <v>1</v>
      </c>
      <c r="AA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" s="106" t="s">
        <v>20</v>
      </c>
      <c r="AC56" s="51">
        <v>44340</v>
      </c>
      <c r="AD56" s="106" t="s">
        <v>31</v>
      </c>
      <c r="AE56" s="38" t="s">
        <v>303</v>
      </c>
    </row>
    <row r="57" spans="1:31" ht="18" customHeight="1" x14ac:dyDescent="0.25">
      <c r="A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" s="79">
        <v>3</v>
      </c>
      <c r="C57" s="23">
        <v>43080</v>
      </c>
      <c r="D57" s="67">
        <f>IF(COUNTIF($G$2:$G57,$G57)=1,1,0)</f>
        <v>1</v>
      </c>
      <c r="E57" s="67" t="str">
        <f>IFERROR(VLOOKUP(База_КР_КК[[#This Row],[ИД штатной должности (S)]],'уровень защищенности'!$B$7:$F$1095,5,0),"не защищена")</f>
        <v>высокий</v>
      </c>
      <c r="F57" s="68">
        <v>500014</v>
      </c>
      <c r="G57" s="74" t="s">
        <v>2182</v>
      </c>
      <c r="H57" s="181">
        <f>INDEX('Списки данных'!$D$2:$D$1048576,MATCH(База_КР_КК[[#This Row],[Структурное подразделение]],'Списки данных'!$C$2:$C$1048576,0))</f>
        <v>1</v>
      </c>
      <c r="I57" s="80" t="s">
        <v>132</v>
      </c>
      <c r="J57" s="80" t="s">
        <v>21</v>
      </c>
      <c r="K57" s="80" t="s">
        <v>21</v>
      </c>
      <c r="L57" s="30" t="s">
        <v>183</v>
      </c>
      <c r="M57" s="68">
        <v>4</v>
      </c>
      <c r="N57" s="181" t="str">
        <f t="shared" si="0"/>
        <v>нет</v>
      </c>
      <c r="O57" s="23"/>
      <c r="P57" s="23"/>
      <c r="Q57" s="106"/>
      <c r="R57" s="37">
        <v>24</v>
      </c>
      <c r="S57" s="38" t="s">
        <v>438</v>
      </c>
      <c r="T57" s="37">
        <v>132</v>
      </c>
      <c r="U57" s="39" t="s">
        <v>544</v>
      </c>
      <c r="V57" s="89" t="s">
        <v>198</v>
      </c>
      <c r="W57" s="89" t="s">
        <v>132</v>
      </c>
      <c r="X57" s="106" t="s">
        <v>297</v>
      </c>
      <c r="Y57" s="107" t="s">
        <v>12</v>
      </c>
      <c r="Z57" s="67">
        <f>IF(База_КР_КК[[#This Row],[Таб.номер резервиста]]="-","-",IF(OR(База_КР_КК[[#This Row],[Уровень КК]]=2,База_КР_КК[[#This Row],[Уровень КК]]=3),IF(COUNTIFS($U$2:$U57,$U57,$F$2:$F57,$F57)=1,1,0),IF(COUNTIFS($U$2:$U57,$U57,$L$2:$L57,$L57)=1,1,0)))</f>
        <v>1</v>
      </c>
      <c r="AA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" s="106"/>
      <c r="AC57" s="51"/>
      <c r="AD57" s="106" t="s">
        <v>13</v>
      </c>
      <c r="AE57" s="38" t="s">
        <v>404</v>
      </c>
    </row>
    <row r="58" spans="1:31" ht="18" customHeight="1" x14ac:dyDescent="0.25">
      <c r="A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" s="79">
        <v>3</v>
      </c>
      <c r="C58" s="23">
        <v>43080</v>
      </c>
      <c r="D58" s="67">
        <f>IF(COUNTIF($G$2:$G58,$G58)=1,1,0)</f>
        <v>0</v>
      </c>
      <c r="E58" s="67" t="str">
        <f>IFERROR(VLOOKUP(База_КР_КК[[#This Row],[ИД штатной должности (S)]],'уровень защищенности'!$B$7:$F$1095,5,0),"не защищена")</f>
        <v>высокий</v>
      </c>
      <c r="F58" s="68">
        <v>500014</v>
      </c>
      <c r="G58" s="74" t="s">
        <v>2182</v>
      </c>
      <c r="H58" s="181">
        <f>INDEX('Списки данных'!$D$2:$D$1048576,MATCH(База_КР_КК[[#This Row],[Структурное подразделение]],'Списки данных'!$C$2:$C$1048576,0))</f>
        <v>1</v>
      </c>
      <c r="I58" s="80" t="s">
        <v>132</v>
      </c>
      <c r="J58" s="80" t="s">
        <v>21</v>
      </c>
      <c r="K58" s="80" t="s">
        <v>21</v>
      </c>
      <c r="L58" s="30" t="s">
        <v>183</v>
      </c>
      <c r="M58" s="68">
        <v>4</v>
      </c>
      <c r="N58" s="181" t="str">
        <f t="shared" si="0"/>
        <v>нет</v>
      </c>
      <c r="O58" s="23"/>
      <c r="P58" s="23"/>
      <c r="Q58" s="106"/>
      <c r="R58" s="37">
        <v>24</v>
      </c>
      <c r="S58" s="38" t="s">
        <v>438</v>
      </c>
      <c r="T58" s="37">
        <v>60</v>
      </c>
      <c r="U58" s="39" t="s">
        <v>472</v>
      </c>
      <c r="V58" s="89" t="s">
        <v>187</v>
      </c>
      <c r="W58" s="89" t="s">
        <v>132</v>
      </c>
      <c r="X58" s="106" t="s">
        <v>295</v>
      </c>
      <c r="Y58" s="107" t="s">
        <v>12</v>
      </c>
      <c r="Z58" s="67">
        <f>IF(База_КР_КК[[#This Row],[Таб.номер резервиста]]="-","-",IF(OR(База_КР_КК[[#This Row],[Уровень КК]]=2,База_КР_КК[[#This Row],[Уровень КК]]=3),IF(COUNTIFS($U$2:$U58,$U58,$F$2:$F58,$F58)=1,1,0),IF(COUNTIFS($U$2:$U58,$U58,$L$2:$L58,$L58)=1,1,0)))</f>
        <v>1</v>
      </c>
      <c r="AA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" s="106"/>
      <c r="AC58" s="51"/>
      <c r="AD58" s="106" t="s">
        <v>13</v>
      </c>
      <c r="AE58" s="38" t="s">
        <v>404</v>
      </c>
    </row>
    <row r="59" spans="1:31" ht="18" customHeight="1" x14ac:dyDescent="0.25">
      <c r="A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" s="79">
        <v>3</v>
      </c>
      <c r="C59" s="23">
        <v>44739</v>
      </c>
      <c r="D59" s="67">
        <f>IF(COUNTIF($G$2:$G59,$G59)=1,1,0)</f>
        <v>0</v>
      </c>
      <c r="E59" s="67" t="str">
        <f>IFERROR(VLOOKUP(База_КР_КК[[#This Row],[ИД штатной должности (S)]],'уровень защищенности'!$B$7:$F$1095,5,0),"не защищена")</f>
        <v>высокий</v>
      </c>
      <c r="F59" s="68">
        <v>500014</v>
      </c>
      <c r="G59" s="74" t="s">
        <v>2182</v>
      </c>
      <c r="H59" s="181">
        <f>INDEX('Списки данных'!$D$2:$D$1048576,MATCH(База_КР_КК[[#This Row],[Структурное подразделение]],'Списки данных'!$C$2:$C$1048576,0))</f>
        <v>1</v>
      </c>
      <c r="I59" s="80" t="s">
        <v>132</v>
      </c>
      <c r="J59" s="80" t="s">
        <v>21</v>
      </c>
      <c r="K59" s="80" t="s">
        <v>21</v>
      </c>
      <c r="L59" s="30" t="s">
        <v>183</v>
      </c>
      <c r="M59" s="68">
        <v>4</v>
      </c>
      <c r="N59" s="181" t="str">
        <f t="shared" si="0"/>
        <v>нет</v>
      </c>
      <c r="O59" s="23"/>
      <c r="P59" s="23"/>
      <c r="Q59" s="106"/>
      <c r="R59" s="37">
        <v>24</v>
      </c>
      <c r="S59" s="39" t="s">
        <v>438</v>
      </c>
      <c r="T59" s="37">
        <v>201</v>
      </c>
      <c r="U59" s="38" t="s">
        <v>613</v>
      </c>
      <c r="V59" s="89" t="s">
        <v>187</v>
      </c>
      <c r="W59" s="89" t="s">
        <v>132</v>
      </c>
      <c r="X59" s="106" t="s">
        <v>296</v>
      </c>
      <c r="Y59" s="107" t="s">
        <v>12</v>
      </c>
      <c r="Z59" s="67">
        <f>IF(База_КР_КК[[#This Row],[Таб.номер резервиста]]="-","-",IF(OR(База_КР_КК[[#This Row],[Уровень КК]]=2,База_КР_КК[[#This Row],[Уровень КК]]=3),IF(COUNTIFS($U$2:$U59,$U59,$F$2:$F59,$F59)=1,1,0),IF(COUNTIFS($U$2:$U59,$U59,$L$2:$L59,$L59)=1,1,0)))</f>
        <v>1</v>
      </c>
      <c r="AA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" s="106"/>
      <c r="AC59" s="51"/>
      <c r="AD59" s="106" t="s">
        <v>15</v>
      </c>
      <c r="AE59" s="38" t="s">
        <v>404</v>
      </c>
    </row>
    <row r="60" spans="1:31" ht="18" customHeight="1" x14ac:dyDescent="0.25">
      <c r="A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" s="79">
        <v>3</v>
      </c>
      <c r="C60" s="23">
        <v>43080</v>
      </c>
      <c r="D60" s="67">
        <f>IF(COUNTIF($G$2:$G60,$G60)=1,1,0)</f>
        <v>0</v>
      </c>
      <c r="E60" s="67" t="str">
        <f>IFERROR(VLOOKUP(База_КР_КК[[#This Row],[ИД штатной должности (S)]],'уровень защищенности'!$B$7:$F$1095,5,0),"не защищена")</f>
        <v>высокий</v>
      </c>
      <c r="F60" s="68">
        <v>500014</v>
      </c>
      <c r="G60" s="74" t="s">
        <v>2182</v>
      </c>
      <c r="H60" s="181">
        <f>INDEX('Списки данных'!$D$2:$D$1048576,MATCH(База_КР_КК[[#This Row],[Структурное подразделение]],'Списки данных'!$C$2:$C$1048576,0))</f>
        <v>1</v>
      </c>
      <c r="I60" s="80" t="s">
        <v>132</v>
      </c>
      <c r="J60" s="80" t="s">
        <v>21</v>
      </c>
      <c r="K60" s="80" t="s">
        <v>21</v>
      </c>
      <c r="L60" s="30" t="s">
        <v>183</v>
      </c>
      <c r="M60" s="68">
        <v>4</v>
      </c>
      <c r="N60" s="181" t="str">
        <f t="shared" si="0"/>
        <v>нет</v>
      </c>
      <c r="O60" s="23"/>
      <c r="P60" s="23"/>
      <c r="Q60" s="106"/>
      <c r="R60" s="37">
        <v>24</v>
      </c>
      <c r="S60" s="38" t="s">
        <v>438</v>
      </c>
      <c r="T60" s="37">
        <v>1149</v>
      </c>
      <c r="U60" s="39" t="s">
        <v>1558</v>
      </c>
      <c r="V60" s="89" t="s">
        <v>194</v>
      </c>
      <c r="W60" s="89" t="s">
        <v>132</v>
      </c>
      <c r="X60" s="106" t="s">
        <v>297</v>
      </c>
      <c r="Y60" s="107" t="s">
        <v>18</v>
      </c>
      <c r="Z60" s="67">
        <f>IF(База_КР_КК[[#This Row],[Таб.номер резервиста]]="-","-",IF(OR(База_КР_КК[[#This Row],[Уровень КК]]=2,База_КР_КК[[#This Row],[Уровень КК]]=3),IF(COUNTIFS($U$2:$U60,$U60,$F$2:$F60,$F60)=1,1,0),IF(COUNTIFS($U$2:$U60,$U60,$L$2:$L60,$L60)=1,1,0)))</f>
        <v>1</v>
      </c>
      <c r="AA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" s="106" t="s">
        <v>38</v>
      </c>
      <c r="AC60" s="51">
        <v>45104</v>
      </c>
      <c r="AD60" s="106" t="s">
        <v>31</v>
      </c>
      <c r="AE60" s="38" t="s">
        <v>404</v>
      </c>
    </row>
    <row r="61" spans="1:31" ht="18" customHeight="1" x14ac:dyDescent="0.25">
      <c r="A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" s="79">
        <v>3</v>
      </c>
      <c r="C61" s="23">
        <v>43776</v>
      </c>
      <c r="D61" s="67">
        <f>IF(COUNTIF($G$2:$G61,$G61)=1,1,0)</f>
        <v>1</v>
      </c>
      <c r="E61" s="67" t="str">
        <f>IFERROR(VLOOKUP(База_КР_КК[[#This Row],[ИД штатной должности (S)]],'уровень защищенности'!$B$7:$F$1095,5,0),"не защищена")</f>
        <v>высокий</v>
      </c>
      <c r="F61" s="68">
        <v>500329</v>
      </c>
      <c r="G61" s="74" t="s">
        <v>2183</v>
      </c>
      <c r="H61" s="181">
        <f>INDEX('Списки данных'!$D$2:$D$1048576,MATCH(База_КР_КК[[#This Row],[Структурное подразделение]],'Списки данных'!$C$2:$C$1048576,0))</f>
        <v>18</v>
      </c>
      <c r="I61" s="80" t="s">
        <v>122</v>
      </c>
      <c r="J61" s="80" t="s">
        <v>188</v>
      </c>
      <c r="K61" s="80" t="s">
        <v>21</v>
      </c>
      <c r="L61" s="30" t="s">
        <v>186</v>
      </c>
      <c r="M61" s="68">
        <v>5</v>
      </c>
      <c r="N61" s="181" t="str">
        <f t="shared" si="0"/>
        <v>нет</v>
      </c>
      <c r="O61" s="23"/>
      <c r="P61" s="23"/>
      <c r="Q61" s="106"/>
      <c r="R61" s="37">
        <v>25</v>
      </c>
      <c r="S61" s="38" t="s">
        <v>439</v>
      </c>
      <c r="T61" s="37">
        <v>59</v>
      </c>
      <c r="U61" s="39" t="s">
        <v>471</v>
      </c>
      <c r="V61" s="89" t="s">
        <v>189</v>
      </c>
      <c r="W61" s="89" t="s">
        <v>122</v>
      </c>
      <c r="X61" s="106" t="s">
        <v>295</v>
      </c>
      <c r="Y61" s="107" t="s">
        <v>12</v>
      </c>
      <c r="Z61" s="67">
        <f>IF(База_КР_КК[[#This Row],[Таб.номер резервиста]]="-","-",IF(OR(База_КР_КК[[#This Row],[Уровень КК]]=2,База_КР_КК[[#This Row],[Уровень КК]]=3),IF(COUNTIFS($U$2:$U61,$U61,$F$2:$F61,$F61)=1,1,0),IF(COUNTIFS($U$2:$U61,$U61,$L$2:$L61,$L61)=1,1,0)))</f>
        <v>1</v>
      </c>
      <c r="AA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" s="106"/>
      <c r="AC61" s="51"/>
      <c r="AD61" s="106" t="s">
        <v>13</v>
      </c>
      <c r="AE61" s="38" t="s">
        <v>404</v>
      </c>
    </row>
    <row r="62" spans="1:31" ht="18" customHeight="1" x14ac:dyDescent="0.25">
      <c r="A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" s="79">
        <v>3</v>
      </c>
      <c r="C62" s="23">
        <v>43426</v>
      </c>
      <c r="D62" s="67">
        <f>IF(COUNTIF($G$2:$G62,$G62)=1,1,0)</f>
        <v>0</v>
      </c>
      <c r="E62" s="67" t="str">
        <f>IFERROR(VLOOKUP(База_КР_КК[[#This Row],[ИД штатной должности (S)]],'уровень защищенности'!$B$7:$F$1095,5,0),"не защищена")</f>
        <v>высокий</v>
      </c>
      <c r="F62" s="68">
        <v>500329</v>
      </c>
      <c r="G62" s="74" t="s">
        <v>2183</v>
      </c>
      <c r="H62" s="181">
        <f>INDEX('Списки данных'!$D$2:$D$1048576,MATCH(База_КР_КК[[#This Row],[Структурное подразделение]],'Списки данных'!$C$2:$C$1048576,0))</f>
        <v>18</v>
      </c>
      <c r="I62" s="80" t="s">
        <v>122</v>
      </c>
      <c r="J62" s="80" t="s">
        <v>188</v>
      </c>
      <c r="K62" s="80" t="s">
        <v>21</v>
      </c>
      <c r="L62" s="30" t="s">
        <v>186</v>
      </c>
      <c r="M62" s="68">
        <v>5</v>
      </c>
      <c r="N62" s="181" t="str">
        <f t="shared" si="0"/>
        <v>нет</v>
      </c>
      <c r="O62" s="23"/>
      <c r="P62" s="23"/>
      <c r="Q62" s="106"/>
      <c r="R62" s="37">
        <v>25</v>
      </c>
      <c r="S62" s="38" t="s">
        <v>439</v>
      </c>
      <c r="T62" s="37">
        <v>1150</v>
      </c>
      <c r="U62" s="39" t="s">
        <v>1559</v>
      </c>
      <c r="V62" s="89" t="s">
        <v>200</v>
      </c>
      <c r="W62" s="89" t="s">
        <v>127</v>
      </c>
      <c r="X62" s="106" t="s">
        <v>295</v>
      </c>
      <c r="Y62" s="107" t="s">
        <v>18</v>
      </c>
      <c r="Z62" s="67">
        <f>IF(База_КР_КК[[#This Row],[Таб.номер резервиста]]="-","-",IF(OR(База_КР_КК[[#This Row],[Уровень КК]]=2,База_КР_КК[[#This Row],[Уровень КК]]=3),IF(COUNTIFS($U$2:$U62,$U62,$F$2:$F62,$F62)=1,1,0),IF(COUNTIFS($U$2:$U62,$U62,$L$2:$L62,$L62)=1,1,0)))</f>
        <v>1</v>
      </c>
      <c r="AA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" s="106" t="s">
        <v>37</v>
      </c>
      <c r="AC62" s="51">
        <v>43664</v>
      </c>
      <c r="AD62" s="106" t="s">
        <v>15</v>
      </c>
      <c r="AE62" s="38" t="s">
        <v>307</v>
      </c>
    </row>
    <row r="63" spans="1:31" ht="18" customHeight="1" x14ac:dyDescent="0.25">
      <c r="A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" s="79">
        <v>3</v>
      </c>
      <c r="C63" s="23">
        <v>43426</v>
      </c>
      <c r="D63" s="67">
        <f>IF(COUNTIF($G$2:$G63,$G63)=1,1,0)</f>
        <v>1</v>
      </c>
      <c r="E63" s="67" t="str">
        <f>IFERROR(VLOOKUP(База_КР_КК[[#This Row],[ИД штатной должности (S)]],'уровень защищенности'!$B$7:$F$1095,5,0),"не защищена")</f>
        <v>высокий</v>
      </c>
      <c r="F63" s="68">
        <v>500330</v>
      </c>
      <c r="G63" s="74" t="s">
        <v>2184</v>
      </c>
      <c r="H63" s="181">
        <f>INDEX('Списки данных'!$D$2:$D$1048576,MATCH(База_КР_КК[[#This Row],[Структурное подразделение]],'Списки данных'!$C$2:$C$1048576,0))</f>
        <v>18</v>
      </c>
      <c r="I63" s="80" t="s">
        <v>122</v>
      </c>
      <c r="J63" s="80" t="s">
        <v>188</v>
      </c>
      <c r="K63" s="80" t="s">
        <v>21</v>
      </c>
      <c r="L63" s="30" t="s">
        <v>186</v>
      </c>
      <c r="M63" s="68">
        <v>5</v>
      </c>
      <c r="N63" s="181" t="str">
        <f t="shared" si="0"/>
        <v>нет</v>
      </c>
      <c r="O63" s="23"/>
      <c r="P63" s="23"/>
      <c r="Q63" s="106"/>
      <c r="R63" s="37">
        <v>26</v>
      </c>
      <c r="S63" s="38" t="s">
        <v>440</v>
      </c>
      <c r="T63" s="37">
        <v>33</v>
      </c>
      <c r="U63" s="39" t="s">
        <v>447</v>
      </c>
      <c r="V63" s="89" t="s">
        <v>189</v>
      </c>
      <c r="W63" s="89" t="s">
        <v>122</v>
      </c>
      <c r="X63" s="106" t="s">
        <v>295</v>
      </c>
      <c r="Y63" s="107" t="s">
        <v>12</v>
      </c>
      <c r="Z63" s="67">
        <f>IF(База_КР_КК[[#This Row],[Таб.номер резервиста]]="-","-",IF(OR(База_КР_КК[[#This Row],[Уровень КК]]=2,База_КР_КК[[#This Row],[Уровень КК]]=3),IF(COUNTIFS($U$2:$U63,$U63,$F$2:$F63,$F63)=1,1,0),IF(COUNTIFS($U$2:$U63,$U63,$L$2:$L63,$L63)=1,1,0)))</f>
        <v>1</v>
      </c>
      <c r="AA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3" s="106"/>
      <c r="AC63" s="51"/>
      <c r="AD63" s="106" t="s">
        <v>13</v>
      </c>
      <c r="AE63" s="38" t="s">
        <v>404</v>
      </c>
    </row>
    <row r="64" spans="1:31" ht="18" customHeight="1" x14ac:dyDescent="0.25">
      <c r="A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" s="79">
        <v>3</v>
      </c>
      <c r="C64" s="23">
        <v>43426</v>
      </c>
      <c r="D64" s="67">
        <f>IF(COUNTIF($G$2:$G64,$G64)=1,1,0)</f>
        <v>0</v>
      </c>
      <c r="E64" s="67" t="str">
        <f>IFERROR(VLOOKUP(База_КР_КК[[#This Row],[ИД штатной должности (S)]],'уровень защищенности'!$B$7:$F$1095,5,0),"не защищена")</f>
        <v>высокий</v>
      </c>
      <c r="F64" s="68">
        <v>500330</v>
      </c>
      <c r="G64" s="74" t="s">
        <v>2184</v>
      </c>
      <c r="H64" s="181">
        <f>INDEX('Списки данных'!$D$2:$D$1048576,MATCH(База_КР_КК[[#This Row],[Структурное подразделение]],'Списки данных'!$C$2:$C$1048576,0))</f>
        <v>18</v>
      </c>
      <c r="I64" s="80" t="s">
        <v>122</v>
      </c>
      <c r="J64" s="80" t="s">
        <v>188</v>
      </c>
      <c r="K64" s="80" t="s">
        <v>21</v>
      </c>
      <c r="L64" s="30" t="s">
        <v>186</v>
      </c>
      <c r="M64" s="68">
        <v>5</v>
      </c>
      <c r="N64" s="181" t="str">
        <f t="shared" si="0"/>
        <v>нет</v>
      </c>
      <c r="O64" s="23"/>
      <c r="P64" s="23"/>
      <c r="Q64" s="106"/>
      <c r="R64" s="37">
        <v>26</v>
      </c>
      <c r="S64" s="38" t="s">
        <v>440</v>
      </c>
      <c r="T64" s="37">
        <v>114</v>
      </c>
      <c r="U64" s="38" t="s">
        <v>526</v>
      </c>
      <c r="V64" s="89" t="s">
        <v>192</v>
      </c>
      <c r="W64" s="89" t="s">
        <v>122</v>
      </c>
      <c r="X64" s="106" t="s">
        <v>295</v>
      </c>
      <c r="Y64" s="107" t="s">
        <v>12</v>
      </c>
      <c r="Z64" s="67">
        <f>IF(База_КР_КК[[#This Row],[Таб.номер резервиста]]="-","-",IF(OR(База_КР_КК[[#This Row],[Уровень КК]]=2,База_КР_КК[[#This Row],[Уровень КК]]=3),IF(COUNTIFS($U$2:$U64,$U64,$F$2:$F64,$F64)=1,1,0),IF(COUNTIFS($U$2:$U64,$U64,$L$2:$L64,$L64)=1,1,0)))</f>
        <v>1</v>
      </c>
      <c r="AA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" s="106"/>
      <c r="AC64" s="51"/>
      <c r="AD64" s="106" t="s">
        <v>13</v>
      </c>
      <c r="AE64" s="38" t="s">
        <v>404</v>
      </c>
    </row>
    <row r="65" spans="1:31" ht="18" customHeight="1" x14ac:dyDescent="0.25">
      <c r="A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" s="79">
        <v>3</v>
      </c>
      <c r="C65" s="23">
        <v>44014</v>
      </c>
      <c r="D65" s="67">
        <f>IF(COUNTIF($G$2:$G65,$G65)=1,1,0)</f>
        <v>1</v>
      </c>
      <c r="E65" s="67" t="str">
        <f>IFERROR(VLOOKUP(База_КР_КК[[#This Row],[ИД штатной должности (S)]],'уровень защищенности'!$B$7:$F$1095,5,0),"не защищена")</f>
        <v>высокий</v>
      </c>
      <c r="F65" s="68">
        <v>500331</v>
      </c>
      <c r="G65" s="74" t="s">
        <v>2185</v>
      </c>
      <c r="H65" s="181">
        <f>INDEX('Списки данных'!$D$2:$D$1048576,MATCH(База_КР_КК[[#This Row],[Структурное подразделение]],'Списки данных'!$C$2:$C$1048576,0))</f>
        <v>18</v>
      </c>
      <c r="I65" s="80" t="s">
        <v>122</v>
      </c>
      <c r="J65" s="80" t="s">
        <v>188</v>
      </c>
      <c r="K65" s="80" t="s">
        <v>21</v>
      </c>
      <c r="L65" s="30" t="s">
        <v>186</v>
      </c>
      <c r="M65" s="68">
        <v>5</v>
      </c>
      <c r="N65" s="181" t="str">
        <f t="shared" si="0"/>
        <v>да</v>
      </c>
      <c r="O65" s="23">
        <v>44650</v>
      </c>
      <c r="P65" s="23">
        <v>44890</v>
      </c>
      <c r="Q65" s="106" t="s">
        <v>66</v>
      </c>
      <c r="R65" s="37">
        <v>27</v>
      </c>
      <c r="S65" s="39" t="s">
        <v>441</v>
      </c>
      <c r="T65" s="37">
        <v>58</v>
      </c>
      <c r="U65" s="38" t="s">
        <v>470</v>
      </c>
      <c r="V65" s="89" t="s">
        <v>189</v>
      </c>
      <c r="W65" s="89" t="s">
        <v>122</v>
      </c>
      <c r="X65" s="106" t="s">
        <v>297</v>
      </c>
      <c r="Y65" s="107" t="s">
        <v>12</v>
      </c>
      <c r="Z65" s="67">
        <f>IF(База_КР_КК[[#This Row],[Таб.номер резервиста]]="-","-",IF(OR(База_КР_КК[[#This Row],[Уровень КК]]=2,База_КР_КК[[#This Row],[Уровень КК]]=3),IF(COUNTIFS($U$2:$U65,$U65,$F$2:$F65,$F65)=1,1,0),IF(COUNTIFS($U$2:$U65,$U65,$L$2:$L65,$L65)=1,1,0)))</f>
        <v>1</v>
      </c>
      <c r="AA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" s="106"/>
      <c r="AC65" s="51"/>
      <c r="AD65" s="106" t="s">
        <v>13</v>
      </c>
      <c r="AE65" s="38" t="s">
        <v>404</v>
      </c>
    </row>
    <row r="66" spans="1:31" ht="18" customHeight="1" x14ac:dyDescent="0.25">
      <c r="A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" s="79">
        <v>3</v>
      </c>
      <c r="C66" s="23">
        <v>43426</v>
      </c>
      <c r="D66" s="67">
        <f>IF(COUNTIF($G$2:$G66,$G66)=1,1,0)</f>
        <v>0</v>
      </c>
      <c r="E66" s="67" t="str">
        <f>IFERROR(VLOOKUP(База_КР_КК[[#This Row],[ИД штатной должности (S)]],'уровень защищенности'!$B$7:$F$1095,5,0),"не защищена")</f>
        <v>высокий</v>
      </c>
      <c r="F66" s="68">
        <v>500331</v>
      </c>
      <c r="G66" s="74" t="s">
        <v>2185</v>
      </c>
      <c r="H66" s="181">
        <f>INDEX('Списки данных'!$D$2:$D$1048576,MATCH(База_КР_КК[[#This Row],[Структурное подразделение]],'Списки данных'!$C$2:$C$1048576,0))</f>
        <v>18</v>
      </c>
      <c r="I66" s="80" t="s">
        <v>122</v>
      </c>
      <c r="J66" s="80" t="s">
        <v>188</v>
      </c>
      <c r="K66" s="80" t="s">
        <v>21</v>
      </c>
      <c r="L66" s="30" t="s">
        <v>186</v>
      </c>
      <c r="M66" s="68">
        <v>5</v>
      </c>
      <c r="N66" s="181" t="str">
        <f t="shared" ref="N66:N129" si="1">IF(ISBLANK(O66),"нет","да")</f>
        <v>да</v>
      </c>
      <c r="O66" s="23">
        <v>44650</v>
      </c>
      <c r="P66" s="23">
        <v>44890</v>
      </c>
      <c r="Q66" s="106" t="s">
        <v>66</v>
      </c>
      <c r="R66" s="37">
        <v>27</v>
      </c>
      <c r="S66" s="39" t="s">
        <v>441</v>
      </c>
      <c r="T66" s="37">
        <v>48</v>
      </c>
      <c r="U66" s="39" t="s">
        <v>462</v>
      </c>
      <c r="V66" s="89" t="s">
        <v>192</v>
      </c>
      <c r="W66" s="89" t="s">
        <v>122</v>
      </c>
      <c r="X66" s="106" t="s">
        <v>295</v>
      </c>
      <c r="Y66" s="107" t="s">
        <v>12</v>
      </c>
      <c r="Z66" s="67">
        <f>IF(База_КР_КК[[#This Row],[Таб.номер резервиста]]="-","-",IF(OR(База_КР_КК[[#This Row],[Уровень КК]]=2,База_КР_КК[[#This Row],[Уровень КК]]=3),IF(COUNTIFS($U$2:$U66,$U66,$F$2:$F66,$F66)=1,1,0),IF(COUNTIFS($U$2:$U66,$U66,$L$2:$L66,$L66)=1,1,0)))</f>
        <v>1</v>
      </c>
      <c r="AA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" s="106"/>
      <c r="AC66" s="51"/>
      <c r="AD66" s="106" t="s">
        <v>17</v>
      </c>
      <c r="AE66" s="38" t="s">
        <v>404</v>
      </c>
    </row>
    <row r="67" spans="1:31" ht="18" customHeight="1" x14ac:dyDescent="0.25">
      <c r="A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" s="79">
        <v>3</v>
      </c>
      <c r="C67" s="23">
        <v>44833</v>
      </c>
      <c r="D67" s="67">
        <f>IF(COUNTIF($G$2:$G67,$G67)=1,1,0)</f>
        <v>0</v>
      </c>
      <c r="E67" s="67" t="str">
        <f>IFERROR(VLOOKUP(База_КР_КК[[#This Row],[ИД штатной должности (S)]],'уровень защищенности'!$B$7:$F$1095,5,0),"не защищена")</f>
        <v>высокий</v>
      </c>
      <c r="F67" s="68">
        <v>500331</v>
      </c>
      <c r="G67" s="74" t="s">
        <v>2185</v>
      </c>
      <c r="H67" s="181">
        <f>INDEX('Списки данных'!$D$2:$D$1048576,MATCH(База_КР_КК[[#This Row],[Структурное подразделение]],'Списки данных'!$C$2:$C$1048576,0))</f>
        <v>18</v>
      </c>
      <c r="I67" s="80" t="s">
        <v>122</v>
      </c>
      <c r="J67" s="80" t="s">
        <v>188</v>
      </c>
      <c r="K67" s="80" t="s">
        <v>21</v>
      </c>
      <c r="L67" s="30" t="s">
        <v>186</v>
      </c>
      <c r="M67" s="68">
        <v>5</v>
      </c>
      <c r="N67" s="181" t="str">
        <f t="shared" si="1"/>
        <v>да</v>
      </c>
      <c r="O67" s="23">
        <v>44650</v>
      </c>
      <c r="P67" s="23">
        <v>44890</v>
      </c>
      <c r="Q67" s="106" t="s">
        <v>66</v>
      </c>
      <c r="R67" s="37">
        <v>27</v>
      </c>
      <c r="S67" s="39" t="s">
        <v>441</v>
      </c>
      <c r="T67" s="37">
        <v>27</v>
      </c>
      <c r="U67" s="38" t="s">
        <v>441</v>
      </c>
      <c r="V67" s="69" t="s">
        <v>192</v>
      </c>
      <c r="W67" s="89" t="s">
        <v>122</v>
      </c>
      <c r="X67" s="106" t="s">
        <v>297</v>
      </c>
      <c r="Y67" s="107" t="s">
        <v>14</v>
      </c>
      <c r="Z67" s="67">
        <f>IF(База_КР_КК[[#This Row],[Таб.номер резервиста]]="-","-",IF(OR(База_КР_КК[[#This Row],[Уровень КК]]=2,База_КР_КК[[#This Row],[Уровень КК]]=3),IF(COUNTIFS($U$2:$U67,$U67,$F$2:$F67,$F67)=1,1,0),IF(COUNTIFS($U$2:$U67,$U67,$L$2:$L67,$L67)=1,1,0)))</f>
        <v>1</v>
      </c>
      <c r="AA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67" s="106" t="s">
        <v>24</v>
      </c>
      <c r="AC67" s="51">
        <v>44890</v>
      </c>
      <c r="AD67" s="106" t="s">
        <v>15</v>
      </c>
      <c r="AE67" s="38" t="s">
        <v>308</v>
      </c>
    </row>
    <row r="68" spans="1:31" ht="18" customHeight="1" x14ac:dyDescent="0.25">
      <c r="A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" s="79">
        <v>3</v>
      </c>
      <c r="C68" s="23">
        <v>44517</v>
      </c>
      <c r="D68" s="67">
        <f>IF(COUNTIF($G$2:$G68,$G68)=1,1,0)</f>
        <v>0</v>
      </c>
      <c r="E68" s="67" t="str">
        <f>IFERROR(VLOOKUP(База_КР_КК[[#This Row],[ИД штатной должности (S)]],'уровень защищенности'!$B$7:$F$1095,5,0),"не защищена")</f>
        <v>высокий</v>
      </c>
      <c r="F68" s="68">
        <v>500331</v>
      </c>
      <c r="G68" s="74" t="s">
        <v>2185</v>
      </c>
      <c r="H68" s="181">
        <f>INDEX('Списки данных'!$D$2:$D$1048576,MATCH(База_КР_КК[[#This Row],[Структурное подразделение]],'Списки данных'!$C$2:$C$1048576,0))</f>
        <v>18</v>
      </c>
      <c r="I68" s="80" t="s">
        <v>122</v>
      </c>
      <c r="J68" s="80" t="s">
        <v>188</v>
      </c>
      <c r="K68" s="80" t="s">
        <v>21</v>
      </c>
      <c r="L68" s="30" t="s">
        <v>186</v>
      </c>
      <c r="M68" s="68">
        <v>5</v>
      </c>
      <c r="N68" s="181" t="str">
        <f t="shared" si="1"/>
        <v>да</v>
      </c>
      <c r="O68" s="23">
        <v>44650</v>
      </c>
      <c r="P68" s="23">
        <v>44890</v>
      </c>
      <c r="Q68" s="106" t="s">
        <v>66</v>
      </c>
      <c r="R68" s="37">
        <v>27</v>
      </c>
      <c r="S68" s="39" t="s">
        <v>441</v>
      </c>
      <c r="T68" s="37">
        <v>1151</v>
      </c>
      <c r="U68" s="39" t="s">
        <v>1560</v>
      </c>
      <c r="V68" s="89" t="s">
        <v>192</v>
      </c>
      <c r="W68" s="89" t="s">
        <v>125</v>
      </c>
      <c r="X68" s="106" t="s">
        <v>296</v>
      </c>
      <c r="Y68" s="107" t="s">
        <v>18</v>
      </c>
      <c r="Z68" s="67">
        <f>IF(База_КР_КК[[#This Row],[Таб.номер резервиста]]="-","-",IF(OR(База_КР_КК[[#This Row],[Уровень КК]]=2,База_КР_КК[[#This Row],[Уровень КК]]=3),IF(COUNTIFS($U$2:$U68,$U68,$F$2:$F68,$F68)=1,1,0),IF(COUNTIFS($U$2:$U68,$U68,$L$2:$L68,$L68)=1,1,0)))</f>
        <v>1</v>
      </c>
      <c r="AA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8" s="106" t="s">
        <v>20</v>
      </c>
      <c r="AC68" s="51">
        <v>45279</v>
      </c>
      <c r="AD68" s="106" t="s">
        <v>31</v>
      </c>
      <c r="AE68" s="40" t="s">
        <v>408</v>
      </c>
    </row>
    <row r="69" spans="1:31" ht="18" customHeight="1" x14ac:dyDescent="0.25">
      <c r="A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" s="79">
        <v>3</v>
      </c>
      <c r="C69" s="23">
        <v>43557</v>
      </c>
      <c r="D69" s="67">
        <f>IF(COUNTIF($G$2:$G69,$G69)=1,1,0)</f>
        <v>1</v>
      </c>
      <c r="E69" s="67" t="str">
        <f>IFERROR(VLOOKUP(База_КР_КК[[#This Row],[ИД штатной должности (S)]],'уровень защищенности'!$B$7:$F$1095,5,0),"не защищена")</f>
        <v>средний</v>
      </c>
      <c r="F69" s="68">
        <v>500332</v>
      </c>
      <c r="G69" s="74" t="s">
        <v>2186</v>
      </c>
      <c r="H69" s="181">
        <f>INDEX('Списки данных'!$D$2:$D$1048576,MATCH(База_КР_КК[[#This Row],[Структурное подразделение]],'Списки данных'!$C$2:$C$1048576,0))</f>
        <v>18</v>
      </c>
      <c r="I69" s="80" t="s">
        <v>122</v>
      </c>
      <c r="J69" s="80" t="s">
        <v>21</v>
      </c>
      <c r="K69" s="80" t="s">
        <v>21</v>
      </c>
      <c r="L69" s="30" t="s">
        <v>183</v>
      </c>
      <c r="M69" s="68">
        <v>4</v>
      </c>
      <c r="N69" s="181" t="str">
        <f t="shared" si="1"/>
        <v>нет</v>
      </c>
      <c r="O69" s="23"/>
      <c r="P69" s="23"/>
      <c r="Q69" s="106"/>
      <c r="R69" s="37">
        <v>28</v>
      </c>
      <c r="S69" s="38" t="s">
        <v>442</v>
      </c>
      <c r="T69" s="37">
        <v>1150</v>
      </c>
      <c r="U69" s="39" t="s">
        <v>1559</v>
      </c>
      <c r="V69" s="89" t="s">
        <v>200</v>
      </c>
      <c r="W69" s="89" t="s">
        <v>127</v>
      </c>
      <c r="X69" s="106" t="s">
        <v>297</v>
      </c>
      <c r="Y69" s="107" t="s">
        <v>12</v>
      </c>
      <c r="Z69" s="67">
        <f>IF(База_КР_КК[[#This Row],[Таб.номер резервиста]]="-","-",IF(OR(База_КР_КК[[#This Row],[Уровень КК]]=2,База_КР_КК[[#This Row],[Уровень КК]]=3),IF(COUNTIFS($U$2:$U69,$U69,$F$2:$F69,$F69)=1,1,0),IF(COUNTIFS($U$2:$U69,$U69,$L$2:$L69,$L69)=1,1,0)))</f>
        <v>1</v>
      </c>
      <c r="AA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" s="106"/>
      <c r="AC69" s="51"/>
      <c r="AD69" s="106" t="s">
        <v>13</v>
      </c>
      <c r="AE69" s="38" t="s">
        <v>404</v>
      </c>
    </row>
    <row r="70" spans="1:31" ht="18" customHeight="1" x14ac:dyDescent="0.25">
      <c r="A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" s="79">
        <v>3</v>
      </c>
      <c r="C70" s="23">
        <v>43080</v>
      </c>
      <c r="D70" s="67">
        <f>IF(COUNTIF($G$2:$G70,$G70)=1,1,0)</f>
        <v>0</v>
      </c>
      <c r="E70" s="67" t="str">
        <f>IFERROR(VLOOKUP(База_КР_КК[[#This Row],[ИД штатной должности (S)]],'уровень защищенности'!$B$7:$F$1095,5,0),"не защищена")</f>
        <v>средний</v>
      </c>
      <c r="F70" s="68">
        <v>500332</v>
      </c>
      <c r="G70" s="74" t="s">
        <v>2186</v>
      </c>
      <c r="H70" s="181">
        <f>INDEX('Списки данных'!$D$2:$D$1048576,MATCH(База_КР_КК[[#This Row],[Структурное подразделение]],'Списки данных'!$C$2:$C$1048576,0))</f>
        <v>18</v>
      </c>
      <c r="I70" s="80" t="s">
        <v>122</v>
      </c>
      <c r="J70" s="80" t="s">
        <v>21</v>
      </c>
      <c r="K70" s="80" t="s">
        <v>21</v>
      </c>
      <c r="L70" s="30" t="s">
        <v>183</v>
      </c>
      <c r="M70" s="68">
        <v>4</v>
      </c>
      <c r="N70" s="181" t="str">
        <f t="shared" si="1"/>
        <v>нет</v>
      </c>
      <c r="O70" s="23"/>
      <c r="P70" s="23"/>
      <c r="Q70" s="106"/>
      <c r="R70" s="37">
        <v>28</v>
      </c>
      <c r="S70" s="38" t="s">
        <v>442</v>
      </c>
      <c r="T70" s="37">
        <v>203</v>
      </c>
      <c r="U70" s="39" t="s">
        <v>615</v>
      </c>
      <c r="V70" s="89" t="s">
        <v>187</v>
      </c>
      <c r="W70" s="89" t="s">
        <v>122</v>
      </c>
      <c r="X70" s="106" t="s">
        <v>297</v>
      </c>
      <c r="Y70" s="107" t="s">
        <v>12</v>
      </c>
      <c r="Z70" s="67">
        <f>IF(База_КР_КК[[#This Row],[Таб.номер резервиста]]="-","-",IF(OR(База_КР_КК[[#This Row],[Уровень КК]]=2,База_КР_КК[[#This Row],[Уровень КК]]=3),IF(COUNTIFS($U$2:$U70,$U70,$F$2:$F70,$F70)=1,1,0),IF(COUNTIFS($U$2:$U70,$U70,$L$2:$L70,$L70)=1,1,0)))</f>
        <v>1</v>
      </c>
      <c r="AA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" s="106"/>
      <c r="AC70" s="51"/>
      <c r="AD70" s="106" t="s">
        <v>13</v>
      </c>
      <c r="AE70" s="38" t="s">
        <v>404</v>
      </c>
    </row>
    <row r="71" spans="1:31" ht="18" customHeight="1" x14ac:dyDescent="0.25">
      <c r="A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" s="79">
        <v>3</v>
      </c>
      <c r="C71" s="23">
        <v>43426</v>
      </c>
      <c r="D71" s="67">
        <f>IF(COUNTIF($G$2:$G71,$G71)=1,1,0)</f>
        <v>1</v>
      </c>
      <c r="E71" s="67" t="str">
        <f>IFERROR(VLOOKUP(База_КР_КК[[#This Row],[ИД штатной должности (S)]],'уровень защищенности'!$B$7:$F$1095,5,0),"не защищена")</f>
        <v>высокий</v>
      </c>
      <c r="F71" s="68">
        <v>500333</v>
      </c>
      <c r="G71" s="74" t="s">
        <v>2187</v>
      </c>
      <c r="H71" s="181">
        <f>INDEX('Списки данных'!$D$2:$D$1048576,MATCH(База_КР_КК[[#This Row],[Структурное подразделение]],'Списки данных'!$C$2:$C$1048576,0))</f>
        <v>18</v>
      </c>
      <c r="I71" s="80" t="s">
        <v>122</v>
      </c>
      <c r="J71" s="80" t="s">
        <v>188</v>
      </c>
      <c r="K71" s="80" t="s">
        <v>21</v>
      </c>
      <c r="L71" s="30" t="s">
        <v>187</v>
      </c>
      <c r="M71" s="68">
        <v>5</v>
      </c>
      <c r="N71" s="181" t="str">
        <f t="shared" si="1"/>
        <v>да</v>
      </c>
      <c r="O71" s="23">
        <v>45017</v>
      </c>
      <c r="P71" s="23"/>
      <c r="Q71" s="106"/>
      <c r="R71" s="37" t="s">
        <v>23</v>
      </c>
      <c r="S71" s="37" t="s">
        <v>23</v>
      </c>
      <c r="T71" s="37">
        <v>42</v>
      </c>
      <c r="U71" s="39" t="s">
        <v>456</v>
      </c>
      <c r="V71" s="89" t="s">
        <v>186</v>
      </c>
      <c r="W71" s="89" t="s">
        <v>122</v>
      </c>
      <c r="X71" s="106" t="s">
        <v>295</v>
      </c>
      <c r="Y71" s="107" t="s">
        <v>12</v>
      </c>
      <c r="Z71" s="67">
        <f>IF(База_КР_КК[[#This Row],[Таб.номер резервиста]]="-","-",IF(OR(База_КР_КК[[#This Row],[Уровень КК]]=2,База_КР_КК[[#This Row],[Уровень КК]]=3),IF(COUNTIFS($U$2:$U71,$U71,$F$2:$F71,$F71)=1,1,0),IF(COUNTIFS($U$2:$U71,$U71,$L$2:$L71,$L71)=1,1,0)))</f>
        <v>1</v>
      </c>
      <c r="AA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" s="106"/>
      <c r="AC71" s="51"/>
      <c r="AD71" s="106" t="s">
        <v>13</v>
      </c>
      <c r="AE71" s="38" t="s">
        <v>404</v>
      </c>
    </row>
    <row r="72" spans="1:31" ht="18" customHeight="1" x14ac:dyDescent="0.25">
      <c r="A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" s="79">
        <v>3</v>
      </c>
      <c r="C72" s="23">
        <v>43426</v>
      </c>
      <c r="D72" s="67">
        <f>IF(COUNTIF($G$2:$G72,$G72)=1,1,0)</f>
        <v>0</v>
      </c>
      <c r="E72" s="67" t="str">
        <f>IFERROR(VLOOKUP(База_КР_КК[[#This Row],[ИД штатной должности (S)]],'уровень защищенности'!$B$7:$F$1095,5,0),"не защищена")</f>
        <v>высокий</v>
      </c>
      <c r="F72" s="68">
        <v>500333</v>
      </c>
      <c r="G72" s="74" t="s">
        <v>2187</v>
      </c>
      <c r="H72" s="181">
        <f>INDEX('Списки данных'!$D$2:$D$1048576,MATCH(База_КР_КК[[#This Row],[Структурное подразделение]],'Списки данных'!$C$2:$C$1048576,0))</f>
        <v>18</v>
      </c>
      <c r="I72" s="80" t="s">
        <v>122</v>
      </c>
      <c r="J72" s="80" t="s">
        <v>188</v>
      </c>
      <c r="K72" s="80" t="s">
        <v>21</v>
      </c>
      <c r="L72" s="30" t="s">
        <v>187</v>
      </c>
      <c r="M72" s="68">
        <v>5</v>
      </c>
      <c r="N72" s="181" t="str">
        <f t="shared" si="1"/>
        <v>да</v>
      </c>
      <c r="O72" s="23">
        <v>45017</v>
      </c>
      <c r="P72" s="23"/>
      <c r="Q72" s="106"/>
      <c r="R72" s="37" t="s">
        <v>23</v>
      </c>
      <c r="S72" s="37" t="s">
        <v>23</v>
      </c>
      <c r="T72" s="37">
        <v>1150</v>
      </c>
      <c r="U72" s="39" t="s">
        <v>1559</v>
      </c>
      <c r="V72" s="89" t="s">
        <v>200</v>
      </c>
      <c r="W72" s="89" t="s">
        <v>127</v>
      </c>
      <c r="X72" s="106" t="s">
        <v>296</v>
      </c>
      <c r="Y72" s="107" t="s">
        <v>14</v>
      </c>
      <c r="Z72" s="67">
        <f>IF(База_КР_КК[[#This Row],[Таб.номер резервиста]]="-","-",IF(OR(База_КР_КК[[#This Row],[Уровень КК]]=2,База_КР_КК[[#This Row],[Уровень КК]]=3),IF(COUNTIFS($U$2:$U72,$U72,$F$2:$F72,$F72)=1,1,0),IF(COUNTIFS($U$2:$U72,$U72,$L$2:$L72,$L72)=1,1,0)))</f>
        <v>1</v>
      </c>
      <c r="AA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" s="106" t="s">
        <v>24</v>
      </c>
      <c r="AC72" s="51">
        <v>43664</v>
      </c>
      <c r="AD72" s="106" t="s">
        <v>15</v>
      </c>
      <c r="AE72" s="38" t="s">
        <v>309</v>
      </c>
    </row>
    <row r="73" spans="1:31" ht="18" customHeight="1" x14ac:dyDescent="0.25">
      <c r="A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" s="79">
        <v>3</v>
      </c>
      <c r="C73" s="23">
        <v>44014</v>
      </c>
      <c r="D73" s="67">
        <f>IF(COUNTIF($G$2:$G73,$G73)=1,1,0)</f>
        <v>0</v>
      </c>
      <c r="E73" s="67" t="str">
        <f>IFERROR(VLOOKUP(База_КР_КК[[#This Row],[ИД штатной должности (S)]],'уровень защищенности'!$B$7:$F$1095,5,0),"не защищена")</f>
        <v>высокий</v>
      </c>
      <c r="F73" s="68">
        <v>500333</v>
      </c>
      <c r="G73" s="74" t="s">
        <v>2187</v>
      </c>
      <c r="H73" s="181">
        <f>INDEX('Списки данных'!$D$2:$D$1048576,MATCH(База_КР_КК[[#This Row],[Структурное подразделение]],'Списки данных'!$C$2:$C$1048576,0))</f>
        <v>18</v>
      </c>
      <c r="I73" s="80" t="s">
        <v>122</v>
      </c>
      <c r="J73" s="80" t="s">
        <v>188</v>
      </c>
      <c r="K73" s="80" t="s">
        <v>21</v>
      </c>
      <c r="L73" s="30" t="s">
        <v>187</v>
      </c>
      <c r="M73" s="68">
        <v>5</v>
      </c>
      <c r="N73" s="181" t="str">
        <f t="shared" si="1"/>
        <v>да</v>
      </c>
      <c r="O73" s="23">
        <v>45017</v>
      </c>
      <c r="P73" s="23"/>
      <c r="Q73" s="106"/>
      <c r="R73" s="37" t="s">
        <v>23</v>
      </c>
      <c r="S73" s="37" t="s">
        <v>23</v>
      </c>
      <c r="T73" s="37">
        <v>39</v>
      </c>
      <c r="U73" s="38" t="s">
        <v>453</v>
      </c>
      <c r="V73" s="89" t="s">
        <v>192</v>
      </c>
      <c r="W73" s="89" t="s">
        <v>122</v>
      </c>
      <c r="X73" s="106" t="s">
        <v>297</v>
      </c>
      <c r="Y73" s="107" t="s">
        <v>18</v>
      </c>
      <c r="Z73" s="67">
        <f>IF(База_КР_КК[[#This Row],[Таб.номер резервиста]]="-","-",IF(OR(База_КР_КК[[#This Row],[Уровень КК]]=2,База_КР_КК[[#This Row],[Уровень КК]]=3),IF(COUNTIFS($U$2:$U73,$U73,$F$2:$F73,$F73)=1,1,0),IF(COUNTIFS($U$2:$U73,$U73,$L$2:$L73,$L73)=1,1,0)))</f>
        <v>1</v>
      </c>
      <c r="AA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" s="106" t="s">
        <v>38</v>
      </c>
      <c r="AC73" s="51">
        <v>45104</v>
      </c>
      <c r="AD73" s="106" t="s">
        <v>31</v>
      </c>
      <c r="AE73" s="38" t="s">
        <v>404</v>
      </c>
    </row>
    <row r="74" spans="1:31" ht="18" customHeight="1" x14ac:dyDescent="0.25">
      <c r="A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" s="79">
        <v>4</v>
      </c>
      <c r="C74" s="23">
        <v>43734</v>
      </c>
      <c r="D74" s="67">
        <f>IF(COUNTIF($G$2:$G74,$G74)=1,1,0)</f>
        <v>1</v>
      </c>
      <c r="E74" s="67" t="str">
        <f>IFERROR(VLOOKUP(База_КР_КК[[#This Row],[ИД штатной должности (S)]],'уровень защищенности'!$B$7:$F$1095,5,0),"не защищена")</f>
        <v>высокий</v>
      </c>
      <c r="F74" s="68">
        <v>500334</v>
      </c>
      <c r="G74" s="74" t="s">
        <v>2188</v>
      </c>
      <c r="H74" s="181">
        <f>INDEX('Списки данных'!$D$2:$D$1048576,MATCH(База_КР_КК[[#This Row],[Структурное подразделение]],'Списки данных'!$C$2:$C$1048576,0))</f>
        <v>18</v>
      </c>
      <c r="I74" s="80" t="s">
        <v>122</v>
      </c>
      <c r="J74" s="80" t="s">
        <v>21</v>
      </c>
      <c r="K74" s="80" t="s">
        <v>21</v>
      </c>
      <c r="L74" s="30" t="s">
        <v>189</v>
      </c>
      <c r="M74" s="68">
        <v>6</v>
      </c>
      <c r="N74" s="181" t="str">
        <f t="shared" si="1"/>
        <v>нет</v>
      </c>
      <c r="O74" s="23"/>
      <c r="P74" s="23"/>
      <c r="Q74" s="106"/>
      <c r="R74" s="37">
        <v>29</v>
      </c>
      <c r="S74" s="38" t="s">
        <v>443</v>
      </c>
      <c r="T74" s="37">
        <v>1152</v>
      </c>
      <c r="U74" s="39" t="s">
        <v>1561</v>
      </c>
      <c r="V74" s="89" t="s">
        <v>189</v>
      </c>
      <c r="W74" s="89" t="s">
        <v>122</v>
      </c>
      <c r="X74" s="106" t="s">
        <v>295</v>
      </c>
      <c r="Y74" s="107" t="s">
        <v>12</v>
      </c>
      <c r="Z74" s="67">
        <f>IF(База_КР_КК[[#This Row],[Таб.номер резервиста]]="-","-",IF(OR(База_КР_КК[[#This Row],[Уровень КК]]=2,База_КР_КК[[#This Row],[Уровень КК]]=3),IF(COUNTIFS($U$2:$U74,$U74,$F$2:$F74,$F74)=1,1,0),IF(COUNTIFS($U$2:$U74,$U74,$L$2:$L74,$L74)=1,1,0)))</f>
        <v>1</v>
      </c>
      <c r="AA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" s="106"/>
      <c r="AC74" s="51"/>
      <c r="AD74" s="106" t="s">
        <v>13</v>
      </c>
      <c r="AE74" s="38" t="s">
        <v>409</v>
      </c>
    </row>
    <row r="75" spans="1:31" ht="18" customHeight="1" x14ac:dyDescent="0.25">
      <c r="A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" s="79">
        <v>4</v>
      </c>
      <c r="C75" s="23">
        <v>43734</v>
      </c>
      <c r="D75" s="67">
        <f>IF(COUNTIF($G$2:$G75,$G75)=1,1,0)</f>
        <v>1</v>
      </c>
      <c r="E75" s="67" t="str">
        <f>IFERROR(VLOOKUP(База_КР_КК[[#This Row],[ИД штатной должности (S)]],'уровень защищенности'!$B$7:$F$1095,5,0),"не защищена")</f>
        <v>высокий</v>
      </c>
      <c r="F75" s="68">
        <v>500335</v>
      </c>
      <c r="G75" s="74" t="s">
        <v>2189</v>
      </c>
      <c r="H75" s="181">
        <f>INDEX('Списки данных'!$D$2:$D$1048576,MATCH(База_КР_КК[[#This Row],[Структурное подразделение]],'Списки данных'!$C$2:$C$1048576,0))</f>
        <v>18</v>
      </c>
      <c r="I75" s="80" t="s">
        <v>122</v>
      </c>
      <c r="J75" s="80" t="s">
        <v>188</v>
      </c>
      <c r="K75" s="80" t="s">
        <v>190</v>
      </c>
      <c r="L75" s="30" t="s">
        <v>191</v>
      </c>
      <c r="M75" s="68">
        <v>6</v>
      </c>
      <c r="N75" s="181" t="str">
        <f t="shared" si="1"/>
        <v>нет</v>
      </c>
      <c r="O75" s="23"/>
      <c r="P75" s="23"/>
      <c r="Q75" s="106"/>
      <c r="R75" s="37">
        <v>30</v>
      </c>
      <c r="S75" s="38" t="s">
        <v>444</v>
      </c>
      <c r="T75" s="37">
        <v>1153</v>
      </c>
      <c r="U75" s="39" t="s">
        <v>1562</v>
      </c>
      <c r="V75" s="89" t="s">
        <v>272</v>
      </c>
      <c r="W75" s="89" t="s">
        <v>122</v>
      </c>
      <c r="X75" s="106" t="s">
        <v>295</v>
      </c>
      <c r="Y75" s="107" t="s">
        <v>12</v>
      </c>
      <c r="Z75" s="67">
        <f>IF(База_КР_КК[[#This Row],[Таб.номер резервиста]]="-","-",IF(OR(База_КР_КК[[#This Row],[Уровень КК]]=2,База_КР_КК[[#This Row],[Уровень КК]]=3),IF(COUNTIFS($U$2:$U75,$U75,$F$2:$F75,$F75)=1,1,0),IF(COUNTIFS($U$2:$U75,$U75,$L$2:$L75,$L75)=1,1,0)))</f>
        <v>1</v>
      </c>
      <c r="AA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" s="106"/>
      <c r="AC75" s="51"/>
      <c r="AD75" s="106" t="s">
        <v>17</v>
      </c>
      <c r="AE75" s="38" t="s">
        <v>409</v>
      </c>
    </row>
    <row r="76" spans="1:31" ht="18" customHeight="1" x14ac:dyDescent="0.25">
      <c r="A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" s="79">
        <v>4</v>
      </c>
      <c r="C76" s="23">
        <v>43734</v>
      </c>
      <c r="D76" s="67">
        <f>IF(COUNTIF($G$2:$G76,$G76)=1,1,0)</f>
        <v>0</v>
      </c>
      <c r="E76" s="67" t="str">
        <f>IFERROR(VLOOKUP(База_КР_КК[[#This Row],[ИД штатной должности (S)]],'уровень защищенности'!$B$7:$F$1095,5,0),"не защищена")</f>
        <v>высокий</v>
      </c>
      <c r="F76" s="68">
        <v>500335</v>
      </c>
      <c r="G76" s="74" t="s">
        <v>2189</v>
      </c>
      <c r="H76" s="181">
        <f>INDEX('Списки данных'!$D$2:$D$1048576,MATCH(База_КР_КК[[#This Row],[Структурное подразделение]],'Списки данных'!$C$2:$C$1048576,0))</f>
        <v>18</v>
      </c>
      <c r="I76" s="80" t="s">
        <v>122</v>
      </c>
      <c r="J76" s="80" t="s">
        <v>188</v>
      </c>
      <c r="K76" s="80" t="s">
        <v>190</v>
      </c>
      <c r="L76" s="30" t="s">
        <v>191</v>
      </c>
      <c r="M76" s="68">
        <v>6</v>
      </c>
      <c r="N76" s="181" t="str">
        <f t="shared" si="1"/>
        <v>нет</v>
      </c>
      <c r="O76" s="23"/>
      <c r="P76" s="23"/>
      <c r="Q76" s="106"/>
      <c r="R76" s="37">
        <v>30</v>
      </c>
      <c r="S76" s="38" t="s">
        <v>444</v>
      </c>
      <c r="T76" s="37">
        <v>1154</v>
      </c>
      <c r="U76" s="39" t="s">
        <v>1563</v>
      </c>
      <c r="V76" s="89" t="s">
        <v>272</v>
      </c>
      <c r="W76" s="89" t="s">
        <v>122</v>
      </c>
      <c r="X76" s="106" t="s">
        <v>295</v>
      </c>
      <c r="Y76" s="107" t="s">
        <v>12</v>
      </c>
      <c r="Z76" s="67">
        <f>IF(База_КР_КК[[#This Row],[Таб.номер резервиста]]="-","-",IF(OR(База_КР_КК[[#This Row],[Уровень КК]]=2,База_КР_КК[[#This Row],[Уровень КК]]=3),IF(COUNTIFS($U$2:$U76,$U76,$F$2:$F76,$F76)=1,1,0),IF(COUNTIFS($U$2:$U76,$U76,$L$2:$L76,$L76)=1,1,0)))</f>
        <v>1</v>
      </c>
      <c r="AA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" s="106"/>
      <c r="AC76" s="51"/>
      <c r="AD76" s="106" t="s">
        <v>13</v>
      </c>
      <c r="AE76" s="38" t="s">
        <v>409</v>
      </c>
    </row>
    <row r="77" spans="1:31" ht="18" customHeight="1" x14ac:dyDescent="0.25">
      <c r="A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" s="79">
        <v>4</v>
      </c>
      <c r="C77" s="23">
        <v>44887</v>
      </c>
      <c r="D77" s="67">
        <f>IF(COUNTIF($G$2:$G77,$G77)=1,1,0)</f>
        <v>0</v>
      </c>
      <c r="E77" s="67" t="str">
        <f>IFERROR(VLOOKUP(База_КР_КК[[#This Row],[ИД штатной должности (S)]],'уровень защищенности'!$B$7:$F$1095,5,0),"не защищена")</f>
        <v>высокий</v>
      </c>
      <c r="F77" s="68">
        <v>500335</v>
      </c>
      <c r="G77" s="74" t="s">
        <v>2189</v>
      </c>
      <c r="H77" s="181">
        <f>INDEX('Списки данных'!$D$2:$D$1048576,MATCH(База_КР_КК[[#This Row],[Структурное подразделение]],'Списки данных'!$C$2:$C$1048576,0))</f>
        <v>18</v>
      </c>
      <c r="I77" s="80" t="s">
        <v>122</v>
      </c>
      <c r="J77" s="80" t="s">
        <v>188</v>
      </c>
      <c r="K77" s="80" t="s">
        <v>190</v>
      </c>
      <c r="L77" s="30" t="s">
        <v>191</v>
      </c>
      <c r="M77" s="68">
        <v>6</v>
      </c>
      <c r="N77" s="181" t="str">
        <f t="shared" si="1"/>
        <v>нет</v>
      </c>
      <c r="O77" s="23"/>
      <c r="P77" s="23"/>
      <c r="Q77" s="106"/>
      <c r="R77" s="37">
        <v>30</v>
      </c>
      <c r="S77" s="39" t="s">
        <v>444</v>
      </c>
      <c r="T77" s="37">
        <v>1155</v>
      </c>
      <c r="U77" s="38" t="s">
        <v>1564</v>
      </c>
      <c r="V77" s="69" t="s">
        <v>272</v>
      </c>
      <c r="W77" s="89" t="s">
        <v>122</v>
      </c>
      <c r="X77" s="106" t="s">
        <v>297</v>
      </c>
      <c r="Y77" s="107" t="s">
        <v>12</v>
      </c>
      <c r="Z77" s="67">
        <f>IF(База_КР_КК[[#This Row],[Таб.номер резервиста]]="-","-",IF(OR(База_КР_КК[[#This Row],[Уровень КК]]=2,База_КР_КК[[#This Row],[Уровень КК]]=3),IF(COUNTIFS($U$2:$U77,$U77,$F$2:$F77,$F77)=1,1,0),IF(COUNTIFS($U$2:$U77,$U77,$L$2:$L77,$L77)=1,1,0)))</f>
        <v>1</v>
      </c>
      <c r="AA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" s="106"/>
      <c r="AC77" s="51"/>
      <c r="AD77" s="106" t="s">
        <v>15</v>
      </c>
      <c r="AE77" s="33" t="s">
        <v>409</v>
      </c>
    </row>
    <row r="78" spans="1:31" ht="18" customHeight="1" x14ac:dyDescent="0.25">
      <c r="A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" s="79">
        <v>4</v>
      </c>
      <c r="C78" s="23">
        <v>44887</v>
      </c>
      <c r="D78" s="67">
        <f>IF(COUNTIF($G$2:$G78,$G78)=1,1,0)</f>
        <v>0</v>
      </c>
      <c r="E78" s="67" t="str">
        <f>IFERROR(VLOOKUP(База_КР_КК[[#This Row],[ИД штатной должности (S)]],'уровень защищенности'!$B$7:$F$1095,5,0),"не защищена")</f>
        <v>высокий</v>
      </c>
      <c r="F78" s="68">
        <v>500335</v>
      </c>
      <c r="G78" s="74" t="s">
        <v>2189</v>
      </c>
      <c r="H78" s="181">
        <f>INDEX('Списки данных'!$D$2:$D$1048576,MATCH(База_КР_КК[[#This Row],[Структурное подразделение]],'Списки данных'!$C$2:$C$1048576,0))</f>
        <v>18</v>
      </c>
      <c r="I78" s="80" t="s">
        <v>122</v>
      </c>
      <c r="J78" s="80" t="s">
        <v>188</v>
      </c>
      <c r="K78" s="80" t="s">
        <v>190</v>
      </c>
      <c r="L78" s="30" t="s">
        <v>191</v>
      </c>
      <c r="M78" s="68">
        <v>6</v>
      </c>
      <c r="N78" s="181" t="str">
        <f t="shared" si="1"/>
        <v>нет</v>
      </c>
      <c r="O78" s="23"/>
      <c r="P78" s="23"/>
      <c r="Q78" s="106"/>
      <c r="R78" s="37">
        <v>30</v>
      </c>
      <c r="S78" s="39" t="s">
        <v>444</v>
      </c>
      <c r="T78" s="37">
        <v>1156</v>
      </c>
      <c r="U78" s="38" t="s">
        <v>1565</v>
      </c>
      <c r="V78" s="69" t="s">
        <v>272</v>
      </c>
      <c r="W78" s="89" t="s">
        <v>122</v>
      </c>
      <c r="X78" s="106" t="s">
        <v>297</v>
      </c>
      <c r="Y78" s="107" t="s">
        <v>12</v>
      </c>
      <c r="Z78" s="67">
        <f>IF(База_КР_КК[[#This Row],[Таб.номер резервиста]]="-","-",IF(OR(База_КР_КК[[#This Row],[Уровень КК]]=2,База_КР_КК[[#This Row],[Уровень КК]]=3),IF(COUNTIFS($U$2:$U78,$U78,$F$2:$F78,$F78)=1,1,0),IF(COUNTIFS($U$2:$U78,$U78,$L$2:$L78,$L78)=1,1,0)))</f>
        <v>1</v>
      </c>
      <c r="AA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" s="106"/>
      <c r="AC78" s="51"/>
      <c r="AD78" s="106" t="s">
        <v>15</v>
      </c>
      <c r="AE78" s="33" t="s">
        <v>409</v>
      </c>
    </row>
    <row r="79" spans="1:31" ht="18" customHeight="1" x14ac:dyDescent="0.25">
      <c r="A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" s="79">
        <v>4</v>
      </c>
      <c r="C79" s="23">
        <v>43734</v>
      </c>
      <c r="D79" s="67">
        <f>IF(COUNTIF($G$2:$G79,$G79)=1,1,0)</f>
        <v>1</v>
      </c>
      <c r="E79" s="67" t="str">
        <f>IFERROR(VLOOKUP(База_КР_КК[[#This Row],[ИД штатной должности (S)]],'уровень защищенности'!$B$7:$F$1095,5,0),"не защищена")</f>
        <v>высокий</v>
      </c>
      <c r="F79" s="68">
        <v>500335</v>
      </c>
      <c r="G79" s="74" t="s">
        <v>2190</v>
      </c>
      <c r="H79" s="181">
        <f>INDEX('Списки данных'!$D$2:$D$1048576,MATCH(База_КР_КК[[#This Row],[Структурное подразделение]],'Списки данных'!$C$2:$C$1048576,0))</f>
        <v>18</v>
      </c>
      <c r="I79" s="80" t="s">
        <v>122</v>
      </c>
      <c r="J79" s="80" t="s">
        <v>188</v>
      </c>
      <c r="K79" s="80" t="s">
        <v>190</v>
      </c>
      <c r="L79" s="30" t="s">
        <v>191</v>
      </c>
      <c r="M79" s="68">
        <v>6</v>
      </c>
      <c r="N79" s="181" t="str">
        <f t="shared" si="1"/>
        <v>да</v>
      </c>
      <c r="O79" s="23">
        <v>43774</v>
      </c>
      <c r="P79" s="23">
        <v>43774</v>
      </c>
      <c r="Q79" s="106" t="s">
        <v>66</v>
      </c>
      <c r="R79" s="37">
        <v>31</v>
      </c>
      <c r="S79" s="38" t="s">
        <v>445</v>
      </c>
      <c r="T79" s="37">
        <v>1154</v>
      </c>
      <c r="U79" s="39" t="s">
        <v>1563</v>
      </c>
      <c r="V79" s="89" t="s">
        <v>272</v>
      </c>
      <c r="W79" s="89" t="s">
        <v>122</v>
      </c>
      <c r="X79" s="106" t="s">
        <v>295</v>
      </c>
      <c r="Y79" s="107" t="s">
        <v>12</v>
      </c>
      <c r="Z79" s="67">
        <f>IF(База_КР_КК[[#This Row],[Таб.номер резервиста]]="-","-",IF(OR(База_КР_КК[[#This Row],[Уровень КК]]=2,База_КР_КК[[#This Row],[Уровень КК]]=3),IF(COUNTIFS($U$2:$U79,$U79,$F$2:$F79,$F79)=1,1,0),IF(COUNTIFS($U$2:$U79,$U79,$L$2:$L79,$L79)=1,1,0)))</f>
        <v>0</v>
      </c>
      <c r="AA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" s="106"/>
      <c r="AC79" s="51"/>
      <c r="AD79" s="106" t="s">
        <v>13</v>
      </c>
      <c r="AE79" s="38" t="s">
        <v>409</v>
      </c>
    </row>
    <row r="80" spans="1:31" ht="18" customHeight="1" x14ac:dyDescent="0.25">
      <c r="A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" s="79">
        <v>4</v>
      </c>
      <c r="C80" s="23">
        <v>43734</v>
      </c>
      <c r="D80" s="67">
        <f>IF(COUNTIF($G$2:$G80,$G80)=1,1,0)</f>
        <v>0</v>
      </c>
      <c r="E80" s="67" t="str">
        <f>IFERROR(VLOOKUP(База_КР_КК[[#This Row],[ИД штатной должности (S)]],'уровень защищенности'!$B$7:$F$1095,5,0),"не защищена")</f>
        <v>высокий</v>
      </c>
      <c r="F80" s="68">
        <v>500335</v>
      </c>
      <c r="G80" s="74" t="s">
        <v>2190</v>
      </c>
      <c r="H80" s="181">
        <f>INDEX('Списки данных'!$D$2:$D$1048576,MATCH(База_КР_КК[[#This Row],[Структурное подразделение]],'Списки данных'!$C$2:$C$1048576,0))</f>
        <v>18</v>
      </c>
      <c r="I80" s="80" t="s">
        <v>122</v>
      </c>
      <c r="J80" s="80" t="s">
        <v>188</v>
      </c>
      <c r="K80" s="80" t="s">
        <v>190</v>
      </c>
      <c r="L80" s="30" t="s">
        <v>191</v>
      </c>
      <c r="M80" s="68">
        <v>6</v>
      </c>
      <c r="N80" s="181" t="str">
        <f t="shared" si="1"/>
        <v>да</v>
      </c>
      <c r="O80" s="23">
        <v>43774</v>
      </c>
      <c r="P80" s="23">
        <v>43774</v>
      </c>
      <c r="Q80" s="106" t="s">
        <v>66</v>
      </c>
      <c r="R80" s="37">
        <v>31</v>
      </c>
      <c r="S80" s="38" t="s">
        <v>445</v>
      </c>
      <c r="T80" s="37">
        <v>1153</v>
      </c>
      <c r="U80" s="39" t="s">
        <v>1562</v>
      </c>
      <c r="V80" s="89" t="s">
        <v>272</v>
      </c>
      <c r="W80" s="89" t="s">
        <v>122</v>
      </c>
      <c r="X80" s="106" t="s">
        <v>295</v>
      </c>
      <c r="Y80" s="107" t="s">
        <v>12</v>
      </c>
      <c r="Z80" s="67">
        <f>IF(База_КР_КК[[#This Row],[Таб.номер резервиста]]="-","-",IF(OR(База_КР_КК[[#This Row],[Уровень КК]]=2,База_КР_КК[[#This Row],[Уровень КК]]=3),IF(COUNTIFS($U$2:$U80,$U80,$F$2:$F80,$F80)=1,1,0),IF(COUNTIFS($U$2:$U80,$U80,$L$2:$L80,$L80)=1,1,0)))</f>
        <v>0</v>
      </c>
      <c r="AA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" s="106"/>
      <c r="AC80" s="51"/>
      <c r="AD80" s="106" t="s">
        <v>17</v>
      </c>
      <c r="AE80" s="38" t="s">
        <v>409</v>
      </c>
    </row>
    <row r="81" spans="1:31" ht="18" customHeight="1" x14ac:dyDescent="0.25">
      <c r="A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" s="79">
        <v>4</v>
      </c>
      <c r="C81" s="23">
        <v>44887</v>
      </c>
      <c r="D81" s="67">
        <f>IF(COUNTIF($G$2:$G81,$G81)=1,1,0)</f>
        <v>0</v>
      </c>
      <c r="E81" s="67" t="str">
        <f>IFERROR(VLOOKUP(База_КР_КК[[#This Row],[ИД штатной должности (S)]],'уровень защищенности'!$B$7:$F$1095,5,0),"не защищена")</f>
        <v>высокий</v>
      </c>
      <c r="F81" s="68">
        <v>500335</v>
      </c>
      <c r="G81" s="74" t="s">
        <v>2190</v>
      </c>
      <c r="H81" s="181">
        <f>INDEX('Списки данных'!$D$2:$D$1048576,MATCH(База_КР_КК[[#This Row],[Структурное подразделение]],'Списки данных'!$C$2:$C$1048576,0))</f>
        <v>18</v>
      </c>
      <c r="I81" s="80" t="s">
        <v>122</v>
      </c>
      <c r="J81" s="80" t="s">
        <v>188</v>
      </c>
      <c r="K81" s="80" t="s">
        <v>190</v>
      </c>
      <c r="L81" s="30" t="s">
        <v>191</v>
      </c>
      <c r="M81" s="68">
        <v>6</v>
      </c>
      <c r="N81" s="181" t="str">
        <f t="shared" si="1"/>
        <v>да</v>
      </c>
      <c r="O81" s="23">
        <v>43774</v>
      </c>
      <c r="P81" s="23">
        <v>43774</v>
      </c>
      <c r="Q81" s="106" t="s">
        <v>66</v>
      </c>
      <c r="R81" s="37">
        <v>31</v>
      </c>
      <c r="S81" s="39" t="s">
        <v>445</v>
      </c>
      <c r="T81" s="37">
        <v>1155</v>
      </c>
      <c r="U81" s="38" t="s">
        <v>1564</v>
      </c>
      <c r="V81" s="69" t="s">
        <v>272</v>
      </c>
      <c r="W81" s="89" t="s">
        <v>122</v>
      </c>
      <c r="X81" s="106" t="s">
        <v>297</v>
      </c>
      <c r="Y81" s="107" t="s">
        <v>12</v>
      </c>
      <c r="Z81" s="67">
        <f>IF(База_КР_КК[[#This Row],[Таб.номер резервиста]]="-","-",IF(OR(База_КР_КК[[#This Row],[Уровень КК]]=2,База_КР_КК[[#This Row],[Уровень КК]]=3),IF(COUNTIFS($U$2:$U81,$U81,$F$2:$F81,$F81)=1,1,0),IF(COUNTIFS($U$2:$U81,$U81,$L$2:$L81,$L81)=1,1,0)))</f>
        <v>0</v>
      </c>
      <c r="AA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" s="106"/>
      <c r="AC81" s="51"/>
      <c r="AD81" s="106" t="s">
        <v>15</v>
      </c>
      <c r="AE81" s="33" t="s">
        <v>409</v>
      </c>
    </row>
    <row r="82" spans="1:31" ht="18" customHeight="1" x14ac:dyDescent="0.25">
      <c r="A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" s="79">
        <v>4</v>
      </c>
      <c r="C82" s="23">
        <v>44887</v>
      </c>
      <c r="D82" s="67">
        <f>IF(COUNTIF($G$2:$G82,$G82)=1,1,0)</f>
        <v>0</v>
      </c>
      <c r="E82" s="67" t="str">
        <f>IFERROR(VLOOKUP(База_КР_КК[[#This Row],[ИД штатной должности (S)]],'уровень защищенности'!$B$7:$F$1095,5,0),"не защищена")</f>
        <v>высокий</v>
      </c>
      <c r="F82" s="68">
        <v>500335</v>
      </c>
      <c r="G82" s="74" t="s">
        <v>2190</v>
      </c>
      <c r="H82" s="181">
        <f>INDEX('Списки данных'!$D$2:$D$1048576,MATCH(База_КР_КК[[#This Row],[Структурное подразделение]],'Списки данных'!$C$2:$C$1048576,0))</f>
        <v>18</v>
      </c>
      <c r="I82" s="80" t="s">
        <v>122</v>
      </c>
      <c r="J82" s="80" t="s">
        <v>188</v>
      </c>
      <c r="K82" s="80" t="s">
        <v>190</v>
      </c>
      <c r="L82" s="30" t="s">
        <v>191</v>
      </c>
      <c r="M82" s="68">
        <v>6</v>
      </c>
      <c r="N82" s="181" t="str">
        <f t="shared" si="1"/>
        <v>да</v>
      </c>
      <c r="O82" s="23">
        <v>43774</v>
      </c>
      <c r="P82" s="23">
        <v>43774</v>
      </c>
      <c r="Q82" s="106" t="s">
        <v>66</v>
      </c>
      <c r="R82" s="37">
        <v>31</v>
      </c>
      <c r="S82" s="39" t="s">
        <v>445</v>
      </c>
      <c r="T82" s="37">
        <v>1156</v>
      </c>
      <c r="U82" s="38" t="s">
        <v>1565</v>
      </c>
      <c r="V82" s="93" t="s">
        <v>272</v>
      </c>
      <c r="W82" s="89" t="s">
        <v>122</v>
      </c>
      <c r="X82" s="106" t="s">
        <v>297</v>
      </c>
      <c r="Y82" s="107" t="s">
        <v>12</v>
      </c>
      <c r="Z82" s="67">
        <f>IF(База_КР_КК[[#This Row],[Таб.номер резервиста]]="-","-",IF(OR(База_КР_КК[[#This Row],[Уровень КК]]=2,База_КР_КК[[#This Row],[Уровень КК]]=3),IF(COUNTIFS($U$2:$U82,$U82,$F$2:$F82,$F82)=1,1,0),IF(COUNTIFS($U$2:$U82,$U82,$L$2:$L82,$L82)=1,1,0)))</f>
        <v>0</v>
      </c>
      <c r="AA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" s="106"/>
      <c r="AC82" s="51"/>
      <c r="AD82" s="106" t="s">
        <v>15</v>
      </c>
      <c r="AE82" s="33" t="s">
        <v>409</v>
      </c>
    </row>
    <row r="83" spans="1:31" ht="18" customHeight="1" x14ac:dyDescent="0.25">
      <c r="A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" s="79">
        <v>4</v>
      </c>
      <c r="C83" s="23">
        <v>43734</v>
      </c>
      <c r="D83" s="67">
        <f>IF(COUNTIF($G$2:$G83,$G83)=1,1,0)</f>
        <v>0</v>
      </c>
      <c r="E83" s="67" t="str">
        <f>IFERROR(VLOOKUP(База_КР_КК[[#This Row],[ИД штатной должности (S)]],'уровень защищенности'!$B$7:$F$1095,5,0),"не защищена")</f>
        <v>высокий</v>
      </c>
      <c r="F83" s="68">
        <v>500335</v>
      </c>
      <c r="G83" s="74" t="s">
        <v>2190</v>
      </c>
      <c r="H83" s="181">
        <f>INDEX('Списки данных'!$D$2:$D$1048576,MATCH(База_КР_КК[[#This Row],[Структурное подразделение]],'Списки данных'!$C$2:$C$1048576,0))</f>
        <v>18</v>
      </c>
      <c r="I83" s="80" t="s">
        <v>122</v>
      </c>
      <c r="J83" s="80" t="s">
        <v>188</v>
      </c>
      <c r="K83" s="80" t="s">
        <v>190</v>
      </c>
      <c r="L83" s="30" t="s">
        <v>191</v>
      </c>
      <c r="M83" s="68">
        <v>6</v>
      </c>
      <c r="N83" s="181" t="str">
        <f t="shared" si="1"/>
        <v>да</v>
      </c>
      <c r="O83" s="23">
        <v>43774</v>
      </c>
      <c r="P83" s="23">
        <v>43774</v>
      </c>
      <c r="Q83" s="106" t="s">
        <v>66</v>
      </c>
      <c r="R83" s="37">
        <v>31</v>
      </c>
      <c r="S83" s="38" t="s">
        <v>445</v>
      </c>
      <c r="T83" s="37">
        <v>31</v>
      </c>
      <c r="U83" s="39" t="s">
        <v>445</v>
      </c>
      <c r="V83" s="89" t="s">
        <v>192</v>
      </c>
      <c r="W83" s="89" t="s">
        <v>122</v>
      </c>
      <c r="X83" s="106" t="s">
        <v>295</v>
      </c>
      <c r="Y83" s="107" t="s">
        <v>14</v>
      </c>
      <c r="Z83" s="67">
        <f>IF(База_КР_КК[[#This Row],[Таб.номер резервиста]]="-","-",IF(OR(База_КР_КК[[#This Row],[Уровень КК]]=2,База_КР_КК[[#This Row],[Уровень КК]]=3),IF(COUNTIFS($U$2:$U83,$U83,$F$2:$F83,$F83)=1,1,0),IF(COUNTIFS($U$2:$U83,$U83,$L$2:$L83,$L83)=1,1,0)))</f>
        <v>1</v>
      </c>
      <c r="AA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83" s="106" t="s">
        <v>24</v>
      </c>
      <c r="AC83" s="51">
        <v>43774</v>
      </c>
      <c r="AD83" s="106" t="s">
        <v>15</v>
      </c>
      <c r="AE83" s="38" t="s">
        <v>311</v>
      </c>
    </row>
    <row r="84" spans="1:31" ht="18" customHeight="1" x14ac:dyDescent="0.25">
      <c r="A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" s="79">
        <v>4</v>
      </c>
      <c r="C84" s="23">
        <v>43734</v>
      </c>
      <c r="D84" s="67">
        <f>IF(COUNTIF($G$2:$G84,$G84)=1,1,0)</f>
        <v>1</v>
      </c>
      <c r="E84" s="67" t="str">
        <f>IFERROR(VLOOKUP(База_КР_КК[[#This Row],[ИД штатной должности (S)]],'уровень защищенности'!$B$7:$F$1095,5,0),"не защищена")</f>
        <v>высокий</v>
      </c>
      <c r="F84" s="68">
        <v>500335</v>
      </c>
      <c r="G84" s="74" t="s">
        <v>2191</v>
      </c>
      <c r="H84" s="181">
        <f>INDEX('Списки данных'!$D$2:$D$1048576,MATCH(База_КР_КК[[#This Row],[Структурное подразделение]],'Списки данных'!$C$2:$C$1048576,0))</f>
        <v>18</v>
      </c>
      <c r="I84" s="80" t="s">
        <v>122</v>
      </c>
      <c r="J84" s="80" t="s">
        <v>188</v>
      </c>
      <c r="K84" s="80" t="s">
        <v>190</v>
      </c>
      <c r="L84" s="30" t="s">
        <v>191</v>
      </c>
      <c r="M84" s="68">
        <v>6</v>
      </c>
      <c r="N84" s="181" t="str">
        <f t="shared" si="1"/>
        <v>нет</v>
      </c>
      <c r="O84" s="23"/>
      <c r="P84" s="23"/>
      <c r="Q84" s="106"/>
      <c r="R84" s="37">
        <v>32</v>
      </c>
      <c r="S84" s="38" t="s">
        <v>446</v>
      </c>
      <c r="T84" s="37">
        <v>1154</v>
      </c>
      <c r="U84" s="39" t="s">
        <v>1563</v>
      </c>
      <c r="V84" s="89" t="s">
        <v>272</v>
      </c>
      <c r="W84" s="89" t="s">
        <v>122</v>
      </c>
      <c r="X84" s="106" t="s">
        <v>295</v>
      </c>
      <c r="Y84" s="107" t="s">
        <v>12</v>
      </c>
      <c r="Z84" s="67">
        <f>IF(База_КР_КК[[#This Row],[Таб.номер резервиста]]="-","-",IF(OR(База_КР_КК[[#This Row],[Уровень КК]]=2,База_КР_КК[[#This Row],[Уровень КК]]=3),IF(COUNTIFS($U$2:$U84,$U84,$F$2:$F84,$F84)=1,1,0),IF(COUNTIFS($U$2:$U84,$U84,$L$2:$L84,$L84)=1,1,0)))</f>
        <v>0</v>
      </c>
      <c r="AA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" s="106"/>
      <c r="AC84" s="51"/>
      <c r="AD84" s="106" t="s">
        <v>13</v>
      </c>
      <c r="AE84" s="38" t="s">
        <v>409</v>
      </c>
    </row>
    <row r="85" spans="1:31" ht="18" customHeight="1" x14ac:dyDescent="0.25">
      <c r="A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" s="79">
        <v>4</v>
      </c>
      <c r="C85" s="23">
        <v>43734</v>
      </c>
      <c r="D85" s="67">
        <f>IF(COUNTIF($G$2:$G85,$G85)=1,1,0)</f>
        <v>0</v>
      </c>
      <c r="E85" s="67" t="str">
        <f>IFERROR(VLOOKUP(База_КР_КК[[#This Row],[ИД штатной должности (S)]],'уровень защищенности'!$B$7:$F$1095,5,0),"не защищена")</f>
        <v>высокий</v>
      </c>
      <c r="F85" s="68">
        <v>500335</v>
      </c>
      <c r="G85" s="74" t="s">
        <v>2191</v>
      </c>
      <c r="H85" s="181">
        <f>INDEX('Списки данных'!$D$2:$D$1048576,MATCH(База_КР_КК[[#This Row],[Структурное подразделение]],'Списки данных'!$C$2:$C$1048576,0))</f>
        <v>18</v>
      </c>
      <c r="I85" s="80" t="s">
        <v>122</v>
      </c>
      <c r="J85" s="80" t="s">
        <v>188</v>
      </c>
      <c r="K85" s="80" t="s">
        <v>190</v>
      </c>
      <c r="L85" s="30" t="s">
        <v>191</v>
      </c>
      <c r="M85" s="68">
        <v>6</v>
      </c>
      <c r="N85" s="181" t="str">
        <f t="shared" si="1"/>
        <v>нет</v>
      </c>
      <c r="O85" s="23"/>
      <c r="P85" s="23"/>
      <c r="Q85" s="106"/>
      <c r="R85" s="37">
        <v>32</v>
      </c>
      <c r="S85" s="38" t="s">
        <v>446</v>
      </c>
      <c r="T85" s="37">
        <v>1153</v>
      </c>
      <c r="U85" s="39" t="s">
        <v>1562</v>
      </c>
      <c r="V85" s="89" t="s">
        <v>272</v>
      </c>
      <c r="W85" s="89" t="s">
        <v>122</v>
      </c>
      <c r="X85" s="106" t="s">
        <v>295</v>
      </c>
      <c r="Y85" s="107" t="s">
        <v>12</v>
      </c>
      <c r="Z85" s="67">
        <f>IF(База_КР_КК[[#This Row],[Таб.номер резервиста]]="-","-",IF(OR(База_КР_КК[[#This Row],[Уровень КК]]=2,База_КР_КК[[#This Row],[Уровень КК]]=3),IF(COUNTIFS($U$2:$U85,$U85,$F$2:$F85,$F85)=1,1,0),IF(COUNTIFS($U$2:$U85,$U85,$L$2:$L85,$L85)=1,1,0)))</f>
        <v>0</v>
      </c>
      <c r="AA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" s="106"/>
      <c r="AC85" s="51"/>
      <c r="AD85" s="106" t="s">
        <v>17</v>
      </c>
      <c r="AE85" s="38" t="s">
        <v>409</v>
      </c>
    </row>
    <row r="86" spans="1:31" ht="18" customHeight="1" x14ac:dyDescent="0.25">
      <c r="A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" s="79">
        <v>4</v>
      </c>
      <c r="C86" s="23">
        <v>44887</v>
      </c>
      <c r="D86" s="67">
        <f>IF(COUNTIF($G$2:$G86,$G86)=1,1,0)</f>
        <v>0</v>
      </c>
      <c r="E86" s="67" t="str">
        <f>IFERROR(VLOOKUP(База_КР_КК[[#This Row],[ИД штатной должности (S)]],'уровень защищенности'!$B$7:$F$1095,5,0),"не защищена")</f>
        <v>высокий</v>
      </c>
      <c r="F86" s="68">
        <v>500335</v>
      </c>
      <c r="G86" s="74" t="s">
        <v>2191</v>
      </c>
      <c r="H86" s="181">
        <f>INDEX('Списки данных'!$D$2:$D$1048576,MATCH(База_КР_КК[[#This Row],[Структурное подразделение]],'Списки данных'!$C$2:$C$1048576,0))</f>
        <v>18</v>
      </c>
      <c r="I86" s="80" t="s">
        <v>122</v>
      </c>
      <c r="J86" s="80" t="s">
        <v>188</v>
      </c>
      <c r="K86" s="80" t="s">
        <v>190</v>
      </c>
      <c r="L86" s="30" t="s">
        <v>191</v>
      </c>
      <c r="M86" s="68">
        <v>6</v>
      </c>
      <c r="N86" s="181" t="str">
        <f t="shared" si="1"/>
        <v>нет</v>
      </c>
      <c r="O86" s="23"/>
      <c r="P86" s="23"/>
      <c r="Q86" s="106"/>
      <c r="R86" s="37">
        <v>32</v>
      </c>
      <c r="S86" s="39" t="s">
        <v>446</v>
      </c>
      <c r="T86" s="37">
        <v>1155</v>
      </c>
      <c r="U86" s="38" t="s">
        <v>1564</v>
      </c>
      <c r="V86" s="69" t="s">
        <v>272</v>
      </c>
      <c r="W86" s="89" t="s">
        <v>122</v>
      </c>
      <c r="X86" s="106" t="s">
        <v>297</v>
      </c>
      <c r="Y86" s="107" t="s">
        <v>12</v>
      </c>
      <c r="Z86" s="67">
        <f>IF(База_КР_КК[[#This Row],[Таб.номер резервиста]]="-","-",IF(OR(База_КР_КК[[#This Row],[Уровень КК]]=2,База_КР_КК[[#This Row],[Уровень КК]]=3),IF(COUNTIFS($U$2:$U86,$U86,$F$2:$F86,$F86)=1,1,0),IF(COUNTIFS($U$2:$U86,$U86,$L$2:$L86,$L86)=1,1,0)))</f>
        <v>0</v>
      </c>
      <c r="AA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" s="106"/>
      <c r="AC86" s="51"/>
      <c r="AD86" s="106" t="s">
        <v>15</v>
      </c>
      <c r="AE86" s="33" t="s">
        <v>409</v>
      </c>
    </row>
    <row r="87" spans="1:31" ht="18" customHeight="1" x14ac:dyDescent="0.25">
      <c r="A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" s="79">
        <v>4</v>
      </c>
      <c r="C87" s="23">
        <v>44887</v>
      </c>
      <c r="D87" s="67">
        <f>IF(COUNTIF($G$2:$G87,$G87)=1,1,0)</f>
        <v>0</v>
      </c>
      <c r="E87" s="67" t="str">
        <f>IFERROR(VLOOKUP(База_КР_КК[[#This Row],[ИД штатной должности (S)]],'уровень защищенности'!$B$7:$F$1095,5,0),"не защищена")</f>
        <v>высокий</v>
      </c>
      <c r="F87" s="68">
        <v>500335</v>
      </c>
      <c r="G87" s="74" t="s">
        <v>2191</v>
      </c>
      <c r="H87" s="181">
        <f>INDEX('Списки данных'!$D$2:$D$1048576,MATCH(База_КР_КК[[#This Row],[Структурное подразделение]],'Списки данных'!$C$2:$C$1048576,0))</f>
        <v>18</v>
      </c>
      <c r="I87" s="80" t="s">
        <v>122</v>
      </c>
      <c r="J87" s="80" t="s">
        <v>188</v>
      </c>
      <c r="K87" s="80" t="s">
        <v>190</v>
      </c>
      <c r="L87" s="30" t="s">
        <v>191</v>
      </c>
      <c r="M87" s="68">
        <v>6</v>
      </c>
      <c r="N87" s="181" t="str">
        <f t="shared" si="1"/>
        <v>нет</v>
      </c>
      <c r="O87" s="23"/>
      <c r="P87" s="23"/>
      <c r="Q87" s="106"/>
      <c r="R87" s="37">
        <v>32</v>
      </c>
      <c r="S87" s="39" t="s">
        <v>446</v>
      </c>
      <c r="T87" s="37">
        <v>1156</v>
      </c>
      <c r="U87" s="38" t="s">
        <v>1565</v>
      </c>
      <c r="V87" s="69" t="s">
        <v>272</v>
      </c>
      <c r="W87" s="89" t="s">
        <v>122</v>
      </c>
      <c r="X87" s="106" t="s">
        <v>297</v>
      </c>
      <c r="Y87" s="107" t="s">
        <v>12</v>
      </c>
      <c r="Z87" s="67">
        <f>IF(База_КР_КК[[#This Row],[Таб.номер резервиста]]="-","-",IF(OR(База_КР_КК[[#This Row],[Уровень КК]]=2,База_КР_КК[[#This Row],[Уровень КК]]=3),IF(COUNTIFS($U$2:$U87,$U87,$F$2:$F87,$F87)=1,1,0),IF(COUNTIFS($U$2:$U87,$U87,$L$2:$L87,$L87)=1,1,0)))</f>
        <v>0</v>
      </c>
      <c r="AA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" s="106"/>
      <c r="AC87" s="51"/>
      <c r="AD87" s="106" t="s">
        <v>15</v>
      </c>
      <c r="AE87" s="33" t="s">
        <v>409</v>
      </c>
    </row>
    <row r="88" spans="1:31" ht="18" customHeight="1" x14ac:dyDescent="0.25">
      <c r="A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" s="79">
        <v>4</v>
      </c>
      <c r="C88" s="23">
        <v>43734</v>
      </c>
      <c r="D88" s="67">
        <f>IF(COUNTIF($G$2:$G88,$G88)=1,1,0)</f>
        <v>1</v>
      </c>
      <c r="E88" s="67" t="str">
        <f>IFERROR(VLOOKUP(База_КР_КК[[#This Row],[ИД штатной должности (S)]],'уровень защищенности'!$B$7:$F$1095,5,0),"не защищена")</f>
        <v>высокий</v>
      </c>
      <c r="F88" s="68">
        <v>500336</v>
      </c>
      <c r="G88" s="74" t="s">
        <v>2192</v>
      </c>
      <c r="H88" s="181">
        <f>INDEX('Списки данных'!$D$2:$D$1048576,MATCH(База_КР_КК[[#This Row],[Структурное подразделение]],'Списки данных'!$C$2:$C$1048576,0))</f>
        <v>18</v>
      </c>
      <c r="I88" s="80" t="s">
        <v>122</v>
      </c>
      <c r="J88" s="80" t="s">
        <v>188</v>
      </c>
      <c r="K88" s="80" t="s">
        <v>190</v>
      </c>
      <c r="L88" s="30" t="s">
        <v>189</v>
      </c>
      <c r="M88" s="68">
        <v>6</v>
      </c>
      <c r="N88" s="181" t="str">
        <f t="shared" si="1"/>
        <v>нет</v>
      </c>
      <c r="O88" s="23"/>
      <c r="P88" s="23"/>
      <c r="Q88" s="106"/>
      <c r="R88" s="37">
        <v>33</v>
      </c>
      <c r="S88" s="38" t="s">
        <v>447</v>
      </c>
      <c r="T88" s="37">
        <v>36</v>
      </c>
      <c r="U88" s="39" t="s">
        <v>450</v>
      </c>
      <c r="V88" s="89" t="s">
        <v>192</v>
      </c>
      <c r="W88" s="89" t="s">
        <v>122</v>
      </c>
      <c r="X88" s="106" t="s">
        <v>295</v>
      </c>
      <c r="Y88" s="107" t="s">
        <v>12</v>
      </c>
      <c r="Z88" s="67">
        <f>IF(База_КР_КК[[#This Row],[Таб.номер резервиста]]="-","-",IF(OR(База_КР_КК[[#This Row],[Уровень КК]]=2,База_КР_КК[[#This Row],[Уровень КК]]=3),IF(COUNTIFS($U$2:$U88,$U88,$F$2:$F88,$F88)=1,1,0),IF(COUNTIFS($U$2:$U88,$U88,$L$2:$L88,$L88)=1,1,0)))</f>
        <v>1</v>
      </c>
      <c r="AA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" s="106"/>
      <c r="AC88" s="51"/>
      <c r="AD88" s="106" t="s">
        <v>13</v>
      </c>
      <c r="AE88" s="38" t="s">
        <v>409</v>
      </c>
    </row>
    <row r="89" spans="1:31" ht="18" customHeight="1" x14ac:dyDescent="0.25">
      <c r="A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" s="79">
        <v>4</v>
      </c>
      <c r="C89" s="23">
        <v>43734</v>
      </c>
      <c r="D89" s="67">
        <f>IF(COUNTIF($G$2:$G89,$G89)=1,1,0)</f>
        <v>0</v>
      </c>
      <c r="E89" s="67" t="str">
        <f>IFERROR(VLOOKUP(База_КР_КК[[#This Row],[ИД штатной должности (S)]],'уровень защищенности'!$B$7:$F$1095,5,0),"не защищена")</f>
        <v>высокий</v>
      </c>
      <c r="F89" s="68">
        <v>500336</v>
      </c>
      <c r="G89" s="74" t="s">
        <v>2192</v>
      </c>
      <c r="H89" s="181">
        <f>INDEX('Списки данных'!$D$2:$D$1048576,MATCH(База_КР_КК[[#This Row],[Структурное подразделение]],'Списки данных'!$C$2:$C$1048576,0))</f>
        <v>18</v>
      </c>
      <c r="I89" s="80" t="s">
        <v>122</v>
      </c>
      <c r="J89" s="80" t="s">
        <v>188</v>
      </c>
      <c r="K89" s="80" t="s">
        <v>190</v>
      </c>
      <c r="L89" s="30" t="s">
        <v>189</v>
      </c>
      <c r="M89" s="68">
        <v>6</v>
      </c>
      <c r="N89" s="181" t="str">
        <f t="shared" si="1"/>
        <v>нет</v>
      </c>
      <c r="O89" s="23"/>
      <c r="P89" s="23"/>
      <c r="Q89" s="106"/>
      <c r="R89" s="37">
        <v>33</v>
      </c>
      <c r="S89" s="38" t="s">
        <v>447</v>
      </c>
      <c r="T89" s="37">
        <v>114</v>
      </c>
      <c r="U89" s="39" t="s">
        <v>526</v>
      </c>
      <c r="V89" s="89" t="s">
        <v>192</v>
      </c>
      <c r="W89" s="89" t="s">
        <v>122</v>
      </c>
      <c r="X89" s="106" t="s">
        <v>295</v>
      </c>
      <c r="Y89" s="107" t="s">
        <v>12</v>
      </c>
      <c r="Z89" s="67">
        <f>IF(База_КР_КК[[#This Row],[Таб.номер резервиста]]="-","-",IF(OR(База_КР_КК[[#This Row],[Уровень КК]]=2,База_КР_КК[[#This Row],[Уровень КК]]=3),IF(COUNTIFS($U$2:$U89,$U89,$F$2:$F89,$F89)=1,1,0),IF(COUNTIFS($U$2:$U89,$U89,$L$2:$L89,$L89)=1,1,0)))</f>
        <v>1</v>
      </c>
      <c r="AA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" s="106"/>
      <c r="AC89" s="51"/>
      <c r="AD89" s="106" t="s">
        <v>13</v>
      </c>
      <c r="AE89" s="38" t="s">
        <v>409</v>
      </c>
    </row>
    <row r="90" spans="1:31" ht="18" customHeight="1" x14ac:dyDescent="0.25">
      <c r="A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" s="79">
        <v>4</v>
      </c>
      <c r="C90" s="23">
        <v>43734</v>
      </c>
      <c r="D90" s="67">
        <f>IF(COUNTIF($G$2:$G90,$G90)=1,1,0)</f>
        <v>0</v>
      </c>
      <c r="E90" s="67" t="str">
        <f>IFERROR(VLOOKUP(База_КР_КК[[#This Row],[ИД штатной должности (S)]],'уровень защищенности'!$B$7:$F$1095,5,0),"не защищена")</f>
        <v>высокий</v>
      </c>
      <c r="F90" s="68">
        <v>500336</v>
      </c>
      <c r="G90" s="74" t="s">
        <v>2192</v>
      </c>
      <c r="H90" s="181">
        <f>INDEX('Списки данных'!$D$2:$D$1048576,MATCH(База_КР_КК[[#This Row],[Структурное подразделение]],'Списки данных'!$C$2:$C$1048576,0))</f>
        <v>18</v>
      </c>
      <c r="I90" s="80" t="s">
        <v>122</v>
      </c>
      <c r="J90" s="80" t="s">
        <v>188</v>
      </c>
      <c r="K90" s="80" t="s">
        <v>190</v>
      </c>
      <c r="L90" s="30" t="s">
        <v>189</v>
      </c>
      <c r="M90" s="68">
        <v>6</v>
      </c>
      <c r="N90" s="181" t="str">
        <f t="shared" si="1"/>
        <v>нет</v>
      </c>
      <c r="O90" s="23"/>
      <c r="P90" s="23"/>
      <c r="Q90" s="106"/>
      <c r="R90" s="37">
        <v>33</v>
      </c>
      <c r="S90" s="38" t="s">
        <v>447</v>
      </c>
      <c r="T90" s="37">
        <v>1152</v>
      </c>
      <c r="U90" s="39" t="s">
        <v>1561</v>
      </c>
      <c r="V90" s="89" t="s">
        <v>189</v>
      </c>
      <c r="W90" s="89" t="s">
        <v>122</v>
      </c>
      <c r="X90" s="106" t="s">
        <v>295</v>
      </c>
      <c r="Y90" s="107" t="s">
        <v>18</v>
      </c>
      <c r="Z90" s="67">
        <f>IF(База_КР_КК[[#This Row],[Таб.номер резервиста]]="-","-",IF(OR(База_КР_КК[[#This Row],[Уровень КК]]=2,База_КР_КК[[#This Row],[Уровень КК]]=3),IF(COUNTIFS($U$2:$U90,$U90,$F$2:$F90,$F90)=1,1,0),IF(COUNTIFS($U$2:$U90,$U90,$L$2:$L90,$L90)=1,1,0)))</f>
        <v>0</v>
      </c>
      <c r="AA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" s="106" t="s">
        <v>37</v>
      </c>
      <c r="AC90" s="51">
        <v>44553</v>
      </c>
      <c r="AD90" s="106" t="s">
        <v>13</v>
      </c>
      <c r="AE90" s="38" t="s">
        <v>312</v>
      </c>
    </row>
    <row r="91" spans="1:31" ht="18" customHeight="1" x14ac:dyDescent="0.25">
      <c r="A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" s="79">
        <v>4</v>
      </c>
      <c r="C91" s="23">
        <v>43734</v>
      </c>
      <c r="D91" s="67">
        <f>IF(COUNTIF($G$2:$G91,$G91)=1,1,0)</f>
        <v>1</v>
      </c>
      <c r="E91" s="67" t="str">
        <f>IFERROR(VLOOKUP(База_КР_КК[[#This Row],[ИД штатной должности (S)]],'уровень защищенности'!$B$7:$F$1095,5,0),"не защищена")</f>
        <v>высокий</v>
      </c>
      <c r="F91" s="68">
        <v>500337</v>
      </c>
      <c r="G91" s="74" t="s">
        <v>2193</v>
      </c>
      <c r="H91" s="181">
        <f>INDEX('Списки данных'!$D$2:$D$1048576,MATCH(База_КР_КК[[#This Row],[Структурное подразделение]],'Списки данных'!$C$2:$C$1048576,0))</f>
        <v>18</v>
      </c>
      <c r="I91" s="80" t="s">
        <v>122</v>
      </c>
      <c r="J91" s="80" t="s">
        <v>188</v>
      </c>
      <c r="K91" s="80" t="s">
        <v>190</v>
      </c>
      <c r="L91" s="30" t="s">
        <v>191</v>
      </c>
      <c r="M91" s="68">
        <v>6</v>
      </c>
      <c r="N91" s="181" t="str">
        <f t="shared" si="1"/>
        <v>нет</v>
      </c>
      <c r="O91" s="23"/>
      <c r="P91" s="23"/>
      <c r="Q91" s="106"/>
      <c r="R91" s="37">
        <v>34</v>
      </c>
      <c r="S91" s="38" t="s">
        <v>448</v>
      </c>
      <c r="T91" s="37">
        <v>1157</v>
      </c>
      <c r="U91" s="39" t="s">
        <v>1566</v>
      </c>
      <c r="V91" s="89" t="s">
        <v>272</v>
      </c>
      <c r="W91" s="89" t="s">
        <v>122</v>
      </c>
      <c r="X91" s="106" t="s">
        <v>295</v>
      </c>
      <c r="Y91" s="107" t="s">
        <v>12</v>
      </c>
      <c r="Z91" s="67">
        <f>IF(База_КР_КК[[#This Row],[Таб.номер резервиста]]="-","-",IF(OR(База_КР_КК[[#This Row],[Уровень КК]]=2,База_КР_КК[[#This Row],[Уровень КК]]=3),IF(COUNTIFS($U$2:$U91,$U91,$F$2:$F91,$F91)=1,1,0),IF(COUNTIFS($U$2:$U91,$U91,$L$2:$L91,$L91)=1,1,0)))</f>
        <v>1</v>
      </c>
      <c r="AA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" s="106"/>
      <c r="AC91" s="51"/>
      <c r="AD91" s="106" t="s">
        <v>13</v>
      </c>
      <c r="AE91" s="38" t="s">
        <v>409</v>
      </c>
    </row>
    <row r="92" spans="1:31" ht="18" customHeight="1" x14ac:dyDescent="0.25">
      <c r="A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" s="79">
        <v>4</v>
      </c>
      <c r="C92" s="23">
        <v>43734</v>
      </c>
      <c r="D92" s="67">
        <f>IF(COUNTIF($G$2:$G92,$G92)=1,1,0)</f>
        <v>0</v>
      </c>
      <c r="E92" s="67" t="str">
        <f>IFERROR(VLOOKUP(База_КР_КК[[#This Row],[ИД штатной должности (S)]],'уровень защищенности'!$B$7:$F$1095,5,0),"не защищена")</f>
        <v>высокий</v>
      </c>
      <c r="F92" s="68">
        <v>500337</v>
      </c>
      <c r="G92" s="74" t="s">
        <v>2193</v>
      </c>
      <c r="H92" s="181">
        <f>INDEX('Списки данных'!$D$2:$D$1048576,MATCH(База_КР_КК[[#This Row],[Структурное подразделение]],'Списки данных'!$C$2:$C$1048576,0))</f>
        <v>18</v>
      </c>
      <c r="I92" s="80" t="s">
        <v>122</v>
      </c>
      <c r="J92" s="80" t="s">
        <v>188</v>
      </c>
      <c r="K92" s="80" t="s">
        <v>190</v>
      </c>
      <c r="L92" s="30" t="s">
        <v>191</v>
      </c>
      <c r="M92" s="68">
        <v>6</v>
      </c>
      <c r="N92" s="181" t="str">
        <f t="shared" si="1"/>
        <v>нет</v>
      </c>
      <c r="O92" s="23"/>
      <c r="P92" s="23"/>
      <c r="Q92" s="106"/>
      <c r="R92" s="37">
        <v>34</v>
      </c>
      <c r="S92" s="38" t="s">
        <v>448</v>
      </c>
      <c r="T92" s="37">
        <v>1158</v>
      </c>
      <c r="U92" s="39" t="s">
        <v>1567</v>
      </c>
      <c r="V92" s="89" t="s">
        <v>272</v>
      </c>
      <c r="W92" s="89" t="s">
        <v>122</v>
      </c>
      <c r="X92" s="106" t="s">
        <v>295</v>
      </c>
      <c r="Y92" s="107" t="s">
        <v>12</v>
      </c>
      <c r="Z92" s="67">
        <f>IF(База_КР_КК[[#This Row],[Таб.номер резервиста]]="-","-",IF(OR(База_КР_КК[[#This Row],[Уровень КК]]=2,База_КР_КК[[#This Row],[Уровень КК]]=3),IF(COUNTIFS($U$2:$U92,$U92,$F$2:$F92,$F92)=1,1,0),IF(COUNTIFS($U$2:$U92,$U92,$L$2:$L92,$L92)=1,1,0)))</f>
        <v>1</v>
      </c>
      <c r="AA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" s="106"/>
      <c r="AC92" s="51"/>
      <c r="AD92" s="106" t="s">
        <v>13</v>
      </c>
      <c r="AE92" s="38" t="s">
        <v>409</v>
      </c>
    </row>
    <row r="93" spans="1:31" ht="18" customHeight="1" x14ac:dyDescent="0.25">
      <c r="A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" s="79">
        <v>4</v>
      </c>
      <c r="C93" s="23">
        <v>43734</v>
      </c>
      <c r="D93" s="67">
        <f>IF(COUNTIF($G$2:$G93,$G93)=1,1,0)</f>
        <v>0</v>
      </c>
      <c r="E93" s="67" t="str">
        <f>IFERROR(VLOOKUP(База_КР_КК[[#This Row],[ИД штатной должности (S)]],'уровень защищенности'!$B$7:$F$1095,5,0),"не защищена")</f>
        <v>высокий</v>
      </c>
      <c r="F93" s="68">
        <v>500337</v>
      </c>
      <c r="G93" s="74" t="s">
        <v>2193</v>
      </c>
      <c r="H93" s="181">
        <f>INDEX('Списки данных'!$D$2:$D$1048576,MATCH(База_КР_КК[[#This Row],[Структурное подразделение]],'Списки данных'!$C$2:$C$1048576,0))</f>
        <v>18</v>
      </c>
      <c r="I93" s="80" t="s">
        <v>122</v>
      </c>
      <c r="J93" s="80" t="s">
        <v>188</v>
      </c>
      <c r="K93" s="80" t="s">
        <v>190</v>
      </c>
      <c r="L93" s="30" t="s">
        <v>191</v>
      </c>
      <c r="M93" s="68">
        <v>6</v>
      </c>
      <c r="N93" s="181" t="str">
        <f t="shared" si="1"/>
        <v>нет</v>
      </c>
      <c r="O93" s="23"/>
      <c r="P93" s="23"/>
      <c r="Q93" s="106"/>
      <c r="R93" s="37">
        <v>34</v>
      </c>
      <c r="S93" s="38" t="s">
        <v>448</v>
      </c>
      <c r="T93" s="37">
        <v>1159</v>
      </c>
      <c r="U93" s="39" t="s">
        <v>1568</v>
      </c>
      <c r="V93" s="89" t="s">
        <v>272</v>
      </c>
      <c r="W93" s="89" t="s">
        <v>122</v>
      </c>
      <c r="X93" s="106" t="s">
        <v>295</v>
      </c>
      <c r="Y93" s="107" t="s">
        <v>12</v>
      </c>
      <c r="Z93" s="67">
        <f>IF(База_КР_КК[[#This Row],[Таб.номер резервиста]]="-","-",IF(OR(База_КР_КК[[#This Row],[Уровень КК]]=2,База_КР_КК[[#This Row],[Уровень КК]]=3),IF(COUNTIFS($U$2:$U93,$U93,$F$2:$F93,$F93)=1,1,0),IF(COUNTIFS($U$2:$U93,$U93,$L$2:$L93,$L93)=1,1,0)))</f>
        <v>1</v>
      </c>
      <c r="AA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" s="106"/>
      <c r="AC93" s="51"/>
      <c r="AD93" s="106" t="s">
        <v>13</v>
      </c>
      <c r="AE93" s="38" t="s">
        <v>409</v>
      </c>
    </row>
    <row r="94" spans="1:31" ht="18" customHeight="1" x14ac:dyDescent="0.25">
      <c r="A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" s="79">
        <v>4</v>
      </c>
      <c r="C94" s="23">
        <v>43734</v>
      </c>
      <c r="D94" s="67">
        <f>IF(COUNTIF($G$2:$G94,$G94)=1,1,0)</f>
        <v>0</v>
      </c>
      <c r="E94" s="67" t="str">
        <f>IFERROR(VLOOKUP(База_КР_КК[[#This Row],[ИД штатной должности (S)]],'уровень защищенности'!$B$7:$F$1095,5,0),"не защищена")</f>
        <v>высокий</v>
      </c>
      <c r="F94" s="68">
        <v>500337</v>
      </c>
      <c r="G94" s="74" t="s">
        <v>2193</v>
      </c>
      <c r="H94" s="181">
        <f>INDEX('Списки данных'!$D$2:$D$1048576,MATCH(База_КР_КК[[#This Row],[Структурное подразделение]],'Списки данных'!$C$2:$C$1048576,0))</f>
        <v>18</v>
      </c>
      <c r="I94" s="80" t="s">
        <v>122</v>
      </c>
      <c r="J94" s="80" t="s">
        <v>188</v>
      </c>
      <c r="K94" s="80" t="s">
        <v>190</v>
      </c>
      <c r="L94" s="30" t="s">
        <v>191</v>
      </c>
      <c r="M94" s="68">
        <v>6</v>
      </c>
      <c r="N94" s="181" t="str">
        <f t="shared" si="1"/>
        <v>нет</v>
      </c>
      <c r="O94" s="23"/>
      <c r="P94" s="23"/>
      <c r="Q94" s="106"/>
      <c r="R94" s="37">
        <v>34</v>
      </c>
      <c r="S94" s="38" t="s">
        <v>448</v>
      </c>
      <c r="T94" s="37">
        <v>1160</v>
      </c>
      <c r="U94" s="39" t="s">
        <v>1569</v>
      </c>
      <c r="V94" s="89" t="s">
        <v>272</v>
      </c>
      <c r="W94" s="89" t="s">
        <v>122</v>
      </c>
      <c r="X94" s="106" t="s">
        <v>295</v>
      </c>
      <c r="Y94" s="107" t="s">
        <v>12</v>
      </c>
      <c r="Z94" s="67">
        <f>IF(База_КР_КК[[#This Row],[Таб.номер резервиста]]="-","-",IF(OR(База_КР_КК[[#This Row],[Уровень КК]]=2,База_КР_КК[[#This Row],[Уровень КК]]=3),IF(COUNTIFS($U$2:$U94,$U94,$F$2:$F94,$F94)=1,1,0),IF(COUNTIFS($U$2:$U94,$U94,$L$2:$L94,$L94)=1,1,0)))</f>
        <v>1</v>
      </c>
      <c r="AA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" s="106"/>
      <c r="AC94" s="51"/>
      <c r="AD94" s="106" t="s">
        <v>13</v>
      </c>
      <c r="AE94" s="38" t="s">
        <v>409</v>
      </c>
    </row>
    <row r="95" spans="1:31" ht="18" customHeight="1" x14ac:dyDescent="0.25">
      <c r="A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" s="79">
        <v>4</v>
      </c>
      <c r="C95" s="23">
        <v>44497</v>
      </c>
      <c r="D95" s="67">
        <f>IF(COUNTIF($G$2:$G95,$G95)=1,1,0)</f>
        <v>0</v>
      </c>
      <c r="E95" s="67" t="str">
        <f>IFERROR(VLOOKUP(База_КР_КК[[#This Row],[ИД штатной должности (S)]],'уровень защищенности'!$B$7:$F$1095,5,0),"не защищена")</f>
        <v>высокий</v>
      </c>
      <c r="F95" s="68">
        <v>500337</v>
      </c>
      <c r="G95" s="74" t="s">
        <v>2193</v>
      </c>
      <c r="H95" s="181">
        <f>INDEX('Списки данных'!$D$2:$D$1048576,MATCH(База_КР_КК[[#This Row],[Структурное подразделение]],'Списки данных'!$C$2:$C$1048576,0))</f>
        <v>18</v>
      </c>
      <c r="I95" s="80" t="s">
        <v>122</v>
      </c>
      <c r="J95" s="80" t="s">
        <v>188</v>
      </c>
      <c r="K95" s="80" t="s">
        <v>190</v>
      </c>
      <c r="L95" s="30" t="s">
        <v>191</v>
      </c>
      <c r="M95" s="68">
        <v>6</v>
      </c>
      <c r="N95" s="181" t="str">
        <f t="shared" si="1"/>
        <v>нет</v>
      </c>
      <c r="O95" s="23"/>
      <c r="P95" s="23"/>
      <c r="Q95" s="106"/>
      <c r="R95" s="37">
        <v>34</v>
      </c>
      <c r="S95" s="38" t="s">
        <v>448</v>
      </c>
      <c r="T95" s="37">
        <v>1161</v>
      </c>
      <c r="U95" s="39" t="s">
        <v>1570</v>
      </c>
      <c r="V95" s="89" t="s">
        <v>272</v>
      </c>
      <c r="W95" s="89" t="s">
        <v>122</v>
      </c>
      <c r="X95" s="106" t="s">
        <v>297</v>
      </c>
      <c r="Y95" s="107" t="s">
        <v>12</v>
      </c>
      <c r="Z95" s="67">
        <f>IF(База_КР_КК[[#This Row],[Таб.номер резервиста]]="-","-",IF(OR(База_КР_КК[[#This Row],[Уровень КК]]=2,База_КР_КК[[#This Row],[Уровень КК]]=3),IF(COUNTIFS($U$2:$U95,$U95,$F$2:$F95,$F95)=1,1,0),IF(COUNTIFS($U$2:$U95,$U95,$L$2:$L95,$L95)=1,1,0)))</f>
        <v>1</v>
      </c>
      <c r="AA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" s="106"/>
      <c r="AC95" s="51"/>
      <c r="AD95" s="106" t="s">
        <v>17</v>
      </c>
      <c r="AE95" s="33" t="s">
        <v>409</v>
      </c>
    </row>
    <row r="96" spans="1:31" ht="18" customHeight="1" x14ac:dyDescent="0.25">
      <c r="A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" s="79">
        <v>4</v>
      </c>
      <c r="C96" s="23">
        <v>43734</v>
      </c>
      <c r="D96" s="67">
        <f>IF(COUNTIF($G$2:$G96,$G96)=1,1,0)</f>
        <v>1</v>
      </c>
      <c r="E96" s="67" t="str">
        <f>IFERROR(VLOOKUP(База_КР_КК[[#This Row],[ИД штатной должности (S)]],'уровень защищенности'!$B$7:$F$1095,5,0),"не защищена")</f>
        <v>высокий</v>
      </c>
      <c r="F96" s="68">
        <v>500337</v>
      </c>
      <c r="G96" s="74" t="s">
        <v>2194</v>
      </c>
      <c r="H96" s="181">
        <f>INDEX('Списки данных'!$D$2:$D$1048576,MATCH(База_КР_КК[[#This Row],[Структурное подразделение]],'Списки данных'!$C$2:$C$1048576,0))</f>
        <v>18</v>
      </c>
      <c r="I96" s="80" t="s">
        <v>122</v>
      </c>
      <c r="J96" s="80" t="s">
        <v>188</v>
      </c>
      <c r="K96" s="80" t="s">
        <v>190</v>
      </c>
      <c r="L96" s="30" t="s">
        <v>191</v>
      </c>
      <c r="M96" s="68">
        <v>6</v>
      </c>
      <c r="N96" s="181" t="str">
        <f t="shared" si="1"/>
        <v>нет</v>
      </c>
      <c r="O96" s="23"/>
      <c r="P96" s="23"/>
      <c r="Q96" s="106"/>
      <c r="R96" s="37">
        <v>35</v>
      </c>
      <c r="S96" s="38" t="s">
        <v>449</v>
      </c>
      <c r="T96" s="37">
        <v>1157</v>
      </c>
      <c r="U96" s="39" t="s">
        <v>1566</v>
      </c>
      <c r="V96" s="89" t="s">
        <v>272</v>
      </c>
      <c r="W96" s="89" t="s">
        <v>122</v>
      </c>
      <c r="X96" s="106" t="s">
        <v>295</v>
      </c>
      <c r="Y96" s="107" t="s">
        <v>12</v>
      </c>
      <c r="Z96" s="67">
        <f>IF(База_КР_КК[[#This Row],[Таб.номер резервиста]]="-","-",IF(OR(База_КР_КК[[#This Row],[Уровень КК]]=2,База_КР_КК[[#This Row],[Уровень КК]]=3),IF(COUNTIFS($U$2:$U96,$U96,$F$2:$F96,$F96)=1,1,0),IF(COUNTIFS($U$2:$U96,$U96,$L$2:$L96,$L96)=1,1,0)))</f>
        <v>0</v>
      </c>
      <c r="AA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" s="106"/>
      <c r="AC96" s="51"/>
      <c r="AD96" s="106" t="s">
        <v>13</v>
      </c>
      <c r="AE96" s="38" t="s">
        <v>409</v>
      </c>
    </row>
    <row r="97" spans="1:31" ht="18" customHeight="1" x14ac:dyDescent="0.25">
      <c r="A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" s="79">
        <v>4</v>
      </c>
      <c r="C97" s="23">
        <v>43734</v>
      </c>
      <c r="D97" s="67">
        <f>IF(COUNTIF($G$2:$G97,$G97)=1,1,0)</f>
        <v>0</v>
      </c>
      <c r="E97" s="67" t="str">
        <f>IFERROR(VLOOKUP(База_КР_КК[[#This Row],[ИД штатной должности (S)]],'уровень защищенности'!$B$7:$F$1095,5,0),"не защищена")</f>
        <v>высокий</v>
      </c>
      <c r="F97" s="68">
        <v>500337</v>
      </c>
      <c r="G97" s="74" t="s">
        <v>2194</v>
      </c>
      <c r="H97" s="181">
        <f>INDEX('Списки данных'!$D$2:$D$1048576,MATCH(База_КР_КК[[#This Row],[Структурное подразделение]],'Списки данных'!$C$2:$C$1048576,0))</f>
        <v>18</v>
      </c>
      <c r="I97" s="80" t="s">
        <v>122</v>
      </c>
      <c r="J97" s="80" t="s">
        <v>188</v>
      </c>
      <c r="K97" s="80" t="s">
        <v>190</v>
      </c>
      <c r="L97" s="30" t="s">
        <v>191</v>
      </c>
      <c r="M97" s="68">
        <v>6</v>
      </c>
      <c r="N97" s="181" t="str">
        <f t="shared" si="1"/>
        <v>нет</v>
      </c>
      <c r="O97" s="23"/>
      <c r="P97" s="23"/>
      <c r="Q97" s="106"/>
      <c r="R97" s="37">
        <v>35</v>
      </c>
      <c r="S97" s="38" t="s">
        <v>449</v>
      </c>
      <c r="T97" s="37">
        <v>1158</v>
      </c>
      <c r="U97" s="39" t="s">
        <v>1567</v>
      </c>
      <c r="V97" s="89" t="s">
        <v>272</v>
      </c>
      <c r="W97" s="89" t="s">
        <v>122</v>
      </c>
      <c r="X97" s="106" t="s">
        <v>295</v>
      </c>
      <c r="Y97" s="107" t="s">
        <v>12</v>
      </c>
      <c r="Z97" s="67">
        <f>IF(База_КР_КК[[#This Row],[Таб.номер резервиста]]="-","-",IF(OR(База_КР_КК[[#This Row],[Уровень КК]]=2,База_КР_КК[[#This Row],[Уровень КК]]=3),IF(COUNTIFS($U$2:$U97,$U97,$F$2:$F97,$F97)=1,1,0),IF(COUNTIFS($U$2:$U97,$U97,$L$2:$L97,$L97)=1,1,0)))</f>
        <v>0</v>
      </c>
      <c r="AA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" s="106"/>
      <c r="AC97" s="51"/>
      <c r="AD97" s="106" t="s">
        <v>13</v>
      </c>
      <c r="AE97" s="38" t="s">
        <v>409</v>
      </c>
    </row>
    <row r="98" spans="1:31" ht="18" customHeight="1" x14ac:dyDescent="0.25">
      <c r="A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" s="79">
        <v>4</v>
      </c>
      <c r="C98" s="23">
        <v>43734</v>
      </c>
      <c r="D98" s="67">
        <f>IF(COUNTIF($G$2:$G98,$G98)=1,1,0)</f>
        <v>0</v>
      </c>
      <c r="E98" s="67" t="str">
        <f>IFERROR(VLOOKUP(База_КР_КК[[#This Row],[ИД штатной должности (S)]],'уровень защищенности'!$B$7:$F$1095,5,0),"не защищена")</f>
        <v>высокий</v>
      </c>
      <c r="F98" s="68">
        <v>500337</v>
      </c>
      <c r="G98" s="74" t="s">
        <v>2194</v>
      </c>
      <c r="H98" s="181">
        <f>INDEX('Списки данных'!$D$2:$D$1048576,MATCH(База_КР_КК[[#This Row],[Структурное подразделение]],'Списки данных'!$C$2:$C$1048576,0))</f>
        <v>18</v>
      </c>
      <c r="I98" s="80" t="s">
        <v>122</v>
      </c>
      <c r="J98" s="80" t="s">
        <v>188</v>
      </c>
      <c r="K98" s="80" t="s">
        <v>190</v>
      </c>
      <c r="L98" s="30" t="s">
        <v>191</v>
      </c>
      <c r="M98" s="68">
        <v>6</v>
      </c>
      <c r="N98" s="181" t="str">
        <f t="shared" si="1"/>
        <v>нет</v>
      </c>
      <c r="O98" s="23"/>
      <c r="P98" s="23"/>
      <c r="Q98" s="106"/>
      <c r="R98" s="37">
        <v>35</v>
      </c>
      <c r="S98" s="38" t="s">
        <v>449</v>
      </c>
      <c r="T98" s="37">
        <v>1159</v>
      </c>
      <c r="U98" s="39" t="s">
        <v>1568</v>
      </c>
      <c r="V98" s="89" t="s">
        <v>272</v>
      </c>
      <c r="W98" s="89" t="s">
        <v>122</v>
      </c>
      <c r="X98" s="106" t="s">
        <v>295</v>
      </c>
      <c r="Y98" s="107" t="s">
        <v>12</v>
      </c>
      <c r="Z98" s="67">
        <f>IF(База_КР_КК[[#This Row],[Таб.номер резервиста]]="-","-",IF(OR(База_КР_КК[[#This Row],[Уровень КК]]=2,База_КР_КК[[#This Row],[Уровень КК]]=3),IF(COUNTIFS($U$2:$U98,$U98,$F$2:$F98,$F98)=1,1,0),IF(COUNTIFS($U$2:$U98,$U98,$L$2:$L98,$L98)=1,1,0)))</f>
        <v>0</v>
      </c>
      <c r="AA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" s="106"/>
      <c r="AC98" s="51"/>
      <c r="AD98" s="106" t="s">
        <v>13</v>
      </c>
      <c r="AE98" s="38" t="s">
        <v>409</v>
      </c>
    </row>
    <row r="99" spans="1:31" ht="18" customHeight="1" x14ac:dyDescent="0.25">
      <c r="A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" s="79">
        <v>4</v>
      </c>
      <c r="C99" s="23">
        <v>43734</v>
      </c>
      <c r="D99" s="67">
        <f>IF(COUNTIF($G$2:$G99,$G99)=1,1,0)</f>
        <v>0</v>
      </c>
      <c r="E99" s="67" t="str">
        <f>IFERROR(VLOOKUP(База_КР_КК[[#This Row],[ИД штатной должности (S)]],'уровень защищенности'!$B$7:$F$1095,5,0),"не защищена")</f>
        <v>высокий</v>
      </c>
      <c r="F99" s="68">
        <v>500337</v>
      </c>
      <c r="G99" s="74" t="s">
        <v>2194</v>
      </c>
      <c r="H99" s="181">
        <f>INDEX('Списки данных'!$D$2:$D$1048576,MATCH(База_КР_КК[[#This Row],[Структурное подразделение]],'Списки данных'!$C$2:$C$1048576,0))</f>
        <v>18</v>
      </c>
      <c r="I99" s="80" t="s">
        <v>122</v>
      </c>
      <c r="J99" s="80" t="s">
        <v>188</v>
      </c>
      <c r="K99" s="80" t="s">
        <v>190</v>
      </c>
      <c r="L99" s="30" t="s">
        <v>191</v>
      </c>
      <c r="M99" s="68">
        <v>6</v>
      </c>
      <c r="N99" s="181" t="str">
        <f t="shared" si="1"/>
        <v>нет</v>
      </c>
      <c r="O99" s="23"/>
      <c r="P99" s="23"/>
      <c r="Q99" s="106"/>
      <c r="R99" s="37">
        <v>35</v>
      </c>
      <c r="S99" s="38" t="s">
        <v>449</v>
      </c>
      <c r="T99" s="37">
        <v>1160</v>
      </c>
      <c r="U99" s="39" t="s">
        <v>1569</v>
      </c>
      <c r="V99" s="89" t="s">
        <v>272</v>
      </c>
      <c r="W99" s="89" t="s">
        <v>122</v>
      </c>
      <c r="X99" s="106" t="s">
        <v>295</v>
      </c>
      <c r="Y99" s="107" t="s">
        <v>12</v>
      </c>
      <c r="Z99" s="67">
        <f>IF(База_КР_КК[[#This Row],[Таб.номер резервиста]]="-","-",IF(OR(База_КР_КК[[#This Row],[Уровень КК]]=2,База_КР_КК[[#This Row],[Уровень КК]]=3),IF(COUNTIFS($U$2:$U99,$U99,$F$2:$F99,$F99)=1,1,0),IF(COUNTIFS($U$2:$U99,$U99,$L$2:$L99,$L99)=1,1,0)))</f>
        <v>0</v>
      </c>
      <c r="AA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" s="106"/>
      <c r="AC99" s="51"/>
      <c r="AD99" s="106" t="s">
        <v>13</v>
      </c>
      <c r="AE99" s="38" t="s">
        <v>409</v>
      </c>
    </row>
    <row r="100" spans="1:31" ht="18" customHeight="1" x14ac:dyDescent="0.25">
      <c r="A1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" s="79">
        <v>4</v>
      </c>
      <c r="C100" s="23">
        <v>44497</v>
      </c>
      <c r="D100" s="67">
        <f>IF(COUNTIF($G$2:$G100,$G100)=1,1,0)</f>
        <v>0</v>
      </c>
      <c r="E100" s="67" t="str">
        <f>IFERROR(VLOOKUP(База_КР_КК[[#This Row],[ИД штатной должности (S)]],'уровень защищенности'!$B$7:$F$1095,5,0),"не защищена")</f>
        <v>высокий</v>
      </c>
      <c r="F100" s="68">
        <v>500337</v>
      </c>
      <c r="G100" s="74" t="s">
        <v>2194</v>
      </c>
      <c r="H100" s="181">
        <f>INDEX('Списки данных'!$D$2:$D$1048576,MATCH(База_КР_КК[[#This Row],[Структурное подразделение]],'Списки данных'!$C$2:$C$1048576,0))</f>
        <v>18</v>
      </c>
      <c r="I100" s="80" t="s">
        <v>122</v>
      </c>
      <c r="J100" s="80" t="s">
        <v>188</v>
      </c>
      <c r="K100" s="80" t="s">
        <v>190</v>
      </c>
      <c r="L100" s="30" t="s">
        <v>191</v>
      </c>
      <c r="M100" s="68">
        <v>6</v>
      </c>
      <c r="N100" s="181" t="str">
        <f t="shared" si="1"/>
        <v>нет</v>
      </c>
      <c r="O100" s="23"/>
      <c r="P100" s="23"/>
      <c r="Q100" s="106"/>
      <c r="R100" s="37">
        <v>35</v>
      </c>
      <c r="S100" s="38" t="s">
        <v>449</v>
      </c>
      <c r="T100" s="37">
        <v>1161</v>
      </c>
      <c r="U100" s="39" t="s">
        <v>1570</v>
      </c>
      <c r="V100" s="89" t="s">
        <v>272</v>
      </c>
      <c r="W100" s="89" t="s">
        <v>122</v>
      </c>
      <c r="X100" s="106" t="s">
        <v>297</v>
      </c>
      <c r="Y100" s="107" t="s">
        <v>12</v>
      </c>
      <c r="Z100" s="67">
        <f>IF(База_КР_КК[[#This Row],[Таб.номер резервиста]]="-","-",IF(OR(База_КР_КК[[#This Row],[Уровень КК]]=2,База_КР_КК[[#This Row],[Уровень КК]]=3),IF(COUNTIFS($U$2:$U100,$U100,$F$2:$F100,$F100)=1,1,0),IF(COUNTIFS($U$2:$U100,$U100,$L$2:$L100,$L100)=1,1,0)))</f>
        <v>0</v>
      </c>
      <c r="AA1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" s="106"/>
      <c r="AC100" s="51"/>
      <c r="AD100" s="106" t="s">
        <v>17</v>
      </c>
      <c r="AE100" s="33" t="s">
        <v>409</v>
      </c>
    </row>
    <row r="101" spans="1:31" ht="18" customHeight="1" x14ac:dyDescent="0.25">
      <c r="A1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" s="79">
        <v>4</v>
      </c>
      <c r="C101" s="23">
        <v>43734</v>
      </c>
      <c r="D101" s="67">
        <f>IF(COUNTIF($G$2:$G101,$G101)=1,1,0)</f>
        <v>1</v>
      </c>
      <c r="E101" s="67" t="str">
        <f>IFERROR(VLOOKUP(База_КР_КК[[#This Row],[ИД штатной должности (S)]],'уровень защищенности'!$B$7:$F$1095,5,0),"не защищена")</f>
        <v>высокий</v>
      </c>
      <c r="F101" s="68">
        <v>500337</v>
      </c>
      <c r="G101" s="74" t="s">
        <v>2195</v>
      </c>
      <c r="H101" s="181">
        <f>INDEX('Списки данных'!$D$2:$D$1048576,MATCH(База_КР_КК[[#This Row],[Структурное подразделение]],'Списки данных'!$C$2:$C$1048576,0))</f>
        <v>18</v>
      </c>
      <c r="I101" s="80" t="s">
        <v>122</v>
      </c>
      <c r="J101" s="80" t="s">
        <v>188</v>
      </c>
      <c r="K101" s="80" t="s">
        <v>190</v>
      </c>
      <c r="L101" s="30" t="s">
        <v>191</v>
      </c>
      <c r="M101" s="68">
        <v>6</v>
      </c>
      <c r="N101" s="181" t="str">
        <f t="shared" si="1"/>
        <v>нет</v>
      </c>
      <c r="O101" s="23"/>
      <c r="P101" s="23"/>
      <c r="Q101" s="106"/>
      <c r="R101" s="37">
        <v>36</v>
      </c>
      <c r="S101" s="38" t="s">
        <v>450</v>
      </c>
      <c r="T101" s="37">
        <v>1157</v>
      </c>
      <c r="U101" s="39" t="s">
        <v>1566</v>
      </c>
      <c r="V101" s="89" t="s">
        <v>272</v>
      </c>
      <c r="W101" s="89" t="s">
        <v>122</v>
      </c>
      <c r="X101" s="106" t="s">
        <v>295</v>
      </c>
      <c r="Y101" s="107" t="s">
        <v>12</v>
      </c>
      <c r="Z101" s="67">
        <f>IF(База_КР_КК[[#This Row],[Таб.номер резервиста]]="-","-",IF(OR(База_КР_КК[[#This Row],[Уровень КК]]=2,База_КР_КК[[#This Row],[Уровень КК]]=3),IF(COUNTIFS($U$2:$U101,$U101,$F$2:$F101,$F101)=1,1,0),IF(COUNTIFS($U$2:$U101,$U101,$L$2:$L101,$L101)=1,1,0)))</f>
        <v>0</v>
      </c>
      <c r="AA1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" s="106"/>
      <c r="AC101" s="51"/>
      <c r="AD101" s="106" t="s">
        <v>13</v>
      </c>
      <c r="AE101" s="38" t="s">
        <v>409</v>
      </c>
    </row>
    <row r="102" spans="1:31" ht="18" customHeight="1" x14ac:dyDescent="0.25">
      <c r="A1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" s="79">
        <v>4</v>
      </c>
      <c r="C102" s="23">
        <v>43734</v>
      </c>
      <c r="D102" s="67">
        <f>IF(COUNTIF($G$2:$G102,$G102)=1,1,0)</f>
        <v>0</v>
      </c>
      <c r="E102" s="67" t="str">
        <f>IFERROR(VLOOKUP(База_КР_КК[[#This Row],[ИД штатной должности (S)]],'уровень защищенности'!$B$7:$F$1095,5,0),"не защищена")</f>
        <v>высокий</v>
      </c>
      <c r="F102" s="68">
        <v>500337</v>
      </c>
      <c r="G102" s="74" t="s">
        <v>2195</v>
      </c>
      <c r="H102" s="181">
        <f>INDEX('Списки данных'!$D$2:$D$1048576,MATCH(База_КР_КК[[#This Row],[Структурное подразделение]],'Списки данных'!$C$2:$C$1048576,0))</f>
        <v>18</v>
      </c>
      <c r="I102" s="80" t="s">
        <v>122</v>
      </c>
      <c r="J102" s="80" t="s">
        <v>188</v>
      </c>
      <c r="K102" s="80" t="s">
        <v>190</v>
      </c>
      <c r="L102" s="30" t="s">
        <v>191</v>
      </c>
      <c r="M102" s="68">
        <v>6</v>
      </c>
      <c r="N102" s="181" t="str">
        <f t="shared" si="1"/>
        <v>нет</v>
      </c>
      <c r="O102" s="23"/>
      <c r="P102" s="23"/>
      <c r="Q102" s="106"/>
      <c r="R102" s="37">
        <v>36</v>
      </c>
      <c r="S102" s="38" t="s">
        <v>450</v>
      </c>
      <c r="T102" s="37">
        <v>1158</v>
      </c>
      <c r="U102" s="39" t="s">
        <v>1567</v>
      </c>
      <c r="V102" s="89" t="s">
        <v>272</v>
      </c>
      <c r="W102" s="89" t="s">
        <v>122</v>
      </c>
      <c r="X102" s="106" t="s">
        <v>295</v>
      </c>
      <c r="Y102" s="107" t="s">
        <v>12</v>
      </c>
      <c r="Z102" s="67">
        <f>IF(База_КР_КК[[#This Row],[Таб.номер резервиста]]="-","-",IF(OR(База_КР_КК[[#This Row],[Уровень КК]]=2,База_КР_КК[[#This Row],[Уровень КК]]=3),IF(COUNTIFS($U$2:$U102,$U102,$F$2:$F102,$F102)=1,1,0),IF(COUNTIFS($U$2:$U102,$U102,$L$2:$L102,$L102)=1,1,0)))</f>
        <v>0</v>
      </c>
      <c r="AA1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" s="106"/>
      <c r="AC102" s="51"/>
      <c r="AD102" s="106" t="s">
        <v>13</v>
      </c>
      <c r="AE102" s="38" t="s">
        <v>409</v>
      </c>
    </row>
    <row r="103" spans="1:31" ht="18" customHeight="1" x14ac:dyDescent="0.25">
      <c r="A1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" s="79">
        <v>4</v>
      </c>
      <c r="C103" s="23">
        <v>43734</v>
      </c>
      <c r="D103" s="67">
        <f>IF(COUNTIF($G$2:$G103,$G103)=1,1,0)</f>
        <v>0</v>
      </c>
      <c r="E103" s="67" t="str">
        <f>IFERROR(VLOOKUP(База_КР_КК[[#This Row],[ИД штатной должности (S)]],'уровень защищенности'!$B$7:$F$1095,5,0),"не защищена")</f>
        <v>высокий</v>
      </c>
      <c r="F103" s="68">
        <v>500337</v>
      </c>
      <c r="G103" s="74" t="s">
        <v>2195</v>
      </c>
      <c r="H103" s="181">
        <f>INDEX('Списки данных'!$D$2:$D$1048576,MATCH(База_КР_КК[[#This Row],[Структурное подразделение]],'Списки данных'!$C$2:$C$1048576,0))</f>
        <v>18</v>
      </c>
      <c r="I103" s="80" t="s">
        <v>122</v>
      </c>
      <c r="J103" s="80" t="s">
        <v>188</v>
      </c>
      <c r="K103" s="80" t="s">
        <v>190</v>
      </c>
      <c r="L103" s="30" t="s">
        <v>191</v>
      </c>
      <c r="M103" s="68">
        <v>6</v>
      </c>
      <c r="N103" s="181" t="str">
        <f t="shared" si="1"/>
        <v>нет</v>
      </c>
      <c r="O103" s="23"/>
      <c r="P103" s="23"/>
      <c r="Q103" s="106"/>
      <c r="R103" s="37">
        <v>36</v>
      </c>
      <c r="S103" s="38" t="s">
        <v>450</v>
      </c>
      <c r="T103" s="37">
        <v>1159</v>
      </c>
      <c r="U103" s="39" t="s">
        <v>1568</v>
      </c>
      <c r="V103" s="89" t="s">
        <v>272</v>
      </c>
      <c r="W103" s="89" t="s">
        <v>122</v>
      </c>
      <c r="X103" s="106" t="s">
        <v>295</v>
      </c>
      <c r="Y103" s="107" t="s">
        <v>12</v>
      </c>
      <c r="Z103" s="67">
        <f>IF(База_КР_КК[[#This Row],[Таб.номер резервиста]]="-","-",IF(OR(База_КР_КК[[#This Row],[Уровень КК]]=2,База_КР_КК[[#This Row],[Уровень КК]]=3),IF(COUNTIFS($U$2:$U103,$U103,$F$2:$F103,$F103)=1,1,0),IF(COUNTIFS($U$2:$U103,$U103,$L$2:$L103,$L103)=1,1,0)))</f>
        <v>0</v>
      </c>
      <c r="AA1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" s="106"/>
      <c r="AC103" s="51"/>
      <c r="AD103" s="106" t="s">
        <v>13</v>
      </c>
      <c r="AE103" s="38" t="s">
        <v>409</v>
      </c>
    </row>
    <row r="104" spans="1:31" ht="18" customHeight="1" x14ac:dyDescent="0.25">
      <c r="A1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4" s="79">
        <v>4</v>
      </c>
      <c r="C104" s="23">
        <v>43734</v>
      </c>
      <c r="D104" s="67">
        <f>IF(COUNTIF($G$2:$G104,$G104)=1,1,0)</f>
        <v>0</v>
      </c>
      <c r="E104" s="67" t="str">
        <f>IFERROR(VLOOKUP(База_КР_КК[[#This Row],[ИД штатной должности (S)]],'уровень защищенности'!$B$7:$F$1095,5,0),"не защищена")</f>
        <v>высокий</v>
      </c>
      <c r="F104" s="68">
        <v>500337</v>
      </c>
      <c r="G104" s="74" t="s">
        <v>2195</v>
      </c>
      <c r="H104" s="181">
        <f>INDEX('Списки данных'!$D$2:$D$1048576,MATCH(База_КР_КК[[#This Row],[Структурное подразделение]],'Списки данных'!$C$2:$C$1048576,0))</f>
        <v>18</v>
      </c>
      <c r="I104" s="80" t="s">
        <v>122</v>
      </c>
      <c r="J104" s="80" t="s">
        <v>188</v>
      </c>
      <c r="K104" s="80" t="s">
        <v>190</v>
      </c>
      <c r="L104" s="30" t="s">
        <v>191</v>
      </c>
      <c r="M104" s="68">
        <v>6</v>
      </c>
      <c r="N104" s="181" t="str">
        <f t="shared" si="1"/>
        <v>нет</v>
      </c>
      <c r="O104" s="23"/>
      <c r="P104" s="23"/>
      <c r="Q104" s="106"/>
      <c r="R104" s="37">
        <v>36</v>
      </c>
      <c r="S104" s="38" t="s">
        <v>450</v>
      </c>
      <c r="T104" s="37">
        <v>1160</v>
      </c>
      <c r="U104" s="39" t="s">
        <v>1569</v>
      </c>
      <c r="V104" s="89" t="s">
        <v>272</v>
      </c>
      <c r="W104" s="89" t="s">
        <v>122</v>
      </c>
      <c r="X104" s="106" t="s">
        <v>295</v>
      </c>
      <c r="Y104" s="107" t="s">
        <v>12</v>
      </c>
      <c r="Z104" s="67">
        <f>IF(База_КР_КК[[#This Row],[Таб.номер резервиста]]="-","-",IF(OR(База_КР_КК[[#This Row],[Уровень КК]]=2,База_КР_КК[[#This Row],[Уровень КК]]=3),IF(COUNTIFS($U$2:$U104,$U104,$F$2:$F104,$F104)=1,1,0),IF(COUNTIFS($U$2:$U104,$U104,$L$2:$L104,$L104)=1,1,0)))</f>
        <v>0</v>
      </c>
      <c r="AA1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" s="106"/>
      <c r="AC104" s="51"/>
      <c r="AD104" s="106" t="s">
        <v>13</v>
      </c>
      <c r="AE104" s="38" t="s">
        <v>409</v>
      </c>
    </row>
    <row r="105" spans="1:31" ht="18" customHeight="1" x14ac:dyDescent="0.25">
      <c r="A1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5" s="79">
        <v>4</v>
      </c>
      <c r="C105" s="23">
        <v>44497</v>
      </c>
      <c r="D105" s="67">
        <f>IF(COUNTIF($G$2:$G105,$G105)=1,1,0)</f>
        <v>0</v>
      </c>
      <c r="E105" s="67" t="str">
        <f>IFERROR(VLOOKUP(База_КР_КК[[#This Row],[ИД штатной должности (S)]],'уровень защищенности'!$B$7:$F$1095,5,0),"не защищена")</f>
        <v>высокий</v>
      </c>
      <c r="F105" s="68">
        <v>500337</v>
      </c>
      <c r="G105" s="74" t="s">
        <v>2195</v>
      </c>
      <c r="H105" s="181">
        <f>INDEX('Списки данных'!$D$2:$D$1048576,MATCH(База_КР_КК[[#This Row],[Структурное подразделение]],'Списки данных'!$C$2:$C$1048576,0))</f>
        <v>18</v>
      </c>
      <c r="I105" s="80" t="s">
        <v>122</v>
      </c>
      <c r="J105" s="80" t="s">
        <v>188</v>
      </c>
      <c r="K105" s="80" t="s">
        <v>190</v>
      </c>
      <c r="L105" s="30" t="s">
        <v>191</v>
      </c>
      <c r="M105" s="68">
        <v>6</v>
      </c>
      <c r="N105" s="181" t="str">
        <f t="shared" si="1"/>
        <v>нет</v>
      </c>
      <c r="O105" s="23"/>
      <c r="P105" s="23"/>
      <c r="Q105" s="106"/>
      <c r="R105" s="37">
        <v>36</v>
      </c>
      <c r="S105" s="38" t="s">
        <v>450</v>
      </c>
      <c r="T105" s="37">
        <v>1161</v>
      </c>
      <c r="U105" s="39" t="s">
        <v>1570</v>
      </c>
      <c r="V105" s="89" t="s">
        <v>272</v>
      </c>
      <c r="W105" s="89" t="s">
        <v>122</v>
      </c>
      <c r="X105" s="106" t="s">
        <v>297</v>
      </c>
      <c r="Y105" s="107" t="s">
        <v>12</v>
      </c>
      <c r="Z105" s="67">
        <f>IF(База_КР_КК[[#This Row],[Таб.номер резервиста]]="-","-",IF(OR(База_КР_КК[[#This Row],[Уровень КК]]=2,База_КР_КК[[#This Row],[Уровень КК]]=3),IF(COUNTIFS($U$2:$U105,$U105,$F$2:$F105,$F105)=1,1,0),IF(COUNTIFS($U$2:$U105,$U105,$L$2:$L105,$L105)=1,1,0)))</f>
        <v>0</v>
      </c>
      <c r="AA1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" s="106"/>
      <c r="AC105" s="51"/>
      <c r="AD105" s="106" t="s">
        <v>17</v>
      </c>
      <c r="AE105" s="33" t="s">
        <v>409</v>
      </c>
    </row>
    <row r="106" spans="1:31" ht="18" customHeight="1" x14ac:dyDescent="0.25">
      <c r="A1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6" s="79">
        <v>4</v>
      </c>
      <c r="C106" s="23">
        <v>43734</v>
      </c>
      <c r="D106" s="67">
        <f>IF(COUNTIF($G$2:$G106,$G106)=1,1,0)</f>
        <v>1</v>
      </c>
      <c r="E106" s="67" t="str">
        <f>IFERROR(VLOOKUP(База_КР_КК[[#This Row],[ИД штатной должности (S)]],'уровень защищенности'!$B$7:$F$1095,5,0),"не защищена")</f>
        <v>высокий</v>
      </c>
      <c r="F106" s="68">
        <v>500337</v>
      </c>
      <c r="G106" s="74" t="s">
        <v>2196</v>
      </c>
      <c r="H106" s="181">
        <f>INDEX('Списки данных'!$D$2:$D$1048576,MATCH(База_КР_КК[[#This Row],[Структурное подразделение]],'Списки данных'!$C$2:$C$1048576,0))</f>
        <v>18</v>
      </c>
      <c r="I106" s="80" t="s">
        <v>122</v>
      </c>
      <c r="J106" s="80" t="s">
        <v>188</v>
      </c>
      <c r="K106" s="80" t="s">
        <v>190</v>
      </c>
      <c r="L106" s="30" t="s">
        <v>191</v>
      </c>
      <c r="M106" s="68">
        <v>6</v>
      </c>
      <c r="N106" s="181" t="str">
        <f t="shared" si="1"/>
        <v>нет</v>
      </c>
      <c r="O106" s="23"/>
      <c r="P106" s="23"/>
      <c r="Q106" s="106"/>
      <c r="R106" s="37">
        <v>37</v>
      </c>
      <c r="S106" s="38" t="s">
        <v>451</v>
      </c>
      <c r="T106" s="37">
        <v>1157</v>
      </c>
      <c r="U106" s="39" t="s">
        <v>1566</v>
      </c>
      <c r="V106" s="89" t="s">
        <v>272</v>
      </c>
      <c r="W106" s="89" t="s">
        <v>122</v>
      </c>
      <c r="X106" s="106" t="s">
        <v>295</v>
      </c>
      <c r="Y106" s="107" t="s">
        <v>12</v>
      </c>
      <c r="Z106" s="67">
        <f>IF(База_КР_КК[[#This Row],[Таб.номер резервиста]]="-","-",IF(OR(База_КР_КК[[#This Row],[Уровень КК]]=2,База_КР_КК[[#This Row],[Уровень КК]]=3),IF(COUNTIFS($U$2:$U106,$U106,$F$2:$F106,$F106)=1,1,0),IF(COUNTIFS($U$2:$U106,$U106,$L$2:$L106,$L106)=1,1,0)))</f>
        <v>0</v>
      </c>
      <c r="AA1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" s="106"/>
      <c r="AC106" s="51"/>
      <c r="AD106" s="106" t="s">
        <v>13</v>
      </c>
      <c r="AE106" s="38" t="s">
        <v>409</v>
      </c>
    </row>
    <row r="107" spans="1:31" ht="18" customHeight="1" x14ac:dyDescent="0.25">
      <c r="A1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7" s="79">
        <v>4</v>
      </c>
      <c r="C107" s="23">
        <v>43734</v>
      </c>
      <c r="D107" s="67">
        <f>IF(COUNTIF($G$2:$G107,$G107)=1,1,0)</f>
        <v>0</v>
      </c>
      <c r="E107" s="67" t="str">
        <f>IFERROR(VLOOKUP(База_КР_КК[[#This Row],[ИД штатной должности (S)]],'уровень защищенности'!$B$7:$F$1095,5,0),"не защищена")</f>
        <v>высокий</v>
      </c>
      <c r="F107" s="68">
        <v>500337</v>
      </c>
      <c r="G107" s="74" t="s">
        <v>2196</v>
      </c>
      <c r="H107" s="181">
        <f>INDEX('Списки данных'!$D$2:$D$1048576,MATCH(База_КР_КК[[#This Row],[Структурное подразделение]],'Списки данных'!$C$2:$C$1048576,0))</f>
        <v>18</v>
      </c>
      <c r="I107" s="80" t="s">
        <v>122</v>
      </c>
      <c r="J107" s="80" t="s">
        <v>188</v>
      </c>
      <c r="K107" s="80" t="s">
        <v>190</v>
      </c>
      <c r="L107" s="30" t="s">
        <v>191</v>
      </c>
      <c r="M107" s="68">
        <v>6</v>
      </c>
      <c r="N107" s="181" t="str">
        <f t="shared" si="1"/>
        <v>нет</v>
      </c>
      <c r="O107" s="23"/>
      <c r="P107" s="23"/>
      <c r="Q107" s="106"/>
      <c r="R107" s="37">
        <v>37</v>
      </c>
      <c r="S107" s="38" t="s">
        <v>451</v>
      </c>
      <c r="T107" s="37">
        <v>1158</v>
      </c>
      <c r="U107" s="39" t="s">
        <v>1567</v>
      </c>
      <c r="V107" s="89" t="s">
        <v>272</v>
      </c>
      <c r="W107" s="89" t="s">
        <v>122</v>
      </c>
      <c r="X107" s="106" t="s">
        <v>295</v>
      </c>
      <c r="Y107" s="107" t="s">
        <v>12</v>
      </c>
      <c r="Z107" s="67">
        <f>IF(База_КР_КК[[#This Row],[Таб.номер резервиста]]="-","-",IF(OR(База_КР_КК[[#This Row],[Уровень КК]]=2,База_КР_КК[[#This Row],[Уровень КК]]=3),IF(COUNTIFS($U$2:$U107,$U107,$F$2:$F107,$F107)=1,1,0),IF(COUNTIFS($U$2:$U107,$U107,$L$2:$L107,$L107)=1,1,0)))</f>
        <v>0</v>
      </c>
      <c r="AA1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7" s="106"/>
      <c r="AC107" s="51"/>
      <c r="AD107" s="106" t="s">
        <v>13</v>
      </c>
      <c r="AE107" s="38" t="s">
        <v>409</v>
      </c>
    </row>
    <row r="108" spans="1:31" ht="18" customHeight="1" x14ac:dyDescent="0.25">
      <c r="A1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8" s="79">
        <v>4</v>
      </c>
      <c r="C108" s="23">
        <v>43734</v>
      </c>
      <c r="D108" s="67">
        <f>IF(COUNTIF($G$2:$G108,$G108)=1,1,0)</f>
        <v>0</v>
      </c>
      <c r="E108" s="67" t="str">
        <f>IFERROR(VLOOKUP(База_КР_КК[[#This Row],[ИД штатной должности (S)]],'уровень защищенности'!$B$7:$F$1095,5,0),"не защищена")</f>
        <v>высокий</v>
      </c>
      <c r="F108" s="68">
        <v>500337</v>
      </c>
      <c r="G108" s="74" t="s">
        <v>2196</v>
      </c>
      <c r="H108" s="181">
        <f>INDEX('Списки данных'!$D$2:$D$1048576,MATCH(База_КР_КК[[#This Row],[Структурное подразделение]],'Списки данных'!$C$2:$C$1048576,0))</f>
        <v>18</v>
      </c>
      <c r="I108" s="80" t="s">
        <v>122</v>
      </c>
      <c r="J108" s="80" t="s">
        <v>188</v>
      </c>
      <c r="K108" s="80" t="s">
        <v>190</v>
      </c>
      <c r="L108" s="30" t="s">
        <v>191</v>
      </c>
      <c r="M108" s="68">
        <v>6</v>
      </c>
      <c r="N108" s="181" t="str">
        <f t="shared" si="1"/>
        <v>нет</v>
      </c>
      <c r="O108" s="23"/>
      <c r="P108" s="23"/>
      <c r="Q108" s="106"/>
      <c r="R108" s="37">
        <v>37</v>
      </c>
      <c r="S108" s="38" t="s">
        <v>451</v>
      </c>
      <c r="T108" s="37">
        <v>1159</v>
      </c>
      <c r="U108" s="39" t="s">
        <v>1568</v>
      </c>
      <c r="V108" s="89" t="s">
        <v>272</v>
      </c>
      <c r="W108" s="89" t="s">
        <v>122</v>
      </c>
      <c r="X108" s="106" t="s">
        <v>295</v>
      </c>
      <c r="Y108" s="107" t="s">
        <v>12</v>
      </c>
      <c r="Z108" s="67">
        <f>IF(База_КР_КК[[#This Row],[Таб.номер резервиста]]="-","-",IF(OR(База_КР_КК[[#This Row],[Уровень КК]]=2,База_КР_КК[[#This Row],[Уровень КК]]=3),IF(COUNTIFS($U$2:$U108,$U108,$F$2:$F108,$F108)=1,1,0),IF(COUNTIFS($U$2:$U108,$U108,$L$2:$L108,$L108)=1,1,0)))</f>
        <v>0</v>
      </c>
      <c r="AA1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" s="106"/>
      <c r="AC108" s="51"/>
      <c r="AD108" s="106" t="s">
        <v>13</v>
      </c>
      <c r="AE108" s="38" t="s">
        <v>409</v>
      </c>
    </row>
    <row r="109" spans="1:31" ht="18" customHeight="1" x14ac:dyDescent="0.25">
      <c r="A1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9" s="79">
        <v>4</v>
      </c>
      <c r="C109" s="23">
        <v>43734</v>
      </c>
      <c r="D109" s="67">
        <f>IF(COUNTIF($G$2:$G109,$G109)=1,1,0)</f>
        <v>0</v>
      </c>
      <c r="E109" s="67" t="str">
        <f>IFERROR(VLOOKUP(База_КР_КК[[#This Row],[ИД штатной должности (S)]],'уровень защищенности'!$B$7:$F$1095,5,0),"не защищена")</f>
        <v>высокий</v>
      </c>
      <c r="F109" s="68">
        <v>500337</v>
      </c>
      <c r="G109" s="74" t="s">
        <v>2196</v>
      </c>
      <c r="H109" s="181">
        <f>INDEX('Списки данных'!$D$2:$D$1048576,MATCH(База_КР_КК[[#This Row],[Структурное подразделение]],'Списки данных'!$C$2:$C$1048576,0))</f>
        <v>18</v>
      </c>
      <c r="I109" s="80" t="s">
        <v>122</v>
      </c>
      <c r="J109" s="80" t="s">
        <v>188</v>
      </c>
      <c r="K109" s="80" t="s">
        <v>190</v>
      </c>
      <c r="L109" s="30" t="s">
        <v>191</v>
      </c>
      <c r="M109" s="68">
        <v>6</v>
      </c>
      <c r="N109" s="181" t="str">
        <f t="shared" si="1"/>
        <v>нет</v>
      </c>
      <c r="O109" s="23"/>
      <c r="P109" s="23"/>
      <c r="Q109" s="106"/>
      <c r="R109" s="37">
        <v>37</v>
      </c>
      <c r="S109" s="38" t="s">
        <v>451</v>
      </c>
      <c r="T109" s="37">
        <v>1160</v>
      </c>
      <c r="U109" s="39" t="s">
        <v>1569</v>
      </c>
      <c r="V109" s="89" t="s">
        <v>272</v>
      </c>
      <c r="W109" s="89" t="s">
        <v>122</v>
      </c>
      <c r="X109" s="106" t="s">
        <v>295</v>
      </c>
      <c r="Y109" s="107" t="s">
        <v>12</v>
      </c>
      <c r="Z109" s="67">
        <f>IF(База_КР_КК[[#This Row],[Таб.номер резервиста]]="-","-",IF(OR(База_КР_КК[[#This Row],[Уровень КК]]=2,База_КР_КК[[#This Row],[Уровень КК]]=3),IF(COUNTIFS($U$2:$U109,$U109,$F$2:$F109,$F109)=1,1,0),IF(COUNTIFS($U$2:$U109,$U109,$L$2:$L109,$L109)=1,1,0)))</f>
        <v>0</v>
      </c>
      <c r="AA1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9" s="106"/>
      <c r="AC109" s="51"/>
      <c r="AD109" s="106" t="s">
        <v>13</v>
      </c>
      <c r="AE109" s="38" t="s">
        <v>409</v>
      </c>
    </row>
    <row r="110" spans="1:31" ht="18" customHeight="1" x14ac:dyDescent="0.25">
      <c r="A1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0" s="79">
        <v>4</v>
      </c>
      <c r="C110" s="23">
        <v>44497</v>
      </c>
      <c r="D110" s="67">
        <f>IF(COUNTIF($G$2:$G110,$G110)=1,1,0)</f>
        <v>0</v>
      </c>
      <c r="E110" s="67" t="str">
        <f>IFERROR(VLOOKUP(База_КР_КК[[#This Row],[ИД штатной должности (S)]],'уровень защищенности'!$B$7:$F$1095,5,0),"не защищена")</f>
        <v>высокий</v>
      </c>
      <c r="F110" s="68">
        <v>500337</v>
      </c>
      <c r="G110" s="74" t="s">
        <v>2196</v>
      </c>
      <c r="H110" s="181">
        <f>INDEX('Списки данных'!$D$2:$D$1048576,MATCH(База_КР_КК[[#This Row],[Структурное подразделение]],'Списки данных'!$C$2:$C$1048576,0))</f>
        <v>18</v>
      </c>
      <c r="I110" s="80" t="s">
        <v>122</v>
      </c>
      <c r="J110" s="80" t="s">
        <v>188</v>
      </c>
      <c r="K110" s="80" t="s">
        <v>190</v>
      </c>
      <c r="L110" s="30" t="s">
        <v>191</v>
      </c>
      <c r="M110" s="68">
        <v>6</v>
      </c>
      <c r="N110" s="181" t="str">
        <f t="shared" si="1"/>
        <v>нет</v>
      </c>
      <c r="O110" s="23"/>
      <c r="P110" s="23"/>
      <c r="Q110" s="106"/>
      <c r="R110" s="37">
        <v>37</v>
      </c>
      <c r="S110" s="38" t="s">
        <v>451</v>
      </c>
      <c r="T110" s="37">
        <v>1161</v>
      </c>
      <c r="U110" s="39" t="s">
        <v>1570</v>
      </c>
      <c r="V110" s="89" t="s">
        <v>272</v>
      </c>
      <c r="W110" s="89" t="s">
        <v>122</v>
      </c>
      <c r="X110" s="106" t="s">
        <v>297</v>
      </c>
      <c r="Y110" s="107" t="s">
        <v>12</v>
      </c>
      <c r="Z110" s="67">
        <f>IF(База_КР_КК[[#This Row],[Таб.номер резервиста]]="-","-",IF(OR(База_КР_КК[[#This Row],[Уровень КК]]=2,База_КР_КК[[#This Row],[Уровень КК]]=3),IF(COUNTIFS($U$2:$U110,$U110,$F$2:$F110,$F110)=1,1,0),IF(COUNTIFS($U$2:$U110,$U110,$L$2:$L110,$L110)=1,1,0)))</f>
        <v>0</v>
      </c>
      <c r="AA1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" s="106"/>
      <c r="AC110" s="51"/>
      <c r="AD110" s="106" t="s">
        <v>17</v>
      </c>
      <c r="AE110" s="33" t="s">
        <v>409</v>
      </c>
    </row>
    <row r="111" spans="1:31" ht="18" customHeight="1" x14ac:dyDescent="0.25">
      <c r="A1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1" s="79">
        <v>4</v>
      </c>
      <c r="C111" s="23">
        <v>43734</v>
      </c>
      <c r="D111" s="67">
        <f>IF(COUNTIF($G$2:$G111,$G111)=1,1,0)</f>
        <v>1</v>
      </c>
      <c r="E111" s="67" t="str">
        <f>IFERROR(VLOOKUP(База_КР_КК[[#This Row],[ИД штатной должности (S)]],'уровень защищенности'!$B$7:$F$1095,5,0),"не защищена")</f>
        <v>высокий</v>
      </c>
      <c r="F111" s="68">
        <v>500338</v>
      </c>
      <c r="G111" s="74" t="s">
        <v>2197</v>
      </c>
      <c r="H111" s="181">
        <f>INDEX('Списки данных'!$D$2:$D$1048576,MATCH(База_КР_КК[[#This Row],[Структурное подразделение]],'Списки данных'!$C$2:$C$1048576,0))</f>
        <v>18</v>
      </c>
      <c r="I111" s="80" t="s">
        <v>122</v>
      </c>
      <c r="J111" s="80" t="s">
        <v>188</v>
      </c>
      <c r="K111" s="80" t="s">
        <v>21</v>
      </c>
      <c r="L111" s="30" t="s">
        <v>191</v>
      </c>
      <c r="M111" s="68">
        <v>6</v>
      </c>
      <c r="N111" s="181" t="str">
        <f t="shared" si="1"/>
        <v>да</v>
      </c>
      <c r="O111" s="23">
        <v>44777</v>
      </c>
      <c r="P111" s="23">
        <v>44778</v>
      </c>
      <c r="Q111" s="106" t="s">
        <v>57</v>
      </c>
      <c r="R111" s="37">
        <v>38</v>
      </c>
      <c r="S111" s="39" t="s">
        <v>452</v>
      </c>
      <c r="T111" s="37">
        <v>1162</v>
      </c>
      <c r="U111" s="39" t="s">
        <v>1571</v>
      </c>
      <c r="V111" s="89" t="s">
        <v>272</v>
      </c>
      <c r="W111" s="89" t="s">
        <v>122</v>
      </c>
      <c r="X111" s="106" t="s">
        <v>295</v>
      </c>
      <c r="Y111" s="107" t="s">
        <v>12</v>
      </c>
      <c r="Z111" s="67">
        <f>IF(База_КР_КК[[#This Row],[Таб.номер резервиста]]="-","-",IF(OR(База_КР_КК[[#This Row],[Уровень КК]]=2,База_КР_КК[[#This Row],[Уровень КК]]=3),IF(COUNTIFS($U$2:$U111,$U111,$F$2:$F111,$F111)=1,1,0),IF(COUNTIFS($U$2:$U111,$U111,$L$2:$L111,$L111)=1,1,0)))</f>
        <v>1</v>
      </c>
      <c r="AA1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" s="106"/>
      <c r="AC111" s="51"/>
      <c r="AD111" s="106" t="s">
        <v>13</v>
      </c>
      <c r="AE111" s="38" t="s">
        <v>409</v>
      </c>
    </row>
    <row r="112" spans="1:31" ht="18" customHeight="1" x14ac:dyDescent="0.25">
      <c r="A1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2" s="79">
        <v>4</v>
      </c>
      <c r="C112" s="23">
        <v>43734</v>
      </c>
      <c r="D112" s="67">
        <f>IF(COUNTIF($G$2:$G112,$G112)=1,1,0)</f>
        <v>0</v>
      </c>
      <c r="E112" s="67" t="str">
        <f>IFERROR(VLOOKUP(База_КР_КК[[#This Row],[ИД штатной должности (S)]],'уровень защищенности'!$B$7:$F$1095,5,0),"не защищена")</f>
        <v>высокий</v>
      </c>
      <c r="F112" s="68">
        <v>500338</v>
      </c>
      <c r="G112" s="74" t="s">
        <v>2197</v>
      </c>
      <c r="H112" s="181">
        <f>INDEX('Списки данных'!$D$2:$D$1048576,MATCH(База_КР_КК[[#This Row],[Структурное подразделение]],'Списки данных'!$C$2:$C$1048576,0))</f>
        <v>18</v>
      </c>
      <c r="I112" s="80" t="s">
        <v>122</v>
      </c>
      <c r="J112" s="80" t="s">
        <v>188</v>
      </c>
      <c r="K112" s="80" t="s">
        <v>21</v>
      </c>
      <c r="L112" s="30" t="s">
        <v>191</v>
      </c>
      <c r="M112" s="68">
        <v>6</v>
      </c>
      <c r="N112" s="181" t="str">
        <f t="shared" si="1"/>
        <v>да</v>
      </c>
      <c r="O112" s="23">
        <v>44777</v>
      </c>
      <c r="P112" s="23">
        <v>44778</v>
      </c>
      <c r="Q112" s="106" t="s">
        <v>57</v>
      </c>
      <c r="R112" s="37">
        <v>38</v>
      </c>
      <c r="S112" s="39" t="s">
        <v>452</v>
      </c>
      <c r="T112" s="37">
        <v>1163</v>
      </c>
      <c r="U112" s="39" t="s">
        <v>1572</v>
      </c>
      <c r="V112" s="89" t="s">
        <v>272</v>
      </c>
      <c r="W112" s="89" t="s">
        <v>122</v>
      </c>
      <c r="X112" s="106" t="s">
        <v>295</v>
      </c>
      <c r="Y112" s="107" t="s">
        <v>12</v>
      </c>
      <c r="Z112" s="67">
        <f>IF(База_КР_КК[[#This Row],[Таб.номер резервиста]]="-","-",IF(OR(База_КР_КК[[#This Row],[Уровень КК]]=2,База_КР_КК[[#This Row],[Уровень КК]]=3),IF(COUNTIFS($U$2:$U112,$U112,$F$2:$F112,$F112)=1,1,0),IF(COUNTIFS($U$2:$U112,$U112,$L$2:$L112,$L112)=1,1,0)))</f>
        <v>1</v>
      </c>
      <c r="AA1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" s="106"/>
      <c r="AC112" s="51"/>
      <c r="AD112" s="106" t="s">
        <v>13</v>
      </c>
      <c r="AE112" s="38" t="s">
        <v>409</v>
      </c>
    </row>
    <row r="113" spans="1:31" ht="18" customHeight="1" x14ac:dyDescent="0.25">
      <c r="A1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3" s="79">
        <v>4</v>
      </c>
      <c r="C113" s="23">
        <v>44887</v>
      </c>
      <c r="D113" s="67">
        <f>IF(COUNTIF($G$2:$G113,$G113)=1,1,0)</f>
        <v>0</v>
      </c>
      <c r="E113" s="67" t="str">
        <f>IFERROR(VLOOKUP(База_КР_КК[[#This Row],[ИД штатной должности (S)]],'уровень защищенности'!$B$7:$F$1095,5,0),"не защищена")</f>
        <v>высокий</v>
      </c>
      <c r="F113" s="68">
        <v>500338</v>
      </c>
      <c r="G113" s="74" t="s">
        <v>2197</v>
      </c>
      <c r="H113" s="181">
        <f>INDEX('Списки данных'!$D$2:$D$1048576,MATCH(База_КР_КК[[#This Row],[Структурное подразделение]],'Списки данных'!$C$2:$C$1048576,0))</f>
        <v>18</v>
      </c>
      <c r="I113" s="80" t="s">
        <v>122</v>
      </c>
      <c r="J113" s="80" t="s">
        <v>188</v>
      </c>
      <c r="K113" s="80" t="s">
        <v>21</v>
      </c>
      <c r="L113" s="30" t="s">
        <v>191</v>
      </c>
      <c r="M113" s="68">
        <v>6</v>
      </c>
      <c r="N113" s="181" t="str">
        <f t="shared" si="1"/>
        <v>да</v>
      </c>
      <c r="O113" s="23">
        <v>44777</v>
      </c>
      <c r="P113" s="23">
        <v>44778</v>
      </c>
      <c r="Q113" s="106" t="s">
        <v>57</v>
      </c>
      <c r="R113" s="37">
        <v>38</v>
      </c>
      <c r="S113" s="39" t="s">
        <v>452</v>
      </c>
      <c r="T113" s="37">
        <v>1164</v>
      </c>
      <c r="U113" s="38" t="s">
        <v>1573</v>
      </c>
      <c r="V113" s="69" t="s">
        <v>272</v>
      </c>
      <c r="W113" s="89" t="s">
        <v>122</v>
      </c>
      <c r="X113" s="106" t="s">
        <v>296</v>
      </c>
      <c r="Y113" s="107" t="s">
        <v>12</v>
      </c>
      <c r="Z113" s="67">
        <f>IF(База_КР_КК[[#This Row],[Таб.номер резервиста]]="-","-",IF(OR(База_КР_КК[[#This Row],[Уровень КК]]=2,База_КР_КК[[#This Row],[Уровень КК]]=3),IF(COUNTIFS($U$2:$U113,$U113,$F$2:$F113,$F113)=1,1,0),IF(COUNTIFS($U$2:$U113,$U113,$L$2:$L113,$L113)=1,1,0)))</f>
        <v>1</v>
      </c>
      <c r="AA1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" s="106"/>
      <c r="AC113" s="51"/>
      <c r="AD113" s="106" t="s">
        <v>15</v>
      </c>
      <c r="AE113" s="33" t="s">
        <v>409</v>
      </c>
    </row>
    <row r="114" spans="1:31" ht="18" customHeight="1" x14ac:dyDescent="0.25">
      <c r="A1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4" s="79">
        <v>4</v>
      </c>
      <c r="C114" s="23">
        <v>43734</v>
      </c>
      <c r="D114" s="67">
        <f>IF(COUNTIF($G$2:$G114,$G114)=1,1,0)</f>
        <v>0</v>
      </c>
      <c r="E114" s="67" t="str">
        <f>IFERROR(VLOOKUP(База_КР_КК[[#This Row],[ИД штатной должности (S)]],'уровень защищенности'!$B$7:$F$1095,5,0),"не защищена")</f>
        <v>высокий</v>
      </c>
      <c r="F114" s="68">
        <v>500338</v>
      </c>
      <c r="G114" s="74" t="s">
        <v>2197</v>
      </c>
      <c r="H114" s="181">
        <f>INDEX('Списки данных'!$D$2:$D$1048576,MATCH(База_КР_КК[[#This Row],[Структурное подразделение]],'Списки данных'!$C$2:$C$1048576,0))</f>
        <v>18</v>
      </c>
      <c r="I114" s="80" t="s">
        <v>122</v>
      </c>
      <c r="J114" s="80" t="s">
        <v>188</v>
      </c>
      <c r="K114" s="80" t="s">
        <v>21</v>
      </c>
      <c r="L114" s="30" t="s">
        <v>191</v>
      </c>
      <c r="M114" s="68">
        <v>6</v>
      </c>
      <c r="N114" s="181" t="str">
        <f t="shared" si="1"/>
        <v>да</v>
      </c>
      <c r="O114" s="23">
        <v>44777</v>
      </c>
      <c r="P114" s="23">
        <v>44778</v>
      </c>
      <c r="Q114" s="106" t="s">
        <v>57</v>
      </c>
      <c r="R114" s="37">
        <v>38</v>
      </c>
      <c r="S114" s="39" t="s">
        <v>452</v>
      </c>
      <c r="T114" s="37">
        <v>1165</v>
      </c>
      <c r="U114" s="39" t="s">
        <v>1574</v>
      </c>
      <c r="V114" s="89" t="s">
        <v>192</v>
      </c>
      <c r="W114" s="89" t="s">
        <v>122</v>
      </c>
      <c r="X114" s="106" t="s">
        <v>295</v>
      </c>
      <c r="Y114" s="107" t="s">
        <v>18</v>
      </c>
      <c r="Z114" s="67">
        <f>IF(База_КР_КК[[#This Row],[Таб.номер резервиста]]="-","-",IF(OR(База_КР_КК[[#This Row],[Уровень КК]]=2,База_КР_КК[[#This Row],[Уровень КК]]=3),IF(COUNTIFS($U$2:$U114,$U114,$F$2:$F114,$F114)=1,1,0),IF(COUNTIFS($U$2:$U114,$U114,$L$2:$L114,$L114)=1,1,0)))</f>
        <v>1</v>
      </c>
      <c r="AA1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" s="106"/>
      <c r="AC114" s="51">
        <v>45252</v>
      </c>
      <c r="AD114" s="106" t="s">
        <v>31</v>
      </c>
      <c r="AE114" s="38" t="s">
        <v>409</v>
      </c>
    </row>
    <row r="115" spans="1:31" ht="18" customHeight="1" x14ac:dyDescent="0.25">
      <c r="A1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5" s="79">
        <v>4</v>
      </c>
      <c r="C115" s="23">
        <v>43734</v>
      </c>
      <c r="D115" s="67">
        <f>IF(COUNTIF($G$2:$G115,$G115)=1,1,0)</f>
        <v>0</v>
      </c>
      <c r="E115" s="67" t="str">
        <f>IFERROR(VLOOKUP(База_КР_КК[[#This Row],[ИД штатной должности (S)]],'уровень защищенности'!$B$7:$F$1095,5,0),"не защищена")</f>
        <v>высокий</v>
      </c>
      <c r="F115" s="68">
        <v>500338</v>
      </c>
      <c r="G115" s="74" t="s">
        <v>2197</v>
      </c>
      <c r="H115" s="181">
        <f>INDEX('Списки данных'!$D$2:$D$1048576,MATCH(База_КР_КК[[#This Row],[Структурное подразделение]],'Списки данных'!$C$2:$C$1048576,0))</f>
        <v>18</v>
      </c>
      <c r="I115" s="80" t="s">
        <v>122</v>
      </c>
      <c r="J115" s="80" t="s">
        <v>188</v>
      </c>
      <c r="K115" s="80" t="s">
        <v>21</v>
      </c>
      <c r="L115" s="30" t="s">
        <v>191</v>
      </c>
      <c r="M115" s="68">
        <v>6</v>
      </c>
      <c r="N115" s="181" t="str">
        <f t="shared" si="1"/>
        <v>да</v>
      </c>
      <c r="O115" s="23">
        <v>44777</v>
      </c>
      <c r="P115" s="23">
        <v>44778</v>
      </c>
      <c r="Q115" s="106" t="s">
        <v>57</v>
      </c>
      <c r="R115" s="37">
        <v>38</v>
      </c>
      <c r="S115" s="39" t="s">
        <v>452</v>
      </c>
      <c r="T115" s="37">
        <v>1166</v>
      </c>
      <c r="U115" s="39" t="s">
        <v>1575</v>
      </c>
      <c r="V115" s="89" t="s">
        <v>272</v>
      </c>
      <c r="W115" s="89" t="s">
        <v>122</v>
      </c>
      <c r="X115" s="106" t="s">
        <v>295</v>
      </c>
      <c r="Y115" s="107" t="s">
        <v>18</v>
      </c>
      <c r="Z115" s="67">
        <f>IF(База_КР_КК[[#This Row],[Таб.номер резервиста]]="-","-",IF(OR(База_КР_КК[[#This Row],[Уровень КК]]=2,База_КР_КК[[#This Row],[Уровень КК]]=3),IF(COUNTIFS($U$2:$U115,$U115,$F$2:$F115,$F115)=1,1,0),IF(COUNTIFS($U$2:$U115,$U115,$L$2:$L115,$L115)=1,1,0)))</f>
        <v>1</v>
      </c>
      <c r="AA1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" s="106" t="s">
        <v>19</v>
      </c>
      <c r="AC115" s="51">
        <v>44428</v>
      </c>
      <c r="AD115" s="106" t="s">
        <v>13</v>
      </c>
      <c r="AE115" s="38" t="s">
        <v>312</v>
      </c>
    </row>
    <row r="116" spans="1:31" ht="18" customHeight="1" x14ac:dyDescent="0.25">
      <c r="A1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6" s="79">
        <v>4</v>
      </c>
      <c r="C116" s="23">
        <v>43734</v>
      </c>
      <c r="D116" s="67">
        <f>IF(COUNTIF($G$2:$G116,$G116)=1,1,0)</f>
        <v>1</v>
      </c>
      <c r="E116" s="67" t="str">
        <f>IFERROR(VLOOKUP(База_КР_КК[[#This Row],[ИД штатной должности (S)]],'уровень защищенности'!$B$7:$F$1095,5,0),"не защищена")</f>
        <v>высокий</v>
      </c>
      <c r="F116" s="68">
        <v>500338</v>
      </c>
      <c r="G116" s="74" t="s">
        <v>2198</v>
      </c>
      <c r="H116" s="181">
        <f>INDEX('Списки данных'!$D$2:$D$1048576,MATCH(База_КР_КК[[#This Row],[Структурное подразделение]],'Списки данных'!$C$2:$C$1048576,0))</f>
        <v>18</v>
      </c>
      <c r="I116" s="80" t="s">
        <v>122</v>
      </c>
      <c r="J116" s="80" t="s">
        <v>188</v>
      </c>
      <c r="K116" s="80" t="s">
        <v>21</v>
      </c>
      <c r="L116" s="30" t="s">
        <v>191</v>
      </c>
      <c r="M116" s="68">
        <v>6</v>
      </c>
      <c r="N116" s="181" t="str">
        <f t="shared" si="1"/>
        <v>нет</v>
      </c>
      <c r="O116" s="23"/>
      <c r="P116" s="23"/>
      <c r="Q116" s="106"/>
      <c r="R116" s="37">
        <v>39</v>
      </c>
      <c r="S116" s="38" t="s">
        <v>453</v>
      </c>
      <c r="T116" s="37">
        <v>1162</v>
      </c>
      <c r="U116" s="39" t="s">
        <v>1571</v>
      </c>
      <c r="V116" s="89" t="s">
        <v>272</v>
      </c>
      <c r="W116" s="89" t="s">
        <v>122</v>
      </c>
      <c r="X116" s="106" t="s">
        <v>295</v>
      </c>
      <c r="Y116" s="107" t="s">
        <v>12</v>
      </c>
      <c r="Z116" s="67">
        <f>IF(База_КР_КК[[#This Row],[Таб.номер резервиста]]="-","-",IF(OR(База_КР_КК[[#This Row],[Уровень КК]]=2,База_КР_КК[[#This Row],[Уровень КК]]=3),IF(COUNTIFS($U$2:$U116,$U116,$F$2:$F116,$F116)=1,1,0),IF(COUNTIFS($U$2:$U116,$U116,$L$2:$L116,$L116)=1,1,0)))</f>
        <v>0</v>
      </c>
      <c r="AA1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" s="106"/>
      <c r="AC116" s="51"/>
      <c r="AD116" s="106" t="s">
        <v>13</v>
      </c>
      <c r="AE116" s="38" t="s">
        <v>409</v>
      </c>
    </row>
    <row r="117" spans="1:31" ht="18" customHeight="1" x14ac:dyDescent="0.25">
      <c r="A1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7" s="79">
        <v>4</v>
      </c>
      <c r="C117" s="23">
        <v>43734</v>
      </c>
      <c r="D117" s="67">
        <f>IF(COUNTIF($G$2:$G117,$G117)=1,1,0)</f>
        <v>0</v>
      </c>
      <c r="E117" s="67" t="str">
        <f>IFERROR(VLOOKUP(База_КР_КК[[#This Row],[ИД штатной должности (S)]],'уровень защищенности'!$B$7:$F$1095,5,0),"не защищена")</f>
        <v>высокий</v>
      </c>
      <c r="F117" s="68">
        <v>500338</v>
      </c>
      <c r="G117" s="74" t="s">
        <v>2198</v>
      </c>
      <c r="H117" s="181">
        <f>INDEX('Списки данных'!$D$2:$D$1048576,MATCH(База_КР_КК[[#This Row],[Структурное подразделение]],'Списки данных'!$C$2:$C$1048576,0))</f>
        <v>18</v>
      </c>
      <c r="I117" s="80" t="s">
        <v>122</v>
      </c>
      <c r="J117" s="80" t="s">
        <v>188</v>
      </c>
      <c r="K117" s="80" t="s">
        <v>21</v>
      </c>
      <c r="L117" s="30" t="s">
        <v>191</v>
      </c>
      <c r="M117" s="68">
        <v>6</v>
      </c>
      <c r="N117" s="181" t="str">
        <f t="shared" si="1"/>
        <v>нет</v>
      </c>
      <c r="O117" s="23"/>
      <c r="P117" s="23"/>
      <c r="Q117" s="106"/>
      <c r="R117" s="37">
        <v>39</v>
      </c>
      <c r="S117" s="38" t="s">
        <v>453</v>
      </c>
      <c r="T117" s="37">
        <v>1163</v>
      </c>
      <c r="U117" s="39" t="s">
        <v>1572</v>
      </c>
      <c r="V117" s="89" t="s">
        <v>272</v>
      </c>
      <c r="W117" s="89" t="s">
        <v>122</v>
      </c>
      <c r="X117" s="106" t="s">
        <v>295</v>
      </c>
      <c r="Y117" s="107" t="s">
        <v>12</v>
      </c>
      <c r="Z117" s="67">
        <f>IF(База_КР_КК[[#This Row],[Таб.номер резервиста]]="-","-",IF(OR(База_КР_КК[[#This Row],[Уровень КК]]=2,База_КР_КК[[#This Row],[Уровень КК]]=3),IF(COUNTIFS($U$2:$U117,$U117,$F$2:$F117,$F117)=1,1,0),IF(COUNTIFS($U$2:$U117,$U117,$L$2:$L117,$L117)=1,1,0)))</f>
        <v>0</v>
      </c>
      <c r="AA1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" s="106"/>
      <c r="AC117" s="51"/>
      <c r="AD117" s="106" t="s">
        <v>13</v>
      </c>
      <c r="AE117" s="38" t="s">
        <v>409</v>
      </c>
    </row>
    <row r="118" spans="1:31" ht="18" customHeight="1" x14ac:dyDescent="0.25">
      <c r="A1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8" s="79">
        <v>4</v>
      </c>
      <c r="C118" s="23">
        <v>44887</v>
      </c>
      <c r="D118" s="67">
        <f>IF(COUNTIF($G$2:$G118,$G118)=1,1,0)</f>
        <v>0</v>
      </c>
      <c r="E118" s="67" t="str">
        <f>IFERROR(VLOOKUP(База_КР_КК[[#This Row],[ИД штатной должности (S)]],'уровень защищенности'!$B$7:$F$1095,5,0),"не защищена")</f>
        <v>высокий</v>
      </c>
      <c r="F118" s="68">
        <v>500338</v>
      </c>
      <c r="G118" s="74" t="s">
        <v>2198</v>
      </c>
      <c r="H118" s="181">
        <f>INDEX('Списки данных'!$D$2:$D$1048576,MATCH(База_КР_КК[[#This Row],[Структурное подразделение]],'Списки данных'!$C$2:$C$1048576,0))</f>
        <v>18</v>
      </c>
      <c r="I118" s="80" t="s">
        <v>122</v>
      </c>
      <c r="J118" s="80" t="s">
        <v>188</v>
      </c>
      <c r="K118" s="80" t="s">
        <v>21</v>
      </c>
      <c r="L118" s="30" t="s">
        <v>191</v>
      </c>
      <c r="M118" s="68">
        <v>6</v>
      </c>
      <c r="N118" s="181" t="str">
        <f t="shared" si="1"/>
        <v>нет</v>
      </c>
      <c r="O118" s="23"/>
      <c r="P118" s="23"/>
      <c r="Q118" s="106"/>
      <c r="R118" s="37">
        <v>39</v>
      </c>
      <c r="S118" s="39" t="s">
        <v>453</v>
      </c>
      <c r="T118" s="37">
        <v>1164</v>
      </c>
      <c r="U118" s="38" t="s">
        <v>1573</v>
      </c>
      <c r="V118" s="69" t="s">
        <v>272</v>
      </c>
      <c r="W118" s="89" t="s">
        <v>122</v>
      </c>
      <c r="X118" s="106" t="s">
        <v>296</v>
      </c>
      <c r="Y118" s="107" t="s">
        <v>12</v>
      </c>
      <c r="Z118" s="67">
        <f>IF(База_КР_КК[[#This Row],[Таб.номер резервиста]]="-","-",IF(OR(База_КР_КК[[#This Row],[Уровень КК]]=2,База_КР_КК[[#This Row],[Уровень КК]]=3),IF(COUNTIFS($U$2:$U118,$U118,$F$2:$F118,$F118)=1,1,0),IF(COUNTIFS($U$2:$U118,$U118,$L$2:$L118,$L118)=1,1,0)))</f>
        <v>0</v>
      </c>
      <c r="AA1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" s="106"/>
      <c r="AC118" s="51"/>
      <c r="AD118" s="106" t="s">
        <v>15</v>
      </c>
      <c r="AE118" s="33" t="s">
        <v>409</v>
      </c>
    </row>
    <row r="119" spans="1:31" ht="18" customHeight="1" x14ac:dyDescent="0.25">
      <c r="A1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19" s="79">
        <v>4</v>
      </c>
      <c r="C119" s="23">
        <v>43734</v>
      </c>
      <c r="D119" s="67">
        <f>IF(COUNTIF($G$2:$G119,$G119)=1,1,0)</f>
        <v>0</v>
      </c>
      <c r="E119" s="67" t="str">
        <f>IFERROR(VLOOKUP(База_КР_КК[[#This Row],[ИД штатной должности (S)]],'уровень защищенности'!$B$7:$F$1095,5,0),"не защищена")</f>
        <v>высокий</v>
      </c>
      <c r="F119" s="68">
        <v>500338</v>
      </c>
      <c r="G119" s="74" t="s">
        <v>2198</v>
      </c>
      <c r="H119" s="181">
        <f>INDEX('Списки данных'!$D$2:$D$1048576,MATCH(База_КР_КК[[#This Row],[Структурное подразделение]],'Списки данных'!$C$2:$C$1048576,0))</f>
        <v>18</v>
      </c>
      <c r="I119" s="80" t="s">
        <v>122</v>
      </c>
      <c r="J119" s="80" t="s">
        <v>188</v>
      </c>
      <c r="K119" s="80" t="s">
        <v>21</v>
      </c>
      <c r="L119" s="30" t="s">
        <v>191</v>
      </c>
      <c r="M119" s="68">
        <v>6</v>
      </c>
      <c r="N119" s="181" t="str">
        <f t="shared" si="1"/>
        <v>нет</v>
      </c>
      <c r="O119" s="23"/>
      <c r="P119" s="23"/>
      <c r="Q119" s="106"/>
      <c r="R119" s="37">
        <v>39</v>
      </c>
      <c r="S119" s="39" t="s">
        <v>453</v>
      </c>
      <c r="T119" s="37">
        <v>1165</v>
      </c>
      <c r="U119" s="39" t="s">
        <v>1574</v>
      </c>
      <c r="V119" s="89" t="s">
        <v>192</v>
      </c>
      <c r="W119" s="89" t="s">
        <v>122</v>
      </c>
      <c r="X119" s="106" t="s">
        <v>295</v>
      </c>
      <c r="Y119" s="107" t="s">
        <v>18</v>
      </c>
      <c r="Z119" s="67">
        <f>IF(База_КР_КК[[#This Row],[Таб.номер резервиста]]="-","-",IF(OR(База_КР_КК[[#This Row],[Уровень КК]]=2,База_КР_КК[[#This Row],[Уровень КК]]=3),IF(COUNTIFS($U$2:$U119,$U119,$F$2:$F119,$F119)=1,1,0),IF(COUNTIFS($U$2:$U119,$U119,$L$2:$L119,$L119)=1,1,0)))</f>
        <v>0</v>
      </c>
      <c r="AA1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" s="106"/>
      <c r="AC119" s="51">
        <v>45252</v>
      </c>
      <c r="AD119" s="106" t="s">
        <v>31</v>
      </c>
      <c r="AE119" s="38" t="s">
        <v>409</v>
      </c>
    </row>
    <row r="120" spans="1:31" ht="18" customHeight="1" x14ac:dyDescent="0.25">
      <c r="A1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0" s="79">
        <v>4</v>
      </c>
      <c r="C120" s="23">
        <v>43734</v>
      </c>
      <c r="D120" s="67">
        <f>IF(COUNTIF($G$2:$G120,$G120)=1,1,0)</f>
        <v>0</v>
      </c>
      <c r="E120" s="67" t="str">
        <f>IFERROR(VLOOKUP(База_КР_КК[[#This Row],[ИД штатной должности (S)]],'уровень защищенности'!$B$7:$F$1095,5,0),"не защищена")</f>
        <v>высокий</v>
      </c>
      <c r="F120" s="68">
        <v>500338</v>
      </c>
      <c r="G120" s="74" t="s">
        <v>2198</v>
      </c>
      <c r="H120" s="181">
        <f>INDEX('Списки данных'!$D$2:$D$1048576,MATCH(База_КР_КК[[#This Row],[Структурное подразделение]],'Списки данных'!$C$2:$C$1048576,0))</f>
        <v>18</v>
      </c>
      <c r="I120" s="80" t="s">
        <v>122</v>
      </c>
      <c r="J120" s="80" t="s">
        <v>188</v>
      </c>
      <c r="K120" s="80" t="s">
        <v>21</v>
      </c>
      <c r="L120" s="30" t="s">
        <v>191</v>
      </c>
      <c r="M120" s="68">
        <v>6</v>
      </c>
      <c r="N120" s="181" t="str">
        <f t="shared" si="1"/>
        <v>нет</v>
      </c>
      <c r="O120" s="23"/>
      <c r="P120" s="23"/>
      <c r="Q120" s="106"/>
      <c r="R120" s="37">
        <v>39</v>
      </c>
      <c r="S120" s="38" t="s">
        <v>453</v>
      </c>
      <c r="T120" s="37">
        <v>1166</v>
      </c>
      <c r="U120" s="39" t="s">
        <v>1575</v>
      </c>
      <c r="V120" s="89" t="s">
        <v>272</v>
      </c>
      <c r="W120" s="89" t="s">
        <v>122</v>
      </c>
      <c r="X120" s="106" t="s">
        <v>295</v>
      </c>
      <c r="Y120" s="107" t="s">
        <v>18</v>
      </c>
      <c r="Z120" s="67">
        <f>IF(База_КР_КК[[#This Row],[Таб.номер резервиста]]="-","-",IF(OR(База_КР_КК[[#This Row],[Уровень КК]]=2,База_КР_КК[[#This Row],[Уровень КК]]=3),IF(COUNTIFS($U$2:$U120,$U120,$F$2:$F120,$F120)=1,1,0),IF(COUNTIFS($U$2:$U120,$U120,$L$2:$L120,$L120)=1,1,0)))</f>
        <v>0</v>
      </c>
      <c r="AA1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" s="106" t="s">
        <v>19</v>
      </c>
      <c r="AC120" s="51">
        <v>44428</v>
      </c>
      <c r="AD120" s="106" t="s">
        <v>13</v>
      </c>
      <c r="AE120" s="38" t="s">
        <v>312</v>
      </c>
    </row>
    <row r="121" spans="1:31" ht="18" customHeight="1" x14ac:dyDescent="0.25">
      <c r="A1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1" s="79">
        <v>4</v>
      </c>
      <c r="C121" s="23">
        <v>43734</v>
      </c>
      <c r="D121" s="67">
        <f>IF(COUNTIF($G$2:$G121,$G121)=1,1,0)</f>
        <v>1</v>
      </c>
      <c r="E121" s="67" t="str">
        <f>IFERROR(VLOOKUP(База_КР_КК[[#This Row],[ИД штатной должности (S)]],'уровень защищенности'!$B$7:$F$1095,5,0),"не защищена")</f>
        <v>высокий</v>
      </c>
      <c r="F121" s="68">
        <v>500338</v>
      </c>
      <c r="G121" s="74" t="s">
        <v>2199</v>
      </c>
      <c r="H121" s="181">
        <f>INDEX('Списки данных'!$D$2:$D$1048576,MATCH(База_КР_КК[[#This Row],[Структурное подразделение]],'Списки данных'!$C$2:$C$1048576,0))</f>
        <v>18</v>
      </c>
      <c r="I121" s="80" t="s">
        <v>122</v>
      </c>
      <c r="J121" s="80" t="s">
        <v>188</v>
      </c>
      <c r="K121" s="80" t="s">
        <v>21</v>
      </c>
      <c r="L121" s="30" t="s">
        <v>191</v>
      </c>
      <c r="M121" s="68">
        <v>6</v>
      </c>
      <c r="N121" s="181" t="str">
        <f t="shared" si="1"/>
        <v>нет</v>
      </c>
      <c r="O121" s="23"/>
      <c r="P121" s="23"/>
      <c r="Q121" s="106"/>
      <c r="R121" s="37">
        <v>40</v>
      </c>
      <c r="S121" s="38" t="s">
        <v>454</v>
      </c>
      <c r="T121" s="37">
        <v>1162</v>
      </c>
      <c r="U121" s="39" t="s">
        <v>1571</v>
      </c>
      <c r="V121" s="89" t="s">
        <v>272</v>
      </c>
      <c r="W121" s="89" t="s">
        <v>122</v>
      </c>
      <c r="X121" s="106" t="s">
        <v>295</v>
      </c>
      <c r="Y121" s="107" t="s">
        <v>12</v>
      </c>
      <c r="Z121" s="67">
        <f>IF(База_КР_КК[[#This Row],[Таб.номер резервиста]]="-","-",IF(OR(База_КР_КК[[#This Row],[Уровень КК]]=2,База_КР_КК[[#This Row],[Уровень КК]]=3),IF(COUNTIFS($U$2:$U121,$U121,$F$2:$F121,$F121)=1,1,0),IF(COUNTIFS($U$2:$U121,$U121,$L$2:$L121,$L121)=1,1,0)))</f>
        <v>0</v>
      </c>
      <c r="AA1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" s="106"/>
      <c r="AC121" s="51"/>
      <c r="AD121" s="106" t="s">
        <v>13</v>
      </c>
      <c r="AE121" s="38" t="s">
        <v>409</v>
      </c>
    </row>
    <row r="122" spans="1:31" ht="18" customHeight="1" x14ac:dyDescent="0.25">
      <c r="A1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2" s="79">
        <v>4</v>
      </c>
      <c r="C122" s="23">
        <v>43734</v>
      </c>
      <c r="D122" s="67">
        <f>IF(COUNTIF($G$2:$G122,$G122)=1,1,0)</f>
        <v>0</v>
      </c>
      <c r="E122" s="67" t="str">
        <f>IFERROR(VLOOKUP(База_КР_КК[[#This Row],[ИД штатной должности (S)]],'уровень защищенности'!$B$7:$F$1095,5,0),"не защищена")</f>
        <v>высокий</v>
      </c>
      <c r="F122" s="68">
        <v>500338</v>
      </c>
      <c r="G122" s="74" t="s">
        <v>2199</v>
      </c>
      <c r="H122" s="181">
        <f>INDEX('Списки данных'!$D$2:$D$1048576,MATCH(База_КР_КК[[#This Row],[Структурное подразделение]],'Списки данных'!$C$2:$C$1048576,0))</f>
        <v>18</v>
      </c>
      <c r="I122" s="80" t="s">
        <v>122</v>
      </c>
      <c r="J122" s="80" t="s">
        <v>188</v>
      </c>
      <c r="K122" s="80" t="s">
        <v>21</v>
      </c>
      <c r="L122" s="30" t="s">
        <v>191</v>
      </c>
      <c r="M122" s="68">
        <v>6</v>
      </c>
      <c r="N122" s="181" t="str">
        <f t="shared" si="1"/>
        <v>нет</v>
      </c>
      <c r="O122" s="23"/>
      <c r="P122" s="23"/>
      <c r="Q122" s="106"/>
      <c r="R122" s="37">
        <v>40</v>
      </c>
      <c r="S122" s="38" t="s">
        <v>454</v>
      </c>
      <c r="T122" s="37">
        <v>1163</v>
      </c>
      <c r="U122" s="39" t="s">
        <v>1572</v>
      </c>
      <c r="V122" s="89" t="s">
        <v>272</v>
      </c>
      <c r="W122" s="89" t="s">
        <v>122</v>
      </c>
      <c r="X122" s="106" t="s">
        <v>295</v>
      </c>
      <c r="Y122" s="107" t="s">
        <v>12</v>
      </c>
      <c r="Z122" s="67">
        <f>IF(База_КР_КК[[#This Row],[Таб.номер резервиста]]="-","-",IF(OR(База_КР_КК[[#This Row],[Уровень КК]]=2,База_КР_КК[[#This Row],[Уровень КК]]=3),IF(COUNTIFS($U$2:$U122,$U122,$F$2:$F122,$F122)=1,1,0),IF(COUNTIFS($U$2:$U122,$U122,$L$2:$L122,$L122)=1,1,0)))</f>
        <v>0</v>
      </c>
      <c r="AA1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" s="106"/>
      <c r="AC122" s="51"/>
      <c r="AD122" s="106" t="s">
        <v>13</v>
      </c>
      <c r="AE122" s="38" t="s">
        <v>409</v>
      </c>
    </row>
    <row r="123" spans="1:31" ht="18" customHeight="1" x14ac:dyDescent="0.25">
      <c r="A1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3" s="79">
        <v>4</v>
      </c>
      <c r="C123" s="23">
        <v>44887</v>
      </c>
      <c r="D123" s="67">
        <f>IF(COUNTIF($G$2:$G123,$G123)=1,1,0)</f>
        <v>0</v>
      </c>
      <c r="E123" s="67" t="str">
        <f>IFERROR(VLOOKUP(База_КР_КК[[#This Row],[ИД штатной должности (S)]],'уровень защищенности'!$B$7:$F$1095,5,0),"не защищена")</f>
        <v>высокий</v>
      </c>
      <c r="F123" s="68">
        <v>500338</v>
      </c>
      <c r="G123" s="74" t="s">
        <v>2199</v>
      </c>
      <c r="H123" s="181">
        <f>INDEX('Списки данных'!$D$2:$D$1048576,MATCH(База_КР_КК[[#This Row],[Структурное подразделение]],'Списки данных'!$C$2:$C$1048576,0))</f>
        <v>18</v>
      </c>
      <c r="I123" s="80" t="s">
        <v>122</v>
      </c>
      <c r="J123" s="80" t="s">
        <v>188</v>
      </c>
      <c r="K123" s="80" t="s">
        <v>21</v>
      </c>
      <c r="L123" s="30" t="s">
        <v>191</v>
      </c>
      <c r="M123" s="68">
        <v>6</v>
      </c>
      <c r="N123" s="181" t="str">
        <f t="shared" si="1"/>
        <v>нет</v>
      </c>
      <c r="O123" s="23"/>
      <c r="P123" s="23"/>
      <c r="Q123" s="106"/>
      <c r="R123" s="37">
        <v>40</v>
      </c>
      <c r="S123" s="39" t="s">
        <v>454</v>
      </c>
      <c r="T123" s="37">
        <v>1164</v>
      </c>
      <c r="U123" s="38" t="s">
        <v>1573</v>
      </c>
      <c r="V123" s="69" t="s">
        <v>272</v>
      </c>
      <c r="W123" s="89" t="s">
        <v>122</v>
      </c>
      <c r="X123" s="106" t="s">
        <v>296</v>
      </c>
      <c r="Y123" s="107" t="s">
        <v>12</v>
      </c>
      <c r="Z123" s="67">
        <f>IF(База_КР_КК[[#This Row],[Таб.номер резервиста]]="-","-",IF(OR(База_КР_КК[[#This Row],[Уровень КК]]=2,База_КР_КК[[#This Row],[Уровень КК]]=3),IF(COUNTIFS($U$2:$U123,$U123,$F$2:$F123,$F123)=1,1,0),IF(COUNTIFS($U$2:$U123,$U123,$L$2:$L123,$L123)=1,1,0)))</f>
        <v>0</v>
      </c>
      <c r="AA1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" s="106"/>
      <c r="AC123" s="51"/>
      <c r="AD123" s="106" t="s">
        <v>15</v>
      </c>
      <c r="AE123" s="33" t="s">
        <v>409</v>
      </c>
    </row>
    <row r="124" spans="1:31" ht="18" customHeight="1" x14ac:dyDescent="0.25">
      <c r="A1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4" s="79">
        <v>4</v>
      </c>
      <c r="C124" s="23">
        <v>43734</v>
      </c>
      <c r="D124" s="67">
        <f>IF(COUNTIF($G$2:$G124,$G124)=1,1,0)</f>
        <v>0</v>
      </c>
      <c r="E124" s="67" t="str">
        <f>IFERROR(VLOOKUP(База_КР_КК[[#This Row],[ИД штатной должности (S)]],'уровень защищенности'!$B$7:$F$1095,5,0),"не защищена")</f>
        <v>высокий</v>
      </c>
      <c r="F124" s="68">
        <v>500338</v>
      </c>
      <c r="G124" s="74" t="s">
        <v>2199</v>
      </c>
      <c r="H124" s="181">
        <f>INDEX('Списки данных'!$D$2:$D$1048576,MATCH(База_КР_КК[[#This Row],[Структурное подразделение]],'Списки данных'!$C$2:$C$1048576,0))</f>
        <v>18</v>
      </c>
      <c r="I124" s="80" t="s">
        <v>122</v>
      </c>
      <c r="J124" s="80" t="s">
        <v>188</v>
      </c>
      <c r="K124" s="80" t="s">
        <v>21</v>
      </c>
      <c r="L124" s="30" t="s">
        <v>191</v>
      </c>
      <c r="M124" s="68">
        <v>6</v>
      </c>
      <c r="N124" s="181" t="str">
        <f t="shared" si="1"/>
        <v>нет</v>
      </c>
      <c r="O124" s="23"/>
      <c r="P124" s="23"/>
      <c r="Q124" s="106"/>
      <c r="R124" s="37">
        <v>40</v>
      </c>
      <c r="S124" s="39" t="s">
        <v>454</v>
      </c>
      <c r="T124" s="37">
        <v>1165</v>
      </c>
      <c r="U124" s="39" t="s">
        <v>1574</v>
      </c>
      <c r="V124" s="89" t="s">
        <v>192</v>
      </c>
      <c r="W124" s="89" t="s">
        <v>122</v>
      </c>
      <c r="X124" s="106" t="s">
        <v>295</v>
      </c>
      <c r="Y124" s="107" t="s">
        <v>18</v>
      </c>
      <c r="Z124" s="67">
        <f>IF(База_КР_КК[[#This Row],[Таб.номер резервиста]]="-","-",IF(OR(База_КР_КК[[#This Row],[Уровень КК]]=2,База_КР_КК[[#This Row],[Уровень КК]]=3),IF(COUNTIFS($U$2:$U124,$U124,$F$2:$F124,$F124)=1,1,0),IF(COUNTIFS($U$2:$U124,$U124,$L$2:$L124,$L124)=1,1,0)))</f>
        <v>0</v>
      </c>
      <c r="AA1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" s="106"/>
      <c r="AC124" s="51">
        <v>45252</v>
      </c>
      <c r="AD124" s="106" t="s">
        <v>31</v>
      </c>
      <c r="AE124" s="38" t="s">
        <v>409</v>
      </c>
    </row>
    <row r="125" spans="1:31" ht="18" customHeight="1" x14ac:dyDescent="0.25">
      <c r="A1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5" s="79">
        <v>4</v>
      </c>
      <c r="C125" s="23">
        <v>43734</v>
      </c>
      <c r="D125" s="67">
        <f>IF(COUNTIF($G$2:$G125,$G125)=1,1,0)</f>
        <v>0</v>
      </c>
      <c r="E125" s="67" t="str">
        <f>IFERROR(VLOOKUP(База_КР_КК[[#This Row],[ИД штатной должности (S)]],'уровень защищенности'!$B$7:$F$1095,5,0),"не защищена")</f>
        <v>высокий</v>
      </c>
      <c r="F125" s="68">
        <v>500338</v>
      </c>
      <c r="G125" s="74" t="s">
        <v>2199</v>
      </c>
      <c r="H125" s="181">
        <f>INDEX('Списки данных'!$D$2:$D$1048576,MATCH(База_КР_КК[[#This Row],[Структурное подразделение]],'Списки данных'!$C$2:$C$1048576,0))</f>
        <v>18</v>
      </c>
      <c r="I125" s="80" t="s">
        <v>122</v>
      </c>
      <c r="J125" s="80" t="s">
        <v>188</v>
      </c>
      <c r="K125" s="80" t="s">
        <v>21</v>
      </c>
      <c r="L125" s="30" t="s">
        <v>191</v>
      </c>
      <c r="M125" s="68">
        <v>6</v>
      </c>
      <c r="N125" s="181" t="str">
        <f t="shared" si="1"/>
        <v>нет</v>
      </c>
      <c r="O125" s="23"/>
      <c r="P125" s="23"/>
      <c r="Q125" s="106"/>
      <c r="R125" s="37">
        <v>40</v>
      </c>
      <c r="S125" s="38" t="s">
        <v>454</v>
      </c>
      <c r="T125" s="37">
        <v>1166</v>
      </c>
      <c r="U125" s="39" t="s">
        <v>1575</v>
      </c>
      <c r="V125" s="89" t="s">
        <v>272</v>
      </c>
      <c r="W125" s="89" t="s">
        <v>122</v>
      </c>
      <c r="X125" s="106" t="s">
        <v>295</v>
      </c>
      <c r="Y125" s="107" t="s">
        <v>18</v>
      </c>
      <c r="Z125" s="67">
        <f>IF(База_КР_КК[[#This Row],[Таб.номер резервиста]]="-","-",IF(OR(База_КР_КК[[#This Row],[Уровень КК]]=2,База_КР_КК[[#This Row],[Уровень КК]]=3),IF(COUNTIFS($U$2:$U125,$U125,$F$2:$F125,$F125)=1,1,0),IF(COUNTIFS($U$2:$U125,$U125,$L$2:$L125,$L125)=1,1,0)))</f>
        <v>0</v>
      </c>
      <c r="AA1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5" s="106" t="s">
        <v>19</v>
      </c>
      <c r="AC125" s="51">
        <v>44428</v>
      </c>
      <c r="AD125" s="106" t="s">
        <v>13</v>
      </c>
      <c r="AE125" s="38" t="s">
        <v>312</v>
      </c>
    </row>
    <row r="126" spans="1:31" ht="18" customHeight="1" x14ac:dyDescent="0.25">
      <c r="A1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6" s="79">
        <v>4</v>
      </c>
      <c r="C126" s="23">
        <v>43734</v>
      </c>
      <c r="D126" s="67">
        <f>IF(COUNTIF($G$2:$G126,$G126)=1,1,0)</f>
        <v>1</v>
      </c>
      <c r="E126" s="67" t="str">
        <f>IFERROR(VLOOKUP(База_КР_КК[[#This Row],[ИД штатной должности (S)]],'уровень защищенности'!$B$7:$F$1095,5,0),"не защищена")</f>
        <v>высокий</v>
      </c>
      <c r="F126" s="68">
        <v>500338</v>
      </c>
      <c r="G126" s="74" t="s">
        <v>2200</v>
      </c>
      <c r="H126" s="181">
        <f>INDEX('Списки данных'!$D$2:$D$1048576,MATCH(База_КР_КК[[#This Row],[Структурное подразделение]],'Списки данных'!$C$2:$C$1048576,0))</f>
        <v>18</v>
      </c>
      <c r="I126" s="80" t="s">
        <v>122</v>
      </c>
      <c r="J126" s="80" t="s">
        <v>188</v>
      </c>
      <c r="K126" s="80" t="s">
        <v>21</v>
      </c>
      <c r="L126" s="30" t="s">
        <v>191</v>
      </c>
      <c r="M126" s="68">
        <v>6</v>
      </c>
      <c r="N126" s="181" t="str">
        <f t="shared" si="1"/>
        <v>нет</v>
      </c>
      <c r="O126" s="23"/>
      <c r="P126" s="23"/>
      <c r="Q126" s="106"/>
      <c r="R126" s="37">
        <v>41</v>
      </c>
      <c r="S126" s="38" t="s">
        <v>455</v>
      </c>
      <c r="T126" s="37">
        <v>1162</v>
      </c>
      <c r="U126" s="39" t="s">
        <v>1571</v>
      </c>
      <c r="V126" s="89" t="s">
        <v>272</v>
      </c>
      <c r="W126" s="89" t="s">
        <v>122</v>
      </c>
      <c r="X126" s="106" t="s">
        <v>295</v>
      </c>
      <c r="Y126" s="107" t="s">
        <v>12</v>
      </c>
      <c r="Z126" s="67">
        <f>IF(База_КР_КК[[#This Row],[Таб.номер резервиста]]="-","-",IF(OR(База_КР_КК[[#This Row],[Уровень КК]]=2,База_КР_КК[[#This Row],[Уровень КК]]=3),IF(COUNTIFS($U$2:$U126,$U126,$F$2:$F126,$F126)=1,1,0),IF(COUNTIFS($U$2:$U126,$U126,$L$2:$L126,$L126)=1,1,0)))</f>
        <v>0</v>
      </c>
      <c r="AA1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" s="106"/>
      <c r="AC126" s="51"/>
      <c r="AD126" s="106" t="s">
        <v>13</v>
      </c>
      <c r="AE126" s="38" t="s">
        <v>409</v>
      </c>
    </row>
    <row r="127" spans="1:31" ht="18" customHeight="1" x14ac:dyDescent="0.25">
      <c r="A1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7" s="79">
        <v>4</v>
      </c>
      <c r="C127" s="23">
        <v>43734</v>
      </c>
      <c r="D127" s="67">
        <f>IF(COUNTIF($G$2:$G127,$G127)=1,1,0)</f>
        <v>0</v>
      </c>
      <c r="E127" s="67" t="str">
        <f>IFERROR(VLOOKUP(База_КР_КК[[#This Row],[ИД штатной должности (S)]],'уровень защищенности'!$B$7:$F$1095,5,0),"не защищена")</f>
        <v>высокий</v>
      </c>
      <c r="F127" s="68">
        <v>500338</v>
      </c>
      <c r="G127" s="74" t="s">
        <v>2200</v>
      </c>
      <c r="H127" s="181">
        <f>INDEX('Списки данных'!$D$2:$D$1048576,MATCH(База_КР_КК[[#This Row],[Структурное подразделение]],'Списки данных'!$C$2:$C$1048576,0))</f>
        <v>18</v>
      </c>
      <c r="I127" s="80" t="s">
        <v>122</v>
      </c>
      <c r="J127" s="80" t="s">
        <v>188</v>
      </c>
      <c r="K127" s="80" t="s">
        <v>21</v>
      </c>
      <c r="L127" s="30" t="s">
        <v>191</v>
      </c>
      <c r="M127" s="68">
        <v>6</v>
      </c>
      <c r="N127" s="181" t="str">
        <f t="shared" si="1"/>
        <v>нет</v>
      </c>
      <c r="O127" s="23"/>
      <c r="P127" s="23"/>
      <c r="Q127" s="106"/>
      <c r="R127" s="37">
        <v>41</v>
      </c>
      <c r="S127" s="38" t="s">
        <v>455</v>
      </c>
      <c r="T127" s="37">
        <v>1163</v>
      </c>
      <c r="U127" s="39" t="s">
        <v>1572</v>
      </c>
      <c r="V127" s="89" t="s">
        <v>272</v>
      </c>
      <c r="W127" s="89" t="s">
        <v>122</v>
      </c>
      <c r="X127" s="106" t="s">
        <v>295</v>
      </c>
      <c r="Y127" s="107" t="s">
        <v>12</v>
      </c>
      <c r="Z127" s="67">
        <f>IF(База_КР_КК[[#This Row],[Таб.номер резервиста]]="-","-",IF(OR(База_КР_КК[[#This Row],[Уровень КК]]=2,База_КР_КК[[#This Row],[Уровень КК]]=3),IF(COUNTIFS($U$2:$U127,$U127,$F$2:$F127,$F127)=1,1,0),IF(COUNTIFS($U$2:$U127,$U127,$L$2:$L127,$L127)=1,1,0)))</f>
        <v>0</v>
      </c>
      <c r="AA1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" s="106"/>
      <c r="AC127" s="51"/>
      <c r="AD127" s="106" t="s">
        <v>13</v>
      </c>
      <c r="AE127" s="38" t="s">
        <v>409</v>
      </c>
    </row>
    <row r="128" spans="1:31" ht="18" customHeight="1" x14ac:dyDescent="0.25">
      <c r="A1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8" s="79">
        <v>4</v>
      </c>
      <c r="C128" s="23">
        <v>44887</v>
      </c>
      <c r="D128" s="67">
        <f>IF(COUNTIF($G$2:$G128,$G128)=1,1,0)</f>
        <v>0</v>
      </c>
      <c r="E128" s="67" t="str">
        <f>IFERROR(VLOOKUP(База_КР_КК[[#This Row],[ИД штатной должности (S)]],'уровень защищенности'!$B$7:$F$1095,5,0),"не защищена")</f>
        <v>высокий</v>
      </c>
      <c r="F128" s="68">
        <v>500338</v>
      </c>
      <c r="G128" s="74" t="s">
        <v>2200</v>
      </c>
      <c r="H128" s="181">
        <f>INDEX('Списки данных'!$D$2:$D$1048576,MATCH(База_КР_КК[[#This Row],[Структурное подразделение]],'Списки данных'!$C$2:$C$1048576,0))</f>
        <v>18</v>
      </c>
      <c r="I128" s="80" t="s">
        <v>122</v>
      </c>
      <c r="J128" s="80" t="s">
        <v>188</v>
      </c>
      <c r="K128" s="80" t="s">
        <v>21</v>
      </c>
      <c r="L128" s="30" t="s">
        <v>191</v>
      </c>
      <c r="M128" s="68">
        <v>6</v>
      </c>
      <c r="N128" s="181" t="str">
        <f t="shared" si="1"/>
        <v>нет</v>
      </c>
      <c r="O128" s="23"/>
      <c r="P128" s="23"/>
      <c r="Q128" s="106"/>
      <c r="R128" s="37">
        <v>41</v>
      </c>
      <c r="S128" s="39" t="s">
        <v>455</v>
      </c>
      <c r="T128" s="37">
        <v>1164</v>
      </c>
      <c r="U128" s="38" t="s">
        <v>1573</v>
      </c>
      <c r="V128" s="69" t="s">
        <v>272</v>
      </c>
      <c r="W128" s="89" t="s">
        <v>122</v>
      </c>
      <c r="X128" s="106" t="s">
        <v>296</v>
      </c>
      <c r="Y128" s="107" t="s">
        <v>12</v>
      </c>
      <c r="Z128" s="67">
        <f>IF(База_КР_КК[[#This Row],[Таб.номер резервиста]]="-","-",IF(OR(База_КР_КК[[#This Row],[Уровень КК]]=2,База_КР_КК[[#This Row],[Уровень КК]]=3),IF(COUNTIFS($U$2:$U128,$U128,$F$2:$F128,$F128)=1,1,0),IF(COUNTIFS($U$2:$U128,$U128,$L$2:$L128,$L128)=1,1,0)))</f>
        <v>0</v>
      </c>
      <c r="AA1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" s="106"/>
      <c r="AC128" s="51"/>
      <c r="AD128" s="106" t="s">
        <v>15</v>
      </c>
      <c r="AE128" s="33" t="s">
        <v>409</v>
      </c>
    </row>
    <row r="129" spans="1:31" ht="18" customHeight="1" x14ac:dyDescent="0.25">
      <c r="A1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29" s="79">
        <v>4</v>
      </c>
      <c r="C129" s="23">
        <v>43734</v>
      </c>
      <c r="D129" s="67">
        <f>IF(COUNTIF($G$2:$G129,$G129)=1,1,0)</f>
        <v>0</v>
      </c>
      <c r="E129" s="67" t="str">
        <f>IFERROR(VLOOKUP(База_КР_КК[[#This Row],[ИД штатной должности (S)]],'уровень защищенности'!$B$7:$F$1095,5,0),"не защищена")</f>
        <v>высокий</v>
      </c>
      <c r="F129" s="68">
        <v>500338</v>
      </c>
      <c r="G129" s="74" t="s">
        <v>2200</v>
      </c>
      <c r="H129" s="181">
        <f>INDEX('Списки данных'!$D$2:$D$1048576,MATCH(База_КР_КК[[#This Row],[Структурное подразделение]],'Списки данных'!$C$2:$C$1048576,0))</f>
        <v>18</v>
      </c>
      <c r="I129" s="80" t="s">
        <v>122</v>
      </c>
      <c r="J129" s="80" t="s">
        <v>188</v>
      </c>
      <c r="K129" s="80" t="s">
        <v>21</v>
      </c>
      <c r="L129" s="30" t="s">
        <v>191</v>
      </c>
      <c r="M129" s="68">
        <v>6</v>
      </c>
      <c r="N129" s="181" t="str">
        <f t="shared" si="1"/>
        <v>нет</v>
      </c>
      <c r="O129" s="23"/>
      <c r="P129" s="23"/>
      <c r="Q129" s="106"/>
      <c r="R129" s="37">
        <v>41</v>
      </c>
      <c r="S129" s="39" t="s">
        <v>455</v>
      </c>
      <c r="T129" s="37">
        <v>1165</v>
      </c>
      <c r="U129" s="39" t="s">
        <v>1574</v>
      </c>
      <c r="V129" s="89" t="s">
        <v>192</v>
      </c>
      <c r="W129" s="89" t="s">
        <v>122</v>
      </c>
      <c r="X129" s="106" t="s">
        <v>295</v>
      </c>
      <c r="Y129" s="107" t="s">
        <v>18</v>
      </c>
      <c r="Z129" s="67">
        <f>IF(База_КР_КК[[#This Row],[Таб.номер резервиста]]="-","-",IF(OR(База_КР_КК[[#This Row],[Уровень КК]]=2,База_КР_КК[[#This Row],[Уровень КК]]=3),IF(COUNTIFS($U$2:$U129,$U129,$F$2:$F129,$F129)=1,1,0),IF(COUNTIFS($U$2:$U129,$U129,$L$2:$L129,$L129)=1,1,0)))</f>
        <v>0</v>
      </c>
      <c r="AA1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" s="106"/>
      <c r="AC129" s="51">
        <v>45252</v>
      </c>
      <c r="AD129" s="106" t="s">
        <v>31</v>
      </c>
      <c r="AE129" s="38" t="s">
        <v>409</v>
      </c>
    </row>
    <row r="130" spans="1:31" ht="18" customHeight="1" x14ac:dyDescent="0.25">
      <c r="A1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0" s="79">
        <v>4</v>
      </c>
      <c r="C130" s="23">
        <v>43734</v>
      </c>
      <c r="D130" s="67">
        <f>IF(COUNTIF($G$2:$G130,$G130)=1,1,0)</f>
        <v>0</v>
      </c>
      <c r="E130" s="67" t="str">
        <f>IFERROR(VLOOKUP(База_КР_КК[[#This Row],[ИД штатной должности (S)]],'уровень защищенности'!$B$7:$F$1095,5,0),"не защищена")</f>
        <v>высокий</v>
      </c>
      <c r="F130" s="68">
        <v>500338</v>
      </c>
      <c r="G130" s="74" t="s">
        <v>2200</v>
      </c>
      <c r="H130" s="181">
        <f>INDEX('Списки данных'!$D$2:$D$1048576,MATCH(База_КР_КК[[#This Row],[Структурное подразделение]],'Списки данных'!$C$2:$C$1048576,0))</f>
        <v>18</v>
      </c>
      <c r="I130" s="80" t="s">
        <v>122</v>
      </c>
      <c r="J130" s="80" t="s">
        <v>188</v>
      </c>
      <c r="K130" s="80" t="s">
        <v>21</v>
      </c>
      <c r="L130" s="30" t="s">
        <v>191</v>
      </c>
      <c r="M130" s="68">
        <v>6</v>
      </c>
      <c r="N130" s="181" t="str">
        <f t="shared" ref="N130:N193" si="2">IF(ISBLANK(O130),"нет","да")</f>
        <v>нет</v>
      </c>
      <c r="O130" s="23"/>
      <c r="P130" s="23"/>
      <c r="Q130" s="106"/>
      <c r="R130" s="37">
        <v>41</v>
      </c>
      <c r="S130" s="38" t="s">
        <v>455</v>
      </c>
      <c r="T130" s="37">
        <v>1166</v>
      </c>
      <c r="U130" s="39" t="s">
        <v>1575</v>
      </c>
      <c r="V130" s="89" t="s">
        <v>272</v>
      </c>
      <c r="W130" s="89" t="s">
        <v>122</v>
      </c>
      <c r="X130" s="106" t="s">
        <v>295</v>
      </c>
      <c r="Y130" s="107" t="s">
        <v>18</v>
      </c>
      <c r="Z130" s="67">
        <f>IF(База_КР_КК[[#This Row],[Таб.номер резервиста]]="-","-",IF(OR(База_КР_КК[[#This Row],[Уровень КК]]=2,База_КР_КК[[#This Row],[Уровень КК]]=3),IF(COUNTIFS($U$2:$U130,$U130,$F$2:$F130,$F130)=1,1,0),IF(COUNTIFS($U$2:$U130,$U130,$L$2:$L130,$L130)=1,1,0)))</f>
        <v>0</v>
      </c>
      <c r="AA1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" s="106" t="s">
        <v>19</v>
      </c>
      <c r="AC130" s="51">
        <v>44428</v>
      </c>
      <c r="AD130" s="106" t="s">
        <v>13</v>
      </c>
      <c r="AE130" s="38" t="s">
        <v>312</v>
      </c>
    </row>
    <row r="131" spans="1:31" ht="18" customHeight="1" x14ac:dyDescent="0.25">
      <c r="A1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1" s="79">
        <v>3</v>
      </c>
      <c r="C131" s="23">
        <v>43426</v>
      </c>
      <c r="D131" s="67">
        <f>IF(COUNTIF($G$2:$G131,$G131)=1,1,0)</f>
        <v>1</v>
      </c>
      <c r="E131" s="67" t="str">
        <f>IFERROR(VLOOKUP(База_КР_КК[[#This Row],[ИД штатной должности (S)]],'уровень защищенности'!$B$7:$F$1095,5,0),"не защищена")</f>
        <v>высокий</v>
      </c>
      <c r="F131" s="68">
        <v>500339</v>
      </c>
      <c r="G131" s="74" t="s">
        <v>2201</v>
      </c>
      <c r="H131" s="181">
        <f>INDEX('Списки данных'!$D$2:$D$1048576,MATCH(База_КР_КК[[#This Row],[Структурное подразделение]],'Списки данных'!$C$2:$C$1048576,0))</f>
        <v>18</v>
      </c>
      <c r="I131" s="80" t="s">
        <v>122</v>
      </c>
      <c r="J131" s="80" t="s">
        <v>188</v>
      </c>
      <c r="K131" s="80" t="s">
        <v>21</v>
      </c>
      <c r="L131" s="30" t="s">
        <v>186</v>
      </c>
      <c r="M131" s="68">
        <v>5</v>
      </c>
      <c r="N131" s="181" t="str">
        <f t="shared" si="2"/>
        <v>нет</v>
      </c>
      <c r="O131" s="23"/>
      <c r="P131" s="23"/>
      <c r="Q131" s="106"/>
      <c r="R131" s="37">
        <v>42</v>
      </c>
      <c r="S131" s="38" t="s">
        <v>456</v>
      </c>
      <c r="T131" s="37">
        <v>58</v>
      </c>
      <c r="U131" s="38" t="s">
        <v>470</v>
      </c>
      <c r="V131" s="89" t="s">
        <v>189</v>
      </c>
      <c r="W131" s="89" t="s">
        <v>122</v>
      </c>
      <c r="X131" s="106" t="s">
        <v>295</v>
      </c>
      <c r="Y131" s="107" t="s">
        <v>12</v>
      </c>
      <c r="Z131" s="67">
        <f>IF(База_КР_КК[[#This Row],[Таб.номер резервиста]]="-","-",IF(OR(База_КР_КК[[#This Row],[Уровень КК]]=2,База_КР_КК[[#This Row],[Уровень КК]]=3),IF(COUNTIFS($U$2:$U131,$U131,$F$2:$F131,$F131)=1,1,0),IF(COUNTIFS($U$2:$U131,$U131,$L$2:$L131,$L131)=1,1,0)))</f>
        <v>1</v>
      </c>
      <c r="AA1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" s="106"/>
      <c r="AC131" s="51"/>
      <c r="AD131" s="106" t="s">
        <v>13</v>
      </c>
      <c r="AE131" s="38" t="s">
        <v>404</v>
      </c>
    </row>
    <row r="132" spans="1:31" ht="18" customHeight="1" x14ac:dyDescent="0.25">
      <c r="A1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2" s="79">
        <v>3</v>
      </c>
      <c r="C132" s="23">
        <v>44739</v>
      </c>
      <c r="D132" s="67">
        <f>IF(COUNTIF($G$2:$G132,$G132)=1,1,0)</f>
        <v>0</v>
      </c>
      <c r="E132" s="67" t="str">
        <f>IFERROR(VLOOKUP(База_КР_КК[[#This Row],[ИД штатной должности (S)]],'уровень защищенности'!$B$7:$F$1095,5,0),"не защищена")</f>
        <v>высокий</v>
      </c>
      <c r="F132" s="68">
        <v>500339</v>
      </c>
      <c r="G132" s="74" t="s">
        <v>2201</v>
      </c>
      <c r="H132" s="181">
        <f>INDEX('Списки данных'!$D$2:$D$1048576,MATCH(База_КР_КК[[#This Row],[Структурное подразделение]],'Списки данных'!$C$2:$C$1048576,0))</f>
        <v>18</v>
      </c>
      <c r="I132" s="80" t="s">
        <v>122</v>
      </c>
      <c r="J132" s="80" t="s">
        <v>188</v>
      </c>
      <c r="K132" s="80" t="s">
        <v>21</v>
      </c>
      <c r="L132" s="30" t="s">
        <v>186</v>
      </c>
      <c r="M132" s="68">
        <v>5</v>
      </c>
      <c r="N132" s="181" t="str">
        <f t="shared" si="2"/>
        <v>нет</v>
      </c>
      <c r="O132" s="23"/>
      <c r="P132" s="23"/>
      <c r="Q132" s="106"/>
      <c r="R132" s="37">
        <v>42</v>
      </c>
      <c r="S132" s="39" t="s">
        <v>456</v>
      </c>
      <c r="T132" s="37">
        <v>39</v>
      </c>
      <c r="U132" s="38" t="s">
        <v>453</v>
      </c>
      <c r="V132" s="89" t="s">
        <v>192</v>
      </c>
      <c r="W132" s="89" t="s">
        <v>122</v>
      </c>
      <c r="X132" s="106" t="s">
        <v>297</v>
      </c>
      <c r="Y132" s="107" t="s">
        <v>12</v>
      </c>
      <c r="Z132" s="67">
        <f>IF(База_КР_КК[[#This Row],[Таб.номер резервиста]]="-","-",IF(OR(База_КР_КК[[#This Row],[Уровень КК]]=2,База_КР_КК[[#This Row],[Уровень КК]]=3),IF(COUNTIFS($U$2:$U132,$U132,$F$2:$F132,$F132)=1,1,0),IF(COUNTIFS($U$2:$U132,$U132,$L$2:$L132,$L132)=1,1,0)))</f>
        <v>1</v>
      </c>
      <c r="AA1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" s="106"/>
      <c r="AC132" s="51"/>
      <c r="AD132" s="106" t="s">
        <v>15</v>
      </c>
      <c r="AE132" s="38" t="s">
        <v>404</v>
      </c>
    </row>
    <row r="133" spans="1:31" ht="18" customHeight="1" x14ac:dyDescent="0.25">
      <c r="A1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3" s="79">
        <v>4</v>
      </c>
      <c r="C133" s="23">
        <v>43734</v>
      </c>
      <c r="D133" s="67">
        <f>IF(COUNTIF($G$2:$G133,$G133)=1,1,0)</f>
        <v>1</v>
      </c>
      <c r="E133" s="67" t="str">
        <f>IFERROR(VLOOKUP(База_КР_КК[[#This Row],[ИД штатной должности (S)]],'уровень защищенности'!$B$7:$F$1095,5,0),"не защищена")</f>
        <v>высокий</v>
      </c>
      <c r="F133" s="68">
        <v>500340</v>
      </c>
      <c r="G133" s="74" t="s">
        <v>2202</v>
      </c>
      <c r="H133" s="181">
        <f>INDEX('Списки данных'!$D$2:$D$1048576,MATCH(База_КР_КК[[#This Row],[Структурное подразделение]],'Списки данных'!$C$2:$C$1048576,0))</f>
        <v>18</v>
      </c>
      <c r="I133" s="80" t="s">
        <v>122</v>
      </c>
      <c r="J133" s="80" t="s">
        <v>188</v>
      </c>
      <c r="K133" s="80" t="s">
        <v>21</v>
      </c>
      <c r="L133" s="30" t="s">
        <v>192</v>
      </c>
      <c r="M133" s="68">
        <v>6</v>
      </c>
      <c r="N133" s="181" t="str">
        <f>IF(ISBLANK(O133),"нет","да")</f>
        <v>нет</v>
      </c>
      <c r="O133" s="23"/>
      <c r="P133" s="23"/>
      <c r="Q133" s="106"/>
      <c r="R133" s="37">
        <v>43</v>
      </c>
      <c r="S133" s="38" t="s">
        <v>457</v>
      </c>
      <c r="T133" s="37">
        <v>1162</v>
      </c>
      <c r="U133" s="39" t="s">
        <v>1571</v>
      </c>
      <c r="V133" s="89" t="s">
        <v>272</v>
      </c>
      <c r="W133" s="89" t="s">
        <v>122</v>
      </c>
      <c r="X133" s="106" t="s">
        <v>295</v>
      </c>
      <c r="Y133" s="107" t="s">
        <v>12</v>
      </c>
      <c r="Z133" s="67">
        <f>IF(База_КР_КК[[#This Row],[Таб.номер резервиста]]="-","-",IF(OR(База_КР_КК[[#This Row],[Уровень КК]]=2,База_КР_КК[[#This Row],[Уровень КК]]=3),IF(COUNTIFS($U$2:$U133,$U133,$F$2:$F133,$F133)=1,1,0),IF(COUNTIFS($U$2:$U133,$U133,$L$2:$L133,$L133)=1,1,0)))</f>
        <v>1</v>
      </c>
      <c r="AA1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" s="106"/>
      <c r="AC133" s="51"/>
      <c r="AD133" s="106" t="s">
        <v>13</v>
      </c>
      <c r="AE133" s="38" t="s">
        <v>409</v>
      </c>
    </row>
    <row r="134" spans="1:31" ht="18" customHeight="1" x14ac:dyDescent="0.25">
      <c r="A1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4" s="79">
        <v>4</v>
      </c>
      <c r="C134" s="23">
        <v>43734</v>
      </c>
      <c r="D134" s="67">
        <f>IF(COUNTIF($G$2:$G134,$G134)=1,1,0)</f>
        <v>0</v>
      </c>
      <c r="E134" s="67" t="str">
        <f>IFERROR(VLOOKUP(База_КР_КК[[#This Row],[ИД штатной должности (S)]],'уровень защищенности'!$B$7:$F$1095,5,0),"не защищена")</f>
        <v>высокий</v>
      </c>
      <c r="F134" s="68">
        <v>500340</v>
      </c>
      <c r="G134" s="74" t="s">
        <v>2202</v>
      </c>
      <c r="H134" s="181">
        <f>INDEX('Списки данных'!$D$2:$D$1048576,MATCH(База_КР_КК[[#This Row],[Структурное подразделение]],'Списки данных'!$C$2:$C$1048576,0))</f>
        <v>18</v>
      </c>
      <c r="I134" s="80" t="s">
        <v>122</v>
      </c>
      <c r="J134" s="80" t="s">
        <v>188</v>
      </c>
      <c r="K134" s="80" t="s">
        <v>21</v>
      </c>
      <c r="L134" s="30" t="s">
        <v>192</v>
      </c>
      <c r="M134" s="68">
        <v>6</v>
      </c>
      <c r="N134" s="181" t="str">
        <f t="shared" si="2"/>
        <v>нет</v>
      </c>
      <c r="O134" s="23"/>
      <c r="P134" s="23"/>
      <c r="Q134" s="106"/>
      <c r="R134" s="37">
        <v>43</v>
      </c>
      <c r="S134" s="38" t="s">
        <v>457</v>
      </c>
      <c r="T134" s="37">
        <v>1163</v>
      </c>
      <c r="U134" s="39" t="s">
        <v>1572</v>
      </c>
      <c r="V134" s="89" t="s">
        <v>272</v>
      </c>
      <c r="W134" s="89" t="s">
        <v>122</v>
      </c>
      <c r="X134" s="106" t="s">
        <v>295</v>
      </c>
      <c r="Y134" s="107" t="s">
        <v>12</v>
      </c>
      <c r="Z134" s="67">
        <f>IF(База_КР_КК[[#This Row],[Таб.номер резервиста]]="-","-",IF(OR(База_КР_КК[[#This Row],[Уровень КК]]=2,База_КР_КК[[#This Row],[Уровень КК]]=3),IF(COUNTIFS($U$2:$U134,$U134,$F$2:$F134,$F134)=1,1,0),IF(COUNTIFS($U$2:$U134,$U134,$L$2:$L134,$L134)=1,1,0)))</f>
        <v>1</v>
      </c>
      <c r="AA1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" s="106"/>
      <c r="AC134" s="51"/>
      <c r="AD134" s="106" t="s">
        <v>13</v>
      </c>
      <c r="AE134" s="38" t="s">
        <v>409</v>
      </c>
    </row>
    <row r="135" spans="1:31" ht="18" customHeight="1" x14ac:dyDescent="0.25">
      <c r="A1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5" s="79">
        <v>4</v>
      </c>
      <c r="C135" s="23">
        <v>44887</v>
      </c>
      <c r="D135" s="67">
        <f>IF(COUNTIF($G$2:$G135,$G135)=1,1,0)</f>
        <v>0</v>
      </c>
      <c r="E135" s="67" t="str">
        <f>IFERROR(VLOOKUP(База_КР_КК[[#This Row],[ИД штатной должности (S)]],'уровень защищенности'!$B$7:$F$1095,5,0),"не защищена")</f>
        <v>высокий</v>
      </c>
      <c r="F135" s="68">
        <v>500340</v>
      </c>
      <c r="G135" s="74" t="s">
        <v>2202</v>
      </c>
      <c r="H135" s="181">
        <f>INDEX('Списки данных'!$D$2:$D$1048576,MATCH(База_КР_КК[[#This Row],[Структурное подразделение]],'Списки данных'!$C$2:$C$1048576,0))</f>
        <v>18</v>
      </c>
      <c r="I135" s="80" t="s">
        <v>122</v>
      </c>
      <c r="J135" s="80" t="s">
        <v>188</v>
      </c>
      <c r="K135" s="80" t="s">
        <v>21</v>
      </c>
      <c r="L135" s="30" t="s">
        <v>192</v>
      </c>
      <c r="M135" s="68">
        <v>6</v>
      </c>
      <c r="N135" s="181" t="str">
        <f t="shared" si="2"/>
        <v>нет</v>
      </c>
      <c r="O135" s="23"/>
      <c r="P135" s="23"/>
      <c r="Q135" s="106"/>
      <c r="R135" s="37">
        <v>43</v>
      </c>
      <c r="S135" s="39" t="s">
        <v>457</v>
      </c>
      <c r="T135" s="37">
        <v>1164</v>
      </c>
      <c r="U135" s="38" t="s">
        <v>1573</v>
      </c>
      <c r="V135" s="69" t="s">
        <v>272</v>
      </c>
      <c r="W135" s="89" t="s">
        <v>122</v>
      </c>
      <c r="X135" s="106" t="s">
        <v>296</v>
      </c>
      <c r="Y135" s="107" t="s">
        <v>12</v>
      </c>
      <c r="Z135" s="67">
        <f>IF(База_КР_КК[[#This Row],[Таб.номер резервиста]]="-","-",IF(OR(База_КР_КК[[#This Row],[Уровень КК]]=2,База_КР_КК[[#This Row],[Уровень КК]]=3),IF(COUNTIFS($U$2:$U135,$U135,$F$2:$F135,$F135)=1,1,0),IF(COUNTIFS($U$2:$U135,$U135,$L$2:$L135,$L135)=1,1,0)))</f>
        <v>1</v>
      </c>
      <c r="AA1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" s="106"/>
      <c r="AC135" s="51"/>
      <c r="AD135" s="106" t="s">
        <v>15</v>
      </c>
      <c r="AE135" s="33" t="s">
        <v>409</v>
      </c>
    </row>
    <row r="136" spans="1:31" ht="18" customHeight="1" x14ac:dyDescent="0.25">
      <c r="A1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6" s="79">
        <v>4</v>
      </c>
      <c r="C136" s="23">
        <v>43734</v>
      </c>
      <c r="D136" s="67">
        <f>IF(COUNTIF($G$2:$G136,$G136)=1,1,0)</f>
        <v>0</v>
      </c>
      <c r="E136" s="67" t="str">
        <f>IFERROR(VLOOKUP(База_КР_КК[[#This Row],[ИД штатной должности (S)]],'уровень защищенности'!$B$7:$F$1095,5,0),"не защищена")</f>
        <v>высокий</v>
      </c>
      <c r="F136" s="68">
        <v>500340</v>
      </c>
      <c r="G136" s="74" t="s">
        <v>2202</v>
      </c>
      <c r="H136" s="181">
        <f>INDEX('Списки данных'!$D$2:$D$1048576,MATCH(База_КР_КК[[#This Row],[Структурное подразделение]],'Списки данных'!$C$2:$C$1048576,0))</f>
        <v>18</v>
      </c>
      <c r="I136" s="80" t="s">
        <v>122</v>
      </c>
      <c r="J136" s="80" t="s">
        <v>188</v>
      </c>
      <c r="K136" s="80" t="s">
        <v>21</v>
      </c>
      <c r="L136" s="30" t="s">
        <v>192</v>
      </c>
      <c r="M136" s="68">
        <v>6</v>
      </c>
      <c r="N136" s="181" t="str">
        <f t="shared" si="2"/>
        <v>нет</v>
      </c>
      <c r="O136" s="23"/>
      <c r="P136" s="23"/>
      <c r="Q136" s="106"/>
      <c r="R136" s="37">
        <v>43</v>
      </c>
      <c r="S136" s="39" t="s">
        <v>457</v>
      </c>
      <c r="T136" s="37">
        <v>1165</v>
      </c>
      <c r="U136" s="39" t="s">
        <v>1574</v>
      </c>
      <c r="V136" s="89" t="s">
        <v>192</v>
      </c>
      <c r="W136" s="89" t="s">
        <v>122</v>
      </c>
      <c r="X136" s="106" t="s">
        <v>295</v>
      </c>
      <c r="Y136" s="107" t="s">
        <v>18</v>
      </c>
      <c r="Z136" s="67">
        <f>IF(База_КР_КК[[#This Row],[Таб.номер резервиста]]="-","-",IF(OR(База_КР_КК[[#This Row],[Уровень КК]]=2,База_КР_КК[[#This Row],[Уровень КК]]=3),IF(COUNTIFS($U$2:$U136,$U136,$F$2:$F136,$F136)=1,1,0),IF(COUNTIFS($U$2:$U136,$U136,$L$2:$L136,$L136)=1,1,0)))</f>
        <v>1</v>
      </c>
      <c r="AA1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" s="106"/>
      <c r="AC136" s="51">
        <v>45252</v>
      </c>
      <c r="AD136" s="106" t="s">
        <v>31</v>
      </c>
      <c r="AE136" s="38" t="s">
        <v>409</v>
      </c>
    </row>
    <row r="137" spans="1:31" ht="18" customHeight="1" x14ac:dyDescent="0.25">
      <c r="A1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7" s="79">
        <v>4</v>
      </c>
      <c r="C137" s="23">
        <v>43734</v>
      </c>
      <c r="D137" s="67">
        <f>IF(COUNTIF($G$2:$G137,$G137)=1,1,0)</f>
        <v>0</v>
      </c>
      <c r="E137" s="67" t="str">
        <f>IFERROR(VLOOKUP(База_КР_КК[[#This Row],[ИД штатной должности (S)]],'уровень защищенности'!$B$7:$F$1095,5,0),"не защищена")</f>
        <v>высокий</v>
      </c>
      <c r="F137" s="68">
        <v>500340</v>
      </c>
      <c r="G137" s="74" t="s">
        <v>2202</v>
      </c>
      <c r="H137" s="181">
        <f>INDEX('Списки данных'!$D$2:$D$1048576,MATCH(База_КР_КК[[#This Row],[Структурное подразделение]],'Списки данных'!$C$2:$C$1048576,0))</f>
        <v>18</v>
      </c>
      <c r="I137" s="80" t="s">
        <v>122</v>
      </c>
      <c r="J137" s="80" t="s">
        <v>188</v>
      </c>
      <c r="K137" s="80" t="s">
        <v>21</v>
      </c>
      <c r="L137" s="30" t="s">
        <v>192</v>
      </c>
      <c r="M137" s="68">
        <v>6</v>
      </c>
      <c r="N137" s="181" t="str">
        <f t="shared" si="2"/>
        <v>нет</v>
      </c>
      <c r="O137" s="23"/>
      <c r="P137" s="23"/>
      <c r="Q137" s="106"/>
      <c r="R137" s="37">
        <v>43</v>
      </c>
      <c r="S137" s="38" t="s">
        <v>457</v>
      </c>
      <c r="T137" s="37">
        <v>1166</v>
      </c>
      <c r="U137" s="39" t="s">
        <v>1575</v>
      </c>
      <c r="V137" s="89" t="s">
        <v>272</v>
      </c>
      <c r="W137" s="89" t="s">
        <v>122</v>
      </c>
      <c r="X137" s="106" t="s">
        <v>295</v>
      </c>
      <c r="Y137" s="107" t="s">
        <v>18</v>
      </c>
      <c r="Z137" s="67">
        <f>IF(База_КР_КК[[#This Row],[Таб.номер резервиста]]="-","-",IF(OR(База_КР_КК[[#This Row],[Уровень КК]]=2,База_КР_КК[[#This Row],[Уровень КК]]=3),IF(COUNTIFS($U$2:$U137,$U137,$F$2:$F137,$F137)=1,1,0),IF(COUNTIFS($U$2:$U137,$U137,$L$2:$L137,$L137)=1,1,0)))</f>
        <v>1</v>
      </c>
      <c r="AA1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" s="106" t="s">
        <v>19</v>
      </c>
      <c r="AC137" s="51">
        <v>44428</v>
      </c>
      <c r="AD137" s="106" t="s">
        <v>13</v>
      </c>
      <c r="AE137" s="38" t="s">
        <v>312</v>
      </c>
    </row>
    <row r="138" spans="1:31" ht="18" customHeight="1" x14ac:dyDescent="0.25">
      <c r="A1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8" s="79">
        <v>4</v>
      </c>
      <c r="C138" s="23">
        <v>43734</v>
      </c>
      <c r="D138" s="67">
        <f>IF(COUNTIF($G$2:$G138,$G138)=1,1,0)</f>
        <v>1</v>
      </c>
      <c r="E138" s="67" t="str">
        <f>IFERROR(VLOOKUP(База_КР_КК[[#This Row],[ИД штатной должности (S)]],'уровень защищенности'!$B$7:$F$1095,5,0),"не защищена")</f>
        <v>высокий</v>
      </c>
      <c r="F138" s="68">
        <v>500341</v>
      </c>
      <c r="G138" s="74" t="s">
        <v>2203</v>
      </c>
      <c r="H138" s="181">
        <f>INDEX('Списки данных'!$D$2:$D$1048576,MATCH(База_КР_КК[[#This Row],[Структурное подразделение]],'Списки данных'!$C$2:$C$1048576,0))</f>
        <v>18</v>
      </c>
      <c r="I138" s="80" t="s">
        <v>122</v>
      </c>
      <c r="J138" s="80" t="s">
        <v>188</v>
      </c>
      <c r="K138" s="80" t="s">
        <v>190</v>
      </c>
      <c r="L138" s="30" t="s">
        <v>192</v>
      </c>
      <c r="M138" s="68">
        <v>6</v>
      </c>
      <c r="N138" s="181" t="str">
        <f t="shared" si="2"/>
        <v>нет</v>
      </c>
      <c r="O138" s="23"/>
      <c r="P138" s="23"/>
      <c r="Q138" s="106"/>
      <c r="R138" s="37">
        <v>44</v>
      </c>
      <c r="S138" s="38" t="s">
        <v>458</v>
      </c>
      <c r="T138" s="37">
        <v>1160</v>
      </c>
      <c r="U138" s="39" t="s">
        <v>1569</v>
      </c>
      <c r="V138" s="89" t="s">
        <v>272</v>
      </c>
      <c r="W138" s="89" t="s">
        <v>122</v>
      </c>
      <c r="X138" s="106" t="s">
        <v>295</v>
      </c>
      <c r="Y138" s="107" t="s">
        <v>12</v>
      </c>
      <c r="Z138" s="67">
        <f>IF(База_КР_КК[[#This Row],[Таб.номер резервиста]]="-","-",IF(OR(База_КР_КК[[#This Row],[Уровень КК]]=2,База_КР_КК[[#This Row],[Уровень КК]]=3),IF(COUNTIFS($U$2:$U138,$U138,$F$2:$F138,$F138)=1,1,0),IF(COUNTIFS($U$2:$U138,$U138,$L$2:$L138,$L138)=1,1,0)))</f>
        <v>1</v>
      </c>
      <c r="AA1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" s="106"/>
      <c r="AC138" s="51"/>
      <c r="AD138" s="106" t="s">
        <v>13</v>
      </c>
      <c r="AE138" s="38" t="s">
        <v>409</v>
      </c>
    </row>
    <row r="139" spans="1:31" ht="18" customHeight="1" x14ac:dyDescent="0.25">
      <c r="A1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39" s="79">
        <v>4</v>
      </c>
      <c r="C139" s="23">
        <v>44887</v>
      </c>
      <c r="D139" s="67">
        <f>IF(COUNTIF($G$2:$G139,$G139)=1,1,0)</f>
        <v>0</v>
      </c>
      <c r="E139" s="67" t="str">
        <f>IFERROR(VLOOKUP(База_КР_КК[[#This Row],[ИД штатной должности (S)]],'уровень защищенности'!$B$7:$F$1095,5,0),"не защищена")</f>
        <v>высокий</v>
      </c>
      <c r="F139" s="68">
        <v>500341</v>
      </c>
      <c r="G139" s="74" t="s">
        <v>2203</v>
      </c>
      <c r="H139" s="181">
        <f>INDEX('Списки данных'!$D$2:$D$1048576,MATCH(База_КР_КК[[#This Row],[Структурное подразделение]],'Списки данных'!$C$2:$C$1048576,0))</f>
        <v>18</v>
      </c>
      <c r="I139" s="80" t="s">
        <v>122</v>
      </c>
      <c r="J139" s="80" t="s">
        <v>188</v>
      </c>
      <c r="K139" s="80" t="s">
        <v>190</v>
      </c>
      <c r="L139" s="30" t="s">
        <v>192</v>
      </c>
      <c r="M139" s="68">
        <v>6</v>
      </c>
      <c r="N139" s="181" t="str">
        <f t="shared" si="2"/>
        <v>нет</v>
      </c>
      <c r="O139" s="23"/>
      <c r="P139" s="23"/>
      <c r="Q139" s="106"/>
      <c r="R139" s="37">
        <v>44</v>
      </c>
      <c r="S139" s="39" t="s">
        <v>458</v>
      </c>
      <c r="T139" s="37">
        <v>1167</v>
      </c>
      <c r="U139" s="38" t="s">
        <v>1576</v>
      </c>
      <c r="V139" s="69" t="s">
        <v>272</v>
      </c>
      <c r="W139" s="89" t="s">
        <v>122</v>
      </c>
      <c r="X139" s="106" t="s">
        <v>296</v>
      </c>
      <c r="Y139" s="107" t="s">
        <v>12</v>
      </c>
      <c r="Z139" s="67">
        <f>IF(База_КР_КК[[#This Row],[Таб.номер резервиста]]="-","-",IF(OR(База_КР_КК[[#This Row],[Уровень КК]]=2,База_КР_КК[[#This Row],[Уровень КК]]=3),IF(COUNTIFS($U$2:$U139,$U139,$F$2:$F139,$F139)=1,1,0),IF(COUNTIFS($U$2:$U139,$U139,$L$2:$L139,$L139)=1,1,0)))</f>
        <v>1</v>
      </c>
      <c r="AA1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" s="106"/>
      <c r="AC139" s="51"/>
      <c r="AD139" s="106" t="s">
        <v>15</v>
      </c>
      <c r="AE139" s="33" t="s">
        <v>409</v>
      </c>
    </row>
    <row r="140" spans="1:31" ht="18" customHeight="1" x14ac:dyDescent="0.25">
      <c r="A1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0" s="79">
        <v>4</v>
      </c>
      <c r="C140" s="23">
        <v>43734</v>
      </c>
      <c r="D140" s="67">
        <f>IF(COUNTIF($G$2:$G140,$G140)=1,1,0)</f>
        <v>1</v>
      </c>
      <c r="E140" s="67" t="str">
        <f>IFERROR(VLOOKUP(База_КР_КК[[#This Row],[ИД штатной должности (S)]],'уровень защищенности'!$B$7:$F$1095,5,0),"не защищена")</f>
        <v>высокий</v>
      </c>
      <c r="F140" s="68">
        <v>500342</v>
      </c>
      <c r="G140" s="74" t="s">
        <v>2204</v>
      </c>
      <c r="H140" s="181">
        <f>INDEX('Списки данных'!$D$2:$D$1048576,MATCH(База_КР_КК[[#This Row],[Структурное подразделение]],'Списки данных'!$C$2:$C$1048576,0))</f>
        <v>18</v>
      </c>
      <c r="I140" s="80" t="s">
        <v>122</v>
      </c>
      <c r="J140" s="80" t="s">
        <v>188</v>
      </c>
      <c r="K140" s="80" t="s">
        <v>21</v>
      </c>
      <c r="L140" s="30" t="s">
        <v>191</v>
      </c>
      <c r="M140" s="68">
        <v>6</v>
      </c>
      <c r="N140" s="181" t="str">
        <f t="shared" si="2"/>
        <v>нет</v>
      </c>
      <c r="O140" s="23"/>
      <c r="P140" s="23"/>
      <c r="Q140" s="106"/>
      <c r="R140" s="37">
        <v>45</v>
      </c>
      <c r="S140" s="38" t="s">
        <v>459</v>
      </c>
      <c r="T140" s="37">
        <v>1168</v>
      </c>
      <c r="U140" s="39" t="s">
        <v>1577</v>
      </c>
      <c r="V140" s="89" t="s">
        <v>272</v>
      </c>
      <c r="W140" s="89" t="s">
        <v>122</v>
      </c>
      <c r="X140" s="106" t="s">
        <v>295</v>
      </c>
      <c r="Y140" s="107" t="s">
        <v>12</v>
      </c>
      <c r="Z140" s="67">
        <f>IF(База_КР_КК[[#This Row],[Таб.номер резервиста]]="-","-",IF(OR(База_КР_КК[[#This Row],[Уровень КК]]=2,База_КР_КК[[#This Row],[Уровень КК]]=3),IF(COUNTIFS($U$2:$U140,$U140,$F$2:$F140,$F140)=1,1,0),IF(COUNTIFS($U$2:$U140,$U140,$L$2:$L140,$L140)=1,1,0)))</f>
        <v>1</v>
      </c>
      <c r="AA1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" s="106"/>
      <c r="AC140" s="51"/>
      <c r="AD140" s="106" t="s">
        <v>17</v>
      </c>
      <c r="AE140" s="38" t="s">
        <v>409</v>
      </c>
    </row>
    <row r="141" spans="1:31" ht="18" customHeight="1" x14ac:dyDescent="0.25">
      <c r="A1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1" s="79">
        <v>4</v>
      </c>
      <c r="C141" s="23">
        <v>43734</v>
      </c>
      <c r="D141" s="67">
        <f>IF(COUNTIF($G$2:$G141,$G141)=1,1,0)</f>
        <v>0</v>
      </c>
      <c r="E141" s="67" t="str">
        <f>IFERROR(VLOOKUP(База_КР_КК[[#This Row],[ИД штатной должности (S)]],'уровень защищенности'!$B$7:$F$1095,5,0),"не защищена")</f>
        <v>высокий</v>
      </c>
      <c r="F141" s="68">
        <v>500342</v>
      </c>
      <c r="G141" s="74" t="s">
        <v>2204</v>
      </c>
      <c r="H141" s="181">
        <f>INDEX('Списки данных'!$D$2:$D$1048576,MATCH(База_КР_КК[[#This Row],[Структурное подразделение]],'Списки данных'!$C$2:$C$1048576,0))</f>
        <v>18</v>
      </c>
      <c r="I141" s="80" t="s">
        <v>122</v>
      </c>
      <c r="J141" s="80" t="s">
        <v>188</v>
      </c>
      <c r="K141" s="80" t="s">
        <v>21</v>
      </c>
      <c r="L141" s="30" t="s">
        <v>191</v>
      </c>
      <c r="M141" s="68">
        <v>6</v>
      </c>
      <c r="N141" s="181" t="str">
        <f t="shared" si="2"/>
        <v>нет</v>
      </c>
      <c r="O141" s="23"/>
      <c r="P141" s="23"/>
      <c r="Q141" s="106"/>
      <c r="R141" s="37">
        <v>45</v>
      </c>
      <c r="S141" s="38" t="s">
        <v>459</v>
      </c>
      <c r="T141" s="37">
        <v>46</v>
      </c>
      <c r="U141" s="39" t="s">
        <v>460</v>
      </c>
      <c r="V141" s="89" t="s">
        <v>272</v>
      </c>
      <c r="W141" s="89" t="s">
        <v>122</v>
      </c>
      <c r="X141" s="106" t="s">
        <v>295</v>
      </c>
      <c r="Y141" s="107" t="s">
        <v>14</v>
      </c>
      <c r="Z141" s="67">
        <f>IF(База_КР_КК[[#This Row],[Таб.номер резервиста]]="-","-",IF(OR(База_КР_КК[[#This Row],[Уровень КК]]=2,База_КР_КК[[#This Row],[Уровень КК]]=3),IF(COUNTIFS($U$2:$U141,$U141,$F$2:$F141,$F141)=1,1,0),IF(COUNTIFS($U$2:$U141,$U141,$L$2:$L141,$L141)=1,1,0)))</f>
        <v>1</v>
      </c>
      <c r="AA1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" s="106" t="s">
        <v>24</v>
      </c>
      <c r="AC141" s="51">
        <v>44939</v>
      </c>
      <c r="AD141" s="106" t="s">
        <v>17</v>
      </c>
      <c r="AE141" s="38" t="s">
        <v>409</v>
      </c>
    </row>
    <row r="142" spans="1:31" ht="18" customHeight="1" x14ac:dyDescent="0.25">
      <c r="A1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2" s="79">
        <v>4</v>
      </c>
      <c r="C142" s="23">
        <v>43734</v>
      </c>
      <c r="D142" s="67">
        <f>IF(COUNTIF($G$2:$G142,$G142)=1,1,0)</f>
        <v>0</v>
      </c>
      <c r="E142" s="67" t="str">
        <f>IFERROR(VLOOKUP(База_КР_КК[[#This Row],[ИД штатной должности (S)]],'уровень защищенности'!$B$7:$F$1095,5,0),"не защищена")</f>
        <v>высокий</v>
      </c>
      <c r="F142" s="68">
        <v>500342</v>
      </c>
      <c r="G142" s="74" t="s">
        <v>2204</v>
      </c>
      <c r="H142" s="181">
        <f>INDEX('Списки данных'!$D$2:$D$1048576,MATCH(База_КР_КК[[#This Row],[Структурное подразделение]],'Списки данных'!$C$2:$C$1048576,0))</f>
        <v>18</v>
      </c>
      <c r="I142" s="80" t="s">
        <v>122</v>
      </c>
      <c r="J142" s="80" t="s">
        <v>188</v>
      </c>
      <c r="K142" s="80" t="s">
        <v>21</v>
      </c>
      <c r="L142" s="30" t="s">
        <v>191</v>
      </c>
      <c r="M142" s="68">
        <v>6</v>
      </c>
      <c r="N142" s="181" t="str">
        <f t="shared" si="2"/>
        <v>нет</v>
      </c>
      <c r="O142" s="23"/>
      <c r="P142" s="23"/>
      <c r="Q142" s="106"/>
      <c r="R142" s="37">
        <v>45</v>
      </c>
      <c r="S142" s="38" t="s">
        <v>459</v>
      </c>
      <c r="T142" s="37">
        <v>115</v>
      </c>
      <c r="U142" s="39" t="s">
        <v>527</v>
      </c>
      <c r="V142" s="89" t="s">
        <v>272</v>
      </c>
      <c r="W142" s="89" t="s">
        <v>122</v>
      </c>
      <c r="X142" s="106" t="s">
        <v>295</v>
      </c>
      <c r="Y142" s="107" t="s">
        <v>14</v>
      </c>
      <c r="Z142" s="67">
        <f>IF(База_КР_КК[[#This Row],[Таб.номер резервиста]]="-","-",IF(OR(База_КР_КК[[#This Row],[Уровень КК]]=2,База_КР_КК[[#This Row],[Уровень КК]]=3),IF(COUNTIFS($U$2:$U142,$U142,$F$2:$F142,$F142)=1,1,0),IF(COUNTIFS($U$2:$U142,$U142,$L$2:$L142,$L142)=1,1,0)))</f>
        <v>1</v>
      </c>
      <c r="AA1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" s="106" t="s">
        <v>24</v>
      </c>
      <c r="AC142" s="51">
        <v>44890</v>
      </c>
      <c r="AD142" s="106" t="s">
        <v>17</v>
      </c>
      <c r="AE142" s="38" t="s">
        <v>310</v>
      </c>
    </row>
    <row r="143" spans="1:31" ht="18" customHeight="1" x14ac:dyDescent="0.25">
      <c r="A1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3" s="79">
        <v>4</v>
      </c>
      <c r="C143" s="23">
        <v>43734</v>
      </c>
      <c r="D143" s="67">
        <f>IF(COUNTIF($G$2:$G143,$G143)=1,1,0)</f>
        <v>0</v>
      </c>
      <c r="E143" s="67" t="str">
        <f>IFERROR(VLOOKUP(База_КР_КК[[#This Row],[ИД штатной должности (S)]],'уровень защищенности'!$B$7:$F$1095,5,0),"не защищена")</f>
        <v>высокий</v>
      </c>
      <c r="F143" s="68">
        <v>500342</v>
      </c>
      <c r="G143" s="74" t="s">
        <v>2204</v>
      </c>
      <c r="H143" s="181">
        <f>INDEX('Списки данных'!$D$2:$D$1048576,MATCH(База_КР_КК[[#This Row],[Структурное подразделение]],'Списки данных'!$C$2:$C$1048576,0))</f>
        <v>18</v>
      </c>
      <c r="I143" s="80" t="s">
        <v>122</v>
      </c>
      <c r="J143" s="80" t="s">
        <v>188</v>
      </c>
      <c r="K143" s="80" t="s">
        <v>21</v>
      </c>
      <c r="L143" s="30" t="s">
        <v>191</v>
      </c>
      <c r="M143" s="68">
        <v>6</v>
      </c>
      <c r="N143" s="181" t="str">
        <f t="shared" si="2"/>
        <v>нет</v>
      </c>
      <c r="O143" s="23"/>
      <c r="P143" s="23"/>
      <c r="Q143" s="106"/>
      <c r="R143" s="37">
        <v>45</v>
      </c>
      <c r="S143" s="38" t="s">
        <v>459</v>
      </c>
      <c r="T143" s="37">
        <v>1169</v>
      </c>
      <c r="U143" s="39" t="s">
        <v>1578</v>
      </c>
      <c r="V143" s="89" t="s">
        <v>272</v>
      </c>
      <c r="W143" s="89" t="s">
        <v>122</v>
      </c>
      <c r="X143" s="106" t="s">
        <v>295</v>
      </c>
      <c r="Y143" s="107" t="s">
        <v>18</v>
      </c>
      <c r="Z143" s="67">
        <f>IF(База_КР_КК[[#This Row],[Таб.номер резервиста]]="-","-",IF(OR(База_КР_КК[[#This Row],[Уровень КК]]=2,База_КР_КК[[#This Row],[Уровень КК]]=3),IF(COUNTIFS($U$2:$U143,$U143,$F$2:$F143,$F143)=1,1,0),IF(COUNTIFS($U$2:$U143,$U143,$L$2:$L143,$L143)=1,1,0)))</f>
        <v>1</v>
      </c>
      <c r="AA1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" s="106" t="s">
        <v>19</v>
      </c>
      <c r="AC143" s="51">
        <v>44783</v>
      </c>
      <c r="AD143" s="106" t="s">
        <v>13</v>
      </c>
      <c r="AE143" s="38" t="s">
        <v>312</v>
      </c>
    </row>
    <row r="144" spans="1:31" ht="18" customHeight="1" x14ac:dyDescent="0.25">
      <c r="A1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4" s="79">
        <v>4</v>
      </c>
      <c r="C144" s="23">
        <v>43734</v>
      </c>
      <c r="D144" s="67">
        <f>IF(COUNTIF($G$2:$G144,$G144)=1,1,0)</f>
        <v>0</v>
      </c>
      <c r="E144" s="67" t="str">
        <f>IFERROR(VLOOKUP(База_КР_КК[[#This Row],[ИД штатной должности (S)]],'уровень защищенности'!$B$7:$F$1095,5,0),"не защищена")</f>
        <v>высокий</v>
      </c>
      <c r="F144" s="68">
        <v>500342</v>
      </c>
      <c r="G144" s="74" t="s">
        <v>2204</v>
      </c>
      <c r="H144" s="181">
        <f>INDEX('Списки данных'!$D$2:$D$1048576,MATCH(База_КР_КК[[#This Row],[Структурное подразделение]],'Списки данных'!$C$2:$C$1048576,0))</f>
        <v>18</v>
      </c>
      <c r="I144" s="80" t="s">
        <v>122</v>
      </c>
      <c r="J144" s="80" t="s">
        <v>188</v>
      </c>
      <c r="K144" s="80" t="s">
        <v>21</v>
      </c>
      <c r="L144" s="30" t="s">
        <v>191</v>
      </c>
      <c r="M144" s="68">
        <v>6</v>
      </c>
      <c r="N144" s="181" t="str">
        <f t="shared" si="2"/>
        <v>нет</v>
      </c>
      <c r="O144" s="23"/>
      <c r="P144" s="23"/>
      <c r="Q144" s="106"/>
      <c r="R144" s="37">
        <v>45</v>
      </c>
      <c r="S144" s="38" t="s">
        <v>459</v>
      </c>
      <c r="T144" s="37">
        <v>27</v>
      </c>
      <c r="U144" s="39" t="s">
        <v>441</v>
      </c>
      <c r="V144" s="89" t="s">
        <v>272</v>
      </c>
      <c r="W144" s="89" t="s">
        <v>122</v>
      </c>
      <c r="X144" s="106" t="s">
        <v>295</v>
      </c>
      <c r="Y144" s="107" t="s">
        <v>18</v>
      </c>
      <c r="Z144" s="67">
        <f>IF(База_КР_КК[[#This Row],[Таб.номер резервиста]]="-","-",IF(OR(База_КР_КК[[#This Row],[Уровень КК]]=2,База_КР_КК[[#This Row],[Уровень КК]]=3),IF(COUNTIFS($U$2:$U144,$U144,$F$2:$F144,$F144)=1,1,0),IF(COUNTIFS($U$2:$U144,$U144,$L$2:$L144,$L144)=1,1,0)))</f>
        <v>1</v>
      </c>
      <c r="AA1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" s="106" t="s">
        <v>37</v>
      </c>
      <c r="AC144" s="51">
        <v>44678</v>
      </c>
      <c r="AD144" s="106" t="s">
        <v>13</v>
      </c>
      <c r="AE144" s="38" t="s">
        <v>312</v>
      </c>
    </row>
    <row r="145" spans="1:31" ht="18" customHeight="1" x14ac:dyDescent="0.25">
      <c r="A1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5" s="79">
        <v>4</v>
      </c>
      <c r="C145" s="23">
        <v>43734</v>
      </c>
      <c r="D145" s="67">
        <f>IF(COUNTIF($G$2:$G145,$G145)=1,1,0)</f>
        <v>1</v>
      </c>
      <c r="E145" s="67" t="str">
        <f>IFERROR(VLOOKUP(База_КР_КК[[#This Row],[ИД штатной должности (S)]],'уровень защищенности'!$B$7:$F$1095,5,0),"не защищена")</f>
        <v>высокий</v>
      </c>
      <c r="F145" s="68">
        <v>500342</v>
      </c>
      <c r="G145" s="74" t="s">
        <v>2205</v>
      </c>
      <c r="H145" s="181">
        <f>INDEX('Списки данных'!$D$2:$D$1048576,MATCH(База_КР_КК[[#This Row],[Структурное подразделение]],'Списки данных'!$C$2:$C$1048576,0))</f>
        <v>18</v>
      </c>
      <c r="I145" s="80" t="s">
        <v>122</v>
      </c>
      <c r="J145" s="80" t="s">
        <v>188</v>
      </c>
      <c r="K145" s="80" t="s">
        <v>21</v>
      </c>
      <c r="L145" s="30" t="s">
        <v>191</v>
      </c>
      <c r="M145" s="68">
        <v>6</v>
      </c>
      <c r="N145" s="181" t="str">
        <f t="shared" si="2"/>
        <v>да</v>
      </c>
      <c r="O145" s="23">
        <v>44939</v>
      </c>
      <c r="P145" s="23">
        <v>44939</v>
      </c>
      <c r="Q145" s="106" t="s">
        <v>66</v>
      </c>
      <c r="R145" s="37">
        <v>46</v>
      </c>
      <c r="S145" s="39" t="s">
        <v>460</v>
      </c>
      <c r="T145" s="37">
        <v>1168</v>
      </c>
      <c r="U145" s="39" t="s">
        <v>1577</v>
      </c>
      <c r="V145" s="89" t="s">
        <v>272</v>
      </c>
      <c r="W145" s="89" t="s">
        <v>122</v>
      </c>
      <c r="X145" s="106" t="s">
        <v>295</v>
      </c>
      <c r="Y145" s="107" t="s">
        <v>12</v>
      </c>
      <c r="Z145" s="67">
        <f>IF(База_КР_КК[[#This Row],[Таб.номер резервиста]]="-","-",IF(OR(База_КР_КК[[#This Row],[Уровень КК]]=2,База_КР_КК[[#This Row],[Уровень КК]]=3),IF(COUNTIFS($U$2:$U145,$U145,$F$2:$F145,$F145)=1,1,0),IF(COUNTIFS($U$2:$U145,$U145,$L$2:$L145,$L145)=1,1,0)))</f>
        <v>0</v>
      </c>
      <c r="AA1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" s="106"/>
      <c r="AC145" s="51"/>
      <c r="AD145" s="106" t="s">
        <v>17</v>
      </c>
      <c r="AE145" s="38" t="s">
        <v>409</v>
      </c>
    </row>
    <row r="146" spans="1:31" ht="18" customHeight="1" x14ac:dyDescent="0.25">
      <c r="A1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6" s="79">
        <v>4</v>
      </c>
      <c r="C146" s="23">
        <v>43734</v>
      </c>
      <c r="D146" s="67">
        <f>IF(COUNTIF($G$2:$G146,$G146)=1,1,0)</f>
        <v>0</v>
      </c>
      <c r="E146" s="67" t="str">
        <f>IFERROR(VLOOKUP(База_КР_КК[[#This Row],[ИД штатной должности (S)]],'уровень защищенности'!$B$7:$F$1095,5,0),"не защищена")</f>
        <v>высокий</v>
      </c>
      <c r="F146" s="68">
        <v>500342</v>
      </c>
      <c r="G146" s="74" t="s">
        <v>2205</v>
      </c>
      <c r="H146" s="181">
        <f>INDEX('Списки данных'!$D$2:$D$1048576,MATCH(База_КР_КК[[#This Row],[Структурное подразделение]],'Списки данных'!$C$2:$C$1048576,0))</f>
        <v>18</v>
      </c>
      <c r="I146" s="80" t="s">
        <v>122</v>
      </c>
      <c r="J146" s="80" t="s">
        <v>188</v>
      </c>
      <c r="K146" s="80" t="s">
        <v>21</v>
      </c>
      <c r="L146" s="30" t="s">
        <v>191</v>
      </c>
      <c r="M146" s="68">
        <v>6</v>
      </c>
      <c r="N146" s="181" t="str">
        <f t="shared" si="2"/>
        <v>да</v>
      </c>
      <c r="O146" s="23">
        <v>44939</v>
      </c>
      <c r="P146" s="23">
        <v>44939</v>
      </c>
      <c r="Q146" s="106" t="s">
        <v>66</v>
      </c>
      <c r="R146" s="37">
        <v>46</v>
      </c>
      <c r="S146" s="39" t="s">
        <v>460</v>
      </c>
      <c r="T146" s="37">
        <v>115</v>
      </c>
      <c r="U146" s="39" t="s">
        <v>527</v>
      </c>
      <c r="V146" s="89" t="s">
        <v>272</v>
      </c>
      <c r="W146" s="89" t="s">
        <v>122</v>
      </c>
      <c r="X146" s="106" t="s">
        <v>295</v>
      </c>
      <c r="Y146" s="107" t="s">
        <v>14</v>
      </c>
      <c r="Z146" s="67">
        <f>IF(База_КР_КК[[#This Row],[Таб.номер резервиста]]="-","-",IF(OR(База_КР_КК[[#This Row],[Уровень КК]]=2,База_КР_КК[[#This Row],[Уровень КК]]=3),IF(COUNTIFS($U$2:$U146,$U146,$F$2:$F146,$F146)=1,1,0),IF(COUNTIFS($U$2:$U146,$U146,$L$2:$L146,$L146)=1,1,0)))</f>
        <v>0</v>
      </c>
      <c r="AA1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" s="106" t="s">
        <v>24</v>
      </c>
      <c r="AC146" s="51">
        <v>44890</v>
      </c>
      <c r="AD146" s="106" t="s">
        <v>17</v>
      </c>
      <c r="AE146" s="38" t="s">
        <v>310</v>
      </c>
    </row>
    <row r="147" spans="1:31" ht="18" customHeight="1" x14ac:dyDescent="0.25">
      <c r="A1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7" s="79">
        <v>4</v>
      </c>
      <c r="C147" s="23">
        <v>43734</v>
      </c>
      <c r="D147" s="67">
        <f>IF(COUNTIF($G$2:$G147,$G147)=1,1,0)</f>
        <v>0</v>
      </c>
      <c r="E147" s="67" t="str">
        <f>IFERROR(VLOOKUP(База_КР_КК[[#This Row],[ИД штатной должности (S)]],'уровень защищенности'!$B$7:$F$1095,5,0),"не защищена")</f>
        <v>высокий</v>
      </c>
      <c r="F147" s="68">
        <v>500342</v>
      </c>
      <c r="G147" s="74" t="s">
        <v>2205</v>
      </c>
      <c r="H147" s="181">
        <f>INDEX('Списки данных'!$D$2:$D$1048576,MATCH(База_КР_КК[[#This Row],[Структурное подразделение]],'Списки данных'!$C$2:$C$1048576,0))</f>
        <v>18</v>
      </c>
      <c r="I147" s="80" t="s">
        <v>122</v>
      </c>
      <c r="J147" s="80" t="s">
        <v>188</v>
      </c>
      <c r="K147" s="80" t="s">
        <v>21</v>
      </c>
      <c r="L147" s="30" t="s">
        <v>191</v>
      </c>
      <c r="M147" s="68">
        <v>6</v>
      </c>
      <c r="N147" s="181" t="str">
        <f t="shared" si="2"/>
        <v>да</v>
      </c>
      <c r="O147" s="23">
        <v>44939</v>
      </c>
      <c r="P147" s="23">
        <v>44939</v>
      </c>
      <c r="Q147" s="106" t="s">
        <v>66</v>
      </c>
      <c r="R147" s="37">
        <v>46</v>
      </c>
      <c r="S147" s="39" t="s">
        <v>460</v>
      </c>
      <c r="T147" s="37">
        <v>46</v>
      </c>
      <c r="U147" s="39" t="s">
        <v>460</v>
      </c>
      <c r="V147" s="89" t="s">
        <v>272</v>
      </c>
      <c r="W147" s="89" t="s">
        <v>122</v>
      </c>
      <c r="X147" s="106" t="s">
        <v>295</v>
      </c>
      <c r="Y147" s="107" t="s">
        <v>14</v>
      </c>
      <c r="Z147" s="67">
        <f>IF(База_КР_КК[[#This Row],[Таб.номер резервиста]]="-","-",IF(OR(База_КР_КК[[#This Row],[Уровень КК]]=2,База_КР_КК[[#This Row],[Уровень КК]]=3),IF(COUNTIFS($U$2:$U147,$U147,$F$2:$F147,$F147)=1,1,0),IF(COUNTIFS($U$2:$U147,$U147,$L$2:$L147,$L147)=1,1,0)))</f>
        <v>0</v>
      </c>
      <c r="AA1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47" s="106" t="s">
        <v>24</v>
      </c>
      <c r="AC147" s="51">
        <v>44939</v>
      </c>
      <c r="AD147" s="106" t="s">
        <v>17</v>
      </c>
      <c r="AE147" s="38" t="s">
        <v>409</v>
      </c>
    </row>
    <row r="148" spans="1:31" ht="18" customHeight="1" x14ac:dyDescent="0.25">
      <c r="A1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8" s="79">
        <v>4</v>
      </c>
      <c r="C148" s="23">
        <v>43734</v>
      </c>
      <c r="D148" s="67">
        <f>IF(COUNTIF($G$2:$G148,$G148)=1,1,0)</f>
        <v>0</v>
      </c>
      <c r="E148" s="67" t="str">
        <f>IFERROR(VLOOKUP(База_КР_КК[[#This Row],[ИД штатной должности (S)]],'уровень защищенности'!$B$7:$F$1095,5,0),"не защищена")</f>
        <v>высокий</v>
      </c>
      <c r="F148" s="68">
        <v>500342</v>
      </c>
      <c r="G148" s="74" t="s">
        <v>2205</v>
      </c>
      <c r="H148" s="181">
        <f>INDEX('Списки данных'!$D$2:$D$1048576,MATCH(База_КР_КК[[#This Row],[Структурное подразделение]],'Списки данных'!$C$2:$C$1048576,0))</f>
        <v>18</v>
      </c>
      <c r="I148" s="80" t="s">
        <v>122</v>
      </c>
      <c r="J148" s="80" t="s">
        <v>188</v>
      </c>
      <c r="K148" s="80" t="s">
        <v>21</v>
      </c>
      <c r="L148" s="30" t="s">
        <v>191</v>
      </c>
      <c r="M148" s="68">
        <v>6</v>
      </c>
      <c r="N148" s="181" t="str">
        <f t="shared" si="2"/>
        <v>да</v>
      </c>
      <c r="O148" s="23">
        <v>44939</v>
      </c>
      <c r="P148" s="23">
        <v>44939</v>
      </c>
      <c r="Q148" s="106" t="s">
        <v>66</v>
      </c>
      <c r="R148" s="37">
        <v>46</v>
      </c>
      <c r="S148" s="39" t="s">
        <v>460</v>
      </c>
      <c r="T148" s="37">
        <v>1169</v>
      </c>
      <c r="U148" s="39" t="s">
        <v>1578</v>
      </c>
      <c r="V148" s="89" t="s">
        <v>272</v>
      </c>
      <c r="W148" s="89" t="s">
        <v>122</v>
      </c>
      <c r="X148" s="106" t="s">
        <v>295</v>
      </c>
      <c r="Y148" s="107" t="s">
        <v>18</v>
      </c>
      <c r="Z148" s="67">
        <f>IF(База_КР_КК[[#This Row],[Таб.номер резервиста]]="-","-",IF(OR(База_КР_КК[[#This Row],[Уровень КК]]=2,База_КР_КК[[#This Row],[Уровень КК]]=3),IF(COUNTIFS($U$2:$U148,$U148,$F$2:$F148,$F148)=1,1,0),IF(COUNTIFS($U$2:$U148,$U148,$L$2:$L148,$L148)=1,1,0)))</f>
        <v>0</v>
      </c>
      <c r="AA1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" s="106" t="s">
        <v>19</v>
      </c>
      <c r="AC148" s="51">
        <v>44783</v>
      </c>
      <c r="AD148" s="106" t="s">
        <v>13</v>
      </c>
      <c r="AE148" s="38" t="s">
        <v>312</v>
      </c>
    </row>
    <row r="149" spans="1:31" ht="18" customHeight="1" x14ac:dyDescent="0.25">
      <c r="A1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49" s="79">
        <v>4</v>
      </c>
      <c r="C149" s="23">
        <v>43734</v>
      </c>
      <c r="D149" s="67">
        <f>IF(COUNTIF($G$2:$G149,$G149)=1,1,0)</f>
        <v>0</v>
      </c>
      <c r="E149" s="67" t="str">
        <f>IFERROR(VLOOKUP(База_КР_КК[[#This Row],[ИД штатной должности (S)]],'уровень защищенности'!$B$7:$F$1095,5,0),"не защищена")</f>
        <v>высокий</v>
      </c>
      <c r="F149" s="68">
        <v>500342</v>
      </c>
      <c r="G149" s="74" t="s">
        <v>2205</v>
      </c>
      <c r="H149" s="181">
        <f>INDEX('Списки данных'!$D$2:$D$1048576,MATCH(База_КР_КК[[#This Row],[Структурное подразделение]],'Списки данных'!$C$2:$C$1048576,0))</f>
        <v>18</v>
      </c>
      <c r="I149" s="80" t="s">
        <v>122</v>
      </c>
      <c r="J149" s="80" t="s">
        <v>188</v>
      </c>
      <c r="K149" s="80" t="s">
        <v>21</v>
      </c>
      <c r="L149" s="30" t="s">
        <v>191</v>
      </c>
      <c r="M149" s="68">
        <v>6</v>
      </c>
      <c r="N149" s="181" t="str">
        <f t="shared" si="2"/>
        <v>да</v>
      </c>
      <c r="O149" s="23">
        <v>44939</v>
      </c>
      <c r="P149" s="23">
        <v>44939</v>
      </c>
      <c r="Q149" s="106" t="s">
        <v>66</v>
      </c>
      <c r="R149" s="37">
        <v>46</v>
      </c>
      <c r="S149" s="39" t="s">
        <v>460</v>
      </c>
      <c r="T149" s="37">
        <v>27</v>
      </c>
      <c r="U149" s="39" t="s">
        <v>441</v>
      </c>
      <c r="V149" s="89" t="s">
        <v>272</v>
      </c>
      <c r="W149" s="89" t="s">
        <v>122</v>
      </c>
      <c r="X149" s="106" t="s">
        <v>295</v>
      </c>
      <c r="Y149" s="107" t="s">
        <v>18</v>
      </c>
      <c r="Z149" s="67">
        <f>IF(База_КР_КК[[#This Row],[Таб.номер резервиста]]="-","-",IF(OR(База_КР_КК[[#This Row],[Уровень КК]]=2,База_КР_КК[[#This Row],[Уровень КК]]=3),IF(COUNTIFS($U$2:$U149,$U149,$F$2:$F149,$F149)=1,1,0),IF(COUNTIFS($U$2:$U149,$U149,$L$2:$L149,$L149)=1,1,0)))</f>
        <v>0</v>
      </c>
      <c r="AA1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" s="106" t="s">
        <v>37</v>
      </c>
      <c r="AC149" s="51">
        <v>44678</v>
      </c>
      <c r="AD149" s="106" t="s">
        <v>13</v>
      </c>
      <c r="AE149" s="38" t="s">
        <v>312</v>
      </c>
    </row>
    <row r="150" spans="1:31" ht="18" customHeight="1" x14ac:dyDescent="0.25">
      <c r="A1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0" s="79">
        <v>4</v>
      </c>
      <c r="C150" s="23">
        <v>43734</v>
      </c>
      <c r="D150" s="67">
        <f>IF(COUNTIF($G$2:$G150,$G150)=1,1,0)</f>
        <v>1</v>
      </c>
      <c r="E150" s="67" t="str">
        <f>IFERROR(VLOOKUP(База_КР_КК[[#This Row],[ИД штатной должности (S)]],'уровень защищенности'!$B$7:$F$1095,5,0),"не защищена")</f>
        <v>высокий</v>
      </c>
      <c r="F150" s="68">
        <v>500342</v>
      </c>
      <c r="G150" s="74" t="s">
        <v>2206</v>
      </c>
      <c r="H150" s="181">
        <f>INDEX('Списки данных'!$D$2:$D$1048576,MATCH(База_КР_КК[[#This Row],[Структурное подразделение]],'Списки данных'!$C$2:$C$1048576,0))</f>
        <v>18</v>
      </c>
      <c r="I150" s="80" t="s">
        <v>122</v>
      </c>
      <c r="J150" s="80" t="s">
        <v>188</v>
      </c>
      <c r="K150" s="80" t="s">
        <v>21</v>
      </c>
      <c r="L150" s="30" t="s">
        <v>191</v>
      </c>
      <c r="M150" s="68">
        <v>6</v>
      </c>
      <c r="N150" s="181" t="str">
        <f t="shared" si="2"/>
        <v>нет</v>
      </c>
      <c r="O150" s="23"/>
      <c r="P150" s="23"/>
      <c r="Q150" s="106"/>
      <c r="R150" s="37">
        <v>47</v>
      </c>
      <c r="S150" s="38" t="s">
        <v>461</v>
      </c>
      <c r="T150" s="37">
        <v>1168</v>
      </c>
      <c r="U150" s="39" t="s">
        <v>1577</v>
      </c>
      <c r="V150" s="89" t="s">
        <v>272</v>
      </c>
      <c r="W150" s="89" t="s">
        <v>122</v>
      </c>
      <c r="X150" s="106" t="s">
        <v>295</v>
      </c>
      <c r="Y150" s="107" t="s">
        <v>12</v>
      </c>
      <c r="Z150" s="67">
        <f>IF(База_КР_КК[[#This Row],[Таб.номер резервиста]]="-","-",IF(OR(База_КР_КК[[#This Row],[Уровень КК]]=2,База_КР_КК[[#This Row],[Уровень КК]]=3),IF(COUNTIFS($U$2:$U150,$U150,$F$2:$F150,$F150)=1,1,0),IF(COUNTIFS($U$2:$U150,$U150,$L$2:$L150,$L150)=1,1,0)))</f>
        <v>0</v>
      </c>
      <c r="AA1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" s="106"/>
      <c r="AC150" s="51"/>
      <c r="AD150" s="106" t="s">
        <v>17</v>
      </c>
      <c r="AE150" s="38" t="s">
        <v>409</v>
      </c>
    </row>
    <row r="151" spans="1:31" ht="18" customHeight="1" x14ac:dyDescent="0.25">
      <c r="A1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1" s="79">
        <v>4</v>
      </c>
      <c r="C151" s="23">
        <v>43734</v>
      </c>
      <c r="D151" s="67">
        <f>IF(COUNTIF($G$2:$G151,$G151)=1,1,0)</f>
        <v>0</v>
      </c>
      <c r="E151" s="67" t="str">
        <f>IFERROR(VLOOKUP(База_КР_КК[[#This Row],[ИД штатной должности (S)]],'уровень защищенности'!$B$7:$F$1095,5,0),"не защищена")</f>
        <v>высокий</v>
      </c>
      <c r="F151" s="68">
        <v>500342</v>
      </c>
      <c r="G151" s="74" t="s">
        <v>2206</v>
      </c>
      <c r="H151" s="181">
        <f>INDEX('Списки данных'!$D$2:$D$1048576,MATCH(База_КР_КК[[#This Row],[Структурное подразделение]],'Списки данных'!$C$2:$C$1048576,0))</f>
        <v>18</v>
      </c>
      <c r="I151" s="80" t="s">
        <v>122</v>
      </c>
      <c r="J151" s="80" t="s">
        <v>188</v>
      </c>
      <c r="K151" s="80" t="s">
        <v>21</v>
      </c>
      <c r="L151" s="30" t="s">
        <v>191</v>
      </c>
      <c r="M151" s="68">
        <v>6</v>
      </c>
      <c r="N151" s="181" t="str">
        <f t="shared" si="2"/>
        <v>нет</v>
      </c>
      <c r="O151" s="23"/>
      <c r="P151" s="23"/>
      <c r="Q151" s="106"/>
      <c r="R151" s="37">
        <v>47</v>
      </c>
      <c r="S151" s="38" t="s">
        <v>461</v>
      </c>
      <c r="T151" s="37">
        <v>115</v>
      </c>
      <c r="U151" s="39" t="s">
        <v>527</v>
      </c>
      <c r="V151" s="89" t="s">
        <v>272</v>
      </c>
      <c r="W151" s="89" t="s">
        <v>122</v>
      </c>
      <c r="X151" s="106" t="s">
        <v>295</v>
      </c>
      <c r="Y151" s="107" t="s">
        <v>14</v>
      </c>
      <c r="Z151" s="67">
        <f>IF(База_КР_КК[[#This Row],[Таб.номер резервиста]]="-","-",IF(OR(База_КР_КК[[#This Row],[Уровень КК]]=2,База_КР_КК[[#This Row],[Уровень КК]]=3),IF(COUNTIFS($U$2:$U151,$U151,$F$2:$F151,$F151)=1,1,0),IF(COUNTIFS($U$2:$U151,$U151,$L$2:$L151,$L151)=1,1,0)))</f>
        <v>0</v>
      </c>
      <c r="AA1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" s="106" t="s">
        <v>24</v>
      </c>
      <c r="AC151" s="51">
        <v>44890</v>
      </c>
      <c r="AD151" s="106" t="s">
        <v>17</v>
      </c>
      <c r="AE151" s="38" t="s">
        <v>310</v>
      </c>
    </row>
    <row r="152" spans="1:31" ht="18" customHeight="1" x14ac:dyDescent="0.25">
      <c r="A1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2" s="79">
        <v>4</v>
      </c>
      <c r="C152" s="23">
        <v>43734</v>
      </c>
      <c r="D152" s="67">
        <f>IF(COUNTIF($G$2:$G152,$G152)=1,1,0)</f>
        <v>0</v>
      </c>
      <c r="E152" s="67" t="str">
        <f>IFERROR(VLOOKUP(База_КР_КК[[#This Row],[ИД штатной должности (S)]],'уровень защищенности'!$B$7:$F$1095,5,0),"не защищена")</f>
        <v>высокий</v>
      </c>
      <c r="F152" s="68">
        <v>500342</v>
      </c>
      <c r="G152" s="74" t="s">
        <v>2206</v>
      </c>
      <c r="H152" s="181">
        <f>INDEX('Списки данных'!$D$2:$D$1048576,MATCH(База_КР_КК[[#This Row],[Структурное подразделение]],'Списки данных'!$C$2:$C$1048576,0))</f>
        <v>18</v>
      </c>
      <c r="I152" s="80" t="s">
        <v>122</v>
      </c>
      <c r="J152" s="80" t="s">
        <v>188</v>
      </c>
      <c r="K152" s="80" t="s">
        <v>21</v>
      </c>
      <c r="L152" s="30" t="s">
        <v>191</v>
      </c>
      <c r="M152" s="68">
        <v>6</v>
      </c>
      <c r="N152" s="181" t="str">
        <f t="shared" si="2"/>
        <v>нет</v>
      </c>
      <c r="O152" s="23"/>
      <c r="P152" s="23"/>
      <c r="Q152" s="106"/>
      <c r="R152" s="37">
        <v>47</v>
      </c>
      <c r="S152" s="38" t="s">
        <v>461</v>
      </c>
      <c r="T152" s="37">
        <v>46</v>
      </c>
      <c r="U152" s="39" t="s">
        <v>460</v>
      </c>
      <c r="V152" s="89" t="s">
        <v>272</v>
      </c>
      <c r="W152" s="89" t="s">
        <v>122</v>
      </c>
      <c r="X152" s="106" t="s">
        <v>295</v>
      </c>
      <c r="Y152" s="107" t="s">
        <v>14</v>
      </c>
      <c r="Z152" s="67">
        <f>IF(База_КР_КК[[#This Row],[Таб.номер резервиста]]="-","-",IF(OR(База_КР_КК[[#This Row],[Уровень КК]]=2,База_КР_КК[[#This Row],[Уровень КК]]=3),IF(COUNTIFS($U$2:$U152,$U152,$F$2:$F152,$F152)=1,1,0),IF(COUNTIFS($U$2:$U152,$U152,$L$2:$L152,$L152)=1,1,0)))</f>
        <v>0</v>
      </c>
      <c r="AA1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" s="106" t="s">
        <v>24</v>
      </c>
      <c r="AC152" s="51">
        <v>44939</v>
      </c>
      <c r="AD152" s="106" t="s">
        <v>17</v>
      </c>
      <c r="AE152" s="38" t="s">
        <v>409</v>
      </c>
    </row>
    <row r="153" spans="1:31" ht="18" customHeight="1" x14ac:dyDescent="0.25">
      <c r="A1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3" s="79">
        <v>4</v>
      </c>
      <c r="C153" s="23">
        <v>43734</v>
      </c>
      <c r="D153" s="67">
        <f>IF(COUNTIF($G$2:$G153,$G153)=1,1,0)</f>
        <v>0</v>
      </c>
      <c r="E153" s="67" t="str">
        <f>IFERROR(VLOOKUP(База_КР_КК[[#This Row],[ИД штатной должности (S)]],'уровень защищенности'!$B$7:$F$1095,5,0),"не защищена")</f>
        <v>высокий</v>
      </c>
      <c r="F153" s="68">
        <v>500342</v>
      </c>
      <c r="G153" s="74" t="s">
        <v>2206</v>
      </c>
      <c r="H153" s="181">
        <f>INDEX('Списки данных'!$D$2:$D$1048576,MATCH(База_КР_КК[[#This Row],[Структурное подразделение]],'Списки данных'!$C$2:$C$1048576,0))</f>
        <v>18</v>
      </c>
      <c r="I153" s="80" t="s">
        <v>122</v>
      </c>
      <c r="J153" s="80" t="s">
        <v>188</v>
      </c>
      <c r="K153" s="80" t="s">
        <v>21</v>
      </c>
      <c r="L153" s="30" t="s">
        <v>191</v>
      </c>
      <c r="M153" s="68">
        <v>6</v>
      </c>
      <c r="N153" s="181" t="str">
        <f t="shared" si="2"/>
        <v>нет</v>
      </c>
      <c r="O153" s="23"/>
      <c r="P153" s="23"/>
      <c r="Q153" s="106"/>
      <c r="R153" s="37">
        <v>47</v>
      </c>
      <c r="S153" s="38" t="s">
        <v>461</v>
      </c>
      <c r="T153" s="37">
        <v>1169</v>
      </c>
      <c r="U153" s="39" t="s">
        <v>1578</v>
      </c>
      <c r="V153" s="89" t="s">
        <v>272</v>
      </c>
      <c r="W153" s="89" t="s">
        <v>122</v>
      </c>
      <c r="X153" s="106" t="s">
        <v>295</v>
      </c>
      <c r="Y153" s="107" t="s">
        <v>18</v>
      </c>
      <c r="Z153" s="67">
        <f>IF(База_КР_КК[[#This Row],[Таб.номер резервиста]]="-","-",IF(OR(База_КР_КК[[#This Row],[Уровень КК]]=2,База_КР_КК[[#This Row],[Уровень КК]]=3),IF(COUNTIFS($U$2:$U153,$U153,$F$2:$F153,$F153)=1,1,0),IF(COUNTIFS($U$2:$U153,$U153,$L$2:$L153,$L153)=1,1,0)))</f>
        <v>0</v>
      </c>
      <c r="AA1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" s="106" t="s">
        <v>19</v>
      </c>
      <c r="AC153" s="51">
        <v>44783</v>
      </c>
      <c r="AD153" s="106" t="s">
        <v>13</v>
      </c>
      <c r="AE153" s="38" t="s">
        <v>312</v>
      </c>
    </row>
    <row r="154" spans="1:31" ht="18" customHeight="1" x14ac:dyDescent="0.25">
      <c r="A1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4" s="79">
        <v>4</v>
      </c>
      <c r="C154" s="23">
        <v>43734</v>
      </c>
      <c r="D154" s="67">
        <f>IF(COUNTIF($G$2:$G154,$G154)=1,1,0)</f>
        <v>0</v>
      </c>
      <c r="E154" s="67" t="str">
        <f>IFERROR(VLOOKUP(База_КР_КК[[#This Row],[ИД штатной должности (S)]],'уровень защищенности'!$B$7:$F$1095,5,0),"не защищена")</f>
        <v>высокий</v>
      </c>
      <c r="F154" s="68">
        <v>500342</v>
      </c>
      <c r="G154" s="74" t="s">
        <v>2206</v>
      </c>
      <c r="H154" s="181">
        <f>INDEX('Списки данных'!$D$2:$D$1048576,MATCH(База_КР_КК[[#This Row],[Структурное подразделение]],'Списки данных'!$C$2:$C$1048576,0))</f>
        <v>18</v>
      </c>
      <c r="I154" s="80" t="s">
        <v>122</v>
      </c>
      <c r="J154" s="80" t="s">
        <v>188</v>
      </c>
      <c r="K154" s="80" t="s">
        <v>21</v>
      </c>
      <c r="L154" s="30" t="s">
        <v>191</v>
      </c>
      <c r="M154" s="68">
        <v>6</v>
      </c>
      <c r="N154" s="181" t="str">
        <f t="shared" si="2"/>
        <v>нет</v>
      </c>
      <c r="O154" s="23"/>
      <c r="P154" s="23"/>
      <c r="Q154" s="106"/>
      <c r="R154" s="37">
        <v>47</v>
      </c>
      <c r="S154" s="38" t="s">
        <v>461</v>
      </c>
      <c r="T154" s="37">
        <v>27</v>
      </c>
      <c r="U154" s="39" t="s">
        <v>441</v>
      </c>
      <c r="V154" s="89" t="s">
        <v>272</v>
      </c>
      <c r="W154" s="89" t="s">
        <v>122</v>
      </c>
      <c r="X154" s="106" t="s">
        <v>295</v>
      </c>
      <c r="Y154" s="107" t="s">
        <v>18</v>
      </c>
      <c r="Z154" s="67">
        <f>IF(База_КР_КК[[#This Row],[Таб.номер резервиста]]="-","-",IF(OR(База_КР_КК[[#This Row],[Уровень КК]]=2,База_КР_КК[[#This Row],[Уровень КК]]=3),IF(COUNTIFS($U$2:$U154,$U154,$F$2:$F154,$F154)=1,1,0),IF(COUNTIFS($U$2:$U154,$U154,$L$2:$L154,$L154)=1,1,0)))</f>
        <v>0</v>
      </c>
      <c r="AA1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" s="106" t="s">
        <v>37</v>
      </c>
      <c r="AC154" s="51">
        <v>44678</v>
      </c>
      <c r="AD154" s="106" t="s">
        <v>13</v>
      </c>
      <c r="AE154" s="38" t="s">
        <v>312</v>
      </c>
    </row>
    <row r="155" spans="1:31" ht="18" customHeight="1" x14ac:dyDescent="0.25">
      <c r="A1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5" s="79">
        <v>4</v>
      </c>
      <c r="C155" s="23">
        <v>43734</v>
      </c>
      <c r="D155" s="67">
        <f>IF(COUNTIF($G$2:$G155,$G155)=1,1,0)</f>
        <v>1</v>
      </c>
      <c r="E155" s="67" t="str">
        <f>IFERROR(VLOOKUP(База_КР_КК[[#This Row],[ИД штатной должности (S)]],'уровень защищенности'!$B$7:$F$1095,5,0),"не защищена")</f>
        <v>высокий</v>
      </c>
      <c r="F155" s="68">
        <v>500343</v>
      </c>
      <c r="G155" s="74" t="s">
        <v>2207</v>
      </c>
      <c r="H155" s="181">
        <f>INDEX('Списки данных'!$D$2:$D$1048576,MATCH(База_КР_КК[[#This Row],[Структурное подразделение]],'Списки данных'!$C$2:$C$1048576,0))</f>
        <v>18</v>
      </c>
      <c r="I155" s="80" t="s">
        <v>122</v>
      </c>
      <c r="J155" s="80" t="s">
        <v>188</v>
      </c>
      <c r="K155" s="80" t="s">
        <v>21</v>
      </c>
      <c r="L155" s="30" t="s">
        <v>192</v>
      </c>
      <c r="M155" s="68">
        <v>6</v>
      </c>
      <c r="N155" s="181" t="str">
        <f t="shared" si="2"/>
        <v>нет</v>
      </c>
      <c r="O155" s="23"/>
      <c r="P155" s="23"/>
      <c r="Q155" s="106"/>
      <c r="R155" s="37">
        <v>48</v>
      </c>
      <c r="S155" s="38" t="s">
        <v>462</v>
      </c>
      <c r="T155" s="37">
        <v>1168</v>
      </c>
      <c r="U155" s="39" t="s">
        <v>1577</v>
      </c>
      <c r="V155" s="89" t="s">
        <v>272</v>
      </c>
      <c r="W155" s="89" t="s">
        <v>122</v>
      </c>
      <c r="X155" s="106" t="s">
        <v>295</v>
      </c>
      <c r="Y155" s="107" t="s">
        <v>12</v>
      </c>
      <c r="Z155" s="67">
        <f>IF(База_КР_КК[[#This Row],[Таб.номер резервиста]]="-","-",IF(OR(База_КР_КК[[#This Row],[Уровень КК]]=2,База_КР_КК[[#This Row],[Уровень КК]]=3),IF(COUNTIFS($U$2:$U155,$U155,$F$2:$F155,$F155)=1,1,0),IF(COUNTIFS($U$2:$U155,$U155,$L$2:$L155,$L155)=1,1,0)))</f>
        <v>1</v>
      </c>
      <c r="AA1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" s="106"/>
      <c r="AC155" s="51"/>
      <c r="AD155" s="106" t="s">
        <v>17</v>
      </c>
      <c r="AE155" s="38" t="s">
        <v>409</v>
      </c>
    </row>
    <row r="156" spans="1:31" ht="18" customHeight="1" x14ac:dyDescent="0.25">
      <c r="A1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6" s="79">
        <v>4</v>
      </c>
      <c r="C156" s="23">
        <v>43734</v>
      </c>
      <c r="D156" s="67">
        <f>IF(COUNTIF($G$2:$G156,$G156)=1,1,0)</f>
        <v>0</v>
      </c>
      <c r="E156" s="67" t="str">
        <f>IFERROR(VLOOKUP(База_КР_КК[[#This Row],[ИД штатной должности (S)]],'уровень защищенности'!$B$7:$F$1095,5,0),"не защищена")</f>
        <v>высокий</v>
      </c>
      <c r="F156" s="68">
        <v>500343</v>
      </c>
      <c r="G156" s="74" t="s">
        <v>2207</v>
      </c>
      <c r="H156" s="181">
        <f>INDEX('Списки данных'!$D$2:$D$1048576,MATCH(База_КР_КК[[#This Row],[Структурное подразделение]],'Списки данных'!$C$2:$C$1048576,0))</f>
        <v>18</v>
      </c>
      <c r="I156" s="80" t="s">
        <v>122</v>
      </c>
      <c r="J156" s="80" t="s">
        <v>188</v>
      </c>
      <c r="K156" s="80" t="s">
        <v>21</v>
      </c>
      <c r="L156" s="30" t="s">
        <v>192</v>
      </c>
      <c r="M156" s="68">
        <v>6</v>
      </c>
      <c r="N156" s="181" t="str">
        <f t="shared" si="2"/>
        <v>нет</v>
      </c>
      <c r="O156" s="23"/>
      <c r="P156" s="23"/>
      <c r="Q156" s="106"/>
      <c r="R156" s="37">
        <v>48</v>
      </c>
      <c r="S156" s="38" t="s">
        <v>462</v>
      </c>
      <c r="T156" s="37">
        <v>115</v>
      </c>
      <c r="U156" s="39" t="s">
        <v>527</v>
      </c>
      <c r="V156" s="89" t="s">
        <v>272</v>
      </c>
      <c r="W156" s="89" t="s">
        <v>122</v>
      </c>
      <c r="X156" s="106" t="s">
        <v>295</v>
      </c>
      <c r="Y156" s="107" t="s">
        <v>14</v>
      </c>
      <c r="Z156" s="67">
        <f>IF(База_КР_КК[[#This Row],[Таб.номер резервиста]]="-","-",IF(OR(База_КР_КК[[#This Row],[Уровень КК]]=2,База_КР_КК[[#This Row],[Уровень КК]]=3),IF(COUNTIFS($U$2:$U156,$U156,$F$2:$F156,$F156)=1,1,0),IF(COUNTIFS($U$2:$U156,$U156,$L$2:$L156,$L156)=1,1,0)))</f>
        <v>1</v>
      </c>
      <c r="AA1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" s="106" t="s">
        <v>24</v>
      </c>
      <c r="AC156" s="51">
        <v>44890</v>
      </c>
      <c r="AD156" s="106" t="s">
        <v>17</v>
      </c>
      <c r="AE156" s="38" t="s">
        <v>310</v>
      </c>
    </row>
    <row r="157" spans="1:31" ht="18" customHeight="1" x14ac:dyDescent="0.25">
      <c r="A1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7" s="79">
        <v>4</v>
      </c>
      <c r="C157" s="23">
        <v>43734</v>
      </c>
      <c r="D157" s="67">
        <f>IF(COUNTIF($G$2:$G157,$G157)=1,1,0)</f>
        <v>0</v>
      </c>
      <c r="E157" s="67" t="str">
        <f>IFERROR(VLOOKUP(База_КР_КК[[#This Row],[ИД штатной должности (S)]],'уровень защищенности'!$B$7:$F$1095,5,0),"не защищена")</f>
        <v>высокий</v>
      </c>
      <c r="F157" s="68">
        <v>500343</v>
      </c>
      <c r="G157" s="74" t="s">
        <v>2207</v>
      </c>
      <c r="H157" s="181">
        <f>INDEX('Списки данных'!$D$2:$D$1048576,MATCH(База_КР_КК[[#This Row],[Структурное подразделение]],'Списки данных'!$C$2:$C$1048576,0))</f>
        <v>18</v>
      </c>
      <c r="I157" s="80" t="s">
        <v>122</v>
      </c>
      <c r="J157" s="80" t="s">
        <v>188</v>
      </c>
      <c r="K157" s="80" t="s">
        <v>21</v>
      </c>
      <c r="L157" s="30" t="s">
        <v>192</v>
      </c>
      <c r="M157" s="68">
        <v>6</v>
      </c>
      <c r="N157" s="181" t="str">
        <f t="shared" si="2"/>
        <v>нет</v>
      </c>
      <c r="O157" s="23"/>
      <c r="P157" s="23"/>
      <c r="Q157" s="106"/>
      <c r="R157" s="37">
        <v>48</v>
      </c>
      <c r="S157" s="38" t="s">
        <v>462</v>
      </c>
      <c r="T157" s="37">
        <v>46</v>
      </c>
      <c r="U157" s="39" t="s">
        <v>460</v>
      </c>
      <c r="V157" s="89" t="s">
        <v>272</v>
      </c>
      <c r="W157" s="89" t="s">
        <v>122</v>
      </c>
      <c r="X157" s="106" t="s">
        <v>295</v>
      </c>
      <c r="Y157" s="107" t="s">
        <v>14</v>
      </c>
      <c r="Z157" s="67">
        <f>IF(База_КР_КК[[#This Row],[Таб.номер резервиста]]="-","-",IF(OR(База_КР_КК[[#This Row],[Уровень КК]]=2,База_КР_КК[[#This Row],[Уровень КК]]=3),IF(COUNTIFS($U$2:$U157,$U157,$F$2:$F157,$F157)=1,1,0),IF(COUNTIFS($U$2:$U157,$U157,$L$2:$L157,$L157)=1,1,0)))</f>
        <v>1</v>
      </c>
      <c r="AA1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" s="106" t="s">
        <v>24</v>
      </c>
      <c r="AC157" s="51">
        <v>44939</v>
      </c>
      <c r="AD157" s="106" t="s">
        <v>17</v>
      </c>
      <c r="AE157" s="38" t="s">
        <v>409</v>
      </c>
    </row>
    <row r="158" spans="1:31" ht="18" customHeight="1" x14ac:dyDescent="0.25">
      <c r="A1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8" s="79">
        <v>4</v>
      </c>
      <c r="C158" s="23">
        <v>43734</v>
      </c>
      <c r="D158" s="67">
        <f>IF(COUNTIF($G$2:$G158,$G158)=1,1,0)</f>
        <v>0</v>
      </c>
      <c r="E158" s="67" t="str">
        <f>IFERROR(VLOOKUP(База_КР_КК[[#This Row],[ИД штатной должности (S)]],'уровень защищенности'!$B$7:$F$1095,5,0),"не защищена")</f>
        <v>высокий</v>
      </c>
      <c r="F158" s="68">
        <v>500343</v>
      </c>
      <c r="G158" s="74" t="s">
        <v>2207</v>
      </c>
      <c r="H158" s="181">
        <f>INDEX('Списки данных'!$D$2:$D$1048576,MATCH(База_КР_КК[[#This Row],[Структурное подразделение]],'Списки данных'!$C$2:$C$1048576,0))</f>
        <v>18</v>
      </c>
      <c r="I158" s="80" t="s">
        <v>122</v>
      </c>
      <c r="J158" s="80" t="s">
        <v>188</v>
      </c>
      <c r="K158" s="80" t="s">
        <v>21</v>
      </c>
      <c r="L158" s="30" t="s">
        <v>192</v>
      </c>
      <c r="M158" s="68">
        <v>6</v>
      </c>
      <c r="N158" s="181" t="str">
        <f t="shared" si="2"/>
        <v>нет</v>
      </c>
      <c r="O158" s="23"/>
      <c r="P158" s="23"/>
      <c r="Q158" s="106"/>
      <c r="R158" s="37">
        <v>48</v>
      </c>
      <c r="S158" s="38" t="s">
        <v>462</v>
      </c>
      <c r="T158" s="37">
        <v>1169</v>
      </c>
      <c r="U158" s="39" t="s">
        <v>1578</v>
      </c>
      <c r="V158" s="89" t="s">
        <v>272</v>
      </c>
      <c r="W158" s="89" t="s">
        <v>122</v>
      </c>
      <c r="X158" s="106" t="s">
        <v>295</v>
      </c>
      <c r="Y158" s="107" t="s">
        <v>18</v>
      </c>
      <c r="Z158" s="67">
        <f>IF(База_КР_КК[[#This Row],[Таб.номер резервиста]]="-","-",IF(OR(База_КР_КК[[#This Row],[Уровень КК]]=2,База_КР_КК[[#This Row],[Уровень КК]]=3),IF(COUNTIFS($U$2:$U158,$U158,$F$2:$F158,$F158)=1,1,0),IF(COUNTIFS($U$2:$U158,$U158,$L$2:$L158,$L158)=1,1,0)))</f>
        <v>1</v>
      </c>
      <c r="AA1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8" s="106" t="s">
        <v>19</v>
      </c>
      <c r="AC158" s="51">
        <v>44783</v>
      </c>
      <c r="AD158" s="106" t="s">
        <v>13</v>
      </c>
      <c r="AE158" s="38" t="s">
        <v>312</v>
      </c>
    </row>
    <row r="159" spans="1:31" ht="18" customHeight="1" x14ac:dyDescent="0.25">
      <c r="A1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59" s="79">
        <v>4</v>
      </c>
      <c r="C159" s="23">
        <v>43734</v>
      </c>
      <c r="D159" s="67">
        <f>IF(COUNTIF($G$2:$G159,$G159)=1,1,0)</f>
        <v>0</v>
      </c>
      <c r="E159" s="67" t="str">
        <f>IFERROR(VLOOKUP(База_КР_КК[[#This Row],[ИД штатной должности (S)]],'уровень защищенности'!$B$7:$F$1095,5,0),"не защищена")</f>
        <v>высокий</v>
      </c>
      <c r="F159" s="68">
        <v>500343</v>
      </c>
      <c r="G159" s="74" t="s">
        <v>2207</v>
      </c>
      <c r="H159" s="181">
        <f>INDEX('Списки данных'!$D$2:$D$1048576,MATCH(База_КР_КК[[#This Row],[Структурное подразделение]],'Списки данных'!$C$2:$C$1048576,0))</f>
        <v>18</v>
      </c>
      <c r="I159" s="80" t="s">
        <v>122</v>
      </c>
      <c r="J159" s="80" t="s">
        <v>188</v>
      </c>
      <c r="K159" s="80" t="s">
        <v>21</v>
      </c>
      <c r="L159" s="30" t="s">
        <v>192</v>
      </c>
      <c r="M159" s="68">
        <v>6</v>
      </c>
      <c r="N159" s="181" t="str">
        <f t="shared" si="2"/>
        <v>нет</v>
      </c>
      <c r="O159" s="23"/>
      <c r="P159" s="23"/>
      <c r="Q159" s="106"/>
      <c r="R159" s="37">
        <v>48</v>
      </c>
      <c r="S159" s="38" t="s">
        <v>462</v>
      </c>
      <c r="T159" s="37">
        <v>27</v>
      </c>
      <c r="U159" s="39" t="s">
        <v>441</v>
      </c>
      <c r="V159" s="89" t="s">
        <v>272</v>
      </c>
      <c r="W159" s="89" t="s">
        <v>122</v>
      </c>
      <c r="X159" s="106" t="s">
        <v>295</v>
      </c>
      <c r="Y159" s="107" t="s">
        <v>18</v>
      </c>
      <c r="Z159" s="67">
        <f>IF(База_КР_КК[[#This Row],[Таб.номер резервиста]]="-","-",IF(OR(База_КР_КК[[#This Row],[Уровень КК]]=2,База_КР_КК[[#This Row],[Уровень КК]]=3),IF(COUNTIFS($U$2:$U159,$U159,$F$2:$F159,$F159)=1,1,0),IF(COUNTIFS($U$2:$U159,$U159,$L$2:$L159,$L159)=1,1,0)))</f>
        <v>1</v>
      </c>
      <c r="AA1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" s="106" t="s">
        <v>37</v>
      </c>
      <c r="AC159" s="51">
        <v>44678</v>
      </c>
      <c r="AD159" s="106" t="s">
        <v>13</v>
      </c>
      <c r="AE159" s="38" t="s">
        <v>312</v>
      </c>
    </row>
    <row r="160" spans="1:31" ht="18" customHeight="1" x14ac:dyDescent="0.25">
      <c r="A1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0" s="79">
        <v>4</v>
      </c>
      <c r="C160" s="23">
        <v>43734</v>
      </c>
      <c r="D160" s="67">
        <f>IF(COUNTIF($G$2:$G160,$G160)=1,1,0)</f>
        <v>1</v>
      </c>
      <c r="E160" s="67" t="str">
        <f>IFERROR(VLOOKUP(База_КР_КК[[#This Row],[ИД штатной должности (S)]],'уровень защищенности'!$B$7:$F$1095,5,0),"не защищена")</f>
        <v>высокий</v>
      </c>
      <c r="F160" s="68">
        <v>500344</v>
      </c>
      <c r="G160" s="74" t="s">
        <v>2208</v>
      </c>
      <c r="H160" s="181">
        <f>INDEX('Списки данных'!$D$2:$D$1048576,MATCH(База_КР_КК[[#This Row],[Структурное подразделение]],'Списки данных'!$C$2:$C$1048576,0))</f>
        <v>18</v>
      </c>
      <c r="I160" s="80" t="s">
        <v>122</v>
      </c>
      <c r="J160" s="80" t="s">
        <v>188</v>
      </c>
      <c r="K160" s="80" t="s">
        <v>21</v>
      </c>
      <c r="L160" s="30" t="s">
        <v>192</v>
      </c>
      <c r="M160" s="68">
        <v>6</v>
      </c>
      <c r="N160" s="181" t="str">
        <f t="shared" si="2"/>
        <v>нет</v>
      </c>
      <c r="O160" s="23"/>
      <c r="P160" s="23"/>
      <c r="Q160" s="106"/>
      <c r="R160" s="37">
        <v>49</v>
      </c>
      <c r="S160" s="38" t="s">
        <v>463</v>
      </c>
      <c r="T160" s="37">
        <v>1168</v>
      </c>
      <c r="U160" s="39" t="s">
        <v>1577</v>
      </c>
      <c r="V160" s="89" t="s">
        <v>272</v>
      </c>
      <c r="W160" s="89" t="s">
        <v>122</v>
      </c>
      <c r="X160" s="106" t="s">
        <v>295</v>
      </c>
      <c r="Y160" s="107" t="s">
        <v>12</v>
      </c>
      <c r="Z160" s="67">
        <f>IF(База_КР_КК[[#This Row],[Таб.номер резервиста]]="-","-",IF(OR(База_КР_КК[[#This Row],[Уровень КК]]=2,База_КР_КК[[#This Row],[Уровень КК]]=3),IF(COUNTIFS($U$2:$U160,$U160,$F$2:$F160,$F160)=1,1,0),IF(COUNTIFS($U$2:$U160,$U160,$L$2:$L160,$L160)=1,1,0)))</f>
        <v>0</v>
      </c>
      <c r="AA1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" s="106"/>
      <c r="AC160" s="51"/>
      <c r="AD160" s="106" t="s">
        <v>17</v>
      </c>
      <c r="AE160" s="38" t="s">
        <v>409</v>
      </c>
    </row>
    <row r="161" spans="1:31" ht="18" customHeight="1" x14ac:dyDescent="0.25">
      <c r="A1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1" s="79">
        <v>4</v>
      </c>
      <c r="C161" s="23">
        <v>43734</v>
      </c>
      <c r="D161" s="67">
        <f>IF(COUNTIF($G$2:$G161,$G161)=1,1,0)</f>
        <v>0</v>
      </c>
      <c r="E161" s="67" t="str">
        <f>IFERROR(VLOOKUP(База_КР_КК[[#This Row],[ИД штатной должности (S)]],'уровень защищенности'!$B$7:$F$1095,5,0),"не защищена")</f>
        <v>высокий</v>
      </c>
      <c r="F161" s="68">
        <v>500344</v>
      </c>
      <c r="G161" s="74" t="s">
        <v>2208</v>
      </c>
      <c r="H161" s="181">
        <f>INDEX('Списки данных'!$D$2:$D$1048576,MATCH(База_КР_КК[[#This Row],[Структурное подразделение]],'Списки данных'!$C$2:$C$1048576,0))</f>
        <v>18</v>
      </c>
      <c r="I161" s="80" t="s">
        <v>122</v>
      </c>
      <c r="J161" s="80" t="s">
        <v>188</v>
      </c>
      <c r="K161" s="80" t="s">
        <v>21</v>
      </c>
      <c r="L161" s="30" t="s">
        <v>192</v>
      </c>
      <c r="M161" s="68">
        <v>6</v>
      </c>
      <c r="N161" s="181" t="str">
        <f t="shared" si="2"/>
        <v>нет</v>
      </c>
      <c r="O161" s="23"/>
      <c r="P161" s="23"/>
      <c r="Q161" s="106"/>
      <c r="R161" s="37">
        <v>49</v>
      </c>
      <c r="S161" s="38" t="s">
        <v>463</v>
      </c>
      <c r="T161" s="37">
        <v>115</v>
      </c>
      <c r="U161" s="39" t="s">
        <v>527</v>
      </c>
      <c r="V161" s="89" t="s">
        <v>272</v>
      </c>
      <c r="W161" s="89" t="s">
        <v>122</v>
      </c>
      <c r="X161" s="106" t="s">
        <v>295</v>
      </c>
      <c r="Y161" s="107" t="s">
        <v>14</v>
      </c>
      <c r="Z161" s="67">
        <f>IF(База_КР_КК[[#This Row],[Таб.номер резервиста]]="-","-",IF(OR(База_КР_КК[[#This Row],[Уровень КК]]=2,База_КР_КК[[#This Row],[Уровень КК]]=3),IF(COUNTIFS($U$2:$U161,$U161,$F$2:$F161,$F161)=1,1,0),IF(COUNTIFS($U$2:$U161,$U161,$L$2:$L161,$L161)=1,1,0)))</f>
        <v>0</v>
      </c>
      <c r="AA1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" s="106" t="s">
        <v>24</v>
      </c>
      <c r="AC161" s="51">
        <v>44890</v>
      </c>
      <c r="AD161" s="106" t="s">
        <v>17</v>
      </c>
      <c r="AE161" s="38" t="s">
        <v>310</v>
      </c>
    </row>
    <row r="162" spans="1:31" ht="18" customHeight="1" x14ac:dyDescent="0.25">
      <c r="A1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2" s="79">
        <v>4</v>
      </c>
      <c r="C162" s="23">
        <v>43734</v>
      </c>
      <c r="D162" s="67">
        <f>IF(COUNTIF($G$2:$G162,$G162)=1,1,0)</f>
        <v>0</v>
      </c>
      <c r="E162" s="67" t="str">
        <f>IFERROR(VLOOKUP(База_КР_КК[[#This Row],[ИД штатной должности (S)]],'уровень защищенности'!$B$7:$F$1095,5,0),"не защищена")</f>
        <v>высокий</v>
      </c>
      <c r="F162" s="68">
        <v>500344</v>
      </c>
      <c r="G162" s="74" t="s">
        <v>2208</v>
      </c>
      <c r="H162" s="181">
        <f>INDEX('Списки данных'!$D$2:$D$1048576,MATCH(База_КР_КК[[#This Row],[Структурное подразделение]],'Списки данных'!$C$2:$C$1048576,0))</f>
        <v>18</v>
      </c>
      <c r="I162" s="80" t="s">
        <v>122</v>
      </c>
      <c r="J162" s="80" t="s">
        <v>188</v>
      </c>
      <c r="K162" s="80" t="s">
        <v>21</v>
      </c>
      <c r="L162" s="30" t="s">
        <v>192</v>
      </c>
      <c r="M162" s="68">
        <v>6</v>
      </c>
      <c r="N162" s="181" t="str">
        <f t="shared" si="2"/>
        <v>нет</v>
      </c>
      <c r="O162" s="23"/>
      <c r="P162" s="23"/>
      <c r="Q162" s="106"/>
      <c r="R162" s="37">
        <v>49</v>
      </c>
      <c r="S162" s="38" t="s">
        <v>463</v>
      </c>
      <c r="T162" s="37">
        <v>46</v>
      </c>
      <c r="U162" s="39" t="s">
        <v>460</v>
      </c>
      <c r="V162" s="89" t="s">
        <v>272</v>
      </c>
      <c r="W162" s="89" t="s">
        <v>122</v>
      </c>
      <c r="X162" s="106" t="s">
        <v>295</v>
      </c>
      <c r="Y162" s="107" t="s">
        <v>14</v>
      </c>
      <c r="Z162" s="67">
        <f>IF(База_КР_КК[[#This Row],[Таб.номер резервиста]]="-","-",IF(OR(База_КР_КК[[#This Row],[Уровень КК]]=2,База_КР_КК[[#This Row],[Уровень КК]]=3),IF(COUNTIFS($U$2:$U162,$U162,$F$2:$F162,$F162)=1,1,0),IF(COUNTIFS($U$2:$U162,$U162,$L$2:$L162,$L162)=1,1,0)))</f>
        <v>0</v>
      </c>
      <c r="AA1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" s="106" t="s">
        <v>24</v>
      </c>
      <c r="AC162" s="51">
        <v>44939</v>
      </c>
      <c r="AD162" s="106" t="s">
        <v>17</v>
      </c>
      <c r="AE162" s="38" t="s">
        <v>409</v>
      </c>
    </row>
    <row r="163" spans="1:31" ht="18" customHeight="1" x14ac:dyDescent="0.25">
      <c r="A1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3" s="79">
        <v>4</v>
      </c>
      <c r="C163" s="23">
        <v>43734</v>
      </c>
      <c r="D163" s="67">
        <f>IF(COUNTIF($G$2:$G163,$G163)=1,1,0)</f>
        <v>0</v>
      </c>
      <c r="E163" s="67" t="str">
        <f>IFERROR(VLOOKUP(База_КР_КК[[#This Row],[ИД штатной должности (S)]],'уровень защищенности'!$B$7:$F$1095,5,0),"не защищена")</f>
        <v>высокий</v>
      </c>
      <c r="F163" s="68">
        <v>500344</v>
      </c>
      <c r="G163" s="74" t="s">
        <v>2208</v>
      </c>
      <c r="H163" s="181">
        <f>INDEX('Списки данных'!$D$2:$D$1048576,MATCH(База_КР_КК[[#This Row],[Структурное подразделение]],'Списки данных'!$C$2:$C$1048576,0))</f>
        <v>18</v>
      </c>
      <c r="I163" s="80" t="s">
        <v>122</v>
      </c>
      <c r="J163" s="80" t="s">
        <v>188</v>
      </c>
      <c r="K163" s="80" t="s">
        <v>21</v>
      </c>
      <c r="L163" s="30" t="s">
        <v>192</v>
      </c>
      <c r="M163" s="68">
        <v>6</v>
      </c>
      <c r="N163" s="181" t="str">
        <f t="shared" si="2"/>
        <v>нет</v>
      </c>
      <c r="O163" s="23"/>
      <c r="P163" s="23"/>
      <c r="Q163" s="106"/>
      <c r="R163" s="37">
        <v>49</v>
      </c>
      <c r="S163" s="38" t="s">
        <v>463</v>
      </c>
      <c r="T163" s="37">
        <v>1169</v>
      </c>
      <c r="U163" s="39" t="s">
        <v>1578</v>
      </c>
      <c r="V163" s="89" t="s">
        <v>272</v>
      </c>
      <c r="W163" s="89" t="s">
        <v>122</v>
      </c>
      <c r="X163" s="106" t="s">
        <v>295</v>
      </c>
      <c r="Y163" s="107" t="s">
        <v>18</v>
      </c>
      <c r="Z163" s="67">
        <f>IF(База_КР_КК[[#This Row],[Таб.номер резервиста]]="-","-",IF(OR(База_КР_КК[[#This Row],[Уровень КК]]=2,База_КР_КК[[#This Row],[Уровень КК]]=3),IF(COUNTIFS($U$2:$U163,$U163,$F$2:$F163,$F163)=1,1,0),IF(COUNTIFS($U$2:$U163,$U163,$L$2:$L163,$L163)=1,1,0)))</f>
        <v>0</v>
      </c>
      <c r="AA1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" s="106" t="s">
        <v>19</v>
      </c>
      <c r="AC163" s="51">
        <v>44783</v>
      </c>
      <c r="AD163" s="106" t="s">
        <v>13</v>
      </c>
      <c r="AE163" s="38" t="s">
        <v>312</v>
      </c>
    </row>
    <row r="164" spans="1:31" ht="18" customHeight="1" x14ac:dyDescent="0.25">
      <c r="A1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4" s="79">
        <v>4</v>
      </c>
      <c r="C164" s="23">
        <v>43734</v>
      </c>
      <c r="D164" s="67">
        <f>IF(COUNTIF($G$2:$G164,$G164)=1,1,0)</f>
        <v>0</v>
      </c>
      <c r="E164" s="67" t="str">
        <f>IFERROR(VLOOKUP(База_КР_КК[[#This Row],[ИД штатной должности (S)]],'уровень защищенности'!$B$7:$F$1095,5,0),"не защищена")</f>
        <v>высокий</v>
      </c>
      <c r="F164" s="68">
        <v>500344</v>
      </c>
      <c r="G164" s="74" t="s">
        <v>2208</v>
      </c>
      <c r="H164" s="181">
        <f>INDEX('Списки данных'!$D$2:$D$1048576,MATCH(База_КР_КК[[#This Row],[Структурное подразделение]],'Списки данных'!$C$2:$C$1048576,0))</f>
        <v>18</v>
      </c>
      <c r="I164" s="80" t="s">
        <v>122</v>
      </c>
      <c r="J164" s="80" t="s">
        <v>188</v>
      </c>
      <c r="K164" s="80" t="s">
        <v>21</v>
      </c>
      <c r="L164" s="30" t="s">
        <v>192</v>
      </c>
      <c r="M164" s="68">
        <v>6</v>
      </c>
      <c r="N164" s="181" t="str">
        <f t="shared" si="2"/>
        <v>нет</v>
      </c>
      <c r="O164" s="23"/>
      <c r="P164" s="23"/>
      <c r="Q164" s="106"/>
      <c r="R164" s="37">
        <v>49</v>
      </c>
      <c r="S164" s="38" t="s">
        <v>463</v>
      </c>
      <c r="T164" s="37">
        <v>27</v>
      </c>
      <c r="U164" s="39" t="s">
        <v>441</v>
      </c>
      <c r="V164" s="89" t="s">
        <v>272</v>
      </c>
      <c r="W164" s="89" t="s">
        <v>122</v>
      </c>
      <c r="X164" s="106" t="s">
        <v>295</v>
      </c>
      <c r="Y164" s="107" t="s">
        <v>18</v>
      </c>
      <c r="Z164" s="67">
        <f>IF(База_КР_КК[[#This Row],[Таб.номер резервиста]]="-","-",IF(OR(База_КР_КК[[#This Row],[Уровень КК]]=2,База_КР_КК[[#This Row],[Уровень КК]]=3),IF(COUNTIFS($U$2:$U164,$U164,$F$2:$F164,$F164)=1,1,0),IF(COUNTIFS($U$2:$U164,$U164,$L$2:$L164,$L164)=1,1,0)))</f>
        <v>0</v>
      </c>
      <c r="AA1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4" s="106" t="s">
        <v>37</v>
      </c>
      <c r="AC164" s="51">
        <v>44678</v>
      </c>
      <c r="AD164" s="106" t="s">
        <v>13</v>
      </c>
      <c r="AE164" s="38" t="s">
        <v>312</v>
      </c>
    </row>
    <row r="165" spans="1:31" ht="18" customHeight="1" x14ac:dyDescent="0.25">
      <c r="A1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5" s="79">
        <v>4</v>
      </c>
      <c r="C165" s="23">
        <v>44113</v>
      </c>
      <c r="D165" s="67">
        <f>IF(COUNTIF($G$2:$G165,$G165)=1,1,0)</f>
        <v>1</v>
      </c>
      <c r="E165" s="67" t="str">
        <f>IFERROR(VLOOKUP(База_КР_КК[[#This Row],[ИД штатной должности (S)]],'уровень защищенности'!$B$7:$F$1095,5,0),"не защищена")</f>
        <v>высокий</v>
      </c>
      <c r="F165" s="68">
        <v>500345</v>
      </c>
      <c r="G165" s="74" t="s">
        <v>2209</v>
      </c>
      <c r="H165" s="181">
        <f>INDEX('Списки данных'!$D$2:$D$1048576,MATCH(База_КР_КК[[#This Row],[Структурное подразделение]],'Списки данных'!$C$2:$C$1048576,0))</f>
        <v>18</v>
      </c>
      <c r="I165" s="80" t="s">
        <v>122</v>
      </c>
      <c r="J165" s="80" t="s">
        <v>188</v>
      </c>
      <c r="K165" s="80" t="s">
        <v>190</v>
      </c>
      <c r="L165" s="30" t="s">
        <v>192</v>
      </c>
      <c r="M165" s="68">
        <v>6</v>
      </c>
      <c r="N165" s="181" t="str">
        <f t="shared" si="2"/>
        <v>нет</v>
      </c>
      <c r="O165" s="23"/>
      <c r="P165" s="23"/>
      <c r="Q165" s="106"/>
      <c r="R165" s="37">
        <v>50</v>
      </c>
      <c r="S165" s="38" t="s">
        <v>464</v>
      </c>
      <c r="T165" s="37">
        <v>1170</v>
      </c>
      <c r="U165" s="39" t="s">
        <v>1579</v>
      </c>
      <c r="V165" s="89" t="s">
        <v>272</v>
      </c>
      <c r="W165" s="89" t="s">
        <v>122</v>
      </c>
      <c r="X165" s="106" t="s">
        <v>295</v>
      </c>
      <c r="Y165" s="107" t="s">
        <v>12</v>
      </c>
      <c r="Z165" s="67">
        <f>IF(База_КР_КК[[#This Row],[Таб.номер резервиста]]="-","-",IF(OR(База_КР_КК[[#This Row],[Уровень КК]]=2,База_КР_КК[[#This Row],[Уровень КК]]=3),IF(COUNTIFS($U$2:$U165,$U165,$F$2:$F165,$F165)=1,1,0),IF(COUNTIFS($U$2:$U165,$U165,$L$2:$L165,$L165)=1,1,0)))</f>
        <v>1</v>
      </c>
      <c r="AA1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" s="106"/>
      <c r="AC165" s="51"/>
      <c r="AD165" s="106" t="s">
        <v>17</v>
      </c>
      <c r="AE165" s="38" t="s">
        <v>409</v>
      </c>
    </row>
    <row r="166" spans="1:31" ht="18" customHeight="1" x14ac:dyDescent="0.25">
      <c r="A1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6" s="79">
        <v>4</v>
      </c>
      <c r="C166" s="23">
        <v>44113</v>
      </c>
      <c r="D166" s="67">
        <f>IF(COUNTIF($G$2:$G166,$G166)=1,1,0)</f>
        <v>0</v>
      </c>
      <c r="E166" s="67" t="str">
        <f>IFERROR(VLOOKUP(База_КР_КК[[#This Row],[ИД штатной должности (S)]],'уровень защищенности'!$B$7:$F$1095,5,0),"не защищена")</f>
        <v>высокий</v>
      </c>
      <c r="F166" s="68">
        <v>500345</v>
      </c>
      <c r="G166" s="74" t="s">
        <v>2209</v>
      </c>
      <c r="H166" s="181">
        <f>INDEX('Списки данных'!$D$2:$D$1048576,MATCH(База_КР_КК[[#This Row],[Структурное подразделение]],'Списки данных'!$C$2:$C$1048576,0))</f>
        <v>18</v>
      </c>
      <c r="I166" s="80" t="s">
        <v>122</v>
      </c>
      <c r="J166" s="80" t="s">
        <v>188</v>
      </c>
      <c r="K166" s="80" t="s">
        <v>190</v>
      </c>
      <c r="L166" s="30" t="s">
        <v>192</v>
      </c>
      <c r="M166" s="68">
        <v>6</v>
      </c>
      <c r="N166" s="181" t="str">
        <f t="shared" si="2"/>
        <v>нет</v>
      </c>
      <c r="O166" s="23"/>
      <c r="P166" s="23"/>
      <c r="Q166" s="106"/>
      <c r="R166" s="37">
        <v>50</v>
      </c>
      <c r="S166" s="38" t="s">
        <v>464</v>
      </c>
      <c r="T166" s="37">
        <v>1171</v>
      </c>
      <c r="U166" s="39" t="s">
        <v>1580</v>
      </c>
      <c r="V166" s="69" t="s">
        <v>16</v>
      </c>
      <c r="W166" s="89" t="s">
        <v>122</v>
      </c>
      <c r="X166" s="106" t="s">
        <v>296</v>
      </c>
      <c r="Y166" s="107" t="s">
        <v>18</v>
      </c>
      <c r="Z166" s="67">
        <f>IF(База_КР_КК[[#This Row],[Таб.номер резервиста]]="-","-",IF(OR(База_КР_КК[[#This Row],[Уровень КК]]=2,База_КР_КК[[#This Row],[Уровень КК]]=3),IF(COUNTIFS($U$2:$U166,$U166,$F$2:$F166,$F166)=1,1,0),IF(COUNTIFS($U$2:$U166,$U166,$L$2:$L166,$L166)=1,1,0)))</f>
        <v>1</v>
      </c>
      <c r="AA1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" s="106" t="s">
        <v>37</v>
      </c>
      <c r="AC166" s="51">
        <v>45252</v>
      </c>
      <c r="AD166" s="106" t="s">
        <v>31</v>
      </c>
      <c r="AE166" s="38" t="s">
        <v>409</v>
      </c>
    </row>
    <row r="167" spans="1:31" ht="18" customHeight="1" x14ac:dyDescent="0.25">
      <c r="A1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7" s="79">
        <v>4</v>
      </c>
      <c r="C167" s="23">
        <v>44113</v>
      </c>
      <c r="D167" s="67">
        <f>IF(COUNTIF($G$2:$G167,$G167)=1,1,0)</f>
        <v>1</v>
      </c>
      <c r="E167" s="67" t="str">
        <f>IFERROR(VLOOKUP(База_КР_КК[[#This Row],[ИД штатной должности (S)]],'уровень защищенности'!$B$7:$F$1095,5,0),"не защищена")</f>
        <v>не защищена</v>
      </c>
      <c r="F167" s="68">
        <v>500346</v>
      </c>
      <c r="G167" s="74" t="s">
        <v>2210</v>
      </c>
      <c r="H167" s="181">
        <f>INDEX('Списки данных'!$D$2:$D$1048576,MATCH(База_КР_КК[[#This Row],[Структурное подразделение]],'Списки данных'!$C$2:$C$1048576,0))</f>
        <v>18</v>
      </c>
      <c r="I167" s="80" t="s">
        <v>122</v>
      </c>
      <c r="J167" s="80" t="s">
        <v>188</v>
      </c>
      <c r="K167" s="80" t="s">
        <v>190</v>
      </c>
      <c r="L167" s="30" t="s">
        <v>193</v>
      </c>
      <c r="M167" s="68">
        <v>6</v>
      </c>
      <c r="N167" s="181" t="str">
        <f t="shared" si="2"/>
        <v>нет</v>
      </c>
      <c r="O167" s="23"/>
      <c r="P167" s="23"/>
      <c r="Q167" s="106"/>
      <c r="R167" s="37">
        <v>51</v>
      </c>
      <c r="S167" s="38" t="s">
        <v>465</v>
      </c>
      <c r="T167" s="37">
        <v>1171</v>
      </c>
      <c r="U167" s="39" t="s">
        <v>1580</v>
      </c>
      <c r="V167" s="69" t="s">
        <v>16</v>
      </c>
      <c r="W167" s="89" t="s">
        <v>122</v>
      </c>
      <c r="X167" s="106" t="s">
        <v>297</v>
      </c>
      <c r="Y167" s="107" t="s">
        <v>18</v>
      </c>
      <c r="Z167" s="67">
        <f>IF(База_КР_КК[[#This Row],[Таб.номер резервиста]]="-","-",IF(OR(База_КР_КК[[#This Row],[Уровень КК]]=2,База_КР_КК[[#This Row],[Уровень КК]]=3),IF(COUNTIFS($U$2:$U167,$U167,$F$2:$F167,$F167)=1,1,0),IF(COUNTIFS($U$2:$U167,$U167,$L$2:$L167,$L167)=1,1,0)))</f>
        <v>1</v>
      </c>
      <c r="AA1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" s="106" t="s">
        <v>37</v>
      </c>
      <c r="AC167" s="51">
        <v>45252</v>
      </c>
      <c r="AD167" s="106" t="s">
        <v>31</v>
      </c>
      <c r="AE167" s="38" t="s">
        <v>409</v>
      </c>
    </row>
    <row r="168" spans="1:31" ht="18" customHeight="1" x14ac:dyDescent="0.25">
      <c r="A1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8" s="79">
        <v>4</v>
      </c>
      <c r="C168" s="23">
        <v>43734</v>
      </c>
      <c r="D168" s="67">
        <f>IF(COUNTIF($G$2:$G168,$G168)=1,1,0)</f>
        <v>1</v>
      </c>
      <c r="E168" s="67" t="str">
        <f>IFERROR(VLOOKUP(База_КР_КК[[#This Row],[ИД штатной должности (S)]],'уровень защищенности'!$B$7:$F$1095,5,0),"не защищена")</f>
        <v>высокий</v>
      </c>
      <c r="F168" s="68">
        <v>500347</v>
      </c>
      <c r="G168" s="74" t="s">
        <v>2211</v>
      </c>
      <c r="H168" s="181">
        <f>INDEX('Списки данных'!$D$2:$D$1048576,MATCH(База_КР_КК[[#This Row],[Структурное подразделение]],'Списки данных'!$C$2:$C$1048576,0))</f>
        <v>18</v>
      </c>
      <c r="I168" s="80" t="s">
        <v>122</v>
      </c>
      <c r="J168" s="80" t="s">
        <v>188</v>
      </c>
      <c r="K168" s="80" t="s">
        <v>21</v>
      </c>
      <c r="L168" s="30" t="s">
        <v>194</v>
      </c>
      <c r="M168" s="68">
        <v>6</v>
      </c>
      <c r="N168" s="181" t="str">
        <f t="shared" si="2"/>
        <v>нет</v>
      </c>
      <c r="O168" s="23"/>
      <c r="P168" s="23"/>
      <c r="Q168" s="106"/>
      <c r="R168" s="37">
        <v>52</v>
      </c>
      <c r="S168" s="38" t="s">
        <v>466</v>
      </c>
      <c r="T168" s="37">
        <v>41</v>
      </c>
      <c r="U168" s="39" t="s">
        <v>455</v>
      </c>
      <c r="V168" s="89" t="s">
        <v>192</v>
      </c>
      <c r="W168" s="89" t="s">
        <v>122</v>
      </c>
      <c r="X168" s="106" t="s">
        <v>295</v>
      </c>
      <c r="Y168" s="107" t="s">
        <v>12</v>
      </c>
      <c r="Z168" s="67">
        <f>IF(База_КР_КК[[#This Row],[Таб.номер резервиста]]="-","-",IF(OR(База_КР_КК[[#This Row],[Уровень КК]]=2,База_КР_КК[[#This Row],[Уровень КК]]=3),IF(COUNTIFS($U$2:$U168,$U168,$F$2:$F168,$F168)=1,1,0),IF(COUNTIFS($U$2:$U168,$U168,$L$2:$L168,$L168)=1,1,0)))</f>
        <v>1</v>
      </c>
      <c r="AA1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" s="106"/>
      <c r="AC168" s="51"/>
      <c r="AD168" s="106" t="s">
        <v>17</v>
      </c>
      <c r="AE168" s="38" t="s">
        <v>409</v>
      </c>
    </row>
    <row r="169" spans="1:31" ht="18" customHeight="1" x14ac:dyDescent="0.25">
      <c r="A1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69" s="79">
        <v>4</v>
      </c>
      <c r="C169" s="23">
        <v>43734</v>
      </c>
      <c r="D169" s="67">
        <f>IF(COUNTIF($G$2:$G169,$G169)=1,1,0)</f>
        <v>0</v>
      </c>
      <c r="E169" s="67" t="str">
        <f>IFERROR(VLOOKUP(База_КР_КК[[#This Row],[ИД штатной должности (S)]],'уровень защищенности'!$B$7:$F$1095,5,0),"не защищена")</f>
        <v>высокий</v>
      </c>
      <c r="F169" s="68">
        <v>500347</v>
      </c>
      <c r="G169" s="74" t="s">
        <v>2211</v>
      </c>
      <c r="H169" s="181">
        <f>INDEX('Списки данных'!$D$2:$D$1048576,MATCH(База_КР_КК[[#This Row],[Структурное подразделение]],'Списки данных'!$C$2:$C$1048576,0))</f>
        <v>18</v>
      </c>
      <c r="I169" s="80" t="s">
        <v>122</v>
      </c>
      <c r="J169" s="80" t="s">
        <v>188</v>
      </c>
      <c r="K169" s="80" t="s">
        <v>21</v>
      </c>
      <c r="L169" s="30" t="s">
        <v>194</v>
      </c>
      <c r="M169" s="68">
        <v>6</v>
      </c>
      <c r="N169" s="181" t="str">
        <f t="shared" si="2"/>
        <v>нет</v>
      </c>
      <c r="O169" s="23"/>
      <c r="P169" s="23"/>
      <c r="Q169" s="106"/>
      <c r="R169" s="37">
        <v>52</v>
      </c>
      <c r="S169" s="38" t="s">
        <v>466</v>
      </c>
      <c r="T169" s="37">
        <v>36</v>
      </c>
      <c r="U169" s="39" t="s">
        <v>450</v>
      </c>
      <c r="V169" s="89" t="s">
        <v>192</v>
      </c>
      <c r="W169" s="89" t="s">
        <v>122</v>
      </c>
      <c r="X169" s="106" t="s">
        <v>297</v>
      </c>
      <c r="Y169" s="107" t="s">
        <v>12</v>
      </c>
      <c r="Z169" s="67">
        <f>IF(База_КР_КК[[#This Row],[Таб.номер резервиста]]="-","-",IF(OR(База_КР_КК[[#This Row],[Уровень КК]]=2,База_КР_КК[[#This Row],[Уровень КК]]=3),IF(COUNTIFS($U$2:$U169,$U169,$F$2:$F169,$F169)=1,1,0),IF(COUNTIFS($U$2:$U169,$U169,$L$2:$L169,$L169)=1,1,0)))</f>
        <v>1</v>
      </c>
      <c r="AA1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9" s="106"/>
      <c r="AC169" s="51"/>
      <c r="AD169" s="106" t="s">
        <v>13</v>
      </c>
      <c r="AE169" s="38" t="s">
        <v>409</v>
      </c>
    </row>
    <row r="170" spans="1:31" ht="18" customHeight="1" x14ac:dyDescent="0.25">
      <c r="A1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0" s="79">
        <v>4</v>
      </c>
      <c r="C170" s="23">
        <v>43734</v>
      </c>
      <c r="D170" s="67">
        <f>IF(COUNTIF($G$2:$G170,$G170)=1,1,0)</f>
        <v>0</v>
      </c>
      <c r="E170" s="67" t="str">
        <f>IFERROR(VLOOKUP(База_КР_КК[[#This Row],[ИД штатной должности (S)]],'уровень защищенности'!$B$7:$F$1095,5,0),"не защищена")</f>
        <v>высокий</v>
      </c>
      <c r="F170" s="68">
        <v>500347</v>
      </c>
      <c r="G170" s="74" t="s">
        <v>2211</v>
      </c>
      <c r="H170" s="181">
        <f>INDEX('Списки данных'!$D$2:$D$1048576,MATCH(База_КР_КК[[#This Row],[Структурное подразделение]],'Списки данных'!$C$2:$C$1048576,0))</f>
        <v>18</v>
      </c>
      <c r="I170" s="80" t="s">
        <v>122</v>
      </c>
      <c r="J170" s="80" t="s">
        <v>188</v>
      </c>
      <c r="K170" s="80" t="s">
        <v>21</v>
      </c>
      <c r="L170" s="30" t="s">
        <v>194</v>
      </c>
      <c r="M170" s="68">
        <v>6</v>
      </c>
      <c r="N170" s="181" t="str">
        <f t="shared" si="2"/>
        <v>нет</v>
      </c>
      <c r="O170" s="23"/>
      <c r="P170" s="23"/>
      <c r="Q170" s="106"/>
      <c r="R170" s="37">
        <v>52</v>
      </c>
      <c r="S170" s="38" t="s">
        <v>466</v>
      </c>
      <c r="T170" s="37">
        <v>35</v>
      </c>
      <c r="U170" s="39" t="s">
        <v>449</v>
      </c>
      <c r="V170" s="89" t="s">
        <v>192</v>
      </c>
      <c r="W170" s="89" t="s">
        <v>122</v>
      </c>
      <c r="X170" s="106" t="s">
        <v>295</v>
      </c>
      <c r="Y170" s="107" t="s">
        <v>12</v>
      </c>
      <c r="Z170" s="67">
        <f>IF(База_КР_КК[[#This Row],[Таб.номер резервиста]]="-","-",IF(OR(База_КР_КК[[#This Row],[Уровень КК]]=2,База_КР_КК[[#This Row],[Уровень КК]]=3),IF(COUNTIFS($U$2:$U170,$U170,$F$2:$F170,$F170)=1,1,0),IF(COUNTIFS($U$2:$U170,$U170,$L$2:$L170,$L170)=1,1,0)))</f>
        <v>1</v>
      </c>
      <c r="AA1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" s="106"/>
      <c r="AC170" s="51"/>
      <c r="AD170" s="106" t="s">
        <v>13</v>
      </c>
      <c r="AE170" s="38" t="s">
        <v>409</v>
      </c>
    </row>
    <row r="171" spans="1:31" ht="18" customHeight="1" x14ac:dyDescent="0.25">
      <c r="A1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1" s="79">
        <v>4</v>
      </c>
      <c r="C171" s="23">
        <v>43734</v>
      </c>
      <c r="D171" s="67">
        <f>IF(COUNTIF($G$2:$G171,$G171)=1,1,0)</f>
        <v>0</v>
      </c>
      <c r="E171" s="67" t="str">
        <f>IFERROR(VLOOKUP(База_КР_КК[[#This Row],[ИД штатной должности (S)]],'уровень защищенности'!$B$7:$F$1095,5,0),"не защищена")</f>
        <v>высокий</v>
      </c>
      <c r="F171" s="68">
        <v>500347</v>
      </c>
      <c r="G171" s="74" t="s">
        <v>2211</v>
      </c>
      <c r="H171" s="181">
        <f>INDEX('Списки данных'!$D$2:$D$1048576,MATCH(База_КР_КК[[#This Row],[Структурное подразделение]],'Списки данных'!$C$2:$C$1048576,0))</f>
        <v>18</v>
      </c>
      <c r="I171" s="80" t="s">
        <v>122</v>
      </c>
      <c r="J171" s="80" t="s">
        <v>188</v>
      </c>
      <c r="K171" s="80" t="s">
        <v>21</v>
      </c>
      <c r="L171" s="30" t="s">
        <v>194</v>
      </c>
      <c r="M171" s="68">
        <v>6</v>
      </c>
      <c r="N171" s="181" t="str">
        <f t="shared" si="2"/>
        <v>нет</v>
      </c>
      <c r="O171" s="23"/>
      <c r="P171" s="23"/>
      <c r="Q171" s="106"/>
      <c r="R171" s="37">
        <v>52</v>
      </c>
      <c r="S171" s="38" t="s">
        <v>466</v>
      </c>
      <c r="T171" s="37">
        <v>39</v>
      </c>
      <c r="U171" s="39" t="s">
        <v>453</v>
      </c>
      <c r="V171" s="89" t="s">
        <v>192</v>
      </c>
      <c r="W171" s="89" t="s">
        <v>122</v>
      </c>
      <c r="X171" s="106" t="s">
        <v>295</v>
      </c>
      <c r="Y171" s="107" t="s">
        <v>12</v>
      </c>
      <c r="Z171" s="67">
        <f>IF(База_КР_КК[[#This Row],[Таб.номер резервиста]]="-","-",IF(OR(База_КР_КК[[#This Row],[Уровень КК]]=2,База_КР_КК[[#This Row],[Уровень КК]]=3),IF(COUNTIFS($U$2:$U171,$U171,$F$2:$F171,$F171)=1,1,0),IF(COUNTIFS($U$2:$U171,$U171,$L$2:$L171,$L171)=1,1,0)))</f>
        <v>1</v>
      </c>
      <c r="AA1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" s="106"/>
      <c r="AC171" s="51"/>
      <c r="AD171" s="106" t="s">
        <v>13</v>
      </c>
      <c r="AE171" s="38" t="s">
        <v>409</v>
      </c>
    </row>
    <row r="172" spans="1:31" ht="18" customHeight="1" x14ac:dyDescent="0.25">
      <c r="A1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2" s="79">
        <v>4</v>
      </c>
      <c r="C172" s="23">
        <v>44887</v>
      </c>
      <c r="D172" s="67">
        <f>IF(COUNTIF($G$2:$G172,$G172)=1,1,0)</f>
        <v>0</v>
      </c>
      <c r="E172" s="67" t="str">
        <f>IFERROR(VLOOKUP(База_КР_КК[[#This Row],[ИД штатной должности (S)]],'уровень защищенности'!$B$7:$F$1095,5,0),"не защищена")</f>
        <v>высокий</v>
      </c>
      <c r="F172" s="68">
        <v>500347</v>
      </c>
      <c r="G172" s="74" t="s">
        <v>2211</v>
      </c>
      <c r="H172" s="181">
        <f>INDEX('Списки данных'!$D$2:$D$1048576,MATCH(База_КР_КК[[#This Row],[Структурное подразделение]],'Списки данных'!$C$2:$C$1048576,0))</f>
        <v>18</v>
      </c>
      <c r="I172" s="80" t="s">
        <v>122</v>
      </c>
      <c r="J172" s="80" t="s">
        <v>188</v>
      </c>
      <c r="K172" s="80" t="s">
        <v>21</v>
      </c>
      <c r="L172" s="30" t="s">
        <v>194</v>
      </c>
      <c r="M172" s="68">
        <v>6</v>
      </c>
      <c r="N172" s="181" t="str">
        <f t="shared" si="2"/>
        <v>нет</v>
      </c>
      <c r="O172" s="23"/>
      <c r="P172" s="23"/>
      <c r="Q172" s="106"/>
      <c r="R172" s="37">
        <v>52</v>
      </c>
      <c r="S172" s="39" t="s">
        <v>466</v>
      </c>
      <c r="T172" s="37">
        <v>31</v>
      </c>
      <c r="U172" s="38" t="s">
        <v>445</v>
      </c>
      <c r="V172" s="69" t="s">
        <v>192</v>
      </c>
      <c r="W172" s="89" t="s">
        <v>122</v>
      </c>
      <c r="X172" s="106" t="s">
        <v>297</v>
      </c>
      <c r="Y172" s="107" t="s">
        <v>12</v>
      </c>
      <c r="Z172" s="67">
        <f>IF(База_КР_КК[[#This Row],[Таб.номер резервиста]]="-","-",IF(OR(База_КР_КК[[#This Row],[Уровень КК]]=2,База_КР_КК[[#This Row],[Уровень КК]]=3),IF(COUNTIFS($U$2:$U172,$U172,$F$2:$F172,$F172)=1,1,0),IF(COUNTIFS($U$2:$U172,$U172,$L$2:$L172,$L172)=1,1,0)))</f>
        <v>1</v>
      </c>
      <c r="AA1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" s="106"/>
      <c r="AC172" s="51"/>
      <c r="AD172" s="106" t="s">
        <v>15</v>
      </c>
      <c r="AE172" s="33" t="s">
        <v>409</v>
      </c>
    </row>
    <row r="173" spans="1:31" ht="18" customHeight="1" x14ac:dyDescent="0.25">
      <c r="A1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3" s="79">
        <v>4</v>
      </c>
      <c r="C173" s="23">
        <v>43734</v>
      </c>
      <c r="D173" s="67">
        <f>IF(COUNTIF($G$2:$G173,$G173)=1,1,0)</f>
        <v>0</v>
      </c>
      <c r="E173" s="67" t="str">
        <f>IFERROR(VLOOKUP(База_КР_КК[[#This Row],[ИД штатной должности (S)]],'уровень защищенности'!$B$7:$F$1095,5,0),"не защищена")</f>
        <v>высокий</v>
      </c>
      <c r="F173" s="68">
        <v>500347</v>
      </c>
      <c r="G173" s="74" t="s">
        <v>2211</v>
      </c>
      <c r="H173" s="181">
        <f>INDEX('Списки данных'!$D$2:$D$1048576,MATCH(База_КР_КК[[#This Row],[Структурное подразделение]],'Списки данных'!$C$2:$C$1048576,0))</f>
        <v>18</v>
      </c>
      <c r="I173" s="80" t="s">
        <v>122</v>
      </c>
      <c r="J173" s="80" t="s">
        <v>188</v>
      </c>
      <c r="K173" s="80" t="s">
        <v>21</v>
      </c>
      <c r="L173" s="30" t="s">
        <v>194</v>
      </c>
      <c r="M173" s="68">
        <v>6</v>
      </c>
      <c r="N173" s="181" t="str">
        <f t="shared" si="2"/>
        <v>нет</v>
      </c>
      <c r="O173" s="23"/>
      <c r="P173" s="23"/>
      <c r="Q173" s="106"/>
      <c r="R173" s="37">
        <v>52</v>
      </c>
      <c r="S173" s="38" t="s">
        <v>466</v>
      </c>
      <c r="T173" s="37">
        <v>114</v>
      </c>
      <c r="U173" s="39" t="s">
        <v>526</v>
      </c>
      <c r="V173" s="89" t="s">
        <v>192</v>
      </c>
      <c r="W173" s="89" t="s">
        <v>122</v>
      </c>
      <c r="X173" s="106" t="s">
        <v>295</v>
      </c>
      <c r="Y173" s="107" t="s">
        <v>18</v>
      </c>
      <c r="Z173" s="67">
        <f>IF(База_КР_КК[[#This Row],[Таб.номер резервиста]]="-","-",IF(OR(База_КР_КК[[#This Row],[Уровень КК]]=2,База_КР_КК[[#This Row],[Уровень КК]]=3),IF(COUNTIFS($U$2:$U173,$U173,$F$2:$F173,$F173)=1,1,0),IF(COUNTIFS($U$2:$U173,$U173,$L$2:$L173,$L173)=1,1,0)))</f>
        <v>1</v>
      </c>
      <c r="AA1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" s="106" t="s">
        <v>20</v>
      </c>
      <c r="AC173" s="51">
        <v>45252</v>
      </c>
      <c r="AD173" s="106" t="s">
        <v>31</v>
      </c>
      <c r="AE173" s="38" t="s">
        <v>409</v>
      </c>
    </row>
    <row r="174" spans="1:31" ht="18" customHeight="1" x14ac:dyDescent="0.25">
      <c r="A1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4" s="79">
        <v>4</v>
      </c>
      <c r="C174" s="23">
        <v>43734</v>
      </c>
      <c r="D174" s="67">
        <f>IF(COUNTIF($G$2:$G174,$G174)=1,1,0)</f>
        <v>1</v>
      </c>
      <c r="E174" s="67" t="str">
        <f>IFERROR(VLOOKUP(База_КР_КК[[#This Row],[ИД штатной должности (S)]],'уровень защищенности'!$B$7:$F$1095,5,0),"не защищена")</f>
        <v>высокий</v>
      </c>
      <c r="F174" s="68">
        <v>500347</v>
      </c>
      <c r="G174" s="74" t="s">
        <v>2212</v>
      </c>
      <c r="H174" s="181">
        <f>INDEX('Списки данных'!$D$2:$D$1048576,MATCH(База_КР_КК[[#This Row],[Структурное подразделение]],'Списки данных'!$C$2:$C$1048576,0))</f>
        <v>18</v>
      </c>
      <c r="I174" s="80" t="s">
        <v>122</v>
      </c>
      <c r="J174" s="80" t="s">
        <v>188</v>
      </c>
      <c r="K174" s="80" t="s">
        <v>21</v>
      </c>
      <c r="L174" s="30" t="s">
        <v>194</v>
      </c>
      <c r="M174" s="68">
        <v>6</v>
      </c>
      <c r="N174" s="181" t="str">
        <f t="shared" si="2"/>
        <v>нет</v>
      </c>
      <c r="O174" s="23"/>
      <c r="P174" s="23"/>
      <c r="Q174" s="106"/>
      <c r="R174" s="37">
        <v>54</v>
      </c>
      <c r="S174" s="38" t="s">
        <v>467</v>
      </c>
      <c r="T174" s="37">
        <v>41</v>
      </c>
      <c r="U174" s="39" t="s">
        <v>455</v>
      </c>
      <c r="V174" s="89" t="s">
        <v>192</v>
      </c>
      <c r="W174" s="89" t="s">
        <v>122</v>
      </c>
      <c r="X174" s="106" t="s">
        <v>295</v>
      </c>
      <c r="Y174" s="107" t="s">
        <v>12</v>
      </c>
      <c r="Z174" s="67">
        <f>IF(База_КР_КК[[#This Row],[Таб.номер резервиста]]="-","-",IF(OR(База_КР_КК[[#This Row],[Уровень КК]]=2,База_КР_КК[[#This Row],[Уровень КК]]=3),IF(COUNTIFS($U$2:$U174,$U174,$F$2:$F174,$F174)=1,1,0),IF(COUNTIFS($U$2:$U174,$U174,$L$2:$L174,$L174)=1,1,0)))</f>
        <v>0</v>
      </c>
      <c r="AA1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" s="106"/>
      <c r="AC174" s="51"/>
      <c r="AD174" s="106" t="s">
        <v>17</v>
      </c>
      <c r="AE174" s="38" t="s">
        <v>409</v>
      </c>
    </row>
    <row r="175" spans="1:31" ht="18" customHeight="1" x14ac:dyDescent="0.25">
      <c r="A1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5" s="79">
        <v>4</v>
      </c>
      <c r="C175" s="23">
        <v>43734</v>
      </c>
      <c r="D175" s="67">
        <f>IF(COUNTIF($G$2:$G175,$G175)=1,1,0)</f>
        <v>0</v>
      </c>
      <c r="E175" s="67" t="str">
        <f>IFERROR(VLOOKUP(База_КР_КК[[#This Row],[ИД штатной должности (S)]],'уровень защищенности'!$B$7:$F$1095,5,0),"не защищена")</f>
        <v>высокий</v>
      </c>
      <c r="F175" s="68">
        <v>500347</v>
      </c>
      <c r="G175" s="74" t="s">
        <v>2212</v>
      </c>
      <c r="H175" s="181">
        <f>INDEX('Списки данных'!$D$2:$D$1048576,MATCH(База_КР_КК[[#This Row],[Структурное подразделение]],'Списки данных'!$C$2:$C$1048576,0))</f>
        <v>18</v>
      </c>
      <c r="I175" s="80" t="s">
        <v>122</v>
      </c>
      <c r="J175" s="80" t="s">
        <v>188</v>
      </c>
      <c r="K175" s="80" t="s">
        <v>21</v>
      </c>
      <c r="L175" s="30" t="s">
        <v>194</v>
      </c>
      <c r="M175" s="68">
        <v>6</v>
      </c>
      <c r="N175" s="181" t="str">
        <f t="shared" si="2"/>
        <v>нет</v>
      </c>
      <c r="O175" s="23"/>
      <c r="P175" s="23"/>
      <c r="Q175" s="106"/>
      <c r="R175" s="37">
        <v>54</v>
      </c>
      <c r="S175" s="38" t="s">
        <v>467</v>
      </c>
      <c r="T175" s="37">
        <v>36</v>
      </c>
      <c r="U175" s="39" t="s">
        <v>450</v>
      </c>
      <c r="V175" s="89" t="s">
        <v>192</v>
      </c>
      <c r="W175" s="89" t="s">
        <v>122</v>
      </c>
      <c r="X175" s="106" t="s">
        <v>297</v>
      </c>
      <c r="Y175" s="107" t="s">
        <v>12</v>
      </c>
      <c r="Z175" s="67">
        <f>IF(База_КР_КК[[#This Row],[Таб.номер резервиста]]="-","-",IF(OR(База_КР_КК[[#This Row],[Уровень КК]]=2,База_КР_КК[[#This Row],[Уровень КК]]=3),IF(COUNTIFS($U$2:$U175,$U175,$F$2:$F175,$F175)=1,1,0),IF(COUNTIFS($U$2:$U175,$U175,$L$2:$L175,$L175)=1,1,0)))</f>
        <v>0</v>
      </c>
      <c r="AA1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5" s="106"/>
      <c r="AC175" s="51"/>
      <c r="AD175" s="106" t="s">
        <v>13</v>
      </c>
      <c r="AE175" s="38" t="s">
        <v>409</v>
      </c>
    </row>
    <row r="176" spans="1:31" ht="18" customHeight="1" x14ac:dyDescent="0.25">
      <c r="A1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6" s="79">
        <v>4</v>
      </c>
      <c r="C176" s="23">
        <v>43734</v>
      </c>
      <c r="D176" s="67">
        <f>IF(COUNTIF($G$2:$G176,$G176)=1,1,0)</f>
        <v>0</v>
      </c>
      <c r="E176" s="67" t="str">
        <f>IFERROR(VLOOKUP(База_КР_КК[[#This Row],[ИД штатной должности (S)]],'уровень защищенности'!$B$7:$F$1095,5,0),"не защищена")</f>
        <v>высокий</v>
      </c>
      <c r="F176" s="68">
        <v>500347</v>
      </c>
      <c r="G176" s="74" t="s">
        <v>2212</v>
      </c>
      <c r="H176" s="181">
        <f>INDEX('Списки данных'!$D$2:$D$1048576,MATCH(База_КР_КК[[#This Row],[Структурное подразделение]],'Списки данных'!$C$2:$C$1048576,0))</f>
        <v>18</v>
      </c>
      <c r="I176" s="80" t="s">
        <v>122</v>
      </c>
      <c r="J176" s="80" t="s">
        <v>188</v>
      </c>
      <c r="K176" s="80" t="s">
        <v>21</v>
      </c>
      <c r="L176" s="30" t="s">
        <v>194</v>
      </c>
      <c r="M176" s="68">
        <v>6</v>
      </c>
      <c r="N176" s="181" t="str">
        <f t="shared" si="2"/>
        <v>нет</v>
      </c>
      <c r="O176" s="23"/>
      <c r="P176" s="23"/>
      <c r="Q176" s="106"/>
      <c r="R176" s="37">
        <v>54</v>
      </c>
      <c r="S176" s="38" t="s">
        <v>467</v>
      </c>
      <c r="T176" s="37">
        <v>35</v>
      </c>
      <c r="U176" s="39" t="s">
        <v>449</v>
      </c>
      <c r="V176" s="89" t="s">
        <v>192</v>
      </c>
      <c r="W176" s="89" t="s">
        <v>122</v>
      </c>
      <c r="X176" s="106" t="s">
        <v>295</v>
      </c>
      <c r="Y176" s="107" t="s">
        <v>12</v>
      </c>
      <c r="Z176" s="67">
        <f>IF(База_КР_КК[[#This Row],[Таб.номер резервиста]]="-","-",IF(OR(База_КР_КК[[#This Row],[Уровень КК]]=2,База_КР_КК[[#This Row],[Уровень КК]]=3),IF(COUNTIFS($U$2:$U176,$U176,$F$2:$F176,$F176)=1,1,0),IF(COUNTIFS($U$2:$U176,$U176,$L$2:$L176,$L176)=1,1,0)))</f>
        <v>0</v>
      </c>
      <c r="AA1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" s="106"/>
      <c r="AC176" s="51"/>
      <c r="AD176" s="106" t="s">
        <v>13</v>
      </c>
      <c r="AE176" s="38" t="s">
        <v>409</v>
      </c>
    </row>
    <row r="177" spans="1:31" ht="18" customHeight="1" x14ac:dyDescent="0.25">
      <c r="A1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7" s="79">
        <v>4</v>
      </c>
      <c r="C177" s="23">
        <v>43734</v>
      </c>
      <c r="D177" s="67">
        <f>IF(COUNTIF($G$2:$G177,$G177)=1,1,0)</f>
        <v>0</v>
      </c>
      <c r="E177" s="67" t="str">
        <f>IFERROR(VLOOKUP(База_КР_КК[[#This Row],[ИД штатной должности (S)]],'уровень защищенности'!$B$7:$F$1095,5,0),"не защищена")</f>
        <v>высокий</v>
      </c>
      <c r="F177" s="68">
        <v>500347</v>
      </c>
      <c r="G177" s="74" t="s">
        <v>2212</v>
      </c>
      <c r="H177" s="181">
        <f>INDEX('Списки данных'!$D$2:$D$1048576,MATCH(База_КР_КК[[#This Row],[Структурное подразделение]],'Списки данных'!$C$2:$C$1048576,0))</f>
        <v>18</v>
      </c>
      <c r="I177" s="80" t="s">
        <v>122</v>
      </c>
      <c r="J177" s="80" t="s">
        <v>188</v>
      </c>
      <c r="K177" s="80" t="s">
        <v>21</v>
      </c>
      <c r="L177" s="30" t="s">
        <v>194</v>
      </c>
      <c r="M177" s="68">
        <v>6</v>
      </c>
      <c r="N177" s="181" t="str">
        <f t="shared" si="2"/>
        <v>нет</v>
      </c>
      <c r="O177" s="23"/>
      <c r="P177" s="23"/>
      <c r="Q177" s="106"/>
      <c r="R177" s="37">
        <v>54</v>
      </c>
      <c r="S177" s="38" t="s">
        <v>467</v>
      </c>
      <c r="T177" s="37">
        <v>39</v>
      </c>
      <c r="U177" s="39" t="s">
        <v>453</v>
      </c>
      <c r="V177" s="89" t="s">
        <v>192</v>
      </c>
      <c r="W177" s="89" t="s">
        <v>122</v>
      </c>
      <c r="X177" s="106" t="s">
        <v>295</v>
      </c>
      <c r="Y177" s="107" t="s">
        <v>12</v>
      </c>
      <c r="Z177" s="67">
        <f>IF(База_КР_КК[[#This Row],[Таб.номер резервиста]]="-","-",IF(OR(База_КР_КК[[#This Row],[Уровень КК]]=2,База_КР_КК[[#This Row],[Уровень КК]]=3),IF(COUNTIFS($U$2:$U177,$U177,$F$2:$F177,$F177)=1,1,0),IF(COUNTIFS($U$2:$U177,$U177,$L$2:$L177,$L177)=1,1,0)))</f>
        <v>0</v>
      </c>
      <c r="AA1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" s="106"/>
      <c r="AC177" s="51"/>
      <c r="AD177" s="106" t="s">
        <v>13</v>
      </c>
      <c r="AE177" s="38" t="s">
        <v>409</v>
      </c>
    </row>
    <row r="178" spans="1:31" ht="18" customHeight="1" x14ac:dyDescent="0.25">
      <c r="A1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8" s="79">
        <v>4</v>
      </c>
      <c r="C178" s="23">
        <v>44887</v>
      </c>
      <c r="D178" s="67">
        <f>IF(COUNTIF($G$2:$G178,$G178)=1,1,0)</f>
        <v>0</v>
      </c>
      <c r="E178" s="67" t="str">
        <f>IFERROR(VLOOKUP(База_КР_КК[[#This Row],[ИД штатной должности (S)]],'уровень защищенности'!$B$7:$F$1095,5,0),"не защищена")</f>
        <v>высокий</v>
      </c>
      <c r="F178" s="68">
        <v>500347</v>
      </c>
      <c r="G178" s="74" t="s">
        <v>2212</v>
      </c>
      <c r="H178" s="181">
        <f>INDEX('Списки данных'!$D$2:$D$1048576,MATCH(База_КР_КК[[#This Row],[Структурное подразделение]],'Списки данных'!$C$2:$C$1048576,0))</f>
        <v>18</v>
      </c>
      <c r="I178" s="80" t="s">
        <v>122</v>
      </c>
      <c r="J178" s="80" t="s">
        <v>188</v>
      </c>
      <c r="K178" s="80" t="s">
        <v>21</v>
      </c>
      <c r="L178" s="30" t="s">
        <v>194</v>
      </c>
      <c r="M178" s="68">
        <v>6</v>
      </c>
      <c r="N178" s="181" t="str">
        <f t="shared" si="2"/>
        <v>нет</v>
      </c>
      <c r="O178" s="23"/>
      <c r="P178" s="23"/>
      <c r="Q178" s="106"/>
      <c r="R178" s="37">
        <v>54</v>
      </c>
      <c r="S178" s="39" t="s">
        <v>467</v>
      </c>
      <c r="T178" s="37">
        <v>31</v>
      </c>
      <c r="U178" s="38" t="s">
        <v>445</v>
      </c>
      <c r="V178" s="69" t="s">
        <v>192</v>
      </c>
      <c r="W178" s="89" t="s">
        <v>122</v>
      </c>
      <c r="X178" s="106" t="s">
        <v>297</v>
      </c>
      <c r="Y178" s="107" t="s">
        <v>12</v>
      </c>
      <c r="Z178" s="67">
        <f>IF(База_КР_КК[[#This Row],[Таб.номер резервиста]]="-","-",IF(OR(База_КР_КК[[#This Row],[Уровень КК]]=2,База_КР_КК[[#This Row],[Уровень КК]]=3),IF(COUNTIFS($U$2:$U178,$U178,$F$2:$F178,$F178)=1,1,0),IF(COUNTIFS($U$2:$U178,$U178,$L$2:$L178,$L178)=1,1,0)))</f>
        <v>0</v>
      </c>
      <c r="AA1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" s="106"/>
      <c r="AC178" s="51"/>
      <c r="AD178" s="106" t="s">
        <v>15</v>
      </c>
      <c r="AE178" s="33" t="s">
        <v>409</v>
      </c>
    </row>
    <row r="179" spans="1:31" ht="18" customHeight="1" x14ac:dyDescent="0.25">
      <c r="A1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79" s="79">
        <v>4</v>
      </c>
      <c r="C179" s="23">
        <v>43734</v>
      </c>
      <c r="D179" s="67">
        <f>IF(COUNTIF($G$2:$G179,$G179)=1,1,0)</f>
        <v>0</v>
      </c>
      <c r="E179" s="67" t="str">
        <f>IFERROR(VLOOKUP(База_КР_КК[[#This Row],[ИД штатной должности (S)]],'уровень защищенности'!$B$7:$F$1095,5,0),"не защищена")</f>
        <v>высокий</v>
      </c>
      <c r="F179" s="68">
        <v>500347</v>
      </c>
      <c r="G179" s="74" t="s">
        <v>2212</v>
      </c>
      <c r="H179" s="181">
        <f>INDEX('Списки данных'!$D$2:$D$1048576,MATCH(База_КР_КК[[#This Row],[Структурное подразделение]],'Списки данных'!$C$2:$C$1048576,0))</f>
        <v>18</v>
      </c>
      <c r="I179" s="80" t="s">
        <v>122</v>
      </c>
      <c r="J179" s="80" t="s">
        <v>188</v>
      </c>
      <c r="K179" s="80" t="s">
        <v>21</v>
      </c>
      <c r="L179" s="30" t="s">
        <v>194</v>
      </c>
      <c r="M179" s="68">
        <v>6</v>
      </c>
      <c r="N179" s="181" t="str">
        <f t="shared" si="2"/>
        <v>нет</v>
      </c>
      <c r="O179" s="23"/>
      <c r="P179" s="23"/>
      <c r="Q179" s="106"/>
      <c r="R179" s="37">
        <v>54</v>
      </c>
      <c r="S179" s="38" t="s">
        <v>467</v>
      </c>
      <c r="T179" s="37">
        <v>114</v>
      </c>
      <c r="U179" s="39" t="s">
        <v>526</v>
      </c>
      <c r="V179" s="89" t="s">
        <v>192</v>
      </c>
      <c r="W179" s="89" t="s">
        <v>122</v>
      </c>
      <c r="X179" s="106" t="s">
        <v>295</v>
      </c>
      <c r="Y179" s="107" t="s">
        <v>18</v>
      </c>
      <c r="Z179" s="67">
        <f>IF(База_КР_КК[[#This Row],[Таб.номер резервиста]]="-","-",IF(OR(База_КР_КК[[#This Row],[Уровень КК]]=2,База_КР_КК[[#This Row],[Уровень КК]]=3),IF(COUNTIFS($U$2:$U179,$U179,$F$2:$F179,$F179)=1,1,0),IF(COUNTIFS($U$2:$U179,$U179,$L$2:$L179,$L179)=1,1,0)))</f>
        <v>0</v>
      </c>
      <c r="AA1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" s="106" t="s">
        <v>20</v>
      </c>
      <c r="AC179" s="51">
        <v>45252</v>
      </c>
      <c r="AD179" s="106" t="s">
        <v>31</v>
      </c>
      <c r="AE179" s="38" t="s">
        <v>409</v>
      </c>
    </row>
    <row r="180" spans="1:31" ht="18" customHeight="1" x14ac:dyDescent="0.25">
      <c r="A1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0" s="79">
        <v>4</v>
      </c>
      <c r="C180" s="23">
        <v>43734</v>
      </c>
      <c r="D180" s="67">
        <f>IF(COUNTIF($G$2:$G180,$G180)=1,1,0)</f>
        <v>1</v>
      </c>
      <c r="E180" s="67" t="str">
        <f>IFERROR(VLOOKUP(База_КР_КК[[#This Row],[ИД штатной должности (S)]],'уровень защищенности'!$B$7:$F$1095,5,0),"не защищена")</f>
        <v>высокий</v>
      </c>
      <c r="F180" s="68">
        <v>500347</v>
      </c>
      <c r="G180" s="74" t="s">
        <v>2213</v>
      </c>
      <c r="H180" s="181">
        <f>INDEX('Списки данных'!$D$2:$D$1048576,MATCH(База_КР_КК[[#This Row],[Структурное подразделение]],'Списки данных'!$C$2:$C$1048576,0))</f>
        <v>18</v>
      </c>
      <c r="I180" s="80" t="s">
        <v>122</v>
      </c>
      <c r="J180" s="80" t="s">
        <v>188</v>
      </c>
      <c r="K180" s="80" t="s">
        <v>21</v>
      </c>
      <c r="L180" s="30" t="s">
        <v>194</v>
      </c>
      <c r="M180" s="68">
        <v>6</v>
      </c>
      <c r="N180" s="181" t="str">
        <f t="shared" si="2"/>
        <v>нет</v>
      </c>
      <c r="O180" s="23"/>
      <c r="P180" s="23"/>
      <c r="Q180" s="106"/>
      <c r="R180" s="37">
        <v>56</v>
      </c>
      <c r="S180" s="38" t="s">
        <v>468</v>
      </c>
      <c r="T180" s="37">
        <v>41</v>
      </c>
      <c r="U180" s="39" t="s">
        <v>455</v>
      </c>
      <c r="V180" s="89" t="s">
        <v>192</v>
      </c>
      <c r="W180" s="89" t="s">
        <v>122</v>
      </c>
      <c r="X180" s="106" t="s">
        <v>295</v>
      </c>
      <c r="Y180" s="107" t="s">
        <v>12</v>
      </c>
      <c r="Z180" s="67">
        <f>IF(База_КР_КК[[#This Row],[Таб.номер резервиста]]="-","-",IF(OR(База_КР_КК[[#This Row],[Уровень КК]]=2,База_КР_КК[[#This Row],[Уровень КК]]=3),IF(COUNTIFS($U$2:$U180,$U180,$F$2:$F180,$F180)=1,1,0),IF(COUNTIFS($U$2:$U180,$U180,$L$2:$L180,$L180)=1,1,0)))</f>
        <v>0</v>
      </c>
      <c r="AA1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" s="106"/>
      <c r="AC180" s="51"/>
      <c r="AD180" s="106" t="s">
        <v>17</v>
      </c>
      <c r="AE180" s="38" t="s">
        <v>409</v>
      </c>
    </row>
    <row r="181" spans="1:31" ht="18" customHeight="1" x14ac:dyDescent="0.25">
      <c r="A1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1" s="79">
        <v>4</v>
      </c>
      <c r="C181" s="23">
        <v>43734</v>
      </c>
      <c r="D181" s="67">
        <f>IF(COUNTIF($G$2:$G181,$G181)=1,1,0)</f>
        <v>0</v>
      </c>
      <c r="E181" s="67" t="str">
        <f>IFERROR(VLOOKUP(База_КР_КК[[#This Row],[ИД штатной должности (S)]],'уровень защищенности'!$B$7:$F$1095,5,0),"не защищена")</f>
        <v>высокий</v>
      </c>
      <c r="F181" s="68">
        <v>500347</v>
      </c>
      <c r="G181" s="74" t="s">
        <v>2213</v>
      </c>
      <c r="H181" s="181">
        <f>INDEX('Списки данных'!$D$2:$D$1048576,MATCH(База_КР_КК[[#This Row],[Структурное подразделение]],'Списки данных'!$C$2:$C$1048576,0))</f>
        <v>18</v>
      </c>
      <c r="I181" s="80" t="s">
        <v>122</v>
      </c>
      <c r="J181" s="80" t="s">
        <v>188</v>
      </c>
      <c r="K181" s="80" t="s">
        <v>21</v>
      </c>
      <c r="L181" s="30" t="s">
        <v>194</v>
      </c>
      <c r="M181" s="68">
        <v>6</v>
      </c>
      <c r="N181" s="181" t="str">
        <f t="shared" si="2"/>
        <v>нет</v>
      </c>
      <c r="O181" s="23"/>
      <c r="P181" s="23"/>
      <c r="Q181" s="106"/>
      <c r="R181" s="37">
        <v>56</v>
      </c>
      <c r="S181" s="38" t="s">
        <v>468</v>
      </c>
      <c r="T181" s="37">
        <v>36</v>
      </c>
      <c r="U181" s="39" t="s">
        <v>450</v>
      </c>
      <c r="V181" s="89" t="s">
        <v>192</v>
      </c>
      <c r="W181" s="89" t="s">
        <v>122</v>
      </c>
      <c r="X181" s="106" t="s">
        <v>297</v>
      </c>
      <c r="Y181" s="107" t="s">
        <v>12</v>
      </c>
      <c r="Z181" s="67">
        <f>IF(База_КР_КК[[#This Row],[Таб.номер резервиста]]="-","-",IF(OR(База_КР_КК[[#This Row],[Уровень КК]]=2,База_КР_КК[[#This Row],[Уровень КК]]=3),IF(COUNTIFS($U$2:$U181,$U181,$F$2:$F181,$F181)=1,1,0),IF(COUNTIFS($U$2:$U181,$U181,$L$2:$L181,$L181)=1,1,0)))</f>
        <v>0</v>
      </c>
      <c r="AA1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" s="106"/>
      <c r="AC181" s="51"/>
      <c r="AD181" s="106" t="s">
        <v>13</v>
      </c>
      <c r="AE181" s="38" t="s">
        <v>409</v>
      </c>
    </row>
    <row r="182" spans="1:31" ht="18" customHeight="1" x14ac:dyDescent="0.25">
      <c r="A1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2" s="79">
        <v>4</v>
      </c>
      <c r="C182" s="23">
        <v>43734</v>
      </c>
      <c r="D182" s="67">
        <f>IF(COUNTIF($G$2:$G182,$G182)=1,1,0)</f>
        <v>0</v>
      </c>
      <c r="E182" s="67" t="str">
        <f>IFERROR(VLOOKUP(База_КР_КК[[#This Row],[ИД штатной должности (S)]],'уровень защищенности'!$B$7:$F$1095,5,0),"не защищена")</f>
        <v>высокий</v>
      </c>
      <c r="F182" s="68">
        <v>500347</v>
      </c>
      <c r="G182" s="74" t="s">
        <v>2213</v>
      </c>
      <c r="H182" s="181">
        <f>INDEX('Списки данных'!$D$2:$D$1048576,MATCH(База_КР_КК[[#This Row],[Структурное подразделение]],'Списки данных'!$C$2:$C$1048576,0))</f>
        <v>18</v>
      </c>
      <c r="I182" s="80" t="s">
        <v>122</v>
      </c>
      <c r="J182" s="80" t="s">
        <v>188</v>
      </c>
      <c r="K182" s="80" t="s">
        <v>21</v>
      </c>
      <c r="L182" s="30" t="s">
        <v>194</v>
      </c>
      <c r="M182" s="68">
        <v>6</v>
      </c>
      <c r="N182" s="181" t="str">
        <f t="shared" si="2"/>
        <v>нет</v>
      </c>
      <c r="O182" s="23"/>
      <c r="P182" s="23"/>
      <c r="Q182" s="106"/>
      <c r="R182" s="37">
        <v>56</v>
      </c>
      <c r="S182" s="38" t="s">
        <v>468</v>
      </c>
      <c r="T182" s="37">
        <v>35</v>
      </c>
      <c r="U182" s="39" t="s">
        <v>449</v>
      </c>
      <c r="V182" s="89" t="s">
        <v>192</v>
      </c>
      <c r="W182" s="89" t="s">
        <v>122</v>
      </c>
      <c r="X182" s="106" t="s">
        <v>295</v>
      </c>
      <c r="Y182" s="107" t="s">
        <v>12</v>
      </c>
      <c r="Z182" s="67">
        <f>IF(База_КР_КК[[#This Row],[Таб.номер резервиста]]="-","-",IF(OR(База_КР_КК[[#This Row],[Уровень КК]]=2,База_КР_КК[[#This Row],[Уровень КК]]=3),IF(COUNTIFS($U$2:$U182,$U182,$F$2:$F182,$F182)=1,1,0),IF(COUNTIFS($U$2:$U182,$U182,$L$2:$L182,$L182)=1,1,0)))</f>
        <v>0</v>
      </c>
      <c r="AA1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" s="106"/>
      <c r="AC182" s="51"/>
      <c r="AD182" s="106" t="s">
        <v>13</v>
      </c>
      <c r="AE182" s="38" t="s">
        <v>409</v>
      </c>
    </row>
    <row r="183" spans="1:31" ht="18" customHeight="1" x14ac:dyDescent="0.25">
      <c r="A1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3" s="79">
        <v>4</v>
      </c>
      <c r="C183" s="23">
        <v>43734</v>
      </c>
      <c r="D183" s="67">
        <f>IF(COUNTIF($G$2:$G183,$G183)=1,1,0)</f>
        <v>0</v>
      </c>
      <c r="E183" s="67" t="str">
        <f>IFERROR(VLOOKUP(База_КР_КК[[#This Row],[ИД штатной должности (S)]],'уровень защищенности'!$B$7:$F$1095,5,0),"не защищена")</f>
        <v>высокий</v>
      </c>
      <c r="F183" s="68">
        <v>500347</v>
      </c>
      <c r="G183" s="74" t="s">
        <v>2213</v>
      </c>
      <c r="H183" s="181">
        <f>INDEX('Списки данных'!$D$2:$D$1048576,MATCH(База_КР_КК[[#This Row],[Структурное подразделение]],'Списки данных'!$C$2:$C$1048576,0))</f>
        <v>18</v>
      </c>
      <c r="I183" s="80" t="s">
        <v>122</v>
      </c>
      <c r="J183" s="80" t="s">
        <v>188</v>
      </c>
      <c r="K183" s="80" t="s">
        <v>21</v>
      </c>
      <c r="L183" s="30" t="s">
        <v>194</v>
      </c>
      <c r="M183" s="68">
        <v>6</v>
      </c>
      <c r="N183" s="181" t="str">
        <f t="shared" si="2"/>
        <v>нет</v>
      </c>
      <c r="O183" s="23"/>
      <c r="P183" s="23"/>
      <c r="Q183" s="106"/>
      <c r="R183" s="37">
        <v>56</v>
      </c>
      <c r="S183" s="38" t="s">
        <v>468</v>
      </c>
      <c r="T183" s="37">
        <v>39</v>
      </c>
      <c r="U183" s="39" t="s">
        <v>453</v>
      </c>
      <c r="V183" s="89" t="s">
        <v>192</v>
      </c>
      <c r="W183" s="89" t="s">
        <v>122</v>
      </c>
      <c r="X183" s="106" t="s">
        <v>295</v>
      </c>
      <c r="Y183" s="107" t="s">
        <v>12</v>
      </c>
      <c r="Z183" s="67">
        <f>IF(База_КР_КК[[#This Row],[Таб.номер резервиста]]="-","-",IF(OR(База_КР_КК[[#This Row],[Уровень КК]]=2,База_КР_КК[[#This Row],[Уровень КК]]=3),IF(COUNTIFS($U$2:$U183,$U183,$F$2:$F183,$F183)=1,1,0),IF(COUNTIFS($U$2:$U183,$U183,$L$2:$L183,$L183)=1,1,0)))</f>
        <v>0</v>
      </c>
      <c r="AA1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" s="106"/>
      <c r="AC183" s="51"/>
      <c r="AD183" s="106" t="s">
        <v>13</v>
      </c>
      <c r="AE183" s="38" t="s">
        <v>409</v>
      </c>
    </row>
    <row r="184" spans="1:31" ht="18" customHeight="1" x14ac:dyDescent="0.25">
      <c r="A1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4" s="79">
        <v>4</v>
      </c>
      <c r="C184" s="23">
        <v>44887</v>
      </c>
      <c r="D184" s="67">
        <f>IF(COUNTIF($G$2:$G184,$G184)=1,1,0)</f>
        <v>0</v>
      </c>
      <c r="E184" s="67" t="str">
        <f>IFERROR(VLOOKUP(База_КР_КК[[#This Row],[ИД штатной должности (S)]],'уровень защищенности'!$B$7:$F$1095,5,0),"не защищена")</f>
        <v>высокий</v>
      </c>
      <c r="F184" s="68">
        <v>500347</v>
      </c>
      <c r="G184" s="74" t="s">
        <v>2213</v>
      </c>
      <c r="H184" s="181">
        <f>INDEX('Списки данных'!$D$2:$D$1048576,MATCH(База_КР_КК[[#This Row],[Структурное подразделение]],'Списки данных'!$C$2:$C$1048576,0))</f>
        <v>18</v>
      </c>
      <c r="I184" s="80" t="s">
        <v>122</v>
      </c>
      <c r="J184" s="80" t="s">
        <v>188</v>
      </c>
      <c r="K184" s="80" t="s">
        <v>21</v>
      </c>
      <c r="L184" s="30" t="s">
        <v>194</v>
      </c>
      <c r="M184" s="68">
        <v>6</v>
      </c>
      <c r="N184" s="181" t="str">
        <f t="shared" si="2"/>
        <v>нет</v>
      </c>
      <c r="O184" s="23"/>
      <c r="P184" s="23"/>
      <c r="Q184" s="106"/>
      <c r="R184" s="37">
        <v>56</v>
      </c>
      <c r="S184" s="39" t="s">
        <v>468</v>
      </c>
      <c r="T184" s="37">
        <v>31</v>
      </c>
      <c r="U184" s="38" t="s">
        <v>445</v>
      </c>
      <c r="V184" s="69" t="s">
        <v>192</v>
      </c>
      <c r="W184" s="89" t="s">
        <v>122</v>
      </c>
      <c r="X184" s="106" t="s">
        <v>297</v>
      </c>
      <c r="Y184" s="107" t="s">
        <v>12</v>
      </c>
      <c r="Z184" s="67">
        <f>IF(База_КР_КК[[#This Row],[Таб.номер резервиста]]="-","-",IF(OR(База_КР_КК[[#This Row],[Уровень КК]]=2,База_КР_КК[[#This Row],[Уровень КК]]=3),IF(COUNTIFS($U$2:$U184,$U184,$F$2:$F184,$F184)=1,1,0),IF(COUNTIFS($U$2:$U184,$U184,$L$2:$L184,$L184)=1,1,0)))</f>
        <v>0</v>
      </c>
      <c r="AA1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" s="106"/>
      <c r="AC184" s="51"/>
      <c r="AD184" s="106" t="s">
        <v>15</v>
      </c>
      <c r="AE184" s="33" t="s">
        <v>409</v>
      </c>
    </row>
    <row r="185" spans="1:31" ht="18" customHeight="1" x14ac:dyDescent="0.25">
      <c r="A1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5" s="79">
        <v>4</v>
      </c>
      <c r="C185" s="23">
        <v>43734</v>
      </c>
      <c r="D185" s="67">
        <f>IF(COUNTIF($G$2:$G185,$G185)=1,1,0)</f>
        <v>0</v>
      </c>
      <c r="E185" s="67" t="str">
        <f>IFERROR(VLOOKUP(База_КР_КК[[#This Row],[ИД штатной должности (S)]],'уровень защищенности'!$B$7:$F$1095,5,0),"не защищена")</f>
        <v>высокий</v>
      </c>
      <c r="F185" s="68">
        <v>500347</v>
      </c>
      <c r="G185" s="74" t="s">
        <v>2213</v>
      </c>
      <c r="H185" s="181">
        <f>INDEX('Списки данных'!$D$2:$D$1048576,MATCH(База_КР_КК[[#This Row],[Структурное подразделение]],'Списки данных'!$C$2:$C$1048576,0))</f>
        <v>18</v>
      </c>
      <c r="I185" s="80" t="s">
        <v>122</v>
      </c>
      <c r="J185" s="80" t="s">
        <v>188</v>
      </c>
      <c r="K185" s="80" t="s">
        <v>21</v>
      </c>
      <c r="L185" s="30" t="s">
        <v>194</v>
      </c>
      <c r="M185" s="68">
        <v>6</v>
      </c>
      <c r="N185" s="181" t="str">
        <f t="shared" si="2"/>
        <v>нет</v>
      </c>
      <c r="O185" s="23"/>
      <c r="P185" s="23"/>
      <c r="Q185" s="106"/>
      <c r="R185" s="37">
        <v>56</v>
      </c>
      <c r="S185" s="38" t="s">
        <v>468</v>
      </c>
      <c r="T185" s="37">
        <v>114</v>
      </c>
      <c r="U185" s="39" t="s">
        <v>526</v>
      </c>
      <c r="V185" s="89" t="s">
        <v>192</v>
      </c>
      <c r="W185" s="89" t="s">
        <v>122</v>
      </c>
      <c r="X185" s="106" t="s">
        <v>295</v>
      </c>
      <c r="Y185" s="107" t="s">
        <v>18</v>
      </c>
      <c r="Z185" s="67">
        <f>IF(База_КР_КК[[#This Row],[Таб.номер резервиста]]="-","-",IF(OR(База_КР_КК[[#This Row],[Уровень КК]]=2,База_КР_КК[[#This Row],[Уровень КК]]=3),IF(COUNTIFS($U$2:$U185,$U185,$F$2:$F185,$F185)=1,1,0),IF(COUNTIFS($U$2:$U185,$U185,$L$2:$L185,$L185)=1,1,0)))</f>
        <v>0</v>
      </c>
      <c r="AA1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" s="106" t="s">
        <v>20</v>
      </c>
      <c r="AC185" s="51">
        <v>45252</v>
      </c>
      <c r="AD185" s="106" t="s">
        <v>31</v>
      </c>
      <c r="AE185" s="38" t="s">
        <v>409</v>
      </c>
    </row>
    <row r="186" spans="1:31" ht="18" customHeight="1" x14ac:dyDescent="0.25">
      <c r="A1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6" s="79">
        <v>4</v>
      </c>
      <c r="C186" s="23">
        <v>43734</v>
      </c>
      <c r="D186" s="67">
        <f>IF(COUNTIF($G$2:$G186,$G186)=1,1,0)</f>
        <v>1</v>
      </c>
      <c r="E186" s="67" t="str">
        <f>IFERROR(VLOOKUP(База_КР_КК[[#This Row],[ИД штатной должности (S)]],'уровень защищенности'!$B$7:$F$1095,5,0),"не защищена")</f>
        <v>высокий</v>
      </c>
      <c r="F186" s="68">
        <v>500347</v>
      </c>
      <c r="G186" s="74" t="s">
        <v>2214</v>
      </c>
      <c r="H186" s="181">
        <f>INDEX('Списки данных'!$D$2:$D$1048576,MATCH(База_КР_КК[[#This Row],[Структурное подразделение]],'Списки данных'!$C$2:$C$1048576,0))</f>
        <v>18</v>
      </c>
      <c r="I186" s="80" t="s">
        <v>122</v>
      </c>
      <c r="J186" s="80" t="s">
        <v>188</v>
      </c>
      <c r="K186" s="80" t="s">
        <v>21</v>
      </c>
      <c r="L186" s="30" t="s">
        <v>194</v>
      </c>
      <c r="M186" s="68">
        <v>6</v>
      </c>
      <c r="N186" s="181" t="str">
        <f t="shared" si="2"/>
        <v>нет</v>
      </c>
      <c r="O186" s="23"/>
      <c r="P186" s="23"/>
      <c r="Q186" s="106"/>
      <c r="R186" s="37">
        <v>57</v>
      </c>
      <c r="S186" s="38" t="s">
        <v>469</v>
      </c>
      <c r="T186" s="37">
        <v>41</v>
      </c>
      <c r="U186" s="39" t="s">
        <v>455</v>
      </c>
      <c r="V186" s="89" t="s">
        <v>192</v>
      </c>
      <c r="W186" s="89" t="s">
        <v>122</v>
      </c>
      <c r="X186" s="106" t="s">
        <v>295</v>
      </c>
      <c r="Y186" s="107" t="s">
        <v>12</v>
      </c>
      <c r="Z186" s="67">
        <f>IF(База_КР_КК[[#This Row],[Таб.номер резервиста]]="-","-",IF(OR(База_КР_КК[[#This Row],[Уровень КК]]=2,База_КР_КК[[#This Row],[Уровень КК]]=3),IF(COUNTIFS($U$2:$U186,$U186,$F$2:$F186,$F186)=1,1,0),IF(COUNTIFS($U$2:$U186,$U186,$L$2:$L186,$L186)=1,1,0)))</f>
        <v>0</v>
      </c>
      <c r="AA1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" s="106"/>
      <c r="AC186" s="51"/>
      <c r="AD186" s="106" t="s">
        <v>17</v>
      </c>
      <c r="AE186" s="38" t="s">
        <v>409</v>
      </c>
    </row>
    <row r="187" spans="1:31" ht="18" customHeight="1" x14ac:dyDescent="0.25">
      <c r="A1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7" s="79">
        <v>4</v>
      </c>
      <c r="C187" s="23">
        <v>43734</v>
      </c>
      <c r="D187" s="67">
        <f>IF(COUNTIF($G$2:$G187,$G187)=1,1,0)</f>
        <v>0</v>
      </c>
      <c r="E187" s="67" t="str">
        <f>IFERROR(VLOOKUP(База_КР_КК[[#This Row],[ИД штатной должности (S)]],'уровень защищенности'!$B$7:$F$1095,5,0),"не защищена")</f>
        <v>высокий</v>
      </c>
      <c r="F187" s="68">
        <v>500347</v>
      </c>
      <c r="G187" s="74" t="s">
        <v>2214</v>
      </c>
      <c r="H187" s="181">
        <f>INDEX('Списки данных'!$D$2:$D$1048576,MATCH(База_КР_КК[[#This Row],[Структурное подразделение]],'Списки данных'!$C$2:$C$1048576,0))</f>
        <v>18</v>
      </c>
      <c r="I187" s="80" t="s">
        <v>122</v>
      </c>
      <c r="J187" s="80" t="s">
        <v>188</v>
      </c>
      <c r="K187" s="80" t="s">
        <v>21</v>
      </c>
      <c r="L187" s="30" t="s">
        <v>194</v>
      </c>
      <c r="M187" s="68">
        <v>6</v>
      </c>
      <c r="N187" s="181" t="str">
        <f t="shared" si="2"/>
        <v>нет</v>
      </c>
      <c r="O187" s="23"/>
      <c r="P187" s="23"/>
      <c r="Q187" s="106"/>
      <c r="R187" s="37">
        <v>57</v>
      </c>
      <c r="S187" s="38" t="s">
        <v>469</v>
      </c>
      <c r="T187" s="37">
        <v>36</v>
      </c>
      <c r="U187" s="39" t="s">
        <v>450</v>
      </c>
      <c r="V187" s="89" t="s">
        <v>192</v>
      </c>
      <c r="W187" s="89" t="s">
        <v>122</v>
      </c>
      <c r="X187" s="106" t="s">
        <v>297</v>
      </c>
      <c r="Y187" s="107" t="s">
        <v>12</v>
      </c>
      <c r="Z187" s="67">
        <f>IF(База_КР_КК[[#This Row],[Таб.номер резервиста]]="-","-",IF(OR(База_КР_КК[[#This Row],[Уровень КК]]=2,База_КР_КК[[#This Row],[Уровень КК]]=3),IF(COUNTIFS($U$2:$U187,$U187,$F$2:$F187,$F187)=1,1,0),IF(COUNTIFS($U$2:$U187,$U187,$L$2:$L187,$L187)=1,1,0)))</f>
        <v>0</v>
      </c>
      <c r="AA1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" s="106"/>
      <c r="AC187" s="51"/>
      <c r="AD187" s="106" t="s">
        <v>13</v>
      </c>
      <c r="AE187" s="38" t="s">
        <v>409</v>
      </c>
    </row>
    <row r="188" spans="1:31" ht="18" customHeight="1" x14ac:dyDescent="0.25">
      <c r="A1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8" s="79">
        <v>4</v>
      </c>
      <c r="C188" s="23">
        <v>43734</v>
      </c>
      <c r="D188" s="67">
        <f>IF(COUNTIF($G$2:$G188,$G188)=1,1,0)</f>
        <v>0</v>
      </c>
      <c r="E188" s="67" t="str">
        <f>IFERROR(VLOOKUP(База_КР_КК[[#This Row],[ИД штатной должности (S)]],'уровень защищенности'!$B$7:$F$1095,5,0),"не защищена")</f>
        <v>высокий</v>
      </c>
      <c r="F188" s="68">
        <v>500347</v>
      </c>
      <c r="G188" s="74" t="s">
        <v>2214</v>
      </c>
      <c r="H188" s="181">
        <f>INDEX('Списки данных'!$D$2:$D$1048576,MATCH(База_КР_КК[[#This Row],[Структурное подразделение]],'Списки данных'!$C$2:$C$1048576,0))</f>
        <v>18</v>
      </c>
      <c r="I188" s="80" t="s">
        <v>122</v>
      </c>
      <c r="J188" s="80" t="s">
        <v>188</v>
      </c>
      <c r="K188" s="80" t="s">
        <v>21</v>
      </c>
      <c r="L188" s="30" t="s">
        <v>194</v>
      </c>
      <c r="M188" s="68">
        <v>6</v>
      </c>
      <c r="N188" s="181" t="str">
        <f t="shared" si="2"/>
        <v>нет</v>
      </c>
      <c r="O188" s="23"/>
      <c r="P188" s="23"/>
      <c r="Q188" s="106"/>
      <c r="R188" s="37">
        <v>57</v>
      </c>
      <c r="S188" s="38" t="s">
        <v>469</v>
      </c>
      <c r="T188" s="37">
        <v>35</v>
      </c>
      <c r="U188" s="39" t="s">
        <v>449</v>
      </c>
      <c r="V188" s="89" t="s">
        <v>192</v>
      </c>
      <c r="W188" s="89" t="s">
        <v>122</v>
      </c>
      <c r="X188" s="106" t="s">
        <v>295</v>
      </c>
      <c r="Y188" s="107" t="s">
        <v>12</v>
      </c>
      <c r="Z188" s="67">
        <f>IF(База_КР_КК[[#This Row],[Таб.номер резервиста]]="-","-",IF(OR(База_КР_КК[[#This Row],[Уровень КК]]=2,База_КР_КК[[#This Row],[Уровень КК]]=3),IF(COUNTIFS($U$2:$U188,$U188,$F$2:$F188,$F188)=1,1,0),IF(COUNTIFS($U$2:$U188,$U188,$L$2:$L188,$L188)=1,1,0)))</f>
        <v>0</v>
      </c>
      <c r="AA1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8" s="106"/>
      <c r="AC188" s="51"/>
      <c r="AD188" s="106" t="s">
        <v>13</v>
      </c>
      <c r="AE188" s="38" t="s">
        <v>409</v>
      </c>
    </row>
    <row r="189" spans="1:31" ht="18" customHeight="1" x14ac:dyDescent="0.25">
      <c r="A1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89" s="79">
        <v>4</v>
      </c>
      <c r="C189" s="23">
        <v>43734</v>
      </c>
      <c r="D189" s="67">
        <f>IF(COUNTIF($G$2:$G189,$G189)=1,1,0)</f>
        <v>0</v>
      </c>
      <c r="E189" s="67" t="str">
        <f>IFERROR(VLOOKUP(База_КР_КК[[#This Row],[ИД штатной должности (S)]],'уровень защищенности'!$B$7:$F$1095,5,0),"не защищена")</f>
        <v>высокий</v>
      </c>
      <c r="F189" s="68">
        <v>500347</v>
      </c>
      <c r="G189" s="74" t="s">
        <v>2214</v>
      </c>
      <c r="H189" s="181">
        <f>INDEX('Списки данных'!$D$2:$D$1048576,MATCH(База_КР_КК[[#This Row],[Структурное подразделение]],'Списки данных'!$C$2:$C$1048576,0))</f>
        <v>18</v>
      </c>
      <c r="I189" s="80" t="s">
        <v>122</v>
      </c>
      <c r="J189" s="80" t="s">
        <v>188</v>
      </c>
      <c r="K189" s="80" t="s">
        <v>21</v>
      </c>
      <c r="L189" s="30" t="s">
        <v>194</v>
      </c>
      <c r="M189" s="68">
        <v>6</v>
      </c>
      <c r="N189" s="181" t="str">
        <f t="shared" si="2"/>
        <v>нет</v>
      </c>
      <c r="O189" s="23"/>
      <c r="P189" s="23"/>
      <c r="Q189" s="106"/>
      <c r="R189" s="37">
        <v>57</v>
      </c>
      <c r="S189" s="38" t="s">
        <v>469</v>
      </c>
      <c r="T189" s="37">
        <v>39</v>
      </c>
      <c r="U189" s="39" t="s">
        <v>453</v>
      </c>
      <c r="V189" s="89" t="s">
        <v>192</v>
      </c>
      <c r="W189" s="89" t="s">
        <v>122</v>
      </c>
      <c r="X189" s="106" t="s">
        <v>295</v>
      </c>
      <c r="Y189" s="107" t="s">
        <v>12</v>
      </c>
      <c r="Z189" s="67">
        <f>IF(База_КР_КК[[#This Row],[Таб.номер резервиста]]="-","-",IF(OR(База_КР_КК[[#This Row],[Уровень КК]]=2,База_КР_КК[[#This Row],[Уровень КК]]=3),IF(COUNTIFS($U$2:$U189,$U189,$F$2:$F189,$F189)=1,1,0),IF(COUNTIFS($U$2:$U189,$U189,$L$2:$L189,$L189)=1,1,0)))</f>
        <v>0</v>
      </c>
      <c r="AA1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" s="106"/>
      <c r="AC189" s="51"/>
      <c r="AD189" s="106" t="s">
        <v>13</v>
      </c>
      <c r="AE189" s="38" t="s">
        <v>409</v>
      </c>
    </row>
    <row r="190" spans="1:31" ht="18" customHeight="1" x14ac:dyDescent="0.25">
      <c r="A1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0" s="79">
        <v>4</v>
      </c>
      <c r="C190" s="23">
        <v>44887</v>
      </c>
      <c r="D190" s="67">
        <f>IF(COUNTIF($G$2:$G190,$G190)=1,1,0)</f>
        <v>0</v>
      </c>
      <c r="E190" s="67" t="str">
        <f>IFERROR(VLOOKUP(База_КР_КК[[#This Row],[ИД штатной должности (S)]],'уровень защищенности'!$B$7:$F$1095,5,0),"не защищена")</f>
        <v>высокий</v>
      </c>
      <c r="F190" s="68">
        <v>500347</v>
      </c>
      <c r="G190" s="74" t="s">
        <v>2214</v>
      </c>
      <c r="H190" s="181">
        <f>INDEX('Списки данных'!$D$2:$D$1048576,MATCH(База_КР_КК[[#This Row],[Структурное подразделение]],'Списки данных'!$C$2:$C$1048576,0))</f>
        <v>18</v>
      </c>
      <c r="I190" s="80" t="s">
        <v>122</v>
      </c>
      <c r="J190" s="80" t="s">
        <v>188</v>
      </c>
      <c r="K190" s="80" t="s">
        <v>21</v>
      </c>
      <c r="L190" s="30" t="s">
        <v>194</v>
      </c>
      <c r="M190" s="68">
        <v>6</v>
      </c>
      <c r="N190" s="181" t="str">
        <f t="shared" si="2"/>
        <v>нет</v>
      </c>
      <c r="O190" s="23"/>
      <c r="P190" s="23"/>
      <c r="Q190" s="106"/>
      <c r="R190" s="37">
        <v>57</v>
      </c>
      <c r="S190" s="39" t="s">
        <v>469</v>
      </c>
      <c r="T190" s="37">
        <v>31</v>
      </c>
      <c r="U190" s="38" t="s">
        <v>445</v>
      </c>
      <c r="V190" s="69" t="s">
        <v>192</v>
      </c>
      <c r="W190" s="89" t="s">
        <v>122</v>
      </c>
      <c r="X190" s="106" t="s">
        <v>297</v>
      </c>
      <c r="Y190" s="107" t="s">
        <v>12</v>
      </c>
      <c r="Z190" s="67">
        <f>IF(База_КР_КК[[#This Row],[Таб.номер резервиста]]="-","-",IF(OR(База_КР_КК[[#This Row],[Уровень КК]]=2,База_КР_КК[[#This Row],[Уровень КК]]=3),IF(COUNTIFS($U$2:$U190,$U190,$F$2:$F190,$F190)=1,1,0),IF(COUNTIFS($U$2:$U190,$U190,$L$2:$L190,$L190)=1,1,0)))</f>
        <v>0</v>
      </c>
      <c r="AA1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" s="106"/>
      <c r="AC190" s="51"/>
      <c r="AD190" s="106" t="s">
        <v>15</v>
      </c>
      <c r="AE190" s="33" t="s">
        <v>409</v>
      </c>
    </row>
    <row r="191" spans="1:31" ht="18" customHeight="1" x14ac:dyDescent="0.25">
      <c r="A1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1" s="79">
        <v>4</v>
      </c>
      <c r="C191" s="23">
        <v>43734</v>
      </c>
      <c r="D191" s="67">
        <f>IF(COUNTIF($G$2:$G191,$G191)=1,1,0)</f>
        <v>0</v>
      </c>
      <c r="E191" s="67" t="str">
        <f>IFERROR(VLOOKUP(База_КР_КК[[#This Row],[ИД штатной должности (S)]],'уровень защищенности'!$B$7:$F$1095,5,0),"не защищена")</f>
        <v>высокий</v>
      </c>
      <c r="F191" s="68">
        <v>500347</v>
      </c>
      <c r="G191" s="74" t="s">
        <v>2214</v>
      </c>
      <c r="H191" s="181">
        <f>INDEX('Списки данных'!$D$2:$D$1048576,MATCH(База_КР_КК[[#This Row],[Структурное подразделение]],'Списки данных'!$C$2:$C$1048576,0))</f>
        <v>18</v>
      </c>
      <c r="I191" s="80" t="s">
        <v>122</v>
      </c>
      <c r="J191" s="80" t="s">
        <v>188</v>
      </c>
      <c r="K191" s="80" t="s">
        <v>21</v>
      </c>
      <c r="L191" s="30" t="s">
        <v>194</v>
      </c>
      <c r="M191" s="68">
        <v>6</v>
      </c>
      <c r="N191" s="181" t="str">
        <f t="shared" si="2"/>
        <v>нет</v>
      </c>
      <c r="O191" s="23"/>
      <c r="P191" s="23"/>
      <c r="Q191" s="106"/>
      <c r="R191" s="37">
        <v>57</v>
      </c>
      <c r="S191" s="38" t="s">
        <v>469</v>
      </c>
      <c r="T191" s="37">
        <v>114</v>
      </c>
      <c r="U191" s="39" t="s">
        <v>526</v>
      </c>
      <c r="V191" s="89" t="s">
        <v>192</v>
      </c>
      <c r="W191" s="89" t="s">
        <v>122</v>
      </c>
      <c r="X191" s="106" t="s">
        <v>295</v>
      </c>
      <c r="Y191" s="107" t="s">
        <v>18</v>
      </c>
      <c r="Z191" s="67">
        <f>IF(База_КР_КК[[#This Row],[Таб.номер резервиста]]="-","-",IF(OR(База_КР_КК[[#This Row],[Уровень КК]]=2,База_КР_КК[[#This Row],[Уровень КК]]=3),IF(COUNTIFS($U$2:$U191,$U191,$F$2:$F191,$F191)=1,1,0),IF(COUNTIFS($U$2:$U191,$U191,$L$2:$L191,$L191)=1,1,0)))</f>
        <v>0</v>
      </c>
      <c r="AA1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" s="106" t="s">
        <v>20</v>
      </c>
      <c r="AC191" s="51">
        <v>45252</v>
      </c>
      <c r="AD191" s="106" t="s">
        <v>31</v>
      </c>
      <c r="AE191" s="38" t="s">
        <v>409</v>
      </c>
    </row>
    <row r="192" spans="1:31" ht="18" customHeight="1" x14ac:dyDescent="0.25">
      <c r="A1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2" s="79">
        <v>4</v>
      </c>
      <c r="C192" s="23">
        <v>43734</v>
      </c>
      <c r="D192" s="67">
        <f>IF(COUNTIF($G$2:$G192,$G192)=1,1,0)</f>
        <v>1</v>
      </c>
      <c r="E192" s="67" t="str">
        <f>IFERROR(VLOOKUP(База_КР_КК[[#This Row],[ИД штатной должности (S)]],'уровень защищенности'!$B$7:$F$1095,5,0),"не защищена")</f>
        <v>высокий</v>
      </c>
      <c r="F192" s="68">
        <v>500354</v>
      </c>
      <c r="G192" s="74" t="s">
        <v>2215</v>
      </c>
      <c r="H192" s="181">
        <f>INDEX('Списки данных'!$D$2:$D$1048576,MATCH(База_КР_КК[[#This Row],[Структурное подразделение]],'Списки данных'!$C$2:$C$1048576,0))</f>
        <v>18</v>
      </c>
      <c r="I192" s="80" t="s">
        <v>122</v>
      </c>
      <c r="J192" s="80" t="s">
        <v>188</v>
      </c>
      <c r="K192" s="80" t="s">
        <v>21</v>
      </c>
      <c r="L192" s="30" t="s">
        <v>189</v>
      </c>
      <c r="M192" s="68">
        <v>6</v>
      </c>
      <c r="N192" s="181" t="str">
        <f t="shared" si="2"/>
        <v>нет</v>
      </c>
      <c r="O192" s="23"/>
      <c r="P192" s="23"/>
      <c r="Q192" s="106"/>
      <c r="R192" s="37">
        <v>58</v>
      </c>
      <c r="S192" s="38" t="s">
        <v>470</v>
      </c>
      <c r="T192" s="37">
        <v>41</v>
      </c>
      <c r="U192" s="39" t="s">
        <v>455</v>
      </c>
      <c r="V192" s="89" t="s">
        <v>192</v>
      </c>
      <c r="W192" s="89" t="s">
        <v>122</v>
      </c>
      <c r="X192" s="106" t="s">
        <v>295</v>
      </c>
      <c r="Y192" s="107" t="s">
        <v>12</v>
      </c>
      <c r="Z192" s="67">
        <f>IF(База_КР_КК[[#This Row],[Таб.номер резервиста]]="-","-",IF(OR(База_КР_КК[[#This Row],[Уровень КК]]=2,База_КР_КК[[#This Row],[Уровень КК]]=3),IF(COUNTIFS($U$2:$U192,$U192,$F$2:$F192,$F192)=1,1,0),IF(COUNTIFS($U$2:$U192,$U192,$L$2:$L192,$L192)=1,1,0)))</f>
        <v>1</v>
      </c>
      <c r="AA1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" s="106"/>
      <c r="AC192" s="51"/>
      <c r="AD192" s="106" t="s">
        <v>13</v>
      </c>
      <c r="AE192" s="38" t="s">
        <v>409</v>
      </c>
    </row>
    <row r="193" spans="1:31" ht="18" customHeight="1" x14ac:dyDescent="0.25">
      <c r="A1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3" s="79">
        <v>4</v>
      </c>
      <c r="C193" s="23">
        <v>43734</v>
      </c>
      <c r="D193" s="67">
        <f>IF(COUNTIF($G$2:$G193,$G193)=1,1,0)</f>
        <v>0</v>
      </c>
      <c r="E193" s="67" t="str">
        <f>IFERROR(VLOOKUP(База_КР_КК[[#This Row],[ИД штатной должности (S)]],'уровень защищенности'!$B$7:$F$1095,5,0),"не защищена")</f>
        <v>высокий</v>
      </c>
      <c r="F193" s="68">
        <v>500354</v>
      </c>
      <c r="G193" s="74" t="s">
        <v>2215</v>
      </c>
      <c r="H193" s="181">
        <f>INDEX('Списки данных'!$D$2:$D$1048576,MATCH(База_КР_КК[[#This Row],[Структурное подразделение]],'Списки данных'!$C$2:$C$1048576,0))</f>
        <v>18</v>
      </c>
      <c r="I193" s="80" t="s">
        <v>122</v>
      </c>
      <c r="J193" s="80" t="s">
        <v>188</v>
      </c>
      <c r="K193" s="80" t="s">
        <v>21</v>
      </c>
      <c r="L193" s="30" t="s">
        <v>189</v>
      </c>
      <c r="M193" s="68">
        <v>6</v>
      </c>
      <c r="N193" s="181" t="str">
        <f t="shared" si="2"/>
        <v>нет</v>
      </c>
      <c r="O193" s="23"/>
      <c r="P193" s="23"/>
      <c r="Q193" s="106"/>
      <c r="R193" s="37">
        <v>58</v>
      </c>
      <c r="S193" s="38" t="s">
        <v>470</v>
      </c>
      <c r="T193" s="37">
        <v>39</v>
      </c>
      <c r="U193" s="39" t="s">
        <v>453</v>
      </c>
      <c r="V193" s="89" t="s">
        <v>192</v>
      </c>
      <c r="W193" s="89" t="s">
        <v>122</v>
      </c>
      <c r="X193" s="106" t="s">
        <v>295</v>
      </c>
      <c r="Y193" s="107" t="s">
        <v>12</v>
      </c>
      <c r="Z193" s="67">
        <f>IF(База_КР_КК[[#This Row],[Таб.номер резервиста]]="-","-",IF(OR(База_КР_КК[[#This Row],[Уровень КК]]=2,База_КР_КК[[#This Row],[Уровень КК]]=3),IF(COUNTIFS($U$2:$U193,$U193,$F$2:$F193,$F193)=1,1,0),IF(COUNTIFS($U$2:$U193,$U193,$L$2:$L193,$L193)=1,1,0)))</f>
        <v>1</v>
      </c>
      <c r="AA1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" s="106"/>
      <c r="AC193" s="51"/>
      <c r="AD193" s="106" t="s">
        <v>13</v>
      </c>
      <c r="AE193" s="38" t="s">
        <v>409</v>
      </c>
    </row>
    <row r="194" spans="1:31" ht="18" customHeight="1" x14ac:dyDescent="0.25">
      <c r="A1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4" s="79">
        <v>4</v>
      </c>
      <c r="C194" s="23">
        <v>44887</v>
      </c>
      <c r="D194" s="67">
        <f>IF(COUNTIF($G$2:$G194,$G194)=1,1,0)</f>
        <v>0</v>
      </c>
      <c r="E194" s="67" t="str">
        <f>IFERROR(VLOOKUP(База_КР_КК[[#This Row],[ИД штатной должности (S)]],'уровень защищенности'!$B$7:$F$1095,5,0),"не защищена")</f>
        <v>высокий</v>
      </c>
      <c r="F194" s="68">
        <v>500354</v>
      </c>
      <c r="G194" s="74" t="s">
        <v>2215</v>
      </c>
      <c r="H194" s="181">
        <f>INDEX('Списки данных'!$D$2:$D$1048576,MATCH(База_КР_КК[[#This Row],[Структурное подразделение]],'Списки данных'!$C$2:$C$1048576,0))</f>
        <v>18</v>
      </c>
      <c r="I194" s="80" t="s">
        <v>122</v>
      </c>
      <c r="J194" s="80" t="s">
        <v>188</v>
      </c>
      <c r="K194" s="80" t="s">
        <v>21</v>
      </c>
      <c r="L194" s="30" t="s">
        <v>189</v>
      </c>
      <c r="M194" s="68">
        <v>6</v>
      </c>
      <c r="N194" s="181" t="str">
        <f t="shared" ref="N194:N225" si="3">IF(ISBLANK(O194),"нет","да")</f>
        <v>нет</v>
      </c>
      <c r="O194" s="23"/>
      <c r="P194" s="23"/>
      <c r="Q194" s="106"/>
      <c r="R194" s="37">
        <v>58</v>
      </c>
      <c r="S194" s="39" t="s">
        <v>470</v>
      </c>
      <c r="T194" s="37">
        <v>1162</v>
      </c>
      <c r="U194" s="38" t="s">
        <v>1571</v>
      </c>
      <c r="V194" s="69" t="s">
        <v>272</v>
      </c>
      <c r="W194" s="89" t="s">
        <v>122</v>
      </c>
      <c r="X194" s="106" t="s">
        <v>295</v>
      </c>
      <c r="Y194" s="107" t="s">
        <v>12</v>
      </c>
      <c r="Z194" s="67">
        <f>IF(База_КР_КК[[#This Row],[Таб.номер резервиста]]="-","-",IF(OR(База_КР_КК[[#This Row],[Уровень КК]]=2,База_КР_КК[[#This Row],[Уровень КК]]=3),IF(COUNTIFS($U$2:$U194,$U194,$F$2:$F194,$F194)=1,1,0),IF(COUNTIFS($U$2:$U194,$U194,$L$2:$L194,$L194)=1,1,0)))</f>
        <v>1</v>
      </c>
      <c r="AA1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" s="106"/>
      <c r="AC194" s="51"/>
      <c r="AD194" s="106" t="s">
        <v>15</v>
      </c>
      <c r="AE194" s="33" t="s">
        <v>409</v>
      </c>
    </row>
    <row r="195" spans="1:31" ht="18" customHeight="1" x14ac:dyDescent="0.25">
      <c r="A1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5" s="79">
        <v>4</v>
      </c>
      <c r="C195" s="23">
        <v>43734</v>
      </c>
      <c r="D195" s="67">
        <f>IF(COUNTIF($G$2:$G195,$G195)=1,1,0)</f>
        <v>1</v>
      </c>
      <c r="E195" s="67" t="str">
        <f>IFERROR(VLOOKUP(База_КР_КК[[#This Row],[ИД штатной должности (S)]],'уровень защищенности'!$B$7:$F$1095,5,0),"не защищена")</f>
        <v>высокий</v>
      </c>
      <c r="F195" s="68">
        <v>500355</v>
      </c>
      <c r="G195" s="74" t="s">
        <v>2216</v>
      </c>
      <c r="H195" s="181">
        <f>INDEX('Списки данных'!$D$2:$D$1048576,MATCH(База_КР_КК[[#This Row],[Структурное подразделение]],'Списки данных'!$C$2:$C$1048576,0))</f>
        <v>18</v>
      </c>
      <c r="I195" s="80" t="s">
        <v>122</v>
      </c>
      <c r="J195" s="80" t="s">
        <v>188</v>
      </c>
      <c r="K195" s="80" t="s">
        <v>190</v>
      </c>
      <c r="L195" s="30" t="s">
        <v>189</v>
      </c>
      <c r="M195" s="68">
        <v>6</v>
      </c>
      <c r="N195" s="181" t="str">
        <f t="shared" si="3"/>
        <v>нет</v>
      </c>
      <c r="O195" s="23"/>
      <c r="P195" s="23"/>
      <c r="Q195" s="106"/>
      <c r="R195" s="37">
        <v>59</v>
      </c>
      <c r="S195" s="38" t="s">
        <v>471</v>
      </c>
      <c r="T195" s="37">
        <v>36</v>
      </c>
      <c r="U195" s="39" t="s">
        <v>450</v>
      </c>
      <c r="V195" s="89" t="s">
        <v>192</v>
      </c>
      <c r="W195" s="89" t="s">
        <v>122</v>
      </c>
      <c r="X195" s="106" t="s">
        <v>295</v>
      </c>
      <c r="Y195" s="107" t="s">
        <v>12</v>
      </c>
      <c r="Z195" s="67">
        <f>IF(База_КР_КК[[#This Row],[Таб.номер резервиста]]="-","-",IF(OR(База_КР_КК[[#This Row],[Уровень КК]]=2,База_КР_КК[[#This Row],[Уровень КК]]=3),IF(COUNTIFS($U$2:$U195,$U195,$F$2:$F195,$F195)=1,1,0),IF(COUNTIFS($U$2:$U195,$U195,$L$2:$L195,$L195)=1,1,0)))</f>
        <v>0</v>
      </c>
      <c r="AA1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" s="106"/>
      <c r="AC195" s="51"/>
      <c r="AD195" s="106" t="s">
        <v>13</v>
      </c>
      <c r="AE195" s="38" t="s">
        <v>409</v>
      </c>
    </row>
    <row r="196" spans="1:31" ht="18" customHeight="1" x14ac:dyDescent="0.25">
      <c r="A1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6" s="79">
        <v>4</v>
      </c>
      <c r="C196" s="23">
        <v>43734</v>
      </c>
      <c r="D196" s="67">
        <f>IF(COUNTIF($G$2:$G196,$G196)=1,1,0)</f>
        <v>0</v>
      </c>
      <c r="E196" s="67" t="str">
        <f>IFERROR(VLOOKUP(База_КР_КК[[#This Row],[ИД штатной должности (S)]],'уровень защищенности'!$B$7:$F$1095,5,0),"не защищена")</f>
        <v>высокий</v>
      </c>
      <c r="F196" s="68">
        <v>500355</v>
      </c>
      <c r="G196" s="74" t="s">
        <v>2216</v>
      </c>
      <c r="H196" s="181">
        <f>INDEX('Списки данных'!$D$2:$D$1048576,MATCH(База_КР_КК[[#This Row],[Структурное подразделение]],'Списки данных'!$C$2:$C$1048576,0))</f>
        <v>18</v>
      </c>
      <c r="I196" s="80" t="s">
        <v>122</v>
      </c>
      <c r="J196" s="80" t="s">
        <v>188</v>
      </c>
      <c r="K196" s="80" t="s">
        <v>190</v>
      </c>
      <c r="L196" s="30" t="s">
        <v>189</v>
      </c>
      <c r="M196" s="68">
        <v>6</v>
      </c>
      <c r="N196" s="181" t="str">
        <f t="shared" si="3"/>
        <v>нет</v>
      </c>
      <c r="O196" s="23"/>
      <c r="P196" s="23"/>
      <c r="Q196" s="106"/>
      <c r="R196" s="37">
        <v>59</v>
      </c>
      <c r="S196" s="38" t="s">
        <v>471</v>
      </c>
      <c r="T196" s="37">
        <v>114</v>
      </c>
      <c r="U196" s="39" t="s">
        <v>526</v>
      </c>
      <c r="V196" s="89" t="s">
        <v>192</v>
      </c>
      <c r="W196" s="89" t="s">
        <v>122</v>
      </c>
      <c r="X196" s="106" t="s">
        <v>295</v>
      </c>
      <c r="Y196" s="107" t="s">
        <v>12</v>
      </c>
      <c r="Z196" s="67">
        <f>IF(База_КР_КК[[#This Row],[Таб.номер резервиста]]="-","-",IF(OR(База_КР_КК[[#This Row],[Уровень КК]]=2,База_КР_КК[[#This Row],[Уровень КК]]=3),IF(COUNTIFS($U$2:$U196,$U196,$F$2:$F196,$F196)=1,1,0),IF(COUNTIFS($U$2:$U196,$U196,$L$2:$L196,$L196)=1,1,0)))</f>
        <v>0</v>
      </c>
      <c r="AA1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" s="106"/>
      <c r="AC196" s="51"/>
      <c r="AD196" s="106" t="s">
        <v>13</v>
      </c>
      <c r="AE196" s="38" t="s">
        <v>409</v>
      </c>
    </row>
    <row r="197" spans="1:31" ht="18" customHeight="1" x14ac:dyDescent="0.25">
      <c r="A1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7" s="79">
        <v>4</v>
      </c>
      <c r="C197" s="23">
        <v>43734</v>
      </c>
      <c r="D197" s="67">
        <f>IF(COUNTIF($G$2:$G197,$G197)=1,1,0)</f>
        <v>0</v>
      </c>
      <c r="E197" s="67" t="str">
        <f>IFERROR(VLOOKUP(База_КР_КК[[#This Row],[ИД штатной должности (S)]],'уровень защищенности'!$B$7:$F$1095,5,0),"не защищена")</f>
        <v>высокий</v>
      </c>
      <c r="F197" s="68">
        <v>500355</v>
      </c>
      <c r="G197" s="74" t="s">
        <v>2216</v>
      </c>
      <c r="H197" s="181">
        <f>INDEX('Списки данных'!$D$2:$D$1048576,MATCH(База_КР_КК[[#This Row],[Структурное подразделение]],'Списки данных'!$C$2:$C$1048576,0))</f>
        <v>18</v>
      </c>
      <c r="I197" s="80" t="s">
        <v>122</v>
      </c>
      <c r="J197" s="80" t="s">
        <v>188</v>
      </c>
      <c r="K197" s="80" t="s">
        <v>190</v>
      </c>
      <c r="L197" s="30" t="s">
        <v>189</v>
      </c>
      <c r="M197" s="68">
        <v>6</v>
      </c>
      <c r="N197" s="181" t="str">
        <f t="shared" si="3"/>
        <v>нет</v>
      </c>
      <c r="O197" s="23"/>
      <c r="P197" s="23"/>
      <c r="Q197" s="106"/>
      <c r="R197" s="37">
        <v>59</v>
      </c>
      <c r="S197" s="38" t="s">
        <v>471</v>
      </c>
      <c r="T197" s="37">
        <v>1152</v>
      </c>
      <c r="U197" s="39" t="s">
        <v>1561</v>
      </c>
      <c r="V197" s="89" t="s">
        <v>189</v>
      </c>
      <c r="W197" s="89" t="s">
        <v>122</v>
      </c>
      <c r="X197" s="106" t="s">
        <v>295</v>
      </c>
      <c r="Y197" s="107" t="s">
        <v>18</v>
      </c>
      <c r="Z197" s="67">
        <f>IF(База_КР_КК[[#This Row],[Таб.номер резервиста]]="-","-",IF(OR(База_КР_КК[[#This Row],[Уровень КК]]=2,База_КР_КК[[#This Row],[Уровень КК]]=3),IF(COUNTIFS($U$2:$U197,$U197,$F$2:$F197,$F197)=1,1,0),IF(COUNTIFS($U$2:$U197,$U197,$L$2:$L197,$L197)=1,1,0)))</f>
        <v>0</v>
      </c>
      <c r="AA1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" s="106" t="s">
        <v>37</v>
      </c>
      <c r="AC197" s="51">
        <v>44553</v>
      </c>
      <c r="AD197" s="106" t="s">
        <v>13</v>
      </c>
      <c r="AE197" s="38" t="s">
        <v>312</v>
      </c>
    </row>
    <row r="198" spans="1:31" ht="18" customHeight="1" x14ac:dyDescent="0.25">
      <c r="A1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8" s="79">
        <v>3</v>
      </c>
      <c r="C198" s="23">
        <v>43426</v>
      </c>
      <c r="D198" s="67">
        <f>IF(COUNTIF($G$2:$G198,$G198)=1,1,0)</f>
        <v>1</v>
      </c>
      <c r="E198" s="67" t="str">
        <f>IFERROR(VLOOKUP(База_КР_КК[[#This Row],[ИД штатной должности (S)]],'уровень защищенности'!$B$7:$F$1095,5,0),"не защищена")</f>
        <v>высокий</v>
      </c>
      <c r="F198" s="68">
        <v>500366</v>
      </c>
      <c r="G198" s="74" t="s">
        <v>2217</v>
      </c>
      <c r="H198" s="181">
        <f>INDEX('Списки данных'!$D$2:$D$1048576,MATCH(База_КР_КК[[#This Row],[Структурное подразделение]],'Списки данных'!$C$2:$C$1048576,0))</f>
        <v>1</v>
      </c>
      <c r="I198" s="80" t="s">
        <v>132</v>
      </c>
      <c r="J198" s="80" t="s">
        <v>195</v>
      </c>
      <c r="K198" s="80" t="s">
        <v>21</v>
      </c>
      <c r="L198" s="30" t="s">
        <v>187</v>
      </c>
      <c r="M198" s="68">
        <v>5</v>
      </c>
      <c r="N198" s="181" t="str">
        <f t="shared" si="3"/>
        <v>нет</v>
      </c>
      <c r="O198" s="23"/>
      <c r="P198" s="23"/>
      <c r="Q198" s="106"/>
      <c r="R198" s="37">
        <v>60</v>
      </c>
      <c r="S198" s="38" t="s">
        <v>472</v>
      </c>
      <c r="T198" s="37">
        <v>105</v>
      </c>
      <c r="U198" s="39" t="s">
        <v>517</v>
      </c>
      <c r="V198" s="89" t="s">
        <v>194</v>
      </c>
      <c r="W198" s="89" t="s">
        <v>132</v>
      </c>
      <c r="X198" s="106" t="s">
        <v>295</v>
      </c>
      <c r="Y198" s="107" t="s">
        <v>12</v>
      </c>
      <c r="Z198" s="67">
        <f>IF(База_КР_КК[[#This Row],[Таб.номер резервиста]]="-","-",IF(OR(База_КР_КК[[#This Row],[Уровень КК]]=2,База_КР_КК[[#This Row],[Уровень КК]]=3),IF(COUNTIFS($U$2:$U198,$U198,$F$2:$F198,$F198)=1,1,0),IF(COUNTIFS($U$2:$U198,$U198,$L$2:$L198,$L198)=1,1,0)))</f>
        <v>1</v>
      </c>
      <c r="AA1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" s="106"/>
      <c r="AC198" s="51"/>
      <c r="AD198" s="106" t="s">
        <v>13</v>
      </c>
      <c r="AE198" s="38" t="s">
        <v>404</v>
      </c>
    </row>
    <row r="199" spans="1:31" ht="18" customHeight="1" x14ac:dyDescent="0.25">
      <c r="A1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99" s="79">
        <v>3</v>
      </c>
      <c r="C199" s="23">
        <v>43426</v>
      </c>
      <c r="D199" s="67">
        <f>IF(COUNTIF($G$2:$G199,$G199)=1,1,0)</f>
        <v>0</v>
      </c>
      <c r="E199" s="67" t="str">
        <f>IFERROR(VLOOKUP(База_КР_КК[[#This Row],[ИД штатной должности (S)]],'уровень защищенности'!$B$7:$F$1095,5,0),"не защищена")</f>
        <v>высокий</v>
      </c>
      <c r="F199" s="68">
        <v>500366</v>
      </c>
      <c r="G199" s="74" t="s">
        <v>2217</v>
      </c>
      <c r="H199" s="181">
        <f>INDEX('Списки данных'!$D$2:$D$1048576,MATCH(База_КР_КК[[#This Row],[Структурное подразделение]],'Списки данных'!$C$2:$C$1048576,0))</f>
        <v>1</v>
      </c>
      <c r="I199" s="80" t="s">
        <v>132</v>
      </c>
      <c r="J199" s="80" t="s">
        <v>195</v>
      </c>
      <c r="K199" s="80" t="s">
        <v>21</v>
      </c>
      <c r="L199" s="30" t="s">
        <v>187</v>
      </c>
      <c r="M199" s="68">
        <v>5</v>
      </c>
      <c r="N199" s="181" t="str">
        <f t="shared" si="3"/>
        <v>нет</v>
      </c>
      <c r="O199" s="23"/>
      <c r="P199" s="23"/>
      <c r="Q199" s="106"/>
      <c r="R199" s="37">
        <v>60</v>
      </c>
      <c r="S199" s="38" t="s">
        <v>472</v>
      </c>
      <c r="T199" s="37">
        <v>1172</v>
      </c>
      <c r="U199" s="39" t="s">
        <v>1581</v>
      </c>
      <c r="V199" s="89" t="s">
        <v>189</v>
      </c>
      <c r="W199" s="89" t="s">
        <v>275</v>
      </c>
      <c r="X199" s="106" t="s">
        <v>295</v>
      </c>
      <c r="Y199" s="107" t="s">
        <v>18</v>
      </c>
      <c r="Z199" s="67">
        <f>IF(База_КР_КК[[#This Row],[Таб.номер резервиста]]="-","-",IF(OR(База_КР_КК[[#This Row],[Уровень КК]]=2,База_КР_КК[[#This Row],[Уровень КК]]=3),IF(COUNTIFS($U$2:$U199,$U199,$F$2:$F199,$F199)=1,1,0),IF(COUNTIFS($U$2:$U199,$U199,$L$2:$L199,$L199)=1,1,0)))</f>
        <v>1</v>
      </c>
      <c r="AA1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" s="106" t="s">
        <v>33</v>
      </c>
      <c r="AC199" s="51">
        <v>44014</v>
      </c>
      <c r="AD199" s="106" t="s">
        <v>31</v>
      </c>
      <c r="AE199" s="38" t="s">
        <v>313</v>
      </c>
    </row>
    <row r="200" spans="1:31" ht="18" customHeight="1" x14ac:dyDescent="0.25">
      <c r="A2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0" s="79">
        <v>4</v>
      </c>
      <c r="C200" s="23">
        <v>43783</v>
      </c>
      <c r="D200" s="67">
        <f>IF(COUNTIF($G$2:$G200,$G200)=1,1,0)</f>
        <v>1</v>
      </c>
      <c r="E200" s="67" t="str">
        <f>IFERROR(VLOOKUP(База_КР_КК[[#This Row],[ИД штатной должности (S)]],'уровень защищенности'!$B$7:$F$1095,5,0),"не защищена")</f>
        <v>высокий</v>
      </c>
      <c r="F200" s="68">
        <v>500367</v>
      </c>
      <c r="G200" s="74" t="s">
        <v>2218</v>
      </c>
      <c r="H200" s="181">
        <f>INDEX('Списки данных'!$D$2:$D$1048576,MATCH(База_КР_КК[[#This Row],[Структурное подразделение]],'Списки данных'!$C$2:$C$1048576,0))</f>
        <v>1</v>
      </c>
      <c r="I200" s="80" t="s">
        <v>132</v>
      </c>
      <c r="J200" s="80" t="s">
        <v>195</v>
      </c>
      <c r="K200" s="80" t="s">
        <v>21</v>
      </c>
      <c r="L200" s="30" t="s">
        <v>194</v>
      </c>
      <c r="M200" s="68">
        <v>6</v>
      </c>
      <c r="N200" s="181" t="str">
        <f t="shared" si="3"/>
        <v>да</v>
      </c>
      <c r="O200" s="23">
        <v>44075</v>
      </c>
      <c r="P200" s="23">
        <v>44075</v>
      </c>
      <c r="Q200" s="106" t="s">
        <v>66</v>
      </c>
      <c r="R200" s="37">
        <v>61</v>
      </c>
      <c r="S200" s="39" t="s">
        <v>473</v>
      </c>
      <c r="T200" s="37">
        <v>106</v>
      </c>
      <c r="U200" s="39" t="s">
        <v>518</v>
      </c>
      <c r="V200" s="89" t="s">
        <v>192</v>
      </c>
      <c r="W200" s="89" t="s">
        <v>132</v>
      </c>
      <c r="X200" s="106" t="s">
        <v>295</v>
      </c>
      <c r="Y200" s="107" t="s">
        <v>12</v>
      </c>
      <c r="Z200" s="67">
        <f>IF(База_КР_КК[[#This Row],[Таб.номер резервиста]]="-","-",IF(OR(База_КР_КК[[#This Row],[Уровень КК]]=2,База_КР_КК[[#This Row],[Уровень КК]]=3),IF(COUNTIFS($U$2:$U200,$U200,$F$2:$F200,$F200)=1,1,0),IF(COUNTIFS($U$2:$U200,$U200,$L$2:$L200,$L200)=1,1,0)))</f>
        <v>1</v>
      </c>
      <c r="AA2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" s="106"/>
      <c r="AC200" s="51"/>
      <c r="AD200" s="106" t="s">
        <v>13</v>
      </c>
      <c r="AE200" s="38" t="s">
        <v>410</v>
      </c>
    </row>
    <row r="201" spans="1:31" ht="18" customHeight="1" x14ac:dyDescent="0.25">
      <c r="A2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1" s="79">
        <v>4</v>
      </c>
      <c r="C201" s="23">
        <v>43783</v>
      </c>
      <c r="D201" s="67">
        <f>IF(COUNTIF($G$2:$G201,$G201)=1,1,0)</f>
        <v>0</v>
      </c>
      <c r="E201" s="67" t="str">
        <f>IFERROR(VLOOKUP(База_КР_КК[[#This Row],[ИД штатной должности (S)]],'уровень защищенности'!$B$7:$F$1095,5,0),"не защищена")</f>
        <v>высокий</v>
      </c>
      <c r="F201" s="68">
        <v>500367</v>
      </c>
      <c r="G201" s="74" t="s">
        <v>2218</v>
      </c>
      <c r="H201" s="181">
        <f>INDEX('Списки данных'!$D$2:$D$1048576,MATCH(База_КР_КК[[#This Row],[Структурное подразделение]],'Списки данных'!$C$2:$C$1048576,0))</f>
        <v>1</v>
      </c>
      <c r="I201" s="80" t="s">
        <v>132</v>
      </c>
      <c r="J201" s="80" t="s">
        <v>195</v>
      </c>
      <c r="K201" s="80" t="s">
        <v>21</v>
      </c>
      <c r="L201" s="30" t="s">
        <v>194</v>
      </c>
      <c r="M201" s="68">
        <v>6</v>
      </c>
      <c r="N201" s="181" t="str">
        <f t="shared" si="3"/>
        <v>да</v>
      </c>
      <c r="O201" s="23">
        <v>44075</v>
      </c>
      <c r="P201" s="23">
        <v>44075</v>
      </c>
      <c r="Q201" s="106" t="s">
        <v>66</v>
      </c>
      <c r="R201" s="37">
        <v>61</v>
      </c>
      <c r="S201" s="39" t="s">
        <v>473</v>
      </c>
      <c r="T201" s="37">
        <v>69</v>
      </c>
      <c r="U201" s="39" t="s">
        <v>481</v>
      </c>
      <c r="V201" s="89" t="s">
        <v>192</v>
      </c>
      <c r="W201" s="89" t="s">
        <v>132</v>
      </c>
      <c r="X201" s="106" t="s">
        <v>295</v>
      </c>
      <c r="Y201" s="107" t="s">
        <v>12</v>
      </c>
      <c r="Z201" s="67">
        <f>IF(База_КР_КК[[#This Row],[Таб.номер резервиста]]="-","-",IF(OR(База_КР_КК[[#This Row],[Уровень КК]]=2,База_КР_КК[[#This Row],[Уровень КК]]=3),IF(COUNTIFS($U$2:$U201,$U201,$F$2:$F201,$F201)=1,1,0),IF(COUNTIFS($U$2:$U201,$U201,$L$2:$L201,$L201)=1,1,0)))</f>
        <v>1</v>
      </c>
      <c r="AA2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" s="106"/>
      <c r="AC201" s="51"/>
      <c r="AD201" s="106" t="s">
        <v>13</v>
      </c>
      <c r="AE201" s="38" t="s">
        <v>410</v>
      </c>
    </row>
    <row r="202" spans="1:31" ht="18" customHeight="1" x14ac:dyDescent="0.25">
      <c r="A2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2" s="79">
        <v>4</v>
      </c>
      <c r="C202" s="23">
        <v>44897</v>
      </c>
      <c r="D202" s="67">
        <f>IF(COUNTIF($G$2:$G202,$G202)=1,1,0)</f>
        <v>0</v>
      </c>
      <c r="E202" s="67" t="str">
        <f>IFERROR(VLOOKUP(База_КР_КК[[#This Row],[ИД штатной должности (S)]],'уровень защищенности'!$B$7:$F$1095,5,0),"не защищена")</f>
        <v>высокий</v>
      </c>
      <c r="F202" s="68">
        <v>500367</v>
      </c>
      <c r="G202" s="74" t="s">
        <v>2218</v>
      </c>
      <c r="H202" s="181">
        <f>INDEX('Списки данных'!$D$2:$D$1048576,MATCH(База_КР_КК[[#This Row],[Структурное подразделение]],'Списки данных'!$C$2:$C$1048576,0))</f>
        <v>1</v>
      </c>
      <c r="I202" s="80" t="s">
        <v>132</v>
      </c>
      <c r="J202" s="80" t="s">
        <v>195</v>
      </c>
      <c r="K202" s="80" t="s">
        <v>21</v>
      </c>
      <c r="L202" s="30" t="s">
        <v>194</v>
      </c>
      <c r="M202" s="68">
        <v>6</v>
      </c>
      <c r="N202" s="181" t="str">
        <f t="shared" si="3"/>
        <v>да</v>
      </c>
      <c r="O202" s="23">
        <v>44075</v>
      </c>
      <c r="P202" s="23">
        <v>44075</v>
      </c>
      <c r="Q202" s="106" t="s">
        <v>66</v>
      </c>
      <c r="R202" s="37">
        <v>61</v>
      </c>
      <c r="S202" s="39" t="s">
        <v>473</v>
      </c>
      <c r="T202" s="37">
        <v>131</v>
      </c>
      <c r="U202" s="38" t="s">
        <v>543</v>
      </c>
      <c r="V202" s="69" t="s">
        <v>192</v>
      </c>
      <c r="W202" s="89" t="s">
        <v>132</v>
      </c>
      <c r="X202" s="106" t="s">
        <v>297</v>
      </c>
      <c r="Y202" s="107" t="s">
        <v>12</v>
      </c>
      <c r="Z202" s="67">
        <f>IF(База_КР_КК[[#This Row],[Таб.номер резервиста]]="-","-",IF(OR(База_КР_КК[[#This Row],[Уровень КК]]=2,База_КР_КК[[#This Row],[Уровень КК]]=3),IF(COUNTIFS($U$2:$U202,$U202,$F$2:$F202,$F202)=1,1,0),IF(COUNTIFS($U$2:$U202,$U202,$L$2:$L202,$L202)=1,1,0)))</f>
        <v>1</v>
      </c>
      <c r="AA2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" s="106"/>
      <c r="AC202" s="51"/>
      <c r="AD202" s="106" t="s">
        <v>15</v>
      </c>
      <c r="AE202" s="33" t="s">
        <v>410</v>
      </c>
    </row>
    <row r="203" spans="1:31" ht="18" customHeight="1" x14ac:dyDescent="0.25">
      <c r="A2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3" s="79">
        <v>4</v>
      </c>
      <c r="C203" s="23">
        <v>43783</v>
      </c>
      <c r="D203" s="67">
        <f>IF(COUNTIF($G$2:$G203,$G203)=1,1,0)</f>
        <v>0</v>
      </c>
      <c r="E203" s="67" t="str">
        <f>IFERROR(VLOOKUP(База_КР_КК[[#This Row],[ИД штатной должности (S)]],'уровень защищенности'!$B$7:$F$1095,5,0),"не защищена")</f>
        <v>высокий</v>
      </c>
      <c r="F203" s="68">
        <v>500367</v>
      </c>
      <c r="G203" s="74" t="s">
        <v>2218</v>
      </c>
      <c r="H203" s="181">
        <f>INDEX('Списки данных'!$D$2:$D$1048576,MATCH(База_КР_КК[[#This Row],[Структурное подразделение]],'Списки данных'!$C$2:$C$1048576,0))</f>
        <v>1</v>
      </c>
      <c r="I203" s="80" t="s">
        <v>132</v>
      </c>
      <c r="J203" s="80" t="s">
        <v>195</v>
      </c>
      <c r="K203" s="80" t="s">
        <v>21</v>
      </c>
      <c r="L203" s="30" t="s">
        <v>194</v>
      </c>
      <c r="M203" s="68">
        <v>6</v>
      </c>
      <c r="N203" s="181" t="str">
        <f t="shared" si="3"/>
        <v>да</v>
      </c>
      <c r="O203" s="23">
        <v>44075</v>
      </c>
      <c r="P203" s="23">
        <v>44075</v>
      </c>
      <c r="Q203" s="106" t="s">
        <v>66</v>
      </c>
      <c r="R203" s="37">
        <v>61</v>
      </c>
      <c r="S203" s="38" t="s">
        <v>473</v>
      </c>
      <c r="T203" s="37">
        <v>61</v>
      </c>
      <c r="U203" s="39" t="s">
        <v>473</v>
      </c>
      <c r="V203" s="89" t="s">
        <v>194</v>
      </c>
      <c r="W203" s="89" t="s">
        <v>132</v>
      </c>
      <c r="X203" s="106" t="s">
        <v>295</v>
      </c>
      <c r="Y203" s="107" t="s">
        <v>14</v>
      </c>
      <c r="Z203" s="67">
        <f>IF(База_КР_КК[[#This Row],[Таб.номер резервиста]]="-","-",IF(OR(База_КР_КК[[#This Row],[Уровень КК]]=2,База_КР_КК[[#This Row],[Уровень КК]]=3),IF(COUNTIFS($U$2:$U203,$U203,$F$2:$F203,$F203)=1,1,0),IF(COUNTIFS($U$2:$U203,$U203,$L$2:$L203,$L203)=1,1,0)))</f>
        <v>1</v>
      </c>
      <c r="AA2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03" s="106" t="s">
        <v>24</v>
      </c>
      <c r="AC203" s="51">
        <v>44075</v>
      </c>
      <c r="AD203" s="106" t="s">
        <v>31</v>
      </c>
      <c r="AE203" s="38" t="s">
        <v>315</v>
      </c>
    </row>
    <row r="204" spans="1:31" ht="18" customHeight="1" x14ac:dyDescent="0.25">
      <c r="A2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4" s="79">
        <v>4</v>
      </c>
      <c r="C204" s="23">
        <v>43783</v>
      </c>
      <c r="D204" s="67">
        <f>IF(COUNTIF($G$2:$G204,$G204)=1,1,0)</f>
        <v>0</v>
      </c>
      <c r="E204" s="67" t="str">
        <f>IFERROR(VLOOKUP(База_КР_КК[[#This Row],[ИД штатной должности (S)]],'уровень защищенности'!$B$7:$F$1095,5,0),"не защищена")</f>
        <v>высокий</v>
      </c>
      <c r="F204" s="68">
        <v>500367</v>
      </c>
      <c r="G204" s="74" t="s">
        <v>2218</v>
      </c>
      <c r="H204" s="181">
        <f>INDEX('Списки данных'!$D$2:$D$1048576,MATCH(База_КР_КК[[#This Row],[Структурное подразделение]],'Списки данных'!$C$2:$C$1048576,0))</f>
        <v>1</v>
      </c>
      <c r="I204" s="80" t="s">
        <v>132</v>
      </c>
      <c r="J204" s="80" t="s">
        <v>195</v>
      </c>
      <c r="K204" s="80" t="s">
        <v>21</v>
      </c>
      <c r="L204" s="30" t="s">
        <v>194</v>
      </c>
      <c r="M204" s="68">
        <v>6</v>
      </c>
      <c r="N204" s="181" t="str">
        <f t="shared" si="3"/>
        <v>да</v>
      </c>
      <c r="O204" s="23">
        <v>44075</v>
      </c>
      <c r="P204" s="23">
        <v>44075</v>
      </c>
      <c r="Q204" s="106" t="s">
        <v>66</v>
      </c>
      <c r="R204" s="37">
        <v>61</v>
      </c>
      <c r="S204" s="38" t="s">
        <v>473</v>
      </c>
      <c r="T204" s="37">
        <v>129</v>
      </c>
      <c r="U204" s="39" t="s">
        <v>541</v>
      </c>
      <c r="V204" s="89" t="s">
        <v>191</v>
      </c>
      <c r="W204" s="89" t="s">
        <v>132</v>
      </c>
      <c r="X204" s="106" t="s">
        <v>295</v>
      </c>
      <c r="Y204" s="107" t="s">
        <v>18</v>
      </c>
      <c r="Z204" s="67">
        <f>IF(База_КР_КК[[#This Row],[Таб.номер резервиста]]="-","-",IF(OR(База_КР_КК[[#This Row],[Уровень КК]]=2,База_КР_КК[[#This Row],[Уровень КК]]=3),IF(COUNTIFS($U$2:$U204,$U204,$F$2:$F204,$F204)=1,1,0),IF(COUNTIFS($U$2:$U204,$U204,$L$2:$L204,$L204)=1,1,0)))</f>
        <v>1</v>
      </c>
      <c r="AA2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" s="106" t="s">
        <v>24</v>
      </c>
      <c r="AC204" s="51">
        <v>44629</v>
      </c>
      <c r="AD204" s="106" t="s">
        <v>17</v>
      </c>
      <c r="AE204" s="38" t="s">
        <v>315</v>
      </c>
    </row>
    <row r="205" spans="1:31" ht="18" customHeight="1" x14ac:dyDescent="0.25">
      <c r="A2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5" s="79">
        <v>4</v>
      </c>
      <c r="C205" s="23">
        <v>43783</v>
      </c>
      <c r="D205" s="67">
        <f>IF(COUNTIF($G$2:$G205,$G205)=1,1,0)</f>
        <v>1</v>
      </c>
      <c r="E205" s="67" t="str">
        <f>IFERROR(VLOOKUP(База_КР_КК[[#This Row],[ИД штатной должности (S)]],'уровень защищенности'!$B$7:$F$1095,5,0),"не защищена")</f>
        <v>высокий</v>
      </c>
      <c r="F205" s="68">
        <v>500367</v>
      </c>
      <c r="G205" s="74" t="s">
        <v>2219</v>
      </c>
      <c r="H205" s="181">
        <f>INDEX('Списки данных'!$D$2:$D$1048576,MATCH(База_КР_КК[[#This Row],[Структурное подразделение]],'Списки данных'!$C$2:$C$1048576,0))</f>
        <v>1</v>
      </c>
      <c r="I205" s="80" t="s">
        <v>132</v>
      </c>
      <c r="J205" s="80" t="s">
        <v>195</v>
      </c>
      <c r="K205" s="80" t="s">
        <v>21</v>
      </c>
      <c r="L205" s="30" t="s">
        <v>194</v>
      </c>
      <c r="M205" s="68">
        <v>6</v>
      </c>
      <c r="N205" s="181" t="str">
        <f t="shared" si="3"/>
        <v>да</v>
      </c>
      <c r="O205" s="23">
        <v>44774</v>
      </c>
      <c r="P205" s="23">
        <v>44881</v>
      </c>
      <c r="Q205" s="106" t="s">
        <v>66</v>
      </c>
      <c r="R205" s="37">
        <v>62</v>
      </c>
      <c r="S205" s="39" t="s">
        <v>474</v>
      </c>
      <c r="T205" s="37">
        <v>106</v>
      </c>
      <c r="U205" s="39" t="s">
        <v>518</v>
      </c>
      <c r="V205" s="89" t="s">
        <v>192</v>
      </c>
      <c r="W205" s="89" t="s">
        <v>132</v>
      </c>
      <c r="X205" s="106" t="s">
        <v>295</v>
      </c>
      <c r="Y205" s="107" t="s">
        <v>12</v>
      </c>
      <c r="Z205" s="67">
        <f>IF(База_КР_КК[[#This Row],[Таб.номер резервиста]]="-","-",IF(OR(База_КР_КК[[#This Row],[Уровень КК]]=2,База_КР_КК[[#This Row],[Уровень КК]]=3),IF(COUNTIFS($U$2:$U205,$U205,$F$2:$F205,$F205)=1,1,0),IF(COUNTIFS($U$2:$U205,$U205,$L$2:$L205,$L205)=1,1,0)))</f>
        <v>0</v>
      </c>
      <c r="AA2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" s="106"/>
      <c r="AC205" s="51"/>
      <c r="AD205" s="106" t="s">
        <v>13</v>
      </c>
      <c r="AE205" s="38" t="s">
        <v>410</v>
      </c>
    </row>
    <row r="206" spans="1:31" ht="18" customHeight="1" x14ac:dyDescent="0.25">
      <c r="A2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6" s="79">
        <v>4</v>
      </c>
      <c r="C206" s="23">
        <v>43783</v>
      </c>
      <c r="D206" s="67">
        <f>IF(COUNTIF($G$2:$G206,$G206)=1,1,0)</f>
        <v>0</v>
      </c>
      <c r="E206" s="67" t="str">
        <f>IFERROR(VLOOKUP(База_КР_КК[[#This Row],[ИД штатной должности (S)]],'уровень защищенности'!$B$7:$F$1095,5,0),"не защищена")</f>
        <v>высокий</v>
      </c>
      <c r="F206" s="68">
        <v>500367</v>
      </c>
      <c r="G206" s="74" t="s">
        <v>2219</v>
      </c>
      <c r="H206" s="181">
        <f>INDEX('Списки данных'!$D$2:$D$1048576,MATCH(База_КР_КК[[#This Row],[Структурное подразделение]],'Списки данных'!$C$2:$C$1048576,0))</f>
        <v>1</v>
      </c>
      <c r="I206" s="80" t="s">
        <v>132</v>
      </c>
      <c r="J206" s="80" t="s">
        <v>195</v>
      </c>
      <c r="K206" s="80" t="s">
        <v>21</v>
      </c>
      <c r="L206" s="30" t="s">
        <v>194</v>
      </c>
      <c r="M206" s="68">
        <v>6</v>
      </c>
      <c r="N206" s="181" t="str">
        <f t="shared" si="3"/>
        <v>да</v>
      </c>
      <c r="O206" s="23">
        <v>44774</v>
      </c>
      <c r="P206" s="23">
        <v>44881</v>
      </c>
      <c r="Q206" s="106" t="s">
        <v>66</v>
      </c>
      <c r="R206" s="37">
        <v>62</v>
      </c>
      <c r="S206" s="39" t="s">
        <v>474</v>
      </c>
      <c r="T206" s="37">
        <v>69</v>
      </c>
      <c r="U206" s="39" t="s">
        <v>481</v>
      </c>
      <c r="V206" s="89" t="s">
        <v>192</v>
      </c>
      <c r="W206" s="89" t="s">
        <v>132</v>
      </c>
      <c r="X206" s="106" t="s">
        <v>295</v>
      </c>
      <c r="Y206" s="107" t="s">
        <v>12</v>
      </c>
      <c r="Z206" s="67">
        <f>IF(База_КР_КК[[#This Row],[Таб.номер резервиста]]="-","-",IF(OR(База_КР_КК[[#This Row],[Уровень КК]]=2,База_КР_КК[[#This Row],[Уровень КК]]=3),IF(COUNTIFS($U$2:$U206,$U206,$F$2:$F206,$F206)=1,1,0),IF(COUNTIFS($U$2:$U206,$U206,$L$2:$L206,$L206)=1,1,0)))</f>
        <v>0</v>
      </c>
      <c r="AA2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" s="106"/>
      <c r="AC206" s="51"/>
      <c r="AD206" s="106" t="s">
        <v>13</v>
      </c>
      <c r="AE206" s="38" t="s">
        <v>410</v>
      </c>
    </row>
    <row r="207" spans="1:31" ht="18" customHeight="1" x14ac:dyDescent="0.25">
      <c r="A2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7" s="79">
        <v>4</v>
      </c>
      <c r="C207" s="23">
        <v>44897</v>
      </c>
      <c r="D207" s="67">
        <f>IF(COUNTIF($G$2:$G207,$G207)=1,1,0)</f>
        <v>0</v>
      </c>
      <c r="E207" s="67" t="str">
        <f>IFERROR(VLOOKUP(База_КР_КК[[#This Row],[ИД штатной должности (S)]],'уровень защищенности'!$B$7:$F$1095,5,0),"не защищена")</f>
        <v>высокий</v>
      </c>
      <c r="F207" s="68">
        <v>500367</v>
      </c>
      <c r="G207" s="74" t="s">
        <v>2219</v>
      </c>
      <c r="H207" s="181">
        <f>INDEX('Списки данных'!$D$2:$D$1048576,MATCH(База_КР_КК[[#This Row],[Структурное подразделение]],'Списки данных'!$C$2:$C$1048576,0))</f>
        <v>1</v>
      </c>
      <c r="I207" s="80" t="s">
        <v>132</v>
      </c>
      <c r="J207" s="80" t="s">
        <v>195</v>
      </c>
      <c r="K207" s="80" t="s">
        <v>21</v>
      </c>
      <c r="L207" s="30" t="s">
        <v>194</v>
      </c>
      <c r="M207" s="68">
        <v>6</v>
      </c>
      <c r="N207" s="181" t="str">
        <f t="shared" si="3"/>
        <v>да</v>
      </c>
      <c r="O207" s="23">
        <v>44774</v>
      </c>
      <c r="P207" s="23">
        <v>44881</v>
      </c>
      <c r="Q207" s="106" t="s">
        <v>66</v>
      </c>
      <c r="R207" s="37">
        <v>62</v>
      </c>
      <c r="S207" s="39" t="s">
        <v>474</v>
      </c>
      <c r="T207" s="37">
        <v>131</v>
      </c>
      <c r="U207" s="38" t="s">
        <v>543</v>
      </c>
      <c r="V207" s="69" t="s">
        <v>192</v>
      </c>
      <c r="W207" s="89" t="s">
        <v>132</v>
      </c>
      <c r="X207" s="106" t="s">
        <v>297</v>
      </c>
      <c r="Y207" s="107" t="s">
        <v>12</v>
      </c>
      <c r="Z207" s="67">
        <f>IF(База_КР_КК[[#This Row],[Таб.номер резервиста]]="-","-",IF(OR(База_КР_КК[[#This Row],[Уровень КК]]=2,База_КР_КК[[#This Row],[Уровень КК]]=3),IF(COUNTIFS($U$2:$U207,$U207,$F$2:$F207,$F207)=1,1,0),IF(COUNTIFS($U$2:$U207,$U207,$L$2:$L207,$L207)=1,1,0)))</f>
        <v>0</v>
      </c>
      <c r="AA2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" s="106"/>
      <c r="AC207" s="51"/>
      <c r="AD207" s="106" t="s">
        <v>15</v>
      </c>
      <c r="AE207" s="33" t="s">
        <v>410</v>
      </c>
    </row>
    <row r="208" spans="1:31" ht="18" customHeight="1" x14ac:dyDescent="0.25">
      <c r="A2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8" s="79">
        <v>4</v>
      </c>
      <c r="C208" s="23">
        <v>43783</v>
      </c>
      <c r="D208" s="67">
        <f>IF(COUNTIF($G$2:$G208,$G208)=1,1,0)</f>
        <v>0</v>
      </c>
      <c r="E208" s="67" t="str">
        <f>IFERROR(VLOOKUP(База_КР_КК[[#This Row],[ИД штатной должности (S)]],'уровень защищенности'!$B$7:$F$1095,5,0),"не защищена")</f>
        <v>высокий</v>
      </c>
      <c r="F208" s="68">
        <v>500367</v>
      </c>
      <c r="G208" s="74" t="s">
        <v>2219</v>
      </c>
      <c r="H208" s="181">
        <f>INDEX('Списки данных'!$D$2:$D$1048576,MATCH(База_КР_КК[[#This Row],[Структурное подразделение]],'Списки данных'!$C$2:$C$1048576,0))</f>
        <v>1</v>
      </c>
      <c r="I208" s="80" t="s">
        <v>132</v>
      </c>
      <c r="J208" s="80" t="s">
        <v>195</v>
      </c>
      <c r="K208" s="80" t="s">
        <v>21</v>
      </c>
      <c r="L208" s="30" t="s">
        <v>194</v>
      </c>
      <c r="M208" s="68">
        <v>6</v>
      </c>
      <c r="N208" s="181" t="str">
        <f t="shared" si="3"/>
        <v>да</v>
      </c>
      <c r="O208" s="23">
        <v>44774</v>
      </c>
      <c r="P208" s="23">
        <v>44881</v>
      </c>
      <c r="Q208" s="106" t="s">
        <v>66</v>
      </c>
      <c r="R208" s="37">
        <v>62</v>
      </c>
      <c r="S208" s="38" t="s">
        <v>474</v>
      </c>
      <c r="T208" s="37">
        <v>62</v>
      </c>
      <c r="U208" s="39" t="s">
        <v>474</v>
      </c>
      <c r="V208" s="89" t="s">
        <v>194</v>
      </c>
      <c r="W208" s="89" t="s">
        <v>132</v>
      </c>
      <c r="X208" s="106" t="s">
        <v>295</v>
      </c>
      <c r="Y208" s="107" t="s">
        <v>14</v>
      </c>
      <c r="Z208" s="67">
        <f>IF(База_КР_КК[[#This Row],[Таб.номер резервиста]]="-","-",IF(OR(База_КР_КК[[#This Row],[Уровень КК]]=2,База_КР_КК[[#This Row],[Уровень КК]]=3),IF(COUNTIFS($U$2:$U208,$U208,$F$2:$F208,$F208)=1,1,0),IF(COUNTIFS($U$2:$U208,$U208,$L$2:$L208,$L208)=1,1,0)))</f>
        <v>1</v>
      </c>
      <c r="AA2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08" s="106" t="s">
        <v>24</v>
      </c>
      <c r="AC208" s="51">
        <v>44881</v>
      </c>
      <c r="AD208" s="106" t="s">
        <v>13</v>
      </c>
      <c r="AE208" s="38" t="s">
        <v>315</v>
      </c>
    </row>
    <row r="209" spans="1:31" ht="18" customHeight="1" x14ac:dyDescent="0.25">
      <c r="A2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09" s="79">
        <v>4</v>
      </c>
      <c r="C209" s="23">
        <v>43783</v>
      </c>
      <c r="D209" s="67">
        <f>IF(COUNTIF($G$2:$G209,$G209)=1,1,0)</f>
        <v>0</v>
      </c>
      <c r="E209" s="67" t="str">
        <f>IFERROR(VLOOKUP(База_КР_КК[[#This Row],[ИД штатной должности (S)]],'уровень защищенности'!$B$7:$F$1095,5,0),"не защищена")</f>
        <v>высокий</v>
      </c>
      <c r="F209" s="68">
        <v>500367</v>
      </c>
      <c r="G209" s="74" t="s">
        <v>2219</v>
      </c>
      <c r="H209" s="181">
        <f>INDEX('Списки данных'!$D$2:$D$1048576,MATCH(База_КР_КК[[#This Row],[Структурное подразделение]],'Списки данных'!$C$2:$C$1048576,0))</f>
        <v>1</v>
      </c>
      <c r="I209" s="80" t="s">
        <v>132</v>
      </c>
      <c r="J209" s="80" t="s">
        <v>195</v>
      </c>
      <c r="K209" s="80" t="s">
        <v>21</v>
      </c>
      <c r="L209" s="30" t="s">
        <v>194</v>
      </c>
      <c r="M209" s="68">
        <v>6</v>
      </c>
      <c r="N209" s="181" t="str">
        <f t="shared" si="3"/>
        <v>да</v>
      </c>
      <c r="O209" s="23">
        <v>44774</v>
      </c>
      <c r="P209" s="23">
        <v>44881</v>
      </c>
      <c r="Q209" s="106" t="s">
        <v>66</v>
      </c>
      <c r="R209" s="37">
        <v>62</v>
      </c>
      <c r="S209" s="38" t="s">
        <v>474</v>
      </c>
      <c r="T209" s="37">
        <v>129</v>
      </c>
      <c r="U209" s="39" t="s">
        <v>541</v>
      </c>
      <c r="V209" s="89" t="s">
        <v>191</v>
      </c>
      <c r="W209" s="89" t="s">
        <v>132</v>
      </c>
      <c r="X209" s="106" t="s">
        <v>295</v>
      </c>
      <c r="Y209" s="107" t="s">
        <v>18</v>
      </c>
      <c r="Z209" s="67">
        <f>IF(База_КР_КК[[#This Row],[Таб.номер резервиста]]="-","-",IF(OR(База_КР_КК[[#This Row],[Уровень КК]]=2,База_КР_КК[[#This Row],[Уровень КК]]=3),IF(COUNTIFS($U$2:$U209,$U209,$F$2:$F209,$F209)=1,1,0),IF(COUNTIFS($U$2:$U209,$U209,$L$2:$L209,$L209)=1,1,0)))</f>
        <v>0</v>
      </c>
      <c r="AA2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" s="106" t="s">
        <v>24</v>
      </c>
      <c r="AC209" s="51">
        <v>44629</v>
      </c>
      <c r="AD209" s="106" t="s">
        <v>17</v>
      </c>
      <c r="AE209" s="38" t="s">
        <v>315</v>
      </c>
    </row>
    <row r="210" spans="1:31" ht="18" customHeight="1" x14ac:dyDescent="0.25">
      <c r="A2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0" s="79">
        <v>4</v>
      </c>
      <c r="C210" s="23">
        <v>43783</v>
      </c>
      <c r="D210" s="67">
        <f>IF(COUNTIF($G$2:$G210,$G210)=1,1,0)</f>
        <v>1</v>
      </c>
      <c r="E210" s="67" t="str">
        <f>IFERROR(VLOOKUP(База_КР_КК[[#This Row],[ИД штатной должности (S)]],'уровень защищенности'!$B$7:$F$1095,5,0),"не защищена")</f>
        <v>высокий</v>
      </c>
      <c r="F210" s="68">
        <v>500367</v>
      </c>
      <c r="G210" s="74" t="s">
        <v>2220</v>
      </c>
      <c r="H210" s="181">
        <f>INDEX('Списки данных'!$D$2:$D$1048576,MATCH(База_КР_КК[[#This Row],[Структурное подразделение]],'Списки данных'!$C$2:$C$1048576,0))</f>
        <v>1</v>
      </c>
      <c r="I210" s="80" t="s">
        <v>132</v>
      </c>
      <c r="J210" s="80" t="s">
        <v>195</v>
      </c>
      <c r="K210" s="80" t="s">
        <v>21</v>
      </c>
      <c r="L210" s="30" t="s">
        <v>194</v>
      </c>
      <c r="M210" s="68">
        <v>6</v>
      </c>
      <c r="N210" s="181" t="str">
        <f t="shared" si="3"/>
        <v>нет</v>
      </c>
      <c r="O210" s="23"/>
      <c r="P210" s="23"/>
      <c r="Q210" s="106"/>
      <c r="R210" s="37">
        <v>63</v>
      </c>
      <c r="S210" s="38" t="s">
        <v>475</v>
      </c>
      <c r="T210" s="37">
        <v>106</v>
      </c>
      <c r="U210" s="39" t="s">
        <v>518</v>
      </c>
      <c r="V210" s="89" t="s">
        <v>192</v>
      </c>
      <c r="W210" s="89" t="s">
        <v>132</v>
      </c>
      <c r="X210" s="106" t="s">
        <v>295</v>
      </c>
      <c r="Y210" s="107" t="s">
        <v>12</v>
      </c>
      <c r="Z210" s="67">
        <f>IF(База_КР_КК[[#This Row],[Таб.номер резервиста]]="-","-",IF(OR(База_КР_КК[[#This Row],[Уровень КК]]=2,База_КР_КК[[#This Row],[Уровень КК]]=3),IF(COUNTIFS($U$2:$U210,$U210,$F$2:$F210,$F210)=1,1,0),IF(COUNTIFS($U$2:$U210,$U210,$L$2:$L210,$L210)=1,1,0)))</f>
        <v>0</v>
      </c>
      <c r="AA2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" s="106"/>
      <c r="AC210" s="51"/>
      <c r="AD210" s="106" t="s">
        <v>13</v>
      </c>
      <c r="AE210" s="38" t="s">
        <v>410</v>
      </c>
    </row>
    <row r="211" spans="1:31" ht="18" customHeight="1" x14ac:dyDescent="0.25">
      <c r="A2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1" s="79">
        <v>4</v>
      </c>
      <c r="C211" s="23">
        <v>43783</v>
      </c>
      <c r="D211" s="67">
        <f>IF(COUNTIF($G$2:$G211,$G211)=1,1,0)</f>
        <v>0</v>
      </c>
      <c r="E211" s="67" t="str">
        <f>IFERROR(VLOOKUP(База_КР_КК[[#This Row],[ИД штатной должности (S)]],'уровень защищенности'!$B$7:$F$1095,5,0),"не защищена")</f>
        <v>высокий</v>
      </c>
      <c r="F211" s="68">
        <v>500367</v>
      </c>
      <c r="G211" s="74" t="s">
        <v>2220</v>
      </c>
      <c r="H211" s="181">
        <f>INDEX('Списки данных'!$D$2:$D$1048576,MATCH(База_КР_КК[[#This Row],[Структурное подразделение]],'Списки данных'!$C$2:$C$1048576,0))</f>
        <v>1</v>
      </c>
      <c r="I211" s="80" t="s">
        <v>132</v>
      </c>
      <c r="J211" s="80" t="s">
        <v>195</v>
      </c>
      <c r="K211" s="80" t="s">
        <v>21</v>
      </c>
      <c r="L211" s="30" t="s">
        <v>194</v>
      </c>
      <c r="M211" s="68">
        <v>6</v>
      </c>
      <c r="N211" s="181" t="str">
        <f t="shared" si="3"/>
        <v>нет</v>
      </c>
      <c r="O211" s="23"/>
      <c r="P211" s="23"/>
      <c r="Q211" s="106"/>
      <c r="R211" s="37">
        <v>63</v>
      </c>
      <c r="S211" s="38" t="s">
        <v>475</v>
      </c>
      <c r="T211" s="37">
        <v>69</v>
      </c>
      <c r="U211" s="39" t="s">
        <v>481</v>
      </c>
      <c r="V211" s="89" t="s">
        <v>192</v>
      </c>
      <c r="W211" s="89" t="s">
        <v>132</v>
      </c>
      <c r="X211" s="106" t="s">
        <v>295</v>
      </c>
      <c r="Y211" s="107" t="s">
        <v>12</v>
      </c>
      <c r="Z211" s="67">
        <f>IF(База_КР_КК[[#This Row],[Таб.номер резервиста]]="-","-",IF(OR(База_КР_КК[[#This Row],[Уровень КК]]=2,База_КР_КК[[#This Row],[Уровень КК]]=3),IF(COUNTIFS($U$2:$U211,$U211,$F$2:$F211,$F211)=1,1,0),IF(COUNTIFS($U$2:$U211,$U211,$L$2:$L211,$L211)=1,1,0)))</f>
        <v>0</v>
      </c>
      <c r="AA2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" s="106"/>
      <c r="AC211" s="51"/>
      <c r="AD211" s="106" t="s">
        <v>13</v>
      </c>
      <c r="AE211" s="38" t="s">
        <v>410</v>
      </c>
    </row>
    <row r="212" spans="1:31" ht="18" customHeight="1" x14ac:dyDescent="0.25">
      <c r="A2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2" s="79">
        <v>4</v>
      </c>
      <c r="C212" s="23">
        <v>44897</v>
      </c>
      <c r="D212" s="67">
        <f>IF(COUNTIF($G$2:$G212,$G212)=1,1,0)</f>
        <v>0</v>
      </c>
      <c r="E212" s="67" t="str">
        <f>IFERROR(VLOOKUP(База_КР_КК[[#This Row],[ИД штатной должности (S)]],'уровень защищенности'!$B$7:$F$1095,5,0),"не защищена")</f>
        <v>высокий</v>
      </c>
      <c r="F212" s="68">
        <v>500367</v>
      </c>
      <c r="G212" s="74" t="s">
        <v>2220</v>
      </c>
      <c r="H212" s="181">
        <f>INDEX('Списки данных'!$D$2:$D$1048576,MATCH(База_КР_КК[[#This Row],[Структурное подразделение]],'Списки данных'!$C$2:$C$1048576,0))</f>
        <v>1</v>
      </c>
      <c r="I212" s="80" t="s">
        <v>132</v>
      </c>
      <c r="J212" s="80" t="s">
        <v>195</v>
      </c>
      <c r="K212" s="80" t="s">
        <v>21</v>
      </c>
      <c r="L212" s="30" t="s">
        <v>194</v>
      </c>
      <c r="M212" s="68">
        <v>6</v>
      </c>
      <c r="N212" s="181" t="str">
        <f t="shared" si="3"/>
        <v>нет</v>
      </c>
      <c r="O212" s="23"/>
      <c r="P212" s="23"/>
      <c r="Q212" s="106"/>
      <c r="R212" s="37">
        <v>63</v>
      </c>
      <c r="S212" s="39" t="s">
        <v>475</v>
      </c>
      <c r="T212" s="37">
        <v>131</v>
      </c>
      <c r="U212" s="38" t="s">
        <v>543</v>
      </c>
      <c r="V212" s="69" t="s">
        <v>192</v>
      </c>
      <c r="W212" s="89" t="s">
        <v>132</v>
      </c>
      <c r="X212" s="106" t="s">
        <v>297</v>
      </c>
      <c r="Y212" s="107" t="s">
        <v>12</v>
      </c>
      <c r="Z212" s="67">
        <f>IF(База_КР_КК[[#This Row],[Таб.номер резервиста]]="-","-",IF(OR(База_КР_КК[[#This Row],[Уровень КК]]=2,База_КР_КК[[#This Row],[Уровень КК]]=3),IF(COUNTIFS($U$2:$U212,$U212,$F$2:$F212,$F212)=1,1,0),IF(COUNTIFS($U$2:$U212,$U212,$L$2:$L212,$L212)=1,1,0)))</f>
        <v>0</v>
      </c>
      <c r="AA2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" s="106"/>
      <c r="AC212" s="51"/>
      <c r="AD212" s="106" t="s">
        <v>15</v>
      </c>
      <c r="AE212" s="33" t="s">
        <v>410</v>
      </c>
    </row>
    <row r="213" spans="1:31" ht="18" customHeight="1" x14ac:dyDescent="0.25">
      <c r="A2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3" s="79">
        <v>4</v>
      </c>
      <c r="C213" s="23">
        <v>43783</v>
      </c>
      <c r="D213" s="67">
        <f>IF(COUNTIF($G$2:$G213,$G213)=1,1,0)</f>
        <v>0</v>
      </c>
      <c r="E213" s="67" t="str">
        <f>IFERROR(VLOOKUP(База_КР_КК[[#This Row],[ИД штатной должности (S)]],'уровень защищенности'!$B$7:$F$1095,5,0),"не защищена")</f>
        <v>высокий</v>
      </c>
      <c r="F213" s="68">
        <v>500367</v>
      </c>
      <c r="G213" s="74" t="s">
        <v>2220</v>
      </c>
      <c r="H213" s="181">
        <f>INDEX('Списки данных'!$D$2:$D$1048576,MATCH(База_КР_КК[[#This Row],[Структурное подразделение]],'Списки данных'!$C$2:$C$1048576,0))</f>
        <v>1</v>
      </c>
      <c r="I213" s="80" t="s">
        <v>132</v>
      </c>
      <c r="J213" s="80" t="s">
        <v>195</v>
      </c>
      <c r="K213" s="80" t="s">
        <v>21</v>
      </c>
      <c r="L213" s="30" t="s">
        <v>194</v>
      </c>
      <c r="M213" s="68">
        <v>6</v>
      </c>
      <c r="N213" s="181" t="str">
        <f t="shared" si="3"/>
        <v>нет</v>
      </c>
      <c r="O213" s="23"/>
      <c r="P213" s="23"/>
      <c r="Q213" s="106"/>
      <c r="R213" s="37">
        <v>63</v>
      </c>
      <c r="S213" s="38" t="s">
        <v>475</v>
      </c>
      <c r="T213" s="37">
        <v>129</v>
      </c>
      <c r="U213" s="39" t="s">
        <v>541</v>
      </c>
      <c r="V213" s="89" t="s">
        <v>191</v>
      </c>
      <c r="W213" s="89" t="s">
        <v>132</v>
      </c>
      <c r="X213" s="106" t="s">
        <v>295</v>
      </c>
      <c r="Y213" s="107" t="s">
        <v>18</v>
      </c>
      <c r="Z213" s="67">
        <f>IF(База_КР_КК[[#This Row],[Таб.номер резервиста]]="-","-",IF(OR(База_КР_КК[[#This Row],[Уровень КК]]=2,База_КР_КК[[#This Row],[Уровень КК]]=3),IF(COUNTIFS($U$2:$U213,$U213,$F$2:$F213,$F213)=1,1,0),IF(COUNTIFS($U$2:$U213,$U213,$L$2:$L213,$L213)=1,1,0)))</f>
        <v>0</v>
      </c>
      <c r="AA2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" s="106" t="s">
        <v>24</v>
      </c>
      <c r="AC213" s="51">
        <v>44629</v>
      </c>
      <c r="AD213" s="106" t="s">
        <v>17</v>
      </c>
      <c r="AE213" s="38" t="s">
        <v>315</v>
      </c>
    </row>
    <row r="214" spans="1:31" ht="18" customHeight="1" x14ac:dyDescent="0.25">
      <c r="A2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4" s="79">
        <v>4</v>
      </c>
      <c r="C214" s="23">
        <v>44897</v>
      </c>
      <c r="D214" s="67">
        <f>IF(COUNTIF($G$2:$G214,$G214)=1,1,0)</f>
        <v>1</v>
      </c>
      <c r="E214" s="67" t="str">
        <f>IFERROR(VLOOKUP(База_КР_КК[[#This Row],[ИД штатной должности (S)]],'уровень защищенности'!$B$7:$F$1095,5,0),"не защищена")</f>
        <v>низкий</v>
      </c>
      <c r="F214" s="68">
        <v>500368</v>
      </c>
      <c r="G214" s="74" t="s">
        <v>2221</v>
      </c>
      <c r="H214" s="181">
        <f>INDEX('Списки данных'!$D$2:$D$1048576,MATCH(База_КР_КК[[#This Row],[Структурное подразделение]],'Списки данных'!$C$2:$C$1048576,0))</f>
        <v>1</v>
      </c>
      <c r="I214" s="80" t="s">
        <v>132</v>
      </c>
      <c r="J214" s="80" t="s">
        <v>21</v>
      </c>
      <c r="K214" s="80" t="s">
        <v>21</v>
      </c>
      <c r="L214" s="30" t="s">
        <v>189</v>
      </c>
      <c r="M214" s="68">
        <v>6</v>
      </c>
      <c r="N214" s="181" t="str">
        <f t="shared" si="3"/>
        <v>нет</v>
      </c>
      <c r="O214" s="23"/>
      <c r="P214" s="23"/>
      <c r="Q214" s="107"/>
      <c r="R214" s="37">
        <v>64</v>
      </c>
      <c r="S214" s="39" t="s">
        <v>476</v>
      </c>
      <c r="T214" s="37">
        <v>1173</v>
      </c>
      <c r="U214" s="38" t="s">
        <v>1582</v>
      </c>
      <c r="V214" s="69" t="s">
        <v>16</v>
      </c>
      <c r="W214" s="89" t="s">
        <v>132</v>
      </c>
      <c r="X214" s="106" t="s">
        <v>296</v>
      </c>
      <c r="Y214" s="107" t="s">
        <v>12</v>
      </c>
      <c r="Z214" s="67">
        <f>IF(База_КР_КК[[#This Row],[Таб.номер резервиста]]="-","-",IF(OR(База_КР_КК[[#This Row],[Уровень КК]]=2,База_КР_КК[[#This Row],[Уровень КК]]=3),IF(COUNTIFS($U$2:$U214,$U214,$F$2:$F214,$F214)=1,1,0),IF(COUNTIFS($U$2:$U214,$U214,$L$2:$L214,$L214)=1,1,0)))</f>
        <v>1</v>
      </c>
      <c r="AA2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" s="106"/>
      <c r="AC214" s="51"/>
      <c r="AD214" s="106" t="s">
        <v>15</v>
      </c>
      <c r="AE214" s="33" t="s">
        <v>410</v>
      </c>
    </row>
    <row r="215" spans="1:31" ht="18" customHeight="1" x14ac:dyDescent="0.25">
      <c r="A2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5" s="79">
        <v>4</v>
      </c>
      <c r="C215" s="23">
        <v>43783</v>
      </c>
      <c r="D215" s="67">
        <f>IF(COUNTIF($G$2:$G215,$G215)=1,1,0)</f>
        <v>0</v>
      </c>
      <c r="E215" s="67" t="str">
        <f>IFERROR(VLOOKUP(База_КР_КК[[#This Row],[ИД штатной должности (S)]],'уровень защищенности'!$B$7:$F$1095,5,0),"не защищена")</f>
        <v>низкий</v>
      </c>
      <c r="F215" s="68">
        <v>500368</v>
      </c>
      <c r="G215" s="74" t="s">
        <v>2221</v>
      </c>
      <c r="H215" s="181">
        <f>INDEX('Списки данных'!$D$2:$D$1048576,MATCH(База_КР_КК[[#This Row],[Структурное подразделение]],'Списки данных'!$C$2:$C$1048576,0))</f>
        <v>1</v>
      </c>
      <c r="I215" s="80" t="s">
        <v>132</v>
      </c>
      <c r="J215" s="80" t="s">
        <v>21</v>
      </c>
      <c r="K215" s="80" t="s">
        <v>21</v>
      </c>
      <c r="L215" s="30" t="s">
        <v>189</v>
      </c>
      <c r="M215" s="68">
        <v>6</v>
      </c>
      <c r="N215" s="181" t="str">
        <f t="shared" si="3"/>
        <v>нет</v>
      </c>
      <c r="O215" s="23"/>
      <c r="P215" s="23"/>
      <c r="Q215" s="107"/>
      <c r="R215" s="37">
        <v>64</v>
      </c>
      <c r="S215" s="38" t="s">
        <v>476</v>
      </c>
      <c r="T215" s="37">
        <v>136</v>
      </c>
      <c r="U215" s="39" t="s">
        <v>548</v>
      </c>
      <c r="V215" s="89" t="s">
        <v>272</v>
      </c>
      <c r="W215" s="89" t="s">
        <v>125</v>
      </c>
      <c r="X215" s="106" t="s">
        <v>295</v>
      </c>
      <c r="Y215" s="107" t="s">
        <v>14</v>
      </c>
      <c r="Z215" s="67">
        <f>IF(База_КР_КК[[#This Row],[Таб.номер резервиста]]="-","-",IF(OR(База_КР_КК[[#This Row],[Уровень КК]]=2,База_КР_КК[[#This Row],[Уровень КК]]=3),IF(COUNTIFS($U$2:$U215,$U215,$F$2:$F215,$F215)=1,1,0),IF(COUNTIFS($U$2:$U215,$U215,$L$2:$L215,$L215)=1,1,0)))</f>
        <v>1</v>
      </c>
      <c r="AA2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" s="106" t="s">
        <v>24</v>
      </c>
      <c r="AC215" s="51">
        <v>44151</v>
      </c>
      <c r="AD215" s="106" t="s">
        <v>13</v>
      </c>
      <c r="AE215" s="38" t="s">
        <v>315</v>
      </c>
    </row>
    <row r="216" spans="1:31" ht="18" customHeight="1" x14ac:dyDescent="0.25">
      <c r="A2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6" s="79">
        <v>4</v>
      </c>
      <c r="C216" s="23">
        <v>44897</v>
      </c>
      <c r="D216" s="67">
        <f>IF(COUNTIF($G$2:$G216,$G216)=1,1,0)</f>
        <v>1</v>
      </c>
      <c r="E216" s="67" t="str">
        <f>IFERROR(VLOOKUP(База_КР_КК[[#This Row],[ИД штатной должности (S)]],'уровень защищенности'!$B$7:$F$1095,5,0),"не защищена")</f>
        <v>низкий</v>
      </c>
      <c r="F216" s="68">
        <v>500372</v>
      </c>
      <c r="G216" s="74" t="s">
        <v>2222</v>
      </c>
      <c r="H216" s="181">
        <f>INDEX('Списки данных'!$D$2:$D$1048576,MATCH(База_КР_КК[[#This Row],[Структурное подразделение]],'Списки данных'!$C$2:$C$1048576,0))</f>
        <v>1</v>
      </c>
      <c r="I216" s="80" t="s">
        <v>132</v>
      </c>
      <c r="J216" s="80" t="s">
        <v>195</v>
      </c>
      <c r="K216" s="80" t="s">
        <v>21</v>
      </c>
      <c r="L216" s="30" t="s">
        <v>192</v>
      </c>
      <c r="M216" s="68">
        <v>6</v>
      </c>
      <c r="N216" s="181" t="str">
        <f t="shared" si="3"/>
        <v>да</v>
      </c>
      <c r="O216" s="23">
        <v>44890</v>
      </c>
      <c r="P216" s="23">
        <v>44896</v>
      </c>
      <c r="Q216" s="106" t="s">
        <v>66</v>
      </c>
      <c r="R216" s="37">
        <v>65</v>
      </c>
      <c r="S216" s="39" t="s">
        <v>477</v>
      </c>
      <c r="T216" s="37">
        <v>1174</v>
      </c>
      <c r="U216" s="38" t="s">
        <v>1545</v>
      </c>
      <c r="V216" s="69" t="s">
        <v>272</v>
      </c>
      <c r="W216" s="89" t="s">
        <v>132</v>
      </c>
      <c r="X216" s="106" t="s">
        <v>296</v>
      </c>
      <c r="Y216" s="107" t="s">
        <v>12</v>
      </c>
      <c r="Z216" s="67">
        <f>IF(База_КР_КК[[#This Row],[Таб.номер резервиста]]="-","-",IF(OR(База_КР_КК[[#This Row],[Уровень КК]]=2,База_КР_КК[[#This Row],[Уровень КК]]=3),IF(COUNTIFS($U$2:$U216,$U216,$F$2:$F216,$F216)=1,1,0),IF(COUNTIFS($U$2:$U216,$U216,$L$2:$L216,$L216)=1,1,0)))</f>
        <v>1</v>
      </c>
      <c r="AA2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" s="106"/>
      <c r="AC216" s="51"/>
      <c r="AD216" s="106" t="s">
        <v>15</v>
      </c>
      <c r="AE216" s="33" t="s">
        <v>410</v>
      </c>
    </row>
    <row r="217" spans="1:31" ht="18" customHeight="1" x14ac:dyDescent="0.25">
      <c r="A2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7" s="79">
        <v>4</v>
      </c>
      <c r="C217" s="23">
        <v>44897</v>
      </c>
      <c r="D217" s="67">
        <f>IF(COUNTIF($G$2:$G217,$G217)=1,1,0)</f>
        <v>0</v>
      </c>
      <c r="E217" s="67" t="str">
        <f>IFERROR(VLOOKUP(База_КР_КК[[#This Row],[ИД штатной должности (S)]],'уровень защищенности'!$B$7:$F$1095,5,0),"не защищена")</f>
        <v>низкий</v>
      </c>
      <c r="F217" s="68">
        <v>500372</v>
      </c>
      <c r="G217" s="74" t="s">
        <v>2222</v>
      </c>
      <c r="H217" s="181">
        <f>INDEX('Списки данных'!$D$2:$D$1048576,MATCH(База_КР_КК[[#This Row],[Структурное подразделение]],'Списки данных'!$C$2:$C$1048576,0))</f>
        <v>1</v>
      </c>
      <c r="I217" s="80" t="s">
        <v>132</v>
      </c>
      <c r="J217" s="80" t="s">
        <v>195</v>
      </c>
      <c r="K217" s="80" t="s">
        <v>21</v>
      </c>
      <c r="L217" s="30" t="s">
        <v>192</v>
      </c>
      <c r="M217" s="68">
        <v>6</v>
      </c>
      <c r="N217" s="181" t="str">
        <f t="shared" si="3"/>
        <v>да</v>
      </c>
      <c r="O217" s="23">
        <v>44890</v>
      </c>
      <c r="P217" s="23">
        <v>44896</v>
      </c>
      <c r="Q217" s="106" t="s">
        <v>66</v>
      </c>
      <c r="R217" s="37">
        <v>65</v>
      </c>
      <c r="S217" s="39" t="s">
        <v>477</v>
      </c>
      <c r="T217" s="37">
        <v>1175</v>
      </c>
      <c r="U217" s="38" t="s">
        <v>1583</v>
      </c>
      <c r="V217" s="69" t="s">
        <v>272</v>
      </c>
      <c r="W217" s="89" t="s">
        <v>132</v>
      </c>
      <c r="X217" s="106" t="s">
        <v>296</v>
      </c>
      <c r="Y217" s="107" t="s">
        <v>12</v>
      </c>
      <c r="Z217" s="67">
        <f>IF(База_КР_КК[[#This Row],[Таб.номер резервиста]]="-","-",IF(OR(База_КР_КК[[#This Row],[Уровень КК]]=2,База_КР_КК[[#This Row],[Уровень КК]]=3),IF(COUNTIFS($U$2:$U217,$U217,$F$2:$F217,$F217)=1,1,0),IF(COUNTIFS($U$2:$U217,$U217,$L$2:$L217,$L217)=1,1,0)))</f>
        <v>1</v>
      </c>
      <c r="AA2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" s="106"/>
      <c r="AC217" s="51"/>
      <c r="AD217" s="106" t="s">
        <v>15</v>
      </c>
      <c r="AE217" s="33" t="s">
        <v>410</v>
      </c>
    </row>
    <row r="218" spans="1:31" ht="18" customHeight="1" x14ac:dyDescent="0.25">
      <c r="A2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8" s="79">
        <v>4</v>
      </c>
      <c r="C218" s="23">
        <v>43783</v>
      </c>
      <c r="D218" s="67">
        <f>IF(COUNTIF($G$2:$G218,$G218)=1,1,0)</f>
        <v>0</v>
      </c>
      <c r="E218" s="67" t="str">
        <f>IFERROR(VLOOKUP(База_КР_КК[[#This Row],[ИД штатной должности (S)]],'уровень защищенности'!$B$7:$F$1095,5,0),"не защищена")</f>
        <v>низкий</v>
      </c>
      <c r="F218" s="68">
        <v>500372</v>
      </c>
      <c r="G218" s="74" t="s">
        <v>2222</v>
      </c>
      <c r="H218" s="181">
        <f>INDEX('Списки данных'!$D$2:$D$1048576,MATCH(База_КР_КК[[#This Row],[Структурное подразделение]],'Списки данных'!$C$2:$C$1048576,0))</f>
        <v>1</v>
      </c>
      <c r="I218" s="80" t="s">
        <v>132</v>
      </c>
      <c r="J218" s="80" t="s">
        <v>195</v>
      </c>
      <c r="K218" s="80" t="s">
        <v>21</v>
      </c>
      <c r="L218" s="30" t="s">
        <v>192</v>
      </c>
      <c r="M218" s="68">
        <v>6</v>
      </c>
      <c r="N218" s="181" t="str">
        <f t="shared" si="3"/>
        <v>да</v>
      </c>
      <c r="O218" s="23">
        <v>44890</v>
      </c>
      <c r="P218" s="23">
        <v>44896</v>
      </c>
      <c r="Q218" s="106" t="s">
        <v>66</v>
      </c>
      <c r="R218" s="37">
        <v>65</v>
      </c>
      <c r="S218" s="39" t="s">
        <v>477</v>
      </c>
      <c r="T218" s="37">
        <v>65</v>
      </c>
      <c r="U218" s="39" t="s">
        <v>477</v>
      </c>
      <c r="V218" s="89" t="s">
        <v>272</v>
      </c>
      <c r="W218" s="89" t="s">
        <v>132</v>
      </c>
      <c r="X218" s="106" t="s">
        <v>295</v>
      </c>
      <c r="Y218" s="107" t="s">
        <v>14</v>
      </c>
      <c r="Z218" s="67">
        <f>IF(База_КР_КК[[#This Row],[Таб.номер резервиста]]="-","-",IF(OR(База_КР_КК[[#This Row],[Уровень КК]]=2,База_КР_КК[[#This Row],[Уровень КК]]=3),IF(COUNTIFS($U$2:$U218,$U218,$F$2:$F218,$F218)=1,1,0),IF(COUNTIFS($U$2:$U218,$U218,$L$2:$L218,$L218)=1,1,0)))</f>
        <v>1</v>
      </c>
      <c r="AA2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18" s="106" t="s">
        <v>24</v>
      </c>
      <c r="AC218" s="51">
        <v>44896</v>
      </c>
      <c r="AD218" s="106" t="s">
        <v>17</v>
      </c>
      <c r="AE218" s="38" t="s">
        <v>315</v>
      </c>
    </row>
    <row r="219" spans="1:31" ht="18" customHeight="1" x14ac:dyDescent="0.25">
      <c r="A2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19" s="79">
        <v>4</v>
      </c>
      <c r="C219" s="23">
        <v>43783</v>
      </c>
      <c r="D219" s="67">
        <f>IF(COUNTIF($G$2:$G219,$G219)=1,1,0)</f>
        <v>1</v>
      </c>
      <c r="E219" s="67" t="str">
        <f>IFERROR(VLOOKUP(База_КР_КК[[#This Row],[ИД штатной должности (S)]],'уровень защищенности'!$B$7:$F$1095,5,0),"не защищена")</f>
        <v>высокий</v>
      </c>
      <c r="F219" s="68">
        <v>500373</v>
      </c>
      <c r="G219" s="74" t="s">
        <v>2223</v>
      </c>
      <c r="H219" s="181">
        <f>INDEX('Списки данных'!$D$2:$D$1048576,MATCH(База_КР_КК[[#This Row],[Структурное подразделение]],'Списки данных'!$C$2:$C$1048576,0))</f>
        <v>1</v>
      </c>
      <c r="I219" s="80" t="s">
        <v>132</v>
      </c>
      <c r="J219" s="80" t="s">
        <v>195</v>
      </c>
      <c r="K219" s="80" t="s">
        <v>196</v>
      </c>
      <c r="L219" s="30" t="s">
        <v>191</v>
      </c>
      <c r="M219" s="68">
        <v>6</v>
      </c>
      <c r="N219" s="181" t="str">
        <f t="shared" si="3"/>
        <v>да</v>
      </c>
      <c r="O219" s="23">
        <v>44773</v>
      </c>
      <c r="P219" s="23">
        <v>44788</v>
      </c>
      <c r="Q219" s="106" t="s">
        <v>66</v>
      </c>
      <c r="R219" s="37">
        <v>66</v>
      </c>
      <c r="S219" s="39" t="s">
        <v>478</v>
      </c>
      <c r="T219" s="37">
        <v>1176</v>
      </c>
      <c r="U219" s="39" t="s">
        <v>1584</v>
      </c>
      <c r="V219" s="89" t="s">
        <v>272</v>
      </c>
      <c r="W219" s="89" t="s">
        <v>132</v>
      </c>
      <c r="X219" s="106" t="s">
        <v>295</v>
      </c>
      <c r="Y219" s="107" t="s">
        <v>12</v>
      </c>
      <c r="Z219" s="67">
        <f>IF(База_КР_КК[[#This Row],[Таб.номер резервиста]]="-","-",IF(OR(База_КР_КК[[#This Row],[Уровень КК]]=2,База_КР_КК[[#This Row],[Уровень КК]]=3),IF(COUNTIFS($U$2:$U219,$U219,$F$2:$F219,$F219)=1,1,0),IF(COUNTIFS($U$2:$U219,$U219,$L$2:$L219,$L219)=1,1,0)))</f>
        <v>1</v>
      </c>
      <c r="AA2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" s="106"/>
      <c r="AC219" s="51"/>
      <c r="AD219" s="106" t="s">
        <v>13</v>
      </c>
      <c r="AE219" s="38" t="s">
        <v>410</v>
      </c>
    </row>
    <row r="220" spans="1:31" ht="18" customHeight="1" x14ac:dyDescent="0.25">
      <c r="A2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0" s="79">
        <v>4</v>
      </c>
      <c r="C220" s="23">
        <v>43783</v>
      </c>
      <c r="D220" s="67">
        <f>IF(COUNTIF($G$2:$G220,$G220)=1,1,0)</f>
        <v>0</v>
      </c>
      <c r="E220" s="67" t="str">
        <f>IFERROR(VLOOKUP(База_КР_КК[[#This Row],[ИД штатной должности (S)]],'уровень защищенности'!$B$7:$F$1095,5,0),"не защищена")</f>
        <v>высокий</v>
      </c>
      <c r="F220" s="68">
        <v>500373</v>
      </c>
      <c r="G220" s="74" t="s">
        <v>2223</v>
      </c>
      <c r="H220" s="181">
        <f>INDEX('Списки данных'!$D$2:$D$1048576,MATCH(База_КР_КК[[#This Row],[Структурное подразделение]],'Списки данных'!$C$2:$C$1048576,0))</f>
        <v>1</v>
      </c>
      <c r="I220" s="80" t="s">
        <v>132</v>
      </c>
      <c r="J220" s="80" t="s">
        <v>195</v>
      </c>
      <c r="K220" s="80" t="s">
        <v>196</v>
      </c>
      <c r="L220" s="30" t="s">
        <v>191</v>
      </c>
      <c r="M220" s="68">
        <v>6</v>
      </c>
      <c r="N220" s="181" t="str">
        <f t="shared" si="3"/>
        <v>да</v>
      </c>
      <c r="O220" s="23">
        <v>44773</v>
      </c>
      <c r="P220" s="23">
        <v>44788</v>
      </c>
      <c r="Q220" s="106" t="s">
        <v>66</v>
      </c>
      <c r="R220" s="37">
        <v>66</v>
      </c>
      <c r="S220" s="39" t="s">
        <v>478</v>
      </c>
      <c r="T220" s="37">
        <v>1177</v>
      </c>
      <c r="U220" s="39" t="s">
        <v>1585</v>
      </c>
      <c r="V220" s="89" t="s">
        <v>272</v>
      </c>
      <c r="W220" s="89" t="s">
        <v>132</v>
      </c>
      <c r="X220" s="106" t="s">
        <v>295</v>
      </c>
      <c r="Y220" s="107" t="s">
        <v>12</v>
      </c>
      <c r="Z220" s="67">
        <f>IF(База_КР_КК[[#This Row],[Таб.номер резервиста]]="-","-",IF(OR(База_КР_КК[[#This Row],[Уровень КК]]=2,База_КР_КК[[#This Row],[Уровень КК]]=3),IF(COUNTIFS($U$2:$U220,$U220,$F$2:$F220,$F220)=1,1,0),IF(COUNTIFS($U$2:$U220,$U220,$L$2:$L220,$L220)=1,1,0)))</f>
        <v>1</v>
      </c>
      <c r="AA2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" s="106"/>
      <c r="AC220" s="51"/>
      <c r="AD220" s="106" t="s">
        <v>13</v>
      </c>
      <c r="AE220" s="38" t="s">
        <v>410</v>
      </c>
    </row>
    <row r="221" spans="1:31" ht="18" customHeight="1" x14ac:dyDescent="0.25">
      <c r="A2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1" s="79">
        <v>4</v>
      </c>
      <c r="C221" s="23">
        <v>43783</v>
      </c>
      <c r="D221" s="67">
        <f>IF(COUNTIF($G$2:$G221,$G221)=1,1,0)</f>
        <v>0</v>
      </c>
      <c r="E221" s="67" t="str">
        <f>IFERROR(VLOOKUP(База_КР_КК[[#This Row],[ИД штатной должности (S)]],'уровень защищенности'!$B$7:$F$1095,5,0),"не защищена")</f>
        <v>высокий</v>
      </c>
      <c r="F221" s="68">
        <v>500373</v>
      </c>
      <c r="G221" s="74" t="s">
        <v>2223</v>
      </c>
      <c r="H221" s="181">
        <f>INDEX('Списки данных'!$D$2:$D$1048576,MATCH(База_КР_КК[[#This Row],[Структурное подразделение]],'Списки данных'!$C$2:$C$1048576,0))</f>
        <v>1</v>
      </c>
      <c r="I221" s="80" t="s">
        <v>132</v>
      </c>
      <c r="J221" s="80" t="s">
        <v>195</v>
      </c>
      <c r="K221" s="80" t="s">
        <v>196</v>
      </c>
      <c r="L221" s="30" t="s">
        <v>191</v>
      </c>
      <c r="M221" s="68">
        <v>6</v>
      </c>
      <c r="N221" s="181" t="str">
        <f t="shared" si="3"/>
        <v>да</v>
      </c>
      <c r="O221" s="23">
        <v>44773</v>
      </c>
      <c r="P221" s="23">
        <v>44788</v>
      </c>
      <c r="Q221" s="106" t="s">
        <v>66</v>
      </c>
      <c r="R221" s="37">
        <v>66</v>
      </c>
      <c r="S221" s="39" t="s">
        <v>478</v>
      </c>
      <c r="T221" s="37">
        <v>1178</v>
      </c>
      <c r="U221" s="39" t="s">
        <v>1586</v>
      </c>
      <c r="V221" s="89" t="s">
        <v>272</v>
      </c>
      <c r="W221" s="89" t="s">
        <v>132</v>
      </c>
      <c r="X221" s="106" t="s">
        <v>295</v>
      </c>
      <c r="Y221" s="107" t="s">
        <v>12</v>
      </c>
      <c r="Z221" s="67">
        <f>IF(База_КР_КК[[#This Row],[Таб.номер резервиста]]="-","-",IF(OR(База_КР_КК[[#This Row],[Уровень КК]]=2,База_КР_КК[[#This Row],[Уровень КК]]=3),IF(COUNTIFS($U$2:$U221,$U221,$F$2:$F221,$F221)=1,1,0),IF(COUNTIFS($U$2:$U221,$U221,$L$2:$L221,$L221)=1,1,0)))</f>
        <v>1</v>
      </c>
      <c r="AA2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" s="106"/>
      <c r="AC221" s="51"/>
      <c r="AD221" s="106" t="s">
        <v>13</v>
      </c>
      <c r="AE221" s="38" t="s">
        <v>410</v>
      </c>
    </row>
    <row r="222" spans="1:31" ht="18" customHeight="1" x14ac:dyDescent="0.25">
      <c r="A2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2" s="79">
        <v>4</v>
      </c>
      <c r="C222" s="23">
        <v>43783</v>
      </c>
      <c r="D222" s="67">
        <f>IF(COUNTIF($G$2:$G222,$G222)=1,1,0)</f>
        <v>0</v>
      </c>
      <c r="E222" s="67" t="str">
        <f>IFERROR(VLOOKUP(База_КР_КК[[#This Row],[ИД штатной должности (S)]],'уровень защищенности'!$B$7:$F$1095,5,0),"не защищена")</f>
        <v>высокий</v>
      </c>
      <c r="F222" s="68">
        <v>500373</v>
      </c>
      <c r="G222" s="74" t="s">
        <v>2223</v>
      </c>
      <c r="H222" s="181">
        <f>INDEX('Списки данных'!$D$2:$D$1048576,MATCH(База_КР_КК[[#This Row],[Структурное подразделение]],'Списки данных'!$C$2:$C$1048576,0))</f>
        <v>1</v>
      </c>
      <c r="I222" s="80" t="s">
        <v>132</v>
      </c>
      <c r="J222" s="80" t="s">
        <v>195</v>
      </c>
      <c r="K222" s="80" t="s">
        <v>196</v>
      </c>
      <c r="L222" s="30" t="s">
        <v>191</v>
      </c>
      <c r="M222" s="68">
        <v>6</v>
      </c>
      <c r="N222" s="181" t="str">
        <f t="shared" si="3"/>
        <v>да</v>
      </c>
      <c r="O222" s="23">
        <v>44773</v>
      </c>
      <c r="P222" s="23">
        <v>44788</v>
      </c>
      <c r="Q222" s="106" t="s">
        <v>66</v>
      </c>
      <c r="R222" s="37">
        <v>66</v>
      </c>
      <c r="S222" s="39" t="s">
        <v>478</v>
      </c>
      <c r="T222" s="37">
        <v>1179</v>
      </c>
      <c r="U222" s="39" t="s">
        <v>1587</v>
      </c>
      <c r="V222" s="89" t="s">
        <v>272</v>
      </c>
      <c r="W222" s="89" t="s">
        <v>132</v>
      </c>
      <c r="X222" s="106" t="s">
        <v>295</v>
      </c>
      <c r="Y222" s="107" t="s">
        <v>12</v>
      </c>
      <c r="Z222" s="67">
        <f>IF(База_КР_КК[[#This Row],[Таб.номер резервиста]]="-","-",IF(OR(База_КР_КК[[#This Row],[Уровень КК]]=2,База_КР_КК[[#This Row],[Уровень КК]]=3),IF(COUNTIFS($U$2:$U222,$U222,$F$2:$F222,$F222)=1,1,0),IF(COUNTIFS($U$2:$U222,$U222,$L$2:$L222,$L222)=1,1,0)))</f>
        <v>1</v>
      </c>
      <c r="AA2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" s="106"/>
      <c r="AC222" s="51"/>
      <c r="AD222" s="106" t="s">
        <v>17</v>
      </c>
      <c r="AE222" s="38" t="s">
        <v>410</v>
      </c>
    </row>
    <row r="223" spans="1:31" ht="18" customHeight="1" x14ac:dyDescent="0.25">
      <c r="A2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3" s="79">
        <v>4</v>
      </c>
      <c r="C223" s="23">
        <v>43783</v>
      </c>
      <c r="D223" s="67">
        <f>IF(COUNTIF($G$2:$G223,$G223)=1,1,0)</f>
        <v>0</v>
      </c>
      <c r="E223" s="67" t="str">
        <f>IFERROR(VLOOKUP(База_КР_КК[[#This Row],[ИД штатной должности (S)]],'уровень защищенности'!$B$7:$F$1095,5,0),"не защищена")</f>
        <v>высокий</v>
      </c>
      <c r="F223" s="68">
        <v>500373</v>
      </c>
      <c r="G223" s="74" t="s">
        <v>2223</v>
      </c>
      <c r="H223" s="181">
        <f>INDEX('Списки данных'!$D$2:$D$1048576,MATCH(База_КР_КК[[#This Row],[Структурное подразделение]],'Списки данных'!$C$2:$C$1048576,0))</f>
        <v>1</v>
      </c>
      <c r="I223" s="80" t="s">
        <v>132</v>
      </c>
      <c r="J223" s="80" t="s">
        <v>195</v>
      </c>
      <c r="K223" s="80" t="s">
        <v>196</v>
      </c>
      <c r="L223" s="30" t="s">
        <v>191</v>
      </c>
      <c r="M223" s="68">
        <v>6</v>
      </c>
      <c r="N223" s="181" t="str">
        <f t="shared" si="3"/>
        <v>нет</v>
      </c>
      <c r="O223" s="23"/>
      <c r="P223" s="23"/>
      <c r="Q223" s="106"/>
      <c r="R223" s="37">
        <v>66</v>
      </c>
      <c r="S223" s="39" t="s">
        <v>478</v>
      </c>
      <c r="T223" s="37">
        <v>1180</v>
      </c>
      <c r="U223" s="39" t="s">
        <v>1588</v>
      </c>
      <c r="V223" s="89" t="s">
        <v>272</v>
      </c>
      <c r="W223" s="89" t="s">
        <v>132</v>
      </c>
      <c r="X223" s="106" t="s">
        <v>295</v>
      </c>
      <c r="Y223" s="107" t="s">
        <v>12</v>
      </c>
      <c r="Z223" s="67">
        <f>IF(База_КР_КК[[#This Row],[Таб.номер резервиста]]="-","-",IF(OR(База_КР_КК[[#This Row],[Уровень КК]]=2,База_КР_КК[[#This Row],[Уровень КК]]=3),IF(COUNTIFS($U$2:$U223,$U223,$F$2:$F223,$F223)=1,1,0),IF(COUNTIFS($U$2:$U223,$U223,$L$2:$L223,$L223)=1,1,0)))</f>
        <v>1</v>
      </c>
      <c r="AA2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" s="106"/>
      <c r="AC223" s="51"/>
      <c r="AD223" s="106" t="s">
        <v>17</v>
      </c>
      <c r="AE223" s="38" t="s">
        <v>410</v>
      </c>
    </row>
    <row r="224" spans="1:31" ht="18" customHeight="1" x14ac:dyDescent="0.25">
      <c r="A2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4" s="79">
        <v>4</v>
      </c>
      <c r="C224" s="23">
        <v>44113</v>
      </c>
      <c r="D224" s="67">
        <f>IF(COUNTIF($G$2:$G224,$G224)=1,1,0)</f>
        <v>0</v>
      </c>
      <c r="E224" s="67" t="str">
        <f>IFERROR(VLOOKUP(База_КР_КК[[#This Row],[ИД штатной должности (S)]],'уровень защищенности'!$B$7:$F$1095,5,0),"не защищена")</f>
        <v>высокий</v>
      </c>
      <c r="F224" s="68">
        <v>500373</v>
      </c>
      <c r="G224" s="74" t="s">
        <v>2223</v>
      </c>
      <c r="H224" s="181">
        <f>INDEX('Списки данных'!$D$2:$D$1048576,MATCH(База_КР_КК[[#This Row],[Структурное подразделение]],'Списки данных'!$C$2:$C$1048576,0))</f>
        <v>1</v>
      </c>
      <c r="I224" s="80" t="s">
        <v>132</v>
      </c>
      <c r="J224" s="80" t="s">
        <v>195</v>
      </c>
      <c r="K224" s="80" t="s">
        <v>196</v>
      </c>
      <c r="L224" s="30" t="s">
        <v>191</v>
      </c>
      <c r="M224" s="68">
        <v>6</v>
      </c>
      <c r="N224" s="181" t="str">
        <f t="shared" si="3"/>
        <v>нет</v>
      </c>
      <c r="O224" s="23"/>
      <c r="P224" s="23"/>
      <c r="Q224" s="106"/>
      <c r="R224" s="37">
        <v>66</v>
      </c>
      <c r="S224" s="39" t="s">
        <v>478</v>
      </c>
      <c r="T224" s="37">
        <v>1181</v>
      </c>
      <c r="U224" s="39" t="s">
        <v>1589</v>
      </c>
      <c r="V224" s="89" t="s">
        <v>272</v>
      </c>
      <c r="W224" s="89" t="s">
        <v>132</v>
      </c>
      <c r="X224" s="106" t="s">
        <v>295</v>
      </c>
      <c r="Y224" s="107" t="s">
        <v>12</v>
      </c>
      <c r="Z224" s="67">
        <f>IF(База_КР_КК[[#This Row],[Таб.номер резервиста]]="-","-",IF(OR(База_КР_КК[[#This Row],[Уровень КК]]=2,База_КР_КК[[#This Row],[Уровень КК]]=3),IF(COUNTIFS($U$2:$U224,$U224,$F$2:$F224,$F224)=1,1,0),IF(COUNTIFS($U$2:$U224,$U224,$L$2:$L224,$L224)=1,1,0)))</f>
        <v>1</v>
      </c>
      <c r="AA2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" s="106"/>
      <c r="AC224" s="51"/>
      <c r="AD224" s="106" t="s">
        <v>17</v>
      </c>
      <c r="AE224" s="38" t="s">
        <v>410</v>
      </c>
    </row>
    <row r="225" spans="1:31" ht="18" customHeight="1" x14ac:dyDescent="0.25">
      <c r="A2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5" s="79">
        <v>4</v>
      </c>
      <c r="C225" s="23">
        <v>44897</v>
      </c>
      <c r="D225" s="67">
        <f>IF(COUNTIF($G$2:$G225,$G225)=1,1,0)</f>
        <v>0</v>
      </c>
      <c r="E225" s="67" t="str">
        <f>IFERROR(VLOOKUP(База_КР_КК[[#This Row],[ИД штатной должности (S)]],'уровень защищенности'!$B$7:$F$1095,5,0),"не защищена")</f>
        <v>высокий</v>
      </c>
      <c r="F225" s="68">
        <v>500373</v>
      </c>
      <c r="G225" s="74" t="s">
        <v>2223</v>
      </c>
      <c r="H225" s="181">
        <f>INDEX('Списки данных'!$D$2:$D$1048576,MATCH(База_КР_КК[[#This Row],[Структурное подразделение]],'Списки данных'!$C$2:$C$1048576,0))</f>
        <v>1</v>
      </c>
      <c r="I225" s="80" t="s">
        <v>132</v>
      </c>
      <c r="J225" s="80" t="s">
        <v>195</v>
      </c>
      <c r="K225" s="80" t="s">
        <v>196</v>
      </c>
      <c r="L225" s="30" t="s">
        <v>191</v>
      </c>
      <c r="M225" s="68">
        <v>6</v>
      </c>
      <c r="N225" s="181" t="str">
        <f t="shared" si="3"/>
        <v>нет</v>
      </c>
      <c r="O225" s="23"/>
      <c r="P225" s="23"/>
      <c r="Q225" s="106"/>
      <c r="R225" s="37">
        <v>66</v>
      </c>
      <c r="S225" s="39" t="s">
        <v>478</v>
      </c>
      <c r="T225" s="37">
        <v>1182</v>
      </c>
      <c r="U225" s="38" t="s">
        <v>1590</v>
      </c>
      <c r="V225" s="69" t="s">
        <v>272</v>
      </c>
      <c r="W225" s="89" t="s">
        <v>132</v>
      </c>
      <c r="X225" s="106" t="s">
        <v>296</v>
      </c>
      <c r="Y225" s="107" t="s">
        <v>12</v>
      </c>
      <c r="Z225" s="67">
        <f>IF(База_КР_КК[[#This Row],[Таб.номер резервиста]]="-","-",IF(OR(База_КР_КК[[#This Row],[Уровень КК]]=2,База_КР_КК[[#This Row],[Уровень КК]]=3),IF(COUNTIFS($U$2:$U225,$U225,$F$2:$F225,$F225)=1,1,0),IF(COUNTIFS($U$2:$U225,$U225,$L$2:$L225,$L225)=1,1,0)))</f>
        <v>1</v>
      </c>
      <c r="AA2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5" s="106"/>
      <c r="AC225" s="51"/>
      <c r="AD225" s="106" t="s">
        <v>15</v>
      </c>
      <c r="AE225" s="33" t="s">
        <v>410</v>
      </c>
    </row>
    <row r="226" spans="1:31" ht="18" customHeight="1" x14ac:dyDescent="0.25">
      <c r="A2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6" s="79">
        <v>4</v>
      </c>
      <c r="C226" s="23">
        <v>44897</v>
      </c>
      <c r="D226" s="67">
        <f>IF(COUNTIF($G$2:$G226,$G226)=1,1,0)</f>
        <v>0</v>
      </c>
      <c r="E226" s="67" t="str">
        <f>IFERROR(VLOOKUP(База_КР_КК[[#This Row],[ИД штатной должности (S)]],'уровень защищенности'!$B$7:$F$1095,5,0),"не защищена")</f>
        <v>высокий</v>
      </c>
      <c r="F226" s="68">
        <v>500373</v>
      </c>
      <c r="G226" s="74" t="s">
        <v>2223</v>
      </c>
      <c r="H226" s="181">
        <f>INDEX('Списки данных'!$D$2:$D$1048576,MATCH(База_КР_КК[[#This Row],[Структурное подразделение]],'Списки данных'!$C$2:$C$1048576,0))</f>
        <v>1</v>
      </c>
      <c r="I226" s="80" t="s">
        <v>132</v>
      </c>
      <c r="J226" s="80" t="s">
        <v>195</v>
      </c>
      <c r="K226" s="80" t="s">
        <v>196</v>
      </c>
      <c r="L226" s="30" t="s">
        <v>191</v>
      </c>
      <c r="M226" s="68">
        <v>6</v>
      </c>
      <c r="N226" s="181" t="str">
        <f t="shared" ref="N226:N256" si="4">IF(ISBLANK(O226),"нет","да")</f>
        <v>нет</v>
      </c>
      <c r="O226" s="23"/>
      <c r="P226" s="23"/>
      <c r="Q226" s="106"/>
      <c r="R226" s="37">
        <v>66</v>
      </c>
      <c r="S226" s="39" t="s">
        <v>478</v>
      </c>
      <c r="T226" s="37">
        <v>1183</v>
      </c>
      <c r="U226" s="38" t="s">
        <v>1591</v>
      </c>
      <c r="V226" s="69" t="s">
        <v>272</v>
      </c>
      <c r="W226" s="89" t="s">
        <v>132</v>
      </c>
      <c r="X226" s="106" t="s">
        <v>296</v>
      </c>
      <c r="Y226" s="107" t="s">
        <v>12</v>
      </c>
      <c r="Z226" s="67">
        <f>IF(База_КР_КК[[#This Row],[Таб.номер резервиста]]="-","-",IF(OR(База_КР_КК[[#This Row],[Уровень КК]]=2,База_КР_КК[[#This Row],[Уровень КК]]=3),IF(COUNTIFS($U$2:$U226,$U226,$F$2:$F226,$F226)=1,1,0),IF(COUNTIFS($U$2:$U226,$U226,$L$2:$L226,$L226)=1,1,0)))</f>
        <v>1</v>
      </c>
      <c r="AA2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" s="106"/>
      <c r="AC226" s="51"/>
      <c r="AD226" s="106" t="s">
        <v>15</v>
      </c>
      <c r="AE226" s="33" t="s">
        <v>410</v>
      </c>
    </row>
    <row r="227" spans="1:31" ht="18" customHeight="1" x14ac:dyDescent="0.25">
      <c r="A2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7" s="79">
        <v>4</v>
      </c>
      <c r="C227" s="23">
        <v>44897</v>
      </c>
      <c r="D227" s="67">
        <f>IF(COUNTIF($G$2:$G227,$G227)=1,1,0)</f>
        <v>0</v>
      </c>
      <c r="E227" s="67" t="str">
        <f>IFERROR(VLOOKUP(База_КР_КК[[#This Row],[ИД штатной должности (S)]],'уровень защищенности'!$B$7:$F$1095,5,0),"не защищена")</f>
        <v>высокий</v>
      </c>
      <c r="F227" s="68">
        <v>500373</v>
      </c>
      <c r="G227" s="74" t="s">
        <v>2223</v>
      </c>
      <c r="H227" s="181">
        <f>INDEX('Списки данных'!$D$2:$D$1048576,MATCH(База_КР_КК[[#This Row],[Структурное подразделение]],'Списки данных'!$C$2:$C$1048576,0))</f>
        <v>1</v>
      </c>
      <c r="I227" s="80" t="s">
        <v>132</v>
      </c>
      <c r="J227" s="80" t="s">
        <v>195</v>
      </c>
      <c r="K227" s="80" t="s">
        <v>196</v>
      </c>
      <c r="L227" s="30" t="s">
        <v>191</v>
      </c>
      <c r="M227" s="68">
        <v>6</v>
      </c>
      <c r="N227" s="181" t="str">
        <f t="shared" si="4"/>
        <v>нет</v>
      </c>
      <c r="O227" s="23"/>
      <c r="P227" s="23"/>
      <c r="Q227" s="106"/>
      <c r="R227" s="37">
        <v>66</v>
      </c>
      <c r="S227" s="39" t="s">
        <v>478</v>
      </c>
      <c r="T227" s="37">
        <v>1184</v>
      </c>
      <c r="U227" s="38" t="s">
        <v>1592</v>
      </c>
      <c r="V227" s="69" t="s">
        <v>272</v>
      </c>
      <c r="W227" s="89" t="s">
        <v>132</v>
      </c>
      <c r="X227" s="106" t="s">
        <v>296</v>
      </c>
      <c r="Y227" s="107" t="s">
        <v>12</v>
      </c>
      <c r="Z227" s="67">
        <f>IF(База_КР_КК[[#This Row],[Таб.номер резервиста]]="-","-",IF(OR(База_КР_КК[[#This Row],[Уровень КК]]=2,База_КР_КК[[#This Row],[Уровень КК]]=3),IF(COUNTIFS($U$2:$U227,$U227,$F$2:$F227,$F227)=1,1,0),IF(COUNTIFS($U$2:$U227,$U227,$L$2:$L227,$L227)=1,1,0)))</f>
        <v>1</v>
      </c>
      <c r="AA2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" s="106"/>
      <c r="AC227" s="51"/>
      <c r="AD227" s="106" t="s">
        <v>15</v>
      </c>
      <c r="AE227" s="33" t="s">
        <v>410</v>
      </c>
    </row>
    <row r="228" spans="1:31" ht="18" customHeight="1" x14ac:dyDescent="0.25">
      <c r="A2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8" s="79">
        <v>4</v>
      </c>
      <c r="C228" s="23">
        <v>44897</v>
      </c>
      <c r="D228" s="67">
        <f>IF(COUNTIF($G$2:$G228,$G228)=1,1,0)</f>
        <v>0</v>
      </c>
      <c r="E228" s="67" t="str">
        <f>IFERROR(VLOOKUP(База_КР_КК[[#This Row],[ИД штатной должности (S)]],'уровень защищенности'!$B$7:$F$1095,5,0),"не защищена")</f>
        <v>высокий</v>
      </c>
      <c r="F228" s="68">
        <v>500373</v>
      </c>
      <c r="G228" s="74" t="s">
        <v>2223</v>
      </c>
      <c r="H228" s="181">
        <f>INDEX('Списки данных'!$D$2:$D$1048576,MATCH(База_КР_КК[[#This Row],[Структурное подразделение]],'Списки данных'!$C$2:$C$1048576,0))</f>
        <v>1</v>
      </c>
      <c r="I228" s="80" t="s">
        <v>132</v>
      </c>
      <c r="J228" s="80" t="s">
        <v>195</v>
      </c>
      <c r="K228" s="80" t="s">
        <v>196</v>
      </c>
      <c r="L228" s="30" t="s">
        <v>191</v>
      </c>
      <c r="M228" s="68">
        <v>6</v>
      </c>
      <c r="N228" s="181" t="str">
        <f t="shared" si="4"/>
        <v>нет</v>
      </c>
      <c r="O228" s="23"/>
      <c r="P228" s="23"/>
      <c r="Q228" s="106"/>
      <c r="R228" s="37">
        <v>66</v>
      </c>
      <c r="S228" s="39" t="s">
        <v>478</v>
      </c>
      <c r="T228" s="37">
        <v>1185</v>
      </c>
      <c r="U228" s="38" t="s">
        <v>1593</v>
      </c>
      <c r="V228" s="69" t="s">
        <v>272</v>
      </c>
      <c r="W228" s="89" t="s">
        <v>132</v>
      </c>
      <c r="X228" s="106" t="s">
        <v>295</v>
      </c>
      <c r="Y228" s="107" t="s">
        <v>12</v>
      </c>
      <c r="Z228" s="67">
        <f>IF(База_КР_КК[[#This Row],[Таб.номер резервиста]]="-","-",IF(OR(База_КР_КК[[#This Row],[Уровень КК]]=2,База_КР_КК[[#This Row],[Уровень КК]]=3),IF(COUNTIFS($U$2:$U228,$U228,$F$2:$F228,$F228)=1,1,0),IF(COUNTIFS($U$2:$U228,$U228,$L$2:$L228,$L228)=1,1,0)))</f>
        <v>1</v>
      </c>
      <c r="AA2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" s="106"/>
      <c r="AC228" s="51"/>
      <c r="AD228" s="106" t="s">
        <v>15</v>
      </c>
      <c r="AE228" s="33" t="s">
        <v>410</v>
      </c>
    </row>
    <row r="229" spans="1:31" ht="18" customHeight="1" x14ac:dyDescent="0.25">
      <c r="A2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29" s="79">
        <v>4</v>
      </c>
      <c r="C229" s="23">
        <v>43783</v>
      </c>
      <c r="D229" s="67">
        <f>IF(COUNTIF($G$2:$G229,$G229)=1,1,0)</f>
        <v>0</v>
      </c>
      <c r="E229" s="67" t="str">
        <f>IFERROR(VLOOKUP(База_КР_КК[[#This Row],[ИД штатной должности (S)]],'уровень защищенности'!$B$7:$F$1095,5,0),"не защищена")</f>
        <v>высокий</v>
      </c>
      <c r="F229" s="68">
        <v>500373</v>
      </c>
      <c r="G229" s="74" t="s">
        <v>2223</v>
      </c>
      <c r="H229" s="181">
        <f>INDEX('Списки данных'!$D$2:$D$1048576,MATCH(База_КР_КК[[#This Row],[Структурное подразделение]],'Списки данных'!$C$2:$C$1048576,0))</f>
        <v>1</v>
      </c>
      <c r="I229" s="80" t="s">
        <v>132</v>
      </c>
      <c r="J229" s="80" t="s">
        <v>195</v>
      </c>
      <c r="K229" s="80" t="s">
        <v>196</v>
      </c>
      <c r="L229" s="30" t="s">
        <v>191</v>
      </c>
      <c r="M229" s="68">
        <v>6</v>
      </c>
      <c r="N229" s="181" t="str">
        <f t="shared" si="4"/>
        <v>да</v>
      </c>
      <c r="O229" s="23">
        <v>44773</v>
      </c>
      <c r="P229" s="23">
        <v>44788</v>
      </c>
      <c r="Q229" s="106" t="s">
        <v>66</v>
      </c>
      <c r="R229" s="37">
        <v>66</v>
      </c>
      <c r="S229" s="39" t="s">
        <v>478</v>
      </c>
      <c r="T229" s="37">
        <v>66</v>
      </c>
      <c r="U229" s="39" t="s">
        <v>478</v>
      </c>
      <c r="V229" s="89" t="s">
        <v>272</v>
      </c>
      <c r="W229" s="89" t="s">
        <v>132</v>
      </c>
      <c r="X229" s="106" t="s">
        <v>295</v>
      </c>
      <c r="Y229" s="107" t="s">
        <v>14</v>
      </c>
      <c r="Z229" s="67">
        <f>IF(База_КР_КК[[#This Row],[Таб.номер резервиста]]="-","-",IF(OR(База_КР_КК[[#This Row],[Уровень КК]]=2,База_КР_КК[[#This Row],[Уровень КК]]=3),IF(COUNTIFS($U$2:$U229,$U229,$F$2:$F229,$F229)=1,1,0),IF(COUNTIFS($U$2:$U229,$U229,$L$2:$L229,$L229)=1,1,0)))</f>
        <v>1</v>
      </c>
      <c r="AA2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29" s="106" t="s">
        <v>24</v>
      </c>
      <c r="AC229" s="51">
        <v>44788</v>
      </c>
      <c r="AD229" s="106" t="s">
        <v>13</v>
      </c>
      <c r="AE229" s="38" t="s">
        <v>315</v>
      </c>
    </row>
    <row r="230" spans="1:31" ht="18" customHeight="1" x14ac:dyDescent="0.25">
      <c r="A2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0" s="79">
        <v>4</v>
      </c>
      <c r="C230" s="23">
        <v>44496</v>
      </c>
      <c r="D230" s="67">
        <f>IF(COUNTIF($G$2:$G230,$G230)=1,1,0)</f>
        <v>0</v>
      </c>
      <c r="E230" s="67" t="str">
        <f>IFERROR(VLOOKUP(База_КР_КК[[#This Row],[ИД штатной должности (S)]],'уровень защищенности'!$B$7:$F$1095,5,0),"не защищена")</f>
        <v>высокий</v>
      </c>
      <c r="F230" s="68">
        <v>500373</v>
      </c>
      <c r="G230" s="74" t="s">
        <v>2223</v>
      </c>
      <c r="H230" s="181">
        <f>INDEX('Списки данных'!$D$2:$D$1048576,MATCH(База_КР_КК[[#This Row],[Структурное подразделение]],'Списки данных'!$C$2:$C$1048576,0))</f>
        <v>1</v>
      </c>
      <c r="I230" s="80" t="s">
        <v>132</v>
      </c>
      <c r="J230" s="80" t="s">
        <v>195</v>
      </c>
      <c r="K230" s="80" t="s">
        <v>196</v>
      </c>
      <c r="L230" s="30" t="s">
        <v>191</v>
      </c>
      <c r="M230" s="68">
        <v>6</v>
      </c>
      <c r="N230" s="181" t="str">
        <f t="shared" si="4"/>
        <v>да</v>
      </c>
      <c r="O230" s="23">
        <v>44773</v>
      </c>
      <c r="P230" s="23">
        <v>44788</v>
      </c>
      <c r="Q230" s="106" t="s">
        <v>66</v>
      </c>
      <c r="R230" s="37">
        <v>66</v>
      </c>
      <c r="S230" s="39" t="s">
        <v>478</v>
      </c>
      <c r="T230" s="37">
        <v>70</v>
      </c>
      <c r="U230" s="39" t="s">
        <v>482</v>
      </c>
      <c r="V230" s="89" t="s">
        <v>192</v>
      </c>
      <c r="W230" s="89" t="s">
        <v>132</v>
      </c>
      <c r="X230" s="106" t="s">
        <v>295</v>
      </c>
      <c r="Y230" s="107" t="s">
        <v>14</v>
      </c>
      <c r="Z230" s="67">
        <f>IF(База_КР_КК[[#This Row],[Таб.номер резервиста]]="-","-",IF(OR(База_КР_КК[[#This Row],[Уровень КК]]=2,База_КР_КК[[#This Row],[Уровень КК]]=3),IF(COUNTIFS($U$2:$U230,$U230,$F$2:$F230,$F230)=1,1,0),IF(COUNTIFS($U$2:$U230,$U230,$L$2:$L230,$L230)=1,1,0)))</f>
        <v>1</v>
      </c>
      <c r="AA2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" s="106" t="s">
        <v>24</v>
      </c>
      <c r="AC230" s="51">
        <v>44939</v>
      </c>
      <c r="AD230" s="106" t="s">
        <v>17</v>
      </c>
      <c r="AE230" s="33" t="s">
        <v>410</v>
      </c>
    </row>
    <row r="231" spans="1:31" ht="18" customHeight="1" x14ac:dyDescent="0.25">
      <c r="A2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1" s="79">
        <v>4</v>
      </c>
      <c r="C231" s="23">
        <v>43783</v>
      </c>
      <c r="D231" s="67">
        <f>IF(COUNTIF($G$2:$G231,$G231)=1,1,0)</f>
        <v>1</v>
      </c>
      <c r="E231" s="67" t="str">
        <f>IFERROR(VLOOKUP(База_КР_КК[[#This Row],[ИД штатной должности (S)]],'уровень защищенности'!$B$7:$F$1095,5,0),"не защищена")</f>
        <v>высокий</v>
      </c>
      <c r="F231" s="68">
        <v>500373</v>
      </c>
      <c r="G231" s="74" t="s">
        <v>2224</v>
      </c>
      <c r="H231" s="181">
        <f>INDEX('Списки данных'!$D$2:$D$1048576,MATCH(База_КР_КК[[#This Row],[Структурное подразделение]],'Списки данных'!$C$2:$C$1048576,0))</f>
        <v>1</v>
      </c>
      <c r="I231" s="80" t="s">
        <v>132</v>
      </c>
      <c r="J231" s="80" t="s">
        <v>195</v>
      </c>
      <c r="K231" s="80" t="s">
        <v>196</v>
      </c>
      <c r="L231" s="30" t="s">
        <v>191</v>
      </c>
      <c r="M231" s="68">
        <v>6</v>
      </c>
      <c r="N231" s="181" t="str">
        <f t="shared" si="4"/>
        <v>да</v>
      </c>
      <c r="O231" s="23">
        <v>44739</v>
      </c>
      <c r="P231" s="23">
        <v>44761</v>
      </c>
      <c r="Q231" s="106" t="s">
        <v>66</v>
      </c>
      <c r="R231" s="37">
        <v>67</v>
      </c>
      <c r="S231" s="39" t="s">
        <v>479</v>
      </c>
      <c r="T231" s="37">
        <v>1176</v>
      </c>
      <c r="U231" s="39" t="s">
        <v>1584</v>
      </c>
      <c r="V231" s="89" t="s">
        <v>272</v>
      </c>
      <c r="W231" s="89" t="s">
        <v>132</v>
      </c>
      <c r="X231" s="106" t="s">
        <v>295</v>
      </c>
      <c r="Y231" s="107" t="s">
        <v>12</v>
      </c>
      <c r="Z231" s="67">
        <f>IF(База_КР_КК[[#This Row],[Таб.номер резервиста]]="-","-",IF(OR(База_КР_КК[[#This Row],[Уровень КК]]=2,База_КР_КК[[#This Row],[Уровень КК]]=3),IF(COUNTIFS($U$2:$U231,$U231,$F$2:$F231,$F231)=1,1,0),IF(COUNTIFS($U$2:$U231,$U231,$L$2:$L231,$L231)=1,1,0)))</f>
        <v>0</v>
      </c>
      <c r="AA2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1" s="106"/>
      <c r="AC231" s="51"/>
      <c r="AD231" s="106" t="s">
        <v>13</v>
      </c>
      <c r="AE231" s="38" t="s">
        <v>410</v>
      </c>
    </row>
    <row r="232" spans="1:31" ht="18" customHeight="1" x14ac:dyDescent="0.25">
      <c r="A2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2" s="79">
        <v>4</v>
      </c>
      <c r="C232" s="23">
        <v>43783</v>
      </c>
      <c r="D232" s="67">
        <f>IF(COUNTIF($G$2:$G232,$G232)=1,1,0)</f>
        <v>0</v>
      </c>
      <c r="E232" s="67" t="str">
        <f>IFERROR(VLOOKUP(База_КР_КК[[#This Row],[ИД штатной должности (S)]],'уровень защищенности'!$B$7:$F$1095,5,0),"не защищена")</f>
        <v>высокий</v>
      </c>
      <c r="F232" s="68">
        <v>500373</v>
      </c>
      <c r="G232" s="74" t="s">
        <v>2224</v>
      </c>
      <c r="H232" s="181">
        <f>INDEX('Списки данных'!$D$2:$D$1048576,MATCH(База_КР_КК[[#This Row],[Структурное подразделение]],'Списки данных'!$C$2:$C$1048576,0))</f>
        <v>1</v>
      </c>
      <c r="I232" s="80" t="s">
        <v>132</v>
      </c>
      <c r="J232" s="80" t="s">
        <v>195</v>
      </c>
      <c r="K232" s="80" t="s">
        <v>196</v>
      </c>
      <c r="L232" s="30" t="s">
        <v>191</v>
      </c>
      <c r="M232" s="68">
        <v>6</v>
      </c>
      <c r="N232" s="181" t="str">
        <f t="shared" si="4"/>
        <v>да</v>
      </c>
      <c r="O232" s="23">
        <v>44739</v>
      </c>
      <c r="P232" s="23">
        <v>44761</v>
      </c>
      <c r="Q232" s="106" t="s">
        <v>66</v>
      </c>
      <c r="R232" s="37">
        <v>67</v>
      </c>
      <c r="S232" s="39" t="s">
        <v>479</v>
      </c>
      <c r="T232" s="37">
        <v>1177</v>
      </c>
      <c r="U232" s="39" t="s">
        <v>1585</v>
      </c>
      <c r="V232" s="89" t="s">
        <v>272</v>
      </c>
      <c r="W232" s="89" t="s">
        <v>132</v>
      </c>
      <c r="X232" s="106" t="s">
        <v>295</v>
      </c>
      <c r="Y232" s="107" t="s">
        <v>12</v>
      </c>
      <c r="Z232" s="67">
        <f>IF(База_КР_КК[[#This Row],[Таб.номер резервиста]]="-","-",IF(OR(База_КР_КК[[#This Row],[Уровень КК]]=2,База_КР_КК[[#This Row],[Уровень КК]]=3),IF(COUNTIFS($U$2:$U232,$U232,$F$2:$F232,$F232)=1,1,0),IF(COUNTIFS($U$2:$U232,$U232,$L$2:$L232,$L232)=1,1,0)))</f>
        <v>0</v>
      </c>
      <c r="AA2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2" s="106"/>
      <c r="AC232" s="51"/>
      <c r="AD232" s="106" t="s">
        <v>13</v>
      </c>
      <c r="AE232" s="38" t="s">
        <v>410</v>
      </c>
    </row>
    <row r="233" spans="1:31" ht="18" customHeight="1" x14ac:dyDescent="0.25">
      <c r="A2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3" s="79">
        <v>4</v>
      </c>
      <c r="C233" s="23">
        <v>43783</v>
      </c>
      <c r="D233" s="67">
        <f>IF(COUNTIF($G$2:$G233,$G233)=1,1,0)</f>
        <v>0</v>
      </c>
      <c r="E233" s="67" t="str">
        <f>IFERROR(VLOOKUP(База_КР_КК[[#This Row],[ИД штатной должности (S)]],'уровень защищенности'!$B$7:$F$1095,5,0),"не защищена")</f>
        <v>высокий</v>
      </c>
      <c r="F233" s="68">
        <v>500373</v>
      </c>
      <c r="G233" s="74" t="s">
        <v>2224</v>
      </c>
      <c r="H233" s="181">
        <f>INDEX('Списки данных'!$D$2:$D$1048576,MATCH(База_КР_КК[[#This Row],[Структурное подразделение]],'Списки данных'!$C$2:$C$1048576,0))</f>
        <v>1</v>
      </c>
      <c r="I233" s="80" t="s">
        <v>132</v>
      </c>
      <c r="J233" s="80" t="s">
        <v>195</v>
      </c>
      <c r="K233" s="80" t="s">
        <v>196</v>
      </c>
      <c r="L233" s="30" t="s">
        <v>191</v>
      </c>
      <c r="M233" s="68">
        <v>6</v>
      </c>
      <c r="N233" s="181" t="str">
        <f t="shared" si="4"/>
        <v>да</v>
      </c>
      <c r="O233" s="23">
        <v>44739</v>
      </c>
      <c r="P233" s="23">
        <v>44761</v>
      </c>
      <c r="Q233" s="106" t="s">
        <v>66</v>
      </c>
      <c r="R233" s="37">
        <v>67</v>
      </c>
      <c r="S233" s="39" t="s">
        <v>479</v>
      </c>
      <c r="T233" s="37">
        <v>1178</v>
      </c>
      <c r="U233" s="39" t="s">
        <v>1586</v>
      </c>
      <c r="V233" s="89" t="s">
        <v>272</v>
      </c>
      <c r="W233" s="89" t="s">
        <v>132</v>
      </c>
      <c r="X233" s="106" t="s">
        <v>295</v>
      </c>
      <c r="Y233" s="107" t="s">
        <v>12</v>
      </c>
      <c r="Z233" s="67">
        <f>IF(База_КР_КК[[#This Row],[Таб.номер резервиста]]="-","-",IF(OR(База_КР_КК[[#This Row],[Уровень КК]]=2,База_КР_КК[[#This Row],[Уровень КК]]=3),IF(COUNTIFS($U$2:$U233,$U233,$F$2:$F233,$F233)=1,1,0),IF(COUNTIFS($U$2:$U233,$U233,$L$2:$L233,$L233)=1,1,0)))</f>
        <v>0</v>
      </c>
      <c r="AA2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" s="106"/>
      <c r="AC233" s="51"/>
      <c r="AD233" s="106" t="s">
        <v>13</v>
      </c>
      <c r="AE233" s="38" t="s">
        <v>410</v>
      </c>
    </row>
    <row r="234" spans="1:31" ht="18" customHeight="1" x14ac:dyDescent="0.25">
      <c r="A2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4" s="79">
        <v>4</v>
      </c>
      <c r="C234" s="23">
        <v>43783</v>
      </c>
      <c r="D234" s="67">
        <f>IF(COUNTIF($G$2:$G234,$G234)=1,1,0)</f>
        <v>0</v>
      </c>
      <c r="E234" s="67" t="str">
        <f>IFERROR(VLOOKUP(База_КР_КК[[#This Row],[ИД штатной должности (S)]],'уровень защищенности'!$B$7:$F$1095,5,0),"не защищена")</f>
        <v>высокий</v>
      </c>
      <c r="F234" s="68">
        <v>500373</v>
      </c>
      <c r="G234" s="74" t="s">
        <v>2224</v>
      </c>
      <c r="H234" s="181">
        <f>INDEX('Списки данных'!$D$2:$D$1048576,MATCH(База_КР_КК[[#This Row],[Структурное подразделение]],'Списки данных'!$C$2:$C$1048576,0))</f>
        <v>1</v>
      </c>
      <c r="I234" s="80" t="s">
        <v>132</v>
      </c>
      <c r="J234" s="80" t="s">
        <v>195</v>
      </c>
      <c r="K234" s="80" t="s">
        <v>196</v>
      </c>
      <c r="L234" s="30" t="s">
        <v>191</v>
      </c>
      <c r="M234" s="68">
        <v>6</v>
      </c>
      <c r="N234" s="181" t="str">
        <f t="shared" si="4"/>
        <v>да</v>
      </c>
      <c r="O234" s="23">
        <v>44739</v>
      </c>
      <c r="P234" s="23">
        <v>44761</v>
      </c>
      <c r="Q234" s="106" t="s">
        <v>66</v>
      </c>
      <c r="R234" s="37">
        <v>67</v>
      </c>
      <c r="S234" s="39" t="s">
        <v>479</v>
      </c>
      <c r="T234" s="37">
        <v>1179</v>
      </c>
      <c r="U234" s="39" t="s">
        <v>1587</v>
      </c>
      <c r="V234" s="89" t="s">
        <v>272</v>
      </c>
      <c r="W234" s="89" t="s">
        <v>132</v>
      </c>
      <c r="X234" s="106" t="s">
        <v>295</v>
      </c>
      <c r="Y234" s="107" t="s">
        <v>12</v>
      </c>
      <c r="Z234" s="67">
        <f>IF(База_КР_КК[[#This Row],[Таб.номер резервиста]]="-","-",IF(OR(База_КР_КК[[#This Row],[Уровень КК]]=2,База_КР_КК[[#This Row],[Уровень КК]]=3),IF(COUNTIFS($U$2:$U234,$U234,$F$2:$F234,$F234)=1,1,0),IF(COUNTIFS($U$2:$U234,$U234,$L$2:$L234,$L234)=1,1,0)))</f>
        <v>0</v>
      </c>
      <c r="AA2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" s="106"/>
      <c r="AC234" s="51"/>
      <c r="AD234" s="106" t="s">
        <v>17</v>
      </c>
      <c r="AE234" s="38" t="s">
        <v>410</v>
      </c>
    </row>
    <row r="235" spans="1:31" ht="18" customHeight="1" x14ac:dyDescent="0.25">
      <c r="A2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5" s="79">
        <v>4</v>
      </c>
      <c r="C235" s="23">
        <v>43783</v>
      </c>
      <c r="D235" s="67">
        <f>IF(COUNTIF($G$2:$G235,$G235)=1,1,0)</f>
        <v>0</v>
      </c>
      <c r="E235" s="67" t="str">
        <f>IFERROR(VLOOKUP(База_КР_КК[[#This Row],[ИД штатной должности (S)]],'уровень защищенности'!$B$7:$F$1095,5,0),"не защищена")</f>
        <v>высокий</v>
      </c>
      <c r="F235" s="68">
        <v>500373</v>
      </c>
      <c r="G235" s="74" t="s">
        <v>2224</v>
      </c>
      <c r="H235" s="181">
        <f>INDEX('Списки данных'!$D$2:$D$1048576,MATCH(База_КР_КК[[#This Row],[Структурное подразделение]],'Списки данных'!$C$2:$C$1048576,0))</f>
        <v>1</v>
      </c>
      <c r="I235" s="80" t="s">
        <v>132</v>
      </c>
      <c r="J235" s="80" t="s">
        <v>195</v>
      </c>
      <c r="K235" s="80" t="s">
        <v>196</v>
      </c>
      <c r="L235" s="30" t="s">
        <v>191</v>
      </c>
      <c r="M235" s="68">
        <v>6</v>
      </c>
      <c r="N235" s="181" t="str">
        <f t="shared" si="4"/>
        <v>да</v>
      </c>
      <c r="O235" s="23">
        <v>44739</v>
      </c>
      <c r="P235" s="23">
        <v>44761</v>
      </c>
      <c r="Q235" s="106" t="s">
        <v>66</v>
      </c>
      <c r="R235" s="37">
        <v>67</v>
      </c>
      <c r="S235" s="38" t="s">
        <v>479</v>
      </c>
      <c r="T235" s="37">
        <v>1180</v>
      </c>
      <c r="U235" s="39" t="s">
        <v>1588</v>
      </c>
      <c r="V235" s="89" t="s">
        <v>272</v>
      </c>
      <c r="W235" s="89" t="s">
        <v>132</v>
      </c>
      <c r="X235" s="106" t="s">
        <v>295</v>
      </c>
      <c r="Y235" s="107" t="s">
        <v>12</v>
      </c>
      <c r="Z235" s="67">
        <f>IF(База_КР_КК[[#This Row],[Таб.номер резервиста]]="-","-",IF(OR(База_КР_КК[[#This Row],[Уровень КК]]=2,База_КР_КК[[#This Row],[Уровень КК]]=3),IF(COUNTIFS($U$2:$U235,$U235,$F$2:$F235,$F235)=1,1,0),IF(COUNTIFS($U$2:$U235,$U235,$L$2:$L235,$L235)=1,1,0)))</f>
        <v>0</v>
      </c>
      <c r="AA2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" s="106"/>
      <c r="AC235" s="51"/>
      <c r="AD235" s="106" t="s">
        <v>17</v>
      </c>
      <c r="AE235" s="38" t="s">
        <v>410</v>
      </c>
    </row>
    <row r="236" spans="1:31" ht="18" customHeight="1" x14ac:dyDescent="0.25">
      <c r="A2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6" s="79">
        <v>4</v>
      </c>
      <c r="C236" s="23">
        <v>44113</v>
      </c>
      <c r="D236" s="67">
        <f>IF(COUNTIF($G$2:$G236,$G236)=1,1,0)</f>
        <v>0</v>
      </c>
      <c r="E236" s="67" t="str">
        <f>IFERROR(VLOOKUP(База_КР_КК[[#This Row],[ИД штатной должности (S)]],'уровень защищенности'!$B$7:$F$1095,5,0),"не защищена")</f>
        <v>высокий</v>
      </c>
      <c r="F236" s="68">
        <v>500373</v>
      </c>
      <c r="G236" s="74" t="s">
        <v>2224</v>
      </c>
      <c r="H236" s="181">
        <f>INDEX('Списки данных'!$D$2:$D$1048576,MATCH(База_КР_КК[[#This Row],[Структурное подразделение]],'Списки данных'!$C$2:$C$1048576,0))</f>
        <v>1</v>
      </c>
      <c r="I236" s="80" t="s">
        <v>132</v>
      </c>
      <c r="J236" s="80" t="s">
        <v>195</v>
      </c>
      <c r="K236" s="80" t="s">
        <v>196</v>
      </c>
      <c r="L236" s="30" t="s">
        <v>191</v>
      </c>
      <c r="M236" s="68">
        <v>6</v>
      </c>
      <c r="N236" s="181" t="str">
        <f t="shared" si="4"/>
        <v>да</v>
      </c>
      <c r="O236" s="23">
        <v>44739</v>
      </c>
      <c r="P236" s="23">
        <v>44761</v>
      </c>
      <c r="Q236" s="106" t="s">
        <v>66</v>
      </c>
      <c r="R236" s="37">
        <v>67</v>
      </c>
      <c r="S236" s="38" t="s">
        <v>479</v>
      </c>
      <c r="T236" s="37">
        <v>1181</v>
      </c>
      <c r="U236" s="39" t="s">
        <v>1589</v>
      </c>
      <c r="V236" s="89" t="s">
        <v>272</v>
      </c>
      <c r="W236" s="89" t="s">
        <v>132</v>
      </c>
      <c r="X236" s="106" t="s">
        <v>295</v>
      </c>
      <c r="Y236" s="107" t="s">
        <v>12</v>
      </c>
      <c r="Z236" s="67">
        <f>IF(База_КР_КК[[#This Row],[Таб.номер резервиста]]="-","-",IF(OR(База_КР_КК[[#This Row],[Уровень КК]]=2,База_КР_КК[[#This Row],[Уровень КК]]=3),IF(COUNTIFS($U$2:$U236,$U236,$F$2:$F236,$F236)=1,1,0),IF(COUNTIFS($U$2:$U236,$U236,$L$2:$L236,$L236)=1,1,0)))</f>
        <v>0</v>
      </c>
      <c r="AA2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" s="106"/>
      <c r="AC236" s="51"/>
      <c r="AD236" s="106" t="s">
        <v>17</v>
      </c>
      <c r="AE236" s="38" t="s">
        <v>410</v>
      </c>
    </row>
    <row r="237" spans="1:31" ht="18" customHeight="1" x14ac:dyDescent="0.25">
      <c r="A2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7" s="79">
        <v>4</v>
      </c>
      <c r="C237" s="23">
        <v>44897</v>
      </c>
      <c r="D237" s="67">
        <f>IF(COUNTIF($G$2:$G237,$G237)=1,1,0)</f>
        <v>0</v>
      </c>
      <c r="E237" s="67" t="str">
        <f>IFERROR(VLOOKUP(База_КР_КК[[#This Row],[ИД штатной должности (S)]],'уровень защищенности'!$B$7:$F$1095,5,0),"не защищена")</f>
        <v>высокий</v>
      </c>
      <c r="F237" s="68">
        <v>500373</v>
      </c>
      <c r="G237" s="74" t="s">
        <v>2224</v>
      </c>
      <c r="H237" s="181">
        <f>INDEX('Списки данных'!$D$2:$D$1048576,MATCH(База_КР_КК[[#This Row],[Структурное подразделение]],'Списки данных'!$C$2:$C$1048576,0))</f>
        <v>1</v>
      </c>
      <c r="I237" s="80" t="s">
        <v>132</v>
      </c>
      <c r="J237" s="80" t="s">
        <v>195</v>
      </c>
      <c r="K237" s="80" t="s">
        <v>196</v>
      </c>
      <c r="L237" s="30" t="s">
        <v>191</v>
      </c>
      <c r="M237" s="68">
        <v>6</v>
      </c>
      <c r="N237" s="181" t="str">
        <f t="shared" si="4"/>
        <v>да</v>
      </c>
      <c r="O237" s="23">
        <v>44739</v>
      </c>
      <c r="P237" s="23">
        <v>44761</v>
      </c>
      <c r="Q237" s="106" t="s">
        <v>66</v>
      </c>
      <c r="R237" s="37">
        <v>67</v>
      </c>
      <c r="S237" s="39" t="s">
        <v>479</v>
      </c>
      <c r="T237" s="37">
        <v>1182</v>
      </c>
      <c r="U237" s="38" t="s">
        <v>1590</v>
      </c>
      <c r="V237" s="69" t="s">
        <v>272</v>
      </c>
      <c r="W237" s="89" t="s">
        <v>132</v>
      </c>
      <c r="X237" s="106" t="s">
        <v>296</v>
      </c>
      <c r="Y237" s="107" t="s">
        <v>12</v>
      </c>
      <c r="Z237" s="67">
        <f>IF(База_КР_КК[[#This Row],[Таб.номер резервиста]]="-","-",IF(OR(База_КР_КК[[#This Row],[Уровень КК]]=2,База_КР_КК[[#This Row],[Уровень КК]]=3),IF(COUNTIFS($U$2:$U237,$U237,$F$2:$F237,$F237)=1,1,0),IF(COUNTIFS($U$2:$U237,$U237,$L$2:$L237,$L237)=1,1,0)))</f>
        <v>0</v>
      </c>
      <c r="AA2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" s="106"/>
      <c r="AC237" s="51"/>
      <c r="AD237" s="106" t="s">
        <v>15</v>
      </c>
      <c r="AE237" s="33" t="s">
        <v>410</v>
      </c>
    </row>
    <row r="238" spans="1:31" ht="18" customHeight="1" x14ac:dyDescent="0.25">
      <c r="A2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8" s="79">
        <v>4</v>
      </c>
      <c r="C238" s="23">
        <v>44897</v>
      </c>
      <c r="D238" s="67">
        <f>IF(COUNTIF($G$2:$G238,$G238)=1,1,0)</f>
        <v>0</v>
      </c>
      <c r="E238" s="67" t="str">
        <f>IFERROR(VLOOKUP(База_КР_КК[[#This Row],[ИД штатной должности (S)]],'уровень защищенности'!$B$7:$F$1095,5,0),"не защищена")</f>
        <v>высокий</v>
      </c>
      <c r="F238" s="68">
        <v>500373</v>
      </c>
      <c r="G238" s="74" t="s">
        <v>2224</v>
      </c>
      <c r="H238" s="181">
        <f>INDEX('Списки данных'!$D$2:$D$1048576,MATCH(База_КР_КК[[#This Row],[Структурное подразделение]],'Списки данных'!$C$2:$C$1048576,0))</f>
        <v>1</v>
      </c>
      <c r="I238" s="80" t="s">
        <v>132</v>
      </c>
      <c r="J238" s="80" t="s">
        <v>195</v>
      </c>
      <c r="K238" s="80" t="s">
        <v>196</v>
      </c>
      <c r="L238" s="30" t="s">
        <v>191</v>
      </c>
      <c r="M238" s="68">
        <v>6</v>
      </c>
      <c r="N238" s="181" t="str">
        <f t="shared" si="4"/>
        <v>да</v>
      </c>
      <c r="O238" s="23">
        <v>44739</v>
      </c>
      <c r="P238" s="23">
        <v>44761</v>
      </c>
      <c r="Q238" s="106" t="s">
        <v>66</v>
      </c>
      <c r="R238" s="37">
        <v>67</v>
      </c>
      <c r="S238" s="39" t="s">
        <v>479</v>
      </c>
      <c r="T238" s="37">
        <v>1183</v>
      </c>
      <c r="U238" s="38" t="s">
        <v>1591</v>
      </c>
      <c r="V238" s="69" t="s">
        <v>272</v>
      </c>
      <c r="W238" s="89" t="s">
        <v>132</v>
      </c>
      <c r="X238" s="106" t="s">
        <v>296</v>
      </c>
      <c r="Y238" s="107" t="s">
        <v>12</v>
      </c>
      <c r="Z238" s="67">
        <f>IF(База_КР_КК[[#This Row],[Таб.номер резервиста]]="-","-",IF(OR(База_КР_КК[[#This Row],[Уровень КК]]=2,База_КР_КК[[#This Row],[Уровень КК]]=3),IF(COUNTIFS($U$2:$U238,$U238,$F$2:$F238,$F238)=1,1,0),IF(COUNTIFS($U$2:$U238,$U238,$L$2:$L238,$L238)=1,1,0)))</f>
        <v>0</v>
      </c>
      <c r="AA2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" s="106"/>
      <c r="AC238" s="51"/>
      <c r="AD238" s="106" t="s">
        <v>15</v>
      </c>
      <c r="AE238" s="33" t="s">
        <v>410</v>
      </c>
    </row>
    <row r="239" spans="1:31" ht="18" customHeight="1" x14ac:dyDescent="0.25">
      <c r="A2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39" s="79">
        <v>4</v>
      </c>
      <c r="C239" s="23">
        <v>44897</v>
      </c>
      <c r="D239" s="67">
        <f>IF(COUNTIF($G$2:$G239,$G239)=1,1,0)</f>
        <v>0</v>
      </c>
      <c r="E239" s="67" t="str">
        <f>IFERROR(VLOOKUP(База_КР_КК[[#This Row],[ИД штатной должности (S)]],'уровень защищенности'!$B$7:$F$1095,5,0),"не защищена")</f>
        <v>высокий</v>
      </c>
      <c r="F239" s="68">
        <v>500373</v>
      </c>
      <c r="G239" s="74" t="s">
        <v>2224</v>
      </c>
      <c r="H239" s="181">
        <f>INDEX('Списки данных'!$D$2:$D$1048576,MATCH(База_КР_КК[[#This Row],[Структурное подразделение]],'Списки данных'!$C$2:$C$1048576,0))</f>
        <v>1</v>
      </c>
      <c r="I239" s="80" t="s">
        <v>132</v>
      </c>
      <c r="J239" s="80" t="s">
        <v>195</v>
      </c>
      <c r="K239" s="80" t="s">
        <v>196</v>
      </c>
      <c r="L239" s="30" t="s">
        <v>191</v>
      </c>
      <c r="M239" s="68">
        <v>6</v>
      </c>
      <c r="N239" s="181" t="str">
        <f t="shared" si="4"/>
        <v>да</v>
      </c>
      <c r="O239" s="23">
        <v>44739</v>
      </c>
      <c r="P239" s="23">
        <v>44761</v>
      </c>
      <c r="Q239" s="106" t="s">
        <v>66</v>
      </c>
      <c r="R239" s="37">
        <v>67</v>
      </c>
      <c r="S239" s="39" t="s">
        <v>479</v>
      </c>
      <c r="T239" s="37">
        <v>1184</v>
      </c>
      <c r="U239" s="38" t="s">
        <v>1592</v>
      </c>
      <c r="V239" s="69" t="s">
        <v>272</v>
      </c>
      <c r="W239" s="89" t="s">
        <v>132</v>
      </c>
      <c r="X239" s="106" t="s">
        <v>296</v>
      </c>
      <c r="Y239" s="107" t="s">
        <v>12</v>
      </c>
      <c r="Z239" s="67">
        <f>IF(База_КР_КК[[#This Row],[Таб.номер резервиста]]="-","-",IF(OR(База_КР_КК[[#This Row],[Уровень КК]]=2,База_КР_КК[[#This Row],[Уровень КК]]=3),IF(COUNTIFS($U$2:$U239,$U239,$F$2:$F239,$F239)=1,1,0),IF(COUNTIFS($U$2:$U239,$U239,$L$2:$L239,$L239)=1,1,0)))</f>
        <v>0</v>
      </c>
      <c r="AA2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" s="106"/>
      <c r="AC239" s="51"/>
      <c r="AD239" s="106" t="s">
        <v>15</v>
      </c>
      <c r="AE239" s="33" t="s">
        <v>410</v>
      </c>
    </row>
    <row r="240" spans="1:31" ht="18" customHeight="1" x14ac:dyDescent="0.25">
      <c r="A2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0" s="79">
        <v>4</v>
      </c>
      <c r="C240" s="23">
        <v>44897</v>
      </c>
      <c r="D240" s="67">
        <f>IF(COUNTIF($G$2:$G240,$G240)=1,1,0)</f>
        <v>0</v>
      </c>
      <c r="E240" s="67" t="str">
        <f>IFERROR(VLOOKUP(База_КР_КК[[#This Row],[ИД штатной должности (S)]],'уровень защищенности'!$B$7:$F$1095,5,0),"не защищена")</f>
        <v>высокий</v>
      </c>
      <c r="F240" s="68">
        <v>500373</v>
      </c>
      <c r="G240" s="74" t="s">
        <v>2224</v>
      </c>
      <c r="H240" s="181">
        <f>INDEX('Списки данных'!$D$2:$D$1048576,MATCH(База_КР_КК[[#This Row],[Структурное подразделение]],'Списки данных'!$C$2:$C$1048576,0))</f>
        <v>1</v>
      </c>
      <c r="I240" s="80" t="s">
        <v>132</v>
      </c>
      <c r="J240" s="80" t="s">
        <v>195</v>
      </c>
      <c r="K240" s="80" t="s">
        <v>196</v>
      </c>
      <c r="L240" s="30" t="s">
        <v>191</v>
      </c>
      <c r="M240" s="68">
        <v>6</v>
      </c>
      <c r="N240" s="181" t="str">
        <f t="shared" si="4"/>
        <v>да</v>
      </c>
      <c r="O240" s="23">
        <v>44739</v>
      </c>
      <c r="P240" s="23">
        <v>44761</v>
      </c>
      <c r="Q240" s="106" t="s">
        <v>66</v>
      </c>
      <c r="R240" s="37">
        <v>67</v>
      </c>
      <c r="S240" s="39" t="s">
        <v>479</v>
      </c>
      <c r="T240" s="37">
        <v>1185</v>
      </c>
      <c r="U240" s="38" t="s">
        <v>1593</v>
      </c>
      <c r="V240" s="69" t="s">
        <v>272</v>
      </c>
      <c r="W240" s="89" t="s">
        <v>132</v>
      </c>
      <c r="X240" s="106" t="s">
        <v>295</v>
      </c>
      <c r="Y240" s="107" t="s">
        <v>12</v>
      </c>
      <c r="Z240" s="67">
        <f>IF(База_КР_КК[[#This Row],[Таб.номер резервиста]]="-","-",IF(OR(База_КР_КК[[#This Row],[Уровень КК]]=2,База_КР_КК[[#This Row],[Уровень КК]]=3),IF(COUNTIFS($U$2:$U240,$U240,$F$2:$F240,$F240)=1,1,0),IF(COUNTIFS($U$2:$U240,$U240,$L$2:$L240,$L240)=1,1,0)))</f>
        <v>0</v>
      </c>
      <c r="AA2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" s="106"/>
      <c r="AC240" s="51"/>
      <c r="AD240" s="106" t="s">
        <v>15</v>
      </c>
      <c r="AE240" s="33" t="s">
        <v>410</v>
      </c>
    </row>
    <row r="241" spans="1:31" ht="18" customHeight="1" x14ac:dyDescent="0.25">
      <c r="A2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1" s="79">
        <v>4</v>
      </c>
      <c r="C241" s="23">
        <v>43783</v>
      </c>
      <c r="D241" s="67">
        <f>IF(COUNTIF($G$2:$G241,$G241)=1,1,0)</f>
        <v>0</v>
      </c>
      <c r="E241" s="67" t="str">
        <f>IFERROR(VLOOKUP(База_КР_КК[[#This Row],[ИД штатной должности (S)]],'уровень защищенности'!$B$7:$F$1095,5,0),"не защищена")</f>
        <v>высокий</v>
      </c>
      <c r="F241" s="68">
        <v>500373</v>
      </c>
      <c r="G241" s="74" t="s">
        <v>2224</v>
      </c>
      <c r="H241" s="181">
        <f>INDEX('Списки данных'!$D$2:$D$1048576,MATCH(База_КР_КК[[#This Row],[Структурное подразделение]],'Списки данных'!$C$2:$C$1048576,0))</f>
        <v>1</v>
      </c>
      <c r="I241" s="80" t="s">
        <v>132</v>
      </c>
      <c r="J241" s="80" t="s">
        <v>195</v>
      </c>
      <c r="K241" s="80" t="s">
        <v>196</v>
      </c>
      <c r="L241" s="30" t="s">
        <v>191</v>
      </c>
      <c r="M241" s="68">
        <v>6</v>
      </c>
      <c r="N241" s="181" t="str">
        <f t="shared" si="4"/>
        <v>да</v>
      </c>
      <c r="O241" s="23">
        <v>44739</v>
      </c>
      <c r="P241" s="23">
        <v>44761</v>
      </c>
      <c r="Q241" s="106" t="s">
        <v>66</v>
      </c>
      <c r="R241" s="37">
        <v>67</v>
      </c>
      <c r="S241" s="39" t="s">
        <v>479</v>
      </c>
      <c r="T241" s="37">
        <v>68</v>
      </c>
      <c r="U241" s="39" t="s">
        <v>480</v>
      </c>
      <c r="V241" s="89" t="s">
        <v>192</v>
      </c>
      <c r="W241" s="89" t="s">
        <v>132</v>
      </c>
      <c r="X241" s="106" t="s">
        <v>295</v>
      </c>
      <c r="Y241" s="107" t="s">
        <v>14</v>
      </c>
      <c r="Z241" s="67">
        <f>IF(База_КР_КК[[#This Row],[Таб.номер резервиста]]="-","-",IF(OR(База_КР_КК[[#This Row],[Уровень КК]]=2,База_КР_КК[[#This Row],[Уровень КК]]=3),IF(COUNTIFS($U$2:$U241,$U241,$F$2:$F241,$F241)=1,1,0),IF(COUNTIFS($U$2:$U241,$U241,$L$2:$L241,$L241)=1,1,0)))</f>
        <v>1</v>
      </c>
      <c r="AA2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1" s="106" t="s">
        <v>24</v>
      </c>
      <c r="AC241" s="51">
        <v>44151</v>
      </c>
      <c r="AD241" s="106" t="s">
        <v>31</v>
      </c>
      <c r="AE241" s="38" t="s">
        <v>315</v>
      </c>
    </row>
    <row r="242" spans="1:31" ht="18" customHeight="1" x14ac:dyDescent="0.25">
      <c r="A2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2" s="79">
        <v>4</v>
      </c>
      <c r="C242" s="23">
        <v>44496</v>
      </c>
      <c r="D242" s="67">
        <f>IF(COUNTIF($G$2:$G242,$G242)=1,1,0)</f>
        <v>0</v>
      </c>
      <c r="E242" s="67" t="str">
        <f>IFERROR(VLOOKUP(База_КР_КК[[#This Row],[ИД штатной должности (S)]],'уровень защищенности'!$B$7:$F$1095,5,0),"не защищена")</f>
        <v>высокий</v>
      </c>
      <c r="F242" s="68">
        <v>500373</v>
      </c>
      <c r="G242" s="74" t="s">
        <v>2224</v>
      </c>
      <c r="H242" s="181">
        <f>INDEX('Списки данных'!$D$2:$D$1048576,MATCH(База_КР_КК[[#This Row],[Структурное подразделение]],'Списки данных'!$C$2:$C$1048576,0))</f>
        <v>1</v>
      </c>
      <c r="I242" s="80" t="s">
        <v>132</v>
      </c>
      <c r="J242" s="80" t="s">
        <v>195</v>
      </c>
      <c r="K242" s="80" t="s">
        <v>196</v>
      </c>
      <c r="L242" s="30" t="s">
        <v>191</v>
      </c>
      <c r="M242" s="68">
        <v>6</v>
      </c>
      <c r="N242" s="181" t="str">
        <f t="shared" si="4"/>
        <v>да</v>
      </c>
      <c r="O242" s="23">
        <v>44739</v>
      </c>
      <c r="P242" s="23">
        <v>44761</v>
      </c>
      <c r="Q242" s="106" t="s">
        <v>66</v>
      </c>
      <c r="R242" s="37">
        <v>67</v>
      </c>
      <c r="S242" s="39" t="s">
        <v>479</v>
      </c>
      <c r="T242" s="37">
        <v>70</v>
      </c>
      <c r="U242" s="39" t="s">
        <v>482</v>
      </c>
      <c r="V242" s="89" t="s">
        <v>192</v>
      </c>
      <c r="W242" s="89" t="s">
        <v>132</v>
      </c>
      <c r="X242" s="106" t="s">
        <v>295</v>
      </c>
      <c r="Y242" s="107" t="s">
        <v>14</v>
      </c>
      <c r="Z242" s="67">
        <f>IF(База_КР_КК[[#This Row],[Таб.номер резервиста]]="-","-",IF(OR(База_КР_КК[[#This Row],[Уровень КК]]=2,База_КР_КК[[#This Row],[Уровень КК]]=3),IF(COUNTIFS($U$2:$U242,$U242,$F$2:$F242,$F242)=1,1,0),IF(COUNTIFS($U$2:$U242,$U242,$L$2:$L242,$L242)=1,1,0)))</f>
        <v>0</v>
      </c>
      <c r="AA2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" s="106" t="s">
        <v>24</v>
      </c>
      <c r="AC242" s="51">
        <v>44939</v>
      </c>
      <c r="AD242" s="106" t="s">
        <v>17</v>
      </c>
      <c r="AE242" s="33" t="s">
        <v>410</v>
      </c>
    </row>
    <row r="243" spans="1:31" ht="18" customHeight="1" x14ac:dyDescent="0.25">
      <c r="A2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3" s="79">
        <v>4</v>
      </c>
      <c r="C243" s="23">
        <v>43783</v>
      </c>
      <c r="D243" s="67">
        <f>IF(COUNTIF($G$2:$G243,$G243)=1,1,0)</f>
        <v>1</v>
      </c>
      <c r="E243" s="67" t="str">
        <f>IFERROR(VLOOKUP(База_КР_КК[[#This Row],[ИД штатной должности (S)]],'уровень защищенности'!$B$7:$F$1095,5,0),"не защищена")</f>
        <v>высокий</v>
      </c>
      <c r="F243" s="68">
        <v>500374</v>
      </c>
      <c r="G243" s="74" t="s">
        <v>2225</v>
      </c>
      <c r="H243" s="181">
        <f>INDEX('Списки данных'!$D$2:$D$1048576,MATCH(База_КР_КК[[#This Row],[Структурное подразделение]],'Списки данных'!$C$2:$C$1048576,0))</f>
        <v>1</v>
      </c>
      <c r="I243" s="80" t="s">
        <v>132</v>
      </c>
      <c r="J243" s="80" t="s">
        <v>195</v>
      </c>
      <c r="K243" s="80" t="s">
        <v>196</v>
      </c>
      <c r="L243" s="30" t="s">
        <v>191</v>
      </c>
      <c r="M243" s="68">
        <v>6</v>
      </c>
      <c r="N243" s="181" t="str">
        <f t="shared" si="4"/>
        <v>нет</v>
      </c>
      <c r="O243" s="23"/>
      <c r="P243" s="23"/>
      <c r="Q243" s="106"/>
      <c r="R243" s="37">
        <v>68</v>
      </c>
      <c r="S243" s="38" t="s">
        <v>480</v>
      </c>
      <c r="T243" s="37">
        <v>1177</v>
      </c>
      <c r="U243" s="39" t="s">
        <v>1585</v>
      </c>
      <c r="V243" s="89" t="s">
        <v>272</v>
      </c>
      <c r="W243" s="89" t="s">
        <v>132</v>
      </c>
      <c r="X243" s="106" t="s">
        <v>295</v>
      </c>
      <c r="Y243" s="107" t="s">
        <v>12</v>
      </c>
      <c r="Z243" s="67">
        <f>IF(База_КР_КК[[#This Row],[Таб.номер резервиста]]="-","-",IF(OR(База_КР_КК[[#This Row],[Уровень КК]]=2,База_КР_КК[[#This Row],[Уровень КК]]=3),IF(COUNTIFS($U$2:$U243,$U243,$F$2:$F243,$F243)=1,1,0),IF(COUNTIFS($U$2:$U243,$U243,$L$2:$L243,$L243)=1,1,0)))</f>
        <v>0</v>
      </c>
      <c r="AA2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" s="106"/>
      <c r="AC243" s="51"/>
      <c r="AD243" s="106" t="s">
        <v>13</v>
      </c>
      <c r="AE243" s="38" t="s">
        <v>410</v>
      </c>
    </row>
    <row r="244" spans="1:31" ht="18" customHeight="1" x14ac:dyDescent="0.25">
      <c r="A2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4" s="79">
        <v>4</v>
      </c>
      <c r="C244" s="23">
        <v>43783</v>
      </c>
      <c r="D244" s="67">
        <f>IF(COUNTIF($G$2:$G244,$G244)=1,1,0)</f>
        <v>0</v>
      </c>
      <c r="E244" s="67" t="str">
        <f>IFERROR(VLOOKUP(База_КР_КК[[#This Row],[ИД штатной должности (S)]],'уровень защищенности'!$B$7:$F$1095,5,0),"не защищена")</f>
        <v>высокий</v>
      </c>
      <c r="F244" s="68">
        <v>500374</v>
      </c>
      <c r="G244" s="74" t="s">
        <v>2225</v>
      </c>
      <c r="H244" s="181">
        <f>INDEX('Списки данных'!$D$2:$D$1048576,MATCH(База_КР_КК[[#This Row],[Структурное подразделение]],'Списки данных'!$C$2:$C$1048576,0))</f>
        <v>1</v>
      </c>
      <c r="I244" s="80" t="s">
        <v>132</v>
      </c>
      <c r="J244" s="80" t="s">
        <v>195</v>
      </c>
      <c r="K244" s="80" t="s">
        <v>196</v>
      </c>
      <c r="L244" s="30" t="s">
        <v>191</v>
      </c>
      <c r="M244" s="68">
        <v>6</v>
      </c>
      <c r="N244" s="181" t="str">
        <f t="shared" si="4"/>
        <v>нет</v>
      </c>
      <c r="O244" s="23"/>
      <c r="P244" s="23"/>
      <c r="Q244" s="106"/>
      <c r="R244" s="37">
        <v>68</v>
      </c>
      <c r="S244" s="38" t="s">
        <v>480</v>
      </c>
      <c r="T244" s="37">
        <v>1178</v>
      </c>
      <c r="U244" s="39" t="s">
        <v>1586</v>
      </c>
      <c r="V244" s="89" t="s">
        <v>272</v>
      </c>
      <c r="W244" s="89" t="s">
        <v>132</v>
      </c>
      <c r="X244" s="106" t="s">
        <v>295</v>
      </c>
      <c r="Y244" s="107" t="s">
        <v>12</v>
      </c>
      <c r="Z244" s="67">
        <f>IF(База_КР_КК[[#This Row],[Таб.номер резервиста]]="-","-",IF(OR(База_КР_КК[[#This Row],[Уровень КК]]=2,База_КР_КК[[#This Row],[Уровень КК]]=3),IF(COUNTIFS($U$2:$U244,$U244,$F$2:$F244,$F244)=1,1,0),IF(COUNTIFS($U$2:$U244,$U244,$L$2:$L244,$L244)=1,1,0)))</f>
        <v>0</v>
      </c>
      <c r="AA2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" s="106"/>
      <c r="AC244" s="51"/>
      <c r="AD244" s="106" t="s">
        <v>13</v>
      </c>
      <c r="AE244" s="38" t="s">
        <v>410</v>
      </c>
    </row>
    <row r="245" spans="1:31" ht="18" customHeight="1" x14ac:dyDescent="0.25">
      <c r="A2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5" s="79">
        <v>4</v>
      </c>
      <c r="C245" s="23">
        <v>43783</v>
      </c>
      <c r="D245" s="67">
        <f>IF(COUNTIF($G$2:$G245,$G245)=1,1,0)</f>
        <v>0</v>
      </c>
      <c r="E245" s="67" t="str">
        <f>IFERROR(VLOOKUP(База_КР_КК[[#This Row],[ИД штатной должности (S)]],'уровень защищенности'!$B$7:$F$1095,5,0),"не защищена")</f>
        <v>высокий</v>
      </c>
      <c r="F245" s="68">
        <v>500374</v>
      </c>
      <c r="G245" s="74" t="s">
        <v>2225</v>
      </c>
      <c r="H245" s="181">
        <f>INDEX('Списки данных'!$D$2:$D$1048576,MATCH(База_КР_КК[[#This Row],[Структурное подразделение]],'Списки данных'!$C$2:$C$1048576,0))</f>
        <v>1</v>
      </c>
      <c r="I245" s="80" t="s">
        <v>132</v>
      </c>
      <c r="J245" s="80" t="s">
        <v>195</v>
      </c>
      <c r="K245" s="80" t="s">
        <v>196</v>
      </c>
      <c r="L245" s="30" t="s">
        <v>191</v>
      </c>
      <c r="M245" s="68">
        <v>6</v>
      </c>
      <c r="N245" s="181" t="str">
        <f t="shared" si="4"/>
        <v>нет</v>
      </c>
      <c r="O245" s="23"/>
      <c r="P245" s="23"/>
      <c r="Q245" s="106"/>
      <c r="R245" s="37">
        <v>68</v>
      </c>
      <c r="S245" s="38" t="s">
        <v>480</v>
      </c>
      <c r="T245" s="37">
        <v>1179</v>
      </c>
      <c r="U245" s="39" t="s">
        <v>1587</v>
      </c>
      <c r="V245" s="89" t="s">
        <v>272</v>
      </c>
      <c r="W245" s="89" t="s">
        <v>132</v>
      </c>
      <c r="X245" s="106" t="s">
        <v>295</v>
      </c>
      <c r="Y245" s="107" t="s">
        <v>12</v>
      </c>
      <c r="Z245" s="67">
        <f>IF(База_КР_КК[[#This Row],[Таб.номер резервиста]]="-","-",IF(OR(База_КР_КК[[#This Row],[Уровень КК]]=2,База_КР_КК[[#This Row],[Уровень КК]]=3),IF(COUNTIFS($U$2:$U245,$U245,$F$2:$F245,$F245)=1,1,0),IF(COUNTIFS($U$2:$U245,$U245,$L$2:$L245,$L245)=1,1,0)))</f>
        <v>0</v>
      </c>
      <c r="AA2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" s="106"/>
      <c r="AC245" s="51"/>
      <c r="AD245" s="106" t="s">
        <v>17</v>
      </c>
      <c r="AE245" s="38" t="s">
        <v>410</v>
      </c>
    </row>
    <row r="246" spans="1:31" ht="18" customHeight="1" x14ac:dyDescent="0.25">
      <c r="A2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6" s="79">
        <v>4</v>
      </c>
      <c r="C246" s="23">
        <v>43783</v>
      </c>
      <c r="D246" s="67">
        <f>IF(COUNTIF($G$2:$G246,$G246)=1,1,0)</f>
        <v>0</v>
      </c>
      <c r="E246" s="67" t="str">
        <f>IFERROR(VLOOKUP(База_КР_КК[[#This Row],[ИД штатной должности (S)]],'уровень защищенности'!$B$7:$F$1095,5,0),"не защищена")</f>
        <v>высокий</v>
      </c>
      <c r="F246" s="68">
        <v>500373</v>
      </c>
      <c r="G246" s="74" t="s">
        <v>2225</v>
      </c>
      <c r="H246" s="181">
        <f>INDEX('Списки данных'!$D$2:$D$1048576,MATCH(База_КР_КК[[#This Row],[Структурное подразделение]],'Списки данных'!$C$2:$C$1048576,0))</f>
        <v>1</v>
      </c>
      <c r="I246" s="80" t="s">
        <v>132</v>
      </c>
      <c r="J246" s="80" t="s">
        <v>195</v>
      </c>
      <c r="K246" s="80" t="s">
        <v>196</v>
      </c>
      <c r="L246" s="30" t="s">
        <v>191</v>
      </c>
      <c r="M246" s="68">
        <v>6</v>
      </c>
      <c r="N246" s="181" t="str">
        <f t="shared" si="4"/>
        <v>нет</v>
      </c>
      <c r="O246" s="23"/>
      <c r="P246" s="23"/>
      <c r="Q246" s="106"/>
      <c r="R246" s="37">
        <v>68</v>
      </c>
      <c r="S246" s="38" t="s">
        <v>480</v>
      </c>
      <c r="T246" s="37">
        <v>1176</v>
      </c>
      <c r="U246" s="39" t="s">
        <v>1584</v>
      </c>
      <c r="V246" s="89" t="s">
        <v>272</v>
      </c>
      <c r="W246" s="89" t="s">
        <v>132</v>
      </c>
      <c r="X246" s="106" t="s">
        <v>295</v>
      </c>
      <c r="Y246" s="107" t="s">
        <v>12</v>
      </c>
      <c r="Z246" s="67">
        <f>IF(База_КР_КК[[#This Row],[Таб.номер резервиста]]="-","-",IF(OR(База_КР_КК[[#This Row],[Уровень КК]]=2,База_КР_КК[[#This Row],[Уровень КК]]=3),IF(COUNTIFS($U$2:$U246,$U246,$F$2:$F246,$F246)=1,1,0),IF(COUNTIFS($U$2:$U246,$U246,$L$2:$L246,$L246)=1,1,0)))</f>
        <v>0</v>
      </c>
      <c r="AA2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" s="106"/>
      <c r="AC246" s="51"/>
      <c r="AD246" s="106" t="s">
        <v>13</v>
      </c>
      <c r="AE246" s="38" t="s">
        <v>410</v>
      </c>
    </row>
    <row r="247" spans="1:31" ht="18" customHeight="1" x14ac:dyDescent="0.25">
      <c r="A2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7" s="79">
        <v>4</v>
      </c>
      <c r="C247" s="23">
        <v>43783</v>
      </c>
      <c r="D247" s="67">
        <f>IF(COUNTIF($G$2:$G247,$G247)=1,1,0)</f>
        <v>0</v>
      </c>
      <c r="E247" s="67" t="str">
        <f>IFERROR(VLOOKUP(База_КР_КК[[#This Row],[ИД штатной должности (S)]],'уровень защищенности'!$B$7:$F$1095,5,0),"не защищена")</f>
        <v>высокий</v>
      </c>
      <c r="F247" s="68">
        <v>500373</v>
      </c>
      <c r="G247" s="74" t="s">
        <v>2225</v>
      </c>
      <c r="H247" s="181">
        <f>INDEX('Списки данных'!$D$2:$D$1048576,MATCH(База_КР_КК[[#This Row],[Структурное подразделение]],'Списки данных'!$C$2:$C$1048576,0))</f>
        <v>1</v>
      </c>
      <c r="I247" s="80" t="s">
        <v>132</v>
      </c>
      <c r="J247" s="80" t="s">
        <v>195</v>
      </c>
      <c r="K247" s="80" t="s">
        <v>196</v>
      </c>
      <c r="L247" s="30" t="s">
        <v>191</v>
      </c>
      <c r="M247" s="68">
        <v>6</v>
      </c>
      <c r="N247" s="181" t="str">
        <f t="shared" si="4"/>
        <v>нет</v>
      </c>
      <c r="O247" s="23"/>
      <c r="P247" s="23"/>
      <c r="Q247" s="106"/>
      <c r="R247" s="37">
        <v>68</v>
      </c>
      <c r="S247" s="38" t="s">
        <v>480</v>
      </c>
      <c r="T247" s="37">
        <v>1180</v>
      </c>
      <c r="U247" s="39" t="s">
        <v>1588</v>
      </c>
      <c r="V247" s="89" t="s">
        <v>272</v>
      </c>
      <c r="W247" s="89" t="s">
        <v>132</v>
      </c>
      <c r="X247" s="106" t="s">
        <v>295</v>
      </c>
      <c r="Y247" s="107" t="s">
        <v>12</v>
      </c>
      <c r="Z247" s="67">
        <f>IF(База_КР_КК[[#This Row],[Таб.номер резервиста]]="-","-",IF(OR(База_КР_КК[[#This Row],[Уровень КК]]=2,База_КР_КК[[#This Row],[Уровень КК]]=3),IF(COUNTIFS($U$2:$U247,$U247,$F$2:$F247,$F247)=1,1,0),IF(COUNTIFS($U$2:$U247,$U247,$L$2:$L247,$L247)=1,1,0)))</f>
        <v>0</v>
      </c>
      <c r="AA2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" s="106"/>
      <c r="AC247" s="51"/>
      <c r="AD247" s="106" t="s">
        <v>17</v>
      </c>
      <c r="AE247" s="38" t="s">
        <v>410</v>
      </c>
    </row>
    <row r="248" spans="1:31" ht="18" customHeight="1" x14ac:dyDescent="0.25">
      <c r="A2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8" s="79">
        <v>4</v>
      </c>
      <c r="C248" s="23">
        <v>44113</v>
      </c>
      <c r="D248" s="67">
        <f>IF(COUNTIF($G$2:$G248,$G248)=1,1,0)</f>
        <v>0</v>
      </c>
      <c r="E248" s="67" t="str">
        <f>IFERROR(VLOOKUP(База_КР_КК[[#This Row],[ИД штатной должности (S)]],'уровень защищенности'!$B$7:$F$1095,5,0),"не защищена")</f>
        <v>высокий</v>
      </c>
      <c r="F248" s="68">
        <v>500373</v>
      </c>
      <c r="G248" s="74" t="s">
        <v>2225</v>
      </c>
      <c r="H248" s="181">
        <f>INDEX('Списки данных'!$D$2:$D$1048576,MATCH(База_КР_КК[[#This Row],[Структурное подразделение]],'Списки данных'!$C$2:$C$1048576,0))</f>
        <v>1</v>
      </c>
      <c r="I248" s="80" t="s">
        <v>132</v>
      </c>
      <c r="J248" s="80" t="s">
        <v>195</v>
      </c>
      <c r="K248" s="80" t="s">
        <v>196</v>
      </c>
      <c r="L248" s="30" t="s">
        <v>191</v>
      </c>
      <c r="M248" s="68">
        <v>6</v>
      </c>
      <c r="N248" s="181" t="str">
        <f t="shared" si="4"/>
        <v>нет</v>
      </c>
      <c r="O248" s="23"/>
      <c r="P248" s="23"/>
      <c r="Q248" s="106"/>
      <c r="R248" s="37">
        <v>68</v>
      </c>
      <c r="S248" s="38" t="s">
        <v>480</v>
      </c>
      <c r="T248" s="37">
        <v>1181</v>
      </c>
      <c r="U248" s="39" t="s">
        <v>1589</v>
      </c>
      <c r="V248" s="89" t="s">
        <v>272</v>
      </c>
      <c r="W248" s="89" t="s">
        <v>132</v>
      </c>
      <c r="X248" s="106" t="s">
        <v>295</v>
      </c>
      <c r="Y248" s="107" t="s">
        <v>12</v>
      </c>
      <c r="Z248" s="67">
        <f>IF(База_КР_КК[[#This Row],[Таб.номер резервиста]]="-","-",IF(OR(База_КР_КК[[#This Row],[Уровень КК]]=2,База_КР_КК[[#This Row],[Уровень КК]]=3),IF(COUNTIFS($U$2:$U248,$U248,$F$2:$F248,$F248)=1,1,0),IF(COUNTIFS($U$2:$U248,$U248,$L$2:$L248,$L248)=1,1,0)))</f>
        <v>0</v>
      </c>
      <c r="AA2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" s="106"/>
      <c r="AC248" s="51"/>
      <c r="AD248" s="106" t="s">
        <v>17</v>
      </c>
      <c r="AE248" s="38" t="s">
        <v>410</v>
      </c>
    </row>
    <row r="249" spans="1:31" ht="18" customHeight="1" x14ac:dyDescent="0.25">
      <c r="A2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49" s="79">
        <v>4</v>
      </c>
      <c r="C249" s="23">
        <v>44897</v>
      </c>
      <c r="D249" s="67">
        <f>IF(COUNTIF($G$2:$G249,$G249)=1,1,0)</f>
        <v>0</v>
      </c>
      <c r="E249" s="67" t="str">
        <f>IFERROR(VLOOKUP(База_КР_КК[[#This Row],[ИД штатной должности (S)]],'уровень защищенности'!$B$7:$F$1095,5,0),"не защищена")</f>
        <v>высокий</v>
      </c>
      <c r="F249" s="68">
        <v>500373</v>
      </c>
      <c r="G249" s="74" t="s">
        <v>2225</v>
      </c>
      <c r="H249" s="181">
        <f>INDEX('Списки данных'!$D$2:$D$1048576,MATCH(База_КР_КК[[#This Row],[Структурное подразделение]],'Списки данных'!$C$2:$C$1048576,0))</f>
        <v>1</v>
      </c>
      <c r="I249" s="80" t="s">
        <v>132</v>
      </c>
      <c r="J249" s="80" t="s">
        <v>195</v>
      </c>
      <c r="K249" s="80" t="s">
        <v>196</v>
      </c>
      <c r="L249" s="30" t="s">
        <v>191</v>
      </c>
      <c r="M249" s="68">
        <v>6</v>
      </c>
      <c r="N249" s="181" t="str">
        <f t="shared" si="4"/>
        <v>нет</v>
      </c>
      <c r="O249" s="23"/>
      <c r="P249" s="23"/>
      <c r="Q249" s="106"/>
      <c r="R249" s="37">
        <v>68</v>
      </c>
      <c r="S249" s="39" t="s">
        <v>480</v>
      </c>
      <c r="T249" s="37">
        <v>1183</v>
      </c>
      <c r="U249" s="38" t="s">
        <v>1591</v>
      </c>
      <c r="V249" s="69" t="s">
        <v>272</v>
      </c>
      <c r="W249" s="89" t="s">
        <v>132</v>
      </c>
      <c r="X249" s="106" t="s">
        <v>296</v>
      </c>
      <c r="Y249" s="107" t="s">
        <v>12</v>
      </c>
      <c r="Z249" s="67">
        <f>IF(База_КР_КК[[#This Row],[Таб.номер резервиста]]="-","-",IF(OR(База_КР_КК[[#This Row],[Уровень КК]]=2,База_КР_КК[[#This Row],[Уровень КК]]=3),IF(COUNTIFS($U$2:$U249,$U249,$F$2:$F249,$F249)=1,1,0),IF(COUNTIFS($U$2:$U249,$U249,$L$2:$L249,$L249)=1,1,0)))</f>
        <v>0</v>
      </c>
      <c r="AA2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" s="106"/>
      <c r="AC249" s="51"/>
      <c r="AD249" s="106" t="s">
        <v>15</v>
      </c>
      <c r="AE249" s="33" t="s">
        <v>410</v>
      </c>
    </row>
    <row r="250" spans="1:31" ht="18" customHeight="1" x14ac:dyDescent="0.25">
      <c r="A2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0" s="79">
        <v>4</v>
      </c>
      <c r="C250" s="23">
        <v>44897</v>
      </c>
      <c r="D250" s="67">
        <f>IF(COUNTIF($G$2:$G250,$G250)=1,1,0)</f>
        <v>0</v>
      </c>
      <c r="E250" s="67" t="str">
        <f>IFERROR(VLOOKUP(База_КР_КК[[#This Row],[ИД штатной должности (S)]],'уровень защищенности'!$B$7:$F$1095,5,0),"не защищена")</f>
        <v>высокий</v>
      </c>
      <c r="F250" s="68">
        <v>500373</v>
      </c>
      <c r="G250" s="74" t="s">
        <v>2225</v>
      </c>
      <c r="H250" s="181">
        <f>INDEX('Списки данных'!$D$2:$D$1048576,MATCH(База_КР_КК[[#This Row],[Структурное подразделение]],'Списки данных'!$C$2:$C$1048576,0))</f>
        <v>1</v>
      </c>
      <c r="I250" s="80" t="s">
        <v>132</v>
      </c>
      <c r="J250" s="80" t="s">
        <v>195</v>
      </c>
      <c r="K250" s="80" t="s">
        <v>196</v>
      </c>
      <c r="L250" s="30" t="s">
        <v>191</v>
      </c>
      <c r="M250" s="68">
        <v>6</v>
      </c>
      <c r="N250" s="181" t="str">
        <f t="shared" si="4"/>
        <v>нет</v>
      </c>
      <c r="O250" s="23"/>
      <c r="P250" s="23"/>
      <c r="Q250" s="106"/>
      <c r="R250" s="37">
        <v>68</v>
      </c>
      <c r="S250" s="39" t="s">
        <v>480</v>
      </c>
      <c r="T250" s="37">
        <v>1184</v>
      </c>
      <c r="U250" s="38" t="s">
        <v>1592</v>
      </c>
      <c r="V250" s="69" t="s">
        <v>272</v>
      </c>
      <c r="W250" s="89" t="s">
        <v>132</v>
      </c>
      <c r="X250" s="106" t="s">
        <v>296</v>
      </c>
      <c r="Y250" s="107" t="s">
        <v>12</v>
      </c>
      <c r="Z250" s="67">
        <f>IF(База_КР_КК[[#This Row],[Таб.номер резервиста]]="-","-",IF(OR(База_КР_КК[[#This Row],[Уровень КК]]=2,База_КР_КК[[#This Row],[Уровень КК]]=3),IF(COUNTIFS($U$2:$U250,$U250,$F$2:$F250,$F250)=1,1,0),IF(COUNTIFS($U$2:$U250,$U250,$L$2:$L250,$L250)=1,1,0)))</f>
        <v>0</v>
      </c>
      <c r="AA2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" s="106"/>
      <c r="AC250" s="51"/>
      <c r="AD250" s="106" t="s">
        <v>15</v>
      </c>
      <c r="AE250" s="33" t="s">
        <v>410</v>
      </c>
    </row>
    <row r="251" spans="1:31" ht="18" customHeight="1" x14ac:dyDescent="0.25">
      <c r="A2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1" s="79">
        <v>4</v>
      </c>
      <c r="C251" s="23">
        <v>44897</v>
      </c>
      <c r="D251" s="67">
        <f>IF(COUNTIF($G$2:$G251,$G251)=1,1,0)</f>
        <v>0</v>
      </c>
      <c r="E251" s="67" t="str">
        <f>IFERROR(VLOOKUP(База_КР_КК[[#This Row],[ИД штатной должности (S)]],'уровень защищенности'!$B$7:$F$1095,5,0),"не защищена")</f>
        <v>высокий</v>
      </c>
      <c r="F251" s="68">
        <v>500373</v>
      </c>
      <c r="G251" s="74" t="s">
        <v>2225</v>
      </c>
      <c r="H251" s="181">
        <f>INDEX('Списки данных'!$D$2:$D$1048576,MATCH(База_КР_КК[[#This Row],[Структурное подразделение]],'Списки данных'!$C$2:$C$1048576,0))</f>
        <v>1</v>
      </c>
      <c r="I251" s="80" t="s">
        <v>132</v>
      </c>
      <c r="J251" s="80" t="s">
        <v>195</v>
      </c>
      <c r="K251" s="80" t="s">
        <v>196</v>
      </c>
      <c r="L251" s="30" t="s">
        <v>191</v>
      </c>
      <c r="M251" s="68">
        <v>6</v>
      </c>
      <c r="N251" s="181" t="str">
        <f t="shared" si="4"/>
        <v>нет</v>
      </c>
      <c r="O251" s="23"/>
      <c r="P251" s="23"/>
      <c r="Q251" s="106"/>
      <c r="R251" s="37">
        <v>68</v>
      </c>
      <c r="S251" s="39" t="s">
        <v>480</v>
      </c>
      <c r="T251" s="37">
        <v>1185</v>
      </c>
      <c r="U251" s="38" t="s">
        <v>1593</v>
      </c>
      <c r="V251" s="69" t="s">
        <v>272</v>
      </c>
      <c r="W251" s="89" t="s">
        <v>132</v>
      </c>
      <c r="X251" s="106" t="s">
        <v>295</v>
      </c>
      <c r="Y251" s="107" t="s">
        <v>12</v>
      </c>
      <c r="Z251" s="67">
        <f>IF(База_КР_КК[[#This Row],[Таб.номер резервиста]]="-","-",IF(OR(База_КР_КК[[#This Row],[Уровень КК]]=2,База_КР_КК[[#This Row],[Уровень КК]]=3),IF(COUNTIFS($U$2:$U251,$U251,$F$2:$F251,$F251)=1,1,0),IF(COUNTIFS($U$2:$U251,$U251,$L$2:$L251,$L251)=1,1,0)))</f>
        <v>0</v>
      </c>
      <c r="AA2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" s="106"/>
      <c r="AC251" s="51"/>
      <c r="AD251" s="106" t="s">
        <v>15</v>
      </c>
      <c r="AE251" s="33" t="s">
        <v>410</v>
      </c>
    </row>
    <row r="252" spans="1:31" ht="18" customHeight="1" x14ac:dyDescent="0.25">
      <c r="A2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2" s="79">
        <v>4</v>
      </c>
      <c r="C252" s="23">
        <v>44496</v>
      </c>
      <c r="D252" s="67">
        <f>IF(COUNTIF($G$2:$G252,$G252)=1,1,0)</f>
        <v>0</v>
      </c>
      <c r="E252" s="67" t="str">
        <f>IFERROR(VLOOKUP(База_КР_КК[[#This Row],[ИД штатной должности (S)]],'уровень защищенности'!$B$7:$F$1095,5,0),"не защищена")</f>
        <v>высокий</v>
      </c>
      <c r="F252" s="68">
        <v>500373</v>
      </c>
      <c r="G252" s="74" t="s">
        <v>2225</v>
      </c>
      <c r="H252" s="181">
        <f>INDEX('Списки данных'!$D$2:$D$1048576,MATCH(База_КР_КК[[#This Row],[Структурное подразделение]],'Списки данных'!$C$2:$C$1048576,0))</f>
        <v>1</v>
      </c>
      <c r="I252" s="80" t="s">
        <v>132</v>
      </c>
      <c r="J252" s="80" t="s">
        <v>195</v>
      </c>
      <c r="K252" s="80" t="s">
        <v>196</v>
      </c>
      <c r="L252" s="30" t="s">
        <v>191</v>
      </c>
      <c r="M252" s="68">
        <v>6</v>
      </c>
      <c r="N252" s="181" t="str">
        <f t="shared" si="4"/>
        <v>нет</v>
      </c>
      <c r="O252" s="23"/>
      <c r="P252" s="23"/>
      <c r="Q252" s="106"/>
      <c r="R252" s="37">
        <v>68</v>
      </c>
      <c r="S252" s="38" t="s">
        <v>480</v>
      </c>
      <c r="T252" s="37">
        <v>70</v>
      </c>
      <c r="U252" s="39" t="s">
        <v>482</v>
      </c>
      <c r="V252" s="89" t="s">
        <v>192</v>
      </c>
      <c r="W252" s="89" t="s">
        <v>132</v>
      </c>
      <c r="X252" s="106" t="s">
        <v>295</v>
      </c>
      <c r="Y252" s="107" t="s">
        <v>14</v>
      </c>
      <c r="Z252" s="67">
        <f>IF(База_КР_КК[[#This Row],[Таб.номер резервиста]]="-","-",IF(OR(База_КР_КК[[#This Row],[Уровень КК]]=2,База_КР_КК[[#This Row],[Уровень КК]]=3),IF(COUNTIFS($U$2:$U252,$U252,$F$2:$F252,$F252)=1,1,0),IF(COUNTIFS($U$2:$U252,$U252,$L$2:$L252,$L252)=1,1,0)))</f>
        <v>0</v>
      </c>
      <c r="AA2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" s="106" t="s">
        <v>24</v>
      </c>
      <c r="AC252" s="51">
        <v>44939</v>
      </c>
      <c r="AD252" s="106" t="s">
        <v>17</v>
      </c>
      <c r="AE252" s="33" t="s">
        <v>410</v>
      </c>
    </row>
    <row r="253" spans="1:31" ht="18" customHeight="1" x14ac:dyDescent="0.25">
      <c r="A2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3" s="79">
        <v>4</v>
      </c>
      <c r="C253" s="23">
        <v>43783</v>
      </c>
      <c r="D253" s="67">
        <f>IF(COUNTIF($G$2:$G253,$G253)=1,1,0)</f>
        <v>1</v>
      </c>
      <c r="E253" s="67" t="str">
        <f>IFERROR(VLOOKUP(База_КР_КК[[#This Row],[ИД штатной должности (S)]],'уровень защищенности'!$B$7:$F$1095,5,0),"не защищена")</f>
        <v>высокий</v>
      </c>
      <c r="F253" s="68">
        <v>500374</v>
      </c>
      <c r="G253" s="74" t="s">
        <v>2226</v>
      </c>
      <c r="H253" s="181">
        <f>INDEX('Списки данных'!$D$2:$D$1048576,MATCH(База_КР_КК[[#This Row],[Структурное подразделение]],'Списки данных'!$C$2:$C$1048576,0))</f>
        <v>1</v>
      </c>
      <c r="I253" s="80" t="s">
        <v>132</v>
      </c>
      <c r="J253" s="80" t="s">
        <v>195</v>
      </c>
      <c r="K253" s="80" t="s">
        <v>196</v>
      </c>
      <c r="L253" s="30" t="s">
        <v>191</v>
      </c>
      <c r="M253" s="68">
        <v>6</v>
      </c>
      <c r="N253" s="181" t="str">
        <f t="shared" si="4"/>
        <v>нет</v>
      </c>
      <c r="O253" s="23"/>
      <c r="P253" s="23"/>
      <c r="Q253" s="106"/>
      <c r="R253" s="37">
        <v>69</v>
      </c>
      <c r="S253" s="38" t="s">
        <v>481</v>
      </c>
      <c r="T253" s="37">
        <v>1177</v>
      </c>
      <c r="U253" s="39" t="s">
        <v>1585</v>
      </c>
      <c r="V253" s="89" t="s">
        <v>272</v>
      </c>
      <c r="W253" s="89" t="s">
        <v>132</v>
      </c>
      <c r="X253" s="106" t="s">
        <v>295</v>
      </c>
      <c r="Y253" s="107" t="s">
        <v>12</v>
      </c>
      <c r="Z253" s="67">
        <f>IF(База_КР_КК[[#This Row],[Таб.номер резервиста]]="-","-",IF(OR(База_КР_КК[[#This Row],[Уровень КК]]=2,База_КР_КК[[#This Row],[Уровень КК]]=3),IF(COUNTIFS($U$2:$U253,$U253,$F$2:$F253,$F253)=1,1,0),IF(COUNTIFS($U$2:$U253,$U253,$L$2:$L253,$L253)=1,1,0)))</f>
        <v>0</v>
      </c>
      <c r="AA2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" s="106"/>
      <c r="AC253" s="51"/>
      <c r="AD253" s="106" t="s">
        <v>13</v>
      </c>
      <c r="AE253" s="38" t="s">
        <v>410</v>
      </c>
    </row>
    <row r="254" spans="1:31" ht="18" customHeight="1" x14ac:dyDescent="0.25">
      <c r="A2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4" s="79">
        <v>4</v>
      </c>
      <c r="C254" s="23">
        <v>43783</v>
      </c>
      <c r="D254" s="67">
        <f>IF(COUNTIF($G$2:$G254,$G254)=1,1,0)</f>
        <v>0</v>
      </c>
      <c r="E254" s="67" t="str">
        <f>IFERROR(VLOOKUP(База_КР_КК[[#This Row],[ИД штатной должности (S)]],'уровень защищенности'!$B$7:$F$1095,5,0),"не защищена")</f>
        <v>высокий</v>
      </c>
      <c r="F254" s="68">
        <v>500374</v>
      </c>
      <c r="G254" s="74" t="s">
        <v>2226</v>
      </c>
      <c r="H254" s="181">
        <f>INDEX('Списки данных'!$D$2:$D$1048576,MATCH(База_КР_КК[[#This Row],[Структурное подразделение]],'Списки данных'!$C$2:$C$1048576,0))</f>
        <v>1</v>
      </c>
      <c r="I254" s="80" t="s">
        <v>132</v>
      </c>
      <c r="J254" s="80" t="s">
        <v>195</v>
      </c>
      <c r="K254" s="80" t="s">
        <v>196</v>
      </c>
      <c r="L254" s="30" t="s">
        <v>191</v>
      </c>
      <c r="M254" s="68">
        <v>6</v>
      </c>
      <c r="N254" s="181" t="str">
        <f t="shared" si="4"/>
        <v>нет</v>
      </c>
      <c r="O254" s="23"/>
      <c r="P254" s="23"/>
      <c r="Q254" s="106"/>
      <c r="R254" s="37">
        <v>69</v>
      </c>
      <c r="S254" s="38" t="s">
        <v>481</v>
      </c>
      <c r="T254" s="37">
        <v>1178</v>
      </c>
      <c r="U254" s="39" t="s">
        <v>1586</v>
      </c>
      <c r="V254" s="89" t="s">
        <v>272</v>
      </c>
      <c r="W254" s="89" t="s">
        <v>132</v>
      </c>
      <c r="X254" s="106" t="s">
        <v>295</v>
      </c>
      <c r="Y254" s="107" t="s">
        <v>12</v>
      </c>
      <c r="Z254" s="67">
        <f>IF(База_КР_КК[[#This Row],[Таб.номер резервиста]]="-","-",IF(OR(База_КР_КК[[#This Row],[Уровень КК]]=2,База_КР_КК[[#This Row],[Уровень КК]]=3),IF(COUNTIFS($U$2:$U254,$U254,$F$2:$F254,$F254)=1,1,0),IF(COUNTIFS($U$2:$U254,$U254,$L$2:$L254,$L254)=1,1,0)))</f>
        <v>0</v>
      </c>
      <c r="AA2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" s="106"/>
      <c r="AC254" s="51"/>
      <c r="AD254" s="106" t="s">
        <v>13</v>
      </c>
      <c r="AE254" s="38" t="s">
        <v>410</v>
      </c>
    </row>
    <row r="255" spans="1:31" ht="18" customHeight="1" x14ac:dyDescent="0.25">
      <c r="A2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5" s="79">
        <v>4</v>
      </c>
      <c r="C255" s="23">
        <v>43783</v>
      </c>
      <c r="D255" s="67">
        <f>IF(COUNTIF($G$2:$G255,$G255)=1,1,0)</f>
        <v>0</v>
      </c>
      <c r="E255" s="67" t="str">
        <f>IFERROR(VLOOKUP(База_КР_КК[[#This Row],[ИД штатной должности (S)]],'уровень защищенности'!$B$7:$F$1095,5,0),"не защищена")</f>
        <v>высокий</v>
      </c>
      <c r="F255" s="68">
        <v>500374</v>
      </c>
      <c r="G255" s="74" t="s">
        <v>2226</v>
      </c>
      <c r="H255" s="181">
        <f>INDEX('Списки данных'!$D$2:$D$1048576,MATCH(База_КР_КК[[#This Row],[Структурное подразделение]],'Списки данных'!$C$2:$C$1048576,0))</f>
        <v>1</v>
      </c>
      <c r="I255" s="80" t="s">
        <v>132</v>
      </c>
      <c r="J255" s="80" t="s">
        <v>195</v>
      </c>
      <c r="K255" s="80" t="s">
        <v>196</v>
      </c>
      <c r="L255" s="30" t="s">
        <v>191</v>
      </c>
      <c r="M255" s="68">
        <v>6</v>
      </c>
      <c r="N255" s="181" t="str">
        <f t="shared" si="4"/>
        <v>нет</v>
      </c>
      <c r="O255" s="23"/>
      <c r="P255" s="23"/>
      <c r="Q255" s="106"/>
      <c r="R255" s="37">
        <v>69</v>
      </c>
      <c r="S255" s="38" t="s">
        <v>481</v>
      </c>
      <c r="T255" s="37">
        <v>1179</v>
      </c>
      <c r="U255" s="39" t="s">
        <v>1587</v>
      </c>
      <c r="V255" s="89" t="s">
        <v>272</v>
      </c>
      <c r="W255" s="89" t="s">
        <v>132</v>
      </c>
      <c r="X255" s="106" t="s">
        <v>295</v>
      </c>
      <c r="Y255" s="107" t="s">
        <v>12</v>
      </c>
      <c r="Z255" s="67">
        <f>IF(База_КР_КК[[#This Row],[Таб.номер резервиста]]="-","-",IF(OR(База_КР_КК[[#This Row],[Уровень КК]]=2,База_КР_КК[[#This Row],[Уровень КК]]=3),IF(COUNTIFS($U$2:$U255,$U255,$F$2:$F255,$F255)=1,1,0),IF(COUNTIFS($U$2:$U255,$U255,$L$2:$L255,$L255)=1,1,0)))</f>
        <v>0</v>
      </c>
      <c r="AA2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" s="106"/>
      <c r="AC255" s="51"/>
      <c r="AD255" s="106" t="s">
        <v>17</v>
      </c>
      <c r="AE255" s="38" t="s">
        <v>410</v>
      </c>
    </row>
    <row r="256" spans="1:31" ht="18" customHeight="1" x14ac:dyDescent="0.25">
      <c r="A2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6" s="79">
        <v>4</v>
      </c>
      <c r="C256" s="23">
        <v>43783</v>
      </c>
      <c r="D256" s="67">
        <f>IF(COUNTIF($G$2:$G256,$G256)=1,1,0)</f>
        <v>0</v>
      </c>
      <c r="E256" s="67" t="str">
        <f>IFERROR(VLOOKUP(База_КР_КК[[#This Row],[ИД штатной должности (S)]],'уровень защищенности'!$B$7:$F$1095,5,0),"не защищена")</f>
        <v>высокий</v>
      </c>
      <c r="F256" s="68">
        <v>500374</v>
      </c>
      <c r="G256" s="74" t="s">
        <v>2226</v>
      </c>
      <c r="H256" s="181">
        <f>INDEX('Списки данных'!$D$2:$D$1048576,MATCH(База_КР_КК[[#This Row],[Структурное подразделение]],'Списки данных'!$C$2:$C$1048576,0))</f>
        <v>1</v>
      </c>
      <c r="I256" s="80" t="s">
        <v>132</v>
      </c>
      <c r="J256" s="80" t="s">
        <v>195</v>
      </c>
      <c r="K256" s="80" t="s">
        <v>196</v>
      </c>
      <c r="L256" s="30" t="s">
        <v>191</v>
      </c>
      <c r="M256" s="68">
        <v>6</v>
      </c>
      <c r="N256" s="181" t="str">
        <f t="shared" si="4"/>
        <v>нет</v>
      </c>
      <c r="O256" s="23"/>
      <c r="P256" s="23"/>
      <c r="Q256" s="106"/>
      <c r="R256" s="37">
        <v>69</v>
      </c>
      <c r="S256" s="38" t="s">
        <v>481</v>
      </c>
      <c r="T256" s="37">
        <v>1176</v>
      </c>
      <c r="U256" s="39" t="s">
        <v>1584</v>
      </c>
      <c r="V256" s="89" t="s">
        <v>272</v>
      </c>
      <c r="W256" s="89" t="s">
        <v>132</v>
      </c>
      <c r="X256" s="106" t="s">
        <v>295</v>
      </c>
      <c r="Y256" s="107" t="s">
        <v>12</v>
      </c>
      <c r="Z256" s="67">
        <f>IF(База_КР_КК[[#This Row],[Таб.номер резервиста]]="-","-",IF(OR(База_КР_КК[[#This Row],[Уровень КК]]=2,База_КР_КК[[#This Row],[Уровень КК]]=3),IF(COUNTIFS($U$2:$U256,$U256,$F$2:$F256,$F256)=1,1,0),IF(COUNTIFS($U$2:$U256,$U256,$L$2:$L256,$L256)=1,1,0)))</f>
        <v>0</v>
      </c>
      <c r="AA2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" s="106"/>
      <c r="AC256" s="51"/>
      <c r="AD256" s="106" t="s">
        <v>13</v>
      </c>
      <c r="AE256" s="38" t="s">
        <v>410</v>
      </c>
    </row>
    <row r="257" spans="1:31" ht="18" customHeight="1" x14ac:dyDescent="0.25">
      <c r="A2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7" s="79">
        <v>4</v>
      </c>
      <c r="C257" s="23">
        <v>43783</v>
      </c>
      <c r="D257" s="67">
        <f>IF(COUNTIF($G$2:$G257,$G257)=1,1,0)</f>
        <v>0</v>
      </c>
      <c r="E257" s="67" t="str">
        <f>IFERROR(VLOOKUP(База_КР_КК[[#This Row],[ИД штатной должности (S)]],'уровень защищенности'!$B$7:$F$1095,5,0),"не защищена")</f>
        <v>высокий</v>
      </c>
      <c r="F257" s="68">
        <v>500374</v>
      </c>
      <c r="G257" s="74" t="s">
        <v>2226</v>
      </c>
      <c r="H257" s="181">
        <f>INDEX('Списки данных'!$D$2:$D$1048576,MATCH(База_КР_КК[[#This Row],[Структурное подразделение]],'Списки данных'!$C$2:$C$1048576,0))</f>
        <v>1</v>
      </c>
      <c r="I257" s="80" t="s">
        <v>132</v>
      </c>
      <c r="J257" s="80" t="s">
        <v>195</v>
      </c>
      <c r="K257" s="80" t="s">
        <v>196</v>
      </c>
      <c r="L257" s="30" t="s">
        <v>191</v>
      </c>
      <c r="M257" s="68">
        <v>6</v>
      </c>
      <c r="N257" s="181" t="str">
        <f t="shared" ref="N257:N320" si="5">IF(ISBLANK(O257),"нет","да")</f>
        <v>нет</v>
      </c>
      <c r="O257" s="23"/>
      <c r="P257" s="23"/>
      <c r="Q257" s="106"/>
      <c r="R257" s="37">
        <v>69</v>
      </c>
      <c r="S257" s="38" t="s">
        <v>481</v>
      </c>
      <c r="T257" s="37">
        <v>1180</v>
      </c>
      <c r="U257" s="39" t="s">
        <v>1588</v>
      </c>
      <c r="V257" s="89" t="s">
        <v>272</v>
      </c>
      <c r="W257" s="89" t="s">
        <v>132</v>
      </c>
      <c r="X257" s="106" t="s">
        <v>295</v>
      </c>
      <c r="Y257" s="107" t="s">
        <v>12</v>
      </c>
      <c r="Z257" s="67">
        <f>IF(База_КР_КК[[#This Row],[Таб.номер резервиста]]="-","-",IF(OR(База_КР_КК[[#This Row],[Уровень КК]]=2,База_КР_КК[[#This Row],[Уровень КК]]=3),IF(COUNTIFS($U$2:$U257,$U257,$F$2:$F257,$F257)=1,1,0),IF(COUNTIFS($U$2:$U257,$U257,$L$2:$L257,$L257)=1,1,0)))</f>
        <v>0</v>
      </c>
      <c r="AA2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" s="106"/>
      <c r="AC257" s="51"/>
      <c r="AD257" s="106" t="s">
        <v>17</v>
      </c>
      <c r="AE257" s="38" t="s">
        <v>410</v>
      </c>
    </row>
    <row r="258" spans="1:31" ht="18" customHeight="1" x14ac:dyDescent="0.25">
      <c r="A2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8" s="79">
        <v>4</v>
      </c>
      <c r="C258" s="23">
        <v>44113</v>
      </c>
      <c r="D258" s="67">
        <f>IF(COUNTIF($G$2:$G258,$G258)=1,1,0)</f>
        <v>0</v>
      </c>
      <c r="E258" s="67" t="str">
        <f>IFERROR(VLOOKUP(База_КР_КК[[#This Row],[ИД штатной должности (S)]],'уровень защищенности'!$B$7:$F$1095,5,0),"не защищена")</f>
        <v>высокий</v>
      </c>
      <c r="F258" s="68">
        <v>500374</v>
      </c>
      <c r="G258" s="74" t="s">
        <v>2226</v>
      </c>
      <c r="H258" s="181">
        <f>INDEX('Списки данных'!$D$2:$D$1048576,MATCH(База_КР_КК[[#This Row],[Структурное подразделение]],'Списки данных'!$C$2:$C$1048576,0))</f>
        <v>1</v>
      </c>
      <c r="I258" s="80" t="s">
        <v>132</v>
      </c>
      <c r="J258" s="80" t="s">
        <v>195</v>
      </c>
      <c r="K258" s="80" t="s">
        <v>196</v>
      </c>
      <c r="L258" s="30" t="s">
        <v>191</v>
      </c>
      <c r="M258" s="68">
        <v>6</v>
      </c>
      <c r="N258" s="181" t="str">
        <f t="shared" si="5"/>
        <v>нет</v>
      </c>
      <c r="O258" s="23"/>
      <c r="P258" s="23"/>
      <c r="Q258" s="106"/>
      <c r="R258" s="37">
        <v>69</v>
      </c>
      <c r="S258" s="38" t="s">
        <v>481</v>
      </c>
      <c r="T258" s="37">
        <v>1181</v>
      </c>
      <c r="U258" s="39" t="s">
        <v>1589</v>
      </c>
      <c r="V258" s="89" t="s">
        <v>272</v>
      </c>
      <c r="W258" s="89" t="s">
        <v>132</v>
      </c>
      <c r="X258" s="106" t="s">
        <v>295</v>
      </c>
      <c r="Y258" s="107" t="s">
        <v>12</v>
      </c>
      <c r="Z258" s="67">
        <f>IF(База_КР_КК[[#This Row],[Таб.номер резервиста]]="-","-",IF(OR(База_КР_КК[[#This Row],[Уровень КК]]=2,База_КР_КК[[#This Row],[Уровень КК]]=3),IF(COUNTIFS($U$2:$U258,$U258,$F$2:$F258,$F258)=1,1,0),IF(COUNTIFS($U$2:$U258,$U258,$L$2:$L258,$L258)=1,1,0)))</f>
        <v>0</v>
      </c>
      <c r="AA2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" s="106"/>
      <c r="AC258" s="51"/>
      <c r="AD258" s="106" t="s">
        <v>17</v>
      </c>
      <c r="AE258" s="38" t="s">
        <v>410</v>
      </c>
    </row>
    <row r="259" spans="1:31" ht="18" customHeight="1" x14ac:dyDescent="0.25">
      <c r="A2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59" s="79">
        <v>4</v>
      </c>
      <c r="C259" s="23">
        <v>44897</v>
      </c>
      <c r="D259" s="67">
        <f>IF(COUNTIF($G$2:$G259,$G259)=1,1,0)</f>
        <v>0</v>
      </c>
      <c r="E259" s="67" t="str">
        <f>IFERROR(VLOOKUP(База_КР_КК[[#This Row],[ИД штатной должности (S)]],'уровень защищенности'!$B$7:$F$1095,5,0),"не защищена")</f>
        <v>высокий</v>
      </c>
      <c r="F259" s="68">
        <v>500374</v>
      </c>
      <c r="G259" s="74" t="s">
        <v>2226</v>
      </c>
      <c r="H259" s="181">
        <f>INDEX('Списки данных'!$D$2:$D$1048576,MATCH(База_КР_КК[[#This Row],[Структурное подразделение]],'Списки данных'!$C$2:$C$1048576,0))</f>
        <v>1</v>
      </c>
      <c r="I259" s="80" t="s">
        <v>132</v>
      </c>
      <c r="J259" s="80" t="s">
        <v>195</v>
      </c>
      <c r="K259" s="80" t="s">
        <v>196</v>
      </c>
      <c r="L259" s="30" t="s">
        <v>191</v>
      </c>
      <c r="M259" s="68">
        <v>6</v>
      </c>
      <c r="N259" s="181" t="str">
        <f t="shared" si="5"/>
        <v>нет</v>
      </c>
      <c r="O259" s="23"/>
      <c r="P259" s="23"/>
      <c r="Q259" s="106"/>
      <c r="R259" s="37">
        <v>69</v>
      </c>
      <c r="S259" s="39" t="s">
        <v>481</v>
      </c>
      <c r="T259" s="37">
        <v>1182</v>
      </c>
      <c r="U259" s="38" t="s">
        <v>1590</v>
      </c>
      <c r="V259" s="69" t="s">
        <v>272</v>
      </c>
      <c r="W259" s="89" t="s">
        <v>132</v>
      </c>
      <c r="X259" s="106" t="s">
        <v>296</v>
      </c>
      <c r="Y259" s="107" t="s">
        <v>12</v>
      </c>
      <c r="Z259" s="67">
        <f>IF(База_КР_КК[[#This Row],[Таб.номер резервиста]]="-","-",IF(OR(База_КР_КК[[#This Row],[Уровень КК]]=2,База_КР_КК[[#This Row],[Уровень КК]]=3),IF(COUNTIFS($U$2:$U259,$U259,$F$2:$F259,$F259)=1,1,0),IF(COUNTIFS($U$2:$U259,$U259,$L$2:$L259,$L259)=1,1,0)))</f>
        <v>0</v>
      </c>
      <c r="AA2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" s="106"/>
      <c r="AC259" s="51"/>
      <c r="AD259" s="106" t="s">
        <v>15</v>
      </c>
      <c r="AE259" s="33" t="s">
        <v>410</v>
      </c>
    </row>
    <row r="260" spans="1:31" ht="18" customHeight="1" x14ac:dyDescent="0.25">
      <c r="A2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0" s="79">
        <v>4</v>
      </c>
      <c r="C260" s="23">
        <v>44897</v>
      </c>
      <c r="D260" s="67">
        <f>IF(COUNTIF($G$2:$G260,$G260)=1,1,0)</f>
        <v>0</v>
      </c>
      <c r="E260" s="67" t="str">
        <f>IFERROR(VLOOKUP(База_КР_КК[[#This Row],[ИД штатной должности (S)]],'уровень защищенности'!$B$7:$F$1095,5,0),"не защищена")</f>
        <v>высокий</v>
      </c>
      <c r="F260" s="68">
        <v>500374</v>
      </c>
      <c r="G260" s="74" t="s">
        <v>2226</v>
      </c>
      <c r="H260" s="181">
        <f>INDEX('Списки данных'!$D$2:$D$1048576,MATCH(База_КР_КК[[#This Row],[Структурное подразделение]],'Списки данных'!$C$2:$C$1048576,0))</f>
        <v>1</v>
      </c>
      <c r="I260" s="80" t="s">
        <v>132</v>
      </c>
      <c r="J260" s="80" t="s">
        <v>195</v>
      </c>
      <c r="K260" s="80" t="s">
        <v>196</v>
      </c>
      <c r="L260" s="30" t="s">
        <v>191</v>
      </c>
      <c r="M260" s="68">
        <v>6</v>
      </c>
      <c r="N260" s="181" t="str">
        <f t="shared" si="5"/>
        <v>нет</v>
      </c>
      <c r="O260" s="23"/>
      <c r="P260" s="23"/>
      <c r="Q260" s="106"/>
      <c r="R260" s="37">
        <v>69</v>
      </c>
      <c r="S260" s="39" t="s">
        <v>481</v>
      </c>
      <c r="T260" s="37">
        <v>1183</v>
      </c>
      <c r="U260" s="38" t="s">
        <v>1591</v>
      </c>
      <c r="V260" s="69" t="s">
        <v>272</v>
      </c>
      <c r="W260" s="89" t="s">
        <v>132</v>
      </c>
      <c r="X260" s="106" t="s">
        <v>296</v>
      </c>
      <c r="Y260" s="107" t="s">
        <v>12</v>
      </c>
      <c r="Z260" s="67">
        <f>IF(База_КР_КК[[#This Row],[Таб.номер резервиста]]="-","-",IF(OR(База_КР_КК[[#This Row],[Уровень КК]]=2,База_КР_КК[[#This Row],[Уровень КК]]=3),IF(COUNTIFS($U$2:$U260,$U260,$F$2:$F260,$F260)=1,1,0),IF(COUNTIFS($U$2:$U260,$U260,$L$2:$L260,$L260)=1,1,0)))</f>
        <v>0</v>
      </c>
      <c r="AA2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" s="106"/>
      <c r="AC260" s="51"/>
      <c r="AD260" s="106" t="s">
        <v>15</v>
      </c>
      <c r="AE260" s="33" t="s">
        <v>410</v>
      </c>
    </row>
    <row r="261" spans="1:31" ht="18" customHeight="1" x14ac:dyDescent="0.25">
      <c r="A2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1" s="79">
        <v>4</v>
      </c>
      <c r="C261" s="23">
        <v>44897</v>
      </c>
      <c r="D261" s="67">
        <f>IF(COUNTIF($G$2:$G261,$G261)=1,1,0)</f>
        <v>0</v>
      </c>
      <c r="E261" s="67" t="str">
        <f>IFERROR(VLOOKUP(База_КР_КК[[#This Row],[ИД штатной должности (S)]],'уровень защищенности'!$B$7:$F$1095,5,0),"не защищена")</f>
        <v>высокий</v>
      </c>
      <c r="F261" s="68">
        <v>500374</v>
      </c>
      <c r="G261" s="74" t="s">
        <v>2226</v>
      </c>
      <c r="H261" s="181">
        <f>INDEX('Списки данных'!$D$2:$D$1048576,MATCH(База_КР_КК[[#This Row],[Структурное подразделение]],'Списки данных'!$C$2:$C$1048576,0))</f>
        <v>1</v>
      </c>
      <c r="I261" s="80" t="s">
        <v>132</v>
      </c>
      <c r="J261" s="80" t="s">
        <v>195</v>
      </c>
      <c r="K261" s="80" t="s">
        <v>196</v>
      </c>
      <c r="L261" s="30" t="s">
        <v>191</v>
      </c>
      <c r="M261" s="68">
        <v>6</v>
      </c>
      <c r="N261" s="181" t="str">
        <f t="shared" si="5"/>
        <v>нет</v>
      </c>
      <c r="O261" s="23"/>
      <c r="P261" s="23"/>
      <c r="Q261" s="106"/>
      <c r="R261" s="37">
        <v>69</v>
      </c>
      <c r="S261" s="39" t="s">
        <v>481</v>
      </c>
      <c r="T261" s="37">
        <v>1184</v>
      </c>
      <c r="U261" s="38" t="s">
        <v>1592</v>
      </c>
      <c r="V261" s="69" t="s">
        <v>272</v>
      </c>
      <c r="W261" s="89" t="s">
        <v>132</v>
      </c>
      <c r="X261" s="106" t="s">
        <v>296</v>
      </c>
      <c r="Y261" s="107" t="s">
        <v>12</v>
      </c>
      <c r="Z261" s="67">
        <f>IF(База_КР_КК[[#This Row],[Таб.номер резервиста]]="-","-",IF(OR(База_КР_КК[[#This Row],[Уровень КК]]=2,База_КР_КК[[#This Row],[Уровень КК]]=3),IF(COUNTIFS($U$2:$U261,$U261,$F$2:$F261,$F261)=1,1,0),IF(COUNTIFS($U$2:$U261,$U261,$L$2:$L261,$L261)=1,1,0)))</f>
        <v>0</v>
      </c>
      <c r="AA2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" s="106"/>
      <c r="AC261" s="51"/>
      <c r="AD261" s="106" t="s">
        <v>15</v>
      </c>
      <c r="AE261" s="33" t="s">
        <v>410</v>
      </c>
    </row>
    <row r="262" spans="1:31" ht="18" customHeight="1" x14ac:dyDescent="0.25">
      <c r="A2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2" s="79">
        <v>4</v>
      </c>
      <c r="C262" s="23">
        <v>44897</v>
      </c>
      <c r="D262" s="67">
        <f>IF(COUNTIF($G$2:$G262,$G262)=1,1,0)</f>
        <v>0</v>
      </c>
      <c r="E262" s="67" t="str">
        <f>IFERROR(VLOOKUP(База_КР_КК[[#This Row],[ИД штатной должности (S)]],'уровень защищенности'!$B$7:$F$1095,5,0),"не защищена")</f>
        <v>высокий</v>
      </c>
      <c r="F262" s="68">
        <v>500374</v>
      </c>
      <c r="G262" s="74" t="s">
        <v>2226</v>
      </c>
      <c r="H262" s="181">
        <f>INDEX('Списки данных'!$D$2:$D$1048576,MATCH(База_КР_КК[[#This Row],[Структурное подразделение]],'Списки данных'!$C$2:$C$1048576,0))</f>
        <v>1</v>
      </c>
      <c r="I262" s="80" t="s">
        <v>132</v>
      </c>
      <c r="J262" s="80" t="s">
        <v>195</v>
      </c>
      <c r="K262" s="80" t="s">
        <v>196</v>
      </c>
      <c r="L262" s="30" t="s">
        <v>191</v>
      </c>
      <c r="M262" s="68">
        <v>6</v>
      </c>
      <c r="N262" s="181" t="str">
        <f t="shared" si="5"/>
        <v>нет</v>
      </c>
      <c r="O262" s="23"/>
      <c r="P262" s="23"/>
      <c r="Q262" s="106"/>
      <c r="R262" s="37">
        <v>69</v>
      </c>
      <c r="S262" s="39" t="s">
        <v>481</v>
      </c>
      <c r="T262" s="37">
        <v>1185</v>
      </c>
      <c r="U262" s="38" t="s">
        <v>1593</v>
      </c>
      <c r="V262" s="69" t="s">
        <v>272</v>
      </c>
      <c r="W262" s="89" t="s">
        <v>132</v>
      </c>
      <c r="X262" s="106" t="s">
        <v>295</v>
      </c>
      <c r="Y262" s="107" t="s">
        <v>12</v>
      </c>
      <c r="Z262" s="67">
        <f>IF(База_КР_КК[[#This Row],[Таб.номер резервиста]]="-","-",IF(OR(База_КР_КК[[#This Row],[Уровень КК]]=2,База_КР_КК[[#This Row],[Уровень КК]]=3),IF(COUNTIFS($U$2:$U262,$U262,$F$2:$F262,$F262)=1,1,0),IF(COUNTIFS($U$2:$U262,$U262,$L$2:$L262,$L262)=1,1,0)))</f>
        <v>0</v>
      </c>
      <c r="AA2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" s="106"/>
      <c r="AC262" s="51"/>
      <c r="AD262" s="106" t="s">
        <v>15</v>
      </c>
      <c r="AE262" s="33" t="s">
        <v>410</v>
      </c>
    </row>
    <row r="263" spans="1:31" ht="18" customHeight="1" x14ac:dyDescent="0.25">
      <c r="A2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3" s="79">
        <v>4</v>
      </c>
      <c r="C263" s="23">
        <v>44496</v>
      </c>
      <c r="D263" s="67">
        <f>IF(COUNTIF($G$2:$G263,$G263)=1,1,0)</f>
        <v>0</v>
      </c>
      <c r="E263" s="67" t="str">
        <f>IFERROR(VLOOKUP(База_КР_КК[[#This Row],[ИД штатной должности (S)]],'уровень защищенности'!$B$7:$F$1095,5,0),"не защищена")</f>
        <v>высокий</v>
      </c>
      <c r="F263" s="68">
        <v>500374</v>
      </c>
      <c r="G263" s="74" t="s">
        <v>2226</v>
      </c>
      <c r="H263" s="181">
        <f>INDEX('Списки данных'!$D$2:$D$1048576,MATCH(База_КР_КК[[#This Row],[Структурное подразделение]],'Списки данных'!$C$2:$C$1048576,0))</f>
        <v>1</v>
      </c>
      <c r="I263" s="80" t="s">
        <v>132</v>
      </c>
      <c r="J263" s="80" t="s">
        <v>195</v>
      </c>
      <c r="K263" s="80" t="s">
        <v>196</v>
      </c>
      <c r="L263" s="30" t="s">
        <v>191</v>
      </c>
      <c r="M263" s="68">
        <v>6</v>
      </c>
      <c r="N263" s="181" t="str">
        <f t="shared" si="5"/>
        <v>нет</v>
      </c>
      <c r="O263" s="23"/>
      <c r="P263" s="23"/>
      <c r="Q263" s="106"/>
      <c r="R263" s="37">
        <v>69</v>
      </c>
      <c r="S263" s="38" t="s">
        <v>481</v>
      </c>
      <c r="T263" s="37">
        <v>70</v>
      </c>
      <c r="U263" s="39" t="s">
        <v>482</v>
      </c>
      <c r="V263" s="89" t="s">
        <v>192</v>
      </c>
      <c r="W263" s="89" t="s">
        <v>132</v>
      </c>
      <c r="X263" s="106" t="s">
        <v>295</v>
      </c>
      <c r="Y263" s="107" t="s">
        <v>14</v>
      </c>
      <c r="Z263" s="67">
        <f>IF(База_КР_КК[[#This Row],[Таб.номер резервиста]]="-","-",IF(OR(База_КР_КК[[#This Row],[Уровень КК]]=2,База_КР_КК[[#This Row],[Уровень КК]]=3),IF(COUNTIFS($U$2:$U263,$U263,$F$2:$F263,$F263)=1,1,0),IF(COUNTIFS($U$2:$U263,$U263,$L$2:$L263,$L263)=1,1,0)))</f>
        <v>0</v>
      </c>
      <c r="AA2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" s="106" t="s">
        <v>24</v>
      </c>
      <c r="AC263" s="51">
        <v>44939</v>
      </c>
      <c r="AD263" s="106" t="s">
        <v>17</v>
      </c>
      <c r="AE263" s="33" t="s">
        <v>410</v>
      </c>
    </row>
    <row r="264" spans="1:31" ht="18" customHeight="1" x14ac:dyDescent="0.25">
      <c r="A2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4" s="79">
        <v>4</v>
      </c>
      <c r="C264" s="23">
        <v>43783</v>
      </c>
      <c r="D264" s="67">
        <f>IF(COUNTIF($G$2:$G264,$G264)=1,1,0)</f>
        <v>1</v>
      </c>
      <c r="E264" s="67" t="str">
        <f>IFERROR(VLOOKUP(База_КР_КК[[#This Row],[ИД штатной должности (S)]],'уровень защищенности'!$B$7:$F$1095,5,0),"не защищена")</f>
        <v>высокий</v>
      </c>
      <c r="F264" s="68">
        <v>500374</v>
      </c>
      <c r="G264" s="74" t="s">
        <v>2227</v>
      </c>
      <c r="H264" s="181">
        <f>INDEX('Списки данных'!$D$2:$D$1048576,MATCH(База_КР_КК[[#This Row],[Структурное подразделение]],'Списки данных'!$C$2:$C$1048576,0))</f>
        <v>1</v>
      </c>
      <c r="I264" s="80" t="s">
        <v>132</v>
      </c>
      <c r="J264" s="80" t="s">
        <v>195</v>
      </c>
      <c r="K264" s="80" t="s">
        <v>196</v>
      </c>
      <c r="L264" s="30" t="s">
        <v>191</v>
      </c>
      <c r="M264" s="68">
        <v>6</v>
      </c>
      <c r="N264" s="181" t="str">
        <f t="shared" si="5"/>
        <v>да</v>
      </c>
      <c r="O264" s="23">
        <v>44881</v>
      </c>
      <c r="P264" s="23">
        <v>44939</v>
      </c>
      <c r="Q264" s="106" t="s">
        <v>66</v>
      </c>
      <c r="R264" s="37">
        <v>70</v>
      </c>
      <c r="S264" s="39" t="s">
        <v>482</v>
      </c>
      <c r="T264" s="37">
        <v>1177</v>
      </c>
      <c r="U264" s="39" t="s">
        <v>1585</v>
      </c>
      <c r="V264" s="89" t="s">
        <v>272</v>
      </c>
      <c r="W264" s="89" t="s">
        <v>132</v>
      </c>
      <c r="X264" s="106" t="s">
        <v>295</v>
      </c>
      <c r="Y264" s="107" t="s">
        <v>12</v>
      </c>
      <c r="Z264" s="67">
        <f>IF(База_КР_КК[[#This Row],[Таб.номер резервиста]]="-","-",IF(OR(База_КР_КК[[#This Row],[Уровень КК]]=2,База_КР_КК[[#This Row],[Уровень КК]]=3),IF(COUNTIFS($U$2:$U264,$U264,$F$2:$F264,$F264)=1,1,0),IF(COUNTIFS($U$2:$U264,$U264,$L$2:$L264,$L264)=1,1,0)))</f>
        <v>0</v>
      </c>
      <c r="AA2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" s="106"/>
      <c r="AC264" s="51"/>
      <c r="AD264" s="106" t="s">
        <v>13</v>
      </c>
      <c r="AE264" s="38" t="s">
        <v>410</v>
      </c>
    </row>
    <row r="265" spans="1:31" ht="18" customHeight="1" x14ac:dyDescent="0.25">
      <c r="A2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5" s="79">
        <v>4</v>
      </c>
      <c r="C265" s="23">
        <v>43783</v>
      </c>
      <c r="D265" s="67">
        <f>IF(COUNTIF($G$2:$G265,$G265)=1,1,0)</f>
        <v>0</v>
      </c>
      <c r="E265" s="67" t="str">
        <f>IFERROR(VLOOKUP(База_КР_КК[[#This Row],[ИД штатной должности (S)]],'уровень защищенности'!$B$7:$F$1095,5,0),"не защищена")</f>
        <v>высокий</v>
      </c>
      <c r="F265" s="68">
        <v>500374</v>
      </c>
      <c r="G265" s="74" t="s">
        <v>2227</v>
      </c>
      <c r="H265" s="181">
        <f>INDEX('Списки данных'!$D$2:$D$1048576,MATCH(База_КР_КК[[#This Row],[Структурное подразделение]],'Списки данных'!$C$2:$C$1048576,0))</f>
        <v>1</v>
      </c>
      <c r="I265" s="80" t="s">
        <v>132</v>
      </c>
      <c r="J265" s="80" t="s">
        <v>195</v>
      </c>
      <c r="K265" s="80" t="s">
        <v>196</v>
      </c>
      <c r="L265" s="30" t="s">
        <v>191</v>
      </c>
      <c r="M265" s="68">
        <v>6</v>
      </c>
      <c r="N265" s="181" t="str">
        <f t="shared" si="5"/>
        <v>да</v>
      </c>
      <c r="O265" s="23">
        <v>44881</v>
      </c>
      <c r="P265" s="23">
        <v>44939</v>
      </c>
      <c r="Q265" s="106" t="s">
        <v>66</v>
      </c>
      <c r="R265" s="37">
        <v>70</v>
      </c>
      <c r="S265" s="39" t="s">
        <v>482</v>
      </c>
      <c r="T265" s="37">
        <v>1178</v>
      </c>
      <c r="U265" s="39" t="s">
        <v>1586</v>
      </c>
      <c r="V265" s="89" t="s">
        <v>272</v>
      </c>
      <c r="W265" s="89" t="s">
        <v>132</v>
      </c>
      <c r="X265" s="106" t="s">
        <v>295</v>
      </c>
      <c r="Y265" s="107" t="s">
        <v>12</v>
      </c>
      <c r="Z265" s="67">
        <f>IF(База_КР_КК[[#This Row],[Таб.номер резервиста]]="-","-",IF(OR(База_КР_КК[[#This Row],[Уровень КК]]=2,База_КР_КК[[#This Row],[Уровень КК]]=3),IF(COUNTIFS($U$2:$U265,$U265,$F$2:$F265,$F265)=1,1,0),IF(COUNTIFS($U$2:$U265,$U265,$L$2:$L265,$L265)=1,1,0)))</f>
        <v>0</v>
      </c>
      <c r="AA2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" s="106"/>
      <c r="AC265" s="51"/>
      <c r="AD265" s="106" t="s">
        <v>13</v>
      </c>
      <c r="AE265" s="38" t="s">
        <v>410</v>
      </c>
    </row>
    <row r="266" spans="1:31" ht="18" customHeight="1" x14ac:dyDescent="0.25">
      <c r="A2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6" s="79">
        <v>4</v>
      </c>
      <c r="C266" s="23">
        <v>43783</v>
      </c>
      <c r="D266" s="67">
        <f>IF(COUNTIF($G$2:$G266,$G266)=1,1,0)</f>
        <v>0</v>
      </c>
      <c r="E266" s="67" t="str">
        <f>IFERROR(VLOOKUP(База_КР_КК[[#This Row],[ИД штатной должности (S)]],'уровень защищенности'!$B$7:$F$1095,5,0),"не защищена")</f>
        <v>высокий</v>
      </c>
      <c r="F266" s="68">
        <v>500374</v>
      </c>
      <c r="G266" s="74" t="s">
        <v>2227</v>
      </c>
      <c r="H266" s="181">
        <f>INDEX('Списки данных'!$D$2:$D$1048576,MATCH(База_КР_КК[[#This Row],[Структурное подразделение]],'Списки данных'!$C$2:$C$1048576,0))</f>
        <v>1</v>
      </c>
      <c r="I266" s="80" t="s">
        <v>132</v>
      </c>
      <c r="J266" s="80" t="s">
        <v>195</v>
      </c>
      <c r="K266" s="80" t="s">
        <v>196</v>
      </c>
      <c r="L266" s="30" t="s">
        <v>191</v>
      </c>
      <c r="M266" s="68">
        <v>6</v>
      </c>
      <c r="N266" s="181" t="str">
        <f t="shared" si="5"/>
        <v>да</v>
      </c>
      <c r="O266" s="23">
        <v>44881</v>
      </c>
      <c r="P266" s="23">
        <v>44939</v>
      </c>
      <c r="Q266" s="106" t="s">
        <v>66</v>
      </c>
      <c r="R266" s="37">
        <v>70</v>
      </c>
      <c r="S266" s="39" t="s">
        <v>482</v>
      </c>
      <c r="T266" s="37">
        <v>1179</v>
      </c>
      <c r="U266" s="39" t="s">
        <v>1587</v>
      </c>
      <c r="V266" s="89" t="s">
        <v>272</v>
      </c>
      <c r="W266" s="89" t="s">
        <v>132</v>
      </c>
      <c r="X266" s="106" t="s">
        <v>295</v>
      </c>
      <c r="Y266" s="107" t="s">
        <v>12</v>
      </c>
      <c r="Z266" s="67">
        <f>IF(База_КР_КК[[#This Row],[Таб.номер резервиста]]="-","-",IF(OR(База_КР_КК[[#This Row],[Уровень КК]]=2,База_КР_КК[[#This Row],[Уровень КК]]=3),IF(COUNTIFS($U$2:$U266,$U266,$F$2:$F266,$F266)=1,1,0),IF(COUNTIFS($U$2:$U266,$U266,$L$2:$L266,$L266)=1,1,0)))</f>
        <v>0</v>
      </c>
      <c r="AA2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" s="106"/>
      <c r="AC266" s="51"/>
      <c r="AD266" s="106" t="s">
        <v>17</v>
      </c>
      <c r="AE266" s="38" t="s">
        <v>410</v>
      </c>
    </row>
    <row r="267" spans="1:31" ht="18" customHeight="1" x14ac:dyDescent="0.25">
      <c r="A2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7" s="79">
        <v>4</v>
      </c>
      <c r="C267" s="23">
        <v>43783</v>
      </c>
      <c r="D267" s="67">
        <f>IF(COUNTIF($G$2:$G267,$G267)=1,1,0)</f>
        <v>0</v>
      </c>
      <c r="E267" s="67" t="str">
        <f>IFERROR(VLOOKUP(База_КР_КК[[#This Row],[ИД штатной должности (S)]],'уровень защищенности'!$B$7:$F$1095,5,0),"не защищена")</f>
        <v>высокий</v>
      </c>
      <c r="F267" s="68">
        <v>500374</v>
      </c>
      <c r="G267" s="74" t="s">
        <v>2227</v>
      </c>
      <c r="H267" s="181">
        <f>INDEX('Списки данных'!$D$2:$D$1048576,MATCH(База_КР_КК[[#This Row],[Структурное подразделение]],'Списки данных'!$C$2:$C$1048576,0))</f>
        <v>1</v>
      </c>
      <c r="I267" s="80" t="s">
        <v>132</v>
      </c>
      <c r="J267" s="80" t="s">
        <v>195</v>
      </c>
      <c r="K267" s="80" t="s">
        <v>196</v>
      </c>
      <c r="L267" s="30" t="s">
        <v>191</v>
      </c>
      <c r="M267" s="68">
        <v>6</v>
      </c>
      <c r="N267" s="181" t="str">
        <f t="shared" si="5"/>
        <v>да</v>
      </c>
      <c r="O267" s="23">
        <v>44881</v>
      </c>
      <c r="P267" s="23">
        <v>44939</v>
      </c>
      <c r="Q267" s="106" t="s">
        <v>66</v>
      </c>
      <c r="R267" s="37">
        <v>70</v>
      </c>
      <c r="S267" s="39" t="s">
        <v>482</v>
      </c>
      <c r="T267" s="37">
        <v>1176</v>
      </c>
      <c r="U267" s="39" t="s">
        <v>1584</v>
      </c>
      <c r="V267" s="89" t="s">
        <v>272</v>
      </c>
      <c r="W267" s="89" t="s">
        <v>132</v>
      </c>
      <c r="X267" s="106" t="s">
        <v>295</v>
      </c>
      <c r="Y267" s="107" t="s">
        <v>12</v>
      </c>
      <c r="Z267" s="67">
        <f>IF(База_КР_КК[[#This Row],[Таб.номер резервиста]]="-","-",IF(OR(База_КР_КК[[#This Row],[Уровень КК]]=2,База_КР_КК[[#This Row],[Уровень КК]]=3),IF(COUNTIFS($U$2:$U267,$U267,$F$2:$F267,$F267)=1,1,0),IF(COUNTIFS($U$2:$U267,$U267,$L$2:$L267,$L267)=1,1,0)))</f>
        <v>0</v>
      </c>
      <c r="AA2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" s="106"/>
      <c r="AC267" s="51"/>
      <c r="AD267" s="106" t="s">
        <v>13</v>
      </c>
      <c r="AE267" s="38" t="s">
        <v>410</v>
      </c>
    </row>
    <row r="268" spans="1:31" ht="18" customHeight="1" x14ac:dyDescent="0.25">
      <c r="A2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8" s="79">
        <v>4</v>
      </c>
      <c r="C268" s="23">
        <v>43783</v>
      </c>
      <c r="D268" s="67">
        <f>IF(COUNTIF($G$2:$G268,$G268)=1,1,0)</f>
        <v>0</v>
      </c>
      <c r="E268" s="67" t="str">
        <f>IFERROR(VLOOKUP(База_КР_КК[[#This Row],[ИД штатной должности (S)]],'уровень защищенности'!$B$7:$F$1095,5,0),"не защищена")</f>
        <v>высокий</v>
      </c>
      <c r="F268" s="68">
        <v>500374</v>
      </c>
      <c r="G268" s="74" t="s">
        <v>2227</v>
      </c>
      <c r="H268" s="181">
        <f>INDEX('Списки данных'!$D$2:$D$1048576,MATCH(База_КР_КК[[#This Row],[Структурное подразделение]],'Списки данных'!$C$2:$C$1048576,0))</f>
        <v>1</v>
      </c>
      <c r="I268" s="80" t="s">
        <v>132</v>
      </c>
      <c r="J268" s="80" t="s">
        <v>195</v>
      </c>
      <c r="K268" s="80" t="s">
        <v>196</v>
      </c>
      <c r="L268" s="30" t="s">
        <v>191</v>
      </c>
      <c r="M268" s="68">
        <v>6</v>
      </c>
      <c r="N268" s="181" t="str">
        <f t="shared" si="5"/>
        <v>да</v>
      </c>
      <c r="O268" s="23">
        <v>44881</v>
      </c>
      <c r="P268" s="23">
        <v>44939</v>
      </c>
      <c r="Q268" s="106" t="s">
        <v>66</v>
      </c>
      <c r="R268" s="37">
        <v>70</v>
      </c>
      <c r="S268" s="39" t="s">
        <v>482</v>
      </c>
      <c r="T268" s="37">
        <v>1180</v>
      </c>
      <c r="U268" s="39" t="s">
        <v>1588</v>
      </c>
      <c r="V268" s="89" t="s">
        <v>272</v>
      </c>
      <c r="W268" s="89" t="s">
        <v>132</v>
      </c>
      <c r="X268" s="106" t="s">
        <v>295</v>
      </c>
      <c r="Y268" s="107" t="s">
        <v>12</v>
      </c>
      <c r="Z268" s="67">
        <f>IF(База_КР_КК[[#This Row],[Таб.номер резервиста]]="-","-",IF(OR(База_КР_КК[[#This Row],[Уровень КК]]=2,База_КР_КК[[#This Row],[Уровень КК]]=3),IF(COUNTIFS($U$2:$U268,$U268,$F$2:$F268,$F268)=1,1,0),IF(COUNTIFS($U$2:$U268,$U268,$L$2:$L268,$L268)=1,1,0)))</f>
        <v>0</v>
      </c>
      <c r="AA2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" s="106"/>
      <c r="AC268" s="51"/>
      <c r="AD268" s="106" t="s">
        <v>17</v>
      </c>
      <c r="AE268" s="38" t="s">
        <v>410</v>
      </c>
    </row>
    <row r="269" spans="1:31" ht="18" customHeight="1" x14ac:dyDescent="0.25">
      <c r="A2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69" s="79">
        <v>4</v>
      </c>
      <c r="C269" s="23">
        <v>44113</v>
      </c>
      <c r="D269" s="67">
        <f>IF(COUNTIF($G$2:$G269,$G269)=1,1,0)</f>
        <v>0</v>
      </c>
      <c r="E269" s="67" t="str">
        <f>IFERROR(VLOOKUP(База_КР_КК[[#This Row],[ИД штатной должности (S)]],'уровень защищенности'!$B$7:$F$1095,5,0),"не защищена")</f>
        <v>высокий</v>
      </c>
      <c r="F269" s="68">
        <v>500374</v>
      </c>
      <c r="G269" s="74" t="s">
        <v>2227</v>
      </c>
      <c r="H269" s="181">
        <f>INDEX('Списки данных'!$D$2:$D$1048576,MATCH(База_КР_КК[[#This Row],[Структурное подразделение]],'Списки данных'!$C$2:$C$1048576,0))</f>
        <v>1</v>
      </c>
      <c r="I269" s="80" t="s">
        <v>132</v>
      </c>
      <c r="J269" s="80" t="s">
        <v>195</v>
      </c>
      <c r="K269" s="80" t="s">
        <v>196</v>
      </c>
      <c r="L269" s="30" t="s">
        <v>191</v>
      </c>
      <c r="M269" s="68">
        <v>6</v>
      </c>
      <c r="N269" s="181" t="str">
        <f t="shared" si="5"/>
        <v>да</v>
      </c>
      <c r="O269" s="23">
        <v>44881</v>
      </c>
      <c r="P269" s="23">
        <v>44939</v>
      </c>
      <c r="Q269" s="106" t="s">
        <v>66</v>
      </c>
      <c r="R269" s="37">
        <v>70</v>
      </c>
      <c r="S269" s="39" t="s">
        <v>482</v>
      </c>
      <c r="T269" s="37">
        <v>1181</v>
      </c>
      <c r="U269" s="39" t="s">
        <v>1589</v>
      </c>
      <c r="V269" s="89" t="s">
        <v>272</v>
      </c>
      <c r="W269" s="89" t="s">
        <v>132</v>
      </c>
      <c r="X269" s="106" t="s">
        <v>295</v>
      </c>
      <c r="Y269" s="107" t="s">
        <v>12</v>
      </c>
      <c r="Z269" s="67">
        <f>IF(База_КР_КК[[#This Row],[Таб.номер резервиста]]="-","-",IF(OR(База_КР_КК[[#This Row],[Уровень КК]]=2,База_КР_КК[[#This Row],[Уровень КК]]=3),IF(COUNTIFS($U$2:$U269,$U269,$F$2:$F269,$F269)=1,1,0),IF(COUNTIFS($U$2:$U269,$U269,$L$2:$L269,$L269)=1,1,0)))</f>
        <v>0</v>
      </c>
      <c r="AA2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" s="106"/>
      <c r="AC269" s="51"/>
      <c r="AD269" s="106" t="s">
        <v>17</v>
      </c>
      <c r="AE269" s="38" t="s">
        <v>410</v>
      </c>
    </row>
    <row r="270" spans="1:31" ht="18" customHeight="1" x14ac:dyDescent="0.25">
      <c r="A2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0" s="79">
        <v>4</v>
      </c>
      <c r="C270" s="23">
        <v>44897</v>
      </c>
      <c r="D270" s="67">
        <f>IF(COUNTIF($G$2:$G270,$G270)=1,1,0)</f>
        <v>0</v>
      </c>
      <c r="E270" s="67" t="str">
        <f>IFERROR(VLOOKUP(База_КР_КК[[#This Row],[ИД штатной должности (S)]],'уровень защищенности'!$B$7:$F$1095,5,0),"не защищена")</f>
        <v>высокий</v>
      </c>
      <c r="F270" s="68">
        <v>500374</v>
      </c>
      <c r="G270" s="74" t="s">
        <v>2227</v>
      </c>
      <c r="H270" s="181">
        <f>INDEX('Списки данных'!$D$2:$D$1048576,MATCH(База_КР_КК[[#This Row],[Структурное подразделение]],'Списки данных'!$C$2:$C$1048576,0))</f>
        <v>1</v>
      </c>
      <c r="I270" s="80" t="s">
        <v>132</v>
      </c>
      <c r="J270" s="80" t="s">
        <v>195</v>
      </c>
      <c r="K270" s="80" t="s">
        <v>196</v>
      </c>
      <c r="L270" s="30" t="s">
        <v>191</v>
      </c>
      <c r="M270" s="68">
        <v>6</v>
      </c>
      <c r="N270" s="181" t="str">
        <f t="shared" si="5"/>
        <v>да</v>
      </c>
      <c r="O270" s="23">
        <v>44881</v>
      </c>
      <c r="P270" s="23">
        <v>44939</v>
      </c>
      <c r="Q270" s="106" t="s">
        <v>66</v>
      </c>
      <c r="R270" s="37">
        <v>70</v>
      </c>
      <c r="S270" s="39" t="s">
        <v>482</v>
      </c>
      <c r="T270" s="37">
        <v>1182</v>
      </c>
      <c r="U270" s="38" t="s">
        <v>1590</v>
      </c>
      <c r="V270" s="69" t="s">
        <v>272</v>
      </c>
      <c r="W270" s="89" t="s">
        <v>132</v>
      </c>
      <c r="X270" s="106" t="s">
        <v>296</v>
      </c>
      <c r="Y270" s="107" t="s">
        <v>12</v>
      </c>
      <c r="Z270" s="67">
        <f>IF(База_КР_КК[[#This Row],[Таб.номер резервиста]]="-","-",IF(OR(База_КР_КК[[#This Row],[Уровень КК]]=2,База_КР_КК[[#This Row],[Уровень КК]]=3),IF(COUNTIFS($U$2:$U270,$U270,$F$2:$F270,$F270)=1,1,0),IF(COUNTIFS($U$2:$U270,$U270,$L$2:$L270,$L270)=1,1,0)))</f>
        <v>0</v>
      </c>
      <c r="AA2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" s="106"/>
      <c r="AC270" s="51"/>
      <c r="AD270" s="106" t="s">
        <v>15</v>
      </c>
      <c r="AE270" s="33" t="s">
        <v>410</v>
      </c>
    </row>
    <row r="271" spans="1:31" ht="18" customHeight="1" x14ac:dyDescent="0.25">
      <c r="A2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1" s="79">
        <v>4</v>
      </c>
      <c r="C271" s="23">
        <v>44897</v>
      </c>
      <c r="D271" s="67">
        <f>IF(COUNTIF($G$2:$G271,$G271)=1,1,0)</f>
        <v>0</v>
      </c>
      <c r="E271" s="67" t="str">
        <f>IFERROR(VLOOKUP(База_КР_КК[[#This Row],[ИД штатной должности (S)]],'уровень защищенности'!$B$7:$F$1095,5,0),"не защищена")</f>
        <v>высокий</v>
      </c>
      <c r="F271" s="68">
        <v>500374</v>
      </c>
      <c r="G271" s="74" t="s">
        <v>2227</v>
      </c>
      <c r="H271" s="181">
        <f>INDEX('Списки данных'!$D$2:$D$1048576,MATCH(База_КР_КК[[#This Row],[Структурное подразделение]],'Списки данных'!$C$2:$C$1048576,0))</f>
        <v>1</v>
      </c>
      <c r="I271" s="80" t="s">
        <v>132</v>
      </c>
      <c r="J271" s="80" t="s">
        <v>195</v>
      </c>
      <c r="K271" s="80" t="s">
        <v>196</v>
      </c>
      <c r="L271" s="30" t="s">
        <v>191</v>
      </c>
      <c r="M271" s="68">
        <v>6</v>
      </c>
      <c r="N271" s="181" t="str">
        <f t="shared" si="5"/>
        <v>да</v>
      </c>
      <c r="O271" s="23">
        <v>44881</v>
      </c>
      <c r="P271" s="23">
        <v>44939</v>
      </c>
      <c r="Q271" s="106" t="s">
        <v>66</v>
      </c>
      <c r="R271" s="37">
        <v>70</v>
      </c>
      <c r="S271" s="39" t="s">
        <v>482</v>
      </c>
      <c r="T271" s="37">
        <v>1183</v>
      </c>
      <c r="U271" s="38" t="s">
        <v>1591</v>
      </c>
      <c r="V271" s="69" t="s">
        <v>272</v>
      </c>
      <c r="W271" s="89" t="s">
        <v>132</v>
      </c>
      <c r="X271" s="106" t="s">
        <v>296</v>
      </c>
      <c r="Y271" s="107" t="s">
        <v>12</v>
      </c>
      <c r="Z271" s="67">
        <f>IF(База_КР_КК[[#This Row],[Таб.номер резервиста]]="-","-",IF(OR(База_КР_КК[[#This Row],[Уровень КК]]=2,База_КР_КК[[#This Row],[Уровень КК]]=3),IF(COUNTIFS($U$2:$U271,$U271,$F$2:$F271,$F271)=1,1,0),IF(COUNTIFS($U$2:$U271,$U271,$L$2:$L271,$L271)=1,1,0)))</f>
        <v>0</v>
      </c>
      <c r="AA2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" s="106"/>
      <c r="AC271" s="51"/>
      <c r="AD271" s="106" t="s">
        <v>15</v>
      </c>
      <c r="AE271" s="33" t="s">
        <v>410</v>
      </c>
    </row>
    <row r="272" spans="1:31" ht="18" customHeight="1" x14ac:dyDescent="0.25">
      <c r="A2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2" s="79">
        <v>4</v>
      </c>
      <c r="C272" s="23">
        <v>44897</v>
      </c>
      <c r="D272" s="67">
        <f>IF(COUNTIF($G$2:$G272,$G272)=1,1,0)</f>
        <v>0</v>
      </c>
      <c r="E272" s="67" t="str">
        <f>IFERROR(VLOOKUP(База_КР_КК[[#This Row],[ИД штатной должности (S)]],'уровень защищенности'!$B$7:$F$1095,5,0),"не защищена")</f>
        <v>высокий</v>
      </c>
      <c r="F272" s="68">
        <v>500374</v>
      </c>
      <c r="G272" s="74" t="s">
        <v>2227</v>
      </c>
      <c r="H272" s="181">
        <f>INDEX('Списки данных'!$D$2:$D$1048576,MATCH(База_КР_КК[[#This Row],[Структурное подразделение]],'Списки данных'!$C$2:$C$1048576,0))</f>
        <v>1</v>
      </c>
      <c r="I272" s="80" t="s">
        <v>132</v>
      </c>
      <c r="J272" s="80" t="s">
        <v>195</v>
      </c>
      <c r="K272" s="80" t="s">
        <v>196</v>
      </c>
      <c r="L272" s="30" t="s">
        <v>191</v>
      </c>
      <c r="M272" s="68">
        <v>6</v>
      </c>
      <c r="N272" s="181" t="str">
        <f t="shared" si="5"/>
        <v>да</v>
      </c>
      <c r="O272" s="23">
        <v>44881</v>
      </c>
      <c r="P272" s="23">
        <v>44939</v>
      </c>
      <c r="Q272" s="106" t="s">
        <v>66</v>
      </c>
      <c r="R272" s="37">
        <v>70</v>
      </c>
      <c r="S272" s="39" t="s">
        <v>482</v>
      </c>
      <c r="T272" s="37">
        <v>1184</v>
      </c>
      <c r="U272" s="38" t="s">
        <v>1592</v>
      </c>
      <c r="V272" s="69" t="s">
        <v>272</v>
      </c>
      <c r="W272" s="89" t="s">
        <v>132</v>
      </c>
      <c r="X272" s="106" t="s">
        <v>296</v>
      </c>
      <c r="Y272" s="107" t="s">
        <v>12</v>
      </c>
      <c r="Z272" s="67">
        <f>IF(База_КР_КК[[#This Row],[Таб.номер резервиста]]="-","-",IF(OR(База_КР_КК[[#This Row],[Уровень КК]]=2,База_КР_КК[[#This Row],[Уровень КК]]=3),IF(COUNTIFS($U$2:$U272,$U272,$F$2:$F272,$F272)=1,1,0),IF(COUNTIFS($U$2:$U272,$U272,$L$2:$L272,$L272)=1,1,0)))</f>
        <v>0</v>
      </c>
      <c r="AA2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" s="106"/>
      <c r="AC272" s="51"/>
      <c r="AD272" s="106" t="s">
        <v>15</v>
      </c>
      <c r="AE272" s="33" t="s">
        <v>410</v>
      </c>
    </row>
    <row r="273" spans="1:31" ht="18" customHeight="1" x14ac:dyDescent="0.25">
      <c r="A2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3" s="79">
        <v>4</v>
      </c>
      <c r="C273" s="23">
        <v>44897</v>
      </c>
      <c r="D273" s="67">
        <f>IF(COUNTIF($G$2:$G273,$G273)=1,1,0)</f>
        <v>0</v>
      </c>
      <c r="E273" s="67" t="str">
        <f>IFERROR(VLOOKUP(База_КР_КК[[#This Row],[ИД штатной должности (S)]],'уровень защищенности'!$B$7:$F$1095,5,0),"не защищена")</f>
        <v>высокий</v>
      </c>
      <c r="F273" s="68">
        <v>500374</v>
      </c>
      <c r="G273" s="74" t="s">
        <v>2227</v>
      </c>
      <c r="H273" s="181">
        <f>INDEX('Списки данных'!$D$2:$D$1048576,MATCH(База_КР_КК[[#This Row],[Структурное подразделение]],'Списки данных'!$C$2:$C$1048576,0))</f>
        <v>1</v>
      </c>
      <c r="I273" s="80" t="s">
        <v>132</v>
      </c>
      <c r="J273" s="80" t="s">
        <v>195</v>
      </c>
      <c r="K273" s="80" t="s">
        <v>196</v>
      </c>
      <c r="L273" s="30" t="s">
        <v>191</v>
      </c>
      <c r="M273" s="68">
        <v>6</v>
      </c>
      <c r="N273" s="181" t="str">
        <f t="shared" si="5"/>
        <v>да</v>
      </c>
      <c r="O273" s="23">
        <v>44881</v>
      </c>
      <c r="P273" s="23">
        <v>44939</v>
      </c>
      <c r="Q273" s="106" t="s">
        <v>66</v>
      </c>
      <c r="R273" s="37">
        <v>70</v>
      </c>
      <c r="S273" s="39" t="s">
        <v>482</v>
      </c>
      <c r="T273" s="37">
        <v>1185</v>
      </c>
      <c r="U273" s="38" t="s">
        <v>1593</v>
      </c>
      <c r="V273" s="69" t="s">
        <v>272</v>
      </c>
      <c r="W273" s="89" t="s">
        <v>132</v>
      </c>
      <c r="X273" s="106" t="s">
        <v>295</v>
      </c>
      <c r="Y273" s="107" t="s">
        <v>12</v>
      </c>
      <c r="Z273" s="67">
        <f>IF(База_КР_КК[[#This Row],[Таб.номер резервиста]]="-","-",IF(OR(База_КР_КК[[#This Row],[Уровень КК]]=2,База_КР_КК[[#This Row],[Уровень КК]]=3),IF(COUNTIFS($U$2:$U273,$U273,$F$2:$F273,$F273)=1,1,0),IF(COUNTIFS($U$2:$U273,$U273,$L$2:$L273,$L273)=1,1,0)))</f>
        <v>0</v>
      </c>
      <c r="AA2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" s="106"/>
      <c r="AC273" s="51"/>
      <c r="AD273" s="106" t="s">
        <v>15</v>
      </c>
      <c r="AE273" s="33" t="s">
        <v>410</v>
      </c>
    </row>
    <row r="274" spans="1:31" ht="18" customHeight="1" x14ac:dyDescent="0.25">
      <c r="A2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4" s="79">
        <v>4</v>
      </c>
      <c r="C274" s="23">
        <v>44496</v>
      </c>
      <c r="D274" s="67">
        <f>IF(COUNTIF($G$2:$G274,$G274)=1,1,0)</f>
        <v>0</v>
      </c>
      <c r="E274" s="67" t="str">
        <f>IFERROR(VLOOKUP(База_КР_КК[[#This Row],[ИД штатной должности (S)]],'уровень защищенности'!$B$7:$F$1095,5,0),"не защищена")</f>
        <v>высокий</v>
      </c>
      <c r="F274" s="68">
        <v>500374</v>
      </c>
      <c r="G274" s="74" t="s">
        <v>2227</v>
      </c>
      <c r="H274" s="181">
        <f>INDEX('Списки данных'!$D$2:$D$1048576,MATCH(База_КР_КК[[#This Row],[Структурное подразделение]],'Списки данных'!$C$2:$C$1048576,0))</f>
        <v>1</v>
      </c>
      <c r="I274" s="80" t="s">
        <v>132</v>
      </c>
      <c r="J274" s="80" t="s">
        <v>195</v>
      </c>
      <c r="K274" s="80" t="s">
        <v>196</v>
      </c>
      <c r="L274" s="30" t="s">
        <v>191</v>
      </c>
      <c r="M274" s="68">
        <v>6</v>
      </c>
      <c r="N274" s="181" t="str">
        <f t="shared" si="5"/>
        <v>да</v>
      </c>
      <c r="O274" s="23">
        <v>44881</v>
      </c>
      <c r="P274" s="23">
        <v>44939</v>
      </c>
      <c r="Q274" s="106" t="s">
        <v>66</v>
      </c>
      <c r="R274" s="37">
        <v>70</v>
      </c>
      <c r="S274" s="39" t="s">
        <v>482</v>
      </c>
      <c r="T274" s="37">
        <v>70</v>
      </c>
      <c r="U274" s="39" t="s">
        <v>482</v>
      </c>
      <c r="V274" s="89" t="s">
        <v>192</v>
      </c>
      <c r="W274" s="89" t="s">
        <v>132</v>
      </c>
      <c r="X274" s="106" t="s">
        <v>295</v>
      </c>
      <c r="Y274" s="107" t="s">
        <v>14</v>
      </c>
      <c r="Z274" s="67">
        <f>IF(База_КР_КК[[#This Row],[Таб.номер резервиста]]="-","-",IF(OR(База_КР_КК[[#This Row],[Уровень КК]]=2,База_КР_КК[[#This Row],[Уровень КК]]=3),IF(COUNTIFS($U$2:$U274,$U274,$F$2:$F274,$F274)=1,1,0),IF(COUNTIFS($U$2:$U274,$U274,$L$2:$L274,$L274)=1,1,0)))</f>
        <v>0</v>
      </c>
      <c r="AA2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74" s="106" t="s">
        <v>24</v>
      </c>
      <c r="AC274" s="51">
        <v>44939</v>
      </c>
      <c r="AD274" s="106" t="s">
        <v>17</v>
      </c>
      <c r="AE274" s="33" t="s">
        <v>410</v>
      </c>
    </row>
    <row r="275" spans="1:31" ht="18" customHeight="1" x14ac:dyDescent="0.25">
      <c r="A2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5" s="79">
        <v>4</v>
      </c>
      <c r="C275" s="23">
        <v>43783</v>
      </c>
      <c r="D275" s="67">
        <f>IF(COUNTIF($G$2:$G275,$G275)=1,1,0)</f>
        <v>1</v>
      </c>
      <c r="E275" s="67" t="str">
        <f>IFERROR(VLOOKUP(База_КР_КК[[#This Row],[ИД штатной должности (S)]],'уровень защищенности'!$B$7:$F$1095,5,0),"не защищена")</f>
        <v>высокий</v>
      </c>
      <c r="F275" s="68">
        <v>500375</v>
      </c>
      <c r="G275" s="74" t="s">
        <v>2228</v>
      </c>
      <c r="H275" s="181">
        <f>INDEX('Списки данных'!$D$2:$D$1048576,MATCH(База_КР_КК[[#This Row],[Структурное подразделение]],'Списки данных'!$C$2:$C$1048576,0))</f>
        <v>1</v>
      </c>
      <c r="I275" s="80" t="s">
        <v>132</v>
      </c>
      <c r="J275" s="80" t="s">
        <v>195</v>
      </c>
      <c r="K275" s="80" t="s">
        <v>196</v>
      </c>
      <c r="L275" s="30" t="s">
        <v>191</v>
      </c>
      <c r="M275" s="68">
        <v>6</v>
      </c>
      <c r="N275" s="181" t="str">
        <f t="shared" si="5"/>
        <v>нет</v>
      </c>
      <c r="O275" s="23"/>
      <c r="P275" s="23"/>
      <c r="Q275" s="106"/>
      <c r="R275" s="37">
        <v>71</v>
      </c>
      <c r="S275" s="38" t="s">
        <v>483</v>
      </c>
      <c r="T275" s="37">
        <v>1177</v>
      </c>
      <c r="U275" s="39" t="s">
        <v>1585</v>
      </c>
      <c r="V275" s="89" t="s">
        <v>272</v>
      </c>
      <c r="W275" s="89" t="s">
        <v>132</v>
      </c>
      <c r="X275" s="106" t="s">
        <v>295</v>
      </c>
      <c r="Y275" s="107" t="s">
        <v>12</v>
      </c>
      <c r="Z275" s="67">
        <f>IF(База_КР_КК[[#This Row],[Таб.номер резервиста]]="-","-",IF(OR(База_КР_КК[[#This Row],[Уровень КК]]=2,База_КР_КК[[#This Row],[Уровень КК]]=3),IF(COUNTIFS($U$2:$U275,$U275,$F$2:$F275,$F275)=1,1,0),IF(COUNTIFS($U$2:$U275,$U275,$L$2:$L275,$L275)=1,1,0)))</f>
        <v>0</v>
      </c>
      <c r="AA2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" s="106"/>
      <c r="AC275" s="51"/>
      <c r="AD275" s="106" t="s">
        <v>13</v>
      </c>
      <c r="AE275" s="38" t="s">
        <v>410</v>
      </c>
    </row>
    <row r="276" spans="1:31" ht="18" customHeight="1" x14ac:dyDescent="0.25">
      <c r="A2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6" s="79">
        <v>4</v>
      </c>
      <c r="C276" s="23">
        <v>43783</v>
      </c>
      <c r="D276" s="67">
        <f>IF(COUNTIF($G$2:$G276,$G276)=1,1,0)</f>
        <v>0</v>
      </c>
      <c r="E276" s="67" t="str">
        <f>IFERROR(VLOOKUP(База_КР_КК[[#This Row],[ИД штатной должности (S)]],'уровень защищенности'!$B$7:$F$1095,5,0),"не защищена")</f>
        <v>высокий</v>
      </c>
      <c r="F276" s="68">
        <v>500375</v>
      </c>
      <c r="G276" s="74" t="s">
        <v>2228</v>
      </c>
      <c r="H276" s="181">
        <f>INDEX('Списки данных'!$D$2:$D$1048576,MATCH(База_КР_КК[[#This Row],[Структурное подразделение]],'Списки данных'!$C$2:$C$1048576,0))</f>
        <v>1</v>
      </c>
      <c r="I276" s="80" t="s">
        <v>132</v>
      </c>
      <c r="J276" s="80" t="s">
        <v>195</v>
      </c>
      <c r="K276" s="80" t="s">
        <v>196</v>
      </c>
      <c r="L276" s="30" t="s">
        <v>191</v>
      </c>
      <c r="M276" s="68">
        <v>6</v>
      </c>
      <c r="N276" s="181" t="str">
        <f t="shared" si="5"/>
        <v>нет</v>
      </c>
      <c r="O276" s="23"/>
      <c r="P276" s="23"/>
      <c r="Q276" s="106"/>
      <c r="R276" s="37">
        <v>71</v>
      </c>
      <c r="S276" s="38" t="s">
        <v>483</v>
      </c>
      <c r="T276" s="37">
        <v>1178</v>
      </c>
      <c r="U276" s="39" t="s">
        <v>1586</v>
      </c>
      <c r="V276" s="89" t="s">
        <v>272</v>
      </c>
      <c r="W276" s="89" t="s">
        <v>132</v>
      </c>
      <c r="X276" s="106" t="s">
        <v>295</v>
      </c>
      <c r="Y276" s="107" t="s">
        <v>12</v>
      </c>
      <c r="Z276" s="67">
        <f>IF(База_КР_КК[[#This Row],[Таб.номер резервиста]]="-","-",IF(OR(База_КР_КК[[#This Row],[Уровень КК]]=2,База_КР_КК[[#This Row],[Уровень КК]]=3),IF(COUNTIFS($U$2:$U276,$U276,$F$2:$F276,$F276)=1,1,0),IF(COUNTIFS($U$2:$U276,$U276,$L$2:$L276,$L276)=1,1,0)))</f>
        <v>0</v>
      </c>
      <c r="AA2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" s="106"/>
      <c r="AC276" s="51"/>
      <c r="AD276" s="106" t="s">
        <v>13</v>
      </c>
      <c r="AE276" s="38" t="s">
        <v>410</v>
      </c>
    </row>
    <row r="277" spans="1:31" ht="18" customHeight="1" x14ac:dyDescent="0.25">
      <c r="A2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7" s="79">
        <v>4</v>
      </c>
      <c r="C277" s="23">
        <v>43783</v>
      </c>
      <c r="D277" s="67">
        <f>IF(COUNTIF($G$2:$G277,$G277)=1,1,0)</f>
        <v>0</v>
      </c>
      <c r="E277" s="67" t="str">
        <f>IFERROR(VLOOKUP(База_КР_КК[[#This Row],[ИД штатной должности (S)]],'уровень защищенности'!$B$7:$F$1095,5,0),"не защищена")</f>
        <v>высокий</v>
      </c>
      <c r="F277" s="68">
        <v>500375</v>
      </c>
      <c r="G277" s="74" t="s">
        <v>2228</v>
      </c>
      <c r="H277" s="181">
        <f>INDEX('Списки данных'!$D$2:$D$1048576,MATCH(База_КР_КК[[#This Row],[Структурное подразделение]],'Списки данных'!$C$2:$C$1048576,0))</f>
        <v>1</v>
      </c>
      <c r="I277" s="80" t="s">
        <v>132</v>
      </c>
      <c r="J277" s="80" t="s">
        <v>195</v>
      </c>
      <c r="K277" s="80" t="s">
        <v>196</v>
      </c>
      <c r="L277" s="30" t="s">
        <v>191</v>
      </c>
      <c r="M277" s="68">
        <v>6</v>
      </c>
      <c r="N277" s="181" t="str">
        <f t="shared" si="5"/>
        <v>нет</v>
      </c>
      <c r="O277" s="23"/>
      <c r="P277" s="23"/>
      <c r="Q277" s="106"/>
      <c r="R277" s="37">
        <v>71</v>
      </c>
      <c r="S277" s="38" t="s">
        <v>483</v>
      </c>
      <c r="T277" s="37">
        <v>1179</v>
      </c>
      <c r="U277" s="39" t="s">
        <v>1587</v>
      </c>
      <c r="V277" s="89" t="s">
        <v>272</v>
      </c>
      <c r="W277" s="89" t="s">
        <v>132</v>
      </c>
      <c r="X277" s="106" t="s">
        <v>295</v>
      </c>
      <c r="Y277" s="107" t="s">
        <v>12</v>
      </c>
      <c r="Z277" s="67">
        <f>IF(База_КР_КК[[#This Row],[Таб.номер резервиста]]="-","-",IF(OR(База_КР_КК[[#This Row],[Уровень КК]]=2,База_КР_КК[[#This Row],[Уровень КК]]=3),IF(COUNTIFS($U$2:$U277,$U277,$F$2:$F277,$F277)=1,1,0),IF(COUNTIFS($U$2:$U277,$U277,$L$2:$L277,$L277)=1,1,0)))</f>
        <v>0</v>
      </c>
      <c r="AA2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" s="106"/>
      <c r="AC277" s="51"/>
      <c r="AD277" s="106" t="s">
        <v>17</v>
      </c>
      <c r="AE277" s="38" t="s">
        <v>410</v>
      </c>
    </row>
    <row r="278" spans="1:31" ht="18" customHeight="1" x14ac:dyDescent="0.25">
      <c r="A2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8" s="79">
        <v>4</v>
      </c>
      <c r="C278" s="23">
        <v>43783</v>
      </c>
      <c r="D278" s="67">
        <f>IF(COUNTIF($G$2:$G278,$G278)=1,1,0)</f>
        <v>0</v>
      </c>
      <c r="E278" s="67" t="str">
        <f>IFERROR(VLOOKUP(База_КР_КК[[#This Row],[ИД штатной должности (S)]],'уровень защищенности'!$B$7:$F$1095,5,0),"не защищена")</f>
        <v>высокий</v>
      </c>
      <c r="F278" s="68">
        <v>500375</v>
      </c>
      <c r="G278" s="74" t="s">
        <v>2228</v>
      </c>
      <c r="H278" s="181">
        <f>INDEX('Списки данных'!$D$2:$D$1048576,MATCH(База_КР_КК[[#This Row],[Структурное подразделение]],'Списки данных'!$C$2:$C$1048576,0))</f>
        <v>1</v>
      </c>
      <c r="I278" s="80" t="s">
        <v>132</v>
      </c>
      <c r="J278" s="80" t="s">
        <v>195</v>
      </c>
      <c r="K278" s="80" t="s">
        <v>196</v>
      </c>
      <c r="L278" s="30" t="s">
        <v>191</v>
      </c>
      <c r="M278" s="68">
        <v>6</v>
      </c>
      <c r="N278" s="181" t="str">
        <f t="shared" si="5"/>
        <v>нет</v>
      </c>
      <c r="O278" s="23"/>
      <c r="P278" s="23"/>
      <c r="Q278" s="106"/>
      <c r="R278" s="37">
        <v>71</v>
      </c>
      <c r="S278" s="38" t="s">
        <v>483</v>
      </c>
      <c r="T278" s="37">
        <v>1176</v>
      </c>
      <c r="U278" s="39" t="s">
        <v>1584</v>
      </c>
      <c r="V278" s="89" t="s">
        <v>272</v>
      </c>
      <c r="W278" s="89" t="s">
        <v>132</v>
      </c>
      <c r="X278" s="106" t="s">
        <v>295</v>
      </c>
      <c r="Y278" s="107" t="s">
        <v>12</v>
      </c>
      <c r="Z278" s="67">
        <f>IF(База_КР_КК[[#This Row],[Таб.номер резервиста]]="-","-",IF(OR(База_КР_КК[[#This Row],[Уровень КК]]=2,База_КР_КК[[#This Row],[Уровень КК]]=3),IF(COUNTIFS($U$2:$U278,$U278,$F$2:$F278,$F278)=1,1,0),IF(COUNTIFS($U$2:$U278,$U278,$L$2:$L278,$L278)=1,1,0)))</f>
        <v>0</v>
      </c>
      <c r="AA2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" s="106"/>
      <c r="AC278" s="51"/>
      <c r="AD278" s="106" t="s">
        <v>13</v>
      </c>
      <c r="AE278" s="38" t="s">
        <v>410</v>
      </c>
    </row>
    <row r="279" spans="1:31" ht="18" customHeight="1" x14ac:dyDescent="0.25">
      <c r="A2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79" s="79">
        <v>4</v>
      </c>
      <c r="C279" s="23">
        <v>43783</v>
      </c>
      <c r="D279" s="67">
        <f>IF(COUNTIF($G$2:$G279,$G279)=1,1,0)</f>
        <v>0</v>
      </c>
      <c r="E279" s="67" t="str">
        <f>IFERROR(VLOOKUP(База_КР_КК[[#This Row],[ИД штатной должности (S)]],'уровень защищенности'!$B$7:$F$1095,5,0),"не защищена")</f>
        <v>высокий</v>
      </c>
      <c r="F279" s="68">
        <v>500375</v>
      </c>
      <c r="G279" s="74" t="s">
        <v>2228</v>
      </c>
      <c r="H279" s="181">
        <f>INDEX('Списки данных'!$D$2:$D$1048576,MATCH(База_КР_КК[[#This Row],[Структурное подразделение]],'Списки данных'!$C$2:$C$1048576,0))</f>
        <v>1</v>
      </c>
      <c r="I279" s="80" t="s">
        <v>132</v>
      </c>
      <c r="J279" s="80" t="s">
        <v>195</v>
      </c>
      <c r="K279" s="80" t="s">
        <v>196</v>
      </c>
      <c r="L279" s="30" t="s">
        <v>191</v>
      </c>
      <c r="M279" s="68">
        <v>6</v>
      </c>
      <c r="N279" s="181" t="str">
        <f t="shared" si="5"/>
        <v>нет</v>
      </c>
      <c r="O279" s="23"/>
      <c r="P279" s="23"/>
      <c r="Q279" s="106"/>
      <c r="R279" s="37">
        <v>71</v>
      </c>
      <c r="S279" s="38" t="s">
        <v>483</v>
      </c>
      <c r="T279" s="37">
        <v>1180</v>
      </c>
      <c r="U279" s="39" t="s">
        <v>1588</v>
      </c>
      <c r="V279" s="89" t="s">
        <v>272</v>
      </c>
      <c r="W279" s="89" t="s">
        <v>132</v>
      </c>
      <c r="X279" s="106" t="s">
        <v>295</v>
      </c>
      <c r="Y279" s="107" t="s">
        <v>12</v>
      </c>
      <c r="Z279" s="67">
        <f>IF(База_КР_КК[[#This Row],[Таб.номер резервиста]]="-","-",IF(OR(База_КР_КК[[#This Row],[Уровень КК]]=2,База_КР_КК[[#This Row],[Уровень КК]]=3),IF(COUNTIFS($U$2:$U279,$U279,$F$2:$F279,$F279)=1,1,0),IF(COUNTIFS($U$2:$U279,$U279,$L$2:$L279,$L279)=1,1,0)))</f>
        <v>0</v>
      </c>
      <c r="AA2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" s="106"/>
      <c r="AC279" s="51"/>
      <c r="AD279" s="106" t="s">
        <v>17</v>
      </c>
      <c r="AE279" s="38" t="s">
        <v>410</v>
      </c>
    </row>
    <row r="280" spans="1:31" ht="18" customHeight="1" x14ac:dyDescent="0.25">
      <c r="A2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0" s="79">
        <v>4</v>
      </c>
      <c r="C280" s="23">
        <v>44113</v>
      </c>
      <c r="D280" s="67">
        <f>IF(COUNTIF($G$2:$G280,$G280)=1,1,0)</f>
        <v>0</v>
      </c>
      <c r="E280" s="67" t="str">
        <f>IFERROR(VLOOKUP(База_КР_КК[[#This Row],[ИД штатной должности (S)]],'уровень защищенности'!$B$7:$F$1095,5,0),"не защищена")</f>
        <v>высокий</v>
      </c>
      <c r="F280" s="68">
        <v>500375</v>
      </c>
      <c r="G280" s="74" t="s">
        <v>2228</v>
      </c>
      <c r="H280" s="181">
        <f>INDEX('Списки данных'!$D$2:$D$1048576,MATCH(База_КР_КК[[#This Row],[Структурное подразделение]],'Списки данных'!$C$2:$C$1048576,0))</f>
        <v>1</v>
      </c>
      <c r="I280" s="80" t="s">
        <v>132</v>
      </c>
      <c r="J280" s="80" t="s">
        <v>195</v>
      </c>
      <c r="K280" s="80" t="s">
        <v>196</v>
      </c>
      <c r="L280" s="30" t="s">
        <v>191</v>
      </c>
      <c r="M280" s="68">
        <v>6</v>
      </c>
      <c r="N280" s="181" t="str">
        <f t="shared" si="5"/>
        <v>нет</v>
      </c>
      <c r="O280" s="23"/>
      <c r="P280" s="23"/>
      <c r="Q280" s="106"/>
      <c r="R280" s="37">
        <v>71</v>
      </c>
      <c r="S280" s="38" t="s">
        <v>483</v>
      </c>
      <c r="T280" s="37">
        <v>1181</v>
      </c>
      <c r="U280" s="39" t="s">
        <v>1589</v>
      </c>
      <c r="V280" s="89" t="s">
        <v>272</v>
      </c>
      <c r="W280" s="89" t="s">
        <v>132</v>
      </c>
      <c r="X280" s="106" t="s">
        <v>295</v>
      </c>
      <c r="Y280" s="107" t="s">
        <v>12</v>
      </c>
      <c r="Z280" s="67">
        <f>IF(База_КР_КК[[#This Row],[Таб.номер резервиста]]="-","-",IF(OR(База_КР_КК[[#This Row],[Уровень КК]]=2,База_КР_КК[[#This Row],[Уровень КК]]=3),IF(COUNTIFS($U$2:$U280,$U280,$F$2:$F280,$F280)=1,1,0),IF(COUNTIFS($U$2:$U280,$U280,$L$2:$L280,$L280)=1,1,0)))</f>
        <v>0</v>
      </c>
      <c r="AA2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" s="106"/>
      <c r="AC280" s="51"/>
      <c r="AD280" s="106" t="s">
        <v>17</v>
      </c>
      <c r="AE280" s="38" t="s">
        <v>410</v>
      </c>
    </row>
    <row r="281" spans="1:31" ht="18" customHeight="1" x14ac:dyDescent="0.25">
      <c r="A2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1" s="79">
        <v>4</v>
      </c>
      <c r="C281" s="23">
        <v>44897</v>
      </c>
      <c r="D281" s="67">
        <f>IF(COUNTIF($G$2:$G281,$G281)=1,1,0)</f>
        <v>0</v>
      </c>
      <c r="E281" s="67" t="str">
        <f>IFERROR(VLOOKUP(База_КР_КК[[#This Row],[ИД штатной должности (S)]],'уровень защищенности'!$B$7:$F$1095,5,0),"не защищена")</f>
        <v>высокий</v>
      </c>
      <c r="F281" s="68">
        <v>500375</v>
      </c>
      <c r="G281" s="74" t="s">
        <v>2228</v>
      </c>
      <c r="H281" s="181">
        <f>INDEX('Списки данных'!$D$2:$D$1048576,MATCH(База_КР_КК[[#This Row],[Структурное подразделение]],'Списки данных'!$C$2:$C$1048576,0))</f>
        <v>1</v>
      </c>
      <c r="I281" s="80" t="s">
        <v>132</v>
      </c>
      <c r="J281" s="80" t="s">
        <v>195</v>
      </c>
      <c r="K281" s="80" t="s">
        <v>196</v>
      </c>
      <c r="L281" s="30" t="s">
        <v>191</v>
      </c>
      <c r="M281" s="68">
        <v>6</v>
      </c>
      <c r="N281" s="181" t="str">
        <f t="shared" si="5"/>
        <v>нет</v>
      </c>
      <c r="O281" s="23"/>
      <c r="P281" s="23"/>
      <c r="Q281" s="106"/>
      <c r="R281" s="37">
        <v>71</v>
      </c>
      <c r="S281" s="39" t="s">
        <v>483</v>
      </c>
      <c r="T281" s="37">
        <v>1182</v>
      </c>
      <c r="U281" s="38" t="s">
        <v>1590</v>
      </c>
      <c r="V281" s="69" t="s">
        <v>272</v>
      </c>
      <c r="W281" s="89" t="s">
        <v>132</v>
      </c>
      <c r="X281" s="106" t="s">
        <v>296</v>
      </c>
      <c r="Y281" s="107" t="s">
        <v>12</v>
      </c>
      <c r="Z281" s="67">
        <f>IF(База_КР_КК[[#This Row],[Таб.номер резервиста]]="-","-",IF(OR(База_КР_КК[[#This Row],[Уровень КК]]=2,База_КР_КК[[#This Row],[Уровень КК]]=3),IF(COUNTIFS($U$2:$U281,$U281,$F$2:$F281,$F281)=1,1,0),IF(COUNTIFS($U$2:$U281,$U281,$L$2:$L281,$L281)=1,1,0)))</f>
        <v>0</v>
      </c>
      <c r="AA2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1" s="106"/>
      <c r="AC281" s="51"/>
      <c r="AD281" s="106" t="s">
        <v>15</v>
      </c>
      <c r="AE281" s="33" t="s">
        <v>410</v>
      </c>
    </row>
    <row r="282" spans="1:31" ht="18" customHeight="1" x14ac:dyDescent="0.25">
      <c r="A2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2" s="79">
        <v>4</v>
      </c>
      <c r="C282" s="23">
        <v>44897</v>
      </c>
      <c r="D282" s="67">
        <f>IF(COUNTIF($G$2:$G282,$G282)=1,1,0)</f>
        <v>0</v>
      </c>
      <c r="E282" s="67" t="str">
        <f>IFERROR(VLOOKUP(База_КР_КК[[#This Row],[ИД штатной должности (S)]],'уровень защищенности'!$B$7:$F$1095,5,0),"не защищена")</f>
        <v>высокий</v>
      </c>
      <c r="F282" s="68">
        <v>500375</v>
      </c>
      <c r="G282" s="74" t="s">
        <v>2228</v>
      </c>
      <c r="H282" s="181">
        <f>INDEX('Списки данных'!$D$2:$D$1048576,MATCH(База_КР_КК[[#This Row],[Структурное подразделение]],'Списки данных'!$C$2:$C$1048576,0))</f>
        <v>1</v>
      </c>
      <c r="I282" s="80" t="s">
        <v>132</v>
      </c>
      <c r="J282" s="80" t="s">
        <v>195</v>
      </c>
      <c r="K282" s="80" t="s">
        <v>196</v>
      </c>
      <c r="L282" s="30" t="s">
        <v>191</v>
      </c>
      <c r="M282" s="68">
        <v>6</v>
      </c>
      <c r="N282" s="181" t="str">
        <f t="shared" si="5"/>
        <v>нет</v>
      </c>
      <c r="O282" s="23"/>
      <c r="P282" s="23"/>
      <c r="Q282" s="106"/>
      <c r="R282" s="37">
        <v>71</v>
      </c>
      <c r="S282" s="39" t="s">
        <v>483</v>
      </c>
      <c r="T282" s="37">
        <v>1183</v>
      </c>
      <c r="U282" s="38" t="s">
        <v>1591</v>
      </c>
      <c r="V282" s="69" t="s">
        <v>272</v>
      </c>
      <c r="W282" s="89" t="s">
        <v>132</v>
      </c>
      <c r="X282" s="106" t="s">
        <v>296</v>
      </c>
      <c r="Y282" s="107" t="s">
        <v>12</v>
      </c>
      <c r="Z282" s="67">
        <f>IF(База_КР_КК[[#This Row],[Таб.номер резервиста]]="-","-",IF(OR(База_КР_КК[[#This Row],[Уровень КК]]=2,База_КР_КК[[#This Row],[Уровень КК]]=3),IF(COUNTIFS($U$2:$U282,$U282,$F$2:$F282,$F282)=1,1,0),IF(COUNTIFS($U$2:$U282,$U282,$L$2:$L282,$L282)=1,1,0)))</f>
        <v>0</v>
      </c>
      <c r="AA2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" s="106"/>
      <c r="AC282" s="51"/>
      <c r="AD282" s="106" t="s">
        <v>15</v>
      </c>
      <c r="AE282" s="33" t="s">
        <v>410</v>
      </c>
    </row>
    <row r="283" spans="1:31" ht="18" customHeight="1" x14ac:dyDescent="0.25">
      <c r="A2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3" s="79">
        <v>4</v>
      </c>
      <c r="C283" s="23">
        <v>44897</v>
      </c>
      <c r="D283" s="67">
        <f>IF(COUNTIF($G$2:$G283,$G283)=1,1,0)</f>
        <v>0</v>
      </c>
      <c r="E283" s="67" t="str">
        <f>IFERROR(VLOOKUP(База_КР_КК[[#This Row],[ИД штатной должности (S)]],'уровень защищенности'!$B$7:$F$1095,5,0),"не защищена")</f>
        <v>высокий</v>
      </c>
      <c r="F283" s="68">
        <v>500375</v>
      </c>
      <c r="G283" s="74" t="s">
        <v>2228</v>
      </c>
      <c r="H283" s="181">
        <f>INDEX('Списки данных'!$D$2:$D$1048576,MATCH(База_КР_КК[[#This Row],[Структурное подразделение]],'Списки данных'!$C$2:$C$1048576,0))</f>
        <v>1</v>
      </c>
      <c r="I283" s="80" t="s">
        <v>132</v>
      </c>
      <c r="J283" s="80" t="s">
        <v>195</v>
      </c>
      <c r="K283" s="80" t="s">
        <v>196</v>
      </c>
      <c r="L283" s="30" t="s">
        <v>191</v>
      </c>
      <c r="M283" s="68">
        <v>6</v>
      </c>
      <c r="N283" s="181" t="str">
        <f t="shared" si="5"/>
        <v>нет</v>
      </c>
      <c r="O283" s="23"/>
      <c r="P283" s="23"/>
      <c r="Q283" s="106"/>
      <c r="R283" s="37">
        <v>71</v>
      </c>
      <c r="S283" s="39" t="s">
        <v>483</v>
      </c>
      <c r="T283" s="37">
        <v>1184</v>
      </c>
      <c r="U283" s="38" t="s">
        <v>1592</v>
      </c>
      <c r="V283" s="69" t="s">
        <v>272</v>
      </c>
      <c r="W283" s="89" t="s">
        <v>132</v>
      </c>
      <c r="X283" s="106" t="s">
        <v>296</v>
      </c>
      <c r="Y283" s="107" t="s">
        <v>12</v>
      </c>
      <c r="Z283" s="67">
        <f>IF(База_КР_КК[[#This Row],[Таб.номер резервиста]]="-","-",IF(OR(База_КР_КК[[#This Row],[Уровень КК]]=2,База_КР_КК[[#This Row],[Уровень КК]]=3),IF(COUNTIFS($U$2:$U283,$U283,$F$2:$F283,$F283)=1,1,0),IF(COUNTIFS($U$2:$U283,$U283,$L$2:$L283,$L283)=1,1,0)))</f>
        <v>0</v>
      </c>
      <c r="AA2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" s="106"/>
      <c r="AC283" s="51"/>
      <c r="AD283" s="106" t="s">
        <v>15</v>
      </c>
      <c r="AE283" s="33" t="s">
        <v>410</v>
      </c>
    </row>
    <row r="284" spans="1:31" ht="18" customHeight="1" x14ac:dyDescent="0.25">
      <c r="A2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4" s="79">
        <v>4</v>
      </c>
      <c r="C284" s="23">
        <v>44897</v>
      </c>
      <c r="D284" s="67">
        <f>IF(COUNTIF($G$2:$G284,$G284)=1,1,0)</f>
        <v>0</v>
      </c>
      <c r="E284" s="67" t="str">
        <f>IFERROR(VLOOKUP(База_КР_КК[[#This Row],[ИД штатной должности (S)]],'уровень защищенности'!$B$7:$F$1095,5,0),"не защищена")</f>
        <v>высокий</v>
      </c>
      <c r="F284" s="68">
        <v>500375</v>
      </c>
      <c r="G284" s="74" t="s">
        <v>2228</v>
      </c>
      <c r="H284" s="181">
        <f>INDEX('Списки данных'!$D$2:$D$1048576,MATCH(База_КР_КК[[#This Row],[Структурное подразделение]],'Списки данных'!$C$2:$C$1048576,0))</f>
        <v>1</v>
      </c>
      <c r="I284" s="80" t="s">
        <v>132</v>
      </c>
      <c r="J284" s="80" t="s">
        <v>195</v>
      </c>
      <c r="K284" s="80" t="s">
        <v>196</v>
      </c>
      <c r="L284" s="30" t="s">
        <v>191</v>
      </c>
      <c r="M284" s="68">
        <v>6</v>
      </c>
      <c r="N284" s="181" t="str">
        <f t="shared" si="5"/>
        <v>нет</v>
      </c>
      <c r="O284" s="23"/>
      <c r="P284" s="23"/>
      <c r="Q284" s="106"/>
      <c r="R284" s="37">
        <v>71</v>
      </c>
      <c r="S284" s="39" t="s">
        <v>483</v>
      </c>
      <c r="T284" s="37">
        <v>1185</v>
      </c>
      <c r="U284" s="38" t="s">
        <v>1593</v>
      </c>
      <c r="V284" s="69" t="s">
        <v>272</v>
      </c>
      <c r="W284" s="89" t="s">
        <v>132</v>
      </c>
      <c r="X284" s="106" t="s">
        <v>295</v>
      </c>
      <c r="Y284" s="107" t="s">
        <v>12</v>
      </c>
      <c r="Z284" s="67">
        <f>IF(База_КР_КК[[#This Row],[Таб.номер резервиста]]="-","-",IF(OR(База_КР_КК[[#This Row],[Уровень КК]]=2,База_КР_КК[[#This Row],[Уровень КК]]=3),IF(COUNTIFS($U$2:$U284,$U284,$F$2:$F284,$F284)=1,1,0),IF(COUNTIFS($U$2:$U284,$U284,$L$2:$L284,$L284)=1,1,0)))</f>
        <v>0</v>
      </c>
      <c r="AA2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" s="106"/>
      <c r="AC284" s="51"/>
      <c r="AD284" s="106" t="s">
        <v>15</v>
      </c>
      <c r="AE284" s="33" t="s">
        <v>410</v>
      </c>
    </row>
    <row r="285" spans="1:31" ht="18" customHeight="1" x14ac:dyDescent="0.25">
      <c r="A2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5" s="79">
        <v>4</v>
      </c>
      <c r="C285" s="23">
        <v>44496</v>
      </c>
      <c r="D285" s="67">
        <f>IF(COUNTIF($G$2:$G285,$G285)=1,1,0)</f>
        <v>0</v>
      </c>
      <c r="E285" s="67" t="str">
        <f>IFERROR(VLOOKUP(База_КР_КК[[#This Row],[ИД штатной должности (S)]],'уровень защищенности'!$B$7:$F$1095,5,0),"не защищена")</f>
        <v>высокий</v>
      </c>
      <c r="F285" s="68">
        <v>500375</v>
      </c>
      <c r="G285" s="74" t="s">
        <v>2228</v>
      </c>
      <c r="H285" s="181">
        <f>INDEX('Списки данных'!$D$2:$D$1048576,MATCH(База_КР_КК[[#This Row],[Структурное подразделение]],'Списки данных'!$C$2:$C$1048576,0))</f>
        <v>1</v>
      </c>
      <c r="I285" s="80" t="s">
        <v>132</v>
      </c>
      <c r="J285" s="80" t="s">
        <v>195</v>
      </c>
      <c r="K285" s="80" t="s">
        <v>196</v>
      </c>
      <c r="L285" s="30" t="s">
        <v>191</v>
      </c>
      <c r="M285" s="68">
        <v>6</v>
      </c>
      <c r="N285" s="181" t="str">
        <f t="shared" si="5"/>
        <v>нет</v>
      </c>
      <c r="O285" s="23"/>
      <c r="P285" s="23"/>
      <c r="Q285" s="106"/>
      <c r="R285" s="37">
        <v>71</v>
      </c>
      <c r="S285" s="38" t="s">
        <v>483</v>
      </c>
      <c r="T285" s="37">
        <v>70</v>
      </c>
      <c r="U285" s="39" t="s">
        <v>482</v>
      </c>
      <c r="V285" s="89" t="s">
        <v>192</v>
      </c>
      <c r="W285" s="89" t="s">
        <v>132</v>
      </c>
      <c r="X285" s="106" t="s">
        <v>295</v>
      </c>
      <c r="Y285" s="107" t="s">
        <v>14</v>
      </c>
      <c r="Z285" s="67">
        <f>IF(База_КР_КК[[#This Row],[Таб.номер резервиста]]="-","-",IF(OR(База_КР_КК[[#This Row],[Уровень КК]]=2,База_КР_КК[[#This Row],[Уровень КК]]=3),IF(COUNTIFS($U$2:$U285,$U285,$F$2:$F285,$F285)=1,1,0),IF(COUNTIFS($U$2:$U285,$U285,$L$2:$L285,$L285)=1,1,0)))</f>
        <v>0</v>
      </c>
      <c r="AA2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" s="106" t="s">
        <v>24</v>
      </c>
      <c r="AC285" s="51">
        <v>44939</v>
      </c>
      <c r="AD285" s="106" t="s">
        <v>17</v>
      </c>
      <c r="AE285" s="33" t="s">
        <v>410</v>
      </c>
    </row>
    <row r="286" spans="1:31" ht="18" customHeight="1" x14ac:dyDescent="0.25">
      <c r="A2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6" s="79">
        <v>4</v>
      </c>
      <c r="C286" s="23">
        <v>43783</v>
      </c>
      <c r="D286" s="67">
        <f>IF(COUNTIF($G$2:$G286,$G286)=1,1,0)</f>
        <v>1</v>
      </c>
      <c r="E286" s="67" t="str">
        <f>IFERROR(VLOOKUP(База_КР_КК[[#This Row],[ИД штатной должности (S)]],'уровень защищенности'!$B$7:$F$1095,5,0),"не защищена")</f>
        <v>высокий</v>
      </c>
      <c r="F286" s="68">
        <v>500375</v>
      </c>
      <c r="G286" s="74" t="s">
        <v>2229</v>
      </c>
      <c r="H286" s="181">
        <f>INDEX('Списки данных'!$D$2:$D$1048576,MATCH(База_КР_КК[[#This Row],[Структурное подразделение]],'Списки данных'!$C$2:$C$1048576,0))</f>
        <v>1</v>
      </c>
      <c r="I286" s="80" t="s">
        <v>132</v>
      </c>
      <c r="J286" s="80" t="s">
        <v>195</v>
      </c>
      <c r="K286" s="80" t="s">
        <v>196</v>
      </c>
      <c r="L286" s="30" t="s">
        <v>191</v>
      </c>
      <c r="M286" s="68">
        <v>6</v>
      </c>
      <c r="N286" s="181" t="str">
        <f t="shared" si="5"/>
        <v>да</v>
      </c>
      <c r="O286" s="23">
        <v>44420</v>
      </c>
      <c r="P286" s="23">
        <v>44593</v>
      </c>
      <c r="Q286" s="106" t="s">
        <v>66</v>
      </c>
      <c r="R286" s="37">
        <v>72</v>
      </c>
      <c r="S286" s="39" t="s">
        <v>484</v>
      </c>
      <c r="T286" s="37">
        <v>1177</v>
      </c>
      <c r="U286" s="39" t="s">
        <v>1585</v>
      </c>
      <c r="V286" s="89" t="s">
        <v>272</v>
      </c>
      <c r="W286" s="89" t="s">
        <v>132</v>
      </c>
      <c r="X286" s="106" t="s">
        <v>295</v>
      </c>
      <c r="Y286" s="107" t="s">
        <v>12</v>
      </c>
      <c r="Z286" s="67">
        <f>IF(База_КР_КК[[#This Row],[Таб.номер резервиста]]="-","-",IF(OR(База_КР_КК[[#This Row],[Уровень КК]]=2,База_КР_КК[[#This Row],[Уровень КК]]=3),IF(COUNTIFS($U$2:$U286,$U286,$F$2:$F286,$F286)=1,1,0),IF(COUNTIFS($U$2:$U286,$U286,$L$2:$L286,$L286)=1,1,0)))</f>
        <v>0</v>
      </c>
      <c r="AA2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" s="106"/>
      <c r="AC286" s="51"/>
      <c r="AD286" s="106" t="s">
        <v>13</v>
      </c>
      <c r="AE286" s="38" t="s">
        <v>410</v>
      </c>
    </row>
    <row r="287" spans="1:31" ht="18" customHeight="1" x14ac:dyDescent="0.25">
      <c r="A2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7" s="79">
        <v>4</v>
      </c>
      <c r="C287" s="23">
        <v>43783</v>
      </c>
      <c r="D287" s="67">
        <f>IF(COUNTIF($G$2:$G287,$G287)=1,1,0)</f>
        <v>0</v>
      </c>
      <c r="E287" s="67" t="str">
        <f>IFERROR(VLOOKUP(База_КР_КК[[#This Row],[ИД штатной должности (S)]],'уровень защищенности'!$B$7:$F$1095,5,0),"не защищена")</f>
        <v>высокий</v>
      </c>
      <c r="F287" s="68">
        <v>500375</v>
      </c>
      <c r="G287" s="74" t="s">
        <v>2229</v>
      </c>
      <c r="H287" s="181">
        <f>INDEX('Списки данных'!$D$2:$D$1048576,MATCH(База_КР_КК[[#This Row],[Структурное подразделение]],'Списки данных'!$C$2:$C$1048576,0))</f>
        <v>1</v>
      </c>
      <c r="I287" s="80" t="s">
        <v>132</v>
      </c>
      <c r="J287" s="80" t="s">
        <v>195</v>
      </c>
      <c r="K287" s="80" t="s">
        <v>196</v>
      </c>
      <c r="L287" s="30" t="s">
        <v>191</v>
      </c>
      <c r="M287" s="68">
        <v>6</v>
      </c>
      <c r="N287" s="181" t="str">
        <f t="shared" si="5"/>
        <v>да</v>
      </c>
      <c r="O287" s="23">
        <v>44420</v>
      </c>
      <c r="P287" s="23">
        <v>44593</v>
      </c>
      <c r="Q287" s="106" t="s">
        <v>66</v>
      </c>
      <c r="R287" s="37">
        <v>72</v>
      </c>
      <c r="S287" s="39" t="s">
        <v>484</v>
      </c>
      <c r="T287" s="37">
        <v>1178</v>
      </c>
      <c r="U287" s="39" t="s">
        <v>1586</v>
      </c>
      <c r="V287" s="89" t="s">
        <v>272</v>
      </c>
      <c r="W287" s="89" t="s">
        <v>132</v>
      </c>
      <c r="X287" s="106" t="s">
        <v>295</v>
      </c>
      <c r="Y287" s="107" t="s">
        <v>12</v>
      </c>
      <c r="Z287" s="67">
        <f>IF(База_КР_КК[[#This Row],[Таб.номер резервиста]]="-","-",IF(OR(База_КР_КК[[#This Row],[Уровень КК]]=2,База_КР_КК[[#This Row],[Уровень КК]]=3),IF(COUNTIFS($U$2:$U287,$U287,$F$2:$F287,$F287)=1,1,0),IF(COUNTIFS($U$2:$U287,$U287,$L$2:$L287,$L287)=1,1,0)))</f>
        <v>0</v>
      </c>
      <c r="AA2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" s="106"/>
      <c r="AC287" s="51"/>
      <c r="AD287" s="106" t="s">
        <v>13</v>
      </c>
      <c r="AE287" s="38" t="s">
        <v>410</v>
      </c>
    </row>
    <row r="288" spans="1:31" ht="18" customHeight="1" x14ac:dyDescent="0.25">
      <c r="A2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8" s="79">
        <v>4</v>
      </c>
      <c r="C288" s="23">
        <v>43783</v>
      </c>
      <c r="D288" s="67">
        <f>IF(COUNTIF($G$2:$G288,$G288)=1,1,0)</f>
        <v>0</v>
      </c>
      <c r="E288" s="67" t="str">
        <f>IFERROR(VLOOKUP(База_КР_КК[[#This Row],[ИД штатной должности (S)]],'уровень защищенности'!$B$7:$F$1095,5,0),"не защищена")</f>
        <v>высокий</v>
      </c>
      <c r="F288" s="68">
        <v>500375</v>
      </c>
      <c r="G288" s="74" t="s">
        <v>2229</v>
      </c>
      <c r="H288" s="181">
        <f>INDEX('Списки данных'!$D$2:$D$1048576,MATCH(База_КР_КК[[#This Row],[Структурное подразделение]],'Списки данных'!$C$2:$C$1048576,0))</f>
        <v>1</v>
      </c>
      <c r="I288" s="80" t="s">
        <v>132</v>
      </c>
      <c r="J288" s="80" t="s">
        <v>195</v>
      </c>
      <c r="K288" s="80" t="s">
        <v>196</v>
      </c>
      <c r="L288" s="30" t="s">
        <v>191</v>
      </c>
      <c r="M288" s="68">
        <v>6</v>
      </c>
      <c r="N288" s="181" t="str">
        <f t="shared" si="5"/>
        <v>да</v>
      </c>
      <c r="O288" s="23">
        <v>44420</v>
      </c>
      <c r="P288" s="23">
        <v>44593</v>
      </c>
      <c r="Q288" s="106" t="s">
        <v>66</v>
      </c>
      <c r="R288" s="37">
        <v>72</v>
      </c>
      <c r="S288" s="39" t="s">
        <v>484</v>
      </c>
      <c r="T288" s="37">
        <v>1179</v>
      </c>
      <c r="U288" s="39" t="s">
        <v>1587</v>
      </c>
      <c r="V288" s="89" t="s">
        <v>272</v>
      </c>
      <c r="W288" s="89" t="s">
        <v>132</v>
      </c>
      <c r="X288" s="106" t="s">
        <v>295</v>
      </c>
      <c r="Y288" s="107" t="s">
        <v>12</v>
      </c>
      <c r="Z288" s="67">
        <f>IF(База_КР_КК[[#This Row],[Таб.номер резервиста]]="-","-",IF(OR(База_КР_КК[[#This Row],[Уровень КК]]=2,База_КР_КК[[#This Row],[Уровень КК]]=3),IF(COUNTIFS($U$2:$U288,$U288,$F$2:$F288,$F288)=1,1,0),IF(COUNTIFS($U$2:$U288,$U288,$L$2:$L288,$L288)=1,1,0)))</f>
        <v>0</v>
      </c>
      <c r="AA2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" s="106"/>
      <c r="AC288" s="51"/>
      <c r="AD288" s="106" t="s">
        <v>17</v>
      </c>
      <c r="AE288" s="38" t="s">
        <v>410</v>
      </c>
    </row>
    <row r="289" spans="1:31" ht="18" customHeight="1" x14ac:dyDescent="0.25">
      <c r="A2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89" s="79">
        <v>4</v>
      </c>
      <c r="C289" s="23">
        <v>43783</v>
      </c>
      <c r="D289" s="67">
        <f>IF(COUNTIF($G$2:$G289,$G289)=1,1,0)</f>
        <v>0</v>
      </c>
      <c r="E289" s="67" t="str">
        <f>IFERROR(VLOOKUP(База_КР_КК[[#This Row],[ИД штатной должности (S)]],'уровень защищенности'!$B$7:$F$1095,5,0),"не защищена")</f>
        <v>высокий</v>
      </c>
      <c r="F289" s="68">
        <v>500375</v>
      </c>
      <c r="G289" s="74" t="s">
        <v>2229</v>
      </c>
      <c r="H289" s="181">
        <f>INDEX('Списки данных'!$D$2:$D$1048576,MATCH(База_КР_КК[[#This Row],[Структурное подразделение]],'Списки данных'!$C$2:$C$1048576,0))</f>
        <v>1</v>
      </c>
      <c r="I289" s="80" t="s">
        <v>132</v>
      </c>
      <c r="J289" s="80" t="s">
        <v>195</v>
      </c>
      <c r="K289" s="80" t="s">
        <v>196</v>
      </c>
      <c r="L289" s="30" t="s">
        <v>191</v>
      </c>
      <c r="M289" s="68">
        <v>6</v>
      </c>
      <c r="N289" s="181" t="str">
        <f t="shared" si="5"/>
        <v>да</v>
      </c>
      <c r="O289" s="23">
        <v>44420</v>
      </c>
      <c r="P289" s="23">
        <v>44593</v>
      </c>
      <c r="Q289" s="106" t="s">
        <v>66</v>
      </c>
      <c r="R289" s="37">
        <v>72</v>
      </c>
      <c r="S289" s="38" t="s">
        <v>484</v>
      </c>
      <c r="T289" s="37">
        <v>1176</v>
      </c>
      <c r="U289" s="39" t="s">
        <v>1584</v>
      </c>
      <c r="V289" s="89" t="s">
        <v>272</v>
      </c>
      <c r="W289" s="89" t="s">
        <v>132</v>
      </c>
      <c r="X289" s="106" t="s">
        <v>295</v>
      </c>
      <c r="Y289" s="107" t="s">
        <v>12</v>
      </c>
      <c r="Z289" s="67">
        <f>IF(База_КР_КК[[#This Row],[Таб.номер резервиста]]="-","-",IF(OR(База_КР_КК[[#This Row],[Уровень КК]]=2,База_КР_КК[[#This Row],[Уровень КК]]=3),IF(COUNTIFS($U$2:$U289,$U289,$F$2:$F289,$F289)=1,1,0),IF(COUNTIFS($U$2:$U289,$U289,$L$2:$L289,$L289)=1,1,0)))</f>
        <v>0</v>
      </c>
      <c r="AA2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" s="106"/>
      <c r="AC289" s="51"/>
      <c r="AD289" s="106" t="s">
        <v>13</v>
      </c>
      <c r="AE289" s="38" t="s">
        <v>410</v>
      </c>
    </row>
    <row r="290" spans="1:31" ht="18" customHeight="1" x14ac:dyDescent="0.25">
      <c r="A2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0" s="79">
        <v>4</v>
      </c>
      <c r="C290" s="23">
        <v>43783</v>
      </c>
      <c r="D290" s="67">
        <f>IF(COUNTIF($G$2:$G290,$G290)=1,1,0)</f>
        <v>0</v>
      </c>
      <c r="E290" s="67" t="str">
        <f>IFERROR(VLOOKUP(База_КР_КК[[#This Row],[ИД штатной должности (S)]],'уровень защищенности'!$B$7:$F$1095,5,0),"не защищена")</f>
        <v>высокий</v>
      </c>
      <c r="F290" s="68">
        <v>500375</v>
      </c>
      <c r="G290" s="74" t="s">
        <v>2229</v>
      </c>
      <c r="H290" s="181">
        <f>INDEX('Списки данных'!$D$2:$D$1048576,MATCH(База_КР_КК[[#This Row],[Структурное подразделение]],'Списки данных'!$C$2:$C$1048576,0))</f>
        <v>1</v>
      </c>
      <c r="I290" s="80" t="s">
        <v>132</v>
      </c>
      <c r="J290" s="80" t="s">
        <v>195</v>
      </c>
      <c r="K290" s="80" t="s">
        <v>196</v>
      </c>
      <c r="L290" s="30" t="s">
        <v>191</v>
      </c>
      <c r="M290" s="68">
        <v>6</v>
      </c>
      <c r="N290" s="181" t="str">
        <f t="shared" si="5"/>
        <v>да</v>
      </c>
      <c r="O290" s="23">
        <v>44420</v>
      </c>
      <c r="P290" s="23">
        <v>44593</v>
      </c>
      <c r="Q290" s="106" t="s">
        <v>66</v>
      </c>
      <c r="R290" s="37">
        <v>72</v>
      </c>
      <c r="S290" s="38" t="s">
        <v>484</v>
      </c>
      <c r="T290" s="37">
        <v>1180</v>
      </c>
      <c r="U290" s="39" t="s">
        <v>1588</v>
      </c>
      <c r="V290" s="89" t="s">
        <v>272</v>
      </c>
      <c r="W290" s="89" t="s">
        <v>132</v>
      </c>
      <c r="X290" s="106" t="s">
        <v>295</v>
      </c>
      <c r="Y290" s="107" t="s">
        <v>12</v>
      </c>
      <c r="Z290" s="67">
        <f>IF(База_КР_КК[[#This Row],[Таб.номер резервиста]]="-","-",IF(OR(База_КР_КК[[#This Row],[Уровень КК]]=2,База_КР_КК[[#This Row],[Уровень КК]]=3),IF(COUNTIFS($U$2:$U290,$U290,$F$2:$F290,$F290)=1,1,0),IF(COUNTIFS($U$2:$U290,$U290,$L$2:$L290,$L290)=1,1,0)))</f>
        <v>0</v>
      </c>
      <c r="AA2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" s="106"/>
      <c r="AC290" s="51"/>
      <c r="AD290" s="106" t="s">
        <v>17</v>
      </c>
      <c r="AE290" s="38" t="s">
        <v>410</v>
      </c>
    </row>
    <row r="291" spans="1:31" ht="18" customHeight="1" x14ac:dyDescent="0.25">
      <c r="A2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1" s="79">
        <v>4</v>
      </c>
      <c r="C291" s="23">
        <v>44113</v>
      </c>
      <c r="D291" s="67">
        <f>IF(COUNTIF($G$2:$G291,$G291)=1,1,0)</f>
        <v>0</v>
      </c>
      <c r="E291" s="67" t="str">
        <f>IFERROR(VLOOKUP(База_КР_КК[[#This Row],[ИД штатной должности (S)]],'уровень защищенности'!$B$7:$F$1095,5,0),"не защищена")</f>
        <v>высокий</v>
      </c>
      <c r="F291" s="68">
        <v>500375</v>
      </c>
      <c r="G291" s="74" t="s">
        <v>2229</v>
      </c>
      <c r="H291" s="181">
        <f>INDEX('Списки данных'!$D$2:$D$1048576,MATCH(База_КР_КК[[#This Row],[Структурное подразделение]],'Списки данных'!$C$2:$C$1048576,0))</f>
        <v>1</v>
      </c>
      <c r="I291" s="80" t="s">
        <v>132</v>
      </c>
      <c r="J291" s="80" t="s">
        <v>195</v>
      </c>
      <c r="K291" s="80" t="s">
        <v>196</v>
      </c>
      <c r="L291" s="30" t="s">
        <v>191</v>
      </c>
      <c r="M291" s="68">
        <v>6</v>
      </c>
      <c r="N291" s="181" t="str">
        <f t="shared" si="5"/>
        <v>да</v>
      </c>
      <c r="O291" s="23">
        <v>44420</v>
      </c>
      <c r="P291" s="23">
        <v>44593</v>
      </c>
      <c r="Q291" s="106" t="s">
        <v>66</v>
      </c>
      <c r="R291" s="37">
        <v>72</v>
      </c>
      <c r="S291" s="38" t="s">
        <v>484</v>
      </c>
      <c r="T291" s="37">
        <v>1181</v>
      </c>
      <c r="U291" s="39" t="s">
        <v>1589</v>
      </c>
      <c r="V291" s="89" t="s">
        <v>272</v>
      </c>
      <c r="W291" s="89" t="s">
        <v>132</v>
      </c>
      <c r="X291" s="106" t="s">
        <v>295</v>
      </c>
      <c r="Y291" s="107" t="s">
        <v>12</v>
      </c>
      <c r="Z291" s="67">
        <f>IF(База_КР_КК[[#This Row],[Таб.номер резервиста]]="-","-",IF(OR(База_КР_КК[[#This Row],[Уровень КК]]=2,База_КР_КК[[#This Row],[Уровень КК]]=3),IF(COUNTIFS($U$2:$U291,$U291,$F$2:$F291,$F291)=1,1,0),IF(COUNTIFS($U$2:$U291,$U291,$L$2:$L291,$L291)=1,1,0)))</f>
        <v>0</v>
      </c>
      <c r="AA2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" s="106"/>
      <c r="AC291" s="51"/>
      <c r="AD291" s="106" t="s">
        <v>17</v>
      </c>
      <c r="AE291" s="38" t="s">
        <v>410</v>
      </c>
    </row>
    <row r="292" spans="1:31" ht="18" customHeight="1" x14ac:dyDescent="0.25">
      <c r="A2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2" s="79">
        <v>4</v>
      </c>
      <c r="C292" s="23">
        <v>44897</v>
      </c>
      <c r="D292" s="67">
        <f>IF(COUNTIF($G$2:$G292,$G292)=1,1,0)</f>
        <v>0</v>
      </c>
      <c r="E292" s="67" t="str">
        <f>IFERROR(VLOOKUP(База_КР_КК[[#This Row],[ИД штатной должности (S)]],'уровень защищенности'!$B$7:$F$1095,5,0),"не защищена")</f>
        <v>высокий</v>
      </c>
      <c r="F292" s="68">
        <v>500375</v>
      </c>
      <c r="G292" s="74" t="s">
        <v>2229</v>
      </c>
      <c r="H292" s="181">
        <f>INDEX('Списки данных'!$D$2:$D$1048576,MATCH(База_КР_КК[[#This Row],[Структурное подразделение]],'Списки данных'!$C$2:$C$1048576,0))</f>
        <v>1</v>
      </c>
      <c r="I292" s="80" t="s">
        <v>132</v>
      </c>
      <c r="J292" s="80" t="s">
        <v>195</v>
      </c>
      <c r="K292" s="80" t="s">
        <v>196</v>
      </c>
      <c r="L292" s="30" t="s">
        <v>191</v>
      </c>
      <c r="M292" s="68">
        <v>6</v>
      </c>
      <c r="N292" s="181" t="str">
        <f t="shared" si="5"/>
        <v>да</v>
      </c>
      <c r="O292" s="23">
        <v>44420</v>
      </c>
      <c r="P292" s="23">
        <v>44593</v>
      </c>
      <c r="Q292" s="106" t="s">
        <v>66</v>
      </c>
      <c r="R292" s="37">
        <v>72</v>
      </c>
      <c r="S292" s="39" t="s">
        <v>484</v>
      </c>
      <c r="T292" s="37">
        <v>1182</v>
      </c>
      <c r="U292" s="38" t="s">
        <v>1590</v>
      </c>
      <c r="V292" s="69" t="s">
        <v>272</v>
      </c>
      <c r="W292" s="89" t="s">
        <v>132</v>
      </c>
      <c r="X292" s="106" t="s">
        <v>296</v>
      </c>
      <c r="Y292" s="107" t="s">
        <v>12</v>
      </c>
      <c r="Z292" s="67">
        <f>IF(База_КР_КК[[#This Row],[Таб.номер резервиста]]="-","-",IF(OR(База_КР_КК[[#This Row],[Уровень КК]]=2,База_КР_КК[[#This Row],[Уровень КК]]=3),IF(COUNTIFS($U$2:$U292,$U292,$F$2:$F292,$F292)=1,1,0),IF(COUNTIFS($U$2:$U292,$U292,$L$2:$L292,$L292)=1,1,0)))</f>
        <v>0</v>
      </c>
      <c r="AA2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" s="106"/>
      <c r="AC292" s="51"/>
      <c r="AD292" s="106" t="s">
        <v>15</v>
      </c>
      <c r="AE292" s="33" t="s">
        <v>410</v>
      </c>
    </row>
    <row r="293" spans="1:31" ht="18" customHeight="1" x14ac:dyDescent="0.25">
      <c r="A2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3" s="79">
        <v>4</v>
      </c>
      <c r="C293" s="23">
        <v>44897</v>
      </c>
      <c r="D293" s="67">
        <f>IF(COUNTIF($G$2:$G293,$G293)=1,1,0)</f>
        <v>0</v>
      </c>
      <c r="E293" s="67" t="str">
        <f>IFERROR(VLOOKUP(База_КР_КК[[#This Row],[ИД штатной должности (S)]],'уровень защищенности'!$B$7:$F$1095,5,0),"не защищена")</f>
        <v>высокий</v>
      </c>
      <c r="F293" s="68">
        <v>500375</v>
      </c>
      <c r="G293" s="74" t="s">
        <v>2229</v>
      </c>
      <c r="H293" s="181">
        <f>INDEX('Списки данных'!$D$2:$D$1048576,MATCH(База_КР_КК[[#This Row],[Структурное подразделение]],'Списки данных'!$C$2:$C$1048576,0))</f>
        <v>1</v>
      </c>
      <c r="I293" s="80" t="s">
        <v>132</v>
      </c>
      <c r="J293" s="80" t="s">
        <v>195</v>
      </c>
      <c r="K293" s="80" t="s">
        <v>196</v>
      </c>
      <c r="L293" s="30" t="s">
        <v>191</v>
      </c>
      <c r="M293" s="68">
        <v>6</v>
      </c>
      <c r="N293" s="181" t="str">
        <f t="shared" si="5"/>
        <v>да</v>
      </c>
      <c r="O293" s="23">
        <v>44420</v>
      </c>
      <c r="P293" s="23">
        <v>44593</v>
      </c>
      <c r="Q293" s="106" t="s">
        <v>66</v>
      </c>
      <c r="R293" s="37">
        <v>72</v>
      </c>
      <c r="S293" s="39" t="s">
        <v>484</v>
      </c>
      <c r="T293" s="37">
        <v>1183</v>
      </c>
      <c r="U293" s="38" t="s">
        <v>1591</v>
      </c>
      <c r="V293" s="69" t="s">
        <v>272</v>
      </c>
      <c r="W293" s="89" t="s">
        <v>132</v>
      </c>
      <c r="X293" s="106" t="s">
        <v>296</v>
      </c>
      <c r="Y293" s="107" t="s">
        <v>12</v>
      </c>
      <c r="Z293" s="67">
        <f>IF(База_КР_КК[[#This Row],[Таб.номер резервиста]]="-","-",IF(OR(База_КР_КК[[#This Row],[Уровень КК]]=2,База_КР_КК[[#This Row],[Уровень КК]]=3),IF(COUNTIFS($U$2:$U293,$U293,$F$2:$F293,$F293)=1,1,0),IF(COUNTIFS($U$2:$U293,$U293,$L$2:$L293,$L293)=1,1,0)))</f>
        <v>0</v>
      </c>
      <c r="AA2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" s="106"/>
      <c r="AC293" s="51"/>
      <c r="AD293" s="106" t="s">
        <v>15</v>
      </c>
      <c r="AE293" s="33" t="s">
        <v>410</v>
      </c>
    </row>
    <row r="294" spans="1:31" ht="18" customHeight="1" x14ac:dyDescent="0.25">
      <c r="A2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4" s="79">
        <v>4</v>
      </c>
      <c r="C294" s="23">
        <v>44897</v>
      </c>
      <c r="D294" s="67">
        <f>IF(COUNTIF($G$2:$G294,$G294)=1,1,0)</f>
        <v>0</v>
      </c>
      <c r="E294" s="67" t="str">
        <f>IFERROR(VLOOKUP(База_КР_КК[[#This Row],[ИД штатной должности (S)]],'уровень защищенности'!$B$7:$F$1095,5,0),"не защищена")</f>
        <v>высокий</v>
      </c>
      <c r="F294" s="68">
        <v>500375</v>
      </c>
      <c r="G294" s="74" t="s">
        <v>2229</v>
      </c>
      <c r="H294" s="181">
        <f>INDEX('Списки данных'!$D$2:$D$1048576,MATCH(База_КР_КК[[#This Row],[Структурное подразделение]],'Списки данных'!$C$2:$C$1048576,0))</f>
        <v>1</v>
      </c>
      <c r="I294" s="80" t="s">
        <v>132</v>
      </c>
      <c r="J294" s="80" t="s">
        <v>195</v>
      </c>
      <c r="K294" s="80" t="s">
        <v>196</v>
      </c>
      <c r="L294" s="30" t="s">
        <v>191</v>
      </c>
      <c r="M294" s="68">
        <v>6</v>
      </c>
      <c r="N294" s="181" t="str">
        <f t="shared" si="5"/>
        <v>да</v>
      </c>
      <c r="O294" s="23">
        <v>44420</v>
      </c>
      <c r="P294" s="23">
        <v>44593</v>
      </c>
      <c r="Q294" s="106" t="s">
        <v>66</v>
      </c>
      <c r="R294" s="37">
        <v>72</v>
      </c>
      <c r="S294" s="39" t="s">
        <v>484</v>
      </c>
      <c r="T294" s="37">
        <v>1184</v>
      </c>
      <c r="U294" s="38" t="s">
        <v>1592</v>
      </c>
      <c r="V294" s="69" t="s">
        <v>272</v>
      </c>
      <c r="W294" s="89" t="s">
        <v>132</v>
      </c>
      <c r="X294" s="106" t="s">
        <v>296</v>
      </c>
      <c r="Y294" s="107" t="s">
        <v>12</v>
      </c>
      <c r="Z294" s="67">
        <f>IF(База_КР_КК[[#This Row],[Таб.номер резервиста]]="-","-",IF(OR(База_КР_КК[[#This Row],[Уровень КК]]=2,База_КР_КК[[#This Row],[Уровень КК]]=3),IF(COUNTIFS($U$2:$U294,$U294,$F$2:$F294,$F294)=1,1,0),IF(COUNTIFS($U$2:$U294,$U294,$L$2:$L294,$L294)=1,1,0)))</f>
        <v>0</v>
      </c>
      <c r="AA2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" s="106"/>
      <c r="AC294" s="51"/>
      <c r="AD294" s="106" t="s">
        <v>15</v>
      </c>
      <c r="AE294" s="33" t="s">
        <v>410</v>
      </c>
    </row>
    <row r="295" spans="1:31" ht="18" customHeight="1" x14ac:dyDescent="0.25">
      <c r="A2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5" s="79">
        <v>4</v>
      </c>
      <c r="C295" s="23">
        <v>44897</v>
      </c>
      <c r="D295" s="67">
        <f>IF(COUNTIF($G$2:$G295,$G295)=1,1,0)</f>
        <v>0</v>
      </c>
      <c r="E295" s="67" t="str">
        <f>IFERROR(VLOOKUP(База_КР_КК[[#This Row],[ИД штатной должности (S)]],'уровень защищенности'!$B$7:$F$1095,5,0),"не защищена")</f>
        <v>высокий</v>
      </c>
      <c r="F295" s="68">
        <v>500375</v>
      </c>
      <c r="G295" s="74" t="s">
        <v>2229</v>
      </c>
      <c r="H295" s="181">
        <f>INDEX('Списки данных'!$D$2:$D$1048576,MATCH(База_КР_КК[[#This Row],[Структурное подразделение]],'Списки данных'!$C$2:$C$1048576,0))</f>
        <v>1</v>
      </c>
      <c r="I295" s="80" t="s">
        <v>132</v>
      </c>
      <c r="J295" s="80" t="s">
        <v>195</v>
      </c>
      <c r="K295" s="80" t="s">
        <v>196</v>
      </c>
      <c r="L295" s="30" t="s">
        <v>191</v>
      </c>
      <c r="M295" s="68">
        <v>6</v>
      </c>
      <c r="N295" s="181" t="str">
        <f t="shared" si="5"/>
        <v>да</v>
      </c>
      <c r="O295" s="23">
        <v>44420</v>
      </c>
      <c r="P295" s="23">
        <v>44593</v>
      </c>
      <c r="Q295" s="106" t="s">
        <v>66</v>
      </c>
      <c r="R295" s="37">
        <v>72</v>
      </c>
      <c r="S295" s="39" t="s">
        <v>484</v>
      </c>
      <c r="T295" s="37">
        <v>1185</v>
      </c>
      <c r="U295" s="38" t="s">
        <v>1593</v>
      </c>
      <c r="V295" s="69" t="s">
        <v>272</v>
      </c>
      <c r="W295" s="89" t="s">
        <v>132</v>
      </c>
      <c r="X295" s="106" t="s">
        <v>295</v>
      </c>
      <c r="Y295" s="107" t="s">
        <v>12</v>
      </c>
      <c r="Z295" s="67">
        <f>IF(База_КР_КК[[#This Row],[Таб.номер резервиста]]="-","-",IF(OR(База_КР_КК[[#This Row],[Уровень КК]]=2,База_КР_КК[[#This Row],[Уровень КК]]=3),IF(COUNTIFS($U$2:$U295,$U295,$F$2:$F295,$F295)=1,1,0),IF(COUNTIFS($U$2:$U295,$U295,$L$2:$L295,$L295)=1,1,0)))</f>
        <v>0</v>
      </c>
      <c r="AA2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" s="106"/>
      <c r="AC295" s="51"/>
      <c r="AD295" s="106" t="s">
        <v>15</v>
      </c>
      <c r="AE295" s="33" t="s">
        <v>410</v>
      </c>
    </row>
    <row r="296" spans="1:31" ht="18" customHeight="1" x14ac:dyDescent="0.25">
      <c r="A2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6" s="79">
        <v>4</v>
      </c>
      <c r="C296" s="23">
        <v>43783</v>
      </c>
      <c r="D296" s="67">
        <f>IF(COUNTIF($G$2:$G296,$G296)=1,1,0)</f>
        <v>0</v>
      </c>
      <c r="E296" s="67" t="str">
        <f>IFERROR(VLOOKUP(База_КР_КК[[#This Row],[ИД штатной должности (S)]],'уровень защищенности'!$B$7:$F$1095,5,0),"не защищена")</f>
        <v>высокий</v>
      </c>
      <c r="F296" s="68">
        <v>500375</v>
      </c>
      <c r="G296" s="74" t="s">
        <v>2229</v>
      </c>
      <c r="H296" s="181">
        <f>INDEX('Списки данных'!$D$2:$D$1048576,MATCH(База_КР_КК[[#This Row],[Структурное подразделение]],'Списки данных'!$C$2:$C$1048576,0))</f>
        <v>1</v>
      </c>
      <c r="I296" s="80" t="s">
        <v>132</v>
      </c>
      <c r="J296" s="80" t="s">
        <v>195</v>
      </c>
      <c r="K296" s="80" t="s">
        <v>196</v>
      </c>
      <c r="L296" s="30" t="s">
        <v>191</v>
      </c>
      <c r="M296" s="68">
        <v>6</v>
      </c>
      <c r="N296" s="181" t="str">
        <f t="shared" si="5"/>
        <v>да</v>
      </c>
      <c r="O296" s="23">
        <v>44420</v>
      </c>
      <c r="P296" s="23">
        <v>44593</v>
      </c>
      <c r="Q296" s="106" t="s">
        <v>66</v>
      </c>
      <c r="R296" s="37">
        <v>72</v>
      </c>
      <c r="S296" s="39" t="s">
        <v>484</v>
      </c>
      <c r="T296" s="37">
        <v>72</v>
      </c>
      <c r="U296" s="39" t="s">
        <v>484</v>
      </c>
      <c r="V296" s="89" t="s">
        <v>192</v>
      </c>
      <c r="W296" s="89" t="s">
        <v>132</v>
      </c>
      <c r="X296" s="106" t="s">
        <v>295</v>
      </c>
      <c r="Y296" s="107" t="s">
        <v>14</v>
      </c>
      <c r="Z296" s="67">
        <f>IF(База_КР_КК[[#This Row],[Таб.номер резервиста]]="-","-",IF(OR(База_КР_КК[[#This Row],[Уровень КК]]=2,База_КР_КК[[#This Row],[Уровень КК]]=3),IF(COUNTIFS($U$2:$U296,$U296,$F$2:$F296,$F296)=1,1,0),IF(COUNTIFS($U$2:$U296,$U296,$L$2:$L296,$L296)=1,1,0)))</f>
        <v>1</v>
      </c>
      <c r="AA2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96" s="106" t="s">
        <v>24</v>
      </c>
      <c r="AC296" s="51">
        <v>44593</v>
      </c>
      <c r="AD296" s="106" t="s">
        <v>13</v>
      </c>
      <c r="AE296" s="38" t="s">
        <v>315</v>
      </c>
    </row>
    <row r="297" spans="1:31" ht="18" customHeight="1" x14ac:dyDescent="0.25">
      <c r="A2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7" s="79">
        <v>4</v>
      </c>
      <c r="C297" s="23">
        <v>44496</v>
      </c>
      <c r="D297" s="67">
        <f>IF(COUNTIF($G$2:$G297,$G297)=1,1,0)</f>
        <v>0</v>
      </c>
      <c r="E297" s="67" t="str">
        <f>IFERROR(VLOOKUP(База_КР_КК[[#This Row],[ИД штатной должности (S)]],'уровень защищенности'!$B$7:$F$1095,5,0),"не защищена")</f>
        <v>высокий</v>
      </c>
      <c r="F297" s="68">
        <v>500375</v>
      </c>
      <c r="G297" s="74" t="s">
        <v>2229</v>
      </c>
      <c r="H297" s="181">
        <f>INDEX('Списки данных'!$D$2:$D$1048576,MATCH(База_КР_КК[[#This Row],[Структурное подразделение]],'Списки данных'!$C$2:$C$1048576,0))</f>
        <v>1</v>
      </c>
      <c r="I297" s="80" t="s">
        <v>132</v>
      </c>
      <c r="J297" s="80" t="s">
        <v>195</v>
      </c>
      <c r="K297" s="80" t="s">
        <v>196</v>
      </c>
      <c r="L297" s="30" t="s">
        <v>191</v>
      </c>
      <c r="M297" s="68">
        <v>6</v>
      </c>
      <c r="N297" s="181" t="str">
        <f t="shared" si="5"/>
        <v>да</v>
      </c>
      <c r="O297" s="23">
        <v>44420</v>
      </c>
      <c r="P297" s="23">
        <v>44593</v>
      </c>
      <c r="Q297" s="106" t="s">
        <v>66</v>
      </c>
      <c r="R297" s="37">
        <v>72</v>
      </c>
      <c r="S297" s="39" t="s">
        <v>484</v>
      </c>
      <c r="T297" s="37">
        <v>70</v>
      </c>
      <c r="U297" s="39" t="s">
        <v>482</v>
      </c>
      <c r="V297" s="89" t="s">
        <v>192</v>
      </c>
      <c r="W297" s="89" t="s">
        <v>132</v>
      </c>
      <c r="X297" s="106" t="s">
        <v>295</v>
      </c>
      <c r="Y297" s="107" t="s">
        <v>14</v>
      </c>
      <c r="Z297" s="67">
        <f>IF(База_КР_КК[[#This Row],[Таб.номер резервиста]]="-","-",IF(OR(База_КР_КК[[#This Row],[Уровень КК]]=2,База_КР_КК[[#This Row],[Уровень КК]]=3),IF(COUNTIFS($U$2:$U297,$U297,$F$2:$F297,$F297)=1,1,0),IF(COUNTIFS($U$2:$U297,$U297,$L$2:$L297,$L297)=1,1,0)))</f>
        <v>0</v>
      </c>
      <c r="AA2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" s="106" t="s">
        <v>24</v>
      </c>
      <c r="AC297" s="51">
        <v>44939</v>
      </c>
      <c r="AD297" s="106" t="s">
        <v>17</v>
      </c>
      <c r="AE297" s="33" t="s">
        <v>410</v>
      </c>
    </row>
    <row r="298" spans="1:31" ht="18" customHeight="1" x14ac:dyDescent="0.25">
      <c r="A2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8" s="79">
        <v>4</v>
      </c>
      <c r="C298" s="23">
        <v>43783</v>
      </c>
      <c r="D298" s="67">
        <f>IF(COUNTIF($G$2:$G298,$G298)=1,1,0)</f>
        <v>1</v>
      </c>
      <c r="E298" s="67" t="str">
        <f>IFERROR(VLOOKUP(База_КР_КК[[#This Row],[ИД штатной должности (S)]],'уровень защищенности'!$B$7:$F$1095,5,0),"не защищена")</f>
        <v>высокий</v>
      </c>
      <c r="F298" s="68">
        <v>500375</v>
      </c>
      <c r="G298" s="74" t="s">
        <v>2230</v>
      </c>
      <c r="H298" s="181">
        <f>INDEX('Списки данных'!$D$2:$D$1048576,MATCH(База_КР_КК[[#This Row],[Структурное подразделение]],'Списки данных'!$C$2:$C$1048576,0))</f>
        <v>1</v>
      </c>
      <c r="I298" s="80" t="s">
        <v>132</v>
      </c>
      <c r="J298" s="80" t="s">
        <v>195</v>
      </c>
      <c r="K298" s="80" t="s">
        <v>196</v>
      </c>
      <c r="L298" s="30" t="s">
        <v>191</v>
      </c>
      <c r="M298" s="68">
        <v>6</v>
      </c>
      <c r="N298" s="181" t="str">
        <f t="shared" si="5"/>
        <v>нет</v>
      </c>
      <c r="O298" s="23"/>
      <c r="P298" s="23"/>
      <c r="Q298" s="106"/>
      <c r="R298" s="37">
        <v>73</v>
      </c>
      <c r="S298" s="38" t="s">
        <v>485</v>
      </c>
      <c r="T298" s="37">
        <v>1177</v>
      </c>
      <c r="U298" s="39" t="s">
        <v>1585</v>
      </c>
      <c r="V298" s="89" t="s">
        <v>272</v>
      </c>
      <c r="W298" s="89" t="s">
        <v>132</v>
      </c>
      <c r="X298" s="106" t="s">
        <v>295</v>
      </c>
      <c r="Y298" s="107" t="s">
        <v>12</v>
      </c>
      <c r="Z298" s="67">
        <f>IF(База_КР_КК[[#This Row],[Таб.номер резервиста]]="-","-",IF(OR(База_КР_КК[[#This Row],[Уровень КК]]=2,База_КР_КК[[#This Row],[Уровень КК]]=3),IF(COUNTIFS($U$2:$U298,$U298,$F$2:$F298,$F298)=1,1,0),IF(COUNTIFS($U$2:$U298,$U298,$L$2:$L298,$L298)=1,1,0)))</f>
        <v>0</v>
      </c>
      <c r="AA2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" s="106"/>
      <c r="AC298" s="51"/>
      <c r="AD298" s="106" t="s">
        <v>13</v>
      </c>
      <c r="AE298" s="38" t="s">
        <v>410</v>
      </c>
    </row>
    <row r="299" spans="1:31" ht="18" customHeight="1" x14ac:dyDescent="0.25">
      <c r="A2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299" s="79">
        <v>4</v>
      </c>
      <c r="C299" s="23">
        <v>43783</v>
      </c>
      <c r="D299" s="67">
        <f>IF(COUNTIF($G$2:$G299,$G299)=1,1,0)</f>
        <v>0</v>
      </c>
      <c r="E299" s="67" t="str">
        <f>IFERROR(VLOOKUP(База_КР_КК[[#This Row],[ИД штатной должности (S)]],'уровень защищенности'!$B$7:$F$1095,5,0),"не защищена")</f>
        <v>высокий</v>
      </c>
      <c r="F299" s="68">
        <v>500375</v>
      </c>
      <c r="G299" s="74" t="s">
        <v>2230</v>
      </c>
      <c r="H299" s="181">
        <f>INDEX('Списки данных'!$D$2:$D$1048576,MATCH(База_КР_КК[[#This Row],[Структурное подразделение]],'Списки данных'!$C$2:$C$1048576,0))</f>
        <v>1</v>
      </c>
      <c r="I299" s="80" t="s">
        <v>132</v>
      </c>
      <c r="J299" s="80" t="s">
        <v>195</v>
      </c>
      <c r="K299" s="80" t="s">
        <v>196</v>
      </c>
      <c r="L299" s="30" t="s">
        <v>191</v>
      </c>
      <c r="M299" s="68">
        <v>6</v>
      </c>
      <c r="N299" s="181" t="str">
        <f t="shared" si="5"/>
        <v>нет</v>
      </c>
      <c r="O299" s="23"/>
      <c r="P299" s="23"/>
      <c r="Q299" s="106"/>
      <c r="R299" s="37">
        <v>73</v>
      </c>
      <c r="S299" s="38" t="s">
        <v>485</v>
      </c>
      <c r="T299" s="37">
        <v>1178</v>
      </c>
      <c r="U299" s="39" t="s">
        <v>1586</v>
      </c>
      <c r="V299" s="89" t="s">
        <v>272</v>
      </c>
      <c r="W299" s="89" t="s">
        <v>132</v>
      </c>
      <c r="X299" s="106" t="s">
        <v>295</v>
      </c>
      <c r="Y299" s="107" t="s">
        <v>12</v>
      </c>
      <c r="Z299" s="67">
        <f>IF(База_КР_КК[[#This Row],[Таб.номер резервиста]]="-","-",IF(OR(База_КР_КК[[#This Row],[Уровень КК]]=2,База_КР_КК[[#This Row],[Уровень КК]]=3),IF(COUNTIFS($U$2:$U299,$U299,$F$2:$F299,$F299)=1,1,0),IF(COUNTIFS($U$2:$U299,$U299,$L$2:$L299,$L299)=1,1,0)))</f>
        <v>0</v>
      </c>
      <c r="AA2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" s="106"/>
      <c r="AC299" s="51"/>
      <c r="AD299" s="106" t="s">
        <v>13</v>
      </c>
      <c r="AE299" s="38" t="s">
        <v>410</v>
      </c>
    </row>
    <row r="300" spans="1:31" ht="18" customHeight="1" x14ac:dyDescent="0.25">
      <c r="A3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0" s="79">
        <v>4</v>
      </c>
      <c r="C300" s="23">
        <v>43783</v>
      </c>
      <c r="D300" s="67">
        <f>IF(COUNTIF($G$2:$G300,$G300)=1,1,0)</f>
        <v>0</v>
      </c>
      <c r="E300" s="67" t="str">
        <f>IFERROR(VLOOKUP(База_КР_КК[[#This Row],[ИД штатной должности (S)]],'уровень защищенности'!$B$7:$F$1095,5,0),"не защищена")</f>
        <v>высокий</v>
      </c>
      <c r="F300" s="68">
        <v>500375</v>
      </c>
      <c r="G300" s="74" t="s">
        <v>2230</v>
      </c>
      <c r="H300" s="181">
        <f>INDEX('Списки данных'!$D$2:$D$1048576,MATCH(База_КР_КК[[#This Row],[Структурное подразделение]],'Списки данных'!$C$2:$C$1048576,0))</f>
        <v>1</v>
      </c>
      <c r="I300" s="80" t="s">
        <v>132</v>
      </c>
      <c r="J300" s="80" t="s">
        <v>195</v>
      </c>
      <c r="K300" s="80" t="s">
        <v>196</v>
      </c>
      <c r="L300" s="30" t="s">
        <v>191</v>
      </c>
      <c r="M300" s="68">
        <v>6</v>
      </c>
      <c r="N300" s="181" t="str">
        <f t="shared" si="5"/>
        <v>нет</v>
      </c>
      <c r="O300" s="23"/>
      <c r="P300" s="23"/>
      <c r="Q300" s="106"/>
      <c r="R300" s="37">
        <v>73</v>
      </c>
      <c r="S300" s="38" t="s">
        <v>485</v>
      </c>
      <c r="T300" s="37">
        <v>1179</v>
      </c>
      <c r="U300" s="39" t="s">
        <v>1587</v>
      </c>
      <c r="V300" s="89" t="s">
        <v>272</v>
      </c>
      <c r="W300" s="89" t="s">
        <v>132</v>
      </c>
      <c r="X300" s="106" t="s">
        <v>295</v>
      </c>
      <c r="Y300" s="107" t="s">
        <v>12</v>
      </c>
      <c r="Z300" s="67">
        <f>IF(База_КР_КК[[#This Row],[Таб.номер резервиста]]="-","-",IF(OR(База_КР_КК[[#This Row],[Уровень КК]]=2,База_КР_КК[[#This Row],[Уровень КК]]=3),IF(COUNTIFS($U$2:$U300,$U300,$F$2:$F300,$F300)=1,1,0),IF(COUNTIFS($U$2:$U300,$U300,$L$2:$L300,$L300)=1,1,0)))</f>
        <v>0</v>
      </c>
      <c r="AA3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" s="106"/>
      <c r="AC300" s="51"/>
      <c r="AD300" s="106" t="s">
        <v>17</v>
      </c>
      <c r="AE300" s="38" t="s">
        <v>410</v>
      </c>
    </row>
    <row r="301" spans="1:31" ht="18" customHeight="1" x14ac:dyDescent="0.25">
      <c r="A3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1" s="79">
        <v>4</v>
      </c>
      <c r="C301" s="23">
        <v>43783</v>
      </c>
      <c r="D301" s="67">
        <f>IF(COUNTIF($G$2:$G301,$G301)=1,1,0)</f>
        <v>0</v>
      </c>
      <c r="E301" s="67" t="str">
        <f>IFERROR(VLOOKUP(База_КР_КК[[#This Row],[ИД штатной должности (S)]],'уровень защищенности'!$B$7:$F$1095,5,0),"не защищена")</f>
        <v>высокий</v>
      </c>
      <c r="F301" s="68">
        <v>500375</v>
      </c>
      <c r="G301" s="74" t="s">
        <v>2230</v>
      </c>
      <c r="H301" s="181">
        <f>INDEX('Списки данных'!$D$2:$D$1048576,MATCH(База_КР_КК[[#This Row],[Структурное подразделение]],'Списки данных'!$C$2:$C$1048576,0))</f>
        <v>1</v>
      </c>
      <c r="I301" s="80" t="s">
        <v>132</v>
      </c>
      <c r="J301" s="80" t="s">
        <v>195</v>
      </c>
      <c r="K301" s="80" t="s">
        <v>196</v>
      </c>
      <c r="L301" s="30" t="s">
        <v>191</v>
      </c>
      <c r="M301" s="68">
        <v>6</v>
      </c>
      <c r="N301" s="181" t="str">
        <f t="shared" si="5"/>
        <v>нет</v>
      </c>
      <c r="O301" s="23"/>
      <c r="P301" s="23"/>
      <c r="Q301" s="106"/>
      <c r="R301" s="37">
        <v>73</v>
      </c>
      <c r="S301" s="38" t="s">
        <v>485</v>
      </c>
      <c r="T301" s="37">
        <v>1176</v>
      </c>
      <c r="U301" s="39" t="s">
        <v>1584</v>
      </c>
      <c r="V301" s="89" t="s">
        <v>272</v>
      </c>
      <c r="W301" s="89" t="s">
        <v>132</v>
      </c>
      <c r="X301" s="106" t="s">
        <v>295</v>
      </c>
      <c r="Y301" s="107" t="s">
        <v>12</v>
      </c>
      <c r="Z301" s="67">
        <f>IF(База_КР_КК[[#This Row],[Таб.номер резервиста]]="-","-",IF(OR(База_КР_КК[[#This Row],[Уровень КК]]=2,База_КР_КК[[#This Row],[Уровень КК]]=3),IF(COUNTIFS($U$2:$U301,$U301,$F$2:$F301,$F301)=1,1,0),IF(COUNTIFS($U$2:$U301,$U301,$L$2:$L301,$L301)=1,1,0)))</f>
        <v>0</v>
      </c>
      <c r="AA3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" s="106"/>
      <c r="AC301" s="51"/>
      <c r="AD301" s="106" t="s">
        <v>13</v>
      </c>
      <c r="AE301" s="38" t="s">
        <v>410</v>
      </c>
    </row>
    <row r="302" spans="1:31" ht="18" customHeight="1" x14ac:dyDescent="0.25">
      <c r="A3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2" s="79">
        <v>4</v>
      </c>
      <c r="C302" s="23">
        <v>43783</v>
      </c>
      <c r="D302" s="67">
        <f>IF(COUNTIF($G$2:$G302,$G302)=1,1,0)</f>
        <v>0</v>
      </c>
      <c r="E302" s="67" t="str">
        <f>IFERROR(VLOOKUP(База_КР_КК[[#This Row],[ИД штатной должности (S)]],'уровень защищенности'!$B$7:$F$1095,5,0),"не защищена")</f>
        <v>высокий</v>
      </c>
      <c r="F302" s="68">
        <v>500375</v>
      </c>
      <c r="G302" s="74" t="s">
        <v>2230</v>
      </c>
      <c r="H302" s="181">
        <f>INDEX('Списки данных'!$D$2:$D$1048576,MATCH(База_КР_КК[[#This Row],[Структурное подразделение]],'Списки данных'!$C$2:$C$1048576,0))</f>
        <v>1</v>
      </c>
      <c r="I302" s="80" t="s">
        <v>132</v>
      </c>
      <c r="J302" s="80" t="s">
        <v>195</v>
      </c>
      <c r="K302" s="80" t="s">
        <v>196</v>
      </c>
      <c r="L302" s="30" t="s">
        <v>191</v>
      </c>
      <c r="M302" s="68">
        <v>6</v>
      </c>
      <c r="N302" s="181" t="str">
        <f t="shared" si="5"/>
        <v>нет</v>
      </c>
      <c r="O302" s="23"/>
      <c r="P302" s="23"/>
      <c r="Q302" s="106"/>
      <c r="R302" s="37">
        <v>73</v>
      </c>
      <c r="S302" s="38" t="s">
        <v>485</v>
      </c>
      <c r="T302" s="37">
        <v>1180</v>
      </c>
      <c r="U302" s="39" t="s">
        <v>1588</v>
      </c>
      <c r="V302" s="89" t="s">
        <v>272</v>
      </c>
      <c r="W302" s="89" t="s">
        <v>132</v>
      </c>
      <c r="X302" s="106" t="s">
        <v>295</v>
      </c>
      <c r="Y302" s="107" t="s">
        <v>12</v>
      </c>
      <c r="Z302" s="67">
        <f>IF(База_КР_КК[[#This Row],[Таб.номер резервиста]]="-","-",IF(OR(База_КР_КК[[#This Row],[Уровень КК]]=2,База_КР_КК[[#This Row],[Уровень КК]]=3),IF(COUNTIFS($U$2:$U302,$U302,$F$2:$F302,$F302)=1,1,0),IF(COUNTIFS($U$2:$U302,$U302,$L$2:$L302,$L302)=1,1,0)))</f>
        <v>0</v>
      </c>
      <c r="AA3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" s="106"/>
      <c r="AC302" s="51"/>
      <c r="AD302" s="106" t="s">
        <v>17</v>
      </c>
      <c r="AE302" s="38" t="s">
        <v>410</v>
      </c>
    </row>
    <row r="303" spans="1:31" ht="18" customHeight="1" x14ac:dyDescent="0.25">
      <c r="A3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3" s="79">
        <v>4</v>
      </c>
      <c r="C303" s="23">
        <v>44113</v>
      </c>
      <c r="D303" s="67">
        <f>IF(COUNTIF($G$2:$G303,$G303)=1,1,0)</f>
        <v>0</v>
      </c>
      <c r="E303" s="67" t="str">
        <f>IFERROR(VLOOKUP(База_КР_КК[[#This Row],[ИД штатной должности (S)]],'уровень защищенности'!$B$7:$F$1095,5,0),"не защищена")</f>
        <v>высокий</v>
      </c>
      <c r="F303" s="68">
        <v>500375</v>
      </c>
      <c r="G303" s="74" t="s">
        <v>2230</v>
      </c>
      <c r="H303" s="181">
        <f>INDEX('Списки данных'!$D$2:$D$1048576,MATCH(База_КР_КК[[#This Row],[Структурное подразделение]],'Списки данных'!$C$2:$C$1048576,0))</f>
        <v>1</v>
      </c>
      <c r="I303" s="80" t="s">
        <v>132</v>
      </c>
      <c r="J303" s="80" t="s">
        <v>195</v>
      </c>
      <c r="K303" s="80" t="s">
        <v>196</v>
      </c>
      <c r="L303" s="30" t="s">
        <v>191</v>
      </c>
      <c r="M303" s="68">
        <v>6</v>
      </c>
      <c r="N303" s="181" t="str">
        <f t="shared" si="5"/>
        <v>нет</v>
      </c>
      <c r="O303" s="23"/>
      <c r="P303" s="23"/>
      <c r="Q303" s="106"/>
      <c r="R303" s="37">
        <v>73</v>
      </c>
      <c r="S303" s="38" t="s">
        <v>485</v>
      </c>
      <c r="T303" s="37">
        <v>1181</v>
      </c>
      <c r="U303" s="39" t="s">
        <v>1589</v>
      </c>
      <c r="V303" s="89" t="s">
        <v>272</v>
      </c>
      <c r="W303" s="89" t="s">
        <v>132</v>
      </c>
      <c r="X303" s="106" t="s">
        <v>295</v>
      </c>
      <c r="Y303" s="107" t="s">
        <v>12</v>
      </c>
      <c r="Z303" s="67">
        <f>IF(База_КР_КК[[#This Row],[Таб.номер резервиста]]="-","-",IF(OR(База_КР_КК[[#This Row],[Уровень КК]]=2,База_КР_КК[[#This Row],[Уровень КК]]=3),IF(COUNTIFS($U$2:$U303,$U303,$F$2:$F303,$F303)=1,1,0),IF(COUNTIFS($U$2:$U303,$U303,$L$2:$L303,$L303)=1,1,0)))</f>
        <v>0</v>
      </c>
      <c r="AA3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" s="106"/>
      <c r="AC303" s="51"/>
      <c r="AD303" s="106" t="s">
        <v>17</v>
      </c>
      <c r="AE303" s="38" t="s">
        <v>410</v>
      </c>
    </row>
    <row r="304" spans="1:31" ht="18" customHeight="1" x14ac:dyDescent="0.25">
      <c r="A3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4" s="79">
        <v>4</v>
      </c>
      <c r="C304" s="23">
        <v>44897</v>
      </c>
      <c r="D304" s="67">
        <f>IF(COUNTIF($G$2:$G304,$G304)=1,1,0)</f>
        <v>0</v>
      </c>
      <c r="E304" s="67" t="str">
        <f>IFERROR(VLOOKUP(База_КР_КК[[#This Row],[ИД штатной должности (S)]],'уровень защищенности'!$B$7:$F$1095,5,0),"не защищена")</f>
        <v>высокий</v>
      </c>
      <c r="F304" s="68">
        <v>500375</v>
      </c>
      <c r="G304" s="74" t="s">
        <v>2230</v>
      </c>
      <c r="H304" s="181">
        <f>INDEX('Списки данных'!$D$2:$D$1048576,MATCH(База_КР_КК[[#This Row],[Структурное подразделение]],'Списки данных'!$C$2:$C$1048576,0))</f>
        <v>1</v>
      </c>
      <c r="I304" s="80" t="s">
        <v>132</v>
      </c>
      <c r="J304" s="80" t="s">
        <v>195</v>
      </c>
      <c r="K304" s="80" t="s">
        <v>196</v>
      </c>
      <c r="L304" s="30" t="s">
        <v>191</v>
      </c>
      <c r="M304" s="68">
        <v>6</v>
      </c>
      <c r="N304" s="181" t="str">
        <f t="shared" si="5"/>
        <v>нет</v>
      </c>
      <c r="O304" s="23"/>
      <c r="P304" s="23"/>
      <c r="Q304" s="106"/>
      <c r="R304" s="37">
        <v>73</v>
      </c>
      <c r="S304" s="39" t="s">
        <v>485</v>
      </c>
      <c r="T304" s="37">
        <v>1182</v>
      </c>
      <c r="U304" s="38" t="s">
        <v>1590</v>
      </c>
      <c r="V304" s="69" t="s">
        <v>272</v>
      </c>
      <c r="W304" s="89" t="s">
        <v>132</v>
      </c>
      <c r="X304" s="106" t="s">
        <v>296</v>
      </c>
      <c r="Y304" s="107" t="s">
        <v>12</v>
      </c>
      <c r="Z304" s="67">
        <f>IF(База_КР_КК[[#This Row],[Таб.номер резервиста]]="-","-",IF(OR(База_КР_КК[[#This Row],[Уровень КК]]=2,База_КР_КК[[#This Row],[Уровень КК]]=3),IF(COUNTIFS($U$2:$U304,$U304,$F$2:$F304,$F304)=1,1,0),IF(COUNTIFS($U$2:$U304,$U304,$L$2:$L304,$L304)=1,1,0)))</f>
        <v>0</v>
      </c>
      <c r="AA3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" s="106"/>
      <c r="AC304" s="51"/>
      <c r="AD304" s="106" t="s">
        <v>15</v>
      </c>
      <c r="AE304" s="33" t="s">
        <v>410</v>
      </c>
    </row>
    <row r="305" spans="1:31" ht="18" customHeight="1" x14ac:dyDescent="0.25">
      <c r="A3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5" s="79">
        <v>4</v>
      </c>
      <c r="C305" s="23">
        <v>44897</v>
      </c>
      <c r="D305" s="67">
        <f>IF(COUNTIF($G$2:$G305,$G305)=1,1,0)</f>
        <v>0</v>
      </c>
      <c r="E305" s="67" t="str">
        <f>IFERROR(VLOOKUP(База_КР_КК[[#This Row],[ИД штатной должности (S)]],'уровень защищенности'!$B$7:$F$1095,5,0),"не защищена")</f>
        <v>высокий</v>
      </c>
      <c r="F305" s="68">
        <v>500375</v>
      </c>
      <c r="G305" s="74" t="s">
        <v>2230</v>
      </c>
      <c r="H305" s="181">
        <f>INDEX('Списки данных'!$D$2:$D$1048576,MATCH(База_КР_КК[[#This Row],[Структурное подразделение]],'Списки данных'!$C$2:$C$1048576,0))</f>
        <v>1</v>
      </c>
      <c r="I305" s="80" t="s">
        <v>132</v>
      </c>
      <c r="J305" s="80" t="s">
        <v>195</v>
      </c>
      <c r="K305" s="80" t="s">
        <v>196</v>
      </c>
      <c r="L305" s="30" t="s">
        <v>191</v>
      </c>
      <c r="M305" s="68">
        <v>6</v>
      </c>
      <c r="N305" s="181" t="str">
        <f t="shared" si="5"/>
        <v>нет</v>
      </c>
      <c r="O305" s="23"/>
      <c r="P305" s="23"/>
      <c r="Q305" s="106"/>
      <c r="R305" s="37">
        <v>73</v>
      </c>
      <c r="S305" s="39" t="s">
        <v>485</v>
      </c>
      <c r="T305" s="37">
        <v>1183</v>
      </c>
      <c r="U305" s="38" t="s">
        <v>1591</v>
      </c>
      <c r="V305" s="69" t="s">
        <v>272</v>
      </c>
      <c r="W305" s="89" t="s">
        <v>132</v>
      </c>
      <c r="X305" s="106" t="s">
        <v>296</v>
      </c>
      <c r="Y305" s="107" t="s">
        <v>12</v>
      </c>
      <c r="Z305" s="67">
        <f>IF(База_КР_КК[[#This Row],[Таб.номер резервиста]]="-","-",IF(OR(База_КР_КК[[#This Row],[Уровень КК]]=2,База_КР_КК[[#This Row],[Уровень КК]]=3),IF(COUNTIFS($U$2:$U305,$U305,$F$2:$F305,$F305)=1,1,0),IF(COUNTIFS($U$2:$U305,$U305,$L$2:$L305,$L305)=1,1,0)))</f>
        <v>0</v>
      </c>
      <c r="AA3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" s="106"/>
      <c r="AC305" s="51"/>
      <c r="AD305" s="106" t="s">
        <v>15</v>
      </c>
      <c r="AE305" s="33" t="s">
        <v>410</v>
      </c>
    </row>
    <row r="306" spans="1:31" ht="18" customHeight="1" x14ac:dyDescent="0.25">
      <c r="A3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6" s="79">
        <v>4</v>
      </c>
      <c r="C306" s="23">
        <v>44897</v>
      </c>
      <c r="D306" s="67">
        <f>IF(COUNTIF($G$2:$G306,$G306)=1,1,0)</f>
        <v>0</v>
      </c>
      <c r="E306" s="67" t="str">
        <f>IFERROR(VLOOKUP(База_КР_КК[[#This Row],[ИД штатной должности (S)]],'уровень защищенности'!$B$7:$F$1095,5,0),"не защищена")</f>
        <v>высокий</v>
      </c>
      <c r="F306" s="68">
        <v>500375</v>
      </c>
      <c r="G306" s="74" t="s">
        <v>2230</v>
      </c>
      <c r="H306" s="181">
        <f>INDEX('Списки данных'!$D$2:$D$1048576,MATCH(База_КР_КК[[#This Row],[Структурное подразделение]],'Списки данных'!$C$2:$C$1048576,0))</f>
        <v>1</v>
      </c>
      <c r="I306" s="80" t="s">
        <v>132</v>
      </c>
      <c r="J306" s="80" t="s">
        <v>195</v>
      </c>
      <c r="K306" s="80" t="s">
        <v>196</v>
      </c>
      <c r="L306" s="30" t="s">
        <v>191</v>
      </c>
      <c r="M306" s="68">
        <v>6</v>
      </c>
      <c r="N306" s="181" t="str">
        <f t="shared" si="5"/>
        <v>нет</v>
      </c>
      <c r="O306" s="23"/>
      <c r="P306" s="23"/>
      <c r="Q306" s="106"/>
      <c r="R306" s="37">
        <v>73</v>
      </c>
      <c r="S306" s="39" t="s">
        <v>485</v>
      </c>
      <c r="T306" s="37">
        <v>1184</v>
      </c>
      <c r="U306" s="38" t="s">
        <v>1592</v>
      </c>
      <c r="V306" s="69" t="s">
        <v>272</v>
      </c>
      <c r="W306" s="89" t="s">
        <v>132</v>
      </c>
      <c r="X306" s="106" t="s">
        <v>296</v>
      </c>
      <c r="Y306" s="107" t="s">
        <v>12</v>
      </c>
      <c r="Z306" s="67">
        <f>IF(База_КР_КК[[#This Row],[Таб.номер резервиста]]="-","-",IF(OR(База_КР_КК[[#This Row],[Уровень КК]]=2,База_КР_КК[[#This Row],[Уровень КК]]=3),IF(COUNTIFS($U$2:$U306,$U306,$F$2:$F306,$F306)=1,1,0),IF(COUNTIFS($U$2:$U306,$U306,$L$2:$L306,$L306)=1,1,0)))</f>
        <v>0</v>
      </c>
      <c r="AA3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" s="106"/>
      <c r="AC306" s="51"/>
      <c r="AD306" s="106" t="s">
        <v>15</v>
      </c>
      <c r="AE306" s="33" t="s">
        <v>410</v>
      </c>
    </row>
    <row r="307" spans="1:31" ht="18" customHeight="1" x14ac:dyDescent="0.25">
      <c r="A3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7" s="79">
        <v>4</v>
      </c>
      <c r="C307" s="23">
        <v>44897</v>
      </c>
      <c r="D307" s="67">
        <f>IF(COUNTIF($G$2:$G307,$G307)=1,1,0)</f>
        <v>0</v>
      </c>
      <c r="E307" s="67" t="str">
        <f>IFERROR(VLOOKUP(База_КР_КК[[#This Row],[ИД штатной должности (S)]],'уровень защищенности'!$B$7:$F$1095,5,0),"не защищена")</f>
        <v>высокий</v>
      </c>
      <c r="F307" s="68">
        <v>500375</v>
      </c>
      <c r="G307" s="74" t="s">
        <v>2230</v>
      </c>
      <c r="H307" s="181">
        <f>INDEX('Списки данных'!$D$2:$D$1048576,MATCH(База_КР_КК[[#This Row],[Структурное подразделение]],'Списки данных'!$C$2:$C$1048576,0))</f>
        <v>1</v>
      </c>
      <c r="I307" s="80" t="s">
        <v>132</v>
      </c>
      <c r="J307" s="80" t="s">
        <v>195</v>
      </c>
      <c r="K307" s="80" t="s">
        <v>196</v>
      </c>
      <c r="L307" s="30" t="s">
        <v>191</v>
      </c>
      <c r="M307" s="68">
        <v>6</v>
      </c>
      <c r="N307" s="181" t="str">
        <f t="shared" si="5"/>
        <v>нет</v>
      </c>
      <c r="O307" s="23"/>
      <c r="P307" s="23"/>
      <c r="Q307" s="106"/>
      <c r="R307" s="37">
        <v>73</v>
      </c>
      <c r="S307" s="39" t="s">
        <v>485</v>
      </c>
      <c r="T307" s="37">
        <v>1185</v>
      </c>
      <c r="U307" s="38" t="s">
        <v>1593</v>
      </c>
      <c r="V307" s="69" t="s">
        <v>272</v>
      </c>
      <c r="W307" s="89" t="s">
        <v>132</v>
      </c>
      <c r="X307" s="106" t="s">
        <v>295</v>
      </c>
      <c r="Y307" s="107" t="s">
        <v>12</v>
      </c>
      <c r="Z307" s="67">
        <f>IF(База_КР_КК[[#This Row],[Таб.номер резервиста]]="-","-",IF(OR(База_КР_КК[[#This Row],[Уровень КК]]=2,База_КР_КК[[#This Row],[Уровень КК]]=3),IF(COUNTIFS($U$2:$U307,$U307,$F$2:$F307,$F307)=1,1,0),IF(COUNTIFS($U$2:$U307,$U307,$L$2:$L307,$L307)=1,1,0)))</f>
        <v>0</v>
      </c>
      <c r="AA3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" s="106"/>
      <c r="AC307" s="51"/>
      <c r="AD307" s="106" t="s">
        <v>15</v>
      </c>
      <c r="AE307" s="33" t="s">
        <v>410</v>
      </c>
    </row>
    <row r="308" spans="1:31" ht="18" customHeight="1" x14ac:dyDescent="0.25">
      <c r="A3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8" s="79">
        <v>4</v>
      </c>
      <c r="C308" s="23">
        <v>44496</v>
      </c>
      <c r="D308" s="67">
        <f>IF(COUNTIF($G$2:$G308,$G308)=1,1,0)</f>
        <v>0</v>
      </c>
      <c r="E308" s="67" t="str">
        <f>IFERROR(VLOOKUP(База_КР_КК[[#This Row],[ИД штатной должности (S)]],'уровень защищенности'!$B$7:$F$1095,5,0),"не защищена")</f>
        <v>высокий</v>
      </c>
      <c r="F308" s="68">
        <v>500375</v>
      </c>
      <c r="G308" s="74" t="s">
        <v>2230</v>
      </c>
      <c r="H308" s="181">
        <f>INDEX('Списки данных'!$D$2:$D$1048576,MATCH(База_КР_КК[[#This Row],[Структурное подразделение]],'Списки данных'!$C$2:$C$1048576,0))</f>
        <v>1</v>
      </c>
      <c r="I308" s="80" t="s">
        <v>132</v>
      </c>
      <c r="J308" s="80" t="s">
        <v>195</v>
      </c>
      <c r="K308" s="80" t="s">
        <v>196</v>
      </c>
      <c r="L308" s="30" t="s">
        <v>191</v>
      </c>
      <c r="M308" s="68">
        <v>6</v>
      </c>
      <c r="N308" s="181" t="str">
        <f t="shared" si="5"/>
        <v>нет</v>
      </c>
      <c r="O308" s="23"/>
      <c r="P308" s="23"/>
      <c r="Q308" s="106"/>
      <c r="R308" s="37">
        <v>73</v>
      </c>
      <c r="S308" s="38" t="s">
        <v>485</v>
      </c>
      <c r="T308" s="37">
        <v>70</v>
      </c>
      <c r="U308" s="39" t="s">
        <v>482</v>
      </c>
      <c r="V308" s="89" t="s">
        <v>192</v>
      </c>
      <c r="W308" s="89" t="s">
        <v>132</v>
      </c>
      <c r="X308" s="106" t="s">
        <v>295</v>
      </c>
      <c r="Y308" s="107" t="s">
        <v>14</v>
      </c>
      <c r="Z308" s="67">
        <f>IF(База_КР_КК[[#This Row],[Таб.номер резервиста]]="-","-",IF(OR(База_КР_КК[[#This Row],[Уровень КК]]=2,База_КР_КК[[#This Row],[Уровень КК]]=3),IF(COUNTIFS($U$2:$U308,$U308,$F$2:$F308,$F308)=1,1,0),IF(COUNTIFS($U$2:$U308,$U308,$L$2:$L308,$L308)=1,1,0)))</f>
        <v>0</v>
      </c>
      <c r="AA3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" s="106" t="s">
        <v>24</v>
      </c>
      <c r="AC308" s="51">
        <v>44939</v>
      </c>
      <c r="AD308" s="106" t="s">
        <v>17</v>
      </c>
      <c r="AE308" s="33" t="s">
        <v>410</v>
      </c>
    </row>
    <row r="309" spans="1:31" ht="18" customHeight="1" x14ac:dyDescent="0.25">
      <c r="A3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09" s="79">
        <v>4</v>
      </c>
      <c r="C309" s="23">
        <v>43783</v>
      </c>
      <c r="D309" s="67">
        <f>IF(COUNTIF($G$2:$G309,$G309)=1,1,0)</f>
        <v>1</v>
      </c>
      <c r="E309" s="67" t="str">
        <f>IFERROR(VLOOKUP(База_КР_КК[[#This Row],[ИД штатной должности (S)]],'уровень защищенности'!$B$7:$F$1095,5,0),"не защищена")</f>
        <v>высокий</v>
      </c>
      <c r="F309" s="68">
        <v>500376</v>
      </c>
      <c r="G309" s="74" t="s">
        <v>2231</v>
      </c>
      <c r="H309" s="181">
        <f>INDEX('Списки данных'!$D$2:$D$1048576,MATCH(База_КР_КК[[#This Row],[Структурное подразделение]],'Списки данных'!$C$2:$C$1048576,0))</f>
        <v>1</v>
      </c>
      <c r="I309" s="80" t="s">
        <v>132</v>
      </c>
      <c r="J309" s="80" t="s">
        <v>195</v>
      </c>
      <c r="K309" s="80" t="s">
        <v>196</v>
      </c>
      <c r="L309" s="30" t="s">
        <v>192</v>
      </c>
      <c r="M309" s="68">
        <v>6</v>
      </c>
      <c r="N309" s="181" t="str">
        <f t="shared" si="5"/>
        <v>нет</v>
      </c>
      <c r="O309" s="23"/>
      <c r="P309" s="23"/>
      <c r="Q309" s="106"/>
      <c r="R309" s="37">
        <v>74</v>
      </c>
      <c r="S309" s="38" t="s">
        <v>486</v>
      </c>
      <c r="T309" s="37">
        <v>1186</v>
      </c>
      <c r="U309" s="39" t="s">
        <v>1594</v>
      </c>
      <c r="V309" s="89" t="s">
        <v>272</v>
      </c>
      <c r="W309" s="89" t="s">
        <v>132</v>
      </c>
      <c r="X309" s="106" t="s">
        <v>295</v>
      </c>
      <c r="Y309" s="107" t="s">
        <v>12</v>
      </c>
      <c r="Z309" s="67">
        <f>IF(База_КР_КК[[#This Row],[Таб.номер резервиста]]="-","-",IF(OR(База_КР_КК[[#This Row],[Уровень КК]]=2,База_КР_КК[[#This Row],[Уровень КК]]=3),IF(COUNTIFS($U$2:$U309,$U309,$F$2:$F309,$F309)=1,1,0),IF(COUNTIFS($U$2:$U309,$U309,$L$2:$L309,$L309)=1,1,0)))</f>
        <v>1</v>
      </c>
      <c r="AA3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" s="106"/>
      <c r="AC309" s="51"/>
      <c r="AD309" s="106" t="s">
        <v>13</v>
      </c>
      <c r="AE309" s="38" t="s">
        <v>410</v>
      </c>
    </row>
    <row r="310" spans="1:31" ht="18" customHeight="1" x14ac:dyDescent="0.25">
      <c r="A3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0" s="79">
        <v>4</v>
      </c>
      <c r="C310" s="23">
        <v>44897</v>
      </c>
      <c r="D310" s="67">
        <f>IF(COUNTIF($G$2:$G310,$G310)=1,1,0)</f>
        <v>0</v>
      </c>
      <c r="E310" s="67" t="str">
        <f>IFERROR(VLOOKUP(База_КР_КК[[#This Row],[ИД штатной должности (S)]],'уровень защищенности'!$B$7:$F$1095,5,0),"не защищена")</f>
        <v>высокий</v>
      </c>
      <c r="F310" s="68">
        <v>500376</v>
      </c>
      <c r="G310" s="74" t="s">
        <v>2231</v>
      </c>
      <c r="H310" s="181">
        <f>INDEX('Списки данных'!$D$2:$D$1048576,MATCH(База_КР_КК[[#This Row],[Структурное подразделение]],'Списки данных'!$C$2:$C$1048576,0))</f>
        <v>1</v>
      </c>
      <c r="I310" s="80" t="s">
        <v>132</v>
      </c>
      <c r="J310" s="80" t="s">
        <v>195</v>
      </c>
      <c r="K310" s="80" t="s">
        <v>196</v>
      </c>
      <c r="L310" s="30" t="s">
        <v>192</v>
      </c>
      <c r="M310" s="68">
        <v>6</v>
      </c>
      <c r="N310" s="181" t="str">
        <f t="shared" si="5"/>
        <v>нет</v>
      </c>
      <c r="O310" s="23"/>
      <c r="P310" s="23"/>
      <c r="Q310" s="106"/>
      <c r="R310" s="37">
        <v>74</v>
      </c>
      <c r="S310" s="39" t="s">
        <v>486</v>
      </c>
      <c r="T310" s="37">
        <v>1187</v>
      </c>
      <c r="U310" s="38" t="s">
        <v>1493</v>
      </c>
      <c r="V310" s="69" t="s">
        <v>272</v>
      </c>
      <c r="W310" s="89" t="s">
        <v>132</v>
      </c>
      <c r="X310" s="106" t="s">
        <v>296</v>
      </c>
      <c r="Y310" s="107" t="s">
        <v>12</v>
      </c>
      <c r="Z310" s="67">
        <f>IF(База_КР_КК[[#This Row],[Таб.номер резервиста]]="-","-",IF(OR(База_КР_КК[[#This Row],[Уровень КК]]=2,База_КР_КК[[#This Row],[Уровень КК]]=3),IF(COUNTIFS($U$2:$U310,$U310,$F$2:$F310,$F310)=1,1,0),IF(COUNTIFS($U$2:$U310,$U310,$L$2:$L310,$L310)=1,1,0)))</f>
        <v>1</v>
      </c>
      <c r="AA3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" s="106"/>
      <c r="AC310" s="51"/>
      <c r="AD310" s="106" t="s">
        <v>15</v>
      </c>
      <c r="AE310" s="33" t="s">
        <v>410</v>
      </c>
    </row>
    <row r="311" spans="1:31" ht="18" customHeight="1" x14ac:dyDescent="0.25">
      <c r="A3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1" s="79">
        <v>4</v>
      </c>
      <c r="C311" s="23">
        <v>43783</v>
      </c>
      <c r="D311" s="67">
        <f>IF(COUNTIF($G$2:$G311,$G311)=1,1,0)</f>
        <v>1</v>
      </c>
      <c r="E311" s="67" t="str">
        <f>IFERROR(VLOOKUP(База_КР_КК[[#This Row],[ИД штатной должности (S)]],'уровень защищенности'!$B$7:$F$1095,5,0),"не защищена")</f>
        <v>высокий</v>
      </c>
      <c r="F311" s="68">
        <v>500377</v>
      </c>
      <c r="G311" s="74" t="s">
        <v>2232</v>
      </c>
      <c r="H311" s="181">
        <f>INDEX('Списки данных'!$D$2:$D$1048576,MATCH(База_КР_КК[[#This Row],[Структурное подразделение]],'Списки данных'!$C$2:$C$1048576,0))</f>
        <v>1</v>
      </c>
      <c r="I311" s="80" t="s">
        <v>132</v>
      </c>
      <c r="J311" s="80" t="s">
        <v>195</v>
      </c>
      <c r="K311" s="80" t="s">
        <v>21</v>
      </c>
      <c r="L311" s="30" t="s">
        <v>191</v>
      </c>
      <c r="M311" s="68">
        <v>6</v>
      </c>
      <c r="N311" s="181" t="str">
        <f t="shared" si="5"/>
        <v>нет</v>
      </c>
      <c r="O311" s="23"/>
      <c r="P311" s="23"/>
      <c r="Q311" s="106"/>
      <c r="R311" s="37">
        <v>75</v>
      </c>
      <c r="S311" s="38" t="s">
        <v>487</v>
      </c>
      <c r="T311" s="37">
        <v>1188</v>
      </c>
      <c r="U311" s="39" t="s">
        <v>1595</v>
      </c>
      <c r="V311" s="89" t="s">
        <v>272</v>
      </c>
      <c r="W311" s="89" t="s">
        <v>132</v>
      </c>
      <c r="X311" s="106" t="s">
        <v>295</v>
      </c>
      <c r="Y311" s="107" t="s">
        <v>12</v>
      </c>
      <c r="Z311" s="67">
        <f>IF(База_КР_КК[[#This Row],[Таб.номер резервиста]]="-","-",IF(OR(База_КР_КК[[#This Row],[Уровень КК]]=2,База_КР_КК[[#This Row],[Уровень КК]]=3),IF(COUNTIFS($U$2:$U311,$U311,$F$2:$F311,$F311)=1,1,0),IF(COUNTIFS($U$2:$U311,$U311,$L$2:$L311,$L311)=1,1,0)))</f>
        <v>1</v>
      </c>
      <c r="AA3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" s="106"/>
      <c r="AC311" s="51"/>
      <c r="AD311" s="106" t="s">
        <v>13</v>
      </c>
      <c r="AE311" s="38" t="s">
        <v>410</v>
      </c>
    </row>
    <row r="312" spans="1:31" ht="18" customHeight="1" x14ac:dyDescent="0.25">
      <c r="A3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2" s="79">
        <v>4</v>
      </c>
      <c r="C312" s="23">
        <v>43783</v>
      </c>
      <c r="D312" s="67">
        <f>IF(COUNTIF($G$2:$G312,$G312)=1,1,0)</f>
        <v>0</v>
      </c>
      <c r="E312" s="67" t="str">
        <f>IFERROR(VLOOKUP(База_КР_КК[[#This Row],[ИД штатной должности (S)]],'уровень защищенности'!$B$7:$F$1095,5,0),"не защищена")</f>
        <v>высокий</v>
      </c>
      <c r="F312" s="68">
        <v>500377</v>
      </c>
      <c r="G312" s="74" t="s">
        <v>2232</v>
      </c>
      <c r="H312" s="181">
        <f>INDEX('Списки данных'!$D$2:$D$1048576,MATCH(База_КР_КК[[#This Row],[Структурное подразделение]],'Списки данных'!$C$2:$C$1048576,0))</f>
        <v>1</v>
      </c>
      <c r="I312" s="80" t="s">
        <v>132</v>
      </c>
      <c r="J312" s="80" t="s">
        <v>195</v>
      </c>
      <c r="K312" s="80" t="s">
        <v>21</v>
      </c>
      <c r="L312" s="30" t="s">
        <v>191</v>
      </c>
      <c r="M312" s="68">
        <v>6</v>
      </c>
      <c r="N312" s="181" t="str">
        <f t="shared" si="5"/>
        <v>нет</v>
      </c>
      <c r="O312" s="23"/>
      <c r="P312" s="23"/>
      <c r="Q312" s="106"/>
      <c r="R312" s="37">
        <v>75</v>
      </c>
      <c r="S312" s="39" t="s">
        <v>487</v>
      </c>
      <c r="T312" s="37">
        <v>1189</v>
      </c>
      <c r="U312" s="38" t="s">
        <v>1596</v>
      </c>
      <c r="V312" s="69" t="s">
        <v>272</v>
      </c>
      <c r="W312" s="89" t="s">
        <v>132</v>
      </c>
      <c r="X312" s="106" t="s">
        <v>296</v>
      </c>
      <c r="Y312" s="107" t="s">
        <v>12</v>
      </c>
      <c r="Z312" s="67">
        <f>IF(База_КР_КК[[#This Row],[Таб.номер резервиста]]="-","-",IF(OR(База_КР_КК[[#This Row],[Уровень КК]]=2,База_КР_КК[[#This Row],[Уровень КК]]=3),IF(COUNTIFS($U$2:$U312,$U312,$F$2:$F312,$F312)=1,1,0),IF(COUNTIFS($U$2:$U312,$U312,$L$2:$L312,$L312)=1,1,0)))</f>
        <v>1</v>
      </c>
      <c r="AA3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" s="106"/>
      <c r="AC312" s="51"/>
      <c r="AD312" s="106" t="s">
        <v>15</v>
      </c>
      <c r="AE312" s="33" t="s">
        <v>410</v>
      </c>
    </row>
    <row r="313" spans="1:31" ht="18" customHeight="1" x14ac:dyDescent="0.25">
      <c r="A3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3" s="79">
        <v>4</v>
      </c>
      <c r="C313" s="23">
        <v>43783</v>
      </c>
      <c r="D313" s="67">
        <f>IF(COUNTIF($G$2:$G313,$G313)=1,1,0)</f>
        <v>0</v>
      </c>
      <c r="E313" s="67" t="str">
        <f>IFERROR(VLOOKUP(База_КР_КК[[#This Row],[ИД штатной должности (S)]],'уровень защищенности'!$B$7:$F$1095,5,0),"не защищена")</f>
        <v>высокий</v>
      </c>
      <c r="F313" s="68">
        <v>500377</v>
      </c>
      <c r="G313" s="74" t="s">
        <v>2232</v>
      </c>
      <c r="H313" s="181">
        <f>INDEX('Списки данных'!$D$2:$D$1048576,MATCH(База_КР_КК[[#This Row],[Структурное подразделение]],'Списки данных'!$C$2:$C$1048576,0))</f>
        <v>1</v>
      </c>
      <c r="I313" s="80" t="s">
        <v>132</v>
      </c>
      <c r="J313" s="80" t="s">
        <v>195</v>
      </c>
      <c r="K313" s="80" t="s">
        <v>21</v>
      </c>
      <c r="L313" s="30" t="s">
        <v>191</v>
      </c>
      <c r="M313" s="68">
        <v>6</v>
      </c>
      <c r="N313" s="181" t="str">
        <f t="shared" si="5"/>
        <v>нет</v>
      </c>
      <c r="O313" s="23"/>
      <c r="P313" s="23"/>
      <c r="Q313" s="106"/>
      <c r="R313" s="37">
        <v>75</v>
      </c>
      <c r="S313" s="38" t="s">
        <v>487</v>
      </c>
      <c r="T313" s="37">
        <v>79</v>
      </c>
      <c r="U313" s="39" t="s">
        <v>491</v>
      </c>
      <c r="V313" s="89" t="s">
        <v>272</v>
      </c>
      <c r="W313" s="89" t="s">
        <v>132</v>
      </c>
      <c r="X313" s="106" t="s">
        <v>295</v>
      </c>
      <c r="Y313" s="107" t="s">
        <v>18</v>
      </c>
      <c r="Z313" s="67">
        <f>IF(База_КР_КК[[#This Row],[Таб.номер резервиста]]="-","-",IF(OR(База_КР_КК[[#This Row],[Уровень КК]]=2,База_КР_КК[[#This Row],[Уровень КК]]=3),IF(COUNTIFS($U$2:$U313,$U313,$F$2:$F313,$F313)=1,1,0),IF(COUNTIFS($U$2:$U313,$U313,$L$2:$L313,$L313)=1,1,0)))</f>
        <v>1</v>
      </c>
      <c r="AA3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" s="106" t="s">
        <v>24</v>
      </c>
      <c r="AC313" s="51">
        <v>44798</v>
      </c>
      <c r="AD313" s="106" t="s">
        <v>17</v>
      </c>
      <c r="AE313" s="38" t="s">
        <v>315</v>
      </c>
    </row>
    <row r="314" spans="1:31" ht="18" customHeight="1" x14ac:dyDescent="0.25">
      <c r="A3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4" s="79">
        <v>4</v>
      </c>
      <c r="C314" s="23">
        <v>43783</v>
      </c>
      <c r="D314" s="67">
        <f>IF(COUNTIF($G$2:$G314,$G314)=1,1,0)</f>
        <v>1</v>
      </c>
      <c r="E314" s="67" t="str">
        <f>IFERROR(VLOOKUP(База_КР_КК[[#This Row],[ИД штатной должности (S)]],'уровень защищенности'!$B$7:$F$1095,5,0),"не защищена")</f>
        <v>высокий</v>
      </c>
      <c r="F314" s="68">
        <v>500377</v>
      </c>
      <c r="G314" s="74" t="s">
        <v>2233</v>
      </c>
      <c r="H314" s="181">
        <f>INDEX('Списки данных'!$D$2:$D$1048576,MATCH(База_КР_КК[[#This Row],[Структурное подразделение]],'Списки данных'!$C$2:$C$1048576,0))</f>
        <v>1</v>
      </c>
      <c r="I314" s="80" t="s">
        <v>132</v>
      </c>
      <c r="J314" s="80" t="s">
        <v>195</v>
      </c>
      <c r="K314" s="80" t="s">
        <v>21</v>
      </c>
      <c r="L314" s="30" t="s">
        <v>191</v>
      </c>
      <c r="M314" s="68">
        <v>6</v>
      </c>
      <c r="N314" s="181" t="str">
        <f t="shared" si="5"/>
        <v>нет</v>
      </c>
      <c r="O314" s="23"/>
      <c r="P314" s="23"/>
      <c r="Q314" s="106"/>
      <c r="R314" s="37">
        <v>76</v>
      </c>
      <c r="S314" s="38" t="s">
        <v>488</v>
      </c>
      <c r="T314" s="37">
        <v>1188</v>
      </c>
      <c r="U314" s="39" t="s">
        <v>1595</v>
      </c>
      <c r="V314" s="89" t="s">
        <v>272</v>
      </c>
      <c r="W314" s="89" t="s">
        <v>132</v>
      </c>
      <c r="X314" s="106" t="s">
        <v>295</v>
      </c>
      <c r="Y314" s="107" t="s">
        <v>12</v>
      </c>
      <c r="Z314" s="67">
        <f>IF(База_КР_КК[[#This Row],[Таб.номер резервиста]]="-","-",IF(OR(База_КР_КК[[#This Row],[Уровень КК]]=2,База_КР_КК[[#This Row],[Уровень КК]]=3),IF(COUNTIFS($U$2:$U314,$U314,$F$2:$F314,$F314)=1,1,0),IF(COUNTIFS($U$2:$U314,$U314,$L$2:$L314,$L314)=1,1,0)))</f>
        <v>0</v>
      </c>
      <c r="AA3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" s="106"/>
      <c r="AC314" s="51"/>
      <c r="AD314" s="106" t="s">
        <v>13</v>
      </c>
      <c r="AE314" s="38" t="s">
        <v>410</v>
      </c>
    </row>
    <row r="315" spans="1:31" ht="18" customHeight="1" x14ac:dyDescent="0.25">
      <c r="A3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5" s="79">
        <v>4</v>
      </c>
      <c r="C315" s="23">
        <v>43783</v>
      </c>
      <c r="D315" s="67">
        <f>IF(COUNTIF($G$2:$G315,$G315)=1,1,0)</f>
        <v>0</v>
      </c>
      <c r="E315" s="67" t="str">
        <f>IFERROR(VLOOKUP(База_КР_КК[[#This Row],[ИД штатной должности (S)]],'уровень защищенности'!$B$7:$F$1095,5,0),"не защищена")</f>
        <v>высокий</v>
      </c>
      <c r="F315" s="68">
        <v>500377</v>
      </c>
      <c r="G315" s="74" t="s">
        <v>2233</v>
      </c>
      <c r="H315" s="181">
        <f>INDEX('Списки данных'!$D$2:$D$1048576,MATCH(База_КР_КК[[#This Row],[Структурное подразделение]],'Списки данных'!$C$2:$C$1048576,0))</f>
        <v>1</v>
      </c>
      <c r="I315" s="80" t="s">
        <v>132</v>
      </c>
      <c r="J315" s="80" t="s">
        <v>195</v>
      </c>
      <c r="K315" s="80" t="s">
        <v>21</v>
      </c>
      <c r="L315" s="30" t="s">
        <v>191</v>
      </c>
      <c r="M315" s="68">
        <v>6</v>
      </c>
      <c r="N315" s="181" t="str">
        <f t="shared" si="5"/>
        <v>нет</v>
      </c>
      <c r="O315" s="23"/>
      <c r="P315" s="23"/>
      <c r="Q315" s="106"/>
      <c r="R315" s="37">
        <v>76</v>
      </c>
      <c r="S315" s="39" t="s">
        <v>488</v>
      </c>
      <c r="T315" s="37">
        <v>1189</v>
      </c>
      <c r="U315" s="38" t="s">
        <v>1596</v>
      </c>
      <c r="V315" s="69" t="s">
        <v>272</v>
      </c>
      <c r="W315" s="89" t="s">
        <v>132</v>
      </c>
      <c r="X315" s="106" t="s">
        <v>296</v>
      </c>
      <c r="Y315" s="107" t="s">
        <v>12</v>
      </c>
      <c r="Z315" s="67">
        <f>IF(База_КР_КК[[#This Row],[Таб.номер резервиста]]="-","-",IF(OR(База_КР_КК[[#This Row],[Уровень КК]]=2,База_КР_КК[[#This Row],[Уровень КК]]=3),IF(COUNTIFS($U$2:$U315,$U315,$F$2:$F315,$F315)=1,1,0),IF(COUNTIFS($U$2:$U315,$U315,$L$2:$L315,$L315)=1,1,0)))</f>
        <v>0</v>
      </c>
      <c r="AA3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" s="106"/>
      <c r="AC315" s="51"/>
      <c r="AD315" s="106" t="s">
        <v>15</v>
      </c>
      <c r="AE315" s="33" t="s">
        <v>410</v>
      </c>
    </row>
    <row r="316" spans="1:31" ht="18" customHeight="1" x14ac:dyDescent="0.25">
      <c r="A3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6" s="79">
        <v>4</v>
      </c>
      <c r="C316" s="23">
        <v>43783</v>
      </c>
      <c r="D316" s="67">
        <f>IF(COUNTIF($G$2:$G316,$G316)=1,1,0)</f>
        <v>0</v>
      </c>
      <c r="E316" s="67" t="str">
        <f>IFERROR(VLOOKUP(База_КР_КК[[#This Row],[ИД штатной должности (S)]],'уровень защищенности'!$B$7:$F$1095,5,0),"не защищена")</f>
        <v>высокий</v>
      </c>
      <c r="F316" s="68">
        <v>500377</v>
      </c>
      <c r="G316" s="74" t="s">
        <v>2233</v>
      </c>
      <c r="H316" s="181">
        <f>INDEX('Списки данных'!$D$2:$D$1048576,MATCH(База_КР_КК[[#This Row],[Структурное подразделение]],'Списки данных'!$C$2:$C$1048576,0))</f>
        <v>1</v>
      </c>
      <c r="I316" s="80" t="s">
        <v>132</v>
      </c>
      <c r="J316" s="80" t="s">
        <v>195</v>
      </c>
      <c r="K316" s="80" t="s">
        <v>21</v>
      </c>
      <c r="L316" s="30" t="s">
        <v>191</v>
      </c>
      <c r="M316" s="68">
        <v>6</v>
      </c>
      <c r="N316" s="181" t="str">
        <f t="shared" si="5"/>
        <v>нет</v>
      </c>
      <c r="O316" s="23"/>
      <c r="P316" s="23"/>
      <c r="Q316" s="106"/>
      <c r="R316" s="37">
        <v>76</v>
      </c>
      <c r="S316" s="38" t="s">
        <v>488</v>
      </c>
      <c r="T316" s="37">
        <v>79</v>
      </c>
      <c r="U316" s="39" t="s">
        <v>491</v>
      </c>
      <c r="V316" s="89" t="s">
        <v>272</v>
      </c>
      <c r="W316" s="89" t="s">
        <v>132</v>
      </c>
      <c r="X316" s="106" t="s">
        <v>295</v>
      </c>
      <c r="Y316" s="107" t="s">
        <v>18</v>
      </c>
      <c r="Z316" s="67">
        <f>IF(База_КР_КК[[#This Row],[Таб.номер резервиста]]="-","-",IF(OR(База_КР_КК[[#This Row],[Уровень КК]]=2,База_КР_КК[[#This Row],[Уровень КК]]=3),IF(COUNTIFS($U$2:$U316,$U316,$F$2:$F316,$F316)=1,1,0),IF(COUNTIFS($U$2:$U316,$U316,$L$2:$L316,$L316)=1,1,0)))</f>
        <v>0</v>
      </c>
      <c r="AA3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" s="106" t="s">
        <v>24</v>
      </c>
      <c r="AC316" s="51">
        <v>44798</v>
      </c>
      <c r="AD316" s="106" t="s">
        <v>17</v>
      </c>
      <c r="AE316" s="38" t="s">
        <v>315</v>
      </c>
    </row>
    <row r="317" spans="1:31" ht="18" customHeight="1" x14ac:dyDescent="0.25">
      <c r="A3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7" s="79">
        <v>4</v>
      </c>
      <c r="C317" s="23">
        <v>43783</v>
      </c>
      <c r="D317" s="67">
        <f>IF(COUNTIF($G$2:$G317,$G317)=1,1,0)</f>
        <v>1</v>
      </c>
      <c r="E317" s="67" t="str">
        <f>IFERROR(VLOOKUP(База_КР_КК[[#This Row],[ИД штатной должности (S)]],'уровень защищенности'!$B$7:$F$1095,5,0),"не защищена")</f>
        <v>высокий</v>
      </c>
      <c r="F317" s="68">
        <v>500377</v>
      </c>
      <c r="G317" s="74" t="s">
        <v>2234</v>
      </c>
      <c r="H317" s="181">
        <f>INDEX('Списки данных'!$D$2:$D$1048576,MATCH(База_КР_КК[[#This Row],[Структурное подразделение]],'Списки данных'!$C$2:$C$1048576,0))</f>
        <v>1</v>
      </c>
      <c r="I317" s="80" t="s">
        <v>132</v>
      </c>
      <c r="J317" s="80" t="s">
        <v>195</v>
      </c>
      <c r="K317" s="80" t="s">
        <v>21</v>
      </c>
      <c r="L317" s="30" t="s">
        <v>191</v>
      </c>
      <c r="M317" s="68">
        <v>6</v>
      </c>
      <c r="N317" s="181" t="str">
        <f t="shared" si="5"/>
        <v>нет</v>
      </c>
      <c r="O317" s="23"/>
      <c r="P317" s="23"/>
      <c r="Q317" s="106"/>
      <c r="R317" s="37">
        <v>77</v>
      </c>
      <c r="S317" s="38" t="s">
        <v>489</v>
      </c>
      <c r="T317" s="37">
        <v>1188</v>
      </c>
      <c r="U317" s="39" t="s">
        <v>1595</v>
      </c>
      <c r="V317" s="89" t="s">
        <v>272</v>
      </c>
      <c r="W317" s="89" t="s">
        <v>132</v>
      </c>
      <c r="X317" s="106" t="s">
        <v>295</v>
      </c>
      <c r="Y317" s="107" t="s">
        <v>12</v>
      </c>
      <c r="Z317" s="67">
        <f>IF(База_КР_КК[[#This Row],[Таб.номер резервиста]]="-","-",IF(OR(База_КР_КК[[#This Row],[Уровень КК]]=2,База_КР_КК[[#This Row],[Уровень КК]]=3),IF(COUNTIFS($U$2:$U317,$U317,$F$2:$F317,$F317)=1,1,0),IF(COUNTIFS($U$2:$U317,$U317,$L$2:$L317,$L317)=1,1,0)))</f>
        <v>0</v>
      </c>
      <c r="AA3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" s="106"/>
      <c r="AC317" s="51"/>
      <c r="AD317" s="106" t="s">
        <v>13</v>
      </c>
      <c r="AE317" s="38" t="s">
        <v>410</v>
      </c>
    </row>
    <row r="318" spans="1:31" ht="18" customHeight="1" x14ac:dyDescent="0.25">
      <c r="A3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8" s="79">
        <v>4</v>
      </c>
      <c r="C318" s="23">
        <v>43783</v>
      </c>
      <c r="D318" s="67">
        <f>IF(COUNTIF($G$2:$G318,$G318)=1,1,0)</f>
        <v>0</v>
      </c>
      <c r="E318" s="67" t="str">
        <f>IFERROR(VLOOKUP(База_КР_КК[[#This Row],[ИД штатной должности (S)]],'уровень защищенности'!$B$7:$F$1095,5,0),"не защищена")</f>
        <v>высокий</v>
      </c>
      <c r="F318" s="68">
        <v>500377</v>
      </c>
      <c r="G318" s="74" t="s">
        <v>2234</v>
      </c>
      <c r="H318" s="181">
        <f>INDEX('Списки данных'!$D$2:$D$1048576,MATCH(База_КР_КК[[#This Row],[Структурное подразделение]],'Списки данных'!$C$2:$C$1048576,0))</f>
        <v>1</v>
      </c>
      <c r="I318" s="80" t="s">
        <v>132</v>
      </c>
      <c r="J318" s="80" t="s">
        <v>195</v>
      </c>
      <c r="K318" s="80" t="s">
        <v>21</v>
      </c>
      <c r="L318" s="30" t="s">
        <v>191</v>
      </c>
      <c r="M318" s="68">
        <v>6</v>
      </c>
      <c r="N318" s="181" t="str">
        <f t="shared" si="5"/>
        <v>нет</v>
      </c>
      <c r="O318" s="23"/>
      <c r="P318" s="23"/>
      <c r="Q318" s="106"/>
      <c r="R318" s="37">
        <v>77</v>
      </c>
      <c r="S318" s="39" t="s">
        <v>489</v>
      </c>
      <c r="T318" s="37">
        <v>1189</v>
      </c>
      <c r="U318" s="38" t="s">
        <v>1596</v>
      </c>
      <c r="V318" s="69" t="s">
        <v>272</v>
      </c>
      <c r="W318" s="89" t="s">
        <v>132</v>
      </c>
      <c r="X318" s="106" t="s">
        <v>296</v>
      </c>
      <c r="Y318" s="107" t="s">
        <v>12</v>
      </c>
      <c r="Z318" s="67">
        <f>IF(База_КР_КК[[#This Row],[Таб.номер резервиста]]="-","-",IF(OR(База_КР_КК[[#This Row],[Уровень КК]]=2,База_КР_КК[[#This Row],[Уровень КК]]=3),IF(COUNTIFS($U$2:$U318,$U318,$F$2:$F318,$F318)=1,1,0),IF(COUNTIFS($U$2:$U318,$U318,$L$2:$L318,$L318)=1,1,0)))</f>
        <v>0</v>
      </c>
      <c r="AA3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" s="106"/>
      <c r="AC318" s="51"/>
      <c r="AD318" s="106" t="s">
        <v>15</v>
      </c>
      <c r="AE318" s="33" t="s">
        <v>410</v>
      </c>
    </row>
    <row r="319" spans="1:31" ht="18" customHeight="1" x14ac:dyDescent="0.25">
      <c r="A3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19" s="79">
        <v>4</v>
      </c>
      <c r="C319" s="23">
        <v>43783</v>
      </c>
      <c r="D319" s="67">
        <f>IF(COUNTIF($G$2:$G319,$G319)=1,1,0)</f>
        <v>0</v>
      </c>
      <c r="E319" s="67" t="str">
        <f>IFERROR(VLOOKUP(База_КР_КК[[#This Row],[ИД штатной должности (S)]],'уровень защищенности'!$B$7:$F$1095,5,0),"не защищена")</f>
        <v>высокий</v>
      </c>
      <c r="F319" s="68">
        <v>500377</v>
      </c>
      <c r="G319" s="74" t="s">
        <v>2234</v>
      </c>
      <c r="H319" s="181">
        <f>INDEX('Списки данных'!$D$2:$D$1048576,MATCH(База_КР_КК[[#This Row],[Структурное подразделение]],'Списки данных'!$C$2:$C$1048576,0))</f>
        <v>1</v>
      </c>
      <c r="I319" s="80" t="s">
        <v>132</v>
      </c>
      <c r="J319" s="80" t="s">
        <v>195</v>
      </c>
      <c r="K319" s="80" t="s">
        <v>21</v>
      </c>
      <c r="L319" s="30" t="s">
        <v>191</v>
      </c>
      <c r="M319" s="68">
        <v>6</v>
      </c>
      <c r="N319" s="181" t="str">
        <f t="shared" si="5"/>
        <v>нет</v>
      </c>
      <c r="O319" s="23"/>
      <c r="P319" s="23"/>
      <c r="Q319" s="106"/>
      <c r="R319" s="37">
        <v>77</v>
      </c>
      <c r="S319" s="38" t="s">
        <v>489</v>
      </c>
      <c r="T319" s="37">
        <v>79</v>
      </c>
      <c r="U319" s="39" t="s">
        <v>491</v>
      </c>
      <c r="V319" s="89" t="s">
        <v>272</v>
      </c>
      <c r="W319" s="89" t="s">
        <v>132</v>
      </c>
      <c r="X319" s="106" t="s">
        <v>295</v>
      </c>
      <c r="Y319" s="107" t="s">
        <v>18</v>
      </c>
      <c r="Z319" s="67">
        <f>IF(База_КР_КК[[#This Row],[Таб.номер резервиста]]="-","-",IF(OR(База_КР_КК[[#This Row],[Уровень КК]]=2,База_КР_КК[[#This Row],[Уровень КК]]=3),IF(COUNTIFS($U$2:$U319,$U319,$F$2:$F319,$F319)=1,1,0),IF(COUNTIFS($U$2:$U319,$U319,$L$2:$L319,$L319)=1,1,0)))</f>
        <v>0</v>
      </c>
      <c r="AA3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" s="106" t="s">
        <v>24</v>
      </c>
      <c r="AC319" s="51">
        <v>44798</v>
      </c>
      <c r="AD319" s="106" t="s">
        <v>17</v>
      </c>
      <c r="AE319" s="38" t="s">
        <v>315</v>
      </c>
    </row>
    <row r="320" spans="1:31" ht="18" customHeight="1" x14ac:dyDescent="0.25">
      <c r="A3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0" s="79">
        <v>4</v>
      </c>
      <c r="C320" s="23">
        <v>43783</v>
      </c>
      <c r="D320" s="67">
        <f>IF(COUNTIF($G$2:$G320,$G320)=1,1,0)</f>
        <v>1</v>
      </c>
      <c r="E320" s="67" t="str">
        <f>IFERROR(VLOOKUP(База_КР_КК[[#This Row],[ИД штатной должности (S)]],'уровень защищенности'!$B$7:$F$1095,5,0),"не защищена")</f>
        <v>высокий</v>
      </c>
      <c r="F320" s="68">
        <v>500377</v>
      </c>
      <c r="G320" s="74" t="s">
        <v>2235</v>
      </c>
      <c r="H320" s="181">
        <f>INDEX('Списки данных'!$D$2:$D$1048576,MATCH(База_КР_КК[[#This Row],[Структурное подразделение]],'Списки данных'!$C$2:$C$1048576,0))</f>
        <v>1</v>
      </c>
      <c r="I320" s="80" t="s">
        <v>132</v>
      </c>
      <c r="J320" s="80" t="s">
        <v>195</v>
      </c>
      <c r="K320" s="80" t="s">
        <v>21</v>
      </c>
      <c r="L320" s="30" t="s">
        <v>191</v>
      </c>
      <c r="M320" s="68">
        <v>6</v>
      </c>
      <c r="N320" s="181" t="str">
        <f t="shared" si="5"/>
        <v>нет</v>
      </c>
      <c r="O320" s="23"/>
      <c r="P320" s="23"/>
      <c r="Q320" s="106"/>
      <c r="R320" s="37">
        <v>78</v>
      </c>
      <c r="S320" s="38" t="s">
        <v>490</v>
      </c>
      <c r="T320" s="37">
        <v>1188</v>
      </c>
      <c r="U320" s="39" t="s">
        <v>1595</v>
      </c>
      <c r="V320" s="89" t="s">
        <v>272</v>
      </c>
      <c r="W320" s="89" t="s">
        <v>132</v>
      </c>
      <c r="X320" s="106" t="s">
        <v>295</v>
      </c>
      <c r="Y320" s="107" t="s">
        <v>12</v>
      </c>
      <c r="Z320" s="67">
        <f>IF(База_КР_КК[[#This Row],[Таб.номер резервиста]]="-","-",IF(OR(База_КР_КК[[#This Row],[Уровень КК]]=2,База_КР_КК[[#This Row],[Уровень КК]]=3),IF(COUNTIFS($U$2:$U320,$U320,$F$2:$F320,$F320)=1,1,0),IF(COUNTIFS($U$2:$U320,$U320,$L$2:$L320,$L320)=1,1,0)))</f>
        <v>0</v>
      </c>
      <c r="AA3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" s="106"/>
      <c r="AC320" s="51"/>
      <c r="AD320" s="106" t="s">
        <v>13</v>
      </c>
      <c r="AE320" s="38" t="s">
        <v>410</v>
      </c>
    </row>
    <row r="321" spans="1:31" ht="18" customHeight="1" x14ac:dyDescent="0.25">
      <c r="A3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1" s="79">
        <v>4</v>
      </c>
      <c r="C321" s="23">
        <v>44897</v>
      </c>
      <c r="D321" s="67">
        <f>IF(COUNTIF($G$2:$G321,$G321)=1,1,0)</f>
        <v>0</v>
      </c>
      <c r="E321" s="67" t="str">
        <f>IFERROR(VLOOKUP(База_КР_КК[[#This Row],[ИД штатной должности (S)]],'уровень защищенности'!$B$7:$F$1095,5,0),"не защищена")</f>
        <v>высокий</v>
      </c>
      <c r="F321" s="68">
        <v>500377</v>
      </c>
      <c r="G321" s="74" t="s">
        <v>2235</v>
      </c>
      <c r="H321" s="181">
        <f>INDEX('Списки данных'!$D$2:$D$1048576,MATCH(База_КР_КК[[#This Row],[Структурное подразделение]],'Списки данных'!$C$2:$C$1048576,0))</f>
        <v>1</v>
      </c>
      <c r="I321" s="80" t="s">
        <v>132</v>
      </c>
      <c r="J321" s="80" t="s">
        <v>195</v>
      </c>
      <c r="K321" s="80" t="s">
        <v>21</v>
      </c>
      <c r="L321" s="30" t="s">
        <v>191</v>
      </c>
      <c r="M321" s="68">
        <v>6</v>
      </c>
      <c r="N321" s="181" t="str">
        <f t="shared" ref="N321:N384" si="6">IF(ISBLANK(O321),"нет","да")</f>
        <v>нет</v>
      </c>
      <c r="O321" s="23"/>
      <c r="P321" s="23"/>
      <c r="Q321" s="106"/>
      <c r="R321" s="37">
        <v>78</v>
      </c>
      <c r="S321" s="39" t="s">
        <v>490</v>
      </c>
      <c r="T321" s="37">
        <v>1189</v>
      </c>
      <c r="U321" s="38" t="s">
        <v>1596</v>
      </c>
      <c r="V321" s="69" t="s">
        <v>272</v>
      </c>
      <c r="W321" s="89" t="s">
        <v>132</v>
      </c>
      <c r="X321" s="106" t="s">
        <v>296</v>
      </c>
      <c r="Y321" s="107" t="s">
        <v>12</v>
      </c>
      <c r="Z321" s="67">
        <f>IF(База_КР_КК[[#This Row],[Таб.номер резервиста]]="-","-",IF(OR(База_КР_КК[[#This Row],[Уровень КК]]=2,База_КР_КК[[#This Row],[Уровень КК]]=3),IF(COUNTIFS($U$2:$U321,$U321,$F$2:$F321,$F321)=1,1,0),IF(COUNTIFS($U$2:$U321,$U321,$L$2:$L321,$L321)=1,1,0)))</f>
        <v>0</v>
      </c>
      <c r="AA3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" s="106"/>
      <c r="AC321" s="51"/>
      <c r="AD321" s="106" t="s">
        <v>15</v>
      </c>
      <c r="AE321" s="33" t="s">
        <v>410</v>
      </c>
    </row>
    <row r="322" spans="1:31" ht="18" customHeight="1" x14ac:dyDescent="0.25">
      <c r="A3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2" s="79">
        <v>4</v>
      </c>
      <c r="C322" s="23">
        <v>43783</v>
      </c>
      <c r="D322" s="67">
        <f>IF(COUNTIF($G$2:$G322,$G322)=1,1,0)</f>
        <v>0</v>
      </c>
      <c r="E322" s="67" t="str">
        <f>IFERROR(VLOOKUP(База_КР_КК[[#This Row],[ИД штатной должности (S)]],'уровень защищенности'!$B$7:$F$1095,5,0),"не защищена")</f>
        <v>высокий</v>
      </c>
      <c r="F322" s="68">
        <v>500377</v>
      </c>
      <c r="G322" s="74" t="s">
        <v>2235</v>
      </c>
      <c r="H322" s="181">
        <f>INDEX('Списки данных'!$D$2:$D$1048576,MATCH(База_КР_КК[[#This Row],[Структурное подразделение]],'Списки данных'!$C$2:$C$1048576,0))</f>
        <v>1</v>
      </c>
      <c r="I322" s="80" t="s">
        <v>132</v>
      </c>
      <c r="J322" s="80" t="s">
        <v>195</v>
      </c>
      <c r="K322" s="80" t="s">
        <v>21</v>
      </c>
      <c r="L322" s="30" t="s">
        <v>191</v>
      </c>
      <c r="M322" s="68">
        <v>6</v>
      </c>
      <c r="N322" s="181" t="str">
        <f t="shared" si="6"/>
        <v>нет</v>
      </c>
      <c r="O322" s="23"/>
      <c r="P322" s="23"/>
      <c r="Q322" s="106"/>
      <c r="R322" s="37">
        <v>78</v>
      </c>
      <c r="S322" s="38" t="s">
        <v>490</v>
      </c>
      <c r="T322" s="37">
        <v>79</v>
      </c>
      <c r="U322" s="39" t="s">
        <v>491</v>
      </c>
      <c r="V322" s="89" t="s">
        <v>272</v>
      </c>
      <c r="W322" s="89" t="s">
        <v>132</v>
      </c>
      <c r="X322" s="106" t="s">
        <v>295</v>
      </c>
      <c r="Y322" s="107" t="s">
        <v>18</v>
      </c>
      <c r="Z322" s="67">
        <f>IF(База_КР_КК[[#This Row],[Таб.номер резервиста]]="-","-",IF(OR(База_КР_КК[[#This Row],[Уровень КК]]=2,База_КР_КК[[#This Row],[Уровень КК]]=3),IF(COUNTIFS($U$2:$U322,$U322,$F$2:$F322,$F322)=1,1,0),IF(COUNTIFS($U$2:$U322,$U322,$L$2:$L322,$L322)=1,1,0)))</f>
        <v>0</v>
      </c>
      <c r="AA3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" s="106" t="s">
        <v>24</v>
      </c>
      <c r="AC322" s="51">
        <v>44798</v>
      </c>
      <c r="AD322" s="106" t="s">
        <v>17</v>
      </c>
      <c r="AE322" s="38" t="s">
        <v>315</v>
      </c>
    </row>
    <row r="323" spans="1:31" ht="18" customHeight="1" x14ac:dyDescent="0.25">
      <c r="A3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3" s="79">
        <v>4</v>
      </c>
      <c r="C323" s="23">
        <v>43783</v>
      </c>
      <c r="D323" s="67">
        <f>IF(COUNTIF($G$2:$G323,$G323)=1,1,0)</f>
        <v>1</v>
      </c>
      <c r="E323" s="67" t="str">
        <f>IFERROR(VLOOKUP(База_КР_КК[[#This Row],[ИД штатной должности (S)]],'уровень защищенности'!$B$7:$F$1095,5,0),"не защищена")</f>
        <v>высокий</v>
      </c>
      <c r="F323" s="68">
        <v>500379</v>
      </c>
      <c r="G323" s="74" t="s">
        <v>2236</v>
      </c>
      <c r="H323" s="181">
        <f>INDEX('Списки данных'!$D$2:$D$1048576,MATCH(База_КР_КК[[#This Row],[Структурное подразделение]],'Списки данных'!$C$2:$C$1048576,0))</f>
        <v>1</v>
      </c>
      <c r="I323" s="80" t="s">
        <v>132</v>
      </c>
      <c r="J323" s="80" t="s">
        <v>195</v>
      </c>
      <c r="K323" s="80" t="s">
        <v>21</v>
      </c>
      <c r="L323" s="30" t="s">
        <v>192</v>
      </c>
      <c r="M323" s="68">
        <v>6</v>
      </c>
      <c r="N323" s="181" t="str">
        <f t="shared" si="6"/>
        <v>да</v>
      </c>
      <c r="O323" s="23">
        <v>44722</v>
      </c>
      <c r="P323" s="23">
        <v>44798</v>
      </c>
      <c r="Q323" s="106" t="s">
        <v>66</v>
      </c>
      <c r="R323" s="37">
        <v>79</v>
      </c>
      <c r="S323" s="39" t="s">
        <v>491</v>
      </c>
      <c r="T323" s="37">
        <v>1188</v>
      </c>
      <c r="U323" s="39" t="s">
        <v>1595</v>
      </c>
      <c r="V323" s="89" t="s">
        <v>272</v>
      </c>
      <c r="W323" s="89" t="s">
        <v>132</v>
      </c>
      <c r="X323" s="106" t="s">
        <v>295</v>
      </c>
      <c r="Y323" s="107" t="s">
        <v>12</v>
      </c>
      <c r="Z323" s="67">
        <f>IF(База_КР_КК[[#This Row],[Таб.номер резервиста]]="-","-",IF(OR(База_КР_КК[[#This Row],[Уровень КК]]=2,База_КР_КК[[#This Row],[Уровень КК]]=3),IF(COUNTIFS($U$2:$U323,$U323,$F$2:$F323,$F323)=1,1,0),IF(COUNTIFS($U$2:$U323,$U323,$L$2:$L323,$L323)=1,1,0)))</f>
        <v>1</v>
      </c>
      <c r="AA3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" s="106"/>
      <c r="AC323" s="51"/>
      <c r="AD323" s="106" t="s">
        <v>13</v>
      </c>
      <c r="AE323" s="38" t="s">
        <v>410</v>
      </c>
    </row>
    <row r="324" spans="1:31" ht="18" customHeight="1" x14ac:dyDescent="0.25">
      <c r="A3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4" s="79">
        <v>4</v>
      </c>
      <c r="C324" s="23">
        <v>43783</v>
      </c>
      <c r="D324" s="67">
        <f>IF(COUNTIF($G$2:$G324,$G324)=1,1,0)</f>
        <v>0</v>
      </c>
      <c r="E324" s="67" t="str">
        <f>IFERROR(VLOOKUP(База_КР_КК[[#This Row],[ИД штатной должности (S)]],'уровень защищенности'!$B$7:$F$1095,5,0),"не защищена")</f>
        <v>высокий</v>
      </c>
      <c r="F324" s="68">
        <v>500379</v>
      </c>
      <c r="G324" s="74" t="s">
        <v>2236</v>
      </c>
      <c r="H324" s="181">
        <f>INDEX('Списки данных'!$D$2:$D$1048576,MATCH(База_КР_КК[[#This Row],[Структурное подразделение]],'Списки данных'!$C$2:$C$1048576,0))</f>
        <v>1</v>
      </c>
      <c r="I324" s="80" t="s">
        <v>132</v>
      </c>
      <c r="J324" s="80" t="s">
        <v>195</v>
      </c>
      <c r="K324" s="80" t="s">
        <v>21</v>
      </c>
      <c r="L324" s="30" t="s">
        <v>192</v>
      </c>
      <c r="M324" s="68">
        <v>6</v>
      </c>
      <c r="N324" s="181" t="str">
        <f t="shared" si="6"/>
        <v>да</v>
      </c>
      <c r="O324" s="23">
        <v>44722</v>
      </c>
      <c r="P324" s="23">
        <v>44798</v>
      </c>
      <c r="Q324" s="106" t="s">
        <v>66</v>
      </c>
      <c r="R324" s="37">
        <v>79</v>
      </c>
      <c r="S324" s="39" t="s">
        <v>491</v>
      </c>
      <c r="T324" s="37">
        <v>1189</v>
      </c>
      <c r="U324" s="38" t="s">
        <v>1596</v>
      </c>
      <c r="V324" s="69" t="s">
        <v>272</v>
      </c>
      <c r="W324" s="89" t="s">
        <v>132</v>
      </c>
      <c r="X324" s="106" t="s">
        <v>296</v>
      </c>
      <c r="Y324" s="107" t="s">
        <v>12</v>
      </c>
      <c r="Z324" s="67">
        <f>IF(База_КР_КК[[#This Row],[Таб.номер резервиста]]="-","-",IF(OR(База_КР_КК[[#This Row],[Уровень КК]]=2,База_КР_КК[[#This Row],[Уровень КК]]=3),IF(COUNTIFS($U$2:$U324,$U324,$F$2:$F324,$F324)=1,1,0),IF(COUNTIFS($U$2:$U324,$U324,$L$2:$L324,$L324)=1,1,0)))</f>
        <v>1</v>
      </c>
      <c r="AA3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" s="106"/>
      <c r="AC324" s="51"/>
      <c r="AD324" s="106" t="s">
        <v>15</v>
      </c>
      <c r="AE324" s="33" t="s">
        <v>410</v>
      </c>
    </row>
    <row r="325" spans="1:31" ht="18" customHeight="1" x14ac:dyDescent="0.25">
      <c r="A3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5" s="79">
        <v>4</v>
      </c>
      <c r="C325" s="23">
        <v>43783</v>
      </c>
      <c r="D325" s="67">
        <f>IF(COUNTIF($G$2:$G325,$G325)=1,1,0)</f>
        <v>0</v>
      </c>
      <c r="E325" s="67" t="str">
        <f>IFERROR(VLOOKUP(База_КР_КК[[#This Row],[ИД штатной должности (S)]],'уровень защищенности'!$B$7:$F$1095,5,0),"не защищена")</f>
        <v>высокий</v>
      </c>
      <c r="F325" s="68">
        <v>500379</v>
      </c>
      <c r="G325" s="74" t="s">
        <v>2236</v>
      </c>
      <c r="H325" s="181">
        <f>INDEX('Списки данных'!$D$2:$D$1048576,MATCH(База_КР_КК[[#This Row],[Структурное подразделение]],'Списки данных'!$C$2:$C$1048576,0))</f>
        <v>1</v>
      </c>
      <c r="I325" s="80" t="s">
        <v>132</v>
      </c>
      <c r="J325" s="80" t="s">
        <v>195</v>
      </c>
      <c r="K325" s="80" t="s">
        <v>21</v>
      </c>
      <c r="L325" s="30" t="s">
        <v>192</v>
      </c>
      <c r="M325" s="68">
        <v>6</v>
      </c>
      <c r="N325" s="181" t="str">
        <f t="shared" si="6"/>
        <v>да</v>
      </c>
      <c r="O325" s="23">
        <v>44722</v>
      </c>
      <c r="P325" s="23">
        <v>44798</v>
      </c>
      <c r="Q325" s="106" t="s">
        <v>66</v>
      </c>
      <c r="R325" s="37">
        <v>79</v>
      </c>
      <c r="S325" s="39" t="s">
        <v>491</v>
      </c>
      <c r="T325" s="37">
        <v>79</v>
      </c>
      <c r="U325" s="39" t="s">
        <v>491</v>
      </c>
      <c r="V325" s="89" t="s">
        <v>272</v>
      </c>
      <c r="W325" s="89" t="s">
        <v>132</v>
      </c>
      <c r="X325" s="106" t="s">
        <v>295</v>
      </c>
      <c r="Y325" s="107" t="s">
        <v>14</v>
      </c>
      <c r="Z325" s="67">
        <f>IF(База_КР_КК[[#This Row],[Таб.номер резервиста]]="-","-",IF(OR(База_КР_КК[[#This Row],[Уровень КК]]=2,База_КР_КК[[#This Row],[Уровень КК]]=3),IF(COUNTIFS($U$2:$U325,$U325,$F$2:$F325,$F325)=1,1,0),IF(COUNTIFS($U$2:$U325,$U325,$L$2:$L325,$L325)=1,1,0)))</f>
        <v>1</v>
      </c>
      <c r="AA3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25" s="106" t="s">
        <v>24</v>
      </c>
      <c r="AC325" s="51">
        <v>44798</v>
      </c>
      <c r="AD325" s="106" t="s">
        <v>17</v>
      </c>
      <c r="AE325" s="38" t="s">
        <v>315</v>
      </c>
    </row>
    <row r="326" spans="1:31" ht="18" customHeight="1" x14ac:dyDescent="0.25">
      <c r="A3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6" s="79">
        <v>4</v>
      </c>
      <c r="C326" s="23">
        <v>43783</v>
      </c>
      <c r="D326" s="67">
        <f>IF(COUNTIF($G$2:$G326,$G326)=1,1,0)</f>
        <v>1</v>
      </c>
      <c r="E326" s="67" t="str">
        <f>IFERROR(VLOOKUP(База_КР_КК[[#This Row],[ИД штатной должности (S)]],'уровень защищенности'!$B$7:$F$1095,5,0),"не защищена")</f>
        <v>высокий</v>
      </c>
      <c r="F326" s="68">
        <v>500380</v>
      </c>
      <c r="G326" s="74" t="s">
        <v>2237</v>
      </c>
      <c r="H326" s="181">
        <f>INDEX('Списки данных'!$D$2:$D$1048576,MATCH(База_КР_КК[[#This Row],[Структурное подразделение]],'Списки данных'!$C$2:$C$1048576,0))</f>
        <v>1</v>
      </c>
      <c r="I326" s="80" t="s">
        <v>132</v>
      </c>
      <c r="J326" s="80" t="s">
        <v>195</v>
      </c>
      <c r="K326" s="80" t="s">
        <v>21</v>
      </c>
      <c r="L326" s="30" t="s">
        <v>191</v>
      </c>
      <c r="M326" s="68">
        <v>6</v>
      </c>
      <c r="N326" s="181" t="str">
        <f t="shared" si="6"/>
        <v>нет</v>
      </c>
      <c r="O326" s="23"/>
      <c r="P326" s="23"/>
      <c r="Q326" s="106"/>
      <c r="R326" s="37">
        <v>80</v>
      </c>
      <c r="S326" s="38" t="s">
        <v>492</v>
      </c>
      <c r="T326" s="37">
        <v>1190</v>
      </c>
      <c r="U326" s="39" t="s">
        <v>1597</v>
      </c>
      <c r="V326" s="89" t="s">
        <v>272</v>
      </c>
      <c r="W326" s="89" t="s">
        <v>132</v>
      </c>
      <c r="X326" s="106" t="s">
        <v>295</v>
      </c>
      <c r="Y326" s="107" t="s">
        <v>12</v>
      </c>
      <c r="Z326" s="67">
        <f>IF(База_КР_КК[[#This Row],[Таб.номер резервиста]]="-","-",IF(OR(База_КР_КК[[#This Row],[Уровень КК]]=2,База_КР_КК[[#This Row],[Уровень КК]]=3),IF(COUNTIFS($U$2:$U326,$U326,$F$2:$F326,$F326)=1,1,0),IF(COUNTIFS($U$2:$U326,$U326,$L$2:$L326,$L326)=1,1,0)))</f>
        <v>1</v>
      </c>
      <c r="AA3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" s="106"/>
      <c r="AC326" s="51"/>
      <c r="AD326" s="106" t="s">
        <v>13</v>
      </c>
      <c r="AE326" s="38" t="s">
        <v>410</v>
      </c>
    </row>
    <row r="327" spans="1:31" ht="18" customHeight="1" x14ac:dyDescent="0.25">
      <c r="A3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7" s="79">
        <v>4</v>
      </c>
      <c r="C327" s="23">
        <v>44496</v>
      </c>
      <c r="D327" s="67">
        <f>IF(COUNTIF($G$2:$G327,$G327)=1,1,0)</f>
        <v>0</v>
      </c>
      <c r="E327" s="67" t="str">
        <f>IFERROR(VLOOKUP(База_КР_КК[[#This Row],[ИД штатной должности (S)]],'уровень защищенности'!$B$7:$F$1095,5,0),"не защищена")</f>
        <v>высокий</v>
      </c>
      <c r="F327" s="68">
        <v>500380</v>
      </c>
      <c r="G327" s="74" t="s">
        <v>2237</v>
      </c>
      <c r="H327" s="181">
        <f>INDEX('Списки данных'!$D$2:$D$1048576,MATCH(База_КР_КК[[#This Row],[Структурное подразделение]],'Списки данных'!$C$2:$C$1048576,0))</f>
        <v>1</v>
      </c>
      <c r="I327" s="80" t="s">
        <v>132</v>
      </c>
      <c r="J327" s="80" t="s">
        <v>195</v>
      </c>
      <c r="K327" s="80" t="s">
        <v>21</v>
      </c>
      <c r="L327" s="30" t="s">
        <v>191</v>
      </c>
      <c r="M327" s="68">
        <v>6</v>
      </c>
      <c r="N327" s="181" t="str">
        <f t="shared" si="6"/>
        <v>нет</v>
      </c>
      <c r="O327" s="23"/>
      <c r="P327" s="23"/>
      <c r="Q327" s="106"/>
      <c r="R327" s="37">
        <v>80</v>
      </c>
      <c r="S327" s="38" t="s">
        <v>492</v>
      </c>
      <c r="T327" s="37">
        <v>1191</v>
      </c>
      <c r="U327" s="39" t="s">
        <v>1436</v>
      </c>
      <c r="V327" s="89" t="s">
        <v>272</v>
      </c>
      <c r="W327" s="89" t="s">
        <v>132</v>
      </c>
      <c r="X327" s="106" t="s">
        <v>297</v>
      </c>
      <c r="Y327" s="107" t="s">
        <v>12</v>
      </c>
      <c r="Z327" s="67">
        <f>IF(База_КР_КК[[#This Row],[Таб.номер резервиста]]="-","-",IF(OR(База_КР_КК[[#This Row],[Уровень КК]]=2,База_КР_КК[[#This Row],[Уровень КК]]=3),IF(COUNTIFS($U$2:$U327,$U327,$F$2:$F327,$F327)=1,1,0),IF(COUNTIFS($U$2:$U327,$U327,$L$2:$L327,$L327)=1,1,0)))</f>
        <v>1</v>
      </c>
      <c r="AA3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" s="106"/>
      <c r="AC327" s="51"/>
      <c r="AD327" s="106" t="s">
        <v>17</v>
      </c>
      <c r="AE327" s="33" t="s">
        <v>410</v>
      </c>
    </row>
    <row r="328" spans="1:31" ht="18" customHeight="1" x14ac:dyDescent="0.25">
      <c r="A3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8" s="79">
        <v>4</v>
      </c>
      <c r="C328" s="23">
        <v>44496</v>
      </c>
      <c r="D328" s="67">
        <f>IF(COUNTIF($G$2:$G328,$G328)=1,1,0)</f>
        <v>0</v>
      </c>
      <c r="E328" s="67" t="str">
        <f>IFERROR(VLOOKUP(База_КР_КК[[#This Row],[ИД штатной должности (S)]],'уровень защищенности'!$B$7:$F$1095,5,0),"не защищена")</f>
        <v>высокий</v>
      </c>
      <c r="F328" s="68">
        <v>500380</v>
      </c>
      <c r="G328" s="74" t="s">
        <v>2237</v>
      </c>
      <c r="H328" s="181">
        <f>INDEX('Списки данных'!$D$2:$D$1048576,MATCH(База_КР_КК[[#This Row],[Структурное подразделение]],'Списки данных'!$C$2:$C$1048576,0))</f>
        <v>1</v>
      </c>
      <c r="I328" s="80" t="s">
        <v>132</v>
      </c>
      <c r="J328" s="80" t="s">
        <v>195</v>
      </c>
      <c r="K328" s="80" t="s">
        <v>21</v>
      </c>
      <c r="L328" s="30" t="s">
        <v>191</v>
      </c>
      <c r="M328" s="68">
        <v>6</v>
      </c>
      <c r="N328" s="181" t="str">
        <f t="shared" si="6"/>
        <v>нет</v>
      </c>
      <c r="O328" s="23"/>
      <c r="P328" s="23"/>
      <c r="Q328" s="106"/>
      <c r="R328" s="37">
        <v>80</v>
      </c>
      <c r="S328" s="38" t="s">
        <v>492</v>
      </c>
      <c r="T328" s="37">
        <v>1192</v>
      </c>
      <c r="U328" s="39" t="s">
        <v>1598</v>
      </c>
      <c r="V328" s="89" t="s">
        <v>272</v>
      </c>
      <c r="W328" s="89" t="s">
        <v>132</v>
      </c>
      <c r="X328" s="106" t="s">
        <v>297</v>
      </c>
      <c r="Y328" s="107" t="s">
        <v>12</v>
      </c>
      <c r="Z328" s="67">
        <f>IF(База_КР_КК[[#This Row],[Таб.номер резервиста]]="-","-",IF(OR(База_КР_КК[[#This Row],[Уровень КК]]=2,База_КР_КК[[#This Row],[Уровень КК]]=3),IF(COUNTIFS($U$2:$U328,$U328,$F$2:$F328,$F328)=1,1,0),IF(COUNTIFS($U$2:$U328,$U328,$L$2:$L328,$L328)=1,1,0)))</f>
        <v>1</v>
      </c>
      <c r="AA3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" s="106"/>
      <c r="AC328" s="51"/>
      <c r="AD328" s="106" t="s">
        <v>17</v>
      </c>
      <c r="AE328" s="33" t="s">
        <v>410</v>
      </c>
    </row>
    <row r="329" spans="1:31" ht="18" customHeight="1" x14ac:dyDescent="0.25">
      <c r="A3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29" s="79">
        <v>4</v>
      </c>
      <c r="C329" s="23">
        <v>44496</v>
      </c>
      <c r="D329" s="67">
        <f>IF(COUNTIF($G$2:$G329,$G329)=1,1,0)</f>
        <v>0</v>
      </c>
      <c r="E329" s="67" t="str">
        <f>IFERROR(VLOOKUP(База_КР_КК[[#This Row],[ИД штатной должности (S)]],'уровень защищенности'!$B$7:$F$1095,5,0),"не защищена")</f>
        <v>высокий</v>
      </c>
      <c r="F329" s="68">
        <v>500380</v>
      </c>
      <c r="G329" s="74" t="s">
        <v>2237</v>
      </c>
      <c r="H329" s="181">
        <f>INDEX('Списки данных'!$D$2:$D$1048576,MATCH(База_КР_КК[[#This Row],[Структурное подразделение]],'Списки данных'!$C$2:$C$1048576,0))</f>
        <v>1</v>
      </c>
      <c r="I329" s="80" t="s">
        <v>132</v>
      </c>
      <c r="J329" s="80" t="s">
        <v>195</v>
      </c>
      <c r="K329" s="80" t="s">
        <v>21</v>
      </c>
      <c r="L329" s="30" t="s">
        <v>191</v>
      </c>
      <c r="M329" s="68">
        <v>6</v>
      </c>
      <c r="N329" s="181" t="str">
        <f t="shared" si="6"/>
        <v>нет</v>
      </c>
      <c r="O329" s="23"/>
      <c r="P329" s="23"/>
      <c r="Q329" s="106"/>
      <c r="R329" s="37">
        <v>80</v>
      </c>
      <c r="S329" s="38" t="s">
        <v>492</v>
      </c>
      <c r="T329" s="37">
        <v>1193</v>
      </c>
      <c r="U329" s="39" t="s">
        <v>1599</v>
      </c>
      <c r="V329" s="89" t="s">
        <v>272</v>
      </c>
      <c r="W329" s="89" t="s">
        <v>132</v>
      </c>
      <c r="X329" s="106" t="s">
        <v>297</v>
      </c>
      <c r="Y329" s="107" t="s">
        <v>12</v>
      </c>
      <c r="Z329" s="67">
        <f>IF(База_КР_КК[[#This Row],[Таб.номер резервиста]]="-","-",IF(OR(База_КР_КК[[#This Row],[Уровень КК]]=2,База_КР_КК[[#This Row],[Уровень КК]]=3),IF(COUNTIFS($U$2:$U329,$U329,$F$2:$F329,$F329)=1,1,0),IF(COUNTIFS($U$2:$U329,$U329,$L$2:$L329,$L329)=1,1,0)))</f>
        <v>1</v>
      </c>
      <c r="AA3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" s="106"/>
      <c r="AC329" s="51"/>
      <c r="AD329" s="106" t="s">
        <v>17</v>
      </c>
      <c r="AE329" s="33" t="s">
        <v>410</v>
      </c>
    </row>
    <row r="330" spans="1:31" ht="18" customHeight="1" x14ac:dyDescent="0.25">
      <c r="A3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0" s="79">
        <v>4</v>
      </c>
      <c r="C330" s="23">
        <v>43783</v>
      </c>
      <c r="D330" s="67">
        <f>IF(COUNTIF($G$2:$G330,$G330)=1,1,0)</f>
        <v>1</v>
      </c>
      <c r="E330" s="67" t="str">
        <f>IFERROR(VLOOKUP(База_КР_КК[[#This Row],[ИД штатной должности (S)]],'уровень защищенности'!$B$7:$F$1095,5,0),"не защищена")</f>
        <v>высокий</v>
      </c>
      <c r="F330" s="68">
        <v>500380</v>
      </c>
      <c r="G330" s="74" t="s">
        <v>2238</v>
      </c>
      <c r="H330" s="181">
        <f>INDEX('Списки данных'!$D$2:$D$1048576,MATCH(База_КР_КК[[#This Row],[Структурное подразделение]],'Списки данных'!$C$2:$C$1048576,0))</f>
        <v>1</v>
      </c>
      <c r="I330" s="80" t="s">
        <v>132</v>
      </c>
      <c r="J330" s="80" t="s">
        <v>195</v>
      </c>
      <c r="K330" s="80" t="s">
        <v>21</v>
      </c>
      <c r="L330" s="30" t="s">
        <v>191</v>
      </c>
      <c r="M330" s="68">
        <v>6</v>
      </c>
      <c r="N330" s="181" t="str">
        <f t="shared" si="6"/>
        <v>нет</v>
      </c>
      <c r="O330" s="23"/>
      <c r="P330" s="23"/>
      <c r="Q330" s="106"/>
      <c r="R330" s="37">
        <v>81</v>
      </c>
      <c r="S330" s="38" t="s">
        <v>493</v>
      </c>
      <c r="T330" s="37">
        <v>1190</v>
      </c>
      <c r="U330" s="39" t="s">
        <v>1597</v>
      </c>
      <c r="V330" s="89" t="s">
        <v>272</v>
      </c>
      <c r="W330" s="89" t="s">
        <v>132</v>
      </c>
      <c r="X330" s="106" t="s">
        <v>295</v>
      </c>
      <c r="Y330" s="107" t="s">
        <v>12</v>
      </c>
      <c r="Z330" s="67">
        <f>IF(База_КР_КК[[#This Row],[Таб.номер резервиста]]="-","-",IF(OR(База_КР_КК[[#This Row],[Уровень КК]]=2,База_КР_КК[[#This Row],[Уровень КК]]=3),IF(COUNTIFS($U$2:$U330,$U330,$F$2:$F330,$F330)=1,1,0),IF(COUNTIFS($U$2:$U330,$U330,$L$2:$L330,$L330)=1,1,0)))</f>
        <v>0</v>
      </c>
      <c r="AA3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" s="106"/>
      <c r="AC330" s="51"/>
      <c r="AD330" s="106" t="s">
        <v>13</v>
      </c>
      <c r="AE330" s="38" t="s">
        <v>410</v>
      </c>
    </row>
    <row r="331" spans="1:31" ht="18" customHeight="1" x14ac:dyDescent="0.25">
      <c r="A3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1" s="79">
        <v>4</v>
      </c>
      <c r="C331" s="23">
        <v>44496</v>
      </c>
      <c r="D331" s="67">
        <f>IF(COUNTIF($G$2:$G331,$G331)=1,1,0)</f>
        <v>0</v>
      </c>
      <c r="E331" s="67" t="str">
        <f>IFERROR(VLOOKUP(База_КР_КК[[#This Row],[ИД штатной должности (S)]],'уровень защищенности'!$B$7:$F$1095,5,0),"не защищена")</f>
        <v>высокий</v>
      </c>
      <c r="F331" s="68">
        <v>500380</v>
      </c>
      <c r="G331" s="74" t="s">
        <v>2238</v>
      </c>
      <c r="H331" s="181">
        <f>INDEX('Списки данных'!$D$2:$D$1048576,MATCH(База_КР_КК[[#This Row],[Структурное подразделение]],'Списки данных'!$C$2:$C$1048576,0))</f>
        <v>1</v>
      </c>
      <c r="I331" s="80" t="s">
        <v>132</v>
      </c>
      <c r="J331" s="80" t="s">
        <v>195</v>
      </c>
      <c r="K331" s="80" t="s">
        <v>21</v>
      </c>
      <c r="L331" s="30" t="s">
        <v>191</v>
      </c>
      <c r="M331" s="68">
        <v>6</v>
      </c>
      <c r="N331" s="181" t="str">
        <f t="shared" si="6"/>
        <v>нет</v>
      </c>
      <c r="O331" s="23"/>
      <c r="P331" s="23"/>
      <c r="Q331" s="106"/>
      <c r="R331" s="37">
        <v>81</v>
      </c>
      <c r="S331" s="38" t="s">
        <v>493</v>
      </c>
      <c r="T331" s="37">
        <v>1191</v>
      </c>
      <c r="U331" s="39" t="s">
        <v>1436</v>
      </c>
      <c r="V331" s="89" t="s">
        <v>272</v>
      </c>
      <c r="W331" s="89" t="s">
        <v>132</v>
      </c>
      <c r="X331" s="106" t="s">
        <v>297</v>
      </c>
      <c r="Y331" s="107" t="s">
        <v>12</v>
      </c>
      <c r="Z331" s="67">
        <f>IF(База_КР_КК[[#This Row],[Таб.номер резервиста]]="-","-",IF(OR(База_КР_КК[[#This Row],[Уровень КК]]=2,База_КР_КК[[#This Row],[Уровень КК]]=3),IF(COUNTIFS($U$2:$U331,$U331,$F$2:$F331,$F331)=1,1,0),IF(COUNTIFS($U$2:$U331,$U331,$L$2:$L331,$L331)=1,1,0)))</f>
        <v>0</v>
      </c>
      <c r="AA3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" s="106"/>
      <c r="AC331" s="51"/>
      <c r="AD331" s="106" t="s">
        <v>17</v>
      </c>
      <c r="AE331" s="33" t="s">
        <v>410</v>
      </c>
    </row>
    <row r="332" spans="1:31" ht="18" customHeight="1" x14ac:dyDescent="0.25">
      <c r="A3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2" s="79">
        <v>4</v>
      </c>
      <c r="C332" s="23">
        <v>44496</v>
      </c>
      <c r="D332" s="67">
        <f>IF(COUNTIF($G$2:$G332,$G332)=1,1,0)</f>
        <v>0</v>
      </c>
      <c r="E332" s="67" t="str">
        <f>IFERROR(VLOOKUP(База_КР_КК[[#This Row],[ИД штатной должности (S)]],'уровень защищенности'!$B$7:$F$1095,5,0),"не защищена")</f>
        <v>высокий</v>
      </c>
      <c r="F332" s="68">
        <v>500380</v>
      </c>
      <c r="G332" s="74" t="s">
        <v>2238</v>
      </c>
      <c r="H332" s="181">
        <f>INDEX('Списки данных'!$D$2:$D$1048576,MATCH(База_КР_КК[[#This Row],[Структурное подразделение]],'Списки данных'!$C$2:$C$1048576,0))</f>
        <v>1</v>
      </c>
      <c r="I332" s="80" t="s">
        <v>132</v>
      </c>
      <c r="J332" s="80" t="s">
        <v>195</v>
      </c>
      <c r="K332" s="80" t="s">
        <v>21</v>
      </c>
      <c r="L332" s="30" t="s">
        <v>191</v>
      </c>
      <c r="M332" s="68">
        <v>6</v>
      </c>
      <c r="N332" s="181" t="str">
        <f t="shared" si="6"/>
        <v>нет</v>
      </c>
      <c r="O332" s="23"/>
      <c r="P332" s="23"/>
      <c r="Q332" s="106"/>
      <c r="R332" s="37">
        <v>81</v>
      </c>
      <c r="S332" s="38" t="s">
        <v>493</v>
      </c>
      <c r="T332" s="37">
        <v>1192</v>
      </c>
      <c r="U332" s="39" t="s">
        <v>1598</v>
      </c>
      <c r="V332" s="89" t="s">
        <v>272</v>
      </c>
      <c r="W332" s="89" t="s">
        <v>132</v>
      </c>
      <c r="X332" s="106" t="s">
        <v>297</v>
      </c>
      <c r="Y332" s="107" t="s">
        <v>12</v>
      </c>
      <c r="Z332" s="67">
        <f>IF(База_КР_КК[[#This Row],[Таб.номер резервиста]]="-","-",IF(OR(База_КР_КК[[#This Row],[Уровень КК]]=2,База_КР_КК[[#This Row],[Уровень КК]]=3),IF(COUNTIFS($U$2:$U332,$U332,$F$2:$F332,$F332)=1,1,0),IF(COUNTIFS($U$2:$U332,$U332,$L$2:$L332,$L332)=1,1,0)))</f>
        <v>0</v>
      </c>
      <c r="AA3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" s="106"/>
      <c r="AC332" s="51"/>
      <c r="AD332" s="106" t="s">
        <v>17</v>
      </c>
      <c r="AE332" s="33" t="s">
        <v>410</v>
      </c>
    </row>
    <row r="333" spans="1:31" ht="18" customHeight="1" x14ac:dyDescent="0.25">
      <c r="A3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3" s="79">
        <v>4</v>
      </c>
      <c r="C333" s="23">
        <v>44496</v>
      </c>
      <c r="D333" s="67">
        <f>IF(COUNTIF($G$2:$G333,$G333)=1,1,0)</f>
        <v>0</v>
      </c>
      <c r="E333" s="67" t="str">
        <f>IFERROR(VLOOKUP(База_КР_КК[[#This Row],[ИД штатной должности (S)]],'уровень защищенности'!$B$7:$F$1095,5,0),"не защищена")</f>
        <v>высокий</v>
      </c>
      <c r="F333" s="68">
        <v>500380</v>
      </c>
      <c r="G333" s="74" t="s">
        <v>2238</v>
      </c>
      <c r="H333" s="181">
        <f>INDEX('Списки данных'!$D$2:$D$1048576,MATCH(База_КР_КК[[#This Row],[Структурное подразделение]],'Списки данных'!$C$2:$C$1048576,0))</f>
        <v>1</v>
      </c>
      <c r="I333" s="80" t="s">
        <v>132</v>
      </c>
      <c r="J333" s="80" t="s">
        <v>195</v>
      </c>
      <c r="K333" s="80" t="s">
        <v>21</v>
      </c>
      <c r="L333" s="30" t="s">
        <v>191</v>
      </c>
      <c r="M333" s="68">
        <v>6</v>
      </c>
      <c r="N333" s="181" t="str">
        <f t="shared" si="6"/>
        <v>нет</v>
      </c>
      <c r="O333" s="23"/>
      <c r="P333" s="23"/>
      <c r="Q333" s="106"/>
      <c r="R333" s="37">
        <v>81</v>
      </c>
      <c r="S333" s="38" t="s">
        <v>493</v>
      </c>
      <c r="T333" s="37">
        <v>1193</v>
      </c>
      <c r="U333" s="39" t="s">
        <v>1599</v>
      </c>
      <c r="V333" s="89" t="s">
        <v>272</v>
      </c>
      <c r="W333" s="89" t="s">
        <v>132</v>
      </c>
      <c r="X333" s="106" t="s">
        <v>297</v>
      </c>
      <c r="Y333" s="107" t="s">
        <v>12</v>
      </c>
      <c r="Z333" s="67">
        <f>IF(База_КР_КК[[#This Row],[Таб.номер резервиста]]="-","-",IF(OR(База_КР_КК[[#This Row],[Уровень КК]]=2,База_КР_КК[[#This Row],[Уровень КК]]=3),IF(COUNTIFS($U$2:$U333,$U333,$F$2:$F333,$F333)=1,1,0),IF(COUNTIFS($U$2:$U333,$U333,$L$2:$L333,$L333)=1,1,0)))</f>
        <v>0</v>
      </c>
      <c r="AA3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" s="106"/>
      <c r="AC333" s="51"/>
      <c r="AD333" s="106" t="s">
        <v>17</v>
      </c>
      <c r="AE333" s="33" t="s">
        <v>410</v>
      </c>
    </row>
    <row r="334" spans="1:31" ht="18" customHeight="1" x14ac:dyDescent="0.25">
      <c r="A3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4" s="79">
        <v>4</v>
      </c>
      <c r="C334" s="23">
        <v>43783</v>
      </c>
      <c r="D334" s="67">
        <f>IF(COUNTIF($G$2:$G334,$G334)=1,1,0)</f>
        <v>1</v>
      </c>
      <c r="E334" s="67" t="str">
        <f>IFERROR(VLOOKUP(База_КР_КК[[#This Row],[ИД штатной должности (S)]],'уровень защищенности'!$B$7:$F$1095,5,0),"не защищена")</f>
        <v>высокий</v>
      </c>
      <c r="F334" s="68">
        <v>500380</v>
      </c>
      <c r="G334" s="74" t="s">
        <v>2239</v>
      </c>
      <c r="H334" s="181">
        <f>INDEX('Списки данных'!$D$2:$D$1048576,MATCH(База_КР_КК[[#This Row],[Структурное подразделение]],'Списки данных'!$C$2:$C$1048576,0))</f>
        <v>1</v>
      </c>
      <c r="I334" s="80" t="s">
        <v>132</v>
      </c>
      <c r="J334" s="80" t="s">
        <v>195</v>
      </c>
      <c r="K334" s="80" t="s">
        <v>21</v>
      </c>
      <c r="L334" s="30" t="s">
        <v>191</v>
      </c>
      <c r="M334" s="68">
        <v>6</v>
      </c>
      <c r="N334" s="181" t="str">
        <f t="shared" si="6"/>
        <v>нет</v>
      </c>
      <c r="O334" s="23"/>
      <c r="P334" s="23"/>
      <c r="Q334" s="106"/>
      <c r="R334" s="37">
        <v>82</v>
      </c>
      <c r="S334" s="38" t="s">
        <v>494</v>
      </c>
      <c r="T334" s="37">
        <v>1190</v>
      </c>
      <c r="U334" s="39" t="s">
        <v>1597</v>
      </c>
      <c r="V334" s="89" t="s">
        <v>272</v>
      </c>
      <c r="W334" s="89" t="s">
        <v>132</v>
      </c>
      <c r="X334" s="106" t="s">
        <v>295</v>
      </c>
      <c r="Y334" s="107" t="s">
        <v>12</v>
      </c>
      <c r="Z334" s="67">
        <f>IF(База_КР_КК[[#This Row],[Таб.номер резервиста]]="-","-",IF(OR(База_КР_КК[[#This Row],[Уровень КК]]=2,База_КР_КК[[#This Row],[Уровень КК]]=3),IF(COUNTIFS($U$2:$U334,$U334,$F$2:$F334,$F334)=1,1,0),IF(COUNTIFS($U$2:$U334,$U334,$L$2:$L334,$L334)=1,1,0)))</f>
        <v>0</v>
      </c>
      <c r="AA3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" s="106"/>
      <c r="AC334" s="51"/>
      <c r="AD334" s="106" t="s">
        <v>13</v>
      </c>
      <c r="AE334" s="38" t="s">
        <v>410</v>
      </c>
    </row>
    <row r="335" spans="1:31" ht="18" customHeight="1" x14ac:dyDescent="0.25">
      <c r="A3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5" s="79">
        <v>4</v>
      </c>
      <c r="C335" s="23">
        <v>44496</v>
      </c>
      <c r="D335" s="67">
        <f>IF(COUNTIF($G$2:$G335,$G335)=1,1,0)</f>
        <v>0</v>
      </c>
      <c r="E335" s="67" t="str">
        <f>IFERROR(VLOOKUP(База_КР_КК[[#This Row],[ИД штатной должности (S)]],'уровень защищенности'!$B$7:$F$1095,5,0),"не защищена")</f>
        <v>высокий</v>
      </c>
      <c r="F335" s="68">
        <v>500380</v>
      </c>
      <c r="G335" s="74" t="s">
        <v>2239</v>
      </c>
      <c r="H335" s="181">
        <f>INDEX('Списки данных'!$D$2:$D$1048576,MATCH(База_КР_КК[[#This Row],[Структурное подразделение]],'Списки данных'!$C$2:$C$1048576,0))</f>
        <v>1</v>
      </c>
      <c r="I335" s="80" t="s">
        <v>132</v>
      </c>
      <c r="J335" s="80" t="s">
        <v>195</v>
      </c>
      <c r="K335" s="80" t="s">
        <v>21</v>
      </c>
      <c r="L335" s="30" t="s">
        <v>191</v>
      </c>
      <c r="M335" s="68">
        <v>6</v>
      </c>
      <c r="N335" s="181" t="str">
        <f t="shared" si="6"/>
        <v>нет</v>
      </c>
      <c r="O335" s="23"/>
      <c r="P335" s="23"/>
      <c r="Q335" s="106"/>
      <c r="R335" s="37">
        <v>82</v>
      </c>
      <c r="S335" s="38" t="s">
        <v>494</v>
      </c>
      <c r="T335" s="37">
        <v>1191</v>
      </c>
      <c r="U335" s="39" t="s">
        <v>1436</v>
      </c>
      <c r="V335" s="89" t="s">
        <v>272</v>
      </c>
      <c r="W335" s="89" t="s">
        <v>132</v>
      </c>
      <c r="X335" s="106" t="s">
        <v>297</v>
      </c>
      <c r="Y335" s="107" t="s">
        <v>12</v>
      </c>
      <c r="Z335" s="67">
        <f>IF(База_КР_КК[[#This Row],[Таб.номер резервиста]]="-","-",IF(OR(База_КР_КК[[#This Row],[Уровень КК]]=2,База_КР_КК[[#This Row],[Уровень КК]]=3),IF(COUNTIFS($U$2:$U335,$U335,$F$2:$F335,$F335)=1,1,0),IF(COUNTIFS($U$2:$U335,$U335,$L$2:$L335,$L335)=1,1,0)))</f>
        <v>0</v>
      </c>
      <c r="AA3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" s="106"/>
      <c r="AC335" s="51"/>
      <c r="AD335" s="106" t="s">
        <v>17</v>
      </c>
      <c r="AE335" s="33" t="s">
        <v>410</v>
      </c>
    </row>
    <row r="336" spans="1:31" ht="18" customHeight="1" x14ac:dyDescent="0.25">
      <c r="A3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6" s="79">
        <v>4</v>
      </c>
      <c r="C336" s="23">
        <v>44496</v>
      </c>
      <c r="D336" s="67">
        <f>IF(COUNTIF($G$2:$G336,$G336)=1,1,0)</f>
        <v>0</v>
      </c>
      <c r="E336" s="67" t="str">
        <f>IFERROR(VLOOKUP(База_КР_КК[[#This Row],[ИД штатной должности (S)]],'уровень защищенности'!$B$7:$F$1095,5,0),"не защищена")</f>
        <v>высокий</v>
      </c>
      <c r="F336" s="68">
        <v>500380</v>
      </c>
      <c r="G336" s="74" t="s">
        <v>2239</v>
      </c>
      <c r="H336" s="181">
        <f>INDEX('Списки данных'!$D$2:$D$1048576,MATCH(База_КР_КК[[#This Row],[Структурное подразделение]],'Списки данных'!$C$2:$C$1048576,0))</f>
        <v>1</v>
      </c>
      <c r="I336" s="80" t="s">
        <v>132</v>
      </c>
      <c r="J336" s="80" t="s">
        <v>195</v>
      </c>
      <c r="K336" s="80" t="s">
        <v>21</v>
      </c>
      <c r="L336" s="30" t="s">
        <v>191</v>
      </c>
      <c r="M336" s="68">
        <v>6</v>
      </c>
      <c r="N336" s="181" t="str">
        <f t="shared" si="6"/>
        <v>нет</v>
      </c>
      <c r="O336" s="23"/>
      <c r="P336" s="23"/>
      <c r="Q336" s="106"/>
      <c r="R336" s="37">
        <v>82</v>
      </c>
      <c r="S336" s="38" t="s">
        <v>494</v>
      </c>
      <c r="T336" s="37">
        <v>1192</v>
      </c>
      <c r="U336" s="39" t="s">
        <v>1598</v>
      </c>
      <c r="V336" s="89" t="s">
        <v>272</v>
      </c>
      <c r="W336" s="89" t="s">
        <v>132</v>
      </c>
      <c r="X336" s="106" t="s">
        <v>297</v>
      </c>
      <c r="Y336" s="107" t="s">
        <v>12</v>
      </c>
      <c r="Z336" s="67">
        <f>IF(База_КР_КК[[#This Row],[Таб.номер резервиста]]="-","-",IF(OR(База_КР_КК[[#This Row],[Уровень КК]]=2,База_КР_КК[[#This Row],[Уровень КК]]=3),IF(COUNTIFS($U$2:$U336,$U336,$F$2:$F336,$F336)=1,1,0),IF(COUNTIFS($U$2:$U336,$U336,$L$2:$L336,$L336)=1,1,0)))</f>
        <v>0</v>
      </c>
      <c r="AA3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" s="106"/>
      <c r="AC336" s="51"/>
      <c r="AD336" s="106" t="s">
        <v>17</v>
      </c>
      <c r="AE336" s="33" t="s">
        <v>410</v>
      </c>
    </row>
    <row r="337" spans="1:31" ht="18" customHeight="1" x14ac:dyDescent="0.25">
      <c r="A3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7" s="79">
        <v>4</v>
      </c>
      <c r="C337" s="23">
        <v>44496</v>
      </c>
      <c r="D337" s="67">
        <f>IF(COUNTIF($G$2:$G337,$G337)=1,1,0)</f>
        <v>0</v>
      </c>
      <c r="E337" s="67" t="str">
        <f>IFERROR(VLOOKUP(База_КР_КК[[#This Row],[ИД штатной должности (S)]],'уровень защищенности'!$B$7:$F$1095,5,0),"не защищена")</f>
        <v>высокий</v>
      </c>
      <c r="F337" s="68">
        <v>500380</v>
      </c>
      <c r="G337" s="74" t="s">
        <v>2239</v>
      </c>
      <c r="H337" s="181">
        <f>INDEX('Списки данных'!$D$2:$D$1048576,MATCH(База_КР_КК[[#This Row],[Структурное подразделение]],'Списки данных'!$C$2:$C$1048576,0))</f>
        <v>1</v>
      </c>
      <c r="I337" s="80" t="s">
        <v>132</v>
      </c>
      <c r="J337" s="80" t="s">
        <v>195</v>
      </c>
      <c r="K337" s="80" t="s">
        <v>21</v>
      </c>
      <c r="L337" s="30" t="s">
        <v>191</v>
      </c>
      <c r="M337" s="68">
        <v>6</v>
      </c>
      <c r="N337" s="181" t="str">
        <f t="shared" si="6"/>
        <v>нет</v>
      </c>
      <c r="O337" s="23"/>
      <c r="P337" s="23"/>
      <c r="Q337" s="106"/>
      <c r="R337" s="37">
        <v>82</v>
      </c>
      <c r="S337" s="38" t="s">
        <v>494</v>
      </c>
      <c r="T337" s="37">
        <v>1193</v>
      </c>
      <c r="U337" s="39" t="s">
        <v>1599</v>
      </c>
      <c r="V337" s="89" t="s">
        <v>272</v>
      </c>
      <c r="W337" s="89" t="s">
        <v>132</v>
      </c>
      <c r="X337" s="106" t="s">
        <v>297</v>
      </c>
      <c r="Y337" s="107" t="s">
        <v>12</v>
      </c>
      <c r="Z337" s="67">
        <f>IF(База_КР_КК[[#This Row],[Таб.номер резервиста]]="-","-",IF(OR(База_КР_КК[[#This Row],[Уровень КК]]=2,База_КР_КК[[#This Row],[Уровень КК]]=3),IF(COUNTIFS($U$2:$U337,$U337,$F$2:$F337,$F337)=1,1,0),IF(COUNTIFS($U$2:$U337,$U337,$L$2:$L337,$L337)=1,1,0)))</f>
        <v>0</v>
      </c>
      <c r="AA3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" s="106"/>
      <c r="AC337" s="51"/>
      <c r="AD337" s="106" t="s">
        <v>17</v>
      </c>
      <c r="AE337" s="33" t="s">
        <v>410</v>
      </c>
    </row>
    <row r="338" spans="1:31" ht="18" customHeight="1" x14ac:dyDescent="0.25">
      <c r="A3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8" s="79">
        <v>4</v>
      </c>
      <c r="C338" s="23">
        <v>43783</v>
      </c>
      <c r="D338" s="67">
        <f>IF(COUNTIF($G$2:$G338,$G338)=1,1,0)</f>
        <v>1</v>
      </c>
      <c r="E338" s="67" t="str">
        <f>IFERROR(VLOOKUP(База_КР_КК[[#This Row],[ИД штатной должности (S)]],'уровень защищенности'!$B$7:$F$1095,5,0),"не защищена")</f>
        <v>высокий</v>
      </c>
      <c r="F338" s="68">
        <v>500380</v>
      </c>
      <c r="G338" s="74" t="s">
        <v>2240</v>
      </c>
      <c r="H338" s="181">
        <f>INDEX('Списки данных'!$D$2:$D$1048576,MATCH(База_КР_КК[[#This Row],[Структурное подразделение]],'Списки данных'!$C$2:$C$1048576,0))</f>
        <v>1</v>
      </c>
      <c r="I338" s="80" t="s">
        <v>132</v>
      </c>
      <c r="J338" s="80" t="s">
        <v>195</v>
      </c>
      <c r="K338" s="80" t="s">
        <v>21</v>
      </c>
      <c r="L338" s="30" t="s">
        <v>191</v>
      </c>
      <c r="M338" s="68">
        <v>6</v>
      </c>
      <c r="N338" s="181" t="str">
        <f t="shared" si="6"/>
        <v>да</v>
      </c>
      <c r="O338" s="23">
        <v>44824</v>
      </c>
      <c r="P338" s="23">
        <v>44867</v>
      </c>
      <c r="Q338" s="106" t="s">
        <v>66</v>
      </c>
      <c r="R338" s="37">
        <v>83</v>
      </c>
      <c r="S338" s="39" t="s">
        <v>495</v>
      </c>
      <c r="T338" s="37">
        <v>1190</v>
      </c>
      <c r="U338" s="39" t="s">
        <v>1597</v>
      </c>
      <c r="V338" s="89" t="s">
        <v>272</v>
      </c>
      <c r="W338" s="89" t="s">
        <v>132</v>
      </c>
      <c r="X338" s="106" t="s">
        <v>295</v>
      </c>
      <c r="Y338" s="107" t="s">
        <v>12</v>
      </c>
      <c r="Z338" s="67">
        <f>IF(База_КР_КК[[#This Row],[Таб.номер резервиста]]="-","-",IF(OR(База_КР_КК[[#This Row],[Уровень КК]]=2,База_КР_КК[[#This Row],[Уровень КК]]=3),IF(COUNTIFS($U$2:$U338,$U338,$F$2:$F338,$F338)=1,1,0),IF(COUNTIFS($U$2:$U338,$U338,$L$2:$L338,$L338)=1,1,0)))</f>
        <v>0</v>
      </c>
      <c r="AA3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" s="106"/>
      <c r="AC338" s="51"/>
      <c r="AD338" s="106" t="s">
        <v>13</v>
      </c>
      <c r="AE338" s="38" t="s">
        <v>410</v>
      </c>
    </row>
    <row r="339" spans="1:31" ht="18" customHeight="1" x14ac:dyDescent="0.25">
      <c r="A3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39" s="79">
        <v>4</v>
      </c>
      <c r="C339" s="23">
        <v>44496</v>
      </c>
      <c r="D339" s="67">
        <f>IF(COUNTIF($G$2:$G339,$G339)=1,1,0)</f>
        <v>0</v>
      </c>
      <c r="E339" s="67" t="str">
        <f>IFERROR(VLOOKUP(База_КР_КК[[#This Row],[ИД штатной должности (S)]],'уровень защищенности'!$B$7:$F$1095,5,0),"не защищена")</f>
        <v>высокий</v>
      </c>
      <c r="F339" s="68">
        <v>500380</v>
      </c>
      <c r="G339" s="74" t="s">
        <v>2240</v>
      </c>
      <c r="H339" s="181">
        <f>INDEX('Списки данных'!$D$2:$D$1048576,MATCH(База_КР_КК[[#This Row],[Структурное подразделение]],'Списки данных'!$C$2:$C$1048576,0))</f>
        <v>1</v>
      </c>
      <c r="I339" s="80" t="s">
        <v>132</v>
      </c>
      <c r="J339" s="80" t="s">
        <v>195</v>
      </c>
      <c r="K339" s="80" t="s">
        <v>21</v>
      </c>
      <c r="L339" s="30" t="s">
        <v>191</v>
      </c>
      <c r="M339" s="68">
        <v>6</v>
      </c>
      <c r="N339" s="181" t="str">
        <f t="shared" si="6"/>
        <v>да</v>
      </c>
      <c r="O339" s="23">
        <v>44824</v>
      </c>
      <c r="P339" s="23">
        <v>44867</v>
      </c>
      <c r="Q339" s="106" t="s">
        <v>66</v>
      </c>
      <c r="R339" s="37">
        <v>83</v>
      </c>
      <c r="S339" s="39" t="s">
        <v>495</v>
      </c>
      <c r="T339" s="37">
        <v>1191</v>
      </c>
      <c r="U339" s="39" t="s">
        <v>1436</v>
      </c>
      <c r="V339" s="89" t="s">
        <v>272</v>
      </c>
      <c r="W339" s="89" t="s">
        <v>132</v>
      </c>
      <c r="X339" s="106" t="s">
        <v>297</v>
      </c>
      <c r="Y339" s="107" t="s">
        <v>12</v>
      </c>
      <c r="Z339" s="67">
        <f>IF(База_КР_КК[[#This Row],[Таб.номер резервиста]]="-","-",IF(OR(База_КР_КК[[#This Row],[Уровень КК]]=2,База_КР_КК[[#This Row],[Уровень КК]]=3),IF(COUNTIFS($U$2:$U339,$U339,$F$2:$F339,$F339)=1,1,0),IF(COUNTIFS($U$2:$U339,$U339,$L$2:$L339,$L339)=1,1,0)))</f>
        <v>0</v>
      </c>
      <c r="AA3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" s="106"/>
      <c r="AC339" s="51"/>
      <c r="AD339" s="106" t="s">
        <v>17</v>
      </c>
      <c r="AE339" s="33" t="s">
        <v>410</v>
      </c>
    </row>
    <row r="340" spans="1:31" ht="18" customHeight="1" x14ac:dyDescent="0.25">
      <c r="A3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0" s="79">
        <v>4</v>
      </c>
      <c r="C340" s="23">
        <v>44496</v>
      </c>
      <c r="D340" s="67">
        <f>IF(COUNTIF($G$2:$G340,$G340)=1,1,0)</f>
        <v>0</v>
      </c>
      <c r="E340" s="67" t="str">
        <f>IFERROR(VLOOKUP(База_КР_КК[[#This Row],[ИД штатной должности (S)]],'уровень защищенности'!$B$7:$F$1095,5,0),"не защищена")</f>
        <v>высокий</v>
      </c>
      <c r="F340" s="68">
        <v>500380</v>
      </c>
      <c r="G340" s="74" t="s">
        <v>2240</v>
      </c>
      <c r="H340" s="181">
        <f>INDEX('Списки данных'!$D$2:$D$1048576,MATCH(База_КР_КК[[#This Row],[Структурное подразделение]],'Списки данных'!$C$2:$C$1048576,0))</f>
        <v>1</v>
      </c>
      <c r="I340" s="80" t="s">
        <v>132</v>
      </c>
      <c r="J340" s="80" t="s">
        <v>195</v>
      </c>
      <c r="K340" s="80" t="s">
        <v>21</v>
      </c>
      <c r="L340" s="30" t="s">
        <v>191</v>
      </c>
      <c r="M340" s="68">
        <v>6</v>
      </c>
      <c r="N340" s="181" t="str">
        <f t="shared" si="6"/>
        <v>да</v>
      </c>
      <c r="O340" s="23">
        <v>44824</v>
      </c>
      <c r="P340" s="23">
        <v>44867</v>
      </c>
      <c r="Q340" s="106" t="s">
        <v>66</v>
      </c>
      <c r="R340" s="37">
        <v>83</v>
      </c>
      <c r="S340" s="39" t="s">
        <v>495</v>
      </c>
      <c r="T340" s="37">
        <v>1192</v>
      </c>
      <c r="U340" s="39" t="s">
        <v>1598</v>
      </c>
      <c r="V340" s="89" t="s">
        <v>272</v>
      </c>
      <c r="W340" s="89" t="s">
        <v>132</v>
      </c>
      <c r="X340" s="106" t="s">
        <v>297</v>
      </c>
      <c r="Y340" s="107" t="s">
        <v>12</v>
      </c>
      <c r="Z340" s="67">
        <f>IF(База_КР_КК[[#This Row],[Таб.номер резервиста]]="-","-",IF(OR(База_КР_КК[[#This Row],[Уровень КК]]=2,База_КР_КК[[#This Row],[Уровень КК]]=3),IF(COUNTIFS($U$2:$U340,$U340,$F$2:$F340,$F340)=1,1,0),IF(COUNTIFS($U$2:$U340,$U340,$L$2:$L340,$L340)=1,1,0)))</f>
        <v>0</v>
      </c>
      <c r="AA3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" s="106"/>
      <c r="AC340" s="51"/>
      <c r="AD340" s="106" t="s">
        <v>17</v>
      </c>
      <c r="AE340" s="33" t="s">
        <v>410</v>
      </c>
    </row>
    <row r="341" spans="1:31" ht="18" customHeight="1" x14ac:dyDescent="0.25">
      <c r="A3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1" s="79">
        <v>4</v>
      </c>
      <c r="C341" s="23">
        <v>44496</v>
      </c>
      <c r="D341" s="67">
        <f>IF(COUNTIF($G$2:$G341,$G341)=1,1,0)</f>
        <v>0</v>
      </c>
      <c r="E341" s="67" t="str">
        <f>IFERROR(VLOOKUP(База_КР_КК[[#This Row],[ИД штатной должности (S)]],'уровень защищенности'!$B$7:$F$1095,5,0),"не защищена")</f>
        <v>высокий</v>
      </c>
      <c r="F341" s="68">
        <v>500380</v>
      </c>
      <c r="G341" s="74" t="s">
        <v>2240</v>
      </c>
      <c r="H341" s="181">
        <f>INDEX('Списки данных'!$D$2:$D$1048576,MATCH(База_КР_КК[[#This Row],[Структурное подразделение]],'Списки данных'!$C$2:$C$1048576,0))</f>
        <v>1</v>
      </c>
      <c r="I341" s="80" t="s">
        <v>132</v>
      </c>
      <c r="J341" s="80" t="s">
        <v>195</v>
      </c>
      <c r="K341" s="80" t="s">
        <v>21</v>
      </c>
      <c r="L341" s="30" t="s">
        <v>191</v>
      </c>
      <c r="M341" s="68">
        <v>6</v>
      </c>
      <c r="N341" s="181" t="str">
        <f t="shared" si="6"/>
        <v>да</v>
      </c>
      <c r="O341" s="23">
        <v>44824</v>
      </c>
      <c r="P341" s="23">
        <v>44867</v>
      </c>
      <c r="Q341" s="106" t="s">
        <v>66</v>
      </c>
      <c r="R341" s="37">
        <v>83</v>
      </c>
      <c r="S341" s="39" t="s">
        <v>495</v>
      </c>
      <c r="T341" s="37">
        <v>1193</v>
      </c>
      <c r="U341" s="39" t="s">
        <v>1599</v>
      </c>
      <c r="V341" s="89" t="s">
        <v>272</v>
      </c>
      <c r="W341" s="89" t="s">
        <v>132</v>
      </c>
      <c r="X341" s="106" t="s">
        <v>297</v>
      </c>
      <c r="Y341" s="107" t="s">
        <v>12</v>
      </c>
      <c r="Z341" s="67">
        <f>IF(База_КР_КК[[#This Row],[Таб.номер резервиста]]="-","-",IF(OR(База_КР_КК[[#This Row],[Уровень КК]]=2,База_КР_КК[[#This Row],[Уровень КК]]=3),IF(COUNTIFS($U$2:$U341,$U341,$F$2:$F341,$F341)=1,1,0),IF(COUNTIFS($U$2:$U341,$U341,$L$2:$L341,$L341)=1,1,0)))</f>
        <v>0</v>
      </c>
      <c r="AA3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" s="106"/>
      <c r="AC341" s="51"/>
      <c r="AD341" s="106" t="s">
        <v>17</v>
      </c>
      <c r="AE341" s="33" t="s">
        <v>410</v>
      </c>
    </row>
    <row r="342" spans="1:31" ht="18" customHeight="1" x14ac:dyDescent="0.25">
      <c r="A3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2" s="79">
        <v>4</v>
      </c>
      <c r="C342" s="23">
        <v>43783</v>
      </c>
      <c r="D342" s="67">
        <f>IF(COUNTIF($G$2:$G342,$G342)=1,1,0)</f>
        <v>0</v>
      </c>
      <c r="E342" s="67" t="str">
        <f>IFERROR(VLOOKUP(База_КР_КК[[#This Row],[ИД штатной должности (S)]],'уровень защищенности'!$B$7:$F$1095,5,0),"не защищена")</f>
        <v>высокий</v>
      </c>
      <c r="F342" s="68">
        <v>500380</v>
      </c>
      <c r="G342" s="74" t="s">
        <v>2240</v>
      </c>
      <c r="H342" s="181">
        <f>INDEX('Списки данных'!$D$2:$D$1048576,MATCH(База_КР_КК[[#This Row],[Структурное подразделение]],'Списки данных'!$C$2:$C$1048576,0))</f>
        <v>1</v>
      </c>
      <c r="I342" s="80" t="s">
        <v>132</v>
      </c>
      <c r="J342" s="80" t="s">
        <v>195</v>
      </c>
      <c r="K342" s="80" t="s">
        <v>21</v>
      </c>
      <c r="L342" s="30" t="s">
        <v>191</v>
      </c>
      <c r="M342" s="68">
        <v>6</v>
      </c>
      <c r="N342" s="181" t="str">
        <f t="shared" si="6"/>
        <v>да</v>
      </c>
      <c r="O342" s="23">
        <v>44824</v>
      </c>
      <c r="P342" s="23">
        <v>44867</v>
      </c>
      <c r="Q342" s="106" t="s">
        <v>66</v>
      </c>
      <c r="R342" s="37">
        <v>83</v>
      </c>
      <c r="S342" s="39" t="s">
        <v>495</v>
      </c>
      <c r="T342" s="37">
        <v>83</v>
      </c>
      <c r="U342" s="39" t="s">
        <v>495</v>
      </c>
      <c r="V342" s="89" t="s">
        <v>192</v>
      </c>
      <c r="W342" s="89" t="s">
        <v>132</v>
      </c>
      <c r="X342" s="106" t="s">
        <v>295</v>
      </c>
      <c r="Y342" s="107" t="s">
        <v>14</v>
      </c>
      <c r="Z342" s="67">
        <f>IF(База_КР_КК[[#This Row],[Таб.номер резервиста]]="-","-",IF(OR(База_КР_КК[[#This Row],[Уровень КК]]=2,База_КР_КК[[#This Row],[Уровень КК]]=3),IF(COUNTIFS($U$2:$U342,$U342,$F$2:$F342,$F342)=1,1,0),IF(COUNTIFS($U$2:$U342,$U342,$L$2:$L342,$L342)=1,1,0)))</f>
        <v>1</v>
      </c>
      <c r="AA3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42" s="106" t="s">
        <v>24</v>
      </c>
      <c r="AC342" s="51">
        <v>44867</v>
      </c>
      <c r="AD342" s="106" t="s">
        <v>13</v>
      </c>
      <c r="AE342" s="38" t="s">
        <v>315</v>
      </c>
    </row>
    <row r="343" spans="1:31" ht="18" customHeight="1" x14ac:dyDescent="0.25">
      <c r="A3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3" s="79">
        <v>4</v>
      </c>
      <c r="C343" s="23">
        <v>43783</v>
      </c>
      <c r="D343" s="67">
        <f>IF(COUNTIF($G$2:$G343,$G343)=1,1,0)</f>
        <v>1</v>
      </c>
      <c r="E343" s="67" t="str">
        <f>IFERROR(VLOOKUP(База_КР_КК[[#This Row],[ИД штатной должности (S)]],'уровень защищенности'!$B$7:$F$1095,5,0),"не защищена")</f>
        <v>высокий</v>
      </c>
      <c r="F343" s="68">
        <v>500381</v>
      </c>
      <c r="G343" s="74" t="s">
        <v>2241</v>
      </c>
      <c r="H343" s="181">
        <f>INDEX('Списки данных'!$D$2:$D$1048576,MATCH(База_КР_КК[[#This Row],[Структурное подразделение]],'Списки данных'!$C$2:$C$1048576,0))</f>
        <v>1</v>
      </c>
      <c r="I343" s="80" t="s">
        <v>132</v>
      </c>
      <c r="J343" s="80" t="s">
        <v>195</v>
      </c>
      <c r="K343" s="80" t="s">
        <v>21</v>
      </c>
      <c r="L343" s="30" t="s">
        <v>192</v>
      </c>
      <c r="M343" s="68">
        <v>7</v>
      </c>
      <c r="N343" s="181" t="str">
        <f t="shared" si="6"/>
        <v>нет</v>
      </c>
      <c r="O343" s="23"/>
      <c r="P343" s="23"/>
      <c r="Q343" s="106"/>
      <c r="R343" s="37">
        <v>84</v>
      </c>
      <c r="S343" s="38" t="s">
        <v>496</v>
      </c>
      <c r="T343" s="37">
        <v>1194</v>
      </c>
      <c r="U343" s="39" t="s">
        <v>1600</v>
      </c>
      <c r="V343" s="89" t="s">
        <v>272</v>
      </c>
      <c r="W343" s="89" t="s">
        <v>132</v>
      </c>
      <c r="X343" s="106" t="s">
        <v>295</v>
      </c>
      <c r="Y343" s="107" t="s">
        <v>12</v>
      </c>
      <c r="Z343" s="67">
        <f>IF(База_КР_КК[[#This Row],[Таб.номер резервиста]]="-","-",IF(OR(База_КР_КК[[#This Row],[Уровень КК]]=2,База_КР_КК[[#This Row],[Уровень КК]]=3),IF(COUNTIFS($U$2:$U343,$U343,$F$2:$F343,$F343)=1,1,0),IF(COUNTIFS($U$2:$U343,$U343,$L$2:$L343,$L343)=1,1,0)))</f>
        <v>1</v>
      </c>
      <c r="AA3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3" s="106"/>
      <c r="AC343" s="51"/>
      <c r="AD343" s="106" t="s">
        <v>13</v>
      </c>
      <c r="AE343" s="38" t="s">
        <v>410</v>
      </c>
    </row>
    <row r="344" spans="1:31" ht="18" customHeight="1" x14ac:dyDescent="0.25">
      <c r="A3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4" s="79">
        <v>4</v>
      </c>
      <c r="C344" s="23">
        <v>43783</v>
      </c>
      <c r="D344" s="67">
        <f>IF(COUNTIF($G$2:$G344,$G344)=1,1,0)</f>
        <v>1</v>
      </c>
      <c r="E344" s="67" t="str">
        <f>IFERROR(VLOOKUP(База_КР_КК[[#This Row],[ИД штатной должности (S)]],'уровень защищенности'!$B$7:$F$1095,5,0),"не защищена")</f>
        <v>высокий</v>
      </c>
      <c r="F344" s="68">
        <v>500382</v>
      </c>
      <c r="G344" s="74" t="s">
        <v>2242</v>
      </c>
      <c r="H344" s="181">
        <f>INDEX('Списки данных'!$D$2:$D$1048576,MATCH(База_КР_КК[[#This Row],[Структурное подразделение]],'Списки данных'!$C$2:$C$1048576,0))</f>
        <v>1</v>
      </c>
      <c r="I344" s="80" t="s">
        <v>132</v>
      </c>
      <c r="J344" s="80" t="s">
        <v>195</v>
      </c>
      <c r="K344" s="80" t="s">
        <v>21</v>
      </c>
      <c r="L344" s="30" t="s">
        <v>192</v>
      </c>
      <c r="M344" s="68">
        <v>7</v>
      </c>
      <c r="N344" s="181" t="str">
        <f t="shared" si="6"/>
        <v>нет</v>
      </c>
      <c r="O344" s="23"/>
      <c r="P344" s="23"/>
      <c r="Q344" s="106"/>
      <c r="R344" s="37">
        <v>85</v>
      </c>
      <c r="S344" s="38" t="s">
        <v>497</v>
      </c>
      <c r="T344" s="37">
        <v>1194</v>
      </c>
      <c r="U344" s="39" t="s">
        <v>1600</v>
      </c>
      <c r="V344" s="89" t="s">
        <v>272</v>
      </c>
      <c r="W344" s="89" t="s">
        <v>132</v>
      </c>
      <c r="X344" s="106" t="s">
        <v>295</v>
      </c>
      <c r="Y344" s="107" t="s">
        <v>12</v>
      </c>
      <c r="Z344" s="67">
        <f>IF(База_КР_КК[[#This Row],[Таб.номер резервиста]]="-","-",IF(OR(База_КР_КК[[#This Row],[Уровень КК]]=2,База_КР_КК[[#This Row],[Уровень КК]]=3),IF(COUNTIFS($U$2:$U344,$U344,$F$2:$F344,$F344)=1,1,0),IF(COUNTIFS($U$2:$U344,$U344,$L$2:$L344,$L344)=1,1,0)))</f>
        <v>0</v>
      </c>
      <c r="AA3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" s="106"/>
      <c r="AC344" s="51"/>
      <c r="AD344" s="106" t="s">
        <v>13</v>
      </c>
      <c r="AE344" s="38" t="s">
        <v>410</v>
      </c>
    </row>
    <row r="345" spans="1:31" ht="18" customHeight="1" x14ac:dyDescent="0.25">
      <c r="A3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5" s="79">
        <v>4</v>
      </c>
      <c r="C345" s="23">
        <v>43783</v>
      </c>
      <c r="D345" s="67">
        <f>IF(COUNTIF($G$2:$G345,$G345)=1,1,0)</f>
        <v>1</v>
      </c>
      <c r="E345" s="67" t="str">
        <f>IFERROR(VLOOKUP(База_КР_КК[[#This Row],[ИД штатной должности (S)]],'уровень защищенности'!$B$7:$F$1095,5,0),"не защищена")</f>
        <v>высокий</v>
      </c>
      <c r="F345" s="68">
        <v>500383</v>
      </c>
      <c r="G345" s="74" t="s">
        <v>2243</v>
      </c>
      <c r="H345" s="181">
        <f>INDEX('Списки данных'!$D$2:$D$1048576,MATCH(База_КР_КК[[#This Row],[Структурное подразделение]],'Списки данных'!$C$2:$C$1048576,0))</f>
        <v>1</v>
      </c>
      <c r="I345" s="80" t="s">
        <v>132</v>
      </c>
      <c r="J345" s="80" t="s">
        <v>195</v>
      </c>
      <c r="K345" s="80" t="s">
        <v>21</v>
      </c>
      <c r="L345" s="30" t="s">
        <v>192</v>
      </c>
      <c r="M345" s="68">
        <v>7</v>
      </c>
      <c r="N345" s="181" t="str">
        <f t="shared" si="6"/>
        <v>нет</v>
      </c>
      <c r="O345" s="23"/>
      <c r="P345" s="23"/>
      <c r="Q345" s="106"/>
      <c r="R345" s="37">
        <v>86</v>
      </c>
      <c r="S345" s="38" t="s">
        <v>498</v>
      </c>
      <c r="T345" s="37">
        <v>1195</v>
      </c>
      <c r="U345" s="39" t="s">
        <v>1601</v>
      </c>
      <c r="V345" s="89" t="s">
        <v>272</v>
      </c>
      <c r="W345" s="89" t="s">
        <v>132</v>
      </c>
      <c r="X345" s="106" t="s">
        <v>295</v>
      </c>
      <c r="Y345" s="107" t="s">
        <v>12</v>
      </c>
      <c r="Z345" s="67">
        <f>IF(База_КР_КК[[#This Row],[Таб.номер резервиста]]="-","-",IF(OR(База_КР_КК[[#This Row],[Уровень КК]]=2,База_КР_КК[[#This Row],[Уровень КК]]=3),IF(COUNTIFS($U$2:$U345,$U345,$F$2:$F345,$F345)=1,1,0),IF(COUNTIFS($U$2:$U345,$U345,$L$2:$L345,$L345)=1,1,0)))</f>
        <v>1</v>
      </c>
      <c r="AA3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" s="106"/>
      <c r="AC345" s="51"/>
      <c r="AD345" s="106" t="s">
        <v>13</v>
      </c>
      <c r="AE345" s="38" t="s">
        <v>410</v>
      </c>
    </row>
    <row r="346" spans="1:31" ht="18" customHeight="1" x14ac:dyDescent="0.25">
      <c r="A3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6" s="79">
        <v>4</v>
      </c>
      <c r="C346" s="23">
        <v>44113</v>
      </c>
      <c r="D346" s="67">
        <f>IF(COUNTIF($G$2:$G346,$G346)=1,1,0)</f>
        <v>1</v>
      </c>
      <c r="E346" s="67" t="str">
        <f>IFERROR(VLOOKUP(База_КР_КК[[#This Row],[ИД штатной должности (S)]],'уровень защищенности'!$B$7:$F$1095,5,0),"не защищена")</f>
        <v>высокий</v>
      </c>
      <c r="F346" s="68">
        <v>500384</v>
      </c>
      <c r="G346" s="74" t="s">
        <v>2244</v>
      </c>
      <c r="H346" s="181">
        <f>INDEX('Списки данных'!$D$2:$D$1048576,MATCH(База_КР_КК[[#This Row],[Структурное подразделение]],'Списки данных'!$C$2:$C$1048576,0))</f>
        <v>1</v>
      </c>
      <c r="I346" s="80" t="s">
        <v>132</v>
      </c>
      <c r="J346" s="80" t="s">
        <v>195</v>
      </c>
      <c r="K346" s="80" t="s">
        <v>21</v>
      </c>
      <c r="L346" s="30" t="s">
        <v>192</v>
      </c>
      <c r="M346" s="68">
        <v>7</v>
      </c>
      <c r="N346" s="181" t="str">
        <f t="shared" si="6"/>
        <v>нет</v>
      </c>
      <c r="O346" s="23"/>
      <c r="P346" s="23"/>
      <c r="Q346" s="106"/>
      <c r="R346" s="37">
        <v>87</v>
      </c>
      <c r="S346" s="38" t="s">
        <v>499</v>
      </c>
      <c r="T346" s="37">
        <v>1196</v>
      </c>
      <c r="U346" s="39" t="s">
        <v>1602</v>
      </c>
      <c r="V346" s="69" t="s">
        <v>16</v>
      </c>
      <c r="W346" s="89" t="s">
        <v>132</v>
      </c>
      <c r="X346" s="106" t="s">
        <v>295</v>
      </c>
      <c r="Y346" s="107" t="s">
        <v>12</v>
      </c>
      <c r="Z346" s="67">
        <f>IF(База_КР_КК[[#This Row],[Таб.номер резервиста]]="-","-",IF(OR(База_КР_КК[[#This Row],[Уровень КК]]=2,База_КР_КК[[#This Row],[Уровень КК]]=3),IF(COUNTIFS($U$2:$U346,$U346,$F$2:$F346,$F346)=1,1,0),IF(COUNTIFS($U$2:$U346,$U346,$L$2:$L346,$L346)=1,1,0)))</f>
        <v>1</v>
      </c>
      <c r="AA3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" s="106"/>
      <c r="AC346" s="51"/>
      <c r="AD346" s="106" t="s">
        <v>13</v>
      </c>
      <c r="AE346" s="38" t="s">
        <v>410</v>
      </c>
    </row>
    <row r="347" spans="1:31" ht="18" customHeight="1" x14ac:dyDescent="0.25">
      <c r="A3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7" s="79">
        <v>4</v>
      </c>
      <c r="C347" s="23">
        <v>44496</v>
      </c>
      <c r="D347" s="67">
        <f>IF(COUNTIF($G$2:$G347,$G347)=1,1,0)</f>
        <v>0</v>
      </c>
      <c r="E347" s="67" t="str">
        <f>IFERROR(VLOOKUP(База_КР_КК[[#This Row],[ИД штатной должности (S)]],'уровень защищенности'!$B$7:$F$1095,5,0),"не защищена")</f>
        <v>высокий</v>
      </c>
      <c r="F347" s="68">
        <v>500384</v>
      </c>
      <c r="G347" s="74" t="s">
        <v>2244</v>
      </c>
      <c r="H347" s="181">
        <f>INDEX('Списки данных'!$D$2:$D$1048576,MATCH(База_КР_КК[[#This Row],[Структурное подразделение]],'Списки данных'!$C$2:$C$1048576,0))</f>
        <v>1</v>
      </c>
      <c r="I347" s="80" t="s">
        <v>132</v>
      </c>
      <c r="J347" s="80" t="s">
        <v>195</v>
      </c>
      <c r="K347" s="80" t="s">
        <v>21</v>
      </c>
      <c r="L347" s="30" t="s">
        <v>192</v>
      </c>
      <c r="M347" s="68">
        <v>7</v>
      </c>
      <c r="N347" s="181" t="str">
        <f t="shared" si="6"/>
        <v>нет</v>
      </c>
      <c r="O347" s="23"/>
      <c r="P347" s="23"/>
      <c r="Q347" s="106"/>
      <c r="R347" s="37">
        <v>87</v>
      </c>
      <c r="S347" s="38" t="s">
        <v>499</v>
      </c>
      <c r="T347" s="37">
        <v>1197</v>
      </c>
      <c r="U347" s="39" t="s">
        <v>1603</v>
      </c>
      <c r="V347" s="86" t="s">
        <v>272</v>
      </c>
      <c r="W347" s="89" t="s">
        <v>132</v>
      </c>
      <c r="X347" s="106" t="s">
        <v>296</v>
      </c>
      <c r="Y347" s="107" t="s">
        <v>12</v>
      </c>
      <c r="Z347" s="67">
        <f>IF(База_КР_КК[[#This Row],[Таб.номер резервиста]]="-","-",IF(OR(База_КР_КК[[#This Row],[Уровень КК]]=2,База_КР_КК[[#This Row],[Уровень КК]]=3),IF(COUNTIFS($U$2:$U347,$U347,$F$2:$F347,$F347)=1,1,0),IF(COUNTIFS($U$2:$U347,$U347,$L$2:$L347,$L347)=1,1,0)))</f>
        <v>1</v>
      </c>
      <c r="AA3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" s="106"/>
      <c r="AC347" s="51"/>
      <c r="AD347" s="106" t="s">
        <v>15</v>
      </c>
      <c r="AE347" s="38" t="s">
        <v>316</v>
      </c>
    </row>
    <row r="348" spans="1:31" ht="18" customHeight="1" x14ac:dyDescent="0.25">
      <c r="A3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8" s="79">
        <v>4</v>
      </c>
      <c r="C348" s="23">
        <v>44125</v>
      </c>
      <c r="D348" s="67">
        <f>IF(COUNTIF($G$2:$G348,$G348)=1,1,0)</f>
        <v>1</v>
      </c>
      <c r="E348" s="67" t="str">
        <f>IFERROR(VLOOKUP(База_КР_КК[[#This Row],[ИД штатной должности (S)]],'уровень защищенности'!$B$7:$F$1095,5,0),"не защищена")</f>
        <v>средний</v>
      </c>
      <c r="F348" s="68">
        <v>500044</v>
      </c>
      <c r="G348" s="74" t="s">
        <v>2245</v>
      </c>
      <c r="H348" s="181">
        <f>INDEX('Списки данных'!$D$2:$D$1048576,MATCH(База_КР_КК[[#This Row],[Структурное подразделение]],'Списки данных'!$C$2:$C$1048576,0))</f>
        <v>2</v>
      </c>
      <c r="I348" s="80" t="s">
        <v>133</v>
      </c>
      <c r="J348" s="80" t="s">
        <v>197</v>
      </c>
      <c r="K348" s="80" t="s">
        <v>21</v>
      </c>
      <c r="L348" s="30" t="s">
        <v>198</v>
      </c>
      <c r="M348" s="68">
        <v>6</v>
      </c>
      <c r="N348" s="181" t="str">
        <f t="shared" si="6"/>
        <v>да</v>
      </c>
      <c r="O348" s="23">
        <v>44075</v>
      </c>
      <c r="P348" s="23">
        <v>44075</v>
      </c>
      <c r="Q348" s="106" t="s">
        <v>66</v>
      </c>
      <c r="R348" s="37">
        <v>88</v>
      </c>
      <c r="S348" s="39" t="s">
        <v>500</v>
      </c>
      <c r="T348" s="37">
        <v>1198</v>
      </c>
      <c r="U348" s="38" t="s">
        <v>1604</v>
      </c>
      <c r="V348" s="69" t="s">
        <v>189</v>
      </c>
      <c r="W348" s="89" t="s">
        <v>133</v>
      </c>
      <c r="X348" s="106" t="s">
        <v>297</v>
      </c>
      <c r="Y348" s="107" t="s">
        <v>12</v>
      </c>
      <c r="Z348" s="67">
        <f>IF(База_КР_КК[[#This Row],[Таб.номер резервиста]]="-","-",IF(OR(База_КР_КК[[#This Row],[Уровень КК]]=2,База_КР_КК[[#This Row],[Уровень КК]]=3),IF(COUNTIFS($U$2:$U348,$U348,$F$2:$F348,$F348)=1,1,0),IF(COUNTIFS($U$2:$U348,$U348,$L$2:$L348,$L348)=1,1,0)))</f>
        <v>1</v>
      </c>
      <c r="AA3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" s="106"/>
      <c r="AC348" s="51"/>
      <c r="AD348" s="106" t="s">
        <v>17</v>
      </c>
      <c r="AE348" s="40" t="s">
        <v>411</v>
      </c>
    </row>
    <row r="349" spans="1:31" ht="18" customHeight="1" x14ac:dyDescent="0.25">
      <c r="A3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49" s="79">
        <v>4</v>
      </c>
      <c r="C349" s="23">
        <v>43791</v>
      </c>
      <c r="D349" s="67">
        <f>IF(COUNTIF($G$2:$G349,$G349)=1,1,0)</f>
        <v>0</v>
      </c>
      <c r="E349" s="67" t="str">
        <f>IFERROR(VLOOKUP(База_КР_КК[[#This Row],[ИД штатной должности (S)]],'уровень защищенности'!$B$7:$F$1095,5,0),"не защищена")</f>
        <v>средний</v>
      </c>
      <c r="F349" s="68">
        <v>500044</v>
      </c>
      <c r="G349" s="74" t="s">
        <v>2245</v>
      </c>
      <c r="H349" s="181">
        <f>INDEX('Списки данных'!$D$2:$D$1048576,MATCH(База_КР_КК[[#This Row],[Структурное подразделение]],'Списки данных'!$C$2:$C$1048576,0))</f>
        <v>2</v>
      </c>
      <c r="I349" s="80" t="s">
        <v>133</v>
      </c>
      <c r="J349" s="80" t="s">
        <v>197</v>
      </c>
      <c r="K349" s="80" t="s">
        <v>21</v>
      </c>
      <c r="L349" s="30" t="s">
        <v>198</v>
      </c>
      <c r="M349" s="68">
        <v>6</v>
      </c>
      <c r="N349" s="181" t="str">
        <f t="shared" si="6"/>
        <v>да</v>
      </c>
      <c r="O349" s="23">
        <v>44075</v>
      </c>
      <c r="P349" s="23">
        <v>44075</v>
      </c>
      <c r="Q349" s="106" t="s">
        <v>66</v>
      </c>
      <c r="R349" s="37">
        <v>88</v>
      </c>
      <c r="S349" s="39" t="s">
        <v>500</v>
      </c>
      <c r="T349" s="37">
        <v>1199</v>
      </c>
      <c r="U349" s="38" t="s">
        <v>1605</v>
      </c>
      <c r="V349" s="69" t="s">
        <v>272</v>
      </c>
      <c r="W349" s="89" t="s">
        <v>133</v>
      </c>
      <c r="X349" s="106" t="s">
        <v>297</v>
      </c>
      <c r="Y349" s="107" t="s">
        <v>12</v>
      </c>
      <c r="Z349" s="67">
        <f>IF(База_КР_КК[[#This Row],[Таб.номер резервиста]]="-","-",IF(OR(База_КР_КК[[#This Row],[Уровень КК]]=2,База_КР_КК[[#This Row],[Уровень КК]]=3),IF(COUNTIFS($U$2:$U349,$U349,$F$2:$F349,$F349)=1,1,0),IF(COUNTIFS($U$2:$U349,$U349,$L$2:$L349,$L349)=1,1,0)))</f>
        <v>1</v>
      </c>
      <c r="AA3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" s="106"/>
      <c r="AC349" s="51"/>
      <c r="AD349" s="106" t="s">
        <v>17</v>
      </c>
      <c r="AE349" s="40" t="s">
        <v>411</v>
      </c>
    </row>
    <row r="350" spans="1:31" ht="18" customHeight="1" x14ac:dyDescent="0.25">
      <c r="A3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0" s="79">
        <v>4</v>
      </c>
      <c r="C350" s="23">
        <v>43791</v>
      </c>
      <c r="D350" s="67">
        <f>IF(COUNTIF($G$2:$G350,$G350)=1,1,0)</f>
        <v>0</v>
      </c>
      <c r="E350" s="67" t="str">
        <f>IFERROR(VLOOKUP(База_КР_КК[[#This Row],[ИД штатной должности (S)]],'уровень защищенности'!$B$7:$F$1095,5,0),"не защищена")</f>
        <v>средний</v>
      </c>
      <c r="F350" s="68">
        <v>500044</v>
      </c>
      <c r="G350" s="74" t="s">
        <v>2245</v>
      </c>
      <c r="H350" s="181">
        <f>INDEX('Списки данных'!$D$2:$D$1048576,MATCH(База_КР_КК[[#This Row],[Структурное подразделение]],'Списки данных'!$C$2:$C$1048576,0))</f>
        <v>2</v>
      </c>
      <c r="I350" s="80" t="s">
        <v>133</v>
      </c>
      <c r="J350" s="80" t="s">
        <v>197</v>
      </c>
      <c r="K350" s="80" t="s">
        <v>21</v>
      </c>
      <c r="L350" s="30" t="s">
        <v>198</v>
      </c>
      <c r="M350" s="68">
        <v>6</v>
      </c>
      <c r="N350" s="181" t="str">
        <f t="shared" si="6"/>
        <v>да</v>
      </c>
      <c r="O350" s="23">
        <v>44075</v>
      </c>
      <c r="P350" s="23">
        <v>44075</v>
      </c>
      <c r="Q350" s="106" t="s">
        <v>66</v>
      </c>
      <c r="R350" s="37">
        <v>88</v>
      </c>
      <c r="S350" s="39" t="s">
        <v>500</v>
      </c>
      <c r="T350" s="37">
        <v>88</v>
      </c>
      <c r="U350" s="39" t="s">
        <v>500</v>
      </c>
      <c r="V350" s="89" t="s">
        <v>272</v>
      </c>
      <c r="W350" s="89" t="s">
        <v>133</v>
      </c>
      <c r="X350" s="106" t="s">
        <v>296</v>
      </c>
      <c r="Y350" s="107" t="s">
        <v>14</v>
      </c>
      <c r="Z350" s="67">
        <f>IF(База_КР_КК[[#This Row],[Таб.номер резервиста]]="-","-",IF(OR(База_КР_КК[[#This Row],[Уровень КК]]=2,База_КР_КК[[#This Row],[Уровень КК]]=3),IF(COUNTIFS($U$2:$U350,$U350,$F$2:$F350,$F350)=1,1,0),IF(COUNTIFS($U$2:$U350,$U350,$L$2:$L350,$L350)=1,1,0)))</f>
        <v>1</v>
      </c>
      <c r="AA3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50" s="106" t="s">
        <v>24</v>
      </c>
      <c r="AC350" s="51">
        <v>44075</v>
      </c>
      <c r="AD350" s="106" t="s">
        <v>15</v>
      </c>
      <c r="AE350" s="38" t="s">
        <v>317</v>
      </c>
    </row>
    <row r="351" spans="1:31" ht="18" customHeight="1" x14ac:dyDescent="0.25">
      <c r="A3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1" s="79">
        <v>4</v>
      </c>
      <c r="C351" s="23">
        <v>43791</v>
      </c>
      <c r="D351" s="67">
        <f>IF(COUNTIF($G$2:$G351,$G351)=1,1,0)</f>
        <v>1</v>
      </c>
      <c r="E351" s="67" t="str">
        <f>IFERROR(VLOOKUP(База_КР_КК[[#This Row],[ИД штатной должности (S)]],'уровень защищенности'!$B$7:$F$1095,5,0),"не защищена")</f>
        <v>средний</v>
      </c>
      <c r="F351" s="68">
        <v>500517</v>
      </c>
      <c r="G351" s="74" t="s">
        <v>2246</v>
      </c>
      <c r="H351" s="181">
        <f>INDEX('Списки данных'!$D$2:$D$1048576,MATCH(База_КР_КК[[#This Row],[Структурное подразделение]],'Списки данных'!$C$2:$C$1048576,0))</f>
        <v>2</v>
      </c>
      <c r="I351" s="80" t="s">
        <v>133</v>
      </c>
      <c r="J351" s="80" t="s">
        <v>197</v>
      </c>
      <c r="K351" s="80" t="s">
        <v>199</v>
      </c>
      <c r="L351" s="30" t="s">
        <v>191</v>
      </c>
      <c r="M351" s="68">
        <v>6</v>
      </c>
      <c r="N351" s="181" t="str">
        <f t="shared" si="6"/>
        <v>да</v>
      </c>
      <c r="O351" s="23">
        <v>44306</v>
      </c>
      <c r="P351" s="23">
        <v>44372</v>
      </c>
      <c r="Q351" s="106" t="s">
        <v>66</v>
      </c>
      <c r="R351" s="37">
        <v>89</v>
      </c>
      <c r="S351" s="39" t="s">
        <v>501</v>
      </c>
      <c r="T351" s="37">
        <v>1200</v>
      </c>
      <c r="U351" s="39" t="s">
        <v>1606</v>
      </c>
      <c r="V351" s="89" t="s">
        <v>272</v>
      </c>
      <c r="W351" s="89" t="s">
        <v>133</v>
      </c>
      <c r="X351" s="106" t="s">
        <v>296</v>
      </c>
      <c r="Y351" s="107" t="s">
        <v>12</v>
      </c>
      <c r="Z351" s="67">
        <f>IF(База_КР_КК[[#This Row],[Таб.номер резервиста]]="-","-",IF(OR(База_КР_КК[[#This Row],[Уровень КК]]=2,База_КР_КК[[#This Row],[Уровень КК]]=3),IF(COUNTIFS($U$2:$U351,$U351,$F$2:$F351,$F351)=1,1,0),IF(COUNTIFS($U$2:$U351,$U351,$L$2:$L351,$L351)=1,1,0)))</f>
        <v>1</v>
      </c>
      <c r="AA3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" s="106"/>
      <c r="AC351" s="51"/>
      <c r="AD351" s="106" t="s">
        <v>13</v>
      </c>
      <c r="AE351" s="38" t="s">
        <v>411</v>
      </c>
    </row>
    <row r="352" spans="1:31" ht="18" customHeight="1" x14ac:dyDescent="0.25">
      <c r="A3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2" s="79">
        <v>4</v>
      </c>
      <c r="C352" s="23">
        <v>44125</v>
      </c>
      <c r="D352" s="67">
        <f>IF(COUNTIF($G$2:$G352,$G352)=1,1,0)</f>
        <v>0</v>
      </c>
      <c r="E352" s="67" t="str">
        <f>IFERROR(VLOOKUP(База_КР_КК[[#This Row],[ИД штатной должности (S)]],'уровень защищенности'!$B$7:$F$1095,5,0),"не защищена")</f>
        <v>средний</v>
      </c>
      <c r="F352" s="68">
        <v>500517</v>
      </c>
      <c r="G352" s="74" t="s">
        <v>2246</v>
      </c>
      <c r="H352" s="181">
        <f>INDEX('Списки данных'!$D$2:$D$1048576,MATCH(База_КР_КК[[#This Row],[Структурное подразделение]],'Списки данных'!$C$2:$C$1048576,0))</f>
        <v>2</v>
      </c>
      <c r="I352" s="80" t="s">
        <v>133</v>
      </c>
      <c r="J352" s="80" t="s">
        <v>197</v>
      </c>
      <c r="K352" s="80" t="s">
        <v>199</v>
      </c>
      <c r="L352" s="30" t="s">
        <v>191</v>
      </c>
      <c r="M352" s="68">
        <v>6</v>
      </c>
      <c r="N352" s="181" t="str">
        <f t="shared" si="6"/>
        <v>да</v>
      </c>
      <c r="O352" s="23">
        <v>44306</v>
      </c>
      <c r="P352" s="23">
        <v>44372</v>
      </c>
      <c r="Q352" s="106" t="s">
        <v>66</v>
      </c>
      <c r="R352" s="37">
        <v>89</v>
      </c>
      <c r="S352" s="39" t="s">
        <v>501</v>
      </c>
      <c r="T352" s="37">
        <v>1201</v>
      </c>
      <c r="U352" s="38" t="s">
        <v>1607</v>
      </c>
      <c r="V352" s="69" t="s">
        <v>272</v>
      </c>
      <c r="W352" s="89" t="s">
        <v>133</v>
      </c>
      <c r="X352" s="106" t="s">
        <v>297</v>
      </c>
      <c r="Y352" s="107" t="s">
        <v>12</v>
      </c>
      <c r="Z352" s="67">
        <f>IF(База_КР_КК[[#This Row],[Таб.номер резервиста]]="-","-",IF(OR(База_КР_КК[[#This Row],[Уровень КК]]=2,База_КР_КК[[#This Row],[Уровень КК]]=3),IF(COUNTIFS($U$2:$U352,$U352,$F$2:$F352,$F352)=1,1,0),IF(COUNTIFS($U$2:$U352,$U352,$L$2:$L352,$L352)=1,1,0)))</f>
        <v>1</v>
      </c>
      <c r="AA3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" s="106"/>
      <c r="AC352" s="51"/>
      <c r="AD352" s="106" t="s">
        <v>17</v>
      </c>
      <c r="AE352" s="40" t="s">
        <v>411</v>
      </c>
    </row>
    <row r="353" spans="1:31" ht="18" customHeight="1" x14ac:dyDescent="0.25">
      <c r="A3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3" s="79">
        <v>4</v>
      </c>
      <c r="C353" s="23">
        <v>44125</v>
      </c>
      <c r="D353" s="67">
        <f>IF(COUNTIF($G$2:$G353,$G353)=1,1,0)</f>
        <v>0</v>
      </c>
      <c r="E353" s="67" t="str">
        <f>IFERROR(VLOOKUP(База_КР_КК[[#This Row],[ИД штатной должности (S)]],'уровень защищенности'!$B$7:$F$1095,5,0),"не защищена")</f>
        <v>средний</v>
      </c>
      <c r="F353" s="68">
        <v>500517</v>
      </c>
      <c r="G353" s="74" t="s">
        <v>2246</v>
      </c>
      <c r="H353" s="181">
        <f>INDEX('Списки данных'!$D$2:$D$1048576,MATCH(База_КР_КК[[#This Row],[Структурное подразделение]],'Списки данных'!$C$2:$C$1048576,0))</f>
        <v>2</v>
      </c>
      <c r="I353" s="80" t="s">
        <v>133</v>
      </c>
      <c r="J353" s="80" t="s">
        <v>197</v>
      </c>
      <c r="K353" s="80" t="s">
        <v>199</v>
      </c>
      <c r="L353" s="30" t="s">
        <v>191</v>
      </c>
      <c r="M353" s="68">
        <v>6</v>
      </c>
      <c r="N353" s="181" t="str">
        <f t="shared" si="6"/>
        <v>да</v>
      </c>
      <c r="O353" s="23">
        <v>44306</v>
      </c>
      <c r="P353" s="23">
        <v>44372</v>
      </c>
      <c r="Q353" s="106" t="s">
        <v>66</v>
      </c>
      <c r="R353" s="37">
        <v>89</v>
      </c>
      <c r="S353" s="39" t="s">
        <v>501</v>
      </c>
      <c r="T353" s="37">
        <v>1202</v>
      </c>
      <c r="U353" s="38" t="s">
        <v>1591</v>
      </c>
      <c r="V353" s="69" t="s">
        <v>272</v>
      </c>
      <c r="W353" s="89" t="s">
        <v>133</v>
      </c>
      <c r="X353" s="106" t="s">
        <v>297</v>
      </c>
      <c r="Y353" s="107" t="s">
        <v>12</v>
      </c>
      <c r="Z353" s="67">
        <f>IF(База_КР_КК[[#This Row],[Таб.номер резервиста]]="-","-",IF(OR(База_КР_КК[[#This Row],[Уровень КК]]=2,База_КР_КК[[#This Row],[Уровень КК]]=3),IF(COUNTIFS($U$2:$U353,$U353,$F$2:$F353,$F353)=1,1,0),IF(COUNTIFS($U$2:$U353,$U353,$L$2:$L353,$L353)=1,1,0)))</f>
        <v>0</v>
      </c>
      <c r="AA3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" s="106"/>
      <c r="AC353" s="51"/>
      <c r="AD353" s="106" t="s">
        <v>17</v>
      </c>
      <c r="AE353" s="40" t="s">
        <v>411</v>
      </c>
    </row>
    <row r="354" spans="1:31" ht="18" customHeight="1" x14ac:dyDescent="0.25">
      <c r="A3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4" s="79">
        <v>4</v>
      </c>
      <c r="C354" s="23">
        <v>44880</v>
      </c>
      <c r="D354" s="67">
        <f>IF(COUNTIF($G$2:$G354,$G354)=1,1,0)</f>
        <v>0</v>
      </c>
      <c r="E354" s="67" t="str">
        <f>IFERROR(VLOOKUP(База_КР_КК[[#This Row],[ИД штатной должности (S)]],'уровень защищенности'!$B$7:$F$1095,5,0),"не защищена")</f>
        <v>средний</v>
      </c>
      <c r="F354" s="68">
        <v>500517</v>
      </c>
      <c r="G354" s="74" t="s">
        <v>2246</v>
      </c>
      <c r="H354" s="181">
        <f>INDEX('Списки данных'!$D$2:$D$1048576,MATCH(База_КР_КК[[#This Row],[Структурное подразделение]],'Списки данных'!$C$2:$C$1048576,0))</f>
        <v>2</v>
      </c>
      <c r="I354" s="80" t="s">
        <v>133</v>
      </c>
      <c r="J354" s="80" t="s">
        <v>197</v>
      </c>
      <c r="K354" s="80" t="s">
        <v>199</v>
      </c>
      <c r="L354" s="30" t="s">
        <v>191</v>
      </c>
      <c r="M354" s="68">
        <v>6</v>
      </c>
      <c r="N354" s="181" t="str">
        <f t="shared" si="6"/>
        <v>да</v>
      </c>
      <c r="O354" s="23">
        <v>44306</v>
      </c>
      <c r="P354" s="23">
        <v>44372</v>
      </c>
      <c r="Q354" s="106" t="s">
        <v>66</v>
      </c>
      <c r="R354" s="37">
        <v>89</v>
      </c>
      <c r="S354" s="39" t="s">
        <v>501</v>
      </c>
      <c r="T354" s="37">
        <v>119</v>
      </c>
      <c r="U354" s="38" t="s">
        <v>531</v>
      </c>
      <c r="V354" s="69" t="s">
        <v>272</v>
      </c>
      <c r="W354" s="89" t="s">
        <v>133</v>
      </c>
      <c r="X354" s="106" t="s">
        <v>297</v>
      </c>
      <c r="Y354" s="107" t="s">
        <v>14</v>
      </c>
      <c r="Z354" s="67">
        <f>IF(База_КР_КК[[#This Row],[Таб.номер резервиста]]="-","-",IF(OR(База_КР_КК[[#This Row],[Уровень КК]]=2,База_КР_КК[[#This Row],[Уровень КК]]=3),IF(COUNTIFS($U$2:$U354,$U354,$F$2:$F354,$F354)=1,1,0),IF(COUNTIFS($U$2:$U354,$U354,$L$2:$L354,$L354)=1,1,0)))</f>
        <v>1</v>
      </c>
      <c r="AA3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" s="106" t="s">
        <v>24</v>
      </c>
      <c r="AC354" s="51">
        <v>45071</v>
      </c>
      <c r="AD354" s="106" t="s">
        <v>15</v>
      </c>
      <c r="AE354" s="40" t="s">
        <v>411</v>
      </c>
    </row>
    <row r="355" spans="1:31" ht="18" customHeight="1" x14ac:dyDescent="0.25">
      <c r="A3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5" s="79">
        <v>4</v>
      </c>
      <c r="C355" s="23">
        <v>44880</v>
      </c>
      <c r="D355" s="67">
        <f>IF(COUNTIF($G$2:$G355,$G355)=1,1,0)</f>
        <v>0</v>
      </c>
      <c r="E355" s="67" t="str">
        <f>IFERROR(VLOOKUP(База_КР_КК[[#This Row],[ИД штатной должности (S)]],'уровень защищенности'!$B$7:$F$1095,5,0),"не защищена")</f>
        <v>средний</v>
      </c>
      <c r="F355" s="68">
        <v>500517</v>
      </c>
      <c r="G355" s="74" t="s">
        <v>2246</v>
      </c>
      <c r="H355" s="181">
        <f>INDEX('Списки данных'!$D$2:$D$1048576,MATCH(База_КР_КК[[#This Row],[Структурное подразделение]],'Списки данных'!$C$2:$C$1048576,0))</f>
        <v>2</v>
      </c>
      <c r="I355" s="80" t="s">
        <v>133</v>
      </c>
      <c r="J355" s="80" t="s">
        <v>197</v>
      </c>
      <c r="K355" s="80" t="s">
        <v>199</v>
      </c>
      <c r="L355" s="30" t="s">
        <v>191</v>
      </c>
      <c r="M355" s="68">
        <v>6</v>
      </c>
      <c r="N355" s="181" t="str">
        <f t="shared" si="6"/>
        <v>да</v>
      </c>
      <c r="O355" s="23">
        <v>44306</v>
      </c>
      <c r="P355" s="23">
        <v>44372</v>
      </c>
      <c r="Q355" s="106" t="s">
        <v>66</v>
      </c>
      <c r="R355" s="37">
        <v>89</v>
      </c>
      <c r="S355" s="39" t="s">
        <v>501</v>
      </c>
      <c r="T355" s="37">
        <v>1203</v>
      </c>
      <c r="U355" s="38" t="s">
        <v>1608</v>
      </c>
      <c r="V355" s="69" t="s">
        <v>272</v>
      </c>
      <c r="W355" s="89" t="s">
        <v>133</v>
      </c>
      <c r="X355" s="106" t="s">
        <v>296</v>
      </c>
      <c r="Y355" s="107" t="s">
        <v>12</v>
      </c>
      <c r="Z355" s="67">
        <f>IF(База_КР_КК[[#This Row],[Таб.номер резервиста]]="-","-",IF(OR(База_КР_КК[[#This Row],[Уровень КК]]=2,База_КР_КК[[#This Row],[Уровень КК]]=3),IF(COUNTIFS($U$2:$U355,$U355,$F$2:$F355,$F355)=1,1,0),IF(COUNTIFS($U$2:$U355,$U355,$L$2:$L355,$L355)=1,1,0)))</f>
        <v>1</v>
      </c>
      <c r="AA3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5" s="106"/>
      <c r="AC355" s="51"/>
      <c r="AD355" s="106" t="s">
        <v>15</v>
      </c>
      <c r="AE355" s="40" t="s">
        <v>411</v>
      </c>
    </row>
    <row r="356" spans="1:31" ht="18" customHeight="1" x14ac:dyDescent="0.25">
      <c r="A3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6" s="79">
        <v>4</v>
      </c>
      <c r="C356" s="23">
        <v>44880</v>
      </c>
      <c r="D356" s="67">
        <f>IF(COUNTIF($G$2:$G356,$G356)=1,1,0)</f>
        <v>0</v>
      </c>
      <c r="E356" s="67" t="str">
        <f>IFERROR(VLOOKUP(База_КР_КК[[#This Row],[ИД штатной должности (S)]],'уровень защищенности'!$B$7:$F$1095,5,0),"не защищена")</f>
        <v>средний</v>
      </c>
      <c r="F356" s="68">
        <v>500517</v>
      </c>
      <c r="G356" s="74" t="s">
        <v>2246</v>
      </c>
      <c r="H356" s="181">
        <f>INDEX('Списки данных'!$D$2:$D$1048576,MATCH(База_КР_КК[[#This Row],[Структурное подразделение]],'Списки данных'!$C$2:$C$1048576,0))</f>
        <v>2</v>
      </c>
      <c r="I356" s="80" t="s">
        <v>133</v>
      </c>
      <c r="J356" s="80" t="s">
        <v>197</v>
      </c>
      <c r="K356" s="80" t="s">
        <v>199</v>
      </c>
      <c r="L356" s="30" t="s">
        <v>191</v>
      </c>
      <c r="M356" s="68">
        <v>6</v>
      </c>
      <c r="N356" s="181" t="str">
        <f t="shared" si="6"/>
        <v>да</v>
      </c>
      <c r="O356" s="23">
        <v>44306</v>
      </c>
      <c r="P356" s="23">
        <v>44372</v>
      </c>
      <c r="Q356" s="106" t="s">
        <v>66</v>
      </c>
      <c r="R356" s="37">
        <v>89</v>
      </c>
      <c r="S356" s="39" t="s">
        <v>501</v>
      </c>
      <c r="T356" s="37">
        <v>1204</v>
      </c>
      <c r="U356" s="38" t="s">
        <v>1609</v>
      </c>
      <c r="V356" s="69" t="s">
        <v>272</v>
      </c>
      <c r="W356" s="89" t="s">
        <v>133</v>
      </c>
      <c r="X356" s="106" t="s">
        <v>296</v>
      </c>
      <c r="Y356" s="107" t="s">
        <v>12</v>
      </c>
      <c r="Z356" s="67">
        <f>IF(База_КР_КК[[#This Row],[Таб.номер резервиста]]="-","-",IF(OR(База_КР_КК[[#This Row],[Уровень КК]]=2,База_КР_КК[[#This Row],[Уровень КК]]=3),IF(COUNTIFS($U$2:$U356,$U356,$F$2:$F356,$F356)=1,1,0),IF(COUNTIFS($U$2:$U356,$U356,$L$2:$L356,$L356)=1,1,0)))</f>
        <v>1</v>
      </c>
      <c r="AA3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" s="106"/>
      <c r="AC356" s="51"/>
      <c r="AD356" s="106" t="s">
        <v>15</v>
      </c>
      <c r="AE356" s="40" t="s">
        <v>411</v>
      </c>
    </row>
    <row r="357" spans="1:31" ht="18" customHeight="1" x14ac:dyDescent="0.25">
      <c r="A3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7" s="79">
        <v>4</v>
      </c>
      <c r="C357" s="23">
        <v>44880</v>
      </c>
      <c r="D357" s="67">
        <f>IF(COUNTIF($G$2:$G357,$G357)=1,1,0)</f>
        <v>0</v>
      </c>
      <c r="E357" s="67" t="str">
        <f>IFERROR(VLOOKUP(База_КР_КК[[#This Row],[ИД штатной должности (S)]],'уровень защищенности'!$B$7:$F$1095,5,0),"не защищена")</f>
        <v>средний</v>
      </c>
      <c r="F357" s="68">
        <v>500517</v>
      </c>
      <c r="G357" s="74" t="s">
        <v>2246</v>
      </c>
      <c r="H357" s="181">
        <f>INDEX('Списки данных'!$D$2:$D$1048576,MATCH(База_КР_КК[[#This Row],[Структурное подразделение]],'Списки данных'!$C$2:$C$1048576,0))</f>
        <v>2</v>
      </c>
      <c r="I357" s="80" t="s">
        <v>133</v>
      </c>
      <c r="J357" s="80" t="s">
        <v>197</v>
      </c>
      <c r="K357" s="80" t="s">
        <v>199</v>
      </c>
      <c r="L357" s="30" t="s">
        <v>191</v>
      </c>
      <c r="M357" s="68">
        <v>6</v>
      </c>
      <c r="N357" s="181" t="str">
        <f t="shared" si="6"/>
        <v>да</v>
      </c>
      <c r="O357" s="23">
        <v>44306</v>
      </c>
      <c r="P357" s="23">
        <v>44372</v>
      </c>
      <c r="Q357" s="106" t="s">
        <v>66</v>
      </c>
      <c r="R357" s="37">
        <v>89</v>
      </c>
      <c r="S357" s="39" t="s">
        <v>501</v>
      </c>
      <c r="T357" s="37">
        <v>1205</v>
      </c>
      <c r="U357" s="38" t="s">
        <v>1610</v>
      </c>
      <c r="V357" s="69" t="s">
        <v>272</v>
      </c>
      <c r="W357" s="89" t="s">
        <v>133</v>
      </c>
      <c r="X357" s="106" t="s">
        <v>296</v>
      </c>
      <c r="Y357" s="107" t="s">
        <v>12</v>
      </c>
      <c r="Z357" s="67">
        <f>IF(База_КР_КК[[#This Row],[Таб.номер резервиста]]="-","-",IF(OR(База_КР_КК[[#This Row],[Уровень КК]]=2,База_КР_КК[[#This Row],[Уровень КК]]=3),IF(COUNTIFS($U$2:$U357,$U357,$F$2:$F357,$F357)=1,1,0),IF(COUNTIFS($U$2:$U357,$U357,$L$2:$L357,$L357)=1,1,0)))</f>
        <v>1</v>
      </c>
      <c r="AA3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" s="106"/>
      <c r="AC357" s="51"/>
      <c r="AD357" s="106" t="s">
        <v>15</v>
      </c>
      <c r="AE357" s="40" t="s">
        <v>411</v>
      </c>
    </row>
    <row r="358" spans="1:31" ht="18" customHeight="1" x14ac:dyDescent="0.25">
      <c r="A3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8" s="79">
        <v>4</v>
      </c>
      <c r="C358" s="23">
        <v>45012</v>
      </c>
      <c r="D358" s="67">
        <f>IF(COUNTIF($G$2:$G358,$G358)=1,1,0)</f>
        <v>0</v>
      </c>
      <c r="E358" s="67" t="str">
        <f>IFERROR(VLOOKUP(База_КР_КК[[#This Row],[ИД штатной должности (S)]],'уровень защищенности'!$B$7:$F$1095,5,0),"не защищена")</f>
        <v>средний</v>
      </c>
      <c r="F358" s="68">
        <v>500517</v>
      </c>
      <c r="G358" s="74" t="s">
        <v>2246</v>
      </c>
      <c r="H358" s="181">
        <f>INDEX('Списки данных'!$D$2:$D$1048576,MATCH(База_КР_КК[[#This Row],[Структурное подразделение]],'Списки данных'!$C$2:$C$1048576,0))</f>
        <v>2</v>
      </c>
      <c r="I358" s="80" t="s">
        <v>133</v>
      </c>
      <c r="J358" s="80" t="s">
        <v>197</v>
      </c>
      <c r="K358" s="80" t="s">
        <v>199</v>
      </c>
      <c r="L358" s="30" t="s">
        <v>191</v>
      </c>
      <c r="M358" s="68">
        <v>6</v>
      </c>
      <c r="N358" s="181" t="str">
        <f t="shared" si="6"/>
        <v>да</v>
      </c>
      <c r="O358" s="23">
        <v>44306</v>
      </c>
      <c r="P358" s="23">
        <v>44372</v>
      </c>
      <c r="Q358" s="106" t="s">
        <v>66</v>
      </c>
      <c r="R358" s="37">
        <v>89</v>
      </c>
      <c r="S358" s="39" t="s">
        <v>501</v>
      </c>
      <c r="T358" s="37">
        <v>1206</v>
      </c>
      <c r="U358" s="38" t="s">
        <v>1611</v>
      </c>
      <c r="V358" s="69" t="s">
        <v>272</v>
      </c>
      <c r="W358" s="89" t="s">
        <v>133</v>
      </c>
      <c r="X358" s="106" t="s">
        <v>296</v>
      </c>
      <c r="Y358" s="39" t="s">
        <v>12</v>
      </c>
      <c r="Z358" s="67">
        <f>IF(База_КР_КК[[#This Row],[Таб.номер резервиста]]="-","-",IF(OR(База_КР_КК[[#This Row],[Уровень КК]]=2,База_КР_КК[[#This Row],[Уровень КК]]=3),IF(COUNTIFS($U$2:$U358,$U358,$F$2:$F358,$F358)=1,1,0),IF(COUNTIFS($U$2:$U358,$U358,$L$2:$L358,$L358)=1,1,0)))</f>
        <v>1</v>
      </c>
      <c r="AA3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" s="33"/>
      <c r="AC358" s="25"/>
      <c r="AD358" s="33" t="s">
        <v>15</v>
      </c>
      <c r="AE358" s="38" t="s">
        <v>412</v>
      </c>
    </row>
    <row r="359" spans="1:31" ht="18" customHeight="1" x14ac:dyDescent="0.25">
      <c r="A3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59" s="79">
        <v>4</v>
      </c>
      <c r="C359" s="23">
        <v>45012</v>
      </c>
      <c r="D359" s="67">
        <f>IF(COUNTIF($G$2:$G359,$G359)=1,1,0)</f>
        <v>0</v>
      </c>
      <c r="E359" s="67" t="str">
        <f>IFERROR(VLOOKUP(База_КР_КК[[#This Row],[ИД штатной должности (S)]],'уровень защищенности'!$B$7:$F$1095,5,0),"не защищена")</f>
        <v>средний</v>
      </c>
      <c r="F359" s="68">
        <v>500517</v>
      </c>
      <c r="G359" s="74" t="s">
        <v>2246</v>
      </c>
      <c r="H359" s="181">
        <f>INDEX('Списки данных'!$D$2:$D$1048576,MATCH(База_КР_КК[[#This Row],[Структурное подразделение]],'Списки данных'!$C$2:$C$1048576,0))</f>
        <v>2</v>
      </c>
      <c r="I359" s="80" t="s">
        <v>133</v>
      </c>
      <c r="J359" s="80" t="s">
        <v>197</v>
      </c>
      <c r="K359" s="80" t="s">
        <v>199</v>
      </c>
      <c r="L359" s="30" t="s">
        <v>191</v>
      </c>
      <c r="M359" s="68">
        <v>6</v>
      </c>
      <c r="N359" s="181" t="str">
        <f t="shared" si="6"/>
        <v>да</v>
      </c>
      <c r="O359" s="23">
        <v>44306</v>
      </c>
      <c r="P359" s="23">
        <v>44372</v>
      </c>
      <c r="Q359" s="106" t="s">
        <v>66</v>
      </c>
      <c r="R359" s="37">
        <v>89</v>
      </c>
      <c r="S359" s="39" t="s">
        <v>501</v>
      </c>
      <c r="T359" s="37">
        <v>1207</v>
      </c>
      <c r="U359" s="38" t="s">
        <v>1612</v>
      </c>
      <c r="V359" s="69" t="s">
        <v>272</v>
      </c>
      <c r="W359" s="89" t="s">
        <v>133</v>
      </c>
      <c r="X359" s="106" t="s">
        <v>296</v>
      </c>
      <c r="Y359" s="39" t="s">
        <v>12</v>
      </c>
      <c r="Z359" s="67">
        <f>IF(База_КР_КК[[#This Row],[Таб.номер резервиста]]="-","-",IF(OR(База_КР_КК[[#This Row],[Уровень КК]]=2,База_КР_КК[[#This Row],[Уровень КК]]=3),IF(COUNTIFS($U$2:$U359,$U359,$F$2:$F359,$F359)=1,1,0),IF(COUNTIFS($U$2:$U359,$U359,$L$2:$L359,$L359)=1,1,0)))</f>
        <v>1</v>
      </c>
      <c r="AA3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9" s="33"/>
      <c r="AC359" s="25"/>
      <c r="AD359" s="33" t="s">
        <v>15</v>
      </c>
      <c r="AE359" s="38" t="s">
        <v>412</v>
      </c>
    </row>
    <row r="360" spans="1:31" ht="18" customHeight="1" x14ac:dyDescent="0.25">
      <c r="A3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0" s="79">
        <v>4</v>
      </c>
      <c r="C360" s="23">
        <v>43791</v>
      </c>
      <c r="D360" s="67">
        <f>IF(COUNTIF($G$2:$G360,$G360)=1,1,0)</f>
        <v>0</v>
      </c>
      <c r="E360" s="67" t="str">
        <f>IFERROR(VLOOKUP(База_КР_КК[[#This Row],[ИД штатной должности (S)]],'уровень защищенности'!$B$7:$F$1095,5,0),"не защищена")</f>
        <v>средний</v>
      </c>
      <c r="F360" s="68">
        <v>500517</v>
      </c>
      <c r="G360" s="74" t="s">
        <v>2246</v>
      </c>
      <c r="H360" s="181">
        <f>INDEX('Списки данных'!$D$2:$D$1048576,MATCH(База_КР_КК[[#This Row],[Структурное подразделение]],'Списки данных'!$C$2:$C$1048576,0))</f>
        <v>2</v>
      </c>
      <c r="I360" s="80" t="s">
        <v>133</v>
      </c>
      <c r="J360" s="80" t="s">
        <v>197</v>
      </c>
      <c r="K360" s="80" t="s">
        <v>199</v>
      </c>
      <c r="L360" s="30" t="s">
        <v>191</v>
      </c>
      <c r="M360" s="68">
        <v>6</v>
      </c>
      <c r="N360" s="181" t="str">
        <f t="shared" si="6"/>
        <v>да</v>
      </c>
      <c r="O360" s="23">
        <v>44306</v>
      </c>
      <c r="P360" s="23">
        <v>44372</v>
      </c>
      <c r="Q360" s="106" t="s">
        <v>66</v>
      </c>
      <c r="R360" s="37">
        <v>89</v>
      </c>
      <c r="S360" s="39" t="s">
        <v>501</v>
      </c>
      <c r="T360" s="37">
        <v>110</v>
      </c>
      <c r="U360" s="39" t="s">
        <v>522</v>
      </c>
      <c r="V360" s="89" t="s">
        <v>194</v>
      </c>
      <c r="W360" s="89" t="s">
        <v>133</v>
      </c>
      <c r="X360" s="106" t="s">
        <v>295</v>
      </c>
      <c r="Y360" s="107" t="s">
        <v>14</v>
      </c>
      <c r="Z360" s="67">
        <f>IF(База_КР_КК[[#This Row],[Таб.номер резервиста]]="-","-",IF(OR(База_КР_КК[[#This Row],[Уровень КК]]=2,База_КР_КК[[#This Row],[Уровень КК]]=3),IF(COUNTIFS($U$2:$U360,$U360,$F$2:$F360,$F360)=1,1,0),IF(COUNTIFS($U$2:$U360,$U360,$L$2:$L360,$L360)=1,1,0)))</f>
        <v>1</v>
      </c>
      <c r="AA3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" s="106" t="s">
        <v>24</v>
      </c>
      <c r="AC360" s="51">
        <v>44372</v>
      </c>
      <c r="AD360" s="106" t="s">
        <v>15</v>
      </c>
      <c r="AE360" s="38" t="s">
        <v>317</v>
      </c>
    </row>
    <row r="361" spans="1:31" ht="18" customHeight="1" x14ac:dyDescent="0.25">
      <c r="A3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1" s="79">
        <v>4</v>
      </c>
      <c r="C361" s="23">
        <v>43791</v>
      </c>
      <c r="D361" s="67">
        <f>IF(COUNTIF($G$2:$G361,$G361)=1,1,0)</f>
        <v>0</v>
      </c>
      <c r="E361" s="67" t="str">
        <f>IFERROR(VLOOKUP(База_КР_КК[[#This Row],[ИД штатной должности (S)]],'уровень защищенности'!$B$7:$F$1095,5,0),"не защищена")</f>
        <v>средний</v>
      </c>
      <c r="F361" s="68">
        <v>500517</v>
      </c>
      <c r="G361" s="74" t="s">
        <v>2246</v>
      </c>
      <c r="H361" s="181">
        <f>INDEX('Списки данных'!$D$2:$D$1048576,MATCH(База_КР_КК[[#This Row],[Структурное подразделение]],'Списки данных'!$C$2:$C$1048576,0))</f>
        <v>2</v>
      </c>
      <c r="I361" s="80" t="s">
        <v>133</v>
      </c>
      <c r="J361" s="80" t="s">
        <v>197</v>
      </c>
      <c r="K361" s="80" t="s">
        <v>199</v>
      </c>
      <c r="L361" s="30" t="s">
        <v>191</v>
      </c>
      <c r="M361" s="68">
        <v>6</v>
      </c>
      <c r="N361" s="181" t="str">
        <f t="shared" si="6"/>
        <v>да</v>
      </c>
      <c r="O361" s="23">
        <v>44306</v>
      </c>
      <c r="P361" s="23">
        <v>44372</v>
      </c>
      <c r="Q361" s="106" t="s">
        <v>66</v>
      </c>
      <c r="R361" s="37">
        <v>89</v>
      </c>
      <c r="S361" s="39" t="s">
        <v>501</v>
      </c>
      <c r="T361" s="37">
        <v>92</v>
      </c>
      <c r="U361" s="39" t="s">
        <v>504</v>
      </c>
      <c r="V361" s="89" t="s">
        <v>192</v>
      </c>
      <c r="W361" s="89" t="s">
        <v>133</v>
      </c>
      <c r="X361" s="106" t="s">
        <v>295</v>
      </c>
      <c r="Y361" s="107" t="s">
        <v>14</v>
      </c>
      <c r="Z361" s="67">
        <f>IF(База_КР_КК[[#This Row],[Таб.номер резервиста]]="-","-",IF(OR(База_КР_КК[[#This Row],[Уровень КК]]=2,База_КР_КК[[#This Row],[Уровень КК]]=3),IF(COUNTIFS($U$2:$U361,$U361,$F$2:$F361,$F361)=1,1,0),IF(COUNTIFS($U$2:$U361,$U361,$L$2:$L361,$L361)=1,1,0)))</f>
        <v>1</v>
      </c>
      <c r="AA3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" s="106" t="s">
        <v>24</v>
      </c>
      <c r="AC361" s="51">
        <v>44866</v>
      </c>
      <c r="AD361" s="106" t="s">
        <v>17</v>
      </c>
      <c r="AE361" s="38" t="s">
        <v>318</v>
      </c>
    </row>
    <row r="362" spans="1:31" ht="18" customHeight="1" x14ac:dyDescent="0.25">
      <c r="A3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2" s="79">
        <v>4</v>
      </c>
      <c r="C362" s="23">
        <v>43791</v>
      </c>
      <c r="D362" s="67">
        <f>IF(COUNTIF($G$2:$G362,$G362)=1,1,0)</f>
        <v>0</v>
      </c>
      <c r="E362" s="67" t="str">
        <f>IFERROR(VLOOKUP(База_КР_КК[[#This Row],[ИД штатной должности (S)]],'уровень защищенности'!$B$7:$F$1095,5,0),"не защищена")</f>
        <v>средний</v>
      </c>
      <c r="F362" s="68">
        <v>500517</v>
      </c>
      <c r="G362" s="74" t="s">
        <v>2246</v>
      </c>
      <c r="H362" s="181">
        <f>INDEX('Списки данных'!$D$2:$D$1048576,MATCH(База_КР_КК[[#This Row],[Структурное подразделение]],'Списки данных'!$C$2:$C$1048576,0))</f>
        <v>2</v>
      </c>
      <c r="I362" s="80" t="s">
        <v>133</v>
      </c>
      <c r="J362" s="80" t="s">
        <v>197</v>
      </c>
      <c r="K362" s="80" t="s">
        <v>199</v>
      </c>
      <c r="L362" s="30" t="s">
        <v>191</v>
      </c>
      <c r="M362" s="68">
        <v>6</v>
      </c>
      <c r="N362" s="181" t="str">
        <f t="shared" si="6"/>
        <v>да</v>
      </c>
      <c r="O362" s="23">
        <v>44306</v>
      </c>
      <c r="P362" s="23">
        <v>44372</v>
      </c>
      <c r="Q362" s="106" t="s">
        <v>66</v>
      </c>
      <c r="R362" s="37">
        <v>89</v>
      </c>
      <c r="S362" s="38" t="s">
        <v>501</v>
      </c>
      <c r="T362" s="37">
        <v>89</v>
      </c>
      <c r="U362" s="39" t="s">
        <v>501</v>
      </c>
      <c r="V362" s="89" t="s">
        <v>272</v>
      </c>
      <c r="W362" s="89" t="s">
        <v>133</v>
      </c>
      <c r="X362" s="106" t="s">
        <v>295</v>
      </c>
      <c r="Y362" s="107" t="s">
        <v>14</v>
      </c>
      <c r="Z362" s="67">
        <f>IF(База_КР_КК[[#This Row],[Таб.номер резервиста]]="-","-",IF(OR(База_КР_КК[[#This Row],[Уровень КК]]=2,База_КР_КК[[#This Row],[Уровень КК]]=3),IF(COUNTIFS($U$2:$U362,$U362,$F$2:$F362,$F362)=1,1,0),IF(COUNTIFS($U$2:$U362,$U362,$L$2:$L362,$L362)=1,1,0)))</f>
        <v>1</v>
      </c>
      <c r="AA3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62" s="106" t="s">
        <v>24</v>
      </c>
      <c r="AC362" s="51">
        <v>44495</v>
      </c>
      <c r="AD362" s="106" t="s">
        <v>17</v>
      </c>
      <c r="AE362" s="38" t="s">
        <v>318</v>
      </c>
    </row>
    <row r="363" spans="1:31" ht="18" customHeight="1" x14ac:dyDescent="0.25">
      <c r="A3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3" s="79">
        <v>4</v>
      </c>
      <c r="C363" s="23">
        <v>43791</v>
      </c>
      <c r="D363" s="67">
        <f>IF(COUNTIF($G$2:$G363,$G363)=1,1,0)</f>
        <v>0</v>
      </c>
      <c r="E363" s="67" t="str">
        <f>IFERROR(VLOOKUP(База_КР_КК[[#This Row],[ИД штатной должности (S)]],'уровень защищенности'!$B$7:$F$1095,5,0),"не защищена")</f>
        <v>средний</v>
      </c>
      <c r="F363" s="68">
        <v>500517</v>
      </c>
      <c r="G363" s="74" t="s">
        <v>2246</v>
      </c>
      <c r="H363" s="181">
        <f>INDEX('Списки данных'!$D$2:$D$1048576,MATCH(База_КР_КК[[#This Row],[Структурное подразделение]],'Списки данных'!$C$2:$C$1048576,0))</f>
        <v>2</v>
      </c>
      <c r="I363" s="80" t="s">
        <v>133</v>
      </c>
      <c r="J363" s="80" t="s">
        <v>197</v>
      </c>
      <c r="K363" s="80" t="s">
        <v>199</v>
      </c>
      <c r="L363" s="30" t="s">
        <v>191</v>
      </c>
      <c r="M363" s="68">
        <v>6</v>
      </c>
      <c r="N363" s="181" t="str">
        <f t="shared" si="6"/>
        <v>да</v>
      </c>
      <c r="O363" s="23">
        <v>44306</v>
      </c>
      <c r="P363" s="23">
        <v>44372</v>
      </c>
      <c r="Q363" s="106" t="s">
        <v>66</v>
      </c>
      <c r="R363" s="37">
        <v>89</v>
      </c>
      <c r="S363" s="39" t="s">
        <v>501</v>
      </c>
      <c r="T363" s="37">
        <v>1208</v>
      </c>
      <c r="U363" s="39" t="s">
        <v>1613</v>
      </c>
      <c r="V363" s="89" t="s">
        <v>192</v>
      </c>
      <c r="W363" s="89" t="s">
        <v>133</v>
      </c>
      <c r="X363" s="106" t="s">
        <v>297</v>
      </c>
      <c r="Y363" s="107" t="s">
        <v>18</v>
      </c>
      <c r="Z363" s="67">
        <f>IF(База_КР_КК[[#This Row],[Таб.номер резервиста]]="-","-",IF(OR(База_КР_КК[[#This Row],[Уровень КК]]=2,База_КР_КК[[#This Row],[Уровень КК]]=3),IF(COUNTIFS($U$2:$U363,$U363,$F$2:$F363,$F363)=1,1,0),IF(COUNTIFS($U$2:$U363,$U363,$L$2:$L363,$L363)=1,1,0)))</f>
        <v>1</v>
      </c>
      <c r="AA3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" s="106" t="s">
        <v>38</v>
      </c>
      <c r="AC363" s="51">
        <v>45245</v>
      </c>
      <c r="AD363" s="106" t="s">
        <v>31</v>
      </c>
      <c r="AE363" s="38" t="s">
        <v>411</v>
      </c>
    </row>
    <row r="364" spans="1:31" ht="18" customHeight="1" x14ac:dyDescent="0.25">
      <c r="A3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4" s="79">
        <v>4</v>
      </c>
      <c r="C364" s="23">
        <v>44495</v>
      </c>
      <c r="D364" s="67">
        <f>IF(COUNTIF($G$2:$G364,$G364)=1,1,0)</f>
        <v>0</v>
      </c>
      <c r="E364" s="67" t="str">
        <f>IFERROR(VLOOKUP(База_КР_КК[[#This Row],[ИД штатной должности (S)]],'уровень защищенности'!$B$7:$F$1095,5,0),"не защищена")</f>
        <v>средний</v>
      </c>
      <c r="F364" s="68">
        <v>500517</v>
      </c>
      <c r="G364" s="74" t="s">
        <v>2246</v>
      </c>
      <c r="H364" s="181">
        <f>INDEX('Списки данных'!$D$2:$D$1048576,MATCH(База_КР_КК[[#This Row],[Структурное подразделение]],'Списки данных'!$C$2:$C$1048576,0))</f>
        <v>2</v>
      </c>
      <c r="I364" s="80" t="s">
        <v>133</v>
      </c>
      <c r="J364" s="80" t="s">
        <v>197</v>
      </c>
      <c r="K364" s="80" t="s">
        <v>199</v>
      </c>
      <c r="L364" s="30" t="s">
        <v>191</v>
      </c>
      <c r="M364" s="68">
        <v>6</v>
      </c>
      <c r="N364" s="181" t="str">
        <f t="shared" si="6"/>
        <v>да</v>
      </c>
      <c r="O364" s="23">
        <v>44306</v>
      </c>
      <c r="P364" s="23">
        <v>44372</v>
      </c>
      <c r="Q364" s="106" t="s">
        <v>66</v>
      </c>
      <c r="R364" s="37">
        <v>89</v>
      </c>
      <c r="S364" s="39" t="s">
        <v>501</v>
      </c>
      <c r="T364" s="37">
        <v>1209</v>
      </c>
      <c r="U364" s="39" t="s">
        <v>1614</v>
      </c>
      <c r="V364" s="89" t="s">
        <v>192</v>
      </c>
      <c r="W364" s="89" t="s">
        <v>133</v>
      </c>
      <c r="X364" s="106" t="s">
        <v>296</v>
      </c>
      <c r="Y364" s="107" t="s">
        <v>18</v>
      </c>
      <c r="Z364" s="67">
        <f>IF(База_КР_КК[[#This Row],[Таб.номер резервиста]]="-","-",IF(OR(База_КР_КК[[#This Row],[Уровень КК]]=2,База_КР_КК[[#This Row],[Уровень КК]]=3),IF(COUNTIFS($U$2:$U364,$U364,$F$2:$F364,$F364)=1,1,0),IF(COUNTIFS($U$2:$U364,$U364,$L$2:$L364,$L364)=1,1,0)))</f>
        <v>1</v>
      </c>
      <c r="AA3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" s="106" t="s">
        <v>38</v>
      </c>
      <c r="AC364" s="51">
        <v>45245</v>
      </c>
      <c r="AD364" s="106" t="s">
        <v>31</v>
      </c>
      <c r="AE364" s="40" t="s">
        <v>411</v>
      </c>
    </row>
    <row r="365" spans="1:31" ht="18" customHeight="1" x14ac:dyDescent="0.25">
      <c r="A3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5" s="79">
        <v>4</v>
      </c>
      <c r="C365" s="23">
        <v>44495</v>
      </c>
      <c r="D365" s="67">
        <f>IF(COUNTIF($G$2:$G365,$G365)=1,1,0)</f>
        <v>0</v>
      </c>
      <c r="E365" s="67" t="str">
        <f>IFERROR(VLOOKUP(База_КР_КК[[#This Row],[ИД штатной должности (S)]],'уровень защищенности'!$B$7:$F$1095,5,0),"не защищена")</f>
        <v>средний</v>
      </c>
      <c r="F365" s="68">
        <v>500517</v>
      </c>
      <c r="G365" s="74" t="s">
        <v>2246</v>
      </c>
      <c r="H365" s="181">
        <f>INDEX('Списки данных'!$D$2:$D$1048576,MATCH(База_КР_КК[[#This Row],[Структурное подразделение]],'Списки данных'!$C$2:$C$1048576,0))</f>
        <v>2</v>
      </c>
      <c r="I365" s="80" t="s">
        <v>133</v>
      </c>
      <c r="J365" s="80" t="s">
        <v>197</v>
      </c>
      <c r="K365" s="80" t="s">
        <v>199</v>
      </c>
      <c r="L365" s="30" t="s">
        <v>191</v>
      </c>
      <c r="M365" s="68">
        <v>6</v>
      </c>
      <c r="N365" s="181" t="str">
        <f t="shared" si="6"/>
        <v>да</v>
      </c>
      <c r="O365" s="23">
        <v>44306</v>
      </c>
      <c r="P365" s="23">
        <v>44372</v>
      </c>
      <c r="Q365" s="106" t="s">
        <v>66</v>
      </c>
      <c r="R365" s="37">
        <v>89</v>
      </c>
      <c r="S365" s="39" t="s">
        <v>501</v>
      </c>
      <c r="T365" s="37">
        <v>1210</v>
      </c>
      <c r="U365" s="39" t="s">
        <v>1615</v>
      </c>
      <c r="V365" s="89" t="s">
        <v>192</v>
      </c>
      <c r="W365" s="89" t="s">
        <v>133</v>
      </c>
      <c r="X365" s="106" t="s">
        <v>296</v>
      </c>
      <c r="Y365" s="107" t="s">
        <v>18</v>
      </c>
      <c r="Z365" s="67">
        <f>IF(База_КР_КК[[#This Row],[Таб.номер резервиста]]="-","-",IF(OR(База_КР_КК[[#This Row],[Уровень КК]]=2,База_КР_КК[[#This Row],[Уровень КК]]=3),IF(COUNTIFS($U$2:$U365,$U365,$F$2:$F365,$F365)=1,1,0),IF(COUNTIFS($U$2:$U365,$U365,$L$2:$L365,$L365)=1,1,0)))</f>
        <v>1</v>
      </c>
      <c r="AA3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" s="106" t="s">
        <v>19</v>
      </c>
      <c r="AC365" s="51">
        <v>44701</v>
      </c>
      <c r="AD365" s="106" t="s">
        <v>15</v>
      </c>
      <c r="AE365" s="38" t="s">
        <v>319</v>
      </c>
    </row>
    <row r="366" spans="1:31" ht="18" customHeight="1" x14ac:dyDescent="0.25">
      <c r="A3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6" s="79">
        <v>4</v>
      </c>
      <c r="C366" s="23">
        <v>43791</v>
      </c>
      <c r="D366" s="67">
        <f>IF(COUNTIF($G$2:$G366,$G366)=1,1,0)</f>
        <v>1</v>
      </c>
      <c r="E366" s="67" t="str">
        <f>IFERROR(VLOOKUP(База_КР_КК[[#This Row],[ИД штатной должности (S)]],'уровень защищенности'!$B$7:$F$1095,5,0),"не защищена")</f>
        <v>средний</v>
      </c>
      <c r="F366" s="68">
        <v>500517</v>
      </c>
      <c r="G366" s="74" t="s">
        <v>2247</v>
      </c>
      <c r="H366" s="181">
        <f>INDEX('Списки данных'!$D$2:$D$1048576,MATCH(База_КР_КК[[#This Row],[Структурное подразделение]],'Списки данных'!$C$2:$C$1048576,0))</f>
        <v>2</v>
      </c>
      <c r="I366" s="80" t="s">
        <v>133</v>
      </c>
      <c r="J366" s="80" t="s">
        <v>197</v>
      </c>
      <c r="K366" s="80" t="s">
        <v>199</v>
      </c>
      <c r="L366" s="30" t="s">
        <v>191</v>
      </c>
      <c r="M366" s="68">
        <v>6</v>
      </c>
      <c r="N366" s="181" t="str">
        <f t="shared" si="6"/>
        <v>нет</v>
      </c>
      <c r="O366" s="23"/>
      <c r="P366" s="23"/>
      <c r="Q366" s="106"/>
      <c r="R366" s="37">
        <v>90</v>
      </c>
      <c r="S366" s="39" t="s">
        <v>502</v>
      </c>
      <c r="T366" s="37">
        <v>1200</v>
      </c>
      <c r="U366" s="39" t="s">
        <v>1606</v>
      </c>
      <c r="V366" s="89" t="s">
        <v>272</v>
      </c>
      <c r="W366" s="89" t="s">
        <v>133</v>
      </c>
      <c r="X366" s="106" t="s">
        <v>296</v>
      </c>
      <c r="Y366" s="107" t="s">
        <v>12</v>
      </c>
      <c r="Z366" s="67">
        <f>IF(База_КР_КК[[#This Row],[Таб.номер резервиста]]="-","-",IF(OR(База_КР_КК[[#This Row],[Уровень КК]]=2,База_КР_КК[[#This Row],[Уровень КК]]=3),IF(COUNTIFS($U$2:$U366,$U366,$F$2:$F366,$F366)=1,1,0),IF(COUNTIFS($U$2:$U366,$U366,$L$2:$L366,$L366)=1,1,0)))</f>
        <v>0</v>
      </c>
      <c r="AA3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" s="106"/>
      <c r="AC366" s="51"/>
      <c r="AD366" s="106" t="s">
        <v>13</v>
      </c>
      <c r="AE366" s="38" t="s">
        <v>411</v>
      </c>
    </row>
    <row r="367" spans="1:31" ht="18" customHeight="1" x14ac:dyDescent="0.25">
      <c r="A3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7" s="79">
        <v>4</v>
      </c>
      <c r="C367" s="23">
        <v>44125</v>
      </c>
      <c r="D367" s="67">
        <f>IF(COUNTIF($G$2:$G367,$G367)=1,1,0)</f>
        <v>0</v>
      </c>
      <c r="E367" s="67" t="str">
        <f>IFERROR(VLOOKUP(База_КР_КК[[#This Row],[ИД штатной должности (S)]],'уровень защищенности'!$B$7:$F$1095,5,0),"не защищена")</f>
        <v>средний</v>
      </c>
      <c r="F367" s="68">
        <v>500517</v>
      </c>
      <c r="G367" s="74" t="s">
        <v>2247</v>
      </c>
      <c r="H367" s="181">
        <f>INDEX('Списки данных'!$D$2:$D$1048576,MATCH(База_КР_КК[[#This Row],[Структурное подразделение]],'Списки данных'!$C$2:$C$1048576,0))</f>
        <v>2</v>
      </c>
      <c r="I367" s="80" t="s">
        <v>133</v>
      </c>
      <c r="J367" s="80" t="s">
        <v>197</v>
      </c>
      <c r="K367" s="80" t="s">
        <v>199</v>
      </c>
      <c r="L367" s="30" t="s">
        <v>191</v>
      </c>
      <c r="M367" s="68">
        <v>6</v>
      </c>
      <c r="N367" s="181" t="str">
        <f t="shared" si="6"/>
        <v>нет</v>
      </c>
      <c r="O367" s="23"/>
      <c r="P367" s="23"/>
      <c r="Q367" s="106"/>
      <c r="R367" s="37">
        <v>90</v>
      </c>
      <c r="S367" s="39" t="s">
        <v>502</v>
      </c>
      <c r="T367" s="37">
        <v>1201</v>
      </c>
      <c r="U367" s="38" t="s">
        <v>1607</v>
      </c>
      <c r="V367" s="69" t="s">
        <v>272</v>
      </c>
      <c r="W367" s="89" t="s">
        <v>133</v>
      </c>
      <c r="X367" s="106" t="s">
        <v>297</v>
      </c>
      <c r="Y367" s="107" t="s">
        <v>12</v>
      </c>
      <c r="Z367" s="67">
        <f>IF(База_КР_КК[[#This Row],[Таб.номер резервиста]]="-","-",IF(OR(База_КР_КК[[#This Row],[Уровень КК]]=2,База_КР_КК[[#This Row],[Уровень КК]]=3),IF(COUNTIFS($U$2:$U367,$U367,$F$2:$F367,$F367)=1,1,0),IF(COUNTIFS($U$2:$U367,$U367,$L$2:$L367,$L367)=1,1,0)))</f>
        <v>0</v>
      </c>
      <c r="AA3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" s="106"/>
      <c r="AC367" s="51"/>
      <c r="AD367" s="106" t="s">
        <v>17</v>
      </c>
      <c r="AE367" s="40" t="s">
        <v>411</v>
      </c>
    </row>
    <row r="368" spans="1:31" ht="18" customHeight="1" x14ac:dyDescent="0.25">
      <c r="A3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8" s="79">
        <v>4</v>
      </c>
      <c r="C368" s="23">
        <v>44125</v>
      </c>
      <c r="D368" s="67">
        <f>IF(COUNTIF($G$2:$G368,$G368)=1,1,0)</f>
        <v>0</v>
      </c>
      <c r="E368" s="67" t="str">
        <f>IFERROR(VLOOKUP(База_КР_КК[[#This Row],[ИД штатной должности (S)]],'уровень защищенности'!$B$7:$F$1095,5,0),"не защищена")</f>
        <v>средний</v>
      </c>
      <c r="F368" s="68">
        <v>500517</v>
      </c>
      <c r="G368" s="74" t="s">
        <v>2247</v>
      </c>
      <c r="H368" s="181">
        <f>INDEX('Списки данных'!$D$2:$D$1048576,MATCH(База_КР_КК[[#This Row],[Структурное подразделение]],'Списки данных'!$C$2:$C$1048576,0))</f>
        <v>2</v>
      </c>
      <c r="I368" s="80" t="s">
        <v>133</v>
      </c>
      <c r="J368" s="80" t="s">
        <v>197</v>
      </c>
      <c r="K368" s="80" t="s">
        <v>199</v>
      </c>
      <c r="L368" s="30" t="s">
        <v>191</v>
      </c>
      <c r="M368" s="68">
        <v>6</v>
      </c>
      <c r="N368" s="181" t="str">
        <f t="shared" si="6"/>
        <v>нет</v>
      </c>
      <c r="O368" s="23"/>
      <c r="P368" s="23"/>
      <c r="Q368" s="106"/>
      <c r="R368" s="37">
        <v>90</v>
      </c>
      <c r="S368" s="39" t="s">
        <v>502</v>
      </c>
      <c r="T368" s="37">
        <v>1202</v>
      </c>
      <c r="U368" s="38" t="s">
        <v>1591</v>
      </c>
      <c r="V368" s="69" t="s">
        <v>272</v>
      </c>
      <c r="W368" s="89" t="s">
        <v>133</v>
      </c>
      <c r="X368" s="106" t="s">
        <v>297</v>
      </c>
      <c r="Y368" s="107" t="s">
        <v>12</v>
      </c>
      <c r="Z368" s="67">
        <f>IF(База_КР_КК[[#This Row],[Таб.номер резервиста]]="-","-",IF(OR(База_КР_КК[[#This Row],[Уровень КК]]=2,База_КР_КК[[#This Row],[Уровень КК]]=3),IF(COUNTIFS($U$2:$U368,$U368,$F$2:$F368,$F368)=1,1,0),IF(COUNTIFS($U$2:$U368,$U368,$L$2:$L368,$L368)=1,1,0)))</f>
        <v>0</v>
      </c>
      <c r="AA3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" s="106"/>
      <c r="AC368" s="51"/>
      <c r="AD368" s="106" t="s">
        <v>17</v>
      </c>
      <c r="AE368" s="40" t="s">
        <v>411</v>
      </c>
    </row>
    <row r="369" spans="1:31" ht="18" customHeight="1" x14ac:dyDescent="0.25">
      <c r="A3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69" s="79">
        <v>4</v>
      </c>
      <c r="C369" s="23">
        <v>44880</v>
      </c>
      <c r="D369" s="67">
        <f>IF(COUNTIF($G$2:$G369,$G369)=1,1,0)</f>
        <v>0</v>
      </c>
      <c r="E369" s="67" t="str">
        <f>IFERROR(VLOOKUP(База_КР_КК[[#This Row],[ИД штатной должности (S)]],'уровень защищенности'!$B$7:$F$1095,5,0),"не защищена")</f>
        <v>средний</v>
      </c>
      <c r="F369" s="68">
        <v>500517</v>
      </c>
      <c r="G369" s="74" t="s">
        <v>2247</v>
      </c>
      <c r="H369" s="181">
        <f>INDEX('Списки данных'!$D$2:$D$1048576,MATCH(База_КР_КК[[#This Row],[Структурное подразделение]],'Списки данных'!$C$2:$C$1048576,0))</f>
        <v>2</v>
      </c>
      <c r="I369" s="80" t="s">
        <v>133</v>
      </c>
      <c r="J369" s="80" t="s">
        <v>197</v>
      </c>
      <c r="K369" s="80" t="s">
        <v>199</v>
      </c>
      <c r="L369" s="30" t="s">
        <v>191</v>
      </c>
      <c r="M369" s="68">
        <v>6</v>
      </c>
      <c r="N369" s="181" t="str">
        <f t="shared" si="6"/>
        <v>нет</v>
      </c>
      <c r="O369" s="23"/>
      <c r="P369" s="23"/>
      <c r="Q369" s="106"/>
      <c r="R369" s="37">
        <v>90</v>
      </c>
      <c r="S369" s="39" t="s">
        <v>502</v>
      </c>
      <c r="T369" s="37">
        <v>119</v>
      </c>
      <c r="U369" s="38" t="s">
        <v>531</v>
      </c>
      <c r="V369" s="69" t="s">
        <v>272</v>
      </c>
      <c r="W369" s="89" t="s">
        <v>133</v>
      </c>
      <c r="X369" s="106" t="s">
        <v>297</v>
      </c>
      <c r="Y369" s="107" t="s">
        <v>14</v>
      </c>
      <c r="Z369" s="67">
        <f>IF(База_КР_КК[[#This Row],[Таб.номер резервиста]]="-","-",IF(OR(База_КР_КК[[#This Row],[Уровень КК]]=2,База_КР_КК[[#This Row],[Уровень КК]]=3),IF(COUNTIFS($U$2:$U369,$U369,$F$2:$F369,$F369)=1,1,0),IF(COUNTIFS($U$2:$U369,$U369,$L$2:$L369,$L369)=1,1,0)))</f>
        <v>0</v>
      </c>
      <c r="AA3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" s="106" t="s">
        <v>24</v>
      </c>
      <c r="AC369" s="51">
        <v>45071</v>
      </c>
      <c r="AD369" s="106" t="s">
        <v>15</v>
      </c>
      <c r="AE369" s="40" t="s">
        <v>411</v>
      </c>
    </row>
    <row r="370" spans="1:31" ht="18" customHeight="1" x14ac:dyDescent="0.25">
      <c r="A3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0" s="79">
        <v>4</v>
      </c>
      <c r="C370" s="23">
        <v>44880</v>
      </c>
      <c r="D370" s="67">
        <f>IF(COUNTIF($G$2:$G370,$G370)=1,1,0)</f>
        <v>0</v>
      </c>
      <c r="E370" s="67" t="str">
        <f>IFERROR(VLOOKUP(База_КР_КК[[#This Row],[ИД штатной должности (S)]],'уровень защищенности'!$B$7:$F$1095,5,0),"не защищена")</f>
        <v>средний</v>
      </c>
      <c r="F370" s="68">
        <v>500517</v>
      </c>
      <c r="G370" s="74" t="s">
        <v>2247</v>
      </c>
      <c r="H370" s="181">
        <f>INDEX('Списки данных'!$D$2:$D$1048576,MATCH(База_КР_КК[[#This Row],[Структурное подразделение]],'Списки данных'!$C$2:$C$1048576,0))</f>
        <v>2</v>
      </c>
      <c r="I370" s="80" t="s">
        <v>133</v>
      </c>
      <c r="J370" s="80" t="s">
        <v>197</v>
      </c>
      <c r="K370" s="80" t="s">
        <v>199</v>
      </c>
      <c r="L370" s="30" t="s">
        <v>191</v>
      </c>
      <c r="M370" s="68">
        <v>6</v>
      </c>
      <c r="N370" s="181" t="str">
        <f t="shared" si="6"/>
        <v>нет</v>
      </c>
      <c r="O370" s="23"/>
      <c r="P370" s="23"/>
      <c r="Q370" s="106"/>
      <c r="R370" s="37">
        <v>90</v>
      </c>
      <c r="S370" s="39" t="s">
        <v>502</v>
      </c>
      <c r="T370" s="37">
        <v>1203</v>
      </c>
      <c r="U370" s="38" t="s">
        <v>1608</v>
      </c>
      <c r="V370" s="69" t="s">
        <v>272</v>
      </c>
      <c r="W370" s="89" t="s">
        <v>133</v>
      </c>
      <c r="X370" s="106" t="s">
        <v>296</v>
      </c>
      <c r="Y370" s="107" t="s">
        <v>12</v>
      </c>
      <c r="Z370" s="67">
        <f>IF(База_КР_КК[[#This Row],[Таб.номер резервиста]]="-","-",IF(OR(База_КР_КК[[#This Row],[Уровень КК]]=2,База_КР_КК[[#This Row],[Уровень КК]]=3),IF(COUNTIFS($U$2:$U370,$U370,$F$2:$F370,$F370)=1,1,0),IF(COUNTIFS($U$2:$U370,$U370,$L$2:$L370,$L370)=1,1,0)))</f>
        <v>0</v>
      </c>
      <c r="AA3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" s="106"/>
      <c r="AC370" s="51"/>
      <c r="AD370" s="106" t="s">
        <v>15</v>
      </c>
      <c r="AE370" s="40" t="s">
        <v>411</v>
      </c>
    </row>
    <row r="371" spans="1:31" ht="18" customHeight="1" x14ac:dyDescent="0.25">
      <c r="A3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1" s="79">
        <v>4</v>
      </c>
      <c r="C371" s="23">
        <v>44880</v>
      </c>
      <c r="D371" s="67">
        <f>IF(COUNTIF($G$2:$G371,$G371)=1,1,0)</f>
        <v>0</v>
      </c>
      <c r="E371" s="67" t="str">
        <f>IFERROR(VLOOKUP(База_КР_КК[[#This Row],[ИД штатной должности (S)]],'уровень защищенности'!$B$7:$F$1095,5,0),"не защищена")</f>
        <v>средний</v>
      </c>
      <c r="F371" s="68">
        <v>500517</v>
      </c>
      <c r="G371" s="74" t="s">
        <v>2247</v>
      </c>
      <c r="H371" s="181">
        <f>INDEX('Списки данных'!$D$2:$D$1048576,MATCH(База_КР_КК[[#This Row],[Структурное подразделение]],'Списки данных'!$C$2:$C$1048576,0))</f>
        <v>2</v>
      </c>
      <c r="I371" s="80" t="s">
        <v>133</v>
      </c>
      <c r="J371" s="80" t="s">
        <v>197</v>
      </c>
      <c r="K371" s="80" t="s">
        <v>199</v>
      </c>
      <c r="L371" s="30" t="s">
        <v>191</v>
      </c>
      <c r="M371" s="68">
        <v>6</v>
      </c>
      <c r="N371" s="181" t="str">
        <f t="shared" si="6"/>
        <v>нет</v>
      </c>
      <c r="O371" s="23"/>
      <c r="P371" s="23"/>
      <c r="Q371" s="106"/>
      <c r="R371" s="37">
        <v>90</v>
      </c>
      <c r="S371" s="39" t="s">
        <v>502</v>
      </c>
      <c r="T371" s="37">
        <v>1204</v>
      </c>
      <c r="U371" s="38" t="s">
        <v>1609</v>
      </c>
      <c r="V371" s="69" t="s">
        <v>272</v>
      </c>
      <c r="W371" s="89" t="s">
        <v>133</v>
      </c>
      <c r="X371" s="106" t="s">
        <v>296</v>
      </c>
      <c r="Y371" s="107" t="s">
        <v>12</v>
      </c>
      <c r="Z371" s="67">
        <f>IF(База_КР_КК[[#This Row],[Таб.номер резервиста]]="-","-",IF(OR(База_КР_КК[[#This Row],[Уровень КК]]=2,База_КР_КК[[#This Row],[Уровень КК]]=3),IF(COUNTIFS($U$2:$U371,$U371,$F$2:$F371,$F371)=1,1,0),IF(COUNTIFS($U$2:$U371,$U371,$L$2:$L371,$L371)=1,1,0)))</f>
        <v>0</v>
      </c>
      <c r="AA3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" s="106"/>
      <c r="AC371" s="51"/>
      <c r="AD371" s="106" t="s">
        <v>15</v>
      </c>
      <c r="AE371" s="40" t="s">
        <v>411</v>
      </c>
    </row>
    <row r="372" spans="1:31" ht="18" customHeight="1" x14ac:dyDescent="0.25">
      <c r="A3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2" s="79">
        <v>4</v>
      </c>
      <c r="C372" s="23">
        <v>44880</v>
      </c>
      <c r="D372" s="67">
        <f>IF(COUNTIF($G$2:$G372,$G372)=1,1,0)</f>
        <v>0</v>
      </c>
      <c r="E372" s="67" t="str">
        <f>IFERROR(VLOOKUP(База_КР_КК[[#This Row],[ИД штатной должности (S)]],'уровень защищенности'!$B$7:$F$1095,5,0),"не защищена")</f>
        <v>средний</v>
      </c>
      <c r="F372" s="68">
        <v>500517</v>
      </c>
      <c r="G372" s="74" t="s">
        <v>2247</v>
      </c>
      <c r="H372" s="181">
        <f>INDEX('Списки данных'!$D$2:$D$1048576,MATCH(База_КР_КК[[#This Row],[Структурное подразделение]],'Списки данных'!$C$2:$C$1048576,0))</f>
        <v>2</v>
      </c>
      <c r="I372" s="80" t="s">
        <v>133</v>
      </c>
      <c r="J372" s="80" t="s">
        <v>197</v>
      </c>
      <c r="K372" s="80" t="s">
        <v>199</v>
      </c>
      <c r="L372" s="30" t="s">
        <v>191</v>
      </c>
      <c r="M372" s="68">
        <v>6</v>
      </c>
      <c r="N372" s="181" t="str">
        <f t="shared" si="6"/>
        <v>нет</v>
      </c>
      <c r="O372" s="23"/>
      <c r="P372" s="23"/>
      <c r="Q372" s="106"/>
      <c r="R372" s="37">
        <v>90</v>
      </c>
      <c r="S372" s="39" t="s">
        <v>502</v>
      </c>
      <c r="T372" s="37">
        <v>1205</v>
      </c>
      <c r="U372" s="38" t="s">
        <v>1610</v>
      </c>
      <c r="V372" s="69" t="s">
        <v>272</v>
      </c>
      <c r="W372" s="89" t="s">
        <v>133</v>
      </c>
      <c r="X372" s="106" t="s">
        <v>296</v>
      </c>
      <c r="Y372" s="107" t="s">
        <v>12</v>
      </c>
      <c r="Z372" s="67">
        <f>IF(База_КР_КК[[#This Row],[Таб.номер резервиста]]="-","-",IF(OR(База_КР_КК[[#This Row],[Уровень КК]]=2,База_КР_КК[[#This Row],[Уровень КК]]=3),IF(COUNTIFS($U$2:$U372,$U372,$F$2:$F372,$F372)=1,1,0),IF(COUNTIFS($U$2:$U372,$U372,$L$2:$L372,$L372)=1,1,0)))</f>
        <v>0</v>
      </c>
      <c r="AA3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" s="106"/>
      <c r="AC372" s="51"/>
      <c r="AD372" s="106" t="s">
        <v>15</v>
      </c>
      <c r="AE372" s="40" t="s">
        <v>411</v>
      </c>
    </row>
    <row r="373" spans="1:31" ht="18" customHeight="1" x14ac:dyDescent="0.25">
      <c r="A3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3" s="79">
        <v>4</v>
      </c>
      <c r="C373" s="23">
        <v>45012</v>
      </c>
      <c r="D373" s="67">
        <f>IF(COUNTIF($G$2:$G373,$G373)=1,1,0)</f>
        <v>0</v>
      </c>
      <c r="E373" s="67" t="str">
        <f>IFERROR(VLOOKUP(База_КР_КК[[#This Row],[ИД штатной должности (S)]],'уровень защищенности'!$B$7:$F$1095,5,0),"не защищена")</f>
        <v>средний</v>
      </c>
      <c r="F373" s="68">
        <v>500517</v>
      </c>
      <c r="G373" s="74" t="s">
        <v>2247</v>
      </c>
      <c r="H373" s="181">
        <f>INDEX('Списки данных'!$D$2:$D$1048576,MATCH(База_КР_КК[[#This Row],[Структурное подразделение]],'Списки данных'!$C$2:$C$1048576,0))</f>
        <v>2</v>
      </c>
      <c r="I373" s="80" t="s">
        <v>133</v>
      </c>
      <c r="J373" s="80" t="s">
        <v>197</v>
      </c>
      <c r="K373" s="80" t="s">
        <v>199</v>
      </c>
      <c r="L373" s="30" t="s">
        <v>191</v>
      </c>
      <c r="M373" s="68">
        <v>6</v>
      </c>
      <c r="N373" s="181" t="str">
        <f t="shared" si="6"/>
        <v>нет</v>
      </c>
      <c r="O373" s="23"/>
      <c r="P373" s="23"/>
      <c r="Q373" s="33"/>
      <c r="R373" s="37">
        <v>90</v>
      </c>
      <c r="S373" s="39" t="s">
        <v>502</v>
      </c>
      <c r="T373" s="37">
        <v>1206</v>
      </c>
      <c r="U373" s="38" t="s">
        <v>1611</v>
      </c>
      <c r="V373" s="69" t="s">
        <v>272</v>
      </c>
      <c r="W373" s="89" t="s">
        <v>133</v>
      </c>
      <c r="X373" s="106" t="s">
        <v>296</v>
      </c>
      <c r="Y373" s="39" t="s">
        <v>12</v>
      </c>
      <c r="Z373" s="67">
        <f>IF(База_КР_КК[[#This Row],[Таб.номер резервиста]]="-","-",IF(OR(База_КР_КК[[#This Row],[Уровень КК]]=2,База_КР_КК[[#This Row],[Уровень КК]]=3),IF(COUNTIFS($U$2:$U373,$U373,$F$2:$F373,$F373)=1,1,0),IF(COUNTIFS($U$2:$U373,$U373,$L$2:$L373,$L373)=1,1,0)))</f>
        <v>0</v>
      </c>
      <c r="AA3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" s="33"/>
      <c r="AC373" s="25"/>
      <c r="AD373" s="33" t="s">
        <v>15</v>
      </c>
      <c r="AE373" s="38" t="s">
        <v>412</v>
      </c>
    </row>
    <row r="374" spans="1:31" ht="18" customHeight="1" x14ac:dyDescent="0.25">
      <c r="A3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4" s="79">
        <v>4</v>
      </c>
      <c r="C374" s="23">
        <v>45012</v>
      </c>
      <c r="D374" s="67">
        <f>IF(COUNTIF($G$2:$G374,$G374)=1,1,0)</f>
        <v>0</v>
      </c>
      <c r="E374" s="67" t="str">
        <f>IFERROR(VLOOKUP(База_КР_КК[[#This Row],[ИД штатной должности (S)]],'уровень защищенности'!$B$7:$F$1095,5,0),"не защищена")</f>
        <v>средний</v>
      </c>
      <c r="F374" s="68">
        <v>500517</v>
      </c>
      <c r="G374" s="74" t="s">
        <v>2247</v>
      </c>
      <c r="H374" s="181">
        <f>INDEX('Списки данных'!$D$2:$D$1048576,MATCH(База_КР_КК[[#This Row],[Структурное подразделение]],'Списки данных'!$C$2:$C$1048576,0))</f>
        <v>2</v>
      </c>
      <c r="I374" s="80" t="s">
        <v>133</v>
      </c>
      <c r="J374" s="80" t="s">
        <v>197</v>
      </c>
      <c r="K374" s="80" t="s">
        <v>199</v>
      </c>
      <c r="L374" s="30" t="s">
        <v>191</v>
      </c>
      <c r="M374" s="68">
        <v>6</v>
      </c>
      <c r="N374" s="181" t="str">
        <f t="shared" si="6"/>
        <v>нет</v>
      </c>
      <c r="O374" s="23"/>
      <c r="P374" s="23"/>
      <c r="Q374" s="33"/>
      <c r="R374" s="37">
        <v>90</v>
      </c>
      <c r="S374" s="39" t="s">
        <v>502</v>
      </c>
      <c r="T374" s="37">
        <v>1207</v>
      </c>
      <c r="U374" s="38" t="s">
        <v>1612</v>
      </c>
      <c r="V374" s="69" t="s">
        <v>272</v>
      </c>
      <c r="W374" s="89" t="s">
        <v>133</v>
      </c>
      <c r="X374" s="106" t="s">
        <v>296</v>
      </c>
      <c r="Y374" s="39" t="s">
        <v>12</v>
      </c>
      <c r="Z374" s="67">
        <f>IF(База_КР_КК[[#This Row],[Таб.номер резервиста]]="-","-",IF(OR(База_КР_КК[[#This Row],[Уровень КК]]=2,База_КР_КК[[#This Row],[Уровень КК]]=3),IF(COUNTIFS($U$2:$U374,$U374,$F$2:$F374,$F374)=1,1,0),IF(COUNTIFS($U$2:$U374,$U374,$L$2:$L374,$L374)=1,1,0)))</f>
        <v>0</v>
      </c>
      <c r="AA3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" s="33"/>
      <c r="AC374" s="25"/>
      <c r="AD374" s="33" t="s">
        <v>15</v>
      </c>
      <c r="AE374" s="38" t="s">
        <v>412</v>
      </c>
    </row>
    <row r="375" spans="1:31" ht="18" customHeight="1" x14ac:dyDescent="0.25">
      <c r="A3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5" s="79">
        <v>4</v>
      </c>
      <c r="C375" s="23">
        <v>43791</v>
      </c>
      <c r="D375" s="67">
        <f>IF(COUNTIF($G$2:$G375,$G375)=1,1,0)</f>
        <v>0</v>
      </c>
      <c r="E375" s="67" t="str">
        <f>IFERROR(VLOOKUP(База_КР_КК[[#This Row],[ИД штатной должности (S)]],'уровень защищенности'!$B$7:$F$1095,5,0),"не защищена")</f>
        <v>средний</v>
      </c>
      <c r="F375" s="68">
        <v>500517</v>
      </c>
      <c r="G375" s="74" t="s">
        <v>2247</v>
      </c>
      <c r="H375" s="181">
        <f>INDEX('Списки данных'!$D$2:$D$1048576,MATCH(База_КР_КК[[#This Row],[Структурное подразделение]],'Списки данных'!$C$2:$C$1048576,0))</f>
        <v>2</v>
      </c>
      <c r="I375" s="80" t="s">
        <v>133</v>
      </c>
      <c r="J375" s="80" t="s">
        <v>197</v>
      </c>
      <c r="K375" s="80" t="s">
        <v>199</v>
      </c>
      <c r="L375" s="30" t="s">
        <v>191</v>
      </c>
      <c r="M375" s="68">
        <v>6</v>
      </c>
      <c r="N375" s="181" t="str">
        <f t="shared" si="6"/>
        <v>нет</v>
      </c>
      <c r="O375" s="23"/>
      <c r="P375" s="23"/>
      <c r="Q375" s="106"/>
      <c r="R375" s="37">
        <v>90</v>
      </c>
      <c r="S375" s="39" t="s">
        <v>502</v>
      </c>
      <c r="T375" s="37">
        <v>92</v>
      </c>
      <c r="U375" s="39" t="s">
        <v>504</v>
      </c>
      <c r="V375" s="89" t="s">
        <v>192</v>
      </c>
      <c r="W375" s="89" t="s">
        <v>133</v>
      </c>
      <c r="X375" s="106" t="s">
        <v>295</v>
      </c>
      <c r="Y375" s="107" t="s">
        <v>14</v>
      </c>
      <c r="Z375" s="67">
        <f>IF(База_КР_КК[[#This Row],[Таб.номер резервиста]]="-","-",IF(OR(База_КР_КК[[#This Row],[Уровень КК]]=2,База_КР_КК[[#This Row],[Уровень КК]]=3),IF(COUNTIFS($U$2:$U375,$U375,$F$2:$F375,$F375)=1,1,0),IF(COUNTIFS($U$2:$U375,$U375,$L$2:$L375,$L375)=1,1,0)))</f>
        <v>0</v>
      </c>
      <c r="AA3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" s="106" t="s">
        <v>24</v>
      </c>
      <c r="AC375" s="51">
        <v>44866</v>
      </c>
      <c r="AD375" s="106" t="s">
        <v>17</v>
      </c>
      <c r="AE375" s="38" t="s">
        <v>318</v>
      </c>
    </row>
    <row r="376" spans="1:31" ht="18" customHeight="1" x14ac:dyDescent="0.25">
      <c r="A3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6" s="79">
        <v>4</v>
      </c>
      <c r="C376" s="23">
        <v>43791</v>
      </c>
      <c r="D376" s="67">
        <f>IF(COUNTIF($G$2:$G376,$G376)=1,1,0)</f>
        <v>0</v>
      </c>
      <c r="E376" s="67" t="str">
        <f>IFERROR(VLOOKUP(База_КР_КК[[#This Row],[ИД штатной должности (S)]],'уровень защищенности'!$B$7:$F$1095,5,0),"не защищена")</f>
        <v>средний</v>
      </c>
      <c r="F376" s="68">
        <v>500517</v>
      </c>
      <c r="G376" s="74" t="s">
        <v>2247</v>
      </c>
      <c r="H376" s="181">
        <f>INDEX('Списки данных'!$D$2:$D$1048576,MATCH(База_КР_КК[[#This Row],[Структурное подразделение]],'Списки данных'!$C$2:$C$1048576,0))</f>
        <v>2</v>
      </c>
      <c r="I376" s="80" t="s">
        <v>133</v>
      </c>
      <c r="J376" s="80" t="s">
        <v>197</v>
      </c>
      <c r="K376" s="80" t="s">
        <v>199</v>
      </c>
      <c r="L376" s="30" t="s">
        <v>191</v>
      </c>
      <c r="M376" s="68">
        <v>6</v>
      </c>
      <c r="N376" s="181" t="str">
        <f t="shared" si="6"/>
        <v>нет</v>
      </c>
      <c r="O376" s="23"/>
      <c r="P376" s="23"/>
      <c r="Q376" s="106"/>
      <c r="R376" s="37">
        <v>90</v>
      </c>
      <c r="S376" s="39" t="s">
        <v>502</v>
      </c>
      <c r="T376" s="37">
        <v>1208</v>
      </c>
      <c r="U376" s="39" t="s">
        <v>1613</v>
      </c>
      <c r="V376" s="89" t="s">
        <v>192</v>
      </c>
      <c r="W376" s="89" t="s">
        <v>133</v>
      </c>
      <c r="X376" s="106" t="s">
        <v>297</v>
      </c>
      <c r="Y376" s="107" t="s">
        <v>18</v>
      </c>
      <c r="Z376" s="67">
        <f>IF(База_КР_КК[[#This Row],[Таб.номер резервиста]]="-","-",IF(OR(База_КР_КК[[#This Row],[Уровень КК]]=2,База_КР_КК[[#This Row],[Уровень КК]]=3),IF(COUNTIFS($U$2:$U376,$U376,$F$2:$F376,$F376)=1,1,0),IF(COUNTIFS($U$2:$U376,$U376,$L$2:$L376,$L376)=1,1,0)))</f>
        <v>0</v>
      </c>
      <c r="AA3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" s="106" t="s">
        <v>38</v>
      </c>
      <c r="AC376" s="51">
        <v>45245</v>
      </c>
      <c r="AD376" s="106" t="s">
        <v>31</v>
      </c>
      <c r="AE376" s="38" t="s">
        <v>411</v>
      </c>
    </row>
    <row r="377" spans="1:31" ht="18" customHeight="1" x14ac:dyDescent="0.25">
      <c r="A3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7" s="79">
        <v>4</v>
      </c>
      <c r="C377" s="23">
        <v>43791</v>
      </c>
      <c r="D377" s="67">
        <f>IF(COUNTIF($G$2:$G377,$G377)=1,1,0)</f>
        <v>0</v>
      </c>
      <c r="E377" s="67" t="str">
        <f>IFERROR(VLOOKUP(База_КР_КК[[#This Row],[ИД штатной должности (S)]],'уровень защищенности'!$B$7:$F$1095,5,0),"не защищена")</f>
        <v>средний</v>
      </c>
      <c r="F377" s="68">
        <v>500517</v>
      </c>
      <c r="G377" s="74" t="s">
        <v>2247</v>
      </c>
      <c r="H377" s="181">
        <f>INDEX('Списки данных'!$D$2:$D$1048576,MATCH(База_КР_КК[[#This Row],[Структурное подразделение]],'Списки данных'!$C$2:$C$1048576,0))</f>
        <v>2</v>
      </c>
      <c r="I377" s="80" t="s">
        <v>133</v>
      </c>
      <c r="J377" s="80" t="s">
        <v>197</v>
      </c>
      <c r="K377" s="80" t="s">
        <v>199</v>
      </c>
      <c r="L377" s="30" t="s">
        <v>191</v>
      </c>
      <c r="M377" s="68">
        <v>6</v>
      </c>
      <c r="N377" s="181" t="str">
        <f t="shared" si="6"/>
        <v>нет</v>
      </c>
      <c r="O377" s="23"/>
      <c r="P377" s="23"/>
      <c r="Q377" s="106"/>
      <c r="R377" s="37">
        <v>90</v>
      </c>
      <c r="S377" s="38" t="s">
        <v>502</v>
      </c>
      <c r="T377" s="37">
        <v>89</v>
      </c>
      <c r="U377" s="39" t="s">
        <v>501</v>
      </c>
      <c r="V377" s="89" t="s">
        <v>272</v>
      </c>
      <c r="W377" s="89" t="s">
        <v>133</v>
      </c>
      <c r="X377" s="106" t="s">
        <v>295</v>
      </c>
      <c r="Y377" s="107" t="s">
        <v>18</v>
      </c>
      <c r="Z377" s="67">
        <f>IF(База_КР_КК[[#This Row],[Таб.номер резервиста]]="-","-",IF(OR(База_КР_КК[[#This Row],[Уровень КК]]=2,База_КР_КК[[#This Row],[Уровень КК]]=3),IF(COUNTIFS($U$2:$U377,$U377,$F$2:$F377,$F377)=1,1,0),IF(COUNTIFS($U$2:$U377,$U377,$L$2:$L377,$L377)=1,1,0)))</f>
        <v>0</v>
      </c>
      <c r="AA3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" s="106" t="s">
        <v>24</v>
      </c>
      <c r="AC377" s="51">
        <v>44495</v>
      </c>
      <c r="AD377" s="106" t="s">
        <v>17</v>
      </c>
      <c r="AE377" s="38" t="s">
        <v>318</v>
      </c>
    </row>
    <row r="378" spans="1:31" ht="18" customHeight="1" x14ac:dyDescent="0.25">
      <c r="A3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8" s="79">
        <v>4</v>
      </c>
      <c r="C378" s="23">
        <v>44495</v>
      </c>
      <c r="D378" s="67">
        <f>IF(COUNTIF($G$2:$G378,$G378)=1,1,0)</f>
        <v>0</v>
      </c>
      <c r="E378" s="67" t="str">
        <f>IFERROR(VLOOKUP(База_КР_КК[[#This Row],[ИД штатной должности (S)]],'уровень защищенности'!$B$7:$F$1095,5,0),"не защищена")</f>
        <v>средний</v>
      </c>
      <c r="F378" s="68">
        <v>500517</v>
      </c>
      <c r="G378" s="74" t="s">
        <v>2247</v>
      </c>
      <c r="H378" s="181">
        <f>INDEX('Списки данных'!$D$2:$D$1048576,MATCH(База_КР_КК[[#This Row],[Структурное подразделение]],'Списки данных'!$C$2:$C$1048576,0))</f>
        <v>2</v>
      </c>
      <c r="I378" s="80" t="s">
        <v>133</v>
      </c>
      <c r="J378" s="80" t="s">
        <v>197</v>
      </c>
      <c r="K378" s="80" t="s">
        <v>199</v>
      </c>
      <c r="L378" s="30" t="s">
        <v>191</v>
      </c>
      <c r="M378" s="68">
        <v>6</v>
      </c>
      <c r="N378" s="181" t="str">
        <f t="shared" si="6"/>
        <v>нет</v>
      </c>
      <c r="O378" s="23"/>
      <c r="P378" s="23"/>
      <c r="Q378" s="106"/>
      <c r="R378" s="37">
        <v>90</v>
      </c>
      <c r="S378" s="39" t="s">
        <v>502</v>
      </c>
      <c r="T378" s="37">
        <v>1209</v>
      </c>
      <c r="U378" s="39" t="s">
        <v>1614</v>
      </c>
      <c r="V378" s="89" t="s">
        <v>192</v>
      </c>
      <c r="W378" s="89" t="s">
        <v>133</v>
      </c>
      <c r="X378" s="106" t="s">
        <v>296</v>
      </c>
      <c r="Y378" s="107" t="s">
        <v>18</v>
      </c>
      <c r="Z378" s="67">
        <f>IF(База_КР_КК[[#This Row],[Таб.номер резервиста]]="-","-",IF(OR(База_КР_КК[[#This Row],[Уровень КК]]=2,База_КР_КК[[#This Row],[Уровень КК]]=3),IF(COUNTIFS($U$2:$U378,$U378,$F$2:$F378,$F378)=1,1,0),IF(COUNTIFS($U$2:$U378,$U378,$L$2:$L378,$L378)=1,1,0)))</f>
        <v>0</v>
      </c>
      <c r="AA3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" s="106" t="s">
        <v>38</v>
      </c>
      <c r="AC378" s="51">
        <v>45245</v>
      </c>
      <c r="AD378" s="106" t="s">
        <v>31</v>
      </c>
      <c r="AE378" s="40" t="s">
        <v>411</v>
      </c>
    </row>
    <row r="379" spans="1:31" ht="18" customHeight="1" x14ac:dyDescent="0.25">
      <c r="A3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79" s="79">
        <v>4</v>
      </c>
      <c r="C379" s="23">
        <v>44495</v>
      </c>
      <c r="D379" s="67">
        <f>IF(COUNTIF($G$2:$G379,$G379)=1,1,0)</f>
        <v>0</v>
      </c>
      <c r="E379" s="67" t="str">
        <f>IFERROR(VLOOKUP(База_КР_КК[[#This Row],[ИД штатной должности (S)]],'уровень защищенности'!$B$7:$F$1095,5,0),"не защищена")</f>
        <v>средний</v>
      </c>
      <c r="F379" s="68">
        <v>500517</v>
      </c>
      <c r="G379" s="74" t="s">
        <v>2247</v>
      </c>
      <c r="H379" s="181">
        <f>INDEX('Списки данных'!$D$2:$D$1048576,MATCH(База_КР_КК[[#This Row],[Структурное подразделение]],'Списки данных'!$C$2:$C$1048576,0))</f>
        <v>2</v>
      </c>
      <c r="I379" s="80" t="s">
        <v>133</v>
      </c>
      <c r="J379" s="80" t="s">
        <v>197</v>
      </c>
      <c r="K379" s="80" t="s">
        <v>199</v>
      </c>
      <c r="L379" s="30" t="s">
        <v>191</v>
      </c>
      <c r="M379" s="68">
        <v>6</v>
      </c>
      <c r="N379" s="181" t="str">
        <f t="shared" si="6"/>
        <v>нет</v>
      </c>
      <c r="O379" s="23"/>
      <c r="P379" s="23"/>
      <c r="Q379" s="106"/>
      <c r="R379" s="37">
        <v>90</v>
      </c>
      <c r="S379" s="39" t="s">
        <v>502</v>
      </c>
      <c r="T379" s="37">
        <v>1210</v>
      </c>
      <c r="U379" s="39" t="s">
        <v>1615</v>
      </c>
      <c r="V379" s="89" t="s">
        <v>192</v>
      </c>
      <c r="W379" s="89" t="s">
        <v>133</v>
      </c>
      <c r="X379" s="106" t="s">
        <v>296</v>
      </c>
      <c r="Y379" s="107" t="s">
        <v>18</v>
      </c>
      <c r="Z379" s="67">
        <f>IF(База_КР_КК[[#This Row],[Таб.номер резервиста]]="-","-",IF(OR(База_КР_КК[[#This Row],[Уровень КК]]=2,База_КР_КК[[#This Row],[Уровень КК]]=3),IF(COUNTIFS($U$2:$U379,$U379,$F$2:$F379,$F379)=1,1,0),IF(COUNTIFS($U$2:$U379,$U379,$L$2:$L379,$L379)=1,1,0)))</f>
        <v>0</v>
      </c>
      <c r="AA3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9" s="106" t="s">
        <v>19</v>
      </c>
      <c r="AC379" s="51">
        <v>44701</v>
      </c>
      <c r="AD379" s="106" t="s">
        <v>15</v>
      </c>
      <c r="AE379" s="38" t="s">
        <v>319</v>
      </c>
    </row>
    <row r="380" spans="1:31" ht="18" customHeight="1" x14ac:dyDescent="0.25">
      <c r="A3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0" s="79">
        <v>4</v>
      </c>
      <c r="C380" s="23">
        <v>43791</v>
      </c>
      <c r="D380" s="67">
        <f>IF(COUNTIF($G$2:$G380,$G380)=1,1,0)</f>
        <v>1</v>
      </c>
      <c r="E380" s="67" t="str">
        <f>IFERROR(VLOOKUP(База_КР_КК[[#This Row],[ИД штатной должности (S)]],'уровень защищенности'!$B$7:$F$1095,5,0),"не защищена")</f>
        <v>средний</v>
      </c>
      <c r="F380" s="68">
        <v>500517</v>
      </c>
      <c r="G380" s="74" t="s">
        <v>2248</v>
      </c>
      <c r="H380" s="181">
        <f>INDEX('Списки данных'!$D$2:$D$1048576,MATCH(База_КР_КК[[#This Row],[Структурное подразделение]],'Списки данных'!$C$2:$C$1048576,0))</f>
        <v>2</v>
      </c>
      <c r="I380" s="80" t="s">
        <v>133</v>
      </c>
      <c r="J380" s="80" t="s">
        <v>197</v>
      </c>
      <c r="K380" s="80" t="s">
        <v>199</v>
      </c>
      <c r="L380" s="30" t="s">
        <v>191</v>
      </c>
      <c r="M380" s="68">
        <v>6</v>
      </c>
      <c r="N380" s="181" t="str">
        <f t="shared" si="6"/>
        <v>нет</v>
      </c>
      <c r="O380" s="23"/>
      <c r="P380" s="23"/>
      <c r="Q380" s="106"/>
      <c r="R380" s="37">
        <v>91</v>
      </c>
      <c r="S380" s="38" t="s">
        <v>503</v>
      </c>
      <c r="T380" s="37">
        <v>1200</v>
      </c>
      <c r="U380" s="39" t="s">
        <v>1606</v>
      </c>
      <c r="V380" s="89" t="s">
        <v>272</v>
      </c>
      <c r="W380" s="89" t="s">
        <v>133</v>
      </c>
      <c r="X380" s="106" t="s">
        <v>296</v>
      </c>
      <c r="Y380" s="107" t="s">
        <v>12</v>
      </c>
      <c r="Z380" s="67">
        <f>IF(База_КР_КК[[#This Row],[Таб.номер резервиста]]="-","-",IF(OR(База_КР_КК[[#This Row],[Уровень КК]]=2,База_КР_КК[[#This Row],[Уровень КК]]=3),IF(COUNTIFS($U$2:$U380,$U380,$F$2:$F380,$F380)=1,1,0),IF(COUNTIFS($U$2:$U380,$U380,$L$2:$L380,$L380)=1,1,0)))</f>
        <v>0</v>
      </c>
      <c r="AA3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" s="106"/>
      <c r="AC380" s="51"/>
      <c r="AD380" s="106" t="s">
        <v>13</v>
      </c>
      <c r="AE380" s="38" t="s">
        <v>411</v>
      </c>
    </row>
    <row r="381" spans="1:31" ht="18" customHeight="1" x14ac:dyDescent="0.25">
      <c r="A3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1" s="79">
        <v>4</v>
      </c>
      <c r="C381" s="23">
        <v>44125</v>
      </c>
      <c r="D381" s="67">
        <f>IF(COUNTIF($G$2:$G381,$G381)=1,1,0)</f>
        <v>0</v>
      </c>
      <c r="E381" s="67" t="str">
        <f>IFERROR(VLOOKUP(База_КР_КК[[#This Row],[ИД штатной должности (S)]],'уровень защищенности'!$B$7:$F$1095,5,0),"не защищена")</f>
        <v>средний</v>
      </c>
      <c r="F381" s="68">
        <v>500517</v>
      </c>
      <c r="G381" s="74" t="s">
        <v>2248</v>
      </c>
      <c r="H381" s="181">
        <f>INDEX('Списки данных'!$D$2:$D$1048576,MATCH(База_КР_КК[[#This Row],[Структурное подразделение]],'Списки данных'!$C$2:$C$1048576,0))</f>
        <v>2</v>
      </c>
      <c r="I381" s="80" t="s">
        <v>133</v>
      </c>
      <c r="J381" s="80" t="s">
        <v>197</v>
      </c>
      <c r="K381" s="80" t="s">
        <v>199</v>
      </c>
      <c r="L381" s="30" t="s">
        <v>191</v>
      </c>
      <c r="M381" s="68">
        <v>6</v>
      </c>
      <c r="N381" s="181" t="str">
        <f t="shared" si="6"/>
        <v>нет</v>
      </c>
      <c r="O381" s="23"/>
      <c r="P381" s="23"/>
      <c r="Q381" s="106"/>
      <c r="R381" s="37">
        <v>91</v>
      </c>
      <c r="S381" s="39" t="s">
        <v>503</v>
      </c>
      <c r="T381" s="37">
        <v>1201</v>
      </c>
      <c r="U381" s="38" t="s">
        <v>1607</v>
      </c>
      <c r="V381" s="69" t="s">
        <v>272</v>
      </c>
      <c r="W381" s="89" t="s">
        <v>133</v>
      </c>
      <c r="X381" s="106" t="s">
        <v>297</v>
      </c>
      <c r="Y381" s="107" t="s">
        <v>12</v>
      </c>
      <c r="Z381" s="67">
        <f>IF(База_КР_КК[[#This Row],[Таб.номер резервиста]]="-","-",IF(OR(База_КР_КК[[#This Row],[Уровень КК]]=2,База_КР_КК[[#This Row],[Уровень КК]]=3),IF(COUNTIFS($U$2:$U381,$U381,$F$2:$F381,$F381)=1,1,0),IF(COUNTIFS($U$2:$U381,$U381,$L$2:$L381,$L381)=1,1,0)))</f>
        <v>0</v>
      </c>
      <c r="AA3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" s="106"/>
      <c r="AC381" s="51"/>
      <c r="AD381" s="106" t="s">
        <v>17</v>
      </c>
      <c r="AE381" s="40" t="s">
        <v>411</v>
      </c>
    </row>
    <row r="382" spans="1:31" ht="18" customHeight="1" x14ac:dyDescent="0.25">
      <c r="A3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2" s="79">
        <v>4</v>
      </c>
      <c r="C382" s="23">
        <v>44125</v>
      </c>
      <c r="D382" s="67">
        <f>IF(COUNTIF($G$2:$G382,$G382)=1,1,0)</f>
        <v>0</v>
      </c>
      <c r="E382" s="67" t="str">
        <f>IFERROR(VLOOKUP(База_КР_КК[[#This Row],[ИД штатной должности (S)]],'уровень защищенности'!$B$7:$F$1095,5,0),"не защищена")</f>
        <v>средний</v>
      </c>
      <c r="F382" s="68">
        <v>500517</v>
      </c>
      <c r="G382" s="74" t="s">
        <v>2248</v>
      </c>
      <c r="H382" s="181">
        <f>INDEX('Списки данных'!$D$2:$D$1048576,MATCH(База_КР_КК[[#This Row],[Структурное подразделение]],'Списки данных'!$C$2:$C$1048576,0))</f>
        <v>2</v>
      </c>
      <c r="I382" s="80" t="s">
        <v>133</v>
      </c>
      <c r="J382" s="80" t="s">
        <v>197</v>
      </c>
      <c r="K382" s="80" t="s">
        <v>199</v>
      </c>
      <c r="L382" s="30" t="s">
        <v>191</v>
      </c>
      <c r="M382" s="68">
        <v>6</v>
      </c>
      <c r="N382" s="181" t="str">
        <f t="shared" si="6"/>
        <v>нет</v>
      </c>
      <c r="O382" s="23"/>
      <c r="P382" s="23"/>
      <c r="Q382" s="106"/>
      <c r="R382" s="37">
        <v>91</v>
      </c>
      <c r="S382" s="39" t="s">
        <v>503</v>
      </c>
      <c r="T382" s="37">
        <v>1202</v>
      </c>
      <c r="U382" s="38" t="s">
        <v>1591</v>
      </c>
      <c r="V382" s="69" t="s">
        <v>272</v>
      </c>
      <c r="W382" s="89" t="s">
        <v>133</v>
      </c>
      <c r="X382" s="106" t="s">
        <v>297</v>
      </c>
      <c r="Y382" s="107" t="s">
        <v>12</v>
      </c>
      <c r="Z382" s="67">
        <f>IF(База_КР_КК[[#This Row],[Таб.номер резервиста]]="-","-",IF(OR(База_КР_КК[[#This Row],[Уровень КК]]=2,База_КР_КК[[#This Row],[Уровень КК]]=3),IF(COUNTIFS($U$2:$U382,$U382,$F$2:$F382,$F382)=1,1,0),IF(COUNTIFS($U$2:$U382,$U382,$L$2:$L382,$L382)=1,1,0)))</f>
        <v>0</v>
      </c>
      <c r="AA3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" s="106"/>
      <c r="AC382" s="51"/>
      <c r="AD382" s="106" t="s">
        <v>17</v>
      </c>
      <c r="AE382" s="40" t="s">
        <v>411</v>
      </c>
    </row>
    <row r="383" spans="1:31" ht="18" customHeight="1" x14ac:dyDescent="0.25">
      <c r="A3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3" s="79">
        <v>4</v>
      </c>
      <c r="C383" s="23">
        <v>44880</v>
      </c>
      <c r="D383" s="67">
        <f>IF(COUNTIF($G$2:$G383,$G383)=1,1,0)</f>
        <v>0</v>
      </c>
      <c r="E383" s="67" t="str">
        <f>IFERROR(VLOOKUP(База_КР_КК[[#This Row],[ИД штатной должности (S)]],'уровень защищенности'!$B$7:$F$1095,5,0),"не защищена")</f>
        <v>средний</v>
      </c>
      <c r="F383" s="68">
        <v>500517</v>
      </c>
      <c r="G383" s="74" t="s">
        <v>2248</v>
      </c>
      <c r="H383" s="181">
        <f>INDEX('Списки данных'!$D$2:$D$1048576,MATCH(База_КР_КК[[#This Row],[Структурное подразделение]],'Списки данных'!$C$2:$C$1048576,0))</f>
        <v>2</v>
      </c>
      <c r="I383" s="80" t="s">
        <v>133</v>
      </c>
      <c r="J383" s="80" t="s">
        <v>197</v>
      </c>
      <c r="K383" s="80" t="s">
        <v>199</v>
      </c>
      <c r="L383" s="30" t="s">
        <v>191</v>
      </c>
      <c r="M383" s="68">
        <v>6</v>
      </c>
      <c r="N383" s="181" t="str">
        <f t="shared" si="6"/>
        <v>нет</v>
      </c>
      <c r="O383" s="23"/>
      <c r="P383" s="23"/>
      <c r="Q383" s="106"/>
      <c r="R383" s="37">
        <v>91</v>
      </c>
      <c r="S383" s="39" t="s">
        <v>503</v>
      </c>
      <c r="T383" s="37">
        <v>119</v>
      </c>
      <c r="U383" s="38" t="s">
        <v>531</v>
      </c>
      <c r="V383" s="69" t="s">
        <v>272</v>
      </c>
      <c r="W383" s="89" t="s">
        <v>133</v>
      </c>
      <c r="X383" s="106" t="s">
        <v>297</v>
      </c>
      <c r="Y383" s="107" t="s">
        <v>14</v>
      </c>
      <c r="Z383" s="67">
        <f>IF(База_КР_КК[[#This Row],[Таб.номер резервиста]]="-","-",IF(OR(База_КР_КК[[#This Row],[Уровень КК]]=2,База_КР_КК[[#This Row],[Уровень КК]]=3),IF(COUNTIFS($U$2:$U383,$U383,$F$2:$F383,$F383)=1,1,0),IF(COUNTIFS($U$2:$U383,$U383,$L$2:$L383,$L383)=1,1,0)))</f>
        <v>0</v>
      </c>
      <c r="AA3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" s="106" t="s">
        <v>24</v>
      </c>
      <c r="AC383" s="51">
        <v>45071</v>
      </c>
      <c r="AD383" s="106" t="s">
        <v>15</v>
      </c>
      <c r="AE383" s="40" t="s">
        <v>411</v>
      </c>
    </row>
    <row r="384" spans="1:31" ht="18" customHeight="1" x14ac:dyDescent="0.25">
      <c r="A3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4" s="79">
        <v>4</v>
      </c>
      <c r="C384" s="23">
        <v>44880</v>
      </c>
      <c r="D384" s="67">
        <f>IF(COUNTIF($G$2:$G384,$G384)=1,1,0)</f>
        <v>0</v>
      </c>
      <c r="E384" s="67" t="str">
        <f>IFERROR(VLOOKUP(База_КР_КК[[#This Row],[ИД штатной должности (S)]],'уровень защищенности'!$B$7:$F$1095,5,0),"не защищена")</f>
        <v>средний</v>
      </c>
      <c r="F384" s="68">
        <v>500517</v>
      </c>
      <c r="G384" s="74" t="s">
        <v>2248</v>
      </c>
      <c r="H384" s="181">
        <f>INDEX('Списки данных'!$D$2:$D$1048576,MATCH(База_КР_КК[[#This Row],[Структурное подразделение]],'Списки данных'!$C$2:$C$1048576,0))</f>
        <v>2</v>
      </c>
      <c r="I384" s="80" t="s">
        <v>133</v>
      </c>
      <c r="J384" s="80" t="s">
        <v>197</v>
      </c>
      <c r="K384" s="80" t="s">
        <v>199</v>
      </c>
      <c r="L384" s="30" t="s">
        <v>191</v>
      </c>
      <c r="M384" s="68">
        <v>6</v>
      </c>
      <c r="N384" s="181" t="str">
        <f t="shared" si="6"/>
        <v>нет</v>
      </c>
      <c r="O384" s="23"/>
      <c r="P384" s="23"/>
      <c r="Q384" s="106"/>
      <c r="R384" s="37">
        <v>91</v>
      </c>
      <c r="S384" s="39" t="s">
        <v>503</v>
      </c>
      <c r="T384" s="37">
        <v>1203</v>
      </c>
      <c r="U384" s="38" t="s">
        <v>1608</v>
      </c>
      <c r="V384" s="69" t="s">
        <v>272</v>
      </c>
      <c r="W384" s="89" t="s">
        <v>133</v>
      </c>
      <c r="X384" s="106" t="s">
        <v>296</v>
      </c>
      <c r="Y384" s="107" t="s">
        <v>12</v>
      </c>
      <c r="Z384" s="67">
        <f>IF(База_КР_КК[[#This Row],[Таб.номер резервиста]]="-","-",IF(OR(База_КР_КК[[#This Row],[Уровень КК]]=2,База_КР_КК[[#This Row],[Уровень КК]]=3),IF(COUNTIFS($U$2:$U384,$U384,$F$2:$F384,$F384)=1,1,0),IF(COUNTIFS($U$2:$U384,$U384,$L$2:$L384,$L384)=1,1,0)))</f>
        <v>0</v>
      </c>
      <c r="AA3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" s="106"/>
      <c r="AC384" s="51"/>
      <c r="AD384" s="106" t="s">
        <v>15</v>
      </c>
      <c r="AE384" s="40" t="s">
        <v>411</v>
      </c>
    </row>
    <row r="385" spans="1:31" ht="18" customHeight="1" x14ac:dyDescent="0.25">
      <c r="A3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5" s="79">
        <v>4</v>
      </c>
      <c r="C385" s="23">
        <v>44880</v>
      </c>
      <c r="D385" s="67">
        <f>IF(COUNTIF($G$2:$G385,$G385)=1,1,0)</f>
        <v>0</v>
      </c>
      <c r="E385" s="67" t="str">
        <f>IFERROR(VLOOKUP(База_КР_КК[[#This Row],[ИД штатной должности (S)]],'уровень защищенности'!$B$7:$F$1095,5,0),"не защищена")</f>
        <v>средний</v>
      </c>
      <c r="F385" s="68">
        <v>500517</v>
      </c>
      <c r="G385" s="74" t="s">
        <v>2248</v>
      </c>
      <c r="H385" s="181">
        <f>INDEX('Списки данных'!$D$2:$D$1048576,MATCH(База_КР_КК[[#This Row],[Структурное подразделение]],'Списки данных'!$C$2:$C$1048576,0))</f>
        <v>2</v>
      </c>
      <c r="I385" s="80" t="s">
        <v>133</v>
      </c>
      <c r="J385" s="80" t="s">
        <v>197</v>
      </c>
      <c r="K385" s="80" t="s">
        <v>199</v>
      </c>
      <c r="L385" s="30" t="s">
        <v>191</v>
      </c>
      <c r="M385" s="68">
        <v>6</v>
      </c>
      <c r="N385" s="181" t="str">
        <f t="shared" ref="N385:N448" si="7">IF(ISBLANK(O385),"нет","да")</f>
        <v>нет</v>
      </c>
      <c r="O385" s="23"/>
      <c r="P385" s="23"/>
      <c r="Q385" s="106"/>
      <c r="R385" s="37">
        <v>91</v>
      </c>
      <c r="S385" s="39" t="s">
        <v>503</v>
      </c>
      <c r="T385" s="37">
        <v>1204</v>
      </c>
      <c r="U385" s="38" t="s">
        <v>1609</v>
      </c>
      <c r="V385" s="69" t="s">
        <v>272</v>
      </c>
      <c r="W385" s="89" t="s">
        <v>133</v>
      </c>
      <c r="X385" s="106" t="s">
        <v>296</v>
      </c>
      <c r="Y385" s="107" t="s">
        <v>12</v>
      </c>
      <c r="Z385" s="67">
        <f>IF(База_КР_КК[[#This Row],[Таб.номер резервиста]]="-","-",IF(OR(База_КР_КК[[#This Row],[Уровень КК]]=2,База_КР_КК[[#This Row],[Уровень КК]]=3),IF(COUNTIFS($U$2:$U385,$U385,$F$2:$F385,$F385)=1,1,0),IF(COUNTIFS($U$2:$U385,$U385,$L$2:$L385,$L385)=1,1,0)))</f>
        <v>0</v>
      </c>
      <c r="AA3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" s="106"/>
      <c r="AC385" s="51"/>
      <c r="AD385" s="106" t="s">
        <v>15</v>
      </c>
      <c r="AE385" s="40" t="s">
        <v>411</v>
      </c>
    </row>
    <row r="386" spans="1:31" ht="18" customHeight="1" x14ac:dyDescent="0.25">
      <c r="A3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6" s="79">
        <v>4</v>
      </c>
      <c r="C386" s="23">
        <v>44880</v>
      </c>
      <c r="D386" s="67">
        <f>IF(COUNTIF($G$2:$G386,$G386)=1,1,0)</f>
        <v>0</v>
      </c>
      <c r="E386" s="67" t="str">
        <f>IFERROR(VLOOKUP(База_КР_КК[[#This Row],[ИД штатной должности (S)]],'уровень защищенности'!$B$7:$F$1095,5,0),"не защищена")</f>
        <v>средний</v>
      </c>
      <c r="F386" s="68">
        <v>500517</v>
      </c>
      <c r="G386" s="74" t="s">
        <v>2248</v>
      </c>
      <c r="H386" s="181">
        <f>INDEX('Списки данных'!$D$2:$D$1048576,MATCH(База_КР_КК[[#This Row],[Структурное подразделение]],'Списки данных'!$C$2:$C$1048576,0))</f>
        <v>2</v>
      </c>
      <c r="I386" s="80" t="s">
        <v>133</v>
      </c>
      <c r="J386" s="80" t="s">
        <v>197</v>
      </c>
      <c r="K386" s="80" t="s">
        <v>199</v>
      </c>
      <c r="L386" s="30" t="s">
        <v>191</v>
      </c>
      <c r="M386" s="68">
        <v>6</v>
      </c>
      <c r="N386" s="181" t="str">
        <f t="shared" si="7"/>
        <v>нет</v>
      </c>
      <c r="O386" s="23"/>
      <c r="P386" s="23"/>
      <c r="Q386" s="106"/>
      <c r="R386" s="37">
        <v>91</v>
      </c>
      <c r="S386" s="39" t="s">
        <v>503</v>
      </c>
      <c r="T386" s="37">
        <v>1205</v>
      </c>
      <c r="U386" s="38" t="s">
        <v>1610</v>
      </c>
      <c r="V386" s="69" t="s">
        <v>272</v>
      </c>
      <c r="W386" s="89" t="s">
        <v>133</v>
      </c>
      <c r="X386" s="106" t="s">
        <v>296</v>
      </c>
      <c r="Y386" s="107" t="s">
        <v>12</v>
      </c>
      <c r="Z386" s="67">
        <f>IF(База_КР_КК[[#This Row],[Таб.номер резервиста]]="-","-",IF(OR(База_КР_КК[[#This Row],[Уровень КК]]=2,База_КР_КК[[#This Row],[Уровень КК]]=3),IF(COUNTIFS($U$2:$U386,$U386,$F$2:$F386,$F386)=1,1,0),IF(COUNTIFS($U$2:$U386,$U386,$L$2:$L386,$L386)=1,1,0)))</f>
        <v>0</v>
      </c>
      <c r="AA3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" s="106"/>
      <c r="AC386" s="51"/>
      <c r="AD386" s="106" t="s">
        <v>15</v>
      </c>
      <c r="AE386" s="40" t="s">
        <v>411</v>
      </c>
    </row>
    <row r="387" spans="1:31" ht="18" customHeight="1" x14ac:dyDescent="0.25">
      <c r="A3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7" s="79">
        <v>4</v>
      </c>
      <c r="C387" s="23">
        <v>45012</v>
      </c>
      <c r="D387" s="67">
        <f>IF(COUNTIF($G$2:$G387,$G387)=1,1,0)</f>
        <v>0</v>
      </c>
      <c r="E387" s="67" t="str">
        <f>IFERROR(VLOOKUP(База_КР_КК[[#This Row],[ИД штатной должности (S)]],'уровень защищенности'!$B$7:$F$1095,5,0),"не защищена")</f>
        <v>средний</v>
      </c>
      <c r="F387" s="68">
        <v>500517</v>
      </c>
      <c r="G387" s="74" t="s">
        <v>2248</v>
      </c>
      <c r="H387" s="181">
        <f>INDEX('Списки данных'!$D$2:$D$1048576,MATCH(База_КР_КК[[#This Row],[Структурное подразделение]],'Списки данных'!$C$2:$C$1048576,0))</f>
        <v>2</v>
      </c>
      <c r="I387" s="80" t="s">
        <v>133</v>
      </c>
      <c r="J387" s="80" t="s">
        <v>197</v>
      </c>
      <c r="K387" s="80" t="s">
        <v>199</v>
      </c>
      <c r="L387" s="30" t="s">
        <v>191</v>
      </c>
      <c r="M387" s="68">
        <v>6</v>
      </c>
      <c r="N387" s="181" t="str">
        <f t="shared" si="7"/>
        <v>нет</v>
      </c>
      <c r="O387" s="23"/>
      <c r="P387" s="23"/>
      <c r="Q387" s="106"/>
      <c r="R387" s="37">
        <v>91</v>
      </c>
      <c r="S387" s="39" t="s">
        <v>503</v>
      </c>
      <c r="T387" s="37">
        <v>1206</v>
      </c>
      <c r="U387" s="38" t="s">
        <v>1611</v>
      </c>
      <c r="V387" s="69" t="s">
        <v>272</v>
      </c>
      <c r="W387" s="89" t="s">
        <v>133</v>
      </c>
      <c r="X387" s="106" t="s">
        <v>296</v>
      </c>
      <c r="Y387" s="39" t="s">
        <v>12</v>
      </c>
      <c r="Z387" s="67">
        <f>IF(База_КР_КК[[#This Row],[Таб.номер резервиста]]="-","-",IF(OR(База_КР_КК[[#This Row],[Уровень КК]]=2,База_КР_КК[[#This Row],[Уровень КК]]=3),IF(COUNTIFS($U$2:$U387,$U387,$F$2:$F387,$F387)=1,1,0),IF(COUNTIFS($U$2:$U387,$U387,$L$2:$L387,$L387)=1,1,0)))</f>
        <v>0</v>
      </c>
      <c r="AA3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" s="33"/>
      <c r="AC387" s="25"/>
      <c r="AD387" s="33" t="s">
        <v>15</v>
      </c>
      <c r="AE387" s="38" t="s">
        <v>412</v>
      </c>
    </row>
    <row r="388" spans="1:31" ht="18" customHeight="1" x14ac:dyDescent="0.25">
      <c r="A3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8" s="79">
        <v>4</v>
      </c>
      <c r="C388" s="23">
        <v>45012</v>
      </c>
      <c r="D388" s="67">
        <f>IF(COUNTIF($G$2:$G388,$G388)=1,1,0)</f>
        <v>0</v>
      </c>
      <c r="E388" s="67" t="str">
        <f>IFERROR(VLOOKUP(База_КР_КК[[#This Row],[ИД штатной должности (S)]],'уровень защищенности'!$B$7:$F$1095,5,0),"не защищена")</f>
        <v>средний</v>
      </c>
      <c r="F388" s="68">
        <v>500517</v>
      </c>
      <c r="G388" s="74" t="s">
        <v>2248</v>
      </c>
      <c r="H388" s="181">
        <f>INDEX('Списки данных'!$D$2:$D$1048576,MATCH(База_КР_КК[[#This Row],[Структурное подразделение]],'Списки данных'!$C$2:$C$1048576,0))</f>
        <v>2</v>
      </c>
      <c r="I388" s="80" t="s">
        <v>133</v>
      </c>
      <c r="J388" s="80" t="s">
        <v>197</v>
      </c>
      <c r="K388" s="80" t="s">
        <v>199</v>
      </c>
      <c r="L388" s="30" t="s">
        <v>191</v>
      </c>
      <c r="M388" s="68">
        <v>6</v>
      </c>
      <c r="N388" s="181" t="str">
        <f t="shared" si="7"/>
        <v>нет</v>
      </c>
      <c r="O388" s="23"/>
      <c r="P388" s="23"/>
      <c r="Q388" s="106"/>
      <c r="R388" s="37">
        <v>91</v>
      </c>
      <c r="S388" s="39" t="s">
        <v>503</v>
      </c>
      <c r="T388" s="37">
        <v>1207</v>
      </c>
      <c r="U388" s="38" t="s">
        <v>1612</v>
      </c>
      <c r="V388" s="69" t="s">
        <v>272</v>
      </c>
      <c r="W388" s="89" t="s">
        <v>133</v>
      </c>
      <c r="X388" s="106" t="s">
        <v>296</v>
      </c>
      <c r="Y388" s="39" t="s">
        <v>12</v>
      </c>
      <c r="Z388" s="67">
        <f>IF(База_КР_КК[[#This Row],[Таб.номер резервиста]]="-","-",IF(OR(База_КР_КК[[#This Row],[Уровень КК]]=2,База_КР_КК[[#This Row],[Уровень КК]]=3),IF(COUNTIFS($U$2:$U388,$U388,$F$2:$F388,$F388)=1,1,0),IF(COUNTIFS($U$2:$U388,$U388,$L$2:$L388,$L388)=1,1,0)))</f>
        <v>0</v>
      </c>
      <c r="AA3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" s="33"/>
      <c r="AC388" s="25"/>
      <c r="AD388" s="33" t="s">
        <v>15</v>
      </c>
      <c r="AE388" s="38" t="s">
        <v>412</v>
      </c>
    </row>
    <row r="389" spans="1:31" ht="18" customHeight="1" x14ac:dyDescent="0.25">
      <c r="A3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89" s="79">
        <v>4</v>
      </c>
      <c r="C389" s="23">
        <v>43791</v>
      </c>
      <c r="D389" s="67">
        <f>IF(COUNTIF($G$2:$G389,$G389)=1,1,0)</f>
        <v>0</v>
      </c>
      <c r="E389" s="67" t="str">
        <f>IFERROR(VLOOKUP(База_КР_КК[[#This Row],[ИД штатной должности (S)]],'уровень защищенности'!$B$7:$F$1095,5,0),"не защищена")</f>
        <v>средний</v>
      </c>
      <c r="F389" s="68">
        <v>500517</v>
      </c>
      <c r="G389" s="74" t="s">
        <v>2248</v>
      </c>
      <c r="H389" s="181">
        <f>INDEX('Списки данных'!$D$2:$D$1048576,MATCH(База_КР_КК[[#This Row],[Структурное подразделение]],'Списки данных'!$C$2:$C$1048576,0))</f>
        <v>2</v>
      </c>
      <c r="I389" s="80" t="s">
        <v>133</v>
      </c>
      <c r="J389" s="80" t="s">
        <v>197</v>
      </c>
      <c r="K389" s="80" t="s">
        <v>199</v>
      </c>
      <c r="L389" s="30" t="s">
        <v>191</v>
      </c>
      <c r="M389" s="68">
        <v>6</v>
      </c>
      <c r="N389" s="181" t="str">
        <f t="shared" si="7"/>
        <v>нет</v>
      </c>
      <c r="O389" s="23"/>
      <c r="P389" s="23"/>
      <c r="Q389" s="106"/>
      <c r="R389" s="37">
        <v>91</v>
      </c>
      <c r="S389" s="38" t="s">
        <v>503</v>
      </c>
      <c r="T389" s="37">
        <v>92</v>
      </c>
      <c r="U389" s="39" t="s">
        <v>504</v>
      </c>
      <c r="V389" s="89" t="s">
        <v>192</v>
      </c>
      <c r="W389" s="89" t="s">
        <v>133</v>
      </c>
      <c r="X389" s="106" t="s">
        <v>295</v>
      </c>
      <c r="Y389" s="107" t="s">
        <v>14</v>
      </c>
      <c r="Z389" s="67">
        <f>IF(База_КР_КК[[#This Row],[Таб.номер резервиста]]="-","-",IF(OR(База_КР_КК[[#This Row],[Уровень КК]]=2,База_КР_КК[[#This Row],[Уровень КК]]=3),IF(COUNTIFS($U$2:$U389,$U389,$F$2:$F389,$F389)=1,1,0),IF(COUNTIFS($U$2:$U389,$U389,$L$2:$L389,$L389)=1,1,0)))</f>
        <v>0</v>
      </c>
      <c r="AA3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" s="106" t="s">
        <v>24</v>
      </c>
      <c r="AC389" s="51">
        <v>44866</v>
      </c>
      <c r="AD389" s="106" t="s">
        <v>17</v>
      </c>
      <c r="AE389" s="38" t="s">
        <v>318</v>
      </c>
    </row>
    <row r="390" spans="1:31" ht="18" customHeight="1" x14ac:dyDescent="0.25">
      <c r="A3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0" s="79">
        <v>4</v>
      </c>
      <c r="C390" s="23">
        <v>43791</v>
      </c>
      <c r="D390" s="67">
        <f>IF(COUNTIF($G$2:$G390,$G390)=1,1,0)</f>
        <v>0</v>
      </c>
      <c r="E390" s="67" t="str">
        <f>IFERROR(VLOOKUP(База_КР_КК[[#This Row],[ИД штатной должности (S)]],'уровень защищенности'!$B$7:$F$1095,5,0),"не защищена")</f>
        <v>средний</v>
      </c>
      <c r="F390" s="68">
        <v>500517</v>
      </c>
      <c r="G390" s="74" t="s">
        <v>2248</v>
      </c>
      <c r="H390" s="181">
        <f>INDEX('Списки данных'!$D$2:$D$1048576,MATCH(База_КР_КК[[#This Row],[Структурное подразделение]],'Списки данных'!$C$2:$C$1048576,0))</f>
        <v>2</v>
      </c>
      <c r="I390" s="80" t="s">
        <v>133</v>
      </c>
      <c r="J390" s="80" t="s">
        <v>197</v>
      </c>
      <c r="K390" s="80" t="s">
        <v>199</v>
      </c>
      <c r="L390" s="30" t="s">
        <v>191</v>
      </c>
      <c r="M390" s="68">
        <v>6</v>
      </c>
      <c r="N390" s="181" t="str">
        <f t="shared" si="7"/>
        <v>нет</v>
      </c>
      <c r="O390" s="23"/>
      <c r="P390" s="23"/>
      <c r="Q390" s="106"/>
      <c r="R390" s="37">
        <v>91</v>
      </c>
      <c r="S390" s="38" t="s">
        <v>503</v>
      </c>
      <c r="T390" s="37">
        <v>1208</v>
      </c>
      <c r="U390" s="39" t="s">
        <v>1613</v>
      </c>
      <c r="V390" s="89" t="s">
        <v>192</v>
      </c>
      <c r="W390" s="89" t="s">
        <v>133</v>
      </c>
      <c r="X390" s="106" t="s">
        <v>297</v>
      </c>
      <c r="Y390" s="107" t="s">
        <v>18</v>
      </c>
      <c r="Z390" s="67">
        <f>IF(База_КР_КК[[#This Row],[Таб.номер резервиста]]="-","-",IF(OR(База_КР_КК[[#This Row],[Уровень КК]]=2,База_КР_КК[[#This Row],[Уровень КК]]=3),IF(COUNTIFS($U$2:$U390,$U390,$F$2:$F390,$F390)=1,1,0),IF(COUNTIFS($U$2:$U390,$U390,$L$2:$L390,$L390)=1,1,0)))</f>
        <v>0</v>
      </c>
      <c r="AA3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" s="106" t="s">
        <v>38</v>
      </c>
      <c r="AC390" s="51">
        <v>45245</v>
      </c>
      <c r="AD390" s="106" t="s">
        <v>31</v>
      </c>
      <c r="AE390" s="38" t="s">
        <v>411</v>
      </c>
    </row>
    <row r="391" spans="1:31" ht="18" customHeight="1" x14ac:dyDescent="0.25">
      <c r="A3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1" s="79">
        <v>4</v>
      </c>
      <c r="C391" s="23">
        <v>43791</v>
      </c>
      <c r="D391" s="67">
        <f>IF(COUNTIF($G$2:$G391,$G391)=1,1,0)</f>
        <v>0</v>
      </c>
      <c r="E391" s="67" t="str">
        <f>IFERROR(VLOOKUP(База_КР_КК[[#This Row],[ИД штатной должности (S)]],'уровень защищенности'!$B$7:$F$1095,5,0),"не защищена")</f>
        <v>средний</v>
      </c>
      <c r="F391" s="68">
        <v>500517</v>
      </c>
      <c r="G391" s="74" t="s">
        <v>2248</v>
      </c>
      <c r="H391" s="181">
        <f>INDEX('Списки данных'!$D$2:$D$1048576,MATCH(База_КР_КК[[#This Row],[Структурное подразделение]],'Списки данных'!$C$2:$C$1048576,0))</f>
        <v>2</v>
      </c>
      <c r="I391" s="80" t="s">
        <v>133</v>
      </c>
      <c r="J391" s="80" t="s">
        <v>197</v>
      </c>
      <c r="K391" s="80" t="s">
        <v>199</v>
      </c>
      <c r="L391" s="30" t="s">
        <v>191</v>
      </c>
      <c r="M391" s="68">
        <v>6</v>
      </c>
      <c r="N391" s="181" t="str">
        <f t="shared" si="7"/>
        <v>нет</v>
      </c>
      <c r="O391" s="23"/>
      <c r="P391" s="23"/>
      <c r="Q391" s="106"/>
      <c r="R391" s="37">
        <v>91</v>
      </c>
      <c r="S391" s="38" t="s">
        <v>503</v>
      </c>
      <c r="T391" s="37">
        <v>89</v>
      </c>
      <c r="U391" s="39" t="s">
        <v>501</v>
      </c>
      <c r="V391" s="89" t="s">
        <v>272</v>
      </c>
      <c r="W391" s="89" t="s">
        <v>133</v>
      </c>
      <c r="X391" s="106" t="s">
        <v>295</v>
      </c>
      <c r="Y391" s="107" t="s">
        <v>18</v>
      </c>
      <c r="Z391" s="67">
        <f>IF(База_КР_КК[[#This Row],[Таб.номер резервиста]]="-","-",IF(OR(База_КР_КК[[#This Row],[Уровень КК]]=2,База_КР_КК[[#This Row],[Уровень КК]]=3),IF(COUNTIFS($U$2:$U391,$U391,$F$2:$F391,$F391)=1,1,0),IF(COUNTIFS($U$2:$U391,$U391,$L$2:$L391,$L391)=1,1,0)))</f>
        <v>0</v>
      </c>
      <c r="AA3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" s="106" t="s">
        <v>24</v>
      </c>
      <c r="AC391" s="51">
        <v>44495</v>
      </c>
      <c r="AD391" s="106" t="s">
        <v>17</v>
      </c>
      <c r="AE391" s="38" t="s">
        <v>318</v>
      </c>
    </row>
    <row r="392" spans="1:31" ht="18" customHeight="1" x14ac:dyDescent="0.25">
      <c r="A3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2" s="79">
        <v>4</v>
      </c>
      <c r="C392" s="23">
        <v>44495</v>
      </c>
      <c r="D392" s="67">
        <f>IF(COUNTIF($G$2:$G392,$G392)=1,1,0)</f>
        <v>0</v>
      </c>
      <c r="E392" s="67" t="str">
        <f>IFERROR(VLOOKUP(База_КР_КК[[#This Row],[ИД штатной должности (S)]],'уровень защищенности'!$B$7:$F$1095,5,0),"не защищена")</f>
        <v>средний</v>
      </c>
      <c r="F392" s="68">
        <v>500517</v>
      </c>
      <c r="G392" s="74" t="s">
        <v>2248</v>
      </c>
      <c r="H392" s="181">
        <f>INDEX('Списки данных'!$D$2:$D$1048576,MATCH(База_КР_КК[[#This Row],[Структурное подразделение]],'Списки данных'!$C$2:$C$1048576,0))</f>
        <v>2</v>
      </c>
      <c r="I392" s="80" t="s">
        <v>133</v>
      </c>
      <c r="J392" s="80" t="s">
        <v>197</v>
      </c>
      <c r="K392" s="80" t="s">
        <v>199</v>
      </c>
      <c r="L392" s="30" t="s">
        <v>191</v>
      </c>
      <c r="M392" s="68">
        <v>6</v>
      </c>
      <c r="N392" s="181" t="str">
        <f t="shared" si="7"/>
        <v>нет</v>
      </c>
      <c r="O392" s="23"/>
      <c r="P392" s="23"/>
      <c r="Q392" s="106"/>
      <c r="R392" s="37">
        <v>91</v>
      </c>
      <c r="S392" s="38" t="s">
        <v>503</v>
      </c>
      <c r="T392" s="37">
        <v>1209</v>
      </c>
      <c r="U392" s="39" t="s">
        <v>1614</v>
      </c>
      <c r="V392" s="89" t="s">
        <v>192</v>
      </c>
      <c r="W392" s="89" t="s">
        <v>133</v>
      </c>
      <c r="X392" s="106" t="s">
        <v>296</v>
      </c>
      <c r="Y392" s="107" t="s">
        <v>18</v>
      </c>
      <c r="Z392" s="67">
        <f>IF(База_КР_КК[[#This Row],[Таб.номер резервиста]]="-","-",IF(OR(База_КР_КК[[#This Row],[Уровень КК]]=2,База_КР_КК[[#This Row],[Уровень КК]]=3),IF(COUNTIFS($U$2:$U392,$U392,$F$2:$F392,$F392)=1,1,0),IF(COUNTIFS($U$2:$U392,$U392,$L$2:$L392,$L392)=1,1,0)))</f>
        <v>0</v>
      </c>
      <c r="AA3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" s="106" t="s">
        <v>38</v>
      </c>
      <c r="AC392" s="51">
        <v>45245</v>
      </c>
      <c r="AD392" s="106" t="s">
        <v>31</v>
      </c>
      <c r="AE392" s="40" t="s">
        <v>411</v>
      </c>
    </row>
    <row r="393" spans="1:31" ht="18" customHeight="1" x14ac:dyDescent="0.25">
      <c r="A3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3" s="79">
        <v>4</v>
      </c>
      <c r="C393" s="23">
        <v>44495</v>
      </c>
      <c r="D393" s="67">
        <f>IF(COUNTIF($G$2:$G393,$G393)=1,1,0)</f>
        <v>0</v>
      </c>
      <c r="E393" s="67" t="str">
        <f>IFERROR(VLOOKUP(База_КР_КК[[#This Row],[ИД штатной должности (S)]],'уровень защищенности'!$B$7:$F$1095,5,0),"не защищена")</f>
        <v>средний</v>
      </c>
      <c r="F393" s="68">
        <v>500517</v>
      </c>
      <c r="G393" s="74" t="s">
        <v>2248</v>
      </c>
      <c r="H393" s="181">
        <f>INDEX('Списки данных'!$D$2:$D$1048576,MATCH(База_КР_КК[[#This Row],[Структурное подразделение]],'Списки данных'!$C$2:$C$1048576,0))</f>
        <v>2</v>
      </c>
      <c r="I393" s="80" t="s">
        <v>133</v>
      </c>
      <c r="J393" s="80" t="s">
        <v>197</v>
      </c>
      <c r="K393" s="80" t="s">
        <v>199</v>
      </c>
      <c r="L393" s="30" t="s">
        <v>191</v>
      </c>
      <c r="M393" s="68">
        <v>6</v>
      </c>
      <c r="N393" s="181" t="str">
        <f t="shared" si="7"/>
        <v>нет</v>
      </c>
      <c r="O393" s="23"/>
      <c r="P393" s="23"/>
      <c r="Q393" s="106"/>
      <c r="R393" s="37">
        <v>91</v>
      </c>
      <c r="S393" s="38" t="s">
        <v>503</v>
      </c>
      <c r="T393" s="37">
        <v>1210</v>
      </c>
      <c r="U393" s="39" t="s">
        <v>1615</v>
      </c>
      <c r="V393" s="89" t="s">
        <v>192</v>
      </c>
      <c r="W393" s="89" t="s">
        <v>133</v>
      </c>
      <c r="X393" s="106" t="s">
        <v>296</v>
      </c>
      <c r="Y393" s="107" t="s">
        <v>18</v>
      </c>
      <c r="Z393" s="67">
        <f>IF(База_КР_КК[[#This Row],[Таб.номер резервиста]]="-","-",IF(OR(База_КР_КК[[#This Row],[Уровень КК]]=2,База_КР_КК[[#This Row],[Уровень КК]]=3),IF(COUNTIFS($U$2:$U393,$U393,$F$2:$F393,$F393)=1,1,0),IF(COUNTIFS($U$2:$U393,$U393,$L$2:$L393,$L393)=1,1,0)))</f>
        <v>0</v>
      </c>
      <c r="AA3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" s="106" t="s">
        <v>19</v>
      </c>
      <c r="AC393" s="51">
        <v>44701</v>
      </c>
      <c r="AD393" s="106" t="s">
        <v>15</v>
      </c>
      <c r="AE393" s="38" t="s">
        <v>319</v>
      </c>
    </row>
    <row r="394" spans="1:31" ht="18" customHeight="1" x14ac:dyDescent="0.25">
      <c r="A3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4" s="79">
        <v>4</v>
      </c>
      <c r="C394" s="23">
        <v>43791</v>
      </c>
      <c r="D394" s="67">
        <f>IF(COUNTIF($G$2:$G394,$G394)=1,1,0)</f>
        <v>1</v>
      </c>
      <c r="E394" s="67" t="str">
        <f>IFERROR(VLOOKUP(База_КР_КК[[#This Row],[ИД штатной должности (S)]],'уровень защищенности'!$B$7:$F$1095,5,0),"не защищена")</f>
        <v>средний</v>
      </c>
      <c r="F394" s="68">
        <v>500517</v>
      </c>
      <c r="G394" s="74" t="s">
        <v>2249</v>
      </c>
      <c r="H394" s="181">
        <f>INDEX('Списки данных'!$D$2:$D$1048576,MATCH(База_КР_КК[[#This Row],[Структурное подразделение]],'Списки данных'!$C$2:$C$1048576,0))</f>
        <v>2</v>
      </c>
      <c r="I394" s="80" t="s">
        <v>133</v>
      </c>
      <c r="J394" s="80" t="s">
        <v>197</v>
      </c>
      <c r="K394" s="80" t="s">
        <v>199</v>
      </c>
      <c r="L394" s="30" t="s">
        <v>191</v>
      </c>
      <c r="M394" s="68">
        <v>6</v>
      </c>
      <c r="N394" s="181" t="str">
        <f t="shared" si="7"/>
        <v>да</v>
      </c>
      <c r="O394" s="23">
        <v>44713</v>
      </c>
      <c r="P394" s="23">
        <v>44866</v>
      </c>
      <c r="Q394" s="106" t="s">
        <v>66</v>
      </c>
      <c r="R394" s="37">
        <v>92</v>
      </c>
      <c r="S394" s="39" t="s">
        <v>504</v>
      </c>
      <c r="T394" s="37">
        <v>1200</v>
      </c>
      <c r="U394" s="39" t="s">
        <v>1606</v>
      </c>
      <c r="V394" s="89" t="s">
        <v>272</v>
      </c>
      <c r="W394" s="89" t="s">
        <v>133</v>
      </c>
      <c r="X394" s="106" t="s">
        <v>296</v>
      </c>
      <c r="Y394" s="107" t="s">
        <v>12</v>
      </c>
      <c r="Z394" s="67">
        <f>IF(База_КР_КК[[#This Row],[Таб.номер резервиста]]="-","-",IF(OR(База_КР_КК[[#This Row],[Уровень КК]]=2,База_КР_КК[[#This Row],[Уровень КК]]=3),IF(COUNTIFS($U$2:$U394,$U394,$F$2:$F394,$F394)=1,1,0),IF(COUNTIFS($U$2:$U394,$U394,$L$2:$L394,$L394)=1,1,0)))</f>
        <v>0</v>
      </c>
      <c r="AA3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" s="106"/>
      <c r="AC394" s="51"/>
      <c r="AD394" s="106" t="s">
        <v>13</v>
      </c>
      <c r="AE394" s="38" t="s">
        <v>411</v>
      </c>
    </row>
    <row r="395" spans="1:31" ht="18" customHeight="1" x14ac:dyDescent="0.25">
      <c r="A3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5" s="79">
        <v>4</v>
      </c>
      <c r="C395" s="23">
        <v>44125</v>
      </c>
      <c r="D395" s="67">
        <f>IF(COUNTIF($G$2:$G395,$G395)=1,1,0)</f>
        <v>0</v>
      </c>
      <c r="E395" s="67" t="str">
        <f>IFERROR(VLOOKUP(База_КР_КК[[#This Row],[ИД штатной должности (S)]],'уровень защищенности'!$B$7:$F$1095,5,0),"не защищена")</f>
        <v>средний</v>
      </c>
      <c r="F395" s="68">
        <v>500517</v>
      </c>
      <c r="G395" s="74" t="s">
        <v>2249</v>
      </c>
      <c r="H395" s="181">
        <f>INDEX('Списки данных'!$D$2:$D$1048576,MATCH(База_КР_КК[[#This Row],[Структурное подразделение]],'Списки данных'!$C$2:$C$1048576,0))</f>
        <v>2</v>
      </c>
      <c r="I395" s="80" t="s">
        <v>133</v>
      </c>
      <c r="J395" s="80" t="s">
        <v>197</v>
      </c>
      <c r="K395" s="80" t="s">
        <v>199</v>
      </c>
      <c r="L395" s="30" t="s">
        <v>191</v>
      </c>
      <c r="M395" s="68">
        <v>6</v>
      </c>
      <c r="N395" s="181" t="str">
        <f t="shared" si="7"/>
        <v>да</v>
      </c>
      <c r="O395" s="23">
        <v>44713</v>
      </c>
      <c r="P395" s="23">
        <v>44866</v>
      </c>
      <c r="Q395" s="106" t="s">
        <v>66</v>
      </c>
      <c r="R395" s="37">
        <v>92</v>
      </c>
      <c r="S395" s="39" t="s">
        <v>504</v>
      </c>
      <c r="T395" s="37">
        <v>1201</v>
      </c>
      <c r="U395" s="38" t="s">
        <v>1607</v>
      </c>
      <c r="V395" s="69" t="s">
        <v>272</v>
      </c>
      <c r="W395" s="89" t="s">
        <v>133</v>
      </c>
      <c r="X395" s="106" t="s">
        <v>297</v>
      </c>
      <c r="Y395" s="107" t="s">
        <v>12</v>
      </c>
      <c r="Z395" s="67">
        <f>IF(База_КР_КК[[#This Row],[Таб.номер резервиста]]="-","-",IF(OR(База_КР_КК[[#This Row],[Уровень КК]]=2,База_КР_КК[[#This Row],[Уровень КК]]=3),IF(COUNTIFS($U$2:$U395,$U395,$F$2:$F395,$F395)=1,1,0),IF(COUNTIFS($U$2:$U395,$U395,$L$2:$L395,$L395)=1,1,0)))</f>
        <v>0</v>
      </c>
      <c r="AA3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" s="106"/>
      <c r="AC395" s="51"/>
      <c r="AD395" s="106" t="s">
        <v>17</v>
      </c>
      <c r="AE395" s="40" t="s">
        <v>411</v>
      </c>
    </row>
    <row r="396" spans="1:31" ht="18" customHeight="1" x14ac:dyDescent="0.25">
      <c r="A3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6" s="79">
        <v>4</v>
      </c>
      <c r="C396" s="23">
        <v>44125</v>
      </c>
      <c r="D396" s="67">
        <f>IF(COUNTIF($G$2:$G396,$G396)=1,1,0)</f>
        <v>0</v>
      </c>
      <c r="E396" s="67" t="str">
        <f>IFERROR(VLOOKUP(База_КР_КК[[#This Row],[ИД штатной должности (S)]],'уровень защищенности'!$B$7:$F$1095,5,0),"не защищена")</f>
        <v>средний</v>
      </c>
      <c r="F396" s="68">
        <v>500517</v>
      </c>
      <c r="G396" s="74" t="s">
        <v>2249</v>
      </c>
      <c r="H396" s="181">
        <f>INDEX('Списки данных'!$D$2:$D$1048576,MATCH(База_КР_КК[[#This Row],[Структурное подразделение]],'Списки данных'!$C$2:$C$1048576,0))</f>
        <v>2</v>
      </c>
      <c r="I396" s="80" t="s">
        <v>133</v>
      </c>
      <c r="J396" s="80" t="s">
        <v>197</v>
      </c>
      <c r="K396" s="80" t="s">
        <v>199</v>
      </c>
      <c r="L396" s="30" t="s">
        <v>191</v>
      </c>
      <c r="M396" s="68">
        <v>6</v>
      </c>
      <c r="N396" s="181" t="str">
        <f t="shared" si="7"/>
        <v>да</v>
      </c>
      <c r="O396" s="23">
        <v>44713</v>
      </c>
      <c r="P396" s="23">
        <v>44866</v>
      </c>
      <c r="Q396" s="106" t="s">
        <v>66</v>
      </c>
      <c r="R396" s="37">
        <v>92</v>
      </c>
      <c r="S396" s="39" t="s">
        <v>504</v>
      </c>
      <c r="T396" s="37">
        <v>1202</v>
      </c>
      <c r="U396" s="38" t="s">
        <v>1591</v>
      </c>
      <c r="V396" s="69" t="s">
        <v>272</v>
      </c>
      <c r="W396" s="89" t="s">
        <v>133</v>
      </c>
      <c r="X396" s="106" t="s">
        <v>297</v>
      </c>
      <c r="Y396" s="107" t="s">
        <v>12</v>
      </c>
      <c r="Z396" s="67">
        <f>IF(База_КР_КК[[#This Row],[Таб.номер резервиста]]="-","-",IF(OR(База_КР_КК[[#This Row],[Уровень КК]]=2,База_КР_КК[[#This Row],[Уровень КК]]=3),IF(COUNTIFS($U$2:$U396,$U396,$F$2:$F396,$F396)=1,1,0),IF(COUNTIFS($U$2:$U396,$U396,$L$2:$L396,$L396)=1,1,0)))</f>
        <v>0</v>
      </c>
      <c r="AA3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" s="106"/>
      <c r="AC396" s="51"/>
      <c r="AD396" s="106" t="s">
        <v>17</v>
      </c>
      <c r="AE396" s="40" t="s">
        <v>411</v>
      </c>
    </row>
    <row r="397" spans="1:31" ht="18" customHeight="1" x14ac:dyDescent="0.25">
      <c r="A3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7" s="79">
        <v>4</v>
      </c>
      <c r="C397" s="23">
        <v>44880</v>
      </c>
      <c r="D397" s="67">
        <f>IF(COUNTIF($G$2:$G397,$G397)=1,1,0)</f>
        <v>0</v>
      </c>
      <c r="E397" s="67" t="str">
        <f>IFERROR(VLOOKUP(База_КР_КК[[#This Row],[ИД штатной должности (S)]],'уровень защищенности'!$B$7:$F$1095,5,0),"не защищена")</f>
        <v>средний</v>
      </c>
      <c r="F397" s="68">
        <v>500517</v>
      </c>
      <c r="G397" s="74" t="s">
        <v>2249</v>
      </c>
      <c r="H397" s="181">
        <f>INDEX('Списки данных'!$D$2:$D$1048576,MATCH(База_КР_КК[[#This Row],[Структурное подразделение]],'Списки данных'!$C$2:$C$1048576,0))</f>
        <v>2</v>
      </c>
      <c r="I397" s="80" t="s">
        <v>133</v>
      </c>
      <c r="J397" s="80" t="s">
        <v>197</v>
      </c>
      <c r="K397" s="80" t="s">
        <v>199</v>
      </c>
      <c r="L397" s="30" t="s">
        <v>191</v>
      </c>
      <c r="M397" s="68">
        <v>6</v>
      </c>
      <c r="N397" s="181" t="str">
        <f t="shared" si="7"/>
        <v>да</v>
      </c>
      <c r="O397" s="23">
        <v>44713</v>
      </c>
      <c r="P397" s="23">
        <v>44866</v>
      </c>
      <c r="Q397" s="106" t="s">
        <v>66</v>
      </c>
      <c r="R397" s="37">
        <v>92</v>
      </c>
      <c r="S397" s="39" t="s">
        <v>504</v>
      </c>
      <c r="T397" s="37">
        <v>119</v>
      </c>
      <c r="U397" s="38" t="s">
        <v>531</v>
      </c>
      <c r="V397" s="69" t="s">
        <v>272</v>
      </c>
      <c r="W397" s="89" t="s">
        <v>133</v>
      </c>
      <c r="X397" s="106" t="s">
        <v>297</v>
      </c>
      <c r="Y397" s="107" t="s">
        <v>14</v>
      </c>
      <c r="Z397" s="67">
        <f>IF(База_КР_КК[[#This Row],[Таб.номер резервиста]]="-","-",IF(OR(База_КР_КК[[#This Row],[Уровень КК]]=2,База_КР_КК[[#This Row],[Уровень КК]]=3),IF(COUNTIFS($U$2:$U397,$U397,$F$2:$F397,$F397)=1,1,0),IF(COUNTIFS($U$2:$U397,$U397,$L$2:$L397,$L397)=1,1,0)))</f>
        <v>0</v>
      </c>
      <c r="AA3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" s="106" t="s">
        <v>24</v>
      </c>
      <c r="AC397" s="51">
        <v>45071</v>
      </c>
      <c r="AD397" s="106" t="s">
        <v>15</v>
      </c>
      <c r="AE397" s="40" t="s">
        <v>411</v>
      </c>
    </row>
    <row r="398" spans="1:31" ht="18" customHeight="1" x14ac:dyDescent="0.25">
      <c r="A3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8" s="79">
        <v>4</v>
      </c>
      <c r="C398" s="23">
        <v>44880</v>
      </c>
      <c r="D398" s="67">
        <f>IF(COUNTIF($G$2:$G398,$G398)=1,1,0)</f>
        <v>0</v>
      </c>
      <c r="E398" s="67" t="str">
        <f>IFERROR(VLOOKUP(База_КР_КК[[#This Row],[ИД штатной должности (S)]],'уровень защищенности'!$B$7:$F$1095,5,0),"не защищена")</f>
        <v>средний</v>
      </c>
      <c r="F398" s="68">
        <v>500517</v>
      </c>
      <c r="G398" s="74" t="s">
        <v>2249</v>
      </c>
      <c r="H398" s="181">
        <f>INDEX('Списки данных'!$D$2:$D$1048576,MATCH(База_КР_КК[[#This Row],[Структурное подразделение]],'Списки данных'!$C$2:$C$1048576,0))</f>
        <v>2</v>
      </c>
      <c r="I398" s="80" t="s">
        <v>133</v>
      </c>
      <c r="J398" s="80" t="s">
        <v>197</v>
      </c>
      <c r="K398" s="80" t="s">
        <v>199</v>
      </c>
      <c r="L398" s="30" t="s">
        <v>191</v>
      </c>
      <c r="M398" s="68">
        <v>6</v>
      </c>
      <c r="N398" s="181" t="str">
        <f t="shared" si="7"/>
        <v>да</v>
      </c>
      <c r="O398" s="23">
        <v>44713</v>
      </c>
      <c r="P398" s="23">
        <v>44866</v>
      </c>
      <c r="Q398" s="106" t="s">
        <v>66</v>
      </c>
      <c r="R398" s="37">
        <v>92</v>
      </c>
      <c r="S398" s="39" t="s">
        <v>504</v>
      </c>
      <c r="T398" s="37">
        <v>1203</v>
      </c>
      <c r="U398" s="38" t="s">
        <v>1608</v>
      </c>
      <c r="V398" s="69" t="s">
        <v>272</v>
      </c>
      <c r="W398" s="89" t="s">
        <v>133</v>
      </c>
      <c r="X398" s="106" t="s">
        <v>296</v>
      </c>
      <c r="Y398" s="107" t="s">
        <v>12</v>
      </c>
      <c r="Z398" s="67">
        <f>IF(База_КР_КК[[#This Row],[Таб.номер резервиста]]="-","-",IF(OR(База_КР_КК[[#This Row],[Уровень КК]]=2,База_КР_КК[[#This Row],[Уровень КК]]=3),IF(COUNTIFS($U$2:$U398,$U398,$F$2:$F398,$F398)=1,1,0),IF(COUNTIFS($U$2:$U398,$U398,$L$2:$L398,$L398)=1,1,0)))</f>
        <v>0</v>
      </c>
      <c r="AA3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" s="106"/>
      <c r="AC398" s="51"/>
      <c r="AD398" s="106" t="s">
        <v>15</v>
      </c>
      <c r="AE398" s="40" t="s">
        <v>411</v>
      </c>
    </row>
    <row r="399" spans="1:31" ht="18" customHeight="1" x14ac:dyDescent="0.25">
      <c r="A3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399" s="79">
        <v>4</v>
      </c>
      <c r="C399" s="23">
        <v>44880</v>
      </c>
      <c r="D399" s="67">
        <f>IF(COUNTIF($G$2:$G399,$G399)=1,1,0)</f>
        <v>0</v>
      </c>
      <c r="E399" s="67" t="str">
        <f>IFERROR(VLOOKUP(База_КР_КК[[#This Row],[ИД штатной должности (S)]],'уровень защищенности'!$B$7:$F$1095,5,0),"не защищена")</f>
        <v>средний</v>
      </c>
      <c r="F399" s="68">
        <v>500517</v>
      </c>
      <c r="G399" s="74" t="s">
        <v>2249</v>
      </c>
      <c r="H399" s="181">
        <f>INDEX('Списки данных'!$D$2:$D$1048576,MATCH(База_КР_КК[[#This Row],[Структурное подразделение]],'Списки данных'!$C$2:$C$1048576,0))</f>
        <v>2</v>
      </c>
      <c r="I399" s="80" t="s">
        <v>133</v>
      </c>
      <c r="J399" s="80" t="s">
        <v>197</v>
      </c>
      <c r="K399" s="80" t="s">
        <v>199</v>
      </c>
      <c r="L399" s="30" t="s">
        <v>191</v>
      </c>
      <c r="M399" s="68">
        <v>6</v>
      </c>
      <c r="N399" s="181" t="str">
        <f t="shared" si="7"/>
        <v>да</v>
      </c>
      <c r="O399" s="23">
        <v>44713</v>
      </c>
      <c r="P399" s="23">
        <v>44866</v>
      </c>
      <c r="Q399" s="106" t="s">
        <v>66</v>
      </c>
      <c r="R399" s="37">
        <v>92</v>
      </c>
      <c r="S399" s="39" t="s">
        <v>504</v>
      </c>
      <c r="T399" s="37">
        <v>1204</v>
      </c>
      <c r="U399" s="38" t="s">
        <v>1609</v>
      </c>
      <c r="V399" s="69" t="s">
        <v>272</v>
      </c>
      <c r="W399" s="89" t="s">
        <v>133</v>
      </c>
      <c r="X399" s="106" t="s">
        <v>296</v>
      </c>
      <c r="Y399" s="107" t="s">
        <v>12</v>
      </c>
      <c r="Z399" s="67">
        <f>IF(База_КР_КК[[#This Row],[Таб.номер резервиста]]="-","-",IF(OR(База_КР_КК[[#This Row],[Уровень КК]]=2,База_КР_КК[[#This Row],[Уровень КК]]=3),IF(COUNTIFS($U$2:$U399,$U399,$F$2:$F399,$F399)=1,1,0),IF(COUNTIFS($U$2:$U399,$U399,$L$2:$L399,$L399)=1,1,0)))</f>
        <v>0</v>
      </c>
      <c r="AA3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" s="106"/>
      <c r="AC399" s="51"/>
      <c r="AD399" s="106" t="s">
        <v>15</v>
      </c>
      <c r="AE399" s="40" t="s">
        <v>411</v>
      </c>
    </row>
    <row r="400" spans="1:31" ht="18" customHeight="1" x14ac:dyDescent="0.25">
      <c r="A4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0" s="79">
        <v>4</v>
      </c>
      <c r="C400" s="23">
        <v>44880</v>
      </c>
      <c r="D400" s="67">
        <f>IF(COUNTIF($G$2:$G400,$G400)=1,1,0)</f>
        <v>0</v>
      </c>
      <c r="E400" s="67" t="str">
        <f>IFERROR(VLOOKUP(База_КР_КК[[#This Row],[ИД штатной должности (S)]],'уровень защищенности'!$B$7:$F$1095,5,0),"не защищена")</f>
        <v>средний</v>
      </c>
      <c r="F400" s="68">
        <v>500517</v>
      </c>
      <c r="G400" s="74" t="s">
        <v>2249</v>
      </c>
      <c r="H400" s="181">
        <f>INDEX('Списки данных'!$D$2:$D$1048576,MATCH(База_КР_КК[[#This Row],[Структурное подразделение]],'Списки данных'!$C$2:$C$1048576,0))</f>
        <v>2</v>
      </c>
      <c r="I400" s="80" t="s">
        <v>133</v>
      </c>
      <c r="J400" s="80" t="s">
        <v>197</v>
      </c>
      <c r="K400" s="80" t="s">
        <v>199</v>
      </c>
      <c r="L400" s="30" t="s">
        <v>191</v>
      </c>
      <c r="M400" s="68">
        <v>6</v>
      </c>
      <c r="N400" s="181" t="str">
        <f t="shared" si="7"/>
        <v>да</v>
      </c>
      <c r="O400" s="23">
        <v>44713</v>
      </c>
      <c r="P400" s="23">
        <v>44866</v>
      </c>
      <c r="Q400" s="106" t="s">
        <v>66</v>
      </c>
      <c r="R400" s="37">
        <v>92</v>
      </c>
      <c r="S400" s="39" t="s">
        <v>504</v>
      </c>
      <c r="T400" s="37">
        <v>1205</v>
      </c>
      <c r="U400" s="38" t="s">
        <v>1610</v>
      </c>
      <c r="V400" s="69" t="s">
        <v>272</v>
      </c>
      <c r="W400" s="89" t="s">
        <v>133</v>
      </c>
      <c r="X400" s="106" t="s">
        <v>296</v>
      </c>
      <c r="Y400" s="107" t="s">
        <v>12</v>
      </c>
      <c r="Z400" s="67">
        <f>IF(База_КР_КК[[#This Row],[Таб.номер резервиста]]="-","-",IF(OR(База_КР_КК[[#This Row],[Уровень КК]]=2,База_КР_КК[[#This Row],[Уровень КК]]=3),IF(COUNTIFS($U$2:$U400,$U400,$F$2:$F400,$F400)=1,1,0),IF(COUNTIFS($U$2:$U400,$U400,$L$2:$L400,$L400)=1,1,0)))</f>
        <v>0</v>
      </c>
      <c r="AA4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" s="106"/>
      <c r="AC400" s="51"/>
      <c r="AD400" s="106" t="s">
        <v>15</v>
      </c>
      <c r="AE400" s="40" t="s">
        <v>411</v>
      </c>
    </row>
    <row r="401" spans="1:31" ht="18" customHeight="1" x14ac:dyDescent="0.25">
      <c r="A4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1" s="79">
        <v>4</v>
      </c>
      <c r="C401" s="23">
        <v>45012</v>
      </c>
      <c r="D401" s="67">
        <f>IF(COUNTIF($G$2:$G401,$G401)=1,1,0)</f>
        <v>0</v>
      </c>
      <c r="E401" s="67" t="str">
        <f>IFERROR(VLOOKUP(База_КР_КК[[#This Row],[ИД штатной должности (S)]],'уровень защищенности'!$B$7:$F$1095,5,0),"не защищена")</f>
        <v>средний</v>
      </c>
      <c r="F401" s="68">
        <v>500517</v>
      </c>
      <c r="G401" s="74" t="s">
        <v>2249</v>
      </c>
      <c r="H401" s="181">
        <f>INDEX('Списки данных'!$D$2:$D$1048576,MATCH(База_КР_КК[[#This Row],[Структурное подразделение]],'Списки данных'!$C$2:$C$1048576,0))</f>
        <v>2</v>
      </c>
      <c r="I401" s="80" t="s">
        <v>133</v>
      </c>
      <c r="J401" s="80" t="s">
        <v>197</v>
      </c>
      <c r="K401" s="80" t="s">
        <v>199</v>
      </c>
      <c r="L401" s="30" t="s">
        <v>191</v>
      </c>
      <c r="M401" s="68">
        <v>6</v>
      </c>
      <c r="N401" s="181" t="str">
        <f t="shared" si="7"/>
        <v>да</v>
      </c>
      <c r="O401" s="23">
        <v>44713</v>
      </c>
      <c r="P401" s="23">
        <v>44866</v>
      </c>
      <c r="Q401" s="106" t="s">
        <v>66</v>
      </c>
      <c r="R401" s="37">
        <v>92</v>
      </c>
      <c r="S401" s="39" t="s">
        <v>504</v>
      </c>
      <c r="T401" s="37">
        <v>1206</v>
      </c>
      <c r="U401" s="38" t="s">
        <v>1611</v>
      </c>
      <c r="V401" s="69" t="s">
        <v>272</v>
      </c>
      <c r="W401" s="89" t="s">
        <v>133</v>
      </c>
      <c r="X401" s="106" t="s">
        <v>296</v>
      </c>
      <c r="Y401" s="39" t="s">
        <v>12</v>
      </c>
      <c r="Z401" s="67">
        <f>IF(База_КР_КК[[#This Row],[Таб.номер резервиста]]="-","-",IF(OR(База_КР_КК[[#This Row],[Уровень КК]]=2,База_КР_КК[[#This Row],[Уровень КК]]=3),IF(COUNTIFS($U$2:$U401,$U401,$F$2:$F401,$F401)=1,1,0),IF(COUNTIFS($U$2:$U401,$U401,$L$2:$L401,$L401)=1,1,0)))</f>
        <v>0</v>
      </c>
      <c r="AA4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" s="33"/>
      <c r="AC401" s="25"/>
      <c r="AD401" s="33" t="s">
        <v>15</v>
      </c>
      <c r="AE401" s="38" t="s">
        <v>412</v>
      </c>
    </row>
    <row r="402" spans="1:31" ht="18" customHeight="1" x14ac:dyDescent="0.25">
      <c r="A4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2" s="79">
        <v>4</v>
      </c>
      <c r="C402" s="23">
        <v>45012</v>
      </c>
      <c r="D402" s="67">
        <f>IF(COUNTIF($G$2:$G402,$G402)=1,1,0)</f>
        <v>0</v>
      </c>
      <c r="E402" s="67" t="str">
        <f>IFERROR(VLOOKUP(База_КР_КК[[#This Row],[ИД штатной должности (S)]],'уровень защищенности'!$B$7:$F$1095,5,0),"не защищена")</f>
        <v>средний</v>
      </c>
      <c r="F402" s="68">
        <v>500517</v>
      </c>
      <c r="G402" s="74" t="s">
        <v>2249</v>
      </c>
      <c r="H402" s="181">
        <f>INDEX('Списки данных'!$D$2:$D$1048576,MATCH(База_КР_КК[[#This Row],[Структурное подразделение]],'Списки данных'!$C$2:$C$1048576,0))</f>
        <v>2</v>
      </c>
      <c r="I402" s="80" t="s">
        <v>133</v>
      </c>
      <c r="J402" s="80" t="s">
        <v>197</v>
      </c>
      <c r="K402" s="80" t="s">
        <v>199</v>
      </c>
      <c r="L402" s="30" t="s">
        <v>191</v>
      </c>
      <c r="M402" s="68">
        <v>6</v>
      </c>
      <c r="N402" s="181" t="str">
        <f t="shared" si="7"/>
        <v>да</v>
      </c>
      <c r="O402" s="23">
        <v>44713</v>
      </c>
      <c r="P402" s="23">
        <v>44866</v>
      </c>
      <c r="Q402" s="106" t="s">
        <v>66</v>
      </c>
      <c r="R402" s="37">
        <v>92</v>
      </c>
      <c r="S402" s="39" t="s">
        <v>504</v>
      </c>
      <c r="T402" s="37">
        <v>1207</v>
      </c>
      <c r="U402" s="38" t="s">
        <v>1612</v>
      </c>
      <c r="V402" s="69" t="s">
        <v>272</v>
      </c>
      <c r="W402" s="89" t="s">
        <v>133</v>
      </c>
      <c r="X402" s="106" t="s">
        <v>296</v>
      </c>
      <c r="Y402" s="39" t="s">
        <v>12</v>
      </c>
      <c r="Z402" s="67">
        <f>IF(База_КР_КК[[#This Row],[Таб.номер резервиста]]="-","-",IF(OR(База_КР_КК[[#This Row],[Уровень КК]]=2,База_КР_КК[[#This Row],[Уровень КК]]=3),IF(COUNTIFS($U$2:$U402,$U402,$F$2:$F402,$F402)=1,1,0),IF(COUNTIFS($U$2:$U402,$U402,$L$2:$L402,$L402)=1,1,0)))</f>
        <v>0</v>
      </c>
      <c r="AA4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" s="33"/>
      <c r="AC402" s="25"/>
      <c r="AD402" s="33" t="s">
        <v>15</v>
      </c>
      <c r="AE402" s="38" t="s">
        <v>412</v>
      </c>
    </row>
    <row r="403" spans="1:31" ht="18" customHeight="1" x14ac:dyDescent="0.25">
      <c r="A4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3" s="79">
        <v>4</v>
      </c>
      <c r="C403" s="23">
        <v>43791</v>
      </c>
      <c r="D403" s="67">
        <f>IF(COUNTIF($G$2:$G403,$G403)=1,1,0)</f>
        <v>0</v>
      </c>
      <c r="E403" s="67" t="str">
        <f>IFERROR(VLOOKUP(База_КР_КК[[#This Row],[ИД штатной должности (S)]],'уровень защищенности'!$B$7:$F$1095,5,0),"не защищена")</f>
        <v>средний</v>
      </c>
      <c r="F403" s="68">
        <v>500517</v>
      </c>
      <c r="G403" s="74" t="s">
        <v>2249</v>
      </c>
      <c r="H403" s="181">
        <f>INDEX('Списки данных'!$D$2:$D$1048576,MATCH(База_КР_КК[[#This Row],[Структурное подразделение]],'Списки данных'!$C$2:$C$1048576,0))</f>
        <v>2</v>
      </c>
      <c r="I403" s="80" t="s">
        <v>133</v>
      </c>
      <c r="J403" s="80" t="s">
        <v>197</v>
      </c>
      <c r="K403" s="80" t="s">
        <v>199</v>
      </c>
      <c r="L403" s="30" t="s">
        <v>191</v>
      </c>
      <c r="M403" s="68">
        <v>6</v>
      </c>
      <c r="N403" s="181" t="str">
        <f t="shared" si="7"/>
        <v>да</v>
      </c>
      <c r="O403" s="23">
        <v>44713</v>
      </c>
      <c r="P403" s="23">
        <v>44866</v>
      </c>
      <c r="Q403" s="106" t="s">
        <v>66</v>
      </c>
      <c r="R403" s="37">
        <v>92</v>
      </c>
      <c r="S403" s="39" t="s">
        <v>504</v>
      </c>
      <c r="T403" s="37">
        <v>92</v>
      </c>
      <c r="U403" s="39" t="s">
        <v>504</v>
      </c>
      <c r="V403" s="89" t="s">
        <v>192</v>
      </c>
      <c r="W403" s="89" t="s">
        <v>133</v>
      </c>
      <c r="X403" s="106" t="s">
        <v>295</v>
      </c>
      <c r="Y403" s="107" t="s">
        <v>14</v>
      </c>
      <c r="Z403" s="67">
        <f>IF(База_КР_КК[[#This Row],[Таб.номер резервиста]]="-","-",IF(OR(База_КР_КК[[#This Row],[Уровень КК]]=2,База_КР_КК[[#This Row],[Уровень КК]]=3),IF(COUNTIFS($U$2:$U403,$U403,$F$2:$F403,$F403)=1,1,0),IF(COUNTIFS($U$2:$U403,$U403,$L$2:$L403,$L403)=1,1,0)))</f>
        <v>0</v>
      </c>
      <c r="AA4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03" s="106" t="s">
        <v>24</v>
      </c>
      <c r="AC403" s="51">
        <v>44866</v>
      </c>
      <c r="AD403" s="106" t="s">
        <v>17</v>
      </c>
      <c r="AE403" s="38" t="s">
        <v>318</v>
      </c>
    </row>
    <row r="404" spans="1:31" ht="18" customHeight="1" x14ac:dyDescent="0.25">
      <c r="A4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4" s="79">
        <v>4</v>
      </c>
      <c r="C404" s="23">
        <v>43791</v>
      </c>
      <c r="D404" s="67">
        <f>IF(COUNTIF($G$2:$G404,$G404)=1,1,0)</f>
        <v>0</v>
      </c>
      <c r="E404" s="67" t="str">
        <f>IFERROR(VLOOKUP(База_КР_КК[[#This Row],[ИД штатной должности (S)]],'уровень защищенности'!$B$7:$F$1095,5,0),"не защищена")</f>
        <v>средний</v>
      </c>
      <c r="F404" s="68">
        <v>500517</v>
      </c>
      <c r="G404" s="74" t="s">
        <v>2249</v>
      </c>
      <c r="H404" s="181">
        <f>INDEX('Списки данных'!$D$2:$D$1048576,MATCH(База_КР_КК[[#This Row],[Структурное подразделение]],'Списки данных'!$C$2:$C$1048576,0))</f>
        <v>2</v>
      </c>
      <c r="I404" s="80" t="s">
        <v>133</v>
      </c>
      <c r="J404" s="80" t="s">
        <v>197</v>
      </c>
      <c r="K404" s="80" t="s">
        <v>199</v>
      </c>
      <c r="L404" s="30" t="s">
        <v>191</v>
      </c>
      <c r="M404" s="68">
        <v>6</v>
      </c>
      <c r="N404" s="181" t="str">
        <f t="shared" si="7"/>
        <v>да</v>
      </c>
      <c r="O404" s="23">
        <v>44713</v>
      </c>
      <c r="P404" s="23">
        <v>44866</v>
      </c>
      <c r="Q404" s="106" t="s">
        <v>66</v>
      </c>
      <c r="R404" s="37">
        <v>92</v>
      </c>
      <c r="S404" s="39" t="s">
        <v>504</v>
      </c>
      <c r="T404" s="37">
        <v>1208</v>
      </c>
      <c r="U404" s="39" t="s">
        <v>1613</v>
      </c>
      <c r="V404" s="89" t="s">
        <v>192</v>
      </c>
      <c r="W404" s="89" t="s">
        <v>133</v>
      </c>
      <c r="X404" s="106" t="s">
        <v>297</v>
      </c>
      <c r="Y404" s="107" t="s">
        <v>18</v>
      </c>
      <c r="Z404" s="67">
        <f>IF(База_КР_КК[[#This Row],[Таб.номер резервиста]]="-","-",IF(OR(База_КР_КК[[#This Row],[Уровень КК]]=2,База_КР_КК[[#This Row],[Уровень КК]]=3),IF(COUNTIFS($U$2:$U404,$U404,$F$2:$F404,$F404)=1,1,0),IF(COUNTIFS($U$2:$U404,$U404,$L$2:$L404,$L404)=1,1,0)))</f>
        <v>0</v>
      </c>
      <c r="AA4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" s="106" t="s">
        <v>38</v>
      </c>
      <c r="AC404" s="51">
        <v>45245</v>
      </c>
      <c r="AD404" s="106" t="s">
        <v>31</v>
      </c>
      <c r="AE404" s="38" t="s">
        <v>411</v>
      </c>
    </row>
    <row r="405" spans="1:31" ht="18" customHeight="1" x14ac:dyDescent="0.25">
      <c r="A4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5" s="79">
        <v>4</v>
      </c>
      <c r="C405" s="23">
        <v>43791</v>
      </c>
      <c r="D405" s="67">
        <f>IF(COUNTIF($G$2:$G405,$G405)=1,1,0)</f>
        <v>0</v>
      </c>
      <c r="E405" s="67" t="str">
        <f>IFERROR(VLOOKUP(База_КР_КК[[#This Row],[ИД штатной должности (S)]],'уровень защищенности'!$B$7:$F$1095,5,0),"не защищена")</f>
        <v>средний</v>
      </c>
      <c r="F405" s="68">
        <v>500517</v>
      </c>
      <c r="G405" s="74" t="s">
        <v>2249</v>
      </c>
      <c r="H405" s="181">
        <f>INDEX('Списки данных'!$D$2:$D$1048576,MATCH(База_КР_КК[[#This Row],[Структурное подразделение]],'Списки данных'!$C$2:$C$1048576,0))</f>
        <v>2</v>
      </c>
      <c r="I405" s="80" t="s">
        <v>133</v>
      </c>
      <c r="J405" s="80" t="s">
        <v>197</v>
      </c>
      <c r="K405" s="80" t="s">
        <v>199</v>
      </c>
      <c r="L405" s="30" t="s">
        <v>191</v>
      </c>
      <c r="M405" s="68">
        <v>6</v>
      </c>
      <c r="N405" s="181" t="str">
        <f t="shared" si="7"/>
        <v>да</v>
      </c>
      <c r="O405" s="23">
        <v>44713</v>
      </c>
      <c r="P405" s="23">
        <v>44866</v>
      </c>
      <c r="Q405" s="106" t="s">
        <v>66</v>
      </c>
      <c r="R405" s="37">
        <v>92</v>
      </c>
      <c r="S405" s="38" t="s">
        <v>504</v>
      </c>
      <c r="T405" s="37">
        <v>89</v>
      </c>
      <c r="U405" s="39" t="s">
        <v>501</v>
      </c>
      <c r="V405" s="89" t="s">
        <v>272</v>
      </c>
      <c r="W405" s="89" t="s">
        <v>133</v>
      </c>
      <c r="X405" s="106" t="s">
        <v>295</v>
      </c>
      <c r="Y405" s="107" t="s">
        <v>18</v>
      </c>
      <c r="Z405" s="67">
        <f>IF(База_КР_КК[[#This Row],[Таб.номер резервиста]]="-","-",IF(OR(База_КР_КК[[#This Row],[Уровень КК]]=2,База_КР_КК[[#This Row],[Уровень КК]]=3),IF(COUNTIFS($U$2:$U405,$U405,$F$2:$F405,$F405)=1,1,0),IF(COUNTIFS($U$2:$U405,$U405,$L$2:$L405,$L405)=1,1,0)))</f>
        <v>0</v>
      </c>
      <c r="AA4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" s="106" t="s">
        <v>24</v>
      </c>
      <c r="AC405" s="51">
        <v>44495</v>
      </c>
      <c r="AD405" s="106" t="s">
        <v>17</v>
      </c>
      <c r="AE405" s="38" t="s">
        <v>318</v>
      </c>
    </row>
    <row r="406" spans="1:31" ht="18" customHeight="1" x14ac:dyDescent="0.25">
      <c r="A4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6" s="79">
        <v>4</v>
      </c>
      <c r="C406" s="23">
        <v>44495</v>
      </c>
      <c r="D406" s="67">
        <f>IF(COUNTIF($G$2:$G406,$G406)=1,1,0)</f>
        <v>0</v>
      </c>
      <c r="E406" s="67" t="str">
        <f>IFERROR(VLOOKUP(База_КР_КК[[#This Row],[ИД штатной должности (S)]],'уровень защищенности'!$B$7:$F$1095,5,0),"не защищена")</f>
        <v>средний</v>
      </c>
      <c r="F406" s="68">
        <v>500517</v>
      </c>
      <c r="G406" s="74" t="s">
        <v>2249</v>
      </c>
      <c r="H406" s="181">
        <f>INDEX('Списки данных'!$D$2:$D$1048576,MATCH(База_КР_КК[[#This Row],[Структурное подразделение]],'Списки данных'!$C$2:$C$1048576,0))</f>
        <v>2</v>
      </c>
      <c r="I406" s="80" t="s">
        <v>133</v>
      </c>
      <c r="J406" s="80" t="s">
        <v>197</v>
      </c>
      <c r="K406" s="80" t="s">
        <v>199</v>
      </c>
      <c r="L406" s="30" t="s">
        <v>191</v>
      </c>
      <c r="M406" s="68">
        <v>6</v>
      </c>
      <c r="N406" s="181" t="str">
        <f t="shared" si="7"/>
        <v>да</v>
      </c>
      <c r="O406" s="23">
        <v>44713</v>
      </c>
      <c r="P406" s="23">
        <v>44866</v>
      </c>
      <c r="Q406" s="106" t="s">
        <v>66</v>
      </c>
      <c r="R406" s="37">
        <v>92</v>
      </c>
      <c r="S406" s="39" t="s">
        <v>504</v>
      </c>
      <c r="T406" s="37">
        <v>1209</v>
      </c>
      <c r="U406" s="39" t="s">
        <v>1614</v>
      </c>
      <c r="V406" s="89" t="s">
        <v>192</v>
      </c>
      <c r="W406" s="89" t="s">
        <v>133</v>
      </c>
      <c r="X406" s="106" t="s">
        <v>296</v>
      </c>
      <c r="Y406" s="107" t="s">
        <v>18</v>
      </c>
      <c r="Z406" s="67">
        <f>IF(База_КР_КК[[#This Row],[Таб.номер резервиста]]="-","-",IF(OR(База_КР_КК[[#This Row],[Уровень КК]]=2,База_КР_КК[[#This Row],[Уровень КК]]=3),IF(COUNTIFS($U$2:$U406,$U406,$F$2:$F406,$F406)=1,1,0),IF(COUNTIFS($U$2:$U406,$U406,$L$2:$L406,$L406)=1,1,0)))</f>
        <v>0</v>
      </c>
      <c r="AA4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" s="106" t="s">
        <v>38</v>
      </c>
      <c r="AC406" s="51">
        <v>45245</v>
      </c>
      <c r="AD406" s="106" t="s">
        <v>31</v>
      </c>
      <c r="AE406" s="40" t="s">
        <v>411</v>
      </c>
    </row>
    <row r="407" spans="1:31" ht="18" customHeight="1" x14ac:dyDescent="0.25">
      <c r="A4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7" s="79">
        <v>4</v>
      </c>
      <c r="C407" s="23">
        <v>44495</v>
      </c>
      <c r="D407" s="67">
        <f>IF(COUNTIF($G$2:$G407,$G407)=1,1,0)</f>
        <v>0</v>
      </c>
      <c r="E407" s="67" t="str">
        <f>IFERROR(VLOOKUP(База_КР_КК[[#This Row],[ИД штатной должности (S)]],'уровень защищенности'!$B$7:$F$1095,5,0),"не защищена")</f>
        <v>средний</v>
      </c>
      <c r="F407" s="68">
        <v>500517</v>
      </c>
      <c r="G407" s="74" t="s">
        <v>2249</v>
      </c>
      <c r="H407" s="181">
        <f>INDEX('Списки данных'!$D$2:$D$1048576,MATCH(База_КР_КК[[#This Row],[Структурное подразделение]],'Списки данных'!$C$2:$C$1048576,0))</f>
        <v>2</v>
      </c>
      <c r="I407" s="80" t="s">
        <v>133</v>
      </c>
      <c r="J407" s="80" t="s">
        <v>197</v>
      </c>
      <c r="K407" s="80" t="s">
        <v>199</v>
      </c>
      <c r="L407" s="30" t="s">
        <v>191</v>
      </c>
      <c r="M407" s="68">
        <v>6</v>
      </c>
      <c r="N407" s="181" t="str">
        <f t="shared" si="7"/>
        <v>да</v>
      </c>
      <c r="O407" s="23">
        <v>44713</v>
      </c>
      <c r="P407" s="23">
        <v>44866</v>
      </c>
      <c r="Q407" s="106" t="s">
        <v>66</v>
      </c>
      <c r="R407" s="37">
        <v>92</v>
      </c>
      <c r="S407" s="39" t="s">
        <v>504</v>
      </c>
      <c r="T407" s="37">
        <v>1210</v>
      </c>
      <c r="U407" s="39" t="s">
        <v>1615</v>
      </c>
      <c r="V407" s="89" t="s">
        <v>192</v>
      </c>
      <c r="W407" s="89" t="s">
        <v>133</v>
      </c>
      <c r="X407" s="106" t="s">
        <v>296</v>
      </c>
      <c r="Y407" s="107" t="s">
        <v>18</v>
      </c>
      <c r="Z407" s="67">
        <f>IF(База_КР_КК[[#This Row],[Таб.номер резервиста]]="-","-",IF(OR(База_КР_КК[[#This Row],[Уровень КК]]=2,База_КР_КК[[#This Row],[Уровень КК]]=3),IF(COUNTIFS($U$2:$U407,$U407,$F$2:$F407,$F407)=1,1,0),IF(COUNTIFS($U$2:$U407,$U407,$L$2:$L407,$L407)=1,1,0)))</f>
        <v>0</v>
      </c>
      <c r="AA4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" s="106" t="s">
        <v>19</v>
      </c>
      <c r="AC407" s="51">
        <v>44701</v>
      </c>
      <c r="AD407" s="106" t="s">
        <v>15</v>
      </c>
      <c r="AE407" s="38" t="s">
        <v>319</v>
      </c>
    </row>
    <row r="408" spans="1:31" ht="18" customHeight="1" x14ac:dyDescent="0.25">
      <c r="A4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8" s="79">
        <v>3</v>
      </c>
      <c r="C408" s="23">
        <v>43426</v>
      </c>
      <c r="D408" s="67">
        <f>IF(COUNTIF($G$2:$G408,$G408)=1,1,0)</f>
        <v>1</v>
      </c>
      <c r="E408" s="67" t="str">
        <f>IFERROR(VLOOKUP(База_КР_КК[[#This Row],[ИД штатной должности (S)]],'уровень защищенности'!$B$7:$F$1095,5,0),"не защищена")</f>
        <v>высокий</v>
      </c>
      <c r="F408" s="68">
        <v>500052</v>
      </c>
      <c r="G408" s="74" t="s">
        <v>2250</v>
      </c>
      <c r="H408" s="181">
        <f>INDEX('Списки данных'!$D$2:$D$1048576,MATCH(База_КР_КК[[#This Row],[Структурное подразделение]],'Списки данных'!$C$2:$C$1048576,0))</f>
        <v>1</v>
      </c>
      <c r="I408" s="80" t="s">
        <v>132</v>
      </c>
      <c r="J408" s="80" t="s">
        <v>195</v>
      </c>
      <c r="K408" s="80" t="s">
        <v>21</v>
      </c>
      <c r="L408" s="30" t="s">
        <v>198</v>
      </c>
      <c r="M408" s="68">
        <v>5</v>
      </c>
      <c r="N408" s="181" t="str">
        <f t="shared" si="7"/>
        <v>нет</v>
      </c>
      <c r="O408" s="23"/>
      <c r="P408" s="23"/>
      <c r="Q408" s="106"/>
      <c r="R408" s="37">
        <v>93</v>
      </c>
      <c r="S408" s="38" t="s">
        <v>505</v>
      </c>
      <c r="T408" s="37">
        <v>108</v>
      </c>
      <c r="U408" s="39" t="s">
        <v>520</v>
      </c>
      <c r="V408" s="89" t="s">
        <v>192</v>
      </c>
      <c r="W408" s="89" t="s">
        <v>132</v>
      </c>
      <c r="X408" s="106" t="s">
        <v>295</v>
      </c>
      <c r="Y408" s="107" t="s">
        <v>12</v>
      </c>
      <c r="Z408" s="67">
        <f>IF(База_КР_КК[[#This Row],[Таб.номер резервиста]]="-","-",IF(OR(База_КР_КК[[#This Row],[Уровень КК]]=2,База_КР_КК[[#This Row],[Уровень КК]]=3),IF(COUNTIFS($U$2:$U408,$U408,$F$2:$F408,$F408)=1,1,0),IF(COUNTIFS($U$2:$U408,$U408,$L$2:$L408,$L408)=1,1,0)))</f>
        <v>1</v>
      </c>
      <c r="AA4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" s="106"/>
      <c r="AC408" s="51"/>
      <c r="AD408" s="106" t="s">
        <v>13</v>
      </c>
      <c r="AE408" s="38" t="s">
        <v>404</v>
      </c>
    </row>
    <row r="409" spans="1:31" ht="18" customHeight="1" x14ac:dyDescent="0.25">
      <c r="A4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09" s="79">
        <v>3</v>
      </c>
      <c r="C409" s="23">
        <v>43426</v>
      </c>
      <c r="D409" s="67">
        <f>IF(COUNTIF($G$2:$G409,$G409)=1,1,0)</f>
        <v>1</v>
      </c>
      <c r="E409" s="67" t="str">
        <f>IFERROR(VLOOKUP(База_КР_КК[[#This Row],[ИД штатной должности (S)]],'уровень защищенности'!$B$7:$F$1095,5,0),"не защищена")</f>
        <v>высокий</v>
      </c>
      <c r="F409" s="68">
        <v>500053</v>
      </c>
      <c r="G409" s="74" t="s">
        <v>2251</v>
      </c>
      <c r="H409" s="181">
        <f>INDEX('Списки данных'!$D$2:$D$1048576,MATCH(База_КР_КК[[#This Row],[Структурное подразделение]],'Списки данных'!$C$2:$C$1048576,0))</f>
        <v>1</v>
      </c>
      <c r="I409" s="80" t="s">
        <v>132</v>
      </c>
      <c r="J409" s="80" t="s">
        <v>195</v>
      </c>
      <c r="K409" s="80" t="s">
        <v>21</v>
      </c>
      <c r="L409" s="30" t="s">
        <v>198</v>
      </c>
      <c r="M409" s="68">
        <v>5</v>
      </c>
      <c r="N409" s="181" t="str">
        <f t="shared" si="7"/>
        <v>нет</v>
      </c>
      <c r="O409" s="23"/>
      <c r="P409" s="23"/>
      <c r="Q409" s="106"/>
      <c r="R409" s="37">
        <v>94</v>
      </c>
      <c r="S409" s="38" t="s">
        <v>506</v>
      </c>
      <c r="T409" s="37">
        <v>83</v>
      </c>
      <c r="U409" s="38" t="s">
        <v>495</v>
      </c>
      <c r="V409" s="89" t="s">
        <v>192</v>
      </c>
      <c r="W409" s="89" t="s">
        <v>132</v>
      </c>
      <c r="X409" s="106" t="s">
        <v>295</v>
      </c>
      <c r="Y409" s="107" t="s">
        <v>12</v>
      </c>
      <c r="Z409" s="67">
        <f>IF(База_КР_КК[[#This Row],[Таб.номер резервиста]]="-","-",IF(OR(База_КР_КК[[#This Row],[Уровень КК]]=2,База_КР_КК[[#This Row],[Уровень КК]]=3),IF(COUNTIFS($U$2:$U409,$U409,$F$2:$F409,$F409)=1,1,0),IF(COUNTIFS($U$2:$U409,$U409,$L$2:$L409,$L409)=1,1,0)))</f>
        <v>1</v>
      </c>
      <c r="AA4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" s="106"/>
      <c r="AC409" s="51"/>
      <c r="AD409" s="106" t="s">
        <v>13</v>
      </c>
      <c r="AE409" s="38" t="s">
        <v>404</v>
      </c>
    </row>
    <row r="410" spans="1:31" ht="18" customHeight="1" x14ac:dyDescent="0.25">
      <c r="A4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0" s="79">
        <v>3</v>
      </c>
      <c r="C410" s="23">
        <v>43426</v>
      </c>
      <c r="D410" s="67">
        <f>IF(COUNTIF($G$2:$G410,$G410)=1,1,0)</f>
        <v>0</v>
      </c>
      <c r="E410" s="67" t="str">
        <f>IFERROR(VLOOKUP(База_КР_КК[[#This Row],[ИД штатной должности (S)]],'уровень защищенности'!$B$7:$F$1095,5,0),"не защищена")</f>
        <v>высокий</v>
      </c>
      <c r="F410" s="68">
        <v>500053</v>
      </c>
      <c r="G410" s="74" t="s">
        <v>2251</v>
      </c>
      <c r="H410" s="181">
        <f>INDEX('Списки данных'!$D$2:$D$1048576,MATCH(База_КР_КК[[#This Row],[Структурное подразделение]],'Списки данных'!$C$2:$C$1048576,0))</f>
        <v>1</v>
      </c>
      <c r="I410" s="80" t="s">
        <v>132</v>
      </c>
      <c r="J410" s="80" t="s">
        <v>195</v>
      </c>
      <c r="K410" s="80" t="s">
        <v>21</v>
      </c>
      <c r="L410" s="30" t="s">
        <v>198</v>
      </c>
      <c r="M410" s="68">
        <v>5</v>
      </c>
      <c r="N410" s="181" t="str">
        <f t="shared" si="7"/>
        <v>нет</v>
      </c>
      <c r="O410" s="23"/>
      <c r="P410" s="23"/>
      <c r="Q410" s="106"/>
      <c r="R410" s="37">
        <v>94</v>
      </c>
      <c r="S410" s="38" t="s">
        <v>506</v>
      </c>
      <c r="T410" s="37">
        <v>82</v>
      </c>
      <c r="U410" s="39" t="s">
        <v>494</v>
      </c>
      <c r="V410" s="89" t="s">
        <v>192</v>
      </c>
      <c r="W410" s="89" t="s">
        <v>132</v>
      </c>
      <c r="X410" s="106" t="s">
        <v>295</v>
      </c>
      <c r="Y410" s="107" t="s">
        <v>12</v>
      </c>
      <c r="Z410" s="67">
        <f>IF(База_КР_КК[[#This Row],[Таб.номер резервиста]]="-","-",IF(OR(База_КР_КК[[#This Row],[Уровень КК]]=2,База_КР_КК[[#This Row],[Уровень КК]]=3),IF(COUNTIFS($U$2:$U410,$U410,$F$2:$F410,$F410)=1,1,0),IF(COUNTIFS($U$2:$U410,$U410,$L$2:$L410,$L410)=1,1,0)))</f>
        <v>1</v>
      </c>
      <c r="AA4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" s="106"/>
      <c r="AC410" s="51"/>
      <c r="AD410" s="106" t="s">
        <v>13</v>
      </c>
      <c r="AE410" s="38" t="s">
        <v>404</v>
      </c>
    </row>
    <row r="411" spans="1:31" ht="18" customHeight="1" x14ac:dyDescent="0.25">
      <c r="A4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1" s="79">
        <v>3</v>
      </c>
      <c r="C411" s="23">
        <v>43426</v>
      </c>
      <c r="D411" s="67">
        <f>IF(COUNTIF($G$2:$G411,$G411)=1,1,0)</f>
        <v>0</v>
      </c>
      <c r="E411" s="67" t="str">
        <f>IFERROR(VLOOKUP(База_КР_КК[[#This Row],[ИД штатной должности (S)]],'уровень защищенности'!$B$7:$F$1095,5,0),"не защищена")</f>
        <v>высокий</v>
      </c>
      <c r="F411" s="68">
        <v>500053</v>
      </c>
      <c r="G411" s="74" t="s">
        <v>2251</v>
      </c>
      <c r="H411" s="181">
        <f>INDEX('Списки данных'!$D$2:$D$1048576,MATCH(База_КР_КК[[#This Row],[Структурное подразделение]],'Списки данных'!$C$2:$C$1048576,0))</f>
        <v>1</v>
      </c>
      <c r="I411" s="80" t="s">
        <v>132</v>
      </c>
      <c r="J411" s="80" t="s">
        <v>195</v>
      </c>
      <c r="K411" s="80" t="s">
        <v>21</v>
      </c>
      <c r="L411" s="30" t="s">
        <v>198</v>
      </c>
      <c r="M411" s="68">
        <v>5</v>
      </c>
      <c r="N411" s="181" t="str">
        <f t="shared" si="7"/>
        <v>нет</v>
      </c>
      <c r="O411" s="23"/>
      <c r="P411" s="23"/>
      <c r="Q411" s="106"/>
      <c r="R411" s="37">
        <v>94</v>
      </c>
      <c r="S411" s="38" t="s">
        <v>506</v>
      </c>
      <c r="T411" s="37">
        <v>64</v>
      </c>
      <c r="U411" s="39" t="s">
        <v>476</v>
      </c>
      <c r="V411" s="89" t="s">
        <v>189</v>
      </c>
      <c r="W411" s="89" t="s">
        <v>132</v>
      </c>
      <c r="X411" s="106" t="s">
        <v>295</v>
      </c>
      <c r="Y411" s="107" t="s">
        <v>12</v>
      </c>
      <c r="Z411" s="67">
        <f>IF(База_КР_КК[[#This Row],[Таб.номер резервиста]]="-","-",IF(OR(База_КР_КК[[#This Row],[Уровень КК]]=2,База_КР_КК[[#This Row],[Уровень КК]]=3),IF(COUNTIFS($U$2:$U411,$U411,$F$2:$F411,$F411)=1,1,0),IF(COUNTIFS($U$2:$U411,$U411,$L$2:$L411,$L411)=1,1,0)))</f>
        <v>1</v>
      </c>
      <c r="AA4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" s="106"/>
      <c r="AC411" s="51"/>
      <c r="AD411" s="106" t="s">
        <v>13</v>
      </c>
      <c r="AE411" s="38" t="s">
        <v>404</v>
      </c>
    </row>
    <row r="412" spans="1:31" ht="18" customHeight="1" x14ac:dyDescent="0.25">
      <c r="A4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2" s="79">
        <v>3</v>
      </c>
      <c r="C412" s="23">
        <v>44739</v>
      </c>
      <c r="D412" s="67">
        <f>IF(COUNTIF($G$2:$G412,$G412)=1,1,0)</f>
        <v>0</v>
      </c>
      <c r="E412" s="67" t="str">
        <f>IFERROR(VLOOKUP(База_КР_КК[[#This Row],[ИД штатной должности (S)]],'уровень защищенности'!$B$7:$F$1095,5,0),"не защищена")</f>
        <v>высокий</v>
      </c>
      <c r="F412" s="68">
        <v>500053</v>
      </c>
      <c r="G412" s="74" t="s">
        <v>2251</v>
      </c>
      <c r="H412" s="181">
        <f>INDEX('Списки данных'!$D$2:$D$1048576,MATCH(База_КР_КК[[#This Row],[Структурное подразделение]],'Списки данных'!$C$2:$C$1048576,0))</f>
        <v>1</v>
      </c>
      <c r="I412" s="80" t="s">
        <v>132</v>
      </c>
      <c r="J412" s="80" t="s">
        <v>195</v>
      </c>
      <c r="K412" s="80" t="s">
        <v>21</v>
      </c>
      <c r="L412" s="30" t="s">
        <v>198</v>
      </c>
      <c r="M412" s="68">
        <v>5</v>
      </c>
      <c r="N412" s="181" t="str">
        <f t="shared" si="7"/>
        <v>нет</v>
      </c>
      <c r="O412" s="23"/>
      <c r="P412" s="23"/>
      <c r="Q412" s="106"/>
      <c r="R412" s="37">
        <v>94</v>
      </c>
      <c r="S412" s="39" t="s">
        <v>506</v>
      </c>
      <c r="T412" s="37">
        <v>81</v>
      </c>
      <c r="U412" s="38" t="s">
        <v>493</v>
      </c>
      <c r="V412" s="89" t="s">
        <v>192</v>
      </c>
      <c r="W412" s="89" t="s">
        <v>132</v>
      </c>
      <c r="X412" s="106" t="s">
        <v>296</v>
      </c>
      <c r="Y412" s="107" t="s">
        <v>12</v>
      </c>
      <c r="Z412" s="67">
        <f>IF(База_КР_КК[[#This Row],[Таб.номер резервиста]]="-","-",IF(OR(База_КР_КК[[#This Row],[Уровень КК]]=2,База_КР_КК[[#This Row],[Уровень КК]]=3),IF(COUNTIFS($U$2:$U412,$U412,$F$2:$F412,$F412)=1,1,0),IF(COUNTIFS($U$2:$U412,$U412,$L$2:$L412,$L412)=1,1,0)))</f>
        <v>1</v>
      </c>
      <c r="AA4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" s="106"/>
      <c r="AC412" s="51"/>
      <c r="AD412" s="106" t="s">
        <v>15</v>
      </c>
      <c r="AE412" s="38" t="s">
        <v>404</v>
      </c>
    </row>
    <row r="413" spans="1:31" ht="18" customHeight="1" x14ac:dyDescent="0.25">
      <c r="A4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3" s="79">
        <v>3</v>
      </c>
      <c r="C413" s="23">
        <v>43426</v>
      </c>
      <c r="D413" s="67">
        <f>IF(COUNTIF($G$2:$G413,$G413)=1,1,0)</f>
        <v>1</v>
      </c>
      <c r="E413" s="67" t="str">
        <f>IFERROR(VLOOKUP(База_КР_КК[[#This Row],[ИД штатной должности (S)]],'уровень защищенности'!$B$7:$F$1095,5,0),"не защищена")</f>
        <v>высокий</v>
      </c>
      <c r="F413" s="68">
        <v>500054</v>
      </c>
      <c r="G413" s="74" t="s">
        <v>2252</v>
      </c>
      <c r="H413" s="181">
        <f>INDEX('Списки данных'!$D$2:$D$1048576,MATCH(База_КР_КК[[#This Row],[Структурное подразделение]],'Списки данных'!$C$2:$C$1048576,0))</f>
        <v>1</v>
      </c>
      <c r="I413" s="80" t="s">
        <v>132</v>
      </c>
      <c r="J413" s="80" t="s">
        <v>195</v>
      </c>
      <c r="K413" s="80" t="s">
        <v>21</v>
      </c>
      <c r="L413" s="30" t="s">
        <v>198</v>
      </c>
      <c r="M413" s="68">
        <v>5</v>
      </c>
      <c r="N413" s="181" t="str">
        <f t="shared" si="7"/>
        <v>нет</v>
      </c>
      <c r="O413" s="23"/>
      <c r="P413" s="23"/>
      <c r="Q413" s="106"/>
      <c r="R413" s="37">
        <v>95</v>
      </c>
      <c r="S413" s="38" t="s">
        <v>507</v>
      </c>
      <c r="T413" s="37">
        <v>84</v>
      </c>
      <c r="U413" s="39" t="s">
        <v>496</v>
      </c>
      <c r="V413" s="89" t="s">
        <v>192</v>
      </c>
      <c r="W413" s="89" t="s">
        <v>132</v>
      </c>
      <c r="X413" s="106" t="s">
        <v>295</v>
      </c>
      <c r="Y413" s="107" t="s">
        <v>12</v>
      </c>
      <c r="Z413" s="67">
        <f>IF(База_КР_КК[[#This Row],[Таб.номер резервиста]]="-","-",IF(OR(База_КР_КК[[#This Row],[Уровень КК]]=2,База_КР_КК[[#This Row],[Уровень КК]]=3),IF(COUNTIFS($U$2:$U413,$U413,$F$2:$F413,$F413)=1,1,0),IF(COUNTIFS($U$2:$U413,$U413,$L$2:$L413,$L413)=1,1,0)))</f>
        <v>1</v>
      </c>
      <c r="AA4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" s="106"/>
      <c r="AC413" s="51"/>
      <c r="AD413" s="106" t="s">
        <v>13</v>
      </c>
      <c r="AE413" s="38" t="s">
        <v>404</v>
      </c>
    </row>
    <row r="414" spans="1:31" ht="18" customHeight="1" x14ac:dyDescent="0.25">
      <c r="A4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4" s="79">
        <v>4</v>
      </c>
      <c r="C414" s="23">
        <v>43783</v>
      </c>
      <c r="D414" s="67">
        <f>IF(COUNTIF($G$2:$G414,$G414)=1,1,0)</f>
        <v>1</v>
      </c>
      <c r="E414" s="67" t="str">
        <f>IFERROR(VLOOKUP(База_КР_КК[[#This Row],[ИД штатной должности (S)]],'уровень защищенности'!$B$7:$F$1095,5,0),"не защищена")</f>
        <v>высокий</v>
      </c>
      <c r="F414" s="68">
        <v>500055</v>
      </c>
      <c r="G414" s="74" t="s">
        <v>2253</v>
      </c>
      <c r="H414" s="181">
        <f>INDEX('Списки данных'!$D$2:$D$1048576,MATCH(База_КР_КК[[#This Row],[Структурное подразделение]],'Списки данных'!$C$2:$C$1048576,0))</f>
        <v>1</v>
      </c>
      <c r="I414" s="80" t="s">
        <v>132</v>
      </c>
      <c r="J414" s="80" t="s">
        <v>195</v>
      </c>
      <c r="K414" s="80" t="s">
        <v>21</v>
      </c>
      <c r="L414" s="30" t="s">
        <v>198</v>
      </c>
      <c r="M414" s="68">
        <v>6</v>
      </c>
      <c r="N414" s="181" t="str">
        <f t="shared" si="7"/>
        <v>да</v>
      </c>
      <c r="O414" s="23">
        <v>43862</v>
      </c>
      <c r="P414" s="23">
        <v>44753</v>
      </c>
      <c r="Q414" s="106" t="s">
        <v>66</v>
      </c>
      <c r="R414" s="37">
        <v>96</v>
      </c>
      <c r="S414" s="39" t="s">
        <v>508</v>
      </c>
      <c r="T414" s="37">
        <v>87</v>
      </c>
      <c r="U414" s="39" t="s">
        <v>499</v>
      </c>
      <c r="V414" s="89" t="s">
        <v>192</v>
      </c>
      <c r="W414" s="89" t="s">
        <v>132</v>
      </c>
      <c r="X414" s="106" t="s">
        <v>295</v>
      </c>
      <c r="Y414" s="107" t="s">
        <v>12</v>
      </c>
      <c r="Z414" s="67">
        <f>IF(База_КР_КК[[#This Row],[Таб.номер резервиста]]="-","-",IF(OR(База_КР_КК[[#This Row],[Уровень КК]]=2,База_КР_КК[[#This Row],[Уровень КК]]=3),IF(COUNTIFS($U$2:$U414,$U414,$F$2:$F414,$F414)=1,1,0),IF(COUNTIFS($U$2:$U414,$U414,$L$2:$L414,$L414)=1,1,0)))</f>
        <v>1</v>
      </c>
      <c r="AA4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" s="106"/>
      <c r="AC414" s="51"/>
      <c r="AD414" s="106" t="s">
        <v>13</v>
      </c>
      <c r="AE414" s="38" t="s">
        <v>410</v>
      </c>
    </row>
    <row r="415" spans="1:31" ht="18" customHeight="1" x14ac:dyDescent="0.25">
      <c r="A4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5" s="79">
        <v>4</v>
      </c>
      <c r="C415" s="23">
        <v>43783</v>
      </c>
      <c r="D415" s="67">
        <f>IF(COUNTIF($G$2:$G415,$G415)=1,1,0)</f>
        <v>0</v>
      </c>
      <c r="E415" s="67" t="str">
        <f>IFERROR(VLOOKUP(База_КР_КК[[#This Row],[ИД штатной должности (S)]],'уровень защищенности'!$B$7:$F$1095,5,0),"не защищена")</f>
        <v>высокий</v>
      </c>
      <c r="F415" s="68">
        <v>500055</v>
      </c>
      <c r="G415" s="74" t="s">
        <v>2253</v>
      </c>
      <c r="H415" s="181">
        <f>INDEX('Списки данных'!$D$2:$D$1048576,MATCH(База_КР_КК[[#This Row],[Структурное подразделение]],'Списки данных'!$C$2:$C$1048576,0))</f>
        <v>1</v>
      </c>
      <c r="I415" s="80" t="s">
        <v>132</v>
      </c>
      <c r="J415" s="80" t="s">
        <v>195</v>
      </c>
      <c r="K415" s="80" t="s">
        <v>21</v>
      </c>
      <c r="L415" s="30" t="s">
        <v>198</v>
      </c>
      <c r="M415" s="68">
        <v>6</v>
      </c>
      <c r="N415" s="181" t="str">
        <f t="shared" si="7"/>
        <v>да</v>
      </c>
      <c r="O415" s="23">
        <v>43862</v>
      </c>
      <c r="P415" s="23">
        <v>44753</v>
      </c>
      <c r="Q415" s="106" t="s">
        <v>66</v>
      </c>
      <c r="R415" s="37">
        <v>96</v>
      </c>
      <c r="S415" s="39" t="s">
        <v>508</v>
      </c>
      <c r="T415" s="37">
        <v>1196</v>
      </c>
      <c r="U415" s="39" t="s">
        <v>1602</v>
      </c>
      <c r="V415" s="69" t="s">
        <v>16</v>
      </c>
      <c r="W415" s="89" t="s">
        <v>132</v>
      </c>
      <c r="X415" s="106" t="s">
        <v>295</v>
      </c>
      <c r="Y415" s="107" t="s">
        <v>12</v>
      </c>
      <c r="Z415" s="67">
        <f>IF(База_КР_КК[[#This Row],[Таб.номер резервиста]]="-","-",IF(OR(База_КР_КК[[#This Row],[Уровень КК]]=2,База_КР_КК[[#This Row],[Уровень КК]]=3),IF(COUNTIFS($U$2:$U415,$U415,$F$2:$F415,$F415)=1,1,0),IF(COUNTIFS($U$2:$U415,$U415,$L$2:$L415,$L415)=1,1,0)))</f>
        <v>1</v>
      </c>
      <c r="AA4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" s="106"/>
      <c r="AC415" s="51"/>
      <c r="AD415" s="106" t="s">
        <v>13</v>
      </c>
      <c r="AE415" s="38" t="s">
        <v>410</v>
      </c>
    </row>
    <row r="416" spans="1:31" ht="18" customHeight="1" x14ac:dyDescent="0.25">
      <c r="A4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6" s="79">
        <v>4</v>
      </c>
      <c r="C416" s="23">
        <v>44680</v>
      </c>
      <c r="D416" s="67">
        <f>IF(COUNTIF($G$2:$G416,$G416)=1,1,0)</f>
        <v>0</v>
      </c>
      <c r="E416" s="67" t="str">
        <f>IFERROR(VLOOKUP(База_КР_КК[[#This Row],[ИД штатной должности (S)]],'уровень защищенности'!$B$7:$F$1095,5,0),"не защищена")</f>
        <v>высокий</v>
      </c>
      <c r="F416" s="68">
        <v>500055</v>
      </c>
      <c r="G416" s="74" t="s">
        <v>2253</v>
      </c>
      <c r="H416" s="181">
        <f>INDEX('Списки данных'!$D$2:$D$1048576,MATCH(База_КР_КК[[#This Row],[Структурное подразделение]],'Списки данных'!$C$2:$C$1048576,0))</f>
        <v>1</v>
      </c>
      <c r="I416" s="80" t="s">
        <v>132</v>
      </c>
      <c r="J416" s="80" t="s">
        <v>195</v>
      </c>
      <c r="K416" s="80" t="s">
        <v>21</v>
      </c>
      <c r="L416" s="30" t="s">
        <v>198</v>
      </c>
      <c r="M416" s="68">
        <v>6</v>
      </c>
      <c r="N416" s="181" t="str">
        <f t="shared" si="7"/>
        <v>да</v>
      </c>
      <c r="O416" s="23">
        <v>43862</v>
      </c>
      <c r="P416" s="23">
        <v>44753</v>
      </c>
      <c r="Q416" s="106" t="s">
        <v>66</v>
      </c>
      <c r="R416" s="37">
        <v>96</v>
      </c>
      <c r="S416" s="39" t="s">
        <v>508</v>
      </c>
      <c r="T416" s="37">
        <v>96</v>
      </c>
      <c r="U416" s="38" t="s">
        <v>508</v>
      </c>
      <c r="V416" s="89" t="s">
        <v>198</v>
      </c>
      <c r="W416" s="89" t="s">
        <v>132</v>
      </c>
      <c r="X416" s="106" t="s">
        <v>295</v>
      </c>
      <c r="Y416" s="107" t="s">
        <v>14</v>
      </c>
      <c r="Z416" s="67">
        <f>IF(База_КР_КК[[#This Row],[Таб.номер резервиста]]="-","-",IF(OR(База_КР_КК[[#This Row],[Уровень КК]]=2,База_КР_КК[[#This Row],[Уровень КК]]=3),IF(COUNTIFS($U$2:$U416,$U416,$F$2:$F416,$F416)=1,1,0),IF(COUNTIFS($U$2:$U416,$U416,$L$2:$L416,$L416)=1,1,0)))</f>
        <v>1</v>
      </c>
      <c r="AA4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16" s="106" t="s">
        <v>24</v>
      </c>
      <c r="AC416" s="51">
        <v>44743</v>
      </c>
      <c r="AD416" s="106" t="s">
        <v>15</v>
      </c>
      <c r="AE416" s="38" t="s">
        <v>320</v>
      </c>
    </row>
    <row r="417" spans="1:31" ht="18" customHeight="1" x14ac:dyDescent="0.25">
      <c r="A4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7" s="79">
        <v>3</v>
      </c>
      <c r="C417" s="23">
        <v>44014</v>
      </c>
      <c r="D417" s="67">
        <f>IF(COUNTIF($G$2:$G417,$G417)=1,1,0)</f>
        <v>1</v>
      </c>
      <c r="E417" s="67" t="str">
        <f>IFERROR(VLOOKUP(База_КР_КК[[#This Row],[ИД штатной должности (S)]],'уровень защищенности'!$B$7:$F$1095,5,0),"не защищена")</f>
        <v>высокий</v>
      </c>
      <c r="F417" s="68">
        <v>500056</v>
      </c>
      <c r="G417" s="74" t="s">
        <v>2254</v>
      </c>
      <c r="H417" s="181">
        <f>INDEX('Списки данных'!$D$2:$D$1048576,MATCH(База_КР_КК[[#This Row],[Структурное подразделение]],'Списки данных'!$C$2:$C$1048576,0))</f>
        <v>1</v>
      </c>
      <c r="I417" s="80" t="s">
        <v>132</v>
      </c>
      <c r="J417" s="80" t="s">
        <v>195</v>
      </c>
      <c r="K417" s="80" t="s">
        <v>196</v>
      </c>
      <c r="L417" s="30" t="s">
        <v>198</v>
      </c>
      <c r="M417" s="68">
        <v>5</v>
      </c>
      <c r="N417" s="181" t="str">
        <f t="shared" si="7"/>
        <v>да</v>
      </c>
      <c r="O417" s="23">
        <v>44489</v>
      </c>
      <c r="P417" s="23">
        <v>44489</v>
      </c>
      <c r="Q417" s="106" t="s">
        <v>65</v>
      </c>
      <c r="R417" s="37">
        <v>97</v>
      </c>
      <c r="S417" s="39" t="s">
        <v>509</v>
      </c>
      <c r="T417" s="37">
        <v>61</v>
      </c>
      <c r="U417" s="38" t="s">
        <v>473</v>
      </c>
      <c r="V417" s="89" t="s">
        <v>194</v>
      </c>
      <c r="W417" s="89" t="s">
        <v>132</v>
      </c>
      <c r="X417" s="106" t="s">
        <v>295</v>
      </c>
      <c r="Y417" s="107" t="s">
        <v>12</v>
      </c>
      <c r="Z417" s="67">
        <f>IF(База_КР_КК[[#This Row],[Таб.номер резервиста]]="-","-",IF(OR(База_КР_КК[[#This Row],[Уровень КК]]=2,База_КР_КК[[#This Row],[Уровень КК]]=3),IF(COUNTIFS($U$2:$U417,$U417,$F$2:$F417,$F417)=1,1,0),IF(COUNTIFS($U$2:$U417,$U417,$L$2:$L417,$L417)=1,1,0)))</f>
        <v>1</v>
      </c>
      <c r="AA4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" s="106"/>
      <c r="AC417" s="51"/>
      <c r="AD417" s="106" t="s">
        <v>13</v>
      </c>
      <c r="AE417" s="38" t="s">
        <v>404</v>
      </c>
    </row>
    <row r="418" spans="1:31" ht="18" customHeight="1" x14ac:dyDescent="0.25">
      <c r="A4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8" s="79">
        <v>3</v>
      </c>
      <c r="C418" s="23">
        <v>43426</v>
      </c>
      <c r="D418" s="67">
        <f>IF(COUNTIF($G$2:$G418,$G418)=1,1,0)</f>
        <v>0</v>
      </c>
      <c r="E418" s="67" t="str">
        <f>IFERROR(VLOOKUP(База_КР_КК[[#This Row],[ИД штатной должности (S)]],'уровень защищенности'!$B$7:$F$1095,5,0),"не защищена")</f>
        <v>высокий</v>
      </c>
      <c r="F418" s="68">
        <v>500056</v>
      </c>
      <c r="G418" s="74" t="s">
        <v>2254</v>
      </c>
      <c r="H418" s="181">
        <f>INDEX('Списки данных'!$D$2:$D$1048576,MATCH(База_КР_КК[[#This Row],[Структурное подразделение]],'Списки данных'!$C$2:$C$1048576,0))</f>
        <v>1</v>
      </c>
      <c r="I418" s="80" t="s">
        <v>132</v>
      </c>
      <c r="J418" s="80" t="s">
        <v>195</v>
      </c>
      <c r="K418" s="80" t="s">
        <v>196</v>
      </c>
      <c r="L418" s="30" t="s">
        <v>198</v>
      </c>
      <c r="M418" s="68">
        <v>5</v>
      </c>
      <c r="N418" s="181" t="str">
        <f t="shared" si="7"/>
        <v>да</v>
      </c>
      <c r="O418" s="23">
        <v>44489</v>
      </c>
      <c r="P418" s="23">
        <v>44489</v>
      </c>
      <c r="Q418" s="106" t="s">
        <v>65</v>
      </c>
      <c r="R418" s="37">
        <v>97</v>
      </c>
      <c r="S418" s="39" t="s">
        <v>509</v>
      </c>
      <c r="T418" s="37">
        <v>107</v>
      </c>
      <c r="U418" s="39" t="s">
        <v>519</v>
      </c>
      <c r="V418" s="89" t="s">
        <v>192</v>
      </c>
      <c r="W418" s="89" t="s">
        <v>132</v>
      </c>
      <c r="X418" s="106" t="s">
        <v>295</v>
      </c>
      <c r="Y418" s="107" t="s">
        <v>12</v>
      </c>
      <c r="Z418" s="67">
        <f>IF(База_КР_КК[[#This Row],[Таб.номер резервиста]]="-","-",IF(OR(База_КР_КК[[#This Row],[Уровень КК]]=2,База_КР_КК[[#This Row],[Уровень КК]]=3),IF(COUNTIFS($U$2:$U418,$U418,$F$2:$F418,$F418)=1,1,0),IF(COUNTIFS($U$2:$U418,$U418,$L$2:$L418,$L418)=1,1,0)))</f>
        <v>1</v>
      </c>
      <c r="AA4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" s="106"/>
      <c r="AC418" s="51"/>
      <c r="AD418" s="106" t="s">
        <v>13</v>
      </c>
      <c r="AE418" s="38" t="s">
        <v>404</v>
      </c>
    </row>
    <row r="419" spans="1:31" ht="18" customHeight="1" x14ac:dyDescent="0.25">
      <c r="A4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19" s="79">
        <v>3</v>
      </c>
      <c r="C419" s="23">
        <v>43426</v>
      </c>
      <c r="D419" s="67">
        <f>IF(COUNTIF($G$2:$G419,$G419)=1,1,0)</f>
        <v>0</v>
      </c>
      <c r="E419" s="67" t="str">
        <f>IFERROR(VLOOKUP(База_КР_КК[[#This Row],[ИД штатной должности (S)]],'уровень защищенности'!$B$7:$F$1095,5,0),"не защищена")</f>
        <v>высокий</v>
      </c>
      <c r="F419" s="68">
        <v>500056</v>
      </c>
      <c r="G419" s="74" t="s">
        <v>2254</v>
      </c>
      <c r="H419" s="181">
        <f>INDEX('Списки данных'!$D$2:$D$1048576,MATCH(База_КР_КК[[#This Row],[Структурное подразделение]],'Списки данных'!$C$2:$C$1048576,0))</f>
        <v>1</v>
      </c>
      <c r="I419" s="80" t="s">
        <v>132</v>
      </c>
      <c r="J419" s="80" t="s">
        <v>195</v>
      </c>
      <c r="K419" s="80" t="s">
        <v>196</v>
      </c>
      <c r="L419" s="30" t="s">
        <v>198</v>
      </c>
      <c r="M419" s="68">
        <v>5</v>
      </c>
      <c r="N419" s="181" t="str">
        <f t="shared" si="7"/>
        <v>да</v>
      </c>
      <c r="O419" s="23">
        <v>44489</v>
      </c>
      <c r="P419" s="23">
        <v>44489</v>
      </c>
      <c r="Q419" s="106" t="s">
        <v>65</v>
      </c>
      <c r="R419" s="37">
        <v>97</v>
      </c>
      <c r="S419" s="39" t="s">
        <v>509</v>
      </c>
      <c r="T419" s="37">
        <v>71</v>
      </c>
      <c r="U419" s="39" t="s">
        <v>483</v>
      </c>
      <c r="V419" s="89" t="s">
        <v>192</v>
      </c>
      <c r="W419" s="89" t="s">
        <v>132</v>
      </c>
      <c r="X419" s="106" t="s">
        <v>295</v>
      </c>
      <c r="Y419" s="107" t="s">
        <v>18</v>
      </c>
      <c r="Z419" s="67">
        <f>IF(База_КР_КК[[#This Row],[Таб.номер резервиста]]="-","-",IF(OR(База_КР_КК[[#This Row],[Уровень КК]]=2,База_КР_КК[[#This Row],[Уровень КК]]=3),IF(COUNTIFS($U$2:$U419,$U419,$F$2:$F419,$F419)=1,1,0),IF(COUNTIFS($U$2:$U419,$U419,$L$2:$L419,$L419)=1,1,0)))</f>
        <v>1</v>
      </c>
      <c r="AA4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" s="106" t="s">
        <v>20</v>
      </c>
      <c r="AC419" s="51">
        <v>44014</v>
      </c>
      <c r="AD419" s="106" t="s">
        <v>31</v>
      </c>
      <c r="AE419" s="38" t="s">
        <v>313</v>
      </c>
    </row>
    <row r="420" spans="1:31" ht="18" customHeight="1" x14ac:dyDescent="0.25">
      <c r="A4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0" s="79">
        <v>3</v>
      </c>
      <c r="C420" s="23">
        <v>43426</v>
      </c>
      <c r="D420" s="67">
        <f>IF(COUNTIF($G$2:$G420,$G420)=1,1,0)</f>
        <v>1</v>
      </c>
      <c r="E420" s="67" t="str">
        <f>IFERROR(VLOOKUP(База_КР_КК[[#This Row],[ИД штатной должности (S)]],'уровень защищенности'!$B$7:$F$1095,5,0),"не защищена")</f>
        <v>высокий</v>
      </c>
      <c r="F420" s="68">
        <v>500057</v>
      </c>
      <c r="G420" s="74" t="s">
        <v>2255</v>
      </c>
      <c r="H420" s="181">
        <f>INDEX('Списки данных'!$D$2:$D$1048576,MATCH(База_КР_КК[[#This Row],[Структурное подразделение]],'Списки данных'!$C$2:$C$1048576,0))</f>
        <v>2</v>
      </c>
      <c r="I420" s="80" t="s">
        <v>133</v>
      </c>
      <c r="J420" s="80" t="s">
        <v>197</v>
      </c>
      <c r="K420" s="80" t="s">
        <v>21</v>
      </c>
      <c r="L420" s="30" t="s">
        <v>198</v>
      </c>
      <c r="M420" s="68">
        <v>5</v>
      </c>
      <c r="N420" s="181" t="str">
        <f t="shared" si="7"/>
        <v>нет</v>
      </c>
      <c r="O420" s="23"/>
      <c r="P420" s="23"/>
      <c r="Q420" s="106"/>
      <c r="R420" s="37">
        <v>98</v>
      </c>
      <c r="S420" s="38" t="s">
        <v>510</v>
      </c>
      <c r="T420" s="37">
        <v>124</v>
      </c>
      <c r="U420" s="39" t="s">
        <v>536</v>
      </c>
      <c r="V420" s="89" t="s">
        <v>192</v>
      </c>
      <c r="W420" s="89" t="s">
        <v>133</v>
      </c>
      <c r="X420" s="106" t="s">
        <v>295</v>
      </c>
      <c r="Y420" s="107" t="s">
        <v>12</v>
      </c>
      <c r="Z420" s="67">
        <f>IF(База_КР_КК[[#This Row],[Таб.номер резервиста]]="-","-",IF(OR(База_КР_КК[[#This Row],[Уровень КК]]=2,База_КР_КК[[#This Row],[Уровень КК]]=3),IF(COUNTIFS($U$2:$U420,$U420,$F$2:$F420,$F420)=1,1,0),IF(COUNTIFS($U$2:$U420,$U420,$L$2:$L420,$L420)=1,1,0)))</f>
        <v>1</v>
      </c>
      <c r="AA4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" s="106"/>
      <c r="AC420" s="51"/>
      <c r="AD420" s="106" t="s">
        <v>13</v>
      </c>
      <c r="AE420" s="38" t="s">
        <v>404</v>
      </c>
    </row>
    <row r="421" spans="1:31" ht="18" customHeight="1" x14ac:dyDescent="0.25">
      <c r="A4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1" s="79">
        <v>3</v>
      </c>
      <c r="C421" s="23">
        <v>43426</v>
      </c>
      <c r="D421" s="67">
        <f>IF(COUNTIF($G$2:$G421,$G421)=1,1,0)</f>
        <v>0</v>
      </c>
      <c r="E421" s="67" t="str">
        <f>IFERROR(VLOOKUP(База_КР_КК[[#This Row],[ИД штатной должности (S)]],'уровень защищенности'!$B$7:$F$1095,5,0),"не защищена")</f>
        <v>высокий</v>
      </c>
      <c r="F421" s="68">
        <v>500057</v>
      </c>
      <c r="G421" s="74" t="s">
        <v>2255</v>
      </c>
      <c r="H421" s="181">
        <f>INDEX('Списки данных'!$D$2:$D$1048576,MATCH(База_КР_КК[[#This Row],[Структурное подразделение]],'Списки данных'!$C$2:$C$1048576,0))</f>
        <v>2</v>
      </c>
      <c r="I421" s="80" t="s">
        <v>133</v>
      </c>
      <c r="J421" s="80" t="s">
        <v>197</v>
      </c>
      <c r="K421" s="80" t="s">
        <v>21</v>
      </c>
      <c r="L421" s="30" t="s">
        <v>198</v>
      </c>
      <c r="M421" s="68">
        <v>5</v>
      </c>
      <c r="N421" s="181" t="str">
        <f t="shared" si="7"/>
        <v>нет</v>
      </c>
      <c r="O421" s="23"/>
      <c r="P421" s="23"/>
      <c r="Q421" s="106"/>
      <c r="R421" s="37">
        <v>98</v>
      </c>
      <c r="S421" s="38" t="s">
        <v>510</v>
      </c>
      <c r="T421" s="37">
        <v>127</v>
      </c>
      <c r="U421" s="39" t="s">
        <v>539</v>
      </c>
      <c r="V421" s="89" t="s">
        <v>192</v>
      </c>
      <c r="W421" s="89" t="s">
        <v>133</v>
      </c>
      <c r="X421" s="106" t="s">
        <v>295</v>
      </c>
      <c r="Y421" s="107" t="s">
        <v>12</v>
      </c>
      <c r="Z421" s="67">
        <f>IF(База_КР_КК[[#This Row],[Таб.номер резервиста]]="-","-",IF(OR(База_КР_КК[[#This Row],[Уровень КК]]=2,База_КР_КК[[#This Row],[Уровень КК]]=3),IF(COUNTIFS($U$2:$U421,$U421,$F$2:$F421,$F421)=1,1,0),IF(COUNTIFS($U$2:$U421,$U421,$L$2:$L421,$L421)=1,1,0)))</f>
        <v>1</v>
      </c>
      <c r="AA4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" s="106"/>
      <c r="AC421" s="51"/>
      <c r="AD421" s="106" t="s">
        <v>13</v>
      </c>
      <c r="AE421" s="38" t="s">
        <v>404</v>
      </c>
    </row>
    <row r="422" spans="1:31" ht="18" customHeight="1" x14ac:dyDescent="0.25">
      <c r="A4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2" s="79">
        <v>3</v>
      </c>
      <c r="C422" s="23">
        <v>43426</v>
      </c>
      <c r="D422" s="67">
        <f>IF(COUNTIF($G$2:$G422,$G422)=1,1,0)</f>
        <v>0</v>
      </c>
      <c r="E422" s="67" t="str">
        <f>IFERROR(VLOOKUP(База_КР_КК[[#This Row],[ИД штатной должности (S)]],'уровень защищенности'!$B$7:$F$1095,5,0),"не защищена")</f>
        <v>высокий</v>
      </c>
      <c r="F422" s="68">
        <v>500057</v>
      </c>
      <c r="G422" s="74" t="s">
        <v>2255</v>
      </c>
      <c r="H422" s="181">
        <f>INDEX('Списки данных'!$D$2:$D$1048576,MATCH(База_КР_КК[[#This Row],[Структурное подразделение]],'Списки данных'!$C$2:$C$1048576,0))</f>
        <v>2</v>
      </c>
      <c r="I422" s="80" t="s">
        <v>133</v>
      </c>
      <c r="J422" s="80" t="s">
        <v>197</v>
      </c>
      <c r="K422" s="80" t="s">
        <v>21</v>
      </c>
      <c r="L422" s="30" t="s">
        <v>198</v>
      </c>
      <c r="M422" s="68">
        <v>5</v>
      </c>
      <c r="N422" s="181" t="str">
        <f t="shared" si="7"/>
        <v>нет</v>
      </c>
      <c r="O422" s="23"/>
      <c r="P422" s="23"/>
      <c r="Q422" s="106"/>
      <c r="R422" s="37">
        <v>98</v>
      </c>
      <c r="S422" s="38" t="s">
        <v>510</v>
      </c>
      <c r="T422" s="37">
        <v>133</v>
      </c>
      <c r="U422" s="39" t="s">
        <v>545</v>
      </c>
      <c r="V422" s="89" t="s">
        <v>272</v>
      </c>
      <c r="W422" s="89" t="s">
        <v>133</v>
      </c>
      <c r="X422" s="106" t="s">
        <v>295</v>
      </c>
      <c r="Y422" s="107" t="s">
        <v>18</v>
      </c>
      <c r="Z422" s="67">
        <f>IF(База_КР_КК[[#This Row],[Таб.номер резервиста]]="-","-",IF(OR(База_КР_КК[[#This Row],[Уровень КК]]=2,База_КР_КК[[#This Row],[Уровень КК]]=3),IF(COUNTIFS($U$2:$U422,$U422,$F$2:$F422,$F422)=1,1,0),IF(COUNTIFS($U$2:$U422,$U422,$L$2:$L422,$L422)=1,1,0)))</f>
        <v>1</v>
      </c>
      <c r="AA4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" s="106" t="s">
        <v>42</v>
      </c>
      <c r="AC422" s="51">
        <v>43776</v>
      </c>
      <c r="AD422" s="106" t="s">
        <v>15</v>
      </c>
      <c r="AE422" s="38" t="s">
        <v>307</v>
      </c>
    </row>
    <row r="423" spans="1:31" ht="18" customHeight="1" x14ac:dyDescent="0.25">
      <c r="A4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3" s="79">
        <v>3</v>
      </c>
      <c r="C423" s="23">
        <v>44014</v>
      </c>
      <c r="D423" s="67">
        <f>IF(COUNTIF($G$2:$G423,$G423)=1,1,0)</f>
        <v>1</v>
      </c>
      <c r="E423" s="67" t="str">
        <f>IFERROR(VLOOKUP(База_КР_КК[[#This Row],[ИД штатной должности (S)]],'уровень защищенности'!$B$7:$F$1095,5,0),"не защищена")</f>
        <v>высокий</v>
      </c>
      <c r="F423" s="68">
        <v>500058</v>
      </c>
      <c r="G423" s="74" t="s">
        <v>2256</v>
      </c>
      <c r="H423" s="181">
        <f>INDEX('Списки данных'!$D$2:$D$1048576,MATCH(База_КР_КК[[#This Row],[Структурное подразделение]],'Списки данных'!$C$2:$C$1048576,0))</f>
        <v>2</v>
      </c>
      <c r="I423" s="80" t="s">
        <v>133</v>
      </c>
      <c r="J423" s="80" t="s">
        <v>197</v>
      </c>
      <c r="K423" s="80" t="s">
        <v>199</v>
      </c>
      <c r="L423" s="30" t="s">
        <v>198</v>
      </c>
      <c r="M423" s="68">
        <v>5</v>
      </c>
      <c r="N423" s="181" t="str">
        <f t="shared" si="7"/>
        <v>нет</v>
      </c>
      <c r="O423" s="23"/>
      <c r="P423" s="23"/>
      <c r="Q423" s="106"/>
      <c r="R423" s="37">
        <v>99</v>
      </c>
      <c r="S423" s="38" t="s">
        <v>511</v>
      </c>
      <c r="T423" s="37">
        <v>92</v>
      </c>
      <c r="U423" s="38" t="s">
        <v>504</v>
      </c>
      <c r="V423" s="89" t="s">
        <v>192</v>
      </c>
      <c r="W423" s="89" t="s">
        <v>133</v>
      </c>
      <c r="X423" s="106" t="s">
        <v>297</v>
      </c>
      <c r="Y423" s="107" t="s">
        <v>12</v>
      </c>
      <c r="Z423" s="67">
        <f>IF(База_КР_КК[[#This Row],[Таб.номер резервиста]]="-","-",IF(OR(База_КР_КК[[#This Row],[Уровень КК]]=2,База_КР_КК[[#This Row],[Уровень КК]]=3),IF(COUNTIFS($U$2:$U423,$U423,$F$2:$F423,$F423)=1,1,0),IF(COUNTIFS($U$2:$U423,$U423,$L$2:$L423,$L423)=1,1,0)))</f>
        <v>1</v>
      </c>
      <c r="AA4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" s="106"/>
      <c r="AC423" s="51"/>
      <c r="AD423" s="106" t="s">
        <v>13</v>
      </c>
      <c r="AE423" s="38" t="s">
        <v>404</v>
      </c>
    </row>
    <row r="424" spans="1:31" ht="18" customHeight="1" x14ac:dyDescent="0.25">
      <c r="A4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4" s="79">
        <v>3</v>
      </c>
      <c r="C424" s="23">
        <v>43426</v>
      </c>
      <c r="D424" s="67">
        <f>IF(COUNTIF($G$2:$G424,$G424)=1,1,0)</f>
        <v>0</v>
      </c>
      <c r="E424" s="67" t="str">
        <f>IFERROR(VLOOKUP(База_КР_КК[[#This Row],[ИД штатной должности (S)]],'уровень защищенности'!$B$7:$F$1095,5,0),"не защищена")</f>
        <v>высокий</v>
      </c>
      <c r="F424" s="68">
        <v>500058</v>
      </c>
      <c r="G424" s="74" t="s">
        <v>2256</v>
      </c>
      <c r="H424" s="181">
        <f>INDEX('Списки данных'!$D$2:$D$1048576,MATCH(База_КР_КК[[#This Row],[Структурное подразделение]],'Списки данных'!$C$2:$C$1048576,0))</f>
        <v>2</v>
      </c>
      <c r="I424" s="80" t="s">
        <v>133</v>
      </c>
      <c r="J424" s="80" t="s">
        <v>197</v>
      </c>
      <c r="K424" s="80" t="s">
        <v>199</v>
      </c>
      <c r="L424" s="30" t="s">
        <v>198</v>
      </c>
      <c r="M424" s="68">
        <v>5</v>
      </c>
      <c r="N424" s="181" t="str">
        <f t="shared" si="7"/>
        <v>нет</v>
      </c>
      <c r="O424" s="23"/>
      <c r="P424" s="23"/>
      <c r="Q424" s="106"/>
      <c r="R424" s="37">
        <v>99</v>
      </c>
      <c r="S424" s="38" t="s">
        <v>511</v>
      </c>
      <c r="T424" s="37">
        <v>116</v>
      </c>
      <c r="U424" s="39" t="s">
        <v>528</v>
      </c>
      <c r="V424" s="89" t="s">
        <v>192</v>
      </c>
      <c r="W424" s="89" t="s">
        <v>133</v>
      </c>
      <c r="X424" s="106" t="s">
        <v>295</v>
      </c>
      <c r="Y424" s="107" t="s">
        <v>12</v>
      </c>
      <c r="Z424" s="67">
        <f>IF(База_КР_КК[[#This Row],[Таб.номер резервиста]]="-","-",IF(OR(База_КР_КК[[#This Row],[Уровень КК]]=2,База_КР_КК[[#This Row],[Уровень КК]]=3),IF(COUNTIFS($U$2:$U424,$U424,$F$2:$F424,$F424)=1,1,0),IF(COUNTIFS($U$2:$U424,$U424,$L$2:$L424,$L424)=1,1,0)))</f>
        <v>1</v>
      </c>
      <c r="AA4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" s="106"/>
      <c r="AC424" s="51"/>
      <c r="AD424" s="106" t="s">
        <v>13</v>
      </c>
      <c r="AE424" s="38" t="s">
        <v>404</v>
      </c>
    </row>
    <row r="425" spans="1:31" ht="18" customHeight="1" x14ac:dyDescent="0.25">
      <c r="A4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5" s="79">
        <v>3</v>
      </c>
      <c r="C425" s="23">
        <v>43426</v>
      </c>
      <c r="D425" s="67">
        <f>IF(COUNTIF($G$2:$G425,$G425)=1,1,0)</f>
        <v>0</v>
      </c>
      <c r="E425" s="67" t="str">
        <f>IFERROR(VLOOKUP(База_КР_КК[[#This Row],[ИД штатной должности (S)]],'уровень защищенности'!$B$7:$F$1095,5,0),"не защищена")</f>
        <v>высокий</v>
      </c>
      <c r="F425" s="68">
        <v>500058</v>
      </c>
      <c r="G425" s="74" t="s">
        <v>2256</v>
      </c>
      <c r="H425" s="181">
        <f>INDEX('Списки данных'!$D$2:$D$1048576,MATCH(База_КР_КК[[#This Row],[Структурное подразделение]],'Списки данных'!$C$2:$C$1048576,0))</f>
        <v>2</v>
      </c>
      <c r="I425" s="80" t="s">
        <v>133</v>
      </c>
      <c r="J425" s="80" t="s">
        <v>197</v>
      </c>
      <c r="K425" s="80" t="s">
        <v>199</v>
      </c>
      <c r="L425" s="30" t="s">
        <v>198</v>
      </c>
      <c r="M425" s="68">
        <v>5</v>
      </c>
      <c r="N425" s="181" t="str">
        <f t="shared" si="7"/>
        <v>нет</v>
      </c>
      <c r="O425" s="23"/>
      <c r="P425" s="23"/>
      <c r="Q425" s="106"/>
      <c r="R425" s="37">
        <v>99</v>
      </c>
      <c r="S425" s="38" t="s">
        <v>511</v>
      </c>
      <c r="T425" s="37">
        <v>91</v>
      </c>
      <c r="U425" s="39" t="s">
        <v>503</v>
      </c>
      <c r="V425" s="89" t="s">
        <v>192</v>
      </c>
      <c r="W425" s="89" t="s">
        <v>133</v>
      </c>
      <c r="X425" s="106" t="s">
        <v>295</v>
      </c>
      <c r="Y425" s="107" t="s">
        <v>18</v>
      </c>
      <c r="Z425" s="67">
        <f>IF(База_КР_КК[[#This Row],[Таб.номер резервиста]]="-","-",IF(OR(База_КР_КК[[#This Row],[Уровень КК]]=2,База_КР_КК[[#This Row],[Уровень КК]]=3),IF(COUNTIFS($U$2:$U425,$U425,$F$2:$F425,$F425)=1,1,0),IF(COUNTIFS($U$2:$U425,$U425,$L$2:$L425,$L425)=1,1,0)))</f>
        <v>1</v>
      </c>
      <c r="AA4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" s="106" t="s">
        <v>20</v>
      </c>
      <c r="AC425" s="51">
        <v>44014</v>
      </c>
      <c r="AD425" s="106" t="s">
        <v>31</v>
      </c>
      <c r="AE425" s="38" t="s">
        <v>313</v>
      </c>
    </row>
    <row r="426" spans="1:31" ht="18" customHeight="1" x14ac:dyDescent="0.25">
      <c r="A4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6" s="79">
        <v>3</v>
      </c>
      <c r="C426" s="23">
        <v>43776</v>
      </c>
      <c r="D426" s="67">
        <f>IF(COUNTIF($G$2:$G426,$G426)=1,1,0)</f>
        <v>1</v>
      </c>
      <c r="E426" s="67" t="str">
        <f>IFERROR(VLOOKUP(База_КР_КК[[#This Row],[ИД штатной должности (S)]],'уровень защищенности'!$B$7:$F$1095,5,0),"не защищена")</f>
        <v>средний</v>
      </c>
      <c r="F426" s="68">
        <v>500059</v>
      </c>
      <c r="G426" s="74" t="s">
        <v>2257</v>
      </c>
      <c r="H426" s="181">
        <f>INDEX('Списки данных'!$D$2:$D$1048576,MATCH(База_КР_КК[[#This Row],[Структурное подразделение]],'Списки данных'!$C$2:$C$1048576,0))</f>
        <v>2</v>
      </c>
      <c r="I426" s="80" t="s">
        <v>133</v>
      </c>
      <c r="J426" s="80" t="s">
        <v>197</v>
      </c>
      <c r="K426" s="80" t="s">
        <v>199</v>
      </c>
      <c r="L426" s="30" t="s">
        <v>198</v>
      </c>
      <c r="M426" s="68">
        <v>5</v>
      </c>
      <c r="N426" s="181" t="str">
        <f t="shared" si="7"/>
        <v>нет</v>
      </c>
      <c r="O426" s="23"/>
      <c r="P426" s="23"/>
      <c r="Q426" s="106"/>
      <c r="R426" s="37">
        <v>100</v>
      </c>
      <c r="S426" s="38" t="s">
        <v>512</v>
      </c>
      <c r="T426" s="37">
        <v>121</v>
      </c>
      <c r="U426" s="39" t="s">
        <v>533</v>
      </c>
      <c r="V426" s="89" t="s">
        <v>192</v>
      </c>
      <c r="W426" s="89" t="s">
        <v>133</v>
      </c>
      <c r="X426" s="106" t="s">
        <v>297</v>
      </c>
      <c r="Y426" s="107" t="s">
        <v>12</v>
      </c>
      <c r="Z426" s="67">
        <f>IF(База_КР_КК[[#This Row],[Таб.номер резервиста]]="-","-",IF(OR(База_КР_КК[[#This Row],[Уровень КК]]=2,База_КР_КК[[#This Row],[Уровень КК]]=3),IF(COUNTIFS($U$2:$U426,$U426,$F$2:$F426,$F426)=1,1,0),IF(COUNTIFS($U$2:$U426,$U426,$L$2:$L426,$L426)=1,1,0)))</f>
        <v>1</v>
      </c>
      <c r="AA4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" s="106"/>
      <c r="AC426" s="51"/>
      <c r="AD426" s="106" t="s">
        <v>22</v>
      </c>
      <c r="AE426" s="38" t="s">
        <v>404</v>
      </c>
    </row>
    <row r="427" spans="1:31" ht="18" customHeight="1" x14ac:dyDescent="0.25">
      <c r="A4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7" s="79">
        <v>3</v>
      </c>
      <c r="C427" s="23">
        <v>44014</v>
      </c>
      <c r="D427" s="67">
        <f>IF(COUNTIF($G$2:$G427,$G427)=1,1,0)</f>
        <v>0</v>
      </c>
      <c r="E427" s="67" t="str">
        <f>IFERROR(VLOOKUP(База_КР_КК[[#This Row],[ИД штатной должности (S)]],'уровень защищенности'!$B$7:$F$1095,5,0),"не защищена")</f>
        <v>средний</v>
      </c>
      <c r="F427" s="68">
        <v>500059</v>
      </c>
      <c r="G427" s="74" t="s">
        <v>2257</v>
      </c>
      <c r="H427" s="181">
        <f>INDEX('Списки данных'!$D$2:$D$1048576,MATCH(База_КР_КК[[#This Row],[Структурное подразделение]],'Списки данных'!$C$2:$C$1048576,0))</f>
        <v>2</v>
      </c>
      <c r="I427" s="80" t="s">
        <v>133</v>
      </c>
      <c r="J427" s="80" t="s">
        <v>197</v>
      </c>
      <c r="K427" s="80" t="s">
        <v>199</v>
      </c>
      <c r="L427" s="30" t="s">
        <v>198</v>
      </c>
      <c r="M427" s="68">
        <v>5</v>
      </c>
      <c r="N427" s="181" t="str">
        <f t="shared" si="7"/>
        <v>нет</v>
      </c>
      <c r="O427" s="23"/>
      <c r="P427" s="23"/>
      <c r="Q427" s="106"/>
      <c r="R427" s="37">
        <v>100</v>
      </c>
      <c r="S427" s="38" t="s">
        <v>512</v>
      </c>
      <c r="T427" s="37">
        <v>1211</v>
      </c>
      <c r="U427" s="39" t="s">
        <v>1616</v>
      </c>
      <c r="V427" s="89" t="s">
        <v>189</v>
      </c>
      <c r="W427" s="89" t="s">
        <v>133</v>
      </c>
      <c r="X427" s="106" t="s">
        <v>297</v>
      </c>
      <c r="Y427" s="107" t="s">
        <v>12</v>
      </c>
      <c r="Z427" s="67">
        <f>IF(База_КР_КК[[#This Row],[Таб.номер резервиста]]="-","-",IF(OR(База_КР_КК[[#This Row],[Уровень КК]]=2,База_КР_КК[[#This Row],[Уровень КК]]=3),IF(COUNTIFS($U$2:$U427,$U427,$F$2:$F427,$F427)=1,1,0),IF(COUNTIFS($U$2:$U427,$U427,$L$2:$L427,$L427)=1,1,0)))</f>
        <v>1</v>
      </c>
      <c r="AA4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" s="106"/>
      <c r="AC427" s="51"/>
      <c r="AD427" s="106" t="s">
        <v>13</v>
      </c>
      <c r="AE427" s="38" t="s">
        <v>404</v>
      </c>
    </row>
    <row r="428" spans="1:31" ht="18" customHeight="1" x14ac:dyDescent="0.25">
      <c r="A4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8" s="79">
        <v>3</v>
      </c>
      <c r="C428" s="23">
        <v>44014</v>
      </c>
      <c r="D428" s="67">
        <f>IF(COUNTIF($G$2:$G428,$G428)=1,1,0)</f>
        <v>0</v>
      </c>
      <c r="E428" s="67" t="str">
        <f>IFERROR(VLOOKUP(База_КР_КК[[#This Row],[ИД штатной должности (S)]],'уровень защищенности'!$B$7:$F$1095,5,0),"не защищена")</f>
        <v>средний</v>
      </c>
      <c r="F428" s="68">
        <v>500059</v>
      </c>
      <c r="G428" s="74" t="s">
        <v>2257</v>
      </c>
      <c r="H428" s="181">
        <f>INDEX('Списки данных'!$D$2:$D$1048576,MATCH(База_КР_КК[[#This Row],[Структурное подразделение]],'Списки данных'!$C$2:$C$1048576,0))</f>
        <v>2</v>
      </c>
      <c r="I428" s="80" t="s">
        <v>133</v>
      </c>
      <c r="J428" s="80" t="s">
        <v>197</v>
      </c>
      <c r="K428" s="80" t="s">
        <v>199</v>
      </c>
      <c r="L428" s="30" t="s">
        <v>198</v>
      </c>
      <c r="M428" s="68">
        <v>5</v>
      </c>
      <c r="N428" s="181" t="str">
        <f t="shared" si="7"/>
        <v>нет</v>
      </c>
      <c r="O428" s="23"/>
      <c r="P428" s="23"/>
      <c r="Q428" s="106"/>
      <c r="R428" s="37">
        <v>100</v>
      </c>
      <c r="S428" s="38" t="s">
        <v>512</v>
      </c>
      <c r="T428" s="37">
        <v>111</v>
      </c>
      <c r="U428" s="38" t="s">
        <v>523</v>
      </c>
      <c r="V428" s="69" t="s">
        <v>194</v>
      </c>
      <c r="W428" s="89" t="s">
        <v>133</v>
      </c>
      <c r="X428" s="106" t="s">
        <v>296</v>
      </c>
      <c r="Y428" s="107" t="s">
        <v>12</v>
      </c>
      <c r="Z428" s="67">
        <f>IF(База_КР_КК[[#This Row],[Таб.номер резервиста]]="-","-",IF(OR(База_КР_КК[[#This Row],[Уровень КК]]=2,База_КР_КК[[#This Row],[Уровень КК]]=3),IF(COUNTIFS($U$2:$U428,$U428,$F$2:$F428,$F428)=1,1,0),IF(COUNTIFS($U$2:$U428,$U428,$L$2:$L428,$L428)=1,1,0)))</f>
        <v>1</v>
      </c>
      <c r="AA4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" s="106"/>
      <c r="AC428" s="51"/>
      <c r="AD428" s="106" t="s">
        <v>15</v>
      </c>
      <c r="AE428" s="40" t="s">
        <v>408</v>
      </c>
    </row>
    <row r="429" spans="1:31" ht="18" customHeight="1" x14ac:dyDescent="0.25">
      <c r="A4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29" s="79">
        <v>3</v>
      </c>
      <c r="C429" s="23">
        <v>44014</v>
      </c>
      <c r="D429" s="67">
        <f>IF(COUNTIF($G$2:$G429,$G429)=1,1,0)</f>
        <v>0</v>
      </c>
      <c r="E429" s="67" t="str">
        <f>IFERROR(VLOOKUP(База_КР_КК[[#This Row],[ИД штатной должности (S)]],'уровень защищенности'!$B$7:$F$1095,5,0),"не защищена")</f>
        <v>средний</v>
      </c>
      <c r="F429" s="68">
        <v>500059</v>
      </c>
      <c r="G429" s="74" t="s">
        <v>2257</v>
      </c>
      <c r="H429" s="181">
        <f>INDEX('Списки данных'!$D$2:$D$1048576,MATCH(База_КР_КК[[#This Row],[Структурное подразделение]],'Списки данных'!$C$2:$C$1048576,0))</f>
        <v>2</v>
      </c>
      <c r="I429" s="80" t="s">
        <v>133</v>
      </c>
      <c r="J429" s="80" t="s">
        <v>197</v>
      </c>
      <c r="K429" s="80" t="s">
        <v>199</v>
      </c>
      <c r="L429" s="30" t="s">
        <v>198</v>
      </c>
      <c r="M429" s="68">
        <v>5</v>
      </c>
      <c r="N429" s="181" t="str">
        <f t="shared" si="7"/>
        <v>нет</v>
      </c>
      <c r="O429" s="23"/>
      <c r="P429" s="23"/>
      <c r="Q429" s="106"/>
      <c r="R429" s="37">
        <v>100</v>
      </c>
      <c r="S429" s="38" t="s">
        <v>512</v>
      </c>
      <c r="T429" s="37">
        <v>90</v>
      </c>
      <c r="U429" s="38" t="s">
        <v>502</v>
      </c>
      <c r="V429" s="69" t="s">
        <v>192</v>
      </c>
      <c r="W429" s="89" t="s">
        <v>133</v>
      </c>
      <c r="X429" s="106" t="s">
        <v>296</v>
      </c>
      <c r="Y429" s="107" t="s">
        <v>12</v>
      </c>
      <c r="Z429" s="67">
        <f>IF(База_КР_КК[[#This Row],[Таб.номер резервиста]]="-","-",IF(OR(База_КР_КК[[#This Row],[Уровень КК]]=2,База_КР_КК[[#This Row],[Уровень КК]]=3),IF(COUNTIFS($U$2:$U429,$U429,$F$2:$F429,$F429)=1,1,0),IF(COUNTIFS($U$2:$U429,$U429,$L$2:$L429,$L429)=1,1,0)))</f>
        <v>1</v>
      </c>
      <c r="AA4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" s="106"/>
      <c r="AC429" s="51"/>
      <c r="AD429" s="106" t="s">
        <v>15</v>
      </c>
      <c r="AE429" s="40" t="s">
        <v>408</v>
      </c>
    </row>
    <row r="430" spans="1:31" ht="18" customHeight="1" x14ac:dyDescent="0.25">
      <c r="A4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0" s="79">
        <v>3</v>
      </c>
      <c r="C430" s="23">
        <v>43426</v>
      </c>
      <c r="D430" s="67">
        <f>IF(COUNTIF($G$2:$G430,$G430)=1,1,0)</f>
        <v>0</v>
      </c>
      <c r="E430" s="67" t="str">
        <f>IFERROR(VLOOKUP(База_КР_КК[[#This Row],[ИД штатной должности (S)]],'уровень защищенности'!$B$7:$F$1095,5,0),"не защищена")</f>
        <v>средний</v>
      </c>
      <c r="F430" s="68">
        <v>500059</v>
      </c>
      <c r="G430" s="74" t="s">
        <v>2257</v>
      </c>
      <c r="H430" s="181">
        <f>INDEX('Списки данных'!$D$2:$D$1048576,MATCH(База_КР_КК[[#This Row],[Структурное подразделение]],'Списки данных'!$C$2:$C$1048576,0))</f>
        <v>2</v>
      </c>
      <c r="I430" s="80" t="s">
        <v>133</v>
      </c>
      <c r="J430" s="80" t="s">
        <v>197</v>
      </c>
      <c r="K430" s="80" t="s">
        <v>199</v>
      </c>
      <c r="L430" s="30" t="s">
        <v>198</v>
      </c>
      <c r="M430" s="68">
        <v>5</v>
      </c>
      <c r="N430" s="181" t="str">
        <f t="shared" si="7"/>
        <v>нет</v>
      </c>
      <c r="O430" s="23"/>
      <c r="P430" s="23"/>
      <c r="Q430" s="106"/>
      <c r="R430" s="37">
        <v>100</v>
      </c>
      <c r="S430" s="38" t="s">
        <v>512</v>
      </c>
      <c r="T430" s="37">
        <v>23</v>
      </c>
      <c r="U430" s="39" t="s">
        <v>437</v>
      </c>
      <c r="V430" s="69" t="s">
        <v>194</v>
      </c>
      <c r="W430" s="89" t="s">
        <v>133</v>
      </c>
      <c r="X430" s="106" t="s">
        <v>295</v>
      </c>
      <c r="Y430" s="107" t="s">
        <v>18</v>
      </c>
      <c r="Z430" s="67">
        <f>IF(База_КР_КК[[#This Row],[Таб.номер резервиста]]="-","-",IF(OR(База_КР_КК[[#This Row],[Уровень КК]]=2,База_КР_КК[[#This Row],[Уровень КК]]=3),IF(COUNTIFS($U$2:$U430,$U430,$F$2:$F430,$F430)=1,1,0),IF(COUNTIFS($U$2:$U430,$U430,$L$2:$L430,$L430)=1,1,0)))</f>
        <v>1</v>
      </c>
      <c r="AA4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" s="106" t="s">
        <v>20</v>
      </c>
      <c r="AC430" s="51">
        <v>45279</v>
      </c>
      <c r="AD430" s="106" t="s">
        <v>31</v>
      </c>
      <c r="AE430" s="40" t="s">
        <v>408</v>
      </c>
    </row>
    <row r="431" spans="1:31" ht="18" customHeight="1" x14ac:dyDescent="0.25">
      <c r="A4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1" s="79">
        <v>3</v>
      </c>
      <c r="C431" s="23">
        <v>43426</v>
      </c>
      <c r="D431" s="67">
        <f>IF(COUNTIF($G$2:$G431,$G431)=1,1,0)</f>
        <v>0</v>
      </c>
      <c r="E431" s="67" t="str">
        <f>IFERROR(VLOOKUP(База_КР_КК[[#This Row],[ИД штатной должности (S)]],'уровень защищенности'!$B$7:$F$1095,5,0),"не защищена")</f>
        <v>средний</v>
      </c>
      <c r="F431" s="68">
        <v>500059</v>
      </c>
      <c r="G431" s="74" t="s">
        <v>2257</v>
      </c>
      <c r="H431" s="181">
        <f>INDEX('Списки данных'!$D$2:$D$1048576,MATCH(База_КР_КК[[#This Row],[Структурное подразделение]],'Списки данных'!$C$2:$C$1048576,0))</f>
        <v>2</v>
      </c>
      <c r="I431" s="80" t="s">
        <v>133</v>
      </c>
      <c r="J431" s="80" t="s">
        <v>197</v>
      </c>
      <c r="K431" s="80" t="s">
        <v>199</v>
      </c>
      <c r="L431" s="30" t="s">
        <v>198</v>
      </c>
      <c r="M431" s="68">
        <v>5</v>
      </c>
      <c r="N431" s="181" t="str">
        <f t="shared" si="7"/>
        <v>нет</v>
      </c>
      <c r="O431" s="23"/>
      <c r="P431" s="23"/>
      <c r="Q431" s="106"/>
      <c r="R431" s="37">
        <v>100</v>
      </c>
      <c r="S431" s="38" t="s">
        <v>512</v>
      </c>
      <c r="T431" s="37">
        <v>1212</v>
      </c>
      <c r="U431" s="39" t="s">
        <v>1617</v>
      </c>
      <c r="V431" s="82" t="s">
        <v>187</v>
      </c>
      <c r="W431" s="89" t="s">
        <v>125</v>
      </c>
      <c r="X431" s="106" t="s">
        <v>295</v>
      </c>
      <c r="Y431" s="107" t="s">
        <v>18</v>
      </c>
      <c r="Z431" s="67">
        <f>IF(База_КР_КК[[#This Row],[Таб.номер резервиста]]="-","-",IF(OR(База_КР_КК[[#This Row],[Уровень КК]]=2,База_КР_КК[[#This Row],[Уровень КК]]=3),IF(COUNTIFS($U$2:$U431,$U431,$F$2:$F431,$F431)=1,1,0),IF(COUNTIFS($U$2:$U431,$U431,$L$2:$L431,$L431)=1,1,0)))</f>
        <v>1</v>
      </c>
      <c r="AA4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" s="106" t="s">
        <v>38</v>
      </c>
      <c r="AC431" s="51">
        <v>45104</v>
      </c>
      <c r="AD431" s="106" t="s">
        <v>31</v>
      </c>
      <c r="AE431" s="38" t="s">
        <v>404</v>
      </c>
    </row>
    <row r="432" spans="1:31" ht="18" customHeight="1" x14ac:dyDescent="0.25">
      <c r="A4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2" s="79">
        <v>4</v>
      </c>
      <c r="C432" s="23">
        <v>43791</v>
      </c>
      <c r="D432" s="67">
        <f>IF(COUNTIF($G$2:$G432,$G432)=1,1,0)</f>
        <v>1</v>
      </c>
      <c r="E432" s="67" t="str">
        <f>IFERROR(VLOOKUP(База_КР_КК[[#This Row],[ИД штатной должности (S)]],'уровень защищенности'!$B$7:$F$1095,5,0),"не защищена")</f>
        <v>средний</v>
      </c>
      <c r="F432" s="68">
        <v>500060</v>
      </c>
      <c r="G432" s="74" t="s">
        <v>2258</v>
      </c>
      <c r="H432" s="181">
        <f>INDEX('Списки данных'!$D$2:$D$1048576,MATCH(База_КР_КК[[#This Row],[Структурное подразделение]],'Списки данных'!$C$2:$C$1048576,0))</f>
        <v>2</v>
      </c>
      <c r="I432" s="80" t="s">
        <v>133</v>
      </c>
      <c r="J432" s="80" t="s">
        <v>197</v>
      </c>
      <c r="K432" s="80" t="s">
        <v>21</v>
      </c>
      <c r="L432" s="30" t="s">
        <v>198</v>
      </c>
      <c r="M432" s="68">
        <v>6</v>
      </c>
      <c r="N432" s="181" t="str">
        <f t="shared" si="7"/>
        <v>нет</v>
      </c>
      <c r="O432" s="23"/>
      <c r="P432" s="23"/>
      <c r="Q432" s="106"/>
      <c r="R432" s="37">
        <v>101</v>
      </c>
      <c r="S432" s="38" t="s">
        <v>513</v>
      </c>
      <c r="T432" s="37">
        <v>1213</v>
      </c>
      <c r="U432" s="39" t="s">
        <v>1618</v>
      </c>
      <c r="V432" s="89" t="s">
        <v>272</v>
      </c>
      <c r="W432" s="89" t="s">
        <v>133</v>
      </c>
      <c r="X432" s="106" t="s">
        <v>297</v>
      </c>
      <c r="Y432" s="107" t="s">
        <v>12</v>
      </c>
      <c r="Z432" s="67">
        <f>IF(База_КР_КК[[#This Row],[Таб.номер резервиста]]="-","-",IF(OR(База_КР_КК[[#This Row],[Уровень КК]]=2,База_КР_КК[[#This Row],[Уровень КК]]=3),IF(COUNTIFS($U$2:$U432,$U432,$F$2:$F432,$F432)=1,1,0),IF(COUNTIFS($U$2:$U432,$U432,$L$2:$L432,$L432)=1,1,0)))</f>
        <v>1</v>
      </c>
      <c r="AA4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" s="106"/>
      <c r="AC432" s="51"/>
      <c r="AD432" s="106" t="s">
        <v>17</v>
      </c>
      <c r="AE432" s="38" t="s">
        <v>411</v>
      </c>
    </row>
    <row r="433" spans="1:31" ht="18" customHeight="1" x14ac:dyDescent="0.25">
      <c r="A4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3" s="79">
        <v>4</v>
      </c>
      <c r="C433" s="23">
        <v>44880</v>
      </c>
      <c r="D433" s="67">
        <f>IF(COUNTIF($G$2:$G433,$G433)=1,1,0)</f>
        <v>0</v>
      </c>
      <c r="E433" s="67" t="str">
        <f>IFERROR(VLOOKUP(База_КР_КК[[#This Row],[ИД штатной должности (S)]],'уровень защищенности'!$B$7:$F$1095,5,0),"не защищена")</f>
        <v>средний</v>
      </c>
      <c r="F433" s="68">
        <v>500060</v>
      </c>
      <c r="G433" s="74" t="s">
        <v>2258</v>
      </c>
      <c r="H433" s="181">
        <f>INDEX('Списки данных'!$D$2:$D$1048576,MATCH(База_КР_КК[[#This Row],[Структурное подразделение]],'Списки данных'!$C$2:$C$1048576,0))</f>
        <v>2</v>
      </c>
      <c r="I433" s="80" t="s">
        <v>133</v>
      </c>
      <c r="J433" s="80" t="s">
        <v>197</v>
      </c>
      <c r="K433" s="80" t="s">
        <v>21</v>
      </c>
      <c r="L433" s="30" t="s">
        <v>198</v>
      </c>
      <c r="M433" s="68">
        <v>6</v>
      </c>
      <c r="N433" s="181" t="str">
        <f t="shared" si="7"/>
        <v>нет</v>
      </c>
      <c r="O433" s="23"/>
      <c r="P433" s="23"/>
      <c r="Q433" s="106"/>
      <c r="R433" s="37">
        <v>101</v>
      </c>
      <c r="S433" s="39" t="s">
        <v>513</v>
      </c>
      <c r="T433" s="37">
        <v>134</v>
      </c>
      <c r="U433" s="38" t="s">
        <v>546</v>
      </c>
      <c r="V433" s="89" t="s">
        <v>192</v>
      </c>
      <c r="W433" s="89" t="s">
        <v>133</v>
      </c>
      <c r="X433" s="106" t="s">
        <v>296</v>
      </c>
      <c r="Y433" s="107" t="s">
        <v>12</v>
      </c>
      <c r="Z433" s="67">
        <f>IF(База_КР_КК[[#This Row],[Таб.номер резервиста]]="-","-",IF(OR(База_КР_КК[[#This Row],[Уровень КК]]=2,База_КР_КК[[#This Row],[Уровень КК]]=3),IF(COUNTIFS($U$2:$U433,$U433,$F$2:$F433,$F433)=1,1,0),IF(COUNTIFS($U$2:$U433,$U433,$L$2:$L433,$L433)=1,1,0)))</f>
        <v>1</v>
      </c>
      <c r="AA4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" s="106"/>
      <c r="AC433" s="51"/>
      <c r="AD433" s="106" t="s">
        <v>15</v>
      </c>
      <c r="AE433" s="40" t="s">
        <v>411</v>
      </c>
    </row>
    <row r="434" spans="1:31" ht="18" customHeight="1" x14ac:dyDescent="0.25">
      <c r="A4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4" s="79">
        <v>3</v>
      </c>
      <c r="C434" s="23">
        <v>43426</v>
      </c>
      <c r="D434" s="67">
        <f>IF(COUNTIF($G$2:$G434,$G434)=1,1,0)</f>
        <v>1</v>
      </c>
      <c r="E434" s="67" t="str">
        <f>IFERROR(VLOOKUP(База_КР_КК[[#This Row],[ИД штатной должности (S)]],'уровень защищенности'!$B$7:$F$1095,5,0),"не защищена")</f>
        <v>не защищена</v>
      </c>
      <c r="F434" s="68">
        <v>500061</v>
      </c>
      <c r="G434" s="74" t="s">
        <v>2259</v>
      </c>
      <c r="H434" s="181">
        <f>INDEX('Списки данных'!$D$2:$D$1048576,MATCH(База_КР_КК[[#This Row],[Структурное подразделение]],'Списки данных'!$C$2:$C$1048576,0))</f>
        <v>1</v>
      </c>
      <c r="I434" s="80" t="s">
        <v>132</v>
      </c>
      <c r="J434" s="80" t="s">
        <v>195</v>
      </c>
      <c r="K434" s="80" t="s">
        <v>21</v>
      </c>
      <c r="L434" s="30" t="s">
        <v>198</v>
      </c>
      <c r="M434" s="68">
        <v>5</v>
      </c>
      <c r="N434" s="181" t="str">
        <f t="shared" si="7"/>
        <v>да</v>
      </c>
      <c r="O434" s="23">
        <v>44788</v>
      </c>
      <c r="P434" s="23">
        <v>44890</v>
      </c>
      <c r="Q434" s="106" t="s">
        <v>66</v>
      </c>
      <c r="R434" s="37">
        <v>102</v>
      </c>
      <c r="S434" s="39" t="s">
        <v>514</v>
      </c>
      <c r="T434" s="37">
        <v>102</v>
      </c>
      <c r="U434" s="39" t="s">
        <v>514</v>
      </c>
      <c r="V434" s="88" t="s">
        <v>192</v>
      </c>
      <c r="W434" s="89" t="s">
        <v>132</v>
      </c>
      <c r="X434" s="106" t="s">
        <v>295</v>
      </c>
      <c r="Y434" s="107" t="s">
        <v>14</v>
      </c>
      <c r="Z434" s="67">
        <f>IF(База_КР_КК[[#This Row],[Таб.номер резервиста]]="-","-",IF(OR(База_КР_КК[[#This Row],[Уровень КК]]=2,База_КР_КК[[#This Row],[Уровень КК]]=3),IF(COUNTIFS($U$2:$U434,$U434,$F$2:$F434,$F434)=1,1,0),IF(COUNTIFS($U$2:$U434,$U434,$L$2:$L434,$L434)=1,1,0)))</f>
        <v>1</v>
      </c>
      <c r="AA4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4" s="106" t="s">
        <v>24</v>
      </c>
      <c r="AC434" s="51">
        <v>44890</v>
      </c>
      <c r="AD434" s="106" t="s">
        <v>13</v>
      </c>
      <c r="AE434" s="38" t="s">
        <v>306</v>
      </c>
    </row>
    <row r="435" spans="1:31" ht="18" customHeight="1" x14ac:dyDescent="0.25">
      <c r="A4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5" s="79">
        <v>4</v>
      </c>
      <c r="C435" s="23">
        <v>44125</v>
      </c>
      <c r="D435" s="67">
        <f>IF(COUNTIF($G$2:$G435,$G435)=1,1,0)</f>
        <v>1</v>
      </c>
      <c r="E435" s="67" t="str">
        <f>IFERROR(VLOOKUP(База_КР_КК[[#This Row],[ИД штатной должности (S)]],'уровень защищенности'!$B$7:$F$1095,5,0),"не защищена")</f>
        <v>низкий</v>
      </c>
      <c r="F435" s="68">
        <v>500544</v>
      </c>
      <c r="G435" s="74" t="s">
        <v>2260</v>
      </c>
      <c r="H435" s="181">
        <f>INDEX('Списки данных'!$D$2:$D$1048576,MATCH(База_КР_КК[[#This Row],[Структурное подразделение]],'Списки данных'!$C$2:$C$1048576,0))</f>
        <v>2</v>
      </c>
      <c r="I435" s="80" t="s">
        <v>133</v>
      </c>
      <c r="J435" s="80" t="s">
        <v>21</v>
      </c>
      <c r="K435" s="80" t="s">
        <v>21</v>
      </c>
      <c r="L435" s="30" t="s">
        <v>189</v>
      </c>
      <c r="M435" s="68">
        <v>6</v>
      </c>
      <c r="N435" s="181" t="str">
        <f t="shared" si="7"/>
        <v>нет</v>
      </c>
      <c r="O435" s="23"/>
      <c r="P435" s="23"/>
      <c r="Q435" s="106"/>
      <c r="R435" s="37">
        <v>103</v>
      </c>
      <c r="S435" s="38" t="s">
        <v>515</v>
      </c>
      <c r="T435" s="37">
        <v>1214</v>
      </c>
      <c r="U435" s="39" t="s">
        <v>1619</v>
      </c>
      <c r="V435" s="69" t="s">
        <v>272</v>
      </c>
      <c r="W435" s="89" t="s">
        <v>133</v>
      </c>
      <c r="X435" s="106" t="s">
        <v>296</v>
      </c>
      <c r="Y435" s="107" t="s">
        <v>12</v>
      </c>
      <c r="Z435" s="67">
        <f>IF(База_КР_КК[[#This Row],[Таб.номер резервиста]]="-","-",IF(OR(База_КР_КК[[#This Row],[Уровень КК]]=2,База_КР_КК[[#This Row],[Уровень КК]]=3),IF(COUNTIFS($U$2:$U435,$U435,$F$2:$F435,$F435)=1,1,0),IF(COUNTIFS($U$2:$U435,$U435,$L$2:$L435,$L435)=1,1,0)))</f>
        <v>1</v>
      </c>
      <c r="AA4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" s="106"/>
      <c r="AC435" s="51"/>
      <c r="AD435" s="106" t="s">
        <v>13</v>
      </c>
      <c r="AE435" s="40" t="s">
        <v>411</v>
      </c>
    </row>
    <row r="436" spans="1:31" ht="18" customHeight="1" x14ac:dyDescent="0.25">
      <c r="A4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6" s="79">
        <v>4</v>
      </c>
      <c r="C436" s="23">
        <v>44495</v>
      </c>
      <c r="D436" s="67">
        <f>IF(COUNTIF($G$2:$G436,$G436)=1,1,0)</f>
        <v>0</v>
      </c>
      <c r="E436" s="67" t="str">
        <f>IFERROR(VLOOKUP(База_КР_КК[[#This Row],[ИД штатной должности (S)]],'уровень защищенности'!$B$7:$F$1095,5,0),"не защищена")</f>
        <v>низкий</v>
      </c>
      <c r="F436" s="68">
        <v>500544</v>
      </c>
      <c r="G436" s="74" t="s">
        <v>2260</v>
      </c>
      <c r="H436" s="181">
        <f>INDEX('Списки данных'!$D$2:$D$1048576,MATCH(База_КР_КК[[#This Row],[Структурное подразделение]],'Списки данных'!$C$2:$C$1048576,0))</f>
        <v>2</v>
      </c>
      <c r="I436" s="80" t="s">
        <v>133</v>
      </c>
      <c r="J436" s="80" t="s">
        <v>21</v>
      </c>
      <c r="K436" s="80" t="s">
        <v>21</v>
      </c>
      <c r="L436" s="30" t="s">
        <v>189</v>
      </c>
      <c r="M436" s="68">
        <v>6</v>
      </c>
      <c r="N436" s="181" t="str">
        <f t="shared" si="7"/>
        <v>нет</v>
      </c>
      <c r="O436" s="23"/>
      <c r="P436" s="23"/>
      <c r="Q436" s="106"/>
      <c r="R436" s="37">
        <v>103</v>
      </c>
      <c r="S436" s="38" t="s">
        <v>515</v>
      </c>
      <c r="T436" s="37">
        <v>1215</v>
      </c>
      <c r="U436" s="39" t="s">
        <v>1620</v>
      </c>
      <c r="V436" s="69" t="s">
        <v>272</v>
      </c>
      <c r="W436" s="89" t="s">
        <v>133</v>
      </c>
      <c r="X436" s="106" t="s">
        <v>296</v>
      </c>
      <c r="Y436" s="107" t="s">
        <v>12</v>
      </c>
      <c r="Z436" s="67">
        <f>IF(База_КР_КК[[#This Row],[Таб.номер резервиста]]="-","-",IF(OR(База_КР_КК[[#This Row],[Уровень КК]]=2,База_КР_КК[[#This Row],[Уровень КК]]=3),IF(COUNTIFS($U$2:$U436,$U436,$F$2:$F436,$F436)=1,1,0),IF(COUNTIFS($U$2:$U436,$U436,$L$2:$L436,$L436)=1,1,0)))</f>
        <v>1</v>
      </c>
      <c r="AA4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" s="106"/>
      <c r="AC436" s="51"/>
      <c r="AD436" s="106" t="s">
        <v>13</v>
      </c>
      <c r="AE436" s="40" t="s">
        <v>411</v>
      </c>
    </row>
    <row r="437" spans="1:31" ht="18" customHeight="1" x14ac:dyDescent="0.25">
      <c r="A4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7" s="79">
        <v>4</v>
      </c>
      <c r="C437" s="23">
        <v>44880</v>
      </c>
      <c r="D437" s="67">
        <f>IF(COUNTIF($G$2:$G437,$G437)=1,1,0)</f>
        <v>0</v>
      </c>
      <c r="E437" s="67" t="str">
        <f>IFERROR(VLOOKUP(База_КР_КК[[#This Row],[ИД штатной должности (S)]],'уровень защищенности'!$B$7:$F$1095,5,0),"не защищена")</f>
        <v>низкий</v>
      </c>
      <c r="F437" s="68">
        <v>500544</v>
      </c>
      <c r="G437" s="74" t="s">
        <v>2260</v>
      </c>
      <c r="H437" s="181">
        <f>INDEX('Списки данных'!$D$2:$D$1048576,MATCH(База_КР_КК[[#This Row],[Структурное подразделение]],'Списки данных'!$C$2:$C$1048576,0))</f>
        <v>2</v>
      </c>
      <c r="I437" s="80" t="s">
        <v>133</v>
      </c>
      <c r="J437" s="80" t="s">
        <v>21</v>
      </c>
      <c r="K437" s="80" t="s">
        <v>21</v>
      </c>
      <c r="L437" s="30" t="s">
        <v>189</v>
      </c>
      <c r="M437" s="68">
        <v>6</v>
      </c>
      <c r="N437" s="181" t="str">
        <f t="shared" si="7"/>
        <v>нет</v>
      </c>
      <c r="O437" s="23"/>
      <c r="P437" s="23"/>
      <c r="Q437" s="106"/>
      <c r="R437" s="37">
        <v>103</v>
      </c>
      <c r="S437" s="39" t="s">
        <v>515</v>
      </c>
      <c r="T437" s="37">
        <v>1216</v>
      </c>
      <c r="U437" s="38" t="s">
        <v>1621</v>
      </c>
      <c r="V437" s="69" t="s">
        <v>272</v>
      </c>
      <c r="W437" s="89" t="s">
        <v>133</v>
      </c>
      <c r="X437" s="106" t="s">
        <v>296</v>
      </c>
      <c r="Y437" s="107" t="s">
        <v>12</v>
      </c>
      <c r="Z437" s="67">
        <f>IF(База_КР_КК[[#This Row],[Таб.номер резервиста]]="-","-",IF(OR(База_КР_КК[[#This Row],[Уровень КК]]=2,База_КР_КК[[#This Row],[Уровень КК]]=3),IF(COUNTIFS($U$2:$U437,$U437,$F$2:$F437,$F437)=1,1,0),IF(COUNTIFS($U$2:$U437,$U437,$L$2:$L437,$L437)=1,1,0)))</f>
        <v>1</v>
      </c>
      <c r="AA4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" s="106"/>
      <c r="AC437" s="51"/>
      <c r="AD437" s="106" t="s">
        <v>15</v>
      </c>
      <c r="AE437" s="40" t="s">
        <v>411</v>
      </c>
    </row>
    <row r="438" spans="1:31" ht="18" customHeight="1" x14ac:dyDescent="0.25">
      <c r="A4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8" s="79">
        <v>4</v>
      </c>
      <c r="C438" s="23">
        <v>43791</v>
      </c>
      <c r="D438" s="67">
        <f>IF(COUNTIF($G$2:$G438,$G438)=1,1,0)</f>
        <v>0</v>
      </c>
      <c r="E438" s="67" t="str">
        <f>IFERROR(VLOOKUP(База_КР_КК[[#This Row],[ИД штатной должности (S)]],'уровень защищенности'!$B$7:$F$1095,5,0),"не защищена")</f>
        <v>низкий</v>
      </c>
      <c r="F438" s="68">
        <v>500544</v>
      </c>
      <c r="G438" s="74" t="s">
        <v>2260</v>
      </c>
      <c r="H438" s="181">
        <f>INDEX('Списки данных'!$D$2:$D$1048576,MATCH(База_КР_КК[[#This Row],[Структурное подразделение]],'Списки данных'!$C$2:$C$1048576,0))</f>
        <v>2</v>
      </c>
      <c r="I438" s="80" t="s">
        <v>133</v>
      </c>
      <c r="J438" s="80" t="s">
        <v>21</v>
      </c>
      <c r="K438" s="80" t="s">
        <v>21</v>
      </c>
      <c r="L438" s="30" t="s">
        <v>189</v>
      </c>
      <c r="M438" s="68">
        <v>6</v>
      </c>
      <c r="N438" s="181" t="str">
        <f t="shared" si="7"/>
        <v>нет</v>
      </c>
      <c r="O438" s="23"/>
      <c r="P438" s="23"/>
      <c r="Q438" s="106"/>
      <c r="R438" s="37">
        <v>103</v>
      </c>
      <c r="S438" s="38" t="s">
        <v>515</v>
      </c>
      <c r="T438" s="37">
        <v>1217</v>
      </c>
      <c r="U438" s="39" t="s">
        <v>1622</v>
      </c>
      <c r="V438" s="89" t="s">
        <v>16</v>
      </c>
      <c r="W438" s="89" t="s">
        <v>276</v>
      </c>
      <c r="X438" s="106" t="s">
        <v>296</v>
      </c>
      <c r="Y438" s="107" t="s">
        <v>18</v>
      </c>
      <c r="Z438" s="67">
        <f>IF(База_КР_КК[[#This Row],[Таб.номер резервиста]]="-","-",IF(OR(База_КР_КК[[#This Row],[Уровень КК]]=2,База_КР_КК[[#This Row],[Уровень КК]]=3),IF(COUNTIFS($U$2:$U438,$U438,$F$2:$F438,$F438)=1,1,0),IF(COUNTIFS($U$2:$U438,$U438,$L$2:$L438,$L438)=1,1,0)))</f>
        <v>1</v>
      </c>
      <c r="AA4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" s="106" t="s">
        <v>38</v>
      </c>
      <c r="AC438" s="51">
        <v>45245</v>
      </c>
      <c r="AD438" s="106" t="s">
        <v>31</v>
      </c>
      <c r="AE438" s="38" t="s">
        <v>411</v>
      </c>
    </row>
    <row r="439" spans="1:31" ht="18" customHeight="1" x14ac:dyDescent="0.25">
      <c r="A4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39" s="79">
        <v>4</v>
      </c>
      <c r="C439" s="23">
        <v>44125</v>
      </c>
      <c r="D439" s="67">
        <f>IF(COUNTIF($G$2:$G439,$G439)=1,1,0)</f>
        <v>0</v>
      </c>
      <c r="E439" s="67" t="str">
        <f>IFERROR(VLOOKUP(База_КР_КК[[#This Row],[ИД штатной должности (S)]],'уровень защищенности'!$B$7:$F$1095,5,0),"не защищена")</f>
        <v>низкий</v>
      </c>
      <c r="F439" s="68">
        <v>500544</v>
      </c>
      <c r="G439" s="74" t="s">
        <v>2260</v>
      </c>
      <c r="H439" s="181">
        <f>INDEX('Списки данных'!$D$2:$D$1048576,MATCH(База_КР_КК[[#This Row],[Структурное подразделение]],'Списки данных'!$C$2:$C$1048576,0))</f>
        <v>2</v>
      </c>
      <c r="I439" s="80" t="s">
        <v>133</v>
      </c>
      <c r="J439" s="80" t="s">
        <v>21</v>
      </c>
      <c r="K439" s="80" t="s">
        <v>21</v>
      </c>
      <c r="L439" s="30" t="s">
        <v>189</v>
      </c>
      <c r="M439" s="68">
        <v>6</v>
      </c>
      <c r="N439" s="181" t="str">
        <f t="shared" si="7"/>
        <v>нет</v>
      </c>
      <c r="O439" s="23"/>
      <c r="P439" s="23"/>
      <c r="Q439" s="106"/>
      <c r="R439" s="37">
        <v>103</v>
      </c>
      <c r="S439" s="39" t="s">
        <v>515</v>
      </c>
      <c r="T439" s="37">
        <v>1206</v>
      </c>
      <c r="U439" s="38" t="s">
        <v>1611</v>
      </c>
      <c r="V439" s="69" t="s">
        <v>272</v>
      </c>
      <c r="W439" s="89" t="s">
        <v>133</v>
      </c>
      <c r="X439" s="106" t="s">
        <v>296</v>
      </c>
      <c r="Y439" s="107" t="s">
        <v>18</v>
      </c>
      <c r="Z439" s="67">
        <f>IF(База_КР_КК[[#This Row],[Таб.номер резервиста]]="-","-",IF(OR(База_КР_КК[[#This Row],[Уровень КК]]=2,База_КР_КК[[#This Row],[Уровень КК]]=3),IF(COUNTIFS($U$2:$U439,$U439,$F$2:$F439,$F439)=1,1,0),IF(COUNTIFS($U$2:$U439,$U439,$L$2:$L439,$L439)=1,1,0)))</f>
        <v>1</v>
      </c>
      <c r="AA4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9" s="106" t="s">
        <v>38</v>
      </c>
      <c r="AC439" s="51">
        <v>45245</v>
      </c>
      <c r="AD439" s="106" t="s">
        <v>31</v>
      </c>
      <c r="AE439" s="40" t="s">
        <v>411</v>
      </c>
    </row>
    <row r="440" spans="1:31" ht="18" customHeight="1" x14ac:dyDescent="0.25">
      <c r="A4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0" s="79">
        <v>2</v>
      </c>
      <c r="C440" s="23">
        <v>43080</v>
      </c>
      <c r="D440" s="67">
        <f>IF(COUNTIF($G$2:$G440,$G440)=1,1,0)</f>
        <v>1</v>
      </c>
      <c r="E440" s="67" t="str">
        <f>IFERROR(VLOOKUP(База_КР_КК[[#This Row],[ИД штатной должности (S)]],'уровень защищенности'!$B$7:$F$1095,5,0),"не защищена")</f>
        <v>средний</v>
      </c>
      <c r="F440" s="68">
        <v>500547</v>
      </c>
      <c r="G440" s="74" t="s">
        <v>2261</v>
      </c>
      <c r="H440" s="181">
        <f>INDEX('Списки данных'!$D$2:$D$1048576,MATCH(База_КР_КК[[#This Row],[Структурное подразделение]],'Списки данных'!$C$2:$C$1048576,0))</f>
        <v>216</v>
      </c>
      <c r="I440" s="80" t="s">
        <v>125</v>
      </c>
      <c r="J440" s="80" t="s">
        <v>21</v>
      </c>
      <c r="K440" s="80" t="s">
        <v>21</v>
      </c>
      <c r="L440" s="30" t="s">
        <v>181</v>
      </c>
      <c r="M440" s="68">
        <v>3</v>
      </c>
      <c r="N440" s="181" t="str">
        <f t="shared" si="7"/>
        <v>да</v>
      </c>
      <c r="O440" s="23">
        <v>44866</v>
      </c>
      <c r="P440" s="23">
        <v>45047</v>
      </c>
      <c r="Q440" s="106" t="s">
        <v>66</v>
      </c>
      <c r="R440" s="37">
        <v>104</v>
      </c>
      <c r="S440" s="39" t="s">
        <v>516</v>
      </c>
      <c r="T440" s="37">
        <v>24</v>
      </c>
      <c r="U440" s="39" t="s">
        <v>438</v>
      </c>
      <c r="V440" s="89" t="s">
        <v>183</v>
      </c>
      <c r="W440" s="89" t="s">
        <v>132</v>
      </c>
      <c r="X440" s="106" t="s">
        <v>297</v>
      </c>
      <c r="Y440" s="107" t="s">
        <v>12</v>
      </c>
      <c r="Z440" s="67">
        <f>IF(База_КР_КК[[#This Row],[Таб.номер резервиста]]="-","-",IF(OR(База_КР_КК[[#This Row],[Уровень КК]]=2,База_КР_КК[[#This Row],[Уровень КК]]=3),IF(COUNTIFS($U$2:$U440,$U440,$F$2:$F440,$F440)=1,1,0),IF(COUNTIFS($U$2:$U440,$U440,$L$2:$L440,$L440)=1,1,0)))</f>
        <v>1</v>
      </c>
      <c r="AA4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" s="106"/>
      <c r="AC440" s="51"/>
      <c r="AD440" s="106" t="s">
        <v>13</v>
      </c>
      <c r="AE440" s="38" t="s">
        <v>303</v>
      </c>
    </row>
    <row r="441" spans="1:31" ht="18" customHeight="1" x14ac:dyDescent="0.25">
      <c r="A4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1" s="79">
        <v>2</v>
      </c>
      <c r="C441" s="23">
        <v>44340</v>
      </c>
      <c r="D441" s="67">
        <f>IF(COUNTIF($G$2:$G441,$G441)=1,1,0)</f>
        <v>0</v>
      </c>
      <c r="E441" s="67" t="str">
        <f>IFERROR(VLOOKUP(База_КР_КК[[#This Row],[ИД штатной должности (S)]],'уровень защищенности'!$B$7:$F$1095,5,0),"не защищена")</f>
        <v>средний</v>
      </c>
      <c r="F441" s="68">
        <v>500547</v>
      </c>
      <c r="G441" s="74" t="s">
        <v>2261</v>
      </c>
      <c r="H441" s="181">
        <f>INDEX('Списки данных'!$D$2:$D$1048576,MATCH(База_КР_КК[[#This Row],[Структурное подразделение]],'Списки данных'!$C$2:$C$1048576,0))</f>
        <v>216</v>
      </c>
      <c r="I441" s="80" t="s">
        <v>125</v>
      </c>
      <c r="J441" s="80" t="s">
        <v>21</v>
      </c>
      <c r="K441" s="80" t="s">
        <v>21</v>
      </c>
      <c r="L441" s="30" t="s">
        <v>181</v>
      </c>
      <c r="M441" s="68">
        <v>3</v>
      </c>
      <c r="N441" s="181" t="str">
        <f t="shared" si="7"/>
        <v>да</v>
      </c>
      <c r="O441" s="23">
        <v>44866</v>
      </c>
      <c r="P441" s="23">
        <v>45047</v>
      </c>
      <c r="Q441" s="106" t="s">
        <v>66</v>
      </c>
      <c r="R441" s="37">
        <v>104</v>
      </c>
      <c r="S441" s="39" t="s">
        <v>516</v>
      </c>
      <c r="T441" s="37">
        <v>104</v>
      </c>
      <c r="U441" s="39" t="s">
        <v>516</v>
      </c>
      <c r="V441" s="69" t="s">
        <v>183</v>
      </c>
      <c r="W441" s="89" t="s">
        <v>125</v>
      </c>
      <c r="X441" s="106" t="s">
        <v>297</v>
      </c>
      <c r="Y441" s="107" t="s">
        <v>14</v>
      </c>
      <c r="Z441" s="67">
        <f>IF(База_КР_КК[[#This Row],[Таб.номер резервиста]]="-","-",IF(OR(База_КР_КК[[#This Row],[Уровень КК]]=2,База_КР_КК[[#This Row],[Уровень КК]]=3),IF(COUNTIFS($U$2:$U441,$U441,$F$2:$F441,$F441)=1,1,0),IF(COUNTIFS($U$2:$U441,$U441,$L$2:$L441,$L441)=1,1,0)))</f>
        <v>1</v>
      </c>
      <c r="AA4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41" s="106" t="s">
        <v>24</v>
      </c>
      <c r="AC441" s="51">
        <v>45047</v>
      </c>
      <c r="AD441" s="106" t="s">
        <v>15</v>
      </c>
      <c r="AE441" s="38" t="s">
        <v>303</v>
      </c>
    </row>
    <row r="442" spans="1:31" ht="18" customHeight="1" x14ac:dyDescent="0.25">
      <c r="A4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2" s="79">
        <v>4</v>
      </c>
      <c r="C442" s="23">
        <v>43783</v>
      </c>
      <c r="D442" s="67">
        <f>IF(COUNTIF($G$2:$G442,$G442)=1,1,0)</f>
        <v>1</v>
      </c>
      <c r="E442" s="67" t="str">
        <f>IFERROR(VLOOKUP(База_КР_КК[[#This Row],[ИД штатной должности (S)]],'уровень защищенности'!$B$7:$F$1095,5,0),"не защищена")</f>
        <v>высокий</v>
      </c>
      <c r="F442" s="68">
        <v>500367</v>
      </c>
      <c r="G442" s="74" t="s">
        <v>2262</v>
      </c>
      <c r="H442" s="181">
        <f>INDEX('Списки данных'!$D$2:$D$1048576,MATCH(База_КР_КК[[#This Row],[Структурное подразделение]],'Списки данных'!$C$2:$C$1048576,0))</f>
        <v>1</v>
      </c>
      <c r="I442" s="80" t="s">
        <v>132</v>
      </c>
      <c r="J442" s="80" t="s">
        <v>195</v>
      </c>
      <c r="K442" s="80" t="s">
        <v>21</v>
      </c>
      <c r="L442" s="30" t="s">
        <v>194</v>
      </c>
      <c r="M442" s="68">
        <v>6</v>
      </c>
      <c r="N442" s="181" t="str">
        <f t="shared" si="7"/>
        <v>нет</v>
      </c>
      <c r="O442" s="23"/>
      <c r="P442" s="23"/>
      <c r="Q442" s="106"/>
      <c r="R442" s="37">
        <v>105</v>
      </c>
      <c r="S442" s="38" t="s">
        <v>517</v>
      </c>
      <c r="T442" s="37">
        <v>106</v>
      </c>
      <c r="U442" s="39" t="s">
        <v>518</v>
      </c>
      <c r="V442" s="89" t="s">
        <v>192</v>
      </c>
      <c r="W442" s="89" t="s">
        <v>132</v>
      </c>
      <c r="X442" s="106" t="s">
        <v>295</v>
      </c>
      <c r="Y442" s="107" t="s">
        <v>12</v>
      </c>
      <c r="Z442" s="67">
        <f>IF(База_КР_КК[[#This Row],[Таб.номер резервиста]]="-","-",IF(OR(База_КР_КК[[#This Row],[Уровень КК]]=2,База_КР_КК[[#This Row],[Уровень КК]]=3),IF(COUNTIFS($U$2:$U442,$U442,$F$2:$F442,$F442)=1,1,0),IF(COUNTIFS($U$2:$U442,$U442,$L$2:$L442,$L442)=1,1,0)))</f>
        <v>0</v>
      </c>
      <c r="AA4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" s="106"/>
      <c r="AC442" s="51"/>
      <c r="AD442" s="106" t="s">
        <v>13</v>
      </c>
      <c r="AE442" s="38" t="s">
        <v>410</v>
      </c>
    </row>
    <row r="443" spans="1:31" ht="18" customHeight="1" x14ac:dyDescent="0.25">
      <c r="A4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3" s="79">
        <v>4</v>
      </c>
      <c r="C443" s="23">
        <v>43783</v>
      </c>
      <c r="D443" s="67">
        <f>IF(COUNTIF($G$2:$G443,$G443)=1,1,0)</f>
        <v>0</v>
      </c>
      <c r="E443" s="67" t="str">
        <f>IFERROR(VLOOKUP(База_КР_КК[[#This Row],[ИД штатной должности (S)]],'уровень защищенности'!$B$7:$F$1095,5,0),"не защищена")</f>
        <v>высокий</v>
      </c>
      <c r="F443" s="68">
        <v>500367</v>
      </c>
      <c r="G443" s="74" t="s">
        <v>2262</v>
      </c>
      <c r="H443" s="181">
        <f>INDEX('Списки данных'!$D$2:$D$1048576,MATCH(База_КР_КК[[#This Row],[Структурное подразделение]],'Списки данных'!$C$2:$C$1048576,0))</f>
        <v>1</v>
      </c>
      <c r="I443" s="80" t="s">
        <v>132</v>
      </c>
      <c r="J443" s="80" t="s">
        <v>195</v>
      </c>
      <c r="K443" s="80" t="s">
        <v>21</v>
      </c>
      <c r="L443" s="30" t="s">
        <v>194</v>
      </c>
      <c r="M443" s="68">
        <v>6</v>
      </c>
      <c r="N443" s="181" t="str">
        <f t="shared" si="7"/>
        <v>нет</v>
      </c>
      <c r="O443" s="23"/>
      <c r="P443" s="23"/>
      <c r="Q443" s="106"/>
      <c r="R443" s="37">
        <v>105</v>
      </c>
      <c r="S443" s="38" t="s">
        <v>517</v>
      </c>
      <c r="T443" s="37">
        <v>69</v>
      </c>
      <c r="U443" s="39" t="s">
        <v>481</v>
      </c>
      <c r="V443" s="89" t="s">
        <v>192</v>
      </c>
      <c r="W443" s="89" t="s">
        <v>132</v>
      </c>
      <c r="X443" s="106" t="s">
        <v>295</v>
      </c>
      <c r="Y443" s="107" t="s">
        <v>12</v>
      </c>
      <c r="Z443" s="67">
        <f>IF(База_КР_КК[[#This Row],[Таб.номер резервиста]]="-","-",IF(OR(База_КР_КК[[#This Row],[Уровень КК]]=2,База_КР_КК[[#This Row],[Уровень КК]]=3),IF(COUNTIFS($U$2:$U443,$U443,$F$2:$F443,$F443)=1,1,0),IF(COUNTIFS($U$2:$U443,$U443,$L$2:$L443,$L443)=1,1,0)))</f>
        <v>0</v>
      </c>
      <c r="AA4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" s="106"/>
      <c r="AC443" s="51"/>
      <c r="AD443" s="106" t="s">
        <v>13</v>
      </c>
      <c r="AE443" s="38" t="s">
        <v>410</v>
      </c>
    </row>
    <row r="444" spans="1:31" ht="18" customHeight="1" x14ac:dyDescent="0.25">
      <c r="A4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4" s="79">
        <v>4</v>
      </c>
      <c r="C444" s="23">
        <v>44897</v>
      </c>
      <c r="D444" s="67">
        <f>IF(COUNTIF($G$2:$G444,$G444)=1,1,0)</f>
        <v>0</v>
      </c>
      <c r="E444" s="67" t="str">
        <f>IFERROR(VLOOKUP(База_КР_КК[[#This Row],[ИД штатной должности (S)]],'уровень защищенности'!$B$7:$F$1095,5,0),"не защищена")</f>
        <v>высокий</v>
      </c>
      <c r="F444" s="68">
        <v>500367</v>
      </c>
      <c r="G444" s="74" t="s">
        <v>2262</v>
      </c>
      <c r="H444" s="181">
        <f>INDEX('Списки данных'!$D$2:$D$1048576,MATCH(База_КР_КК[[#This Row],[Структурное подразделение]],'Списки данных'!$C$2:$C$1048576,0))</f>
        <v>1</v>
      </c>
      <c r="I444" s="80" t="s">
        <v>132</v>
      </c>
      <c r="J444" s="80" t="s">
        <v>195</v>
      </c>
      <c r="K444" s="80" t="s">
        <v>21</v>
      </c>
      <c r="L444" s="30" t="s">
        <v>194</v>
      </c>
      <c r="M444" s="68">
        <v>6</v>
      </c>
      <c r="N444" s="181" t="str">
        <f t="shared" si="7"/>
        <v>нет</v>
      </c>
      <c r="O444" s="23"/>
      <c r="P444" s="23"/>
      <c r="Q444" s="106"/>
      <c r="R444" s="37">
        <v>105</v>
      </c>
      <c r="S444" s="39" t="s">
        <v>517</v>
      </c>
      <c r="T444" s="37">
        <v>131</v>
      </c>
      <c r="U444" s="38" t="s">
        <v>543</v>
      </c>
      <c r="V444" s="69" t="s">
        <v>192</v>
      </c>
      <c r="W444" s="89" t="s">
        <v>132</v>
      </c>
      <c r="X444" s="106" t="s">
        <v>297</v>
      </c>
      <c r="Y444" s="107" t="s">
        <v>12</v>
      </c>
      <c r="Z444" s="67">
        <f>IF(База_КР_КК[[#This Row],[Таб.номер резервиста]]="-","-",IF(OR(База_КР_КК[[#This Row],[Уровень КК]]=2,База_КР_КК[[#This Row],[Уровень КК]]=3),IF(COUNTIFS($U$2:$U444,$U444,$F$2:$F444,$F444)=1,1,0),IF(COUNTIFS($U$2:$U444,$U444,$L$2:$L444,$L444)=1,1,0)))</f>
        <v>0</v>
      </c>
      <c r="AA4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" s="106"/>
      <c r="AC444" s="51"/>
      <c r="AD444" s="106" t="s">
        <v>15</v>
      </c>
      <c r="AE444" s="33" t="s">
        <v>410</v>
      </c>
    </row>
    <row r="445" spans="1:31" ht="18" customHeight="1" x14ac:dyDescent="0.25">
      <c r="A4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5" s="79">
        <v>4</v>
      </c>
      <c r="C445" s="23">
        <v>43783</v>
      </c>
      <c r="D445" s="67">
        <f>IF(COUNTIF($G$2:$G445,$G445)=1,1,0)</f>
        <v>0</v>
      </c>
      <c r="E445" s="67" t="str">
        <f>IFERROR(VLOOKUP(База_КР_КК[[#This Row],[ИД штатной должности (S)]],'уровень защищенности'!$B$7:$F$1095,5,0),"не защищена")</f>
        <v>высокий</v>
      </c>
      <c r="F445" s="68">
        <v>500367</v>
      </c>
      <c r="G445" s="74" t="s">
        <v>2262</v>
      </c>
      <c r="H445" s="181">
        <f>INDEX('Списки данных'!$D$2:$D$1048576,MATCH(База_КР_КК[[#This Row],[Структурное подразделение]],'Списки данных'!$C$2:$C$1048576,0))</f>
        <v>1</v>
      </c>
      <c r="I445" s="80" t="s">
        <v>132</v>
      </c>
      <c r="J445" s="80" t="s">
        <v>195</v>
      </c>
      <c r="K445" s="80" t="s">
        <v>21</v>
      </c>
      <c r="L445" s="30" t="s">
        <v>194</v>
      </c>
      <c r="M445" s="68">
        <v>6</v>
      </c>
      <c r="N445" s="181" t="str">
        <f t="shared" si="7"/>
        <v>нет</v>
      </c>
      <c r="O445" s="23"/>
      <c r="P445" s="23"/>
      <c r="Q445" s="106"/>
      <c r="R445" s="37">
        <v>105</v>
      </c>
      <c r="S445" s="38" t="s">
        <v>517</v>
      </c>
      <c r="T445" s="37">
        <v>129</v>
      </c>
      <c r="U445" s="39" t="s">
        <v>541</v>
      </c>
      <c r="V445" s="89" t="s">
        <v>191</v>
      </c>
      <c r="W445" s="89" t="s">
        <v>132</v>
      </c>
      <c r="X445" s="106" t="s">
        <v>295</v>
      </c>
      <c r="Y445" s="107" t="s">
        <v>18</v>
      </c>
      <c r="Z445" s="67">
        <f>IF(База_КР_КК[[#This Row],[Таб.номер резервиста]]="-","-",IF(OR(База_КР_КК[[#This Row],[Уровень КК]]=2,База_КР_КК[[#This Row],[Уровень КК]]=3),IF(COUNTIFS($U$2:$U445,$U445,$F$2:$F445,$F445)=1,1,0),IF(COUNTIFS($U$2:$U445,$U445,$L$2:$L445,$L445)=1,1,0)))</f>
        <v>0</v>
      </c>
      <c r="AA4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" s="106" t="s">
        <v>24</v>
      </c>
      <c r="AC445" s="51">
        <v>44629</v>
      </c>
      <c r="AD445" s="106" t="s">
        <v>17</v>
      </c>
      <c r="AE445" s="38" t="s">
        <v>315</v>
      </c>
    </row>
    <row r="446" spans="1:31" ht="18" customHeight="1" x14ac:dyDescent="0.25">
      <c r="A4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6" s="79">
        <v>4</v>
      </c>
      <c r="C446" s="23">
        <v>43783</v>
      </c>
      <c r="D446" s="67">
        <f>IF(COUNTIF($G$2:$G446,$G446)=1,1,0)</f>
        <v>1</v>
      </c>
      <c r="E446" s="67" t="str">
        <f>IFERROR(VLOOKUP(База_КР_КК[[#This Row],[ИД штатной должности (S)]],'уровень защищенности'!$B$7:$F$1095,5,0),"не защищена")</f>
        <v>высокий</v>
      </c>
      <c r="F446" s="68">
        <v>500374</v>
      </c>
      <c r="G446" s="74" t="s">
        <v>2263</v>
      </c>
      <c r="H446" s="181">
        <f>INDEX('Списки данных'!$D$2:$D$1048576,MATCH(База_КР_КК[[#This Row],[Структурное подразделение]],'Списки данных'!$C$2:$C$1048576,0))</f>
        <v>1</v>
      </c>
      <c r="I446" s="80" t="s">
        <v>132</v>
      </c>
      <c r="J446" s="80" t="s">
        <v>195</v>
      </c>
      <c r="K446" s="80" t="s">
        <v>196</v>
      </c>
      <c r="L446" s="30" t="s">
        <v>191</v>
      </c>
      <c r="M446" s="68">
        <v>6</v>
      </c>
      <c r="N446" s="181" t="str">
        <f t="shared" si="7"/>
        <v>нет</v>
      </c>
      <c r="O446" s="23"/>
      <c r="P446" s="23"/>
      <c r="Q446" s="106"/>
      <c r="R446" s="37">
        <v>106</v>
      </c>
      <c r="S446" s="38" t="s">
        <v>518</v>
      </c>
      <c r="T446" s="37">
        <v>1177</v>
      </c>
      <c r="U446" s="39" t="s">
        <v>1585</v>
      </c>
      <c r="V446" s="89" t="s">
        <v>272</v>
      </c>
      <c r="W446" s="89" t="s">
        <v>132</v>
      </c>
      <c r="X446" s="106" t="s">
        <v>295</v>
      </c>
      <c r="Y446" s="107" t="s">
        <v>12</v>
      </c>
      <c r="Z446" s="67">
        <f>IF(База_КР_КК[[#This Row],[Таб.номер резервиста]]="-","-",IF(OR(База_КР_КК[[#This Row],[Уровень КК]]=2,База_КР_КК[[#This Row],[Уровень КК]]=3),IF(COUNTIFS($U$2:$U446,$U446,$F$2:$F446,$F446)=1,1,0),IF(COUNTIFS($U$2:$U446,$U446,$L$2:$L446,$L446)=1,1,0)))</f>
        <v>0</v>
      </c>
      <c r="AA4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" s="106"/>
      <c r="AC446" s="51"/>
      <c r="AD446" s="106" t="s">
        <v>13</v>
      </c>
      <c r="AE446" s="38" t="s">
        <v>410</v>
      </c>
    </row>
    <row r="447" spans="1:31" ht="18" customHeight="1" x14ac:dyDescent="0.25">
      <c r="A4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7" s="79">
        <v>4</v>
      </c>
      <c r="C447" s="23">
        <v>43783</v>
      </c>
      <c r="D447" s="67">
        <f>IF(COUNTIF($G$2:$G447,$G447)=1,1,0)</f>
        <v>0</v>
      </c>
      <c r="E447" s="67" t="str">
        <f>IFERROR(VLOOKUP(База_КР_КК[[#This Row],[ИД штатной должности (S)]],'уровень защищенности'!$B$7:$F$1095,5,0),"не защищена")</f>
        <v>высокий</v>
      </c>
      <c r="F447" s="68">
        <v>500374</v>
      </c>
      <c r="G447" s="74" t="s">
        <v>2263</v>
      </c>
      <c r="H447" s="181">
        <f>INDEX('Списки данных'!$D$2:$D$1048576,MATCH(База_КР_КК[[#This Row],[Структурное подразделение]],'Списки данных'!$C$2:$C$1048576,0))</f>
        <v>1</v>
      </c>
      <c r="I447" s="80" t="s">
        <v>132</v>
      </c>
      <c r="J447" s="80" t="s">
        <v>195</v>
      </c>
      <c r="K447" s="80" t="s">
        <v>196</v>
      </c>
      <c r="L447" s="30" t="s">
        <v>191</v>
      </c>
      <c r="M447" s="68">
        <v>6</v>
      </c>
      <c r="N447" s="181" t="str">
        <f t="shared" si="7"/>
        <v>нет</v>
      </c>
      <c r="O447" s="23"/>
      <c r="P447" s="23"/>
      <c r="Q447" s="106"/>
      <c r="R447" s="37">
        <v>106</v>
      </c>
      <c r="S447" s="38" t="s">
        <v>518</v>
      </c>
      <c r="T447" s="37">
        <v>1178</v>
      </c>
      <c r="U447" s="39" t="s">
        <v>1586</v>
      </c>
      <c r="V447" s="89" t="s">
        <v>272</v>
      </c>
      <c r="W447" s="89" t="s">
        <v>132</v>
      </c>
      <c r="X447" s="106" t="s">
        <v>295</v>
      </c>
      <c r="Y447" s="107" t="s">
        <v>12</v>
      </c>
      <c r="Z447" s="67">
        <f>IF(База_КР_КК[[#This Row],[Таб.номер резервиста]]="-","-",IF(OR(База_КР_КК[[#This Row],[Уровень КК]]=2,База_КР_КК[[#This Row],[Уровень КК]]=3),IF(COUNTIFS($U$2:$U447,$U447,$F$2:$F447,$F447)=1,1,0),IF(COUNTIFS($U$2:$U447,$U447,$L$2:$L447,$L447)=1,1,0)))</f>
        <v>0</v>
      </c>
      <c r="AA4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7" s="106"/>
      <c r="AC447" s="51"/>
      <c r="AD447" s="106" t="s">
        <v>13</v>
      </c>
      <c r="AE447" s="38" t="s">
        <v>410</v>
      </c>
    </row>
    <row r="448" spans="1:31" ht="18" customHeight="1" x14ac:dyDescent="0.25">
      <c r="A4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8" s="79">
        <v>4</v>
      </c>
      <c r="C448" s="23">
        <v>43783</v>
      </c>
      <c r="D448" s="67">
        <f>IF(COUNTIF($G$2:$G448,$G448)=1,1,0)</f>
        <v>0</v>
      </c>
      <c r="E448" s="67" t="str">
        <f>IFERROR(VLOOKUP(База_КР_КК[[#This Row],[ИД штатной должности (S)]],'уровень защищенности'!$B$7:$F$1095,5,0),"не защищена")</f>
        <v>высокий</v>
      </c>
      <c r="F448" s="68">
        <v>500374</v>
      </c>
      <c r="G448" s="74" t="s">
        <v>2263</v>
      </c>
      <c r="H448" s="181">
        <f>INDEX('Списки данных'!$D$2:$D$1048576,MATCH(База_КР_КК[[#This Row],[Структурное подразделение]],'Списки данных'!$C$2:$C$1048576,0))</f>
        <v>1</v>
      </c>
      <c r="I448" s="80" t="s">
        <v>132</v>
      </c>
      <c r="J448" s="80" t="s">
        <v>195</v>
      </c>
      <c r="K448" s="80" t="s">
        <v>196</v>
      </c>
      <c r="L448" s="30" t="s">
        <v>191</v>
      </c>
      <c r="M448" s="68">
        <v>6</v>
      </c>
      <c r="N448" s="181" t="str">
        <f t="shared" si="7"/>
        <v>нет</v>
      </c>
      <c r="O448" s="23"/>
      <c r="P448" s="23"/>
      <c r="Q448" s="106"/>
      <c r="R448" s="37">
        <v>106</v>
      </c>
      <c r="S448" s="38" t="s">
        <v>518</v>
      </c>
      <c r="T448" s="37">
        <v>1179</v>
      </c>
      <c r="U448" s="39" t="s">
        <v>1587</v>
      </c>
      <c r="V448" s="89" t="s">
        <v>272</v>
      </c>
      <c r="W448" s="89" t="s">
        <v>132</v>
      </c>
      <c r="X448" s="106" t="s">
        <v>295</v>
      </c>
      <c r="Y448" s="107" t="s">
        <v>12</v>
      </c>
      <c r="Z448" s="67">
        <f>IF(База_КР_КК[[#This Row],[Таб.номер резервиста]]="-","-",IF(OR(База_КР_КК[[#This Row],[Уровень КК]]=2,База_КР_КК[[#This Row],[Уровень КК]]=3),IF(COUNTIFS($U$2:$U448,$U448,$F$2:$F448,$F448)=1,1,0),IF(COUNTIFS($U$2:$U448,$U448,$L$2:$L448,$L448)=1,1,0)))</f>
        <v>0</v>
      </c>
      <c r="AA4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8" s="106"/>
      <c r="AC448" s="51"/>
      <c r="AD448" s="106" t="s">
        <v>17</v>
      </c>
      <c r="AE448" s="38" t="s">
        <v>410</v>
      </c>
    </row>
    <row r="449" spans="1:31" ht="18" customHeight="1" x14ac:dyDescent="0.25">
      <c r="A4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49" s="79">
        <v>4</v>
      </c>
      <c r="C449" s="23">
        <v>43783</v>
      </c>
      <c r="D449" s="67">
        <f>IF(COUNTIF($G$2:$G449,$G449)=1,1,0)</f>
        <v>0</v>
      </c>
      <c r="E449" s="67" t="str">
        <f>IFERROR(VLOOKUP(База_КР_КК[[#This Row],[ИД штатной должности (S)]],'уровень защищенности'!$B$7:$F$1095,5,0),"не защищена")</f>
        <v>высокий</v>
      </c>
      <c r="F449" s="68">
        <v>500374</v>
      </c>
      <c r="G449" s="74" t="s">
        <v>2263</v>
      </c>
      <c r="H449" s="181">
        <f>INDEX('Списки данных'!$D$2:$D$1048576,MATCH(База_КР_КК[[#This Row],[Структурное подразделение]],'Списки данных'!$C$2:$C$1048576,0))</f>
        <v>1</v>
      </c>
      <c r="I449" s="80" t="s">
        <v>132</v>
      </c>
      <c r="J449" s="80" t="s">
        <v>195</v>
      </c>
      <c r="K449" s="80" t="s">
        <v>196</v>
      </c>
      <c r="L449" s="30" t="s">
        <v>191</v>
      </c>
      <c r="M449" s="68">
        <v>6</v>
      </c>
      <c r="N449" s="181" t="str">
        <f t="shared" ref="N449:N512" si="8">IF(ISBLANK(O449),"нет","да")</f>
        <v>нет</v>
      </c>
      <c r="O449" s="23"/>
      <c r="P449" s="23"/>
      <c r="Q449" s="106"/>
      <c r="R449" s="37">
        <v>106</v>
      </c>
      <c r="S449" s="38" t="s">
        <v>518</v>
      </c>
      <c r="T449" s="37">
        <v>1176</v>
      </c>
      <c r="U449" s="39" t="s">
        <v>1584</v>
      </c>
      <c r="V449" s="89" t="s">
        <v>272</v>
      </c>
      <c r="W449" s="89" t="s">
        <v>132</v>
      </c>
      <c r="X449" s="106" t="s">
        <v>295</v>
      </c>
      <c r="Y449" s="107" t="s">
        <v>12</v>
      </c>
      <c r="Z449" s="67">
        <f>IF(База_КР_КК[[#This Row],[Таб.номер резервиста]]="-","-",IF(OR(База_КР_КК[[#This Row],[Уровень КК]]=2,База_КР_КК[[#This Row],[Уровень КК]]=3),IF(COUNTIFS($U$2:$U449,$U449,$F$2:$F449,$F449)=1,1,0),IF(COUNTIFS($U$2:$U449,$U449,$L$2:$L449,$L449)=1,1,0)))</f>
        <v>0</v>
      </c>
      <c r="AA4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9" s="106"/>
      <c r="AC449" s="51"/>
      <c r="AD449" s="106" t="s">
        <v>13</v>
      </c>
      <c r="AE449" s="38" t="s">
        <v>410</v>
      </c>
    </row>
    <row r="450" spans="1:31" ht="18" customHeight="1" x14ac:dyDescent="0.25">
      <c r="A4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0" s="79">
        <v>4</v>
      </c>
      <c r="C450" s="23">
        <v>43783</v>
      </c>
      <c r="D450" s="67">
        <f>IF(COUNTIF($G$2:$G450,$G450)=1,1,0)</f>
        <v>0</v>
      </c>
      <c r="E450" s="67" t="str">
        <f>IFERROR(VLOOKUP(База_КР_КК[[#This Row],[ИД штатной должности (S)]],'уровень защищенности'!$B$7:$F$1095,5,0),"не защищена")</f>
        <v>высокий</v>
      </c>
      <c r="F450" s="68">
        <v>500374</v>
      </c>
      <c r="G450" s="74" t="s">
        <v>2263</v>
      </c>
      <c r="H450" s="181">
        <f>INDEX('Списки данных'!$D$2:$D$1048576,MATCH(База_КР_КК[[#This Row],[Структурное подразделение]],'Списки данных'!$C$2:$C$1048576,0))</f>
        <v>1</v>
      </c>
      <c r="I450" s="80" t="s">
        <v>132</v>
      </c>
      <c r="J450" s="80" t="s">
        <v>195</v>
      </c>
      <c r="K450" s="80" t="s">
        <v>196</v>
      </c>
      <c r="L450" s="30" t="s">
        <v>191</v>
      </c>
      <c r="M450" s="68">
        <v>6</v>
      </c>
      <c r="N450" s="181" t="str">
        <f t="shared" si="8"/>
        <v>нет</v>
      </c>
      <c r="O450" s="23"/>
      <c r="P450" s="23"/>
      <c r="Q450" s="106"/>
      <c r="R450" s="37">
        <v>106</v>
      </c>
      <c r="S450" s="38" t="s">
        <v>518</v>
      </c>
      <c r="T450" s="37">
        <v>1180</v>
      </c>
      <c r="U450" s="39" t="s">
        <v>1588</v>
      </c>
      <c r="V450" s="89" t="s">
        <v>272</v>
      </c>
      <c r="W450" s="89" t="s">
        <v>132</v>
      </c>
      <c r="X450" s="106" t="s">
        <v>295</v>
      </c>
      <c r="Y450" s="107" t="s">
        <v>12</v>
      </c>
      <c r="Z450" s="67">
        <f>IF(База_КР_КК[[#This Row],[Таб.номер резервиста]]="-","-",IF(OR(База_КР_КК[[#This Row],[Уровень КК]]=2,База_КР_КК[[#This Row],[Уровень КК]]=3),IF(COUNTIFS($U$2:$U450,$U450,$F$2:$F450,$F450)=1,1,0),IF(COUNTIFS($U$2:$U450,$U450,$L$2:$L450,$L450)=1,1,0)))</f>
        <v>0</v>
      </c>
      <c r="AA4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0" s="106"/>
      <c r="AC450" s="51"/>
      <c r="AD450" s="106" t="s">
        <v>17</v>
      </c>
      <c r="AE450" s="38" t="s">
        <v>410</v>
      </c>
    </row>
    <row r="451" spans="1:31" ht="18" customHeight="1" x14ac:dyDescent="0.25">
      <c r="A4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1" s="79">
        <v>4</v>
      </c>
      <c r="C451" s="23">
        <v>44113</v>
      </c>
      <c r="D451" s="67">
        <f>IF(COUNTIF($G$2:$G451,$G451)=1,1,0)</f>
        <v>0</v>
      </c>
      <c r="E451" s="67" t="str">
        <f>IFERROR(VLOOKUP(База_КР_КК[[#This Row],[ИД штатной должности (S)]],'уровень защищенности'!$B$7:$F$1095,5,0),"не защищена")</f>
        <v>высокий</v>
      </c>
      <c r="F451" s="68">
        <v>500374</v>
      </c>
      <c r="G451" s="74" t="s">
        <v>2263</v>
      </c>
      <c r="H451" s="181">
        <f>INDEX('Списки данных'!$D$2:$D$1048576,MATCH(База_КР_КК[[#This Row],[Структурное подразделение]],'Списки данных'!$C$2:$C$1048576,0))</f>
        <v>1</v>
      </c>
      <c r="I451" s="80" t="s">
        <v>132</v>
      </c>
      <c r="J451" s="80" t="s">
        <v>195</v>
      </c>
      <c r="K451" s="80" t="s">
        <v>196</v>
      </c>
      <c r="L451" s="30" t="s">
        <v>191</v>
      </c>
      <c r="M451" s="68">
        <v>6</v>
      </c>
      <c r="N451" s="181" t="str">
        <f t="shared" si="8"/>
        <v>нет</v>
      </c>
      <c r="O451" s="23"/>
      <c r="P451" s="23"/>
      <c r="Q451" s="106"/>
      <c r="R451" s="37">
        <v>106</v>
      </c>
      <c r="S451" s="38" t="s">
        <v>518</v>
      </c>
      <c r="T451" s="37">
        <v>1181</v>
      </c>
      <c r="U451" s="39" t="s">
        <v>1589</v>
      </c>
      <c r="V451" s="89" t="s">
        <v>272</v>
      </c>
      <c r="W451" s="89" t="s">
        <v>132</v>
      </c>
      <c r="X451" s="106" t="s">
        <v>295</v>
      </c>
      <c r="Y451" s="107" t="s">
        <v>12</v>
      </c>
      <c r="Z451" s="67">
        <f>IF(База_КР_КК[[#This Row],[Таб.номер резервиста]]="-","-",IF(OR(База_КР_КК[[#This Row],[Уровень КК]]=2,База_КР_КК[[#This Row],[Уровень КК]]=3),IF(COUNTIFS($U$2:$U451,$U451,$F$2:$F451,$F451)=1,1,0),IF(COUNTIFS($U$2:$U451,$U451,$L$2:$L451,$L451)=1,1,0)))</f>
        <v>0</v>
      </c>
      <c r="AA4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1" s="106"/>
      <c r="AC451" s="51"/>
      <c r="AD451" s="106" t="s">
        <v>17</v>
      </c>
      <c r="AE451" s="38" t="s">
        <v>410</v>
      </c>
    </row>
    <row r="452" spans="1:31" ht="18" customHeight="1" x14ac:dyDescent="0.25">
      <c r="A4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2" s="79">
        <v>4</v>
      </c>
      <c r="C452" s="23">
        <v>44897</v>
      </c>
      <c r="D452" s="67">
        <f>IF(COUNTIF($G$2:$G452,$G452)=1,1,0)</f>
        <v>0</v>
      </c>
      <c r="E452" s="67" t="str">
        <f>IFERROR(VLOOKUP(База_КР_КК[[#This Row],[ИД штатной должности (S)]],'уровень защищенности'!$B$7:$F$1095,5,0),"не защищена")</f>
        <v>высокий</v>
      </c>
      <c r="F452" s="68">
        <v>500374</v>
      </c>
      <c r="G452" s="74" t="s">
        <v>2263</v>
      </c>
      <c r="H452" s="181">
        <f>INDEX('Списки данных'!$D$2:$D$1048576,MATCH(База_КР_КК[[#This Row],[Структурное подразделение]],'Списки данных'!$C$2:$C$1048576,0))</f>
        <v>1</v>
      </c>
      <c r="I452" s="80" t="s">
        <v>132</v>
      </c>
      <c r="J452" s="80" t="s">
        <v>195</v>
      </c>
      <c r="K452" s="80" t="s">
        <v>196</v>
      </c>
      <c r="L452" s="30" t="s">
        <v>191</v>
      </c>
      <c r="M452" s="68">
        <v>6</v>
      </c>
      <c r="N452" s="181" t="str">
        <f t="shared" si="8"/>
        <v>нет</v>
      </c>
      <c r="O452" s="23"/>
      <c r="P452" s="23"/>
      <c r="Q452" s="106"/>
      <c r="R452" s="37">
        <v>106</v>
      </c>
      <c r="S452" s="39" t="s">
        <v>518</v>
      </c>
      <c r="T452" s="37">
        <v>1182</v>
      </c>
      <c r="U452" s="38" t="s">
        <v>1590</v>
      </c>
      <c r="V452" s="69" t="s">
        <v>272</v>
      </c>
      <c r="W452" s="89" t="s">
        <v>132</v>
      </c>
      <c r="X452" s="106" t="s">
        <v>296</v>
      </c>
      <c r="Y452" s="107" t="s">
        <v>12</v>
      </c>
      <c r="Z452" s="67">
        <f>IF(База_КР_КК[[#This Row],[Таб.номер резервиста]]="-","-",IF(OR(База_КР_КК[[#This Row],[Уровень КК]]=2,База_КР_КК[[#This Row],[Уровень КК]]=3),IF(COUNTIFS($U$2:$U452,$U452,$F$2:$F452,$F452)=1,1,0),IF(COUNTIFS($U$2:$U452,$U452,$L$2:$L452,$L452)=1,1,0)))</f>
        <v>0</v>
      </c>
      <c r="AA4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2" s="106"/>
      <c r="AC452" s="51"/>
      <c r="AD452" s="106" t="s">
        <v>15</v>
      </c>
      <c r="AE452" s="33" t="s">
        <v>410</v>
      </c>
    </row>
    <row r="453" spans="1:31" ht="18" customHeight="1" x14ac:dyDescent="0.25">
      <c r="A4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3" s="79">
        <v>4</v>
      </c>
      <c r="C453" s="23">
        <v>44897</v>
      </c>
      <c r="D453" s="67">
        <f>IF(COUNTIF($G$2:$G453,$G453)=1,1,0)</f>
        <v>0</v>
      </c>
      <c r="E453" s="67" t="str">
        <f>IFERROR(VLOOKUP(База_КР_КК[[#This Row],[ИД штатной должности (S)]],'уровень защищенности'!$B$7:$F$1095,5,0),"не защищена")</f>
        <v>высокий</v>
      </c>
      <c r="F453" s="68">
        <v>500374</v>
      </c>
      <c r="G453" s="74" t="s">
        <v>2263</v>
      </c>
      <c r="H453" s="181">
        <f>INDEX('Списки данных'!$D$2:$D$1048576,MATCH(База_КР_КК[[#This Row],[Структурное подразделение]],'Списки данных'!$C$2:$C$1048576,0))</f>
        <v>1</v>
      </c>
      <c r="I453" s="80" t="s">
        <v>132</v>
      </c>
      <c r="J453" s="80" t="s">
        <v>195</v>
      </c>
      <c r="K453" s="80" t="s">
        <v>196</v>
      </c>
      <c r="L453" s="30" t="s">
        <v>191</v>
      </c>
      <c r="M453" s="68">
        <v>6</v>
      </c>
      <c r="N453" s="181" t="str">
        <f t="shared" si="8"/>
        <v>нет</v>
      </c>
      <c r="O453" s="23"/>
      <c r="P453" s="23"/>
      <c r="Q453" s="106"/>
      <c r="R453" s="37">
        <v>106</v>
      </c>
      <c r="S453" s="39" t="s">
        <v>518</v>
      </c>
      <c r="T453" s="37">
        <v>1183</v>
      </c>
      <c r="U453" s="38" t="s">
        <v>1591</v>
      </c>
      <c r="V453" s="69" t="s">
        <v>272</v>
      </c>
      <c r="W453" s="89" t="s">
        <v>132</v>
      </c>
      <c r="X453" s="106" t="s">
        <v>296</v>
      </c>
      <c r="Y453" s="107" t="s">
        <v>12</v>
      </c>
      <c r="Z453" s="67">
        <f>IF(База_КР_КК[[#This Row],[Таб.номер резервиста]]="-","-",IF(OR(База_КР_КК[[#This Row],[Уровень КК]]=2,База_КР_КК[[#This Row],[Уровень КК]]=3),IF(COUNTIFS($U$2:$U453,$U453,$F$2:$F453,$F453)=1,1,0),IF(COUNTIFS($U$2:$U453,$U453,$L$2:$L453,$L453)=1,1,0)))</f>
        <v>0</v>
      </c>
      <c r="AA4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3" s="106"/>
      <c r="AC453" s="51"/>
      <c r="AD453" s="106" t="s">
        <v>15</v>
      </c>
      <c r="AE453" s="33" t="s">
        <v>410</v>
      </c>
    </row>
    <row r="454" spans="1:31" ht="18" customHeight="1" x14ac:dyDescent="0.25">
      <c r="A4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4" s="79">
        <v>4</v>
      </c>
      <c r="C454" s="23">
        <v>44897</v>
      </c>
      <c r="D454" s="67">
        <f>IF(COUNTIF($G$2:$G454,$G454)=1,1,0)</f>
        <v>0</v>
      </c>
      <c r="E454" s="67" t="str">
        <f>IFERROR(VLOOKUP(База_КР_КК[[#This Row],[ИД штатной должности (S)]],'уровень защищенности'!$B$7:$F$1095,5,0),"не защищена")</f>
        <v>высокий</v>
      </c>
      <c r="F454" s="68">
        <v>500374</v>
      </c>
      <c r="G454" s="74" t="s">
        <v>2263</v>
      </c>
      <c r="H454" s="181">
        <f>INDEX('Списки данных'!$D$2:$D$1048576,MATCH(База_КР_КК[[#This Row],[Структурное подразделение]],'Списки данных'!$C$2:$C$1048576,0))</f>
        <v>1</v>
      </c>
      <c r="I454" s="80" t="s">
        <v>132</v>
      </c>
      <c r="J454" s="80" t="s">
        <v>195</v>
      </c>
      <c r="K454" s="80" t="s">
        <v>196</v>
      </c>
      <c r="L454" s="30" t="s">
        <v>191</v>
      </c>
      <c r="M454" s="68">
        <v>6</v>
      </c>
      <c r="N454" s="181" t="str">
        <f t="shared" si="8"/>
        <v>нет</v>
      </c>
      <c r="O454" s="23"/>
      <c r="P454" s="23"/>
      <c r="Q454" s="106"/>
      <c r="R454" s="37">
        <v>106</v>
      </c>
      <c r="S454" s="39" t="s">
        <v>518</v>
      </c>
      <c r="T454" s="37">
        <v>1184</v>
      </c>
      <c r="U454" s="38" t="s">
        <v>1592</v>
      </c>
      <c r="V454" s="69" t="s">
        <v>272</v>
      </c>
      <c r="W454" s="89" t="s">
        <v>132</v>
      </c>
      <c r="X454" s="106" t="s">
        <v>296</v>
      </c>
      <c r="Y454" s="107" t="s">
        <v>12</v>
      </c>
      <c r="Z454" s="67">
        <f>IF(База_КР_КК[[#This Row],[Таб.номер резервиста]]="-","-",IF(OR(База_КР_КК[[#This Row],[Уровень КК]]=2,База_КР_КК[[#This Row],[Уровень КК]]=3),IF(COUNTIFS($U$2:$U454,$U454,$F$2:$F454,$F454)=1,1,0),IF(COUNTIFS($U$2:$U454,$U454,$L$2:$L454,$L454)=1,1,0)))</f>
        <v>0</v>
      </c>
      <c r="AA4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4" s="106"/>
      <c r="AC454" s="51"/>
      <c r="AD454" s="106" t="s">
        <v>15</v>
      </c>
      <c r="AE454" s="33" t="s">
        <v>410</v>
      </c>
    </row>
    <row r="455" spans="1:31" ht="18" customHeight="1" x14ac:dyDescent="0.25">
      <c r="A4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5" s="79">
        <v>4</v>
      </c>
      <c r="C455" s="23">
        <v>44897</v>
      </c>
      <c r="D455" s="67">
        <f>IF(COUNTIF($G$2:$G455,$G455)=1,1,0)</f>
        <v>0</v>
      </c>
      <c r="E455" s="67" t="str">
        <f>IFERROR(VLOOKUP(База_КР_КК[[#This Row],[ИД штатной должности (S)]],'уровень защищенности'!$B$7:$F$1095,5,0),"не защищена")</f>
        <v>высокий</v>
      </c>
      <c r="F455" s="68">
        <v>500374</v>
      </c>
      <c r="G455" s="74" t="s">
        <v>2263</v>
      </c>
      <c r="H455" s="181">
        <f>INDEX('Списки данных'!$D$2:$D$1048576,MATCH(База_КР_КК[[#This Row],[Структурное подразделение]],'Списки данных'!$C$2:$C$1048576,0))</f>
        <v>1</v>
      </c>
      <c r="I455" s="80" t="s">
        <v>132</v>
      </c>
      <c r="J455" s="80" t="s">
        <v>195</v>
      </c>
      <c r="K455" s="80" t="s">
        <v>196</v>
      </c>
      <c r="L455" s="30" t="s">
        <v>191</v>
      </c>
      <c r="M455" s="68">
        <v>6</v>
      </c>
      <c r="N455" s="181" t="str">
        <f t="shared" si="8"/>
        <v>нет</v>
      </c>
      <c r="O455" s="23"/>
      <c r="P455" s="23"/>
      <c r="Q455" s="106"/>
      <c r="R455" s="37">
        <v>106</v>
      </c>
      <c r="S455" s="39" t="s">
        <v>518</v>
      </c>
      <c r="T455" s="37">
        <v>1185</v>
      </c>
      <c r="U455" s="38" t="s">
        <v>1593</v>
      </c>
      <c r="V455" s="69" t="s">
        <v>272</v>
      </c>
      <c r="W455" s="89" t="s">
        <v>132</v>
      </c>
      <c r="X455" s="106" t="s">
        <v>295</v>
      </c>
      <c r="Y455" s="107" t="s">
        <v>12</v>
      </c>
      <c r="Z455" s="67">
        <f>IF(База_КР_КК[[#This Row],[Таб.номер резервиста]]="-","-",IF(OR(База_КР_КК[[#This Row],[Уровень КК]]=2,База_КР_КК[[#This Row],[Уровень КК]]=3),IF(COUNTIFS($U$2:$U455,$U455,$F$2:$F455,$F455)=1,1,0),IF(COUNTIFS($U$2:$U455,$U455,$L$2:$L455,$L455)=1,1,0)))</f>
        <v>0</v>
      </c>
      <c r="AA4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5" s="106"/>
      <c r="AC455" s="51"/>
      <c r="AD455" s="106" t="s">
        <v>15</v>
      </c>
      <c r="AE455" s="33" t="s">
        <v>410</v>
      </c>
    </row>
    <row r="456" spans="1:31" ht="18" customHeight="1" x14ac:dyDescent="0.25">
      <c r="A4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6" s="79">
        <v>4</v>
      </c>
      <c r="C456" s="23">
        <v>44496</v>
      </c>
      <c r="D456" s="67">
        <f>IF(COUNTIF($G$2:$G456,$G456)=1,1,0)</f>
        <v>0</v>
      </c>
      <c r="E456" s="67" t="str">
        <f>IFERROR(VLOOKUP(База_КР_КК[[#This Row],[ИД штатной должности (S)]],'уровень защищенности'!$B$7:$F$1095,5,0),"не защищена")</f>
        <v>высокий</v>
      </c>
      <c r="F456" s="68">
        <v>500374</v>
      </c>
      <c r="G456" s="74" t="s">
        <v>2263</v>
      </c>
      <c r="H456" s="181">
        <f>INDEX('Списки данных'!$D$2:$D$1048576,MATCH(База_КР_КК[[#This Row],[Структурное подразделение]],'Списки данных'!$C$2:$C$1048576,0))</f>
        <v>1</v>
      </c>
      <c r="I456" s="80" t="s">
        <v>132</v>
      </c>
      <c r="J456" s="80" t="s">
        <v>195</v>
      </c>
      <c r="K456" s="80" t="s">
        <v>196</v>
      </c>
      <c r="L456" s="30" t="s">
        <v>191</v>
      </c>
      <c r="M456" s="68">
        <v>6</v>
      </c>
      <c r="N456" s="181" t="str">
        <f t="shared" si="8"/>
        <v>нет</v>
      </c>
      <c r="O456" s="23"/>
      <c r="P456" s="23"/>
      <c r="Q456" s="106"/>
      <c r="R456" s="37">
        <v>106</v>
      </c>
      <c r="S456" s="38" t="s">
        <v>518</v>
      </c>
      <c r="T456" s="37">
        <v>70</v>
      </c>
      <c r="U456" s="39" t="s">
        <v>482</v>
      </c>
      <c r="V456" s="89" t="s">
        <v>192</v>
      </c>
      <c r="W456" s="89" t="s">
        <v>132</v>
      </c>
      <c r="X456" s="106" t="s">
        <v>295</v>
      </c>
      <c r="Y456" s="107" t="s">
        <v>14</v>
      </c>
      <c r="Z456" s="67">
        <f>IF(База_КР_КК[[#This Row],[Таб.номер резервиста]]="-","-",IF(OR(База_КР_КК[[#This Row],[Уровень КК]]=2,База_КР_КК[[#This Row],[Уровень КК]]=3),IF(COUNTIFS($U$2:$U456,$U456,$F$2:$F456,$F456)=1,1,0),IF(COUNTIFS($U$2:$U456,$U456,$L$2:$L456,$L456)=1,1,0)))</f>
        <v>0</v>
      </c>
      <c r="AA4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6" s="106" t="s">
        <v>24</v>
      </c>
      <c r="AC456" s="51">
        <v>44939</v>
      </c>
      <c r="AD456" s="106" t="s">
        <v>17</v>
      </c>
      <c r="AE456" s="33" t="s">
        <v>410</v>
      </c>
    </row>
    <row r="457" spans="1:31" ht="18" customHeight="1" x14ac:dyDescent="0.25">
      <c r="A4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7" s="79">
        <v>4</v>
      </c>
      <c r="C457" s="23">
        <v>43783</v>
      </c>
      <c r="D457" s="67">
        <f>IF(COUNTIF($G$2:$G457,$G457)=1,1,0)</f>
        <v>1</v>
      </c>
      <c r="E457" s="67" t="str">
        <f>IFERROR(VLOOKUP(База_КР_КК[[#This Row],[ИД штатной должности (S)]],'уровень защищенности'!$B$7:$F$1095,5,0),"не защищена")</f>
        <v>высокий</v>
      </c>
      <c r="F457" s="68">
        <v>500375</v>
      </c>
      <c r="G457" s="74" t="s">
        <v>2264</v>
      </c>
      <c r="H457" s="181">
        <f>INDEX('Списки данных'!$D$2:$D$1048576,MATCH(База_КР_КК[[#This Row],[Структурное подразделение]],'Списки данных'!$C$2:$C$1048576,0))</f>
        <v>1</v>
      </c>
      <c r="I457" s="80" t="s">
        <v>132</v>
      </c>
      <c r="J457" s="80" t="s">
        <v>195</v>
      </c>
      <c r="K457" s="80" t="s">
        <v>196</v>
      </c>
      <c r="L457" s="30" t="s">
        <v>191</v>
      </c>
      <c r="M457" s="68">
        <v>6</v>
      </c>
      <c r="N457" s="181" t="str">
        <f t="shared" si="8"/>
        <v>нет</v>
      </c>
      <c r="O457" s="23"/>
      <c r="P457" s="23"/>
      <c r="Q457" s="106"/>
      <c r="R457" s="37">
        <v>107</v>
      </c>
      <c r="S457" s="196" t="s">
        <v>519</v>
      </c>
      <c r="T457" s="37">
        <v>1177</v>
      </c>
      <c r="U457" s="39" t="s">
        <v>1585</v>
      </c>
      <c r="V457" s="89" t="s">
        <v>272</v>
      </c>
      <c r="W457" s="89" t="s">
        <v>132</v>
      </c>
      <c r="X457" s="106" t="s">
        <v>295</v>
      </c>
      <c r="Y457" s="107" t="s">
        <v>12</v>
      </c>
      <c r="Z457" s="67">
        <f>IF(База_КР_КК[[#This Row],[Таб.номер резервиста]]="-","-",IF(OR(База_КР_КК[[#This Row],[Уровень КК]]=2,База_КР_КК[[#This Row],[Уровень КК]]=3),IF(COUNTIFS($U$2:$U457,$U457,$F$2:$F457,$F457)=1,1,0),IF(COUNTIFS($U$2:$U457,$U457,$L$2:$L457,$L457)=1,1,0)))</f>
        <v>0</v>
      </c>
      <c r="AA4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7" s="106"/>
      <c r="AC457" s="51"/>
      <c r="AD457" s="106" t="s">
        <v>13</v>
      </c>
      <c r="AE457" s="38" t="s">
        <v>410</v>
      </c>
    </row>
    <row r="458" spans="1:31" ht="18" customHeight="1" x14ac:dyDescent="0.25">
      <c r="A4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8" s="79">
        <v>4</v>
      </c>
      <c r="C458" s="23">
        <v>43783</v>
      </c>
      <c r="D458" s="67">
        <f>IF(COUNTIF($G$2:$G458,$G458)=1,1,0)</f>
        <v>0</v>
      </c>
      <c r="E458" s="67" t="str">
        <f>IFERROR(VLOOKUP(База_КР_КК[[#This Row],[ИД штатной должности (S)]],'уровень защищенности'!$B$7:$F$1095,5,0),"не защищена")</f>
        <v>высокий</v>
      </c>
      <c r="F458" s="68">
        <v>500375</v>
      </c>
      <c r="G458" s="74" t="s">
        <v>2264</v>
      </c>
      <c r="H458" s="181">
        <f>INDEX('Списки данных'!$D$2:$D$1048576,MATCH(База_КР_КК[[#This Row],[Структурное подразделение]],'Списки данных'!$C$2:$C$1048576,0))</f>
        <v>1</v>
      </c>
      <c r="I458" s="80" t="s">
        <v>132</v>
      </c>
      <c r="J458" s="80" t="s">
        <v>195</v>
      </c>
      <c r="K458" s="80" t="s">
        <v>196</v>
      </c>
      <c r="L458" s="30" t="s">
        <v>191</v>
      </c>
      <c r="M458" s="68">
        <v>6</v>
      </c>
      <c r="N458" s="181" t="str">
        <f t="shared" si="8"/>
        <v>нет</v>
      </c>
      <c r="O458" s="23"/>
      <c r="P458" s="23"/>
      <c r="Q458" s="106"/>
      <c r="R458" s="37">
        <v>107</v>
      </c>
      <c r="S458" s="196" t="s">
        <v>519</v>
      </c>
      <c r="T458" s="37">
        <v>1178</v>
      </c>
      <c r="U458" s="39" t="s">
        <v>1586</v>
      </c>
      <c r="V458" s="89" t="s">
        <v>272</v>
      </c>
      <c r="W458" s="89" t="s">
        <v>132</v>
      </c>
      <c r="X458" s="106" t="s">
        <v>295</v>
      </c>
      <c r="Y458" s="107" t="s">
        <v>12</v>
      </c>
      <c r="Z458" s="67">
        <f>IF(База_КР_КК[[#This Row],[Таб.номер резервиста]]="-","-",IF(OR(База_КР_КК[[#This Row],[Уровень КК]]=2,База_КР_КК[[#This Row],[Уровень КК]]=3),IF(COUNTIFS($U$2:$U458,$U458,$F$2:$F458,$F458)=1,1,0),IF(COUNTIFS($U$2:$U458,$U458,$L$2:$L458,$L458)=1,1,0)))</f>
        <v>0</v>
      </c>
      <c r="AA4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8" s="106"/>
      <c r="AC458" s="51"/>
      <c r="AD458" s="106" t="s">
        <v>13</v>
      </c>
      <c r="AE458" s="38" t="s">
        <v>410</v>
      </c>
    </row>
    <row r="459" spans="1:31" ht="18" customHeight="1" x14ac:dyDescent="0.25">
      <c r="A4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59" s="79">
        <v>4</v>
      </c>
      <c r="C459" s="23">
        <v>43783</v>
      </c>
      <c r="D459" s="67">
        <f>IF(COUNTIF($G$2:$G459,$G459)=1,1,0)</f>
        <v>0</v>
      </c>
      <c r="E459" s="67" t="str">
        <f>IFERROR(VLOOKUP(База_КР_КК[[#This Row],[ИД штатной должности (S)]],'уровень защищенности'!$B$7:$F$1095,5,0),"не защищена")</f>
        <v>высокий</v>
      </c>
      <c r="F459" s="68">
        <v>500375</v>
      </c>
      <c r="G459" s="74" t="s">
        <v>2264</v>
      </c>
      <c r="H459" s="181">
        <f>INDEX('Списки данных'!$D$2:$D$1048576,MATCH(База_КР_КК[[#This Row],[Структурное подразделение]],'Списки данных'!$C$2:$C$1048576,0))</f>
        <v>1</v>
      </c>
      <c r="I459" s="80" t="s">
        <v>132</v>
      </c>
      <c r="J459" s="80" t="s">
        <v>195</v>
      </c>
      <c r="K459" s="80" t="s">
        <v>196</v>
      </c>
      <c r="L459" s="30" t="s">
        <v>191</v>
      </c>
      <c r="M459" s="68">
        <v>6</v>
      </c>
      <c r="N459" s="181" t="str">
        <f t="shared" si="8"/>
        <v>нет</v>
      </c>
      <c r="O459" s="23"/>
      <c r="P459" s="23"/>
      <c r="Q459" s="106"/>
      <c r="R459" s="37">
        <v>107</v>
      </c>
      <c r="S459" s="38" t="s">
        <v>519</v>
      </c>
      <c r="T459" s="37">
        <v>1179</v>
      </c>
      <c r="U459" s="39" t="s">
        <v>1587</v>
      </c>
      <c r="V459" s="89" t="s">
        <v>272</v>
      </c>
      <c r="W459" s="89" t="s">
        <v>132</v>
      </c>
      <c r="X459" s="106" t="s">
        <v>295</v>
      </c>
      <c r="Y459" s="107" t="s">
        <v>12</v>
      </c>
      <c r="Z459" s="67">
        <f>IF(База_КР_КК[[#This Row],[Таб.номер резервиста]]="-","-",IF(OR(База_КР_КК[[#This Row],[Уровень КК]]=2,База_КР_КК[[#This Row],[Уровень КК]]=3),IF(COUNTIFS($U$2:$U459,$U459,$F$2:$F459,$F459)=1,1,0),IF(COUNTIFS($U$2:$U459,$U459,$L$2:$L459,$L459)=1,1,0)))</f>
        <v>0</v>
      </c>
      <c r="AA4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59" s="106"/>
      <c r="AC459" s="51"/>
      <c r="AD459" s="106" t="s">
        <v>17</v>
      </c>
      <c r="AE459" s="38" t="s">
        <v>410</v>
      </c>
    </row>
    <row r="460" spans="1:31" ht="18" customHeight="1" x14ac:dyDescent="0.25">
      <c r="A4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0" s="79">
        <v>4</v>
      </c>
      <c r="C460" s="23">
        <v>43783</v>
      </c>
      <c r="D460" s="67">
        <f>IF(COUNTIF($G$2:$G460,$G460)=1,1,0)</f>
        <v>0</v>
      </c>
      <c r="E460" s="67" t="str">
        <f>IFERROR(VLOOKUP(База_КР_КК[[#This Row],[ИД штатной должности (S)]],'уровень защищенности'!$B$7:$F$1095,5,0),"не защищена")</f>
        <v>высокий</v>
      </c>
      <c r="F460" s="68">
        <v>500373</v>
      </c>
      <c r="G460" s="74" t="s">
        <v>2264</v>
      </c>
      <c r="H460" s="181">
        <f>INDEX('Списки данных'!$D$2:$D$1048576,MATCH(База_КР_КК[[#This Row],[Структурное подразделение]],'Списки данных'!$C$2:$C$1048576,0))</f>
        <v>1</v>
      </c>
      <c r="I460" s="80" t="s">
        <v>132</v>
      </c>
      <c r="J460" s="80" t="s">
        <v>195</v>
      </c>
      <c r="K460" s="80" t="s">
        <v>196</v>
      </c>
      <c r="L460" s="30" t="s">
        <v>191</v>
      </c>
      <c r="M460" s="68">
        <v>6</v>
      </c>
      <c r="N460" s="181" t="str">
        <f t="shared" si="8"/>
        <v>нет</v>
      </c>
      <c r="O460" s="23"/>
      <c r="P460" s="23"/>
      <c r="Q460" s="106"/>
      <c r="R460" s="37">
        <v>107</v>
      </c>
      <c r="S460" s="38" t="s">
        <v>519</v>
      </c>
      <c r="T460" s="37">
        <v>1176</v>
      </c>
      <c r="U460" s="39" t="s">
        <v>1584</v>
      </c>
      <c r="V460" s="89" t="s">
        <v>272</v>
      </c>
      <c r="W460" s="89" t="s">
        <v>132</v>
      </c>
      <c r="X460" s="106" t="s">
        <v>295</v>
      </c>
      <c r="Y460" s="107" t="s">
        <v>12</v>
      </c>
      <c r="Z460" s="67">
        <f>IF(База_КР_КК[[#This Row],[Таб.номер резервиста]]="-","-",IF(OR(База_КР_КК[[#This Row],[Уровень КК]]=2,База_КР_КК[[#This Row],[Уровень КК]]=3),IF(COUNTIFS($U$2:$U460,$U460,$F$2:$F460,$F460)=1,1,0),IF(COUNTIFS($U$2:$U460,$U460,$L$2:$L460,$L460)=1,1,0)))</f>
        <v>0</v>
      </c>
      <c r="AA4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0" s="106"/>
      <c r="AC460" s="51"/>
      <c r="AD460" s="106" t="s">
        <v>13</v>
      </c>
      <c r="AE460" s="38" t="s">
        <v>410</v>
      </c>
    </row>
    <row r="461" spans="1:31" ht="18" customHeight="1" x14ac:dyDescent="0.25">
      <c r="A4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1" s="79">
        <v>4</v>
      </c>
      <c r="C461" s="23">
        <v>43783</v>
      </c>
      <c r="D461" s="67">
        <f>IF(COUNTIF($G$2:$G461,$G461)=1,1,0)</f>
        <v>0</v>
      </c>
      <c r="E461" s="67" t="str">
        <f>IFERROR(VLOOKUP(База_КР_КК[[#This Row],[ИД штатной должности (S)]],'уровень защищенности'!$B$7:$F$1095,5,0),"не защищена")</f>
        <v>высокий</v>
      </c>
      <c r="F461" s="68">
        <v>500375</v>
      </c>
      <c r="G461" s="74" t="s">
        <v>2264</v>
      </c>
      <c r="H461" s="181">
        <f>INDEX('Списки данных'!$D$2:$D$1048576,MATCH(База_КР_КК[[#This Row],[Структурное подразделение]],'Списки данных'!$C$2:$C$1048576,0))</f>
        <v>1</v>
      </c>
      <c r="I461" s="80" t="s">
        <v>132</v>
      </c>
      <c r="J461" s="80" t="s">
        <v>195</v>
      </c>
      <c r="K461" s="80" t="s">
        <v>196</v>
      </c>
      <c r="L461" s="30" t="s">
        <v>191</v>
      </c>
      <c r="M461" s="68">
        <v>6</v>
      </c>
      <c r="N461" s="181" t="str">
        <f t="shared" si="8"/>
        <v>нет</v>
      </c>
      <c r="O461" s="23"/>
      <c r="P461" s="23"/>
      <c r="Q461" s="106"/>
      <c r="R461" s="37">
        <v>107</v>
      </c>
      <c r="S461" s="38" t="s">
        <v>519</v>
      </c>
      <c r="T461" s="37">
        <v>1180</v>
      </c>
      <c r="U461" s="39" t="s">
        <v>1588</v>
      </c>
      <c r="V461" s="89" t="s">
        <v>272</v>
      </c>
      <c r="W461" s="89" t="s">
        <v>132</v>
      </c>
      <c r="X461" s="106" t="s">
        <v>295</v>
      </c>
      <c r="Y461" s="107" t="s">
        <v>12</v>
      </c>
      <c r="Z461" s="67">
        <f>IF(База_КР_КК[[#This Row],[Таб.номер резервиста]]="-","-",IF(OR(База_КР_КК[[#This Row],[Уровень КК]]=2,База_КР_КК[[#This Row],[Уровень КК]]=3),IF(COUNTIFS($U$2:$U461,$U461,$F$2:$F461,$F461)=1,1,0),IF(COUNTIFS($U$2:$U461,$U461,$L$2:$L461,$L461)=1,1,0)))</f>
        <v>0</v>
      </c>
      <c r="AA4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1" s="106"/>
      <c r="AC461" s="51"/>
      <c r="AD461" s="106" t="s">
        <v>17</v>
      </c>
      <c r="AE461" s="38" t="s">
        <v>410</v>
      </c>
    </row>
    <row r="462" spans="1:31" ht="18" customHeight="1" x14ac:dyDescent="0.25">
      <c r="A4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2" s="79">
        <v>4</v>
      </c>
      <c r="C462" s="23">
        <v>44113</v>
      </c>
      <c r="D462" s="67">
        <f>IF(COUNTIF($G$2:$G462,$G462)=1,1,0)</f>
        <v>0</v>
      </c>
      <c r="E462" s="67" t="str">
        <f>IFERROR(VLOOKUP(База_КР_КК[[#This Row],[ИД штатной должности (S)]],'уровень защищенности'!$B$7:$F$1095,5,0),"не защищена")</f>
        <v>высокий</v>
      </c>
      <c r="F462" s="68">
        <v>500375</v>
      </c>
      <c r="G462" s="74" t="s">
        <v>2264</v>
      </c>
      <c r="H462" s="181">
        <f>INDEX('Списки данных'!$D$2:$D$1048576,MATCH(База_КР_КК[[#This Row],[Структурное подразделение]],'Списки данных'!$C$2:$C$1048576,0))</f>
        <v>1</v>
      </c>
      <c r="I462" s="80" t="s">
        <v>132</v>
      </c>
      <c r="J462" s="80" t="s">
        <v>195</v>
      </c>
      <c r="K462" s="80" t="s">
        <v>196</v>
      </c>
      <c r="L462" s="30" t="s">
        <v>191</v>
      </c>
      <c r="M462" s="68">
        <v>6</v>
      </c>
      <c r="N462" s="181" t="str">
        <f t="shared" si="8"/>
        <v>нет</v>
      </c>
      <c r="O462" s="23"/>
      <c r="P462" s="23"/>
      <c r="Q462" s="106"/>
      <c r="R462" s="37">
        <v>107</v>
      </c>
      <c r="S462" s="38" t="s">
        <v>519</v>
      </c>
      <c r="T462" s="37">
        <v>1181</v>
      </c>
      <c r="U462" s="39" t="s">
        <v>1589</v>
      </c>
      <c r="V462" s="89" t="s">
        <v>272</v>
      </c>
      <c r="W462" s="89" t="s">
        <v>132</v>
      </c>
      <c r="X462" s="106" t="s">
        <v>295</v>
      </c>
      <c r="Y462" s="107" t="s">
        <v>12</v>
      </c>
      <c r="Z462" s="67">
        <f>IF(База_КР_КК[[#This Row],[Таб.номер резервиста]]="-","-",IF(OR(База_КР_КК[[#This Row],[Уровень КК]]=2,База_КР_КК[[#This Row],[Уровень КК]]=3),IF(COUNTIFS($U$2:$U462,$U462,$F$2:$F462,$F462)=1,1,0),IF(COUNTIFS($U$2:$U462,$U462,$L$2:$L462,$L462)=1,1,0)))</f>
        <v>0</v>
      </c>
      <c r="AA4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2" s="106"/>
      <c r="AC462" s="51"/>
      <c r="AD462" s="106" t="s">
        <v>17</v>
      </c>
      <c r="AE462" s="38" t="s">
        <v>410</v>
      </c>
    </row>
    <row r="463" spans="1:31" ht="18" customHeight="1" x14ac:dyDescent="0.25">
      <c r="A4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3" s="79">
        <v>4</v>
      </c>
      <c r="C463" s="23">
        <v>44897</v>
      </c>
      <c r="D463" s="67">
        <f>IF(COUNTIF($G$2:$G463,$G463)=1,1,0)</f>
        <v>0</v>
      </c>
      <c r="E463" s="67" t="str">
        <f>IFERROR(VLOOKUP(База_КР_КК[[#This Row],[ИД штатной должности (S)]],'уровень защищенности'!$B$7:$F$1095,5,0),"не защищена")</f>
        <v>высокий</v>
      </c>
      <c r="F463" s="68">
        <v>500375</v>
      </c>
      <c r="G463" s="74" t="s">
        <v>2264</v>
      </c>
      <c r="H463" s="181">
        <f>INDEX('Списки данных'!$D$2:$D$1048576,MATCH(База_КР_КК[[#This Row],[Структурное подразделение]],'Списки данных'!$C$2:$C$1048576,0))</f>
        <v>1</v>
      </c>
      <c r="I463" s="80" t="s">
        <v>132</v>
      </c>
      <c r="J463" s="80" t="s">
        <v>195</v>
      </c>
      <c r="K463" s="80" t="s">
        <v>196</v>
      </c>
      <c r="L463" s="30" t="s">
        <v>191</v>
      </c>
      <c r="M463" s="68">
        <v>6</v>
      </c>
      <c r="N463" s="181" t="str">
        <f t="shared" si="8"/>
        <v>нет</v>
      </c>
      <c r="O463" s="23"/>
      <c r="P463" s="23"/>
      <c r="Q463" s="106"/>
      <c r="R463" s="37">
        <v>107</v>
      </c>
      <c r="S463" s="39" t="s">
        <v>519</v>
      </c>
      <c r="T463" s="37">
        <v>1182</v>
      </c>
      <c r="U463" s="38" t="s">
        <v>1590</v>
      </c>
      <c r="V463" s="69" t="s">
        <v>272</v>
      </c>
      <c r="W463" s="89" t="s">
        <v>132</v>
      </c>
      <c r="X463" s="106" t="s">
        <v>296</v>
      </c>
      <c r="Y463" s="107" t="s">
        <v>12</v>
      </c>
      <c r="Z463" s="67">
        <f>IF(База_КР_КК[[#This Row],[Таб.номер резервиста]]="-","-",IF(OR(База_КР_КК[[#This Row],[Уровень КК]]=2,База_КР_КК[[#This Row],[Уровень КК]]=3),IF(COUNTIFS($U$2:$U463,$U463,$F$2:$F463,$F463)=1,1,0),IF(COUNTIFS($U$2:$U463,$U463,$L$2:$L463,$L463)=1,1,0)))</f>
        <v>0</v>
      </c>
      <c r="AA4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3" s="106"/>
      <c r="AC463" s="51"/>
      <c r="AD463" s="106" t="s">
        <v>15</v>
      </c>
      <c r="AE463" s="33" t="s">
        <v>410</v>
      </c>
    </row>
    <row r="464" spans="1:31" ht="18" customHeight="1" x14ac:dyDescent="0.25">
      <c r="A4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4" s="79">
        <v>4</v>
      </c>
      <c r="C464" s="23">
        <v>44897</v>
      </c>
      <c r="D464" s="67">
        <f>IF(COUNTIF($G$2:$G464,$G464)=1,1,0)</f>
        <v>0</v>
      </c>
      <c r="E464" s="67" t="str">
        <f>IFERROR(VLOOKUP(База_КР_КК[[#This Row],[ИД штатной должности (S)]],'уровень защищенности'!$B$7:$F$1095,5,0),"не защищена")</f>
        <v>высокий</v>
      </c>
      <c r="F464" s="68">
        <v>500375</v>
      </c>
      <c r="G464" s="74" t="s">
        <v>2264</v>
      </c>
      <c r="H464" s="181">
        <f>INDEX('Списки данных'!$D$2:$D$1048576,MATCH(База_КР_КК[[#This Row],[Структурное подразделение]],'Списки данных'!$C$2:$C$1048576,0))</f>
        <v>1</v>
      </c>
      <c r="I464" s="80" t="s">
        <v>132</v>
      </c>
      <c r="J464" s="80" t="s">
        <v>195</v>
      </c>
      <c r="K464" s="80" t="s">
        <v>196</v>
      </c>
      <c r="L464" s="30" t="s">
        <v>191</v>
      </c>
      <c r="M464" s="68">
        <v>6</v>
      </c>
      <c r="N464" s="181" t="str">
        <f t="shared" si="8"/>
        <v>нет</v>
      </c>
      <c r="O464" s="23"/>
      <c r="P464" s="23"/>
      <c r="Q464" s="106"/>
      <c r="R464" s="37">
        <v>107</v>
      </c>
      <c r="S464" s="39" t="s">
        <v>519</v>
      </c>
      <c r="T464" s="37">
        <v>1183</v>
      </c>
      <c r="U464" s="38" t="s">
        <v>1591</v>
      </c>
      <c r="V464" s="69" t="s">
        <v>272</v>
      </c>
      <c r="W464" s="89" t="s">
        <v>132</v>
      </c>
      <c r="X464" s="106" t="s">
        <v>296</v>
      </c>
      <c r="Y464" s="107" t="s">
        <v>12</v>
      </c>
      <c r="Z464" s="67">
        <f>IF(База_КР_КК[[#This Row],[Таб.номер резервиста]]="-","-",IF(OR(База_КР_КК[[#This Row],[Уровень КК]]=2,База_КР_КК[[#This Row],[Уровень КК]]=3),IF(COUNTIFS($U$2:$U464,$U464,$F$2:$F464,$F464)=1,1,0),IF(COUNTIFS($U$2:$U464,$U464,$L$2:$L464,$L464)=1,1,0)))</f>
        <v>0</v>
      </c>
      <c r="AA4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4" s="106"/>
      <c r="AC464" s="51"/>
      <c r="AD464" s="106" t="s">
        <v>15</v>
      </c>
      <c r="AE464" s="33" t="s">
        <v>410</v>
      </c>
    </row>
    <row r="465" spans="1:31" ht="18" customHeight="1" x14ac:dyDescent="0.25">
      <c r="A4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5" s="79">
        <v>4</v>
      </c>
      <c r="C465" s="23">
        <v>44897</v>
      </c>
      <c r="D465" s="67">
        <f>IF(COUNTIF($G$2:$G465,$G465)=1,1,0)</f>
        <v>0</v>
      </c>
      <c r="E465" s="67" t="str">
        <f>IFERROR(VLOOKUP(База_КР_КК[[#This Row],[ИД штатной должности (S)]],'уровень защищенности'!$B$7:$F$1095,5,0),"не защищена")</f>
        <v>высокий</v>
      </c>
      <c r="F465" s="68">
        <v>500375</v>
      </c>
      <c r="G465" s="74" t="s">
        <v>2264</v>
      </c>
      <c r="H465" s="181">
        <f>INDEX('Списки данных'!$D$2:$D$1048576,MATCH(База_КР_КК[[#This Row],[Структурное подразделение]],'Списки данных'!$C$2:$C$1048576,0))</f>
        <v>1</v>
      </c>
      <c r="I465" s="80" t="s">
        <v>132</v>
      </c>
      <c r="J465" s="80" t="s">
        <v>195</v>
      </c>
      <c r="K465" s="80" t="s">
        <v>196</v>
      </c>
      <c r="L465" s="30" t="s">
        <v>191</v>
      </c>
      <c r="M465" s="68">
        <v>6</v>
      </c>
      <c r="N465" s="181" t="str">
        <f t="shared" si="8"/>
        <v>нет</v>
      </c>
      <c r="O465" s="23"/>
      <c r="P465" s="23"/>
      <c r="Q465" s="106"/>
      <c r="R465" s="37">
        <v>107</v>
      </c>
      <c r="S465" s="39" t="s">
        <v>519</v>
      </c>
      <c r="T465" s="37">
        <v>1184</v>
      </c>
      <c r="U465" s="38" t="s">
        <v>1592</v>
      </c>
      <c r="V465" s="69" t="s">
        <v>272</v>
      </c>
      <c r="W465" s="89" t="s">
        <v>132</v>
      </c>
      <c r="X465" s="106" t="s">
        <v>296</v>
      </c>
      <c r="Y465" s="107" t="s">
        <v>12</v>
      </c>
      <c r="Z465" s="67">
        <f>IF(База_КР_КК[[#This Row],[Таб.номер резервиста]]="-","-",IF(OR(База_КР_КК[[#This Row],[Уровень КК]]=2,База_КР_КК[[#This Row],[Уровень КК]]=3),IF(COUNTIFS($U$2:$U465,$U465,$F$2:$F465,$F465)=1,1,0),IF(COUNTIFS($U$2:$U465,$U465,$L$2:$L465,$L465)=1,1,0)))</f>
        <v>0</v>
      </c>
      <c r="AA4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5" s="106"/>
      <c r="AC465" s="51"/>
      <c r="AD465" s="106" t="s">
        <v>15</v>
      </c>
      <c r="AE465" s="33" t="s">
        <v>410</v>
      </c>
    </row>
    <row r="466" spans="1:31" ht="18" customHeight="1" x14ac:dyDescent="0.25">
      <c r="A4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6" s="79">
        <v>4</v>
      </c>
      <c r="C466" s="23">
        <v>44897</v>
      </c>
      <c r="D466" s="67">
        <f>IF(COUNTIF($G$2:$G466,$G466)=1,1,0)</f>
        <v>0</v>
      </c>
      <c r="E466" s="67" t="str">
        <f>IFERROR(VLOOKUP(База_КР_КК[[#This Row],[ИД штатной должности (S)]],'уровень защищенности'!$B$7:$F$1095,5,0),"не защищена")</f>
        <v>высокий</v>
      </c>
      <c r="F466" s="68">
        <v>500375</v>
      </c>
      <c r="G466" s="74" t="s">
        <v>2264</v>
      </c>
      <c r="H466" s="181">
        <f>INDEX('Списки данных'!$D$2:$D$1048576,MATCH(База_КР_КК[[#This Row],[Структурное подразделение]],'Списки данных'!$C$2:$C$1048576,0))</f>
        <v>1</v>
      </c>
      <c r="I466" s="80" t="s">
        <v>132</v>
      </c>
      <c r="J466" s="80" t="s">
        <v>195</v>
      </c>
      <c r="K466" s="80" t="s">
        <v>196</v>
      </c>
      <c r="L466" s="30" t="s">
        <v>191</v>
      </c>
      <c r="M466" s="68">
        <v>6</v>
      </c>
      <c r="N466" s="181" t="str">
        <f t="shared" si="8"/>
        <v>нет</v>
      </c>
      <c r="O466" s="23"/>
      <c r="P466" s="23"/>
      <c r="Q466" s="106"/>
      <c r="R466" s="37">
        <v>107</v>
      </c>
      <c r="S466" s="39" t="s">
        <v>519</v>
      </c>
      <c r="T466" s="37">
        <v>1185</v>
      </c>
      <c r="U466" s="38" t="s">
        <v>1593</v>
      </c>
      <c r="V466" s="69" t="s">
        <v>272</v>
      </c>
      <c r="W466" s="89" t="s">
        <v>132</v>
      </c>
      <c r="X466" s="106" t="s">
        <v>295</v>
      </c>
      <c r="Y466" s="107" t="s">
        <v>12</v>
      </c>
      <c r="Z466" s="67">
        <f>IF(База_КР_КК[[#This Row],[Таб.номер резервиста]]="-","-",IF(OR(База_КР_КК[[#This Row],[Уровень КК]]=2,База_КР_КК[[#This Row],[Уровень КК]]=3),IF(COUNTIFS($U$2:$U466,$U466,$F$2:$F466,$F466)=1,1,0),IF(COUNTIFS($U$2:$U466,$U466,$L$2:$L466,$L466)=1,1,0)))</f>
        <v>0</v>
      </c>
      <c r="AA4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6" s="106"/>
      <c r="AC466" s="51"/>
      <c r="AD466" s="106" t="s">
        <v>15</v>
      </c>
      <c r="AE466" s="33" t="s">
        <v>410</v>
      </c>
    </row>
    <row r="467" spans="1:31" ht="18" customHeight="1" x14ac:dyDescent="0.25">
      <c r="A4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7" s="79">
        <v>4</v>
      </c>
      <c r="C467" s="23">
        <v>44496</v>
      </c>
      <c r="D467" s="67">
        <f>IF(COUNTIF($G$2:$G467,$G467)=1,1,0)</f>
        <v>0</v>
      </c>
      <c r="E467" s="67" t="str">
        <f>IFERROR(VLOOKUP(База_КР_КК[[#This Row],[ИД штатной должности (S)]],'уровень защищенности'!$B$7:$F$1095,5,0),"не защищена")</f>
        <v>высокий</v>
      </c>
      <c r="F467" s="68">
        <v>500373</v>
      </c>
      <c r="G467" s="74" t="s">
        <v>2264</v>
      </c>
      <c r="H467" s="181">
        <f>INDEX('Списки данных'!$D$2:$D$1048576,MATCH(База_КР_КК[[#This Row],[Структурное подразделение]],'Списки данных'!$C$2:$C$1048576,0))</f>
        <v>1</v>
      </c>
      <c r="I467" s="80" t="s">
        <v>132</v>
      </c>
      <c r="J467" s="80" t="s">
        <v>195</v>
      </c>
      <c r="K467" s="80" t="s">
        <v>196</v>
      </c>
      <c r="L467" s="30" t="s">
        <v>191</v>
      </c>
      <c r="M467" s="68">
        <v>6</v>
      </c>
      <c r="N467" s="181" t="str">
        <f t="shared" si="8"/>
        <v>нет</v>
      </c>
      <c r="O467" s="23"/>
      <c r="P467" s="23"/>
      <c r="Q467" s="106"/>
      <c r="R467" s="37">
        <v>107</v>
      </c>
      <c r="S467" s="38" t="s">
        <v>519</v>
      </c>
      <c r="T467" s="37">
        <v>70</v>
      </c>
      <c r="U467" s="39" t="s">
        <v>482</v>
      </c>
      <c r="V467" s="89" t="s">
        <v>192</v>
      </c>
      <c r="W467" s="89" t="s">
        <v>132</v>
      </c>
      <c r="X467" s="106" t="s">
        <v>295</v>
      </c>
      <c r="Y467" s="107" t="s">
        <v>14</v>
      </c>
      <c r="Z467" s="67">
        <f>IF(База_КР_КК[[#This Row],[Таб.номер резервиста]]="-","-",IF(OR(База_КР_КК[[#This Row],[Уровень КК]]=2,База_КР_КК[[#This Row],[Уровень КК]]=3),IF(COUNTIFS($U$2:$U467,$U467,$F$2:$F467,$F467)=1,1,0),IF(COUNTIFS($U$2:$U467,$U467,$L$2:$L467,$L467)=1,1,0)))</f>
        <v>0</v>
      </c>
      <c r="AA4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7" s="106" t="s">
        <v>24</v>
      </c>
      <c r="AC467" s="51">
        <v>44939</v>
      </c>
      <c r="AD467" s="106" t="s">
        <v>17</v>
      </c>
      <c r="AE467" s="33" t="s">
        <v>410</v>
      </c>
    </row>
    <row r="468" spans="1:31" ht="18" customHeight="1" x14ac:dyDescent="0.25">
      <c r="A4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8" s="79">
        <v>4</v>
      </c>
      <c r="C468" s="23">
        <v>43783</v>
      </c>
      <c r="D468" s="67">
        <f>IF(COUNTIF($G$2:$G468,$G468)=1,1,0)</f>
        <v>1</v>
      </c>
      <c r="E468" s="67" t="str">
        <f>IFERROR(VLOOKUP(База_КР_КК[[#This Row],[ИД штатной должности (S)]],'уровень защищенности'!$B$7:$F$1095,5,0),"не защищена")</f>
        <v>высокий</v>
      </c>
      <c r="F468" s="68">
        <v>500378</v>
      </c>
      <c r="G468" s="74" t="s">
        <v>2265</v>
      </c>
      <c r="H468" s="181">
        <f>INDEX('Списки данных'!$D$2:$D$1048576,MATCH(База_КР_КК[[#This Row],[Структурное подразделение]],'Списки данных'!$C$2:$C$1048576,0))</f>
        <v>1</v>
      </c>
      <c r="I468" s="80" t="s">
        <v>132</v>
      </c>
      <c r="J468" s="80" t="s">
        <v>195</v>
      </c>
      <c r="K468" s="80" t="s">
        <v>21</v>
      </c>
      <c r="L468" s="30" t="s">
        <v>192</v>
      </c>
      <c r="M468" s="68">
        <v>6</v>
      </c>
      <c r="N468" s="181" t="str">
        <f t="shared" si="8"/>
        <v>нет</v>
      </c>
      <c r="O468" s="23"/>
      <c r="P468" s="23"/>
      <c r="Q468" s="106"/>
      <c r="R468" s="37">
        <v>108</v>
      </c>
      <c r="S468" s="38" t="s">
        <v>520</v>
      </c>
      <c r="T468" s="37">
        <v>1188</v>
      </c>
      <c r="U468" s="39" t="s">
        <v>1595</v>
      </c>
      <c r="V468" s="89" t="s">
        <v>272</v>
      </c>
      <c r="W468" s="89" t="s">
        <v>132</v>
      </c>
      <c r="X468" s="106" t="s">
        <v>295</v>
      </c>
      <c r="Y468" s="107" t="s">
        <v>12</v>
      </c>
      <c r="Z468" s="67">
        <f>IF(База_КР_КК[[#This Row],[Таб.номер резервиста]]="-","-",IF(OR(База_КР_КК[[#This Row],[Уровень КК]]=2,База_КР_КК[[#This Row],[Уровень КК]]=3),IF(COUNTIFS($U$2:$U468,$U468,$F$2:$F468,$F468)=1,1,0),IF(COUNTIFS($U$2:$U468,$U468,$L$2:$L468,$L468)=1,1,0)))</f>
        <v>0</v>
      </c>
      <c r="AA4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8" s="106"/>
      <c r="AC468" s="51"/>
      <c r="AD468" s="106" t="s">
        <v>13</v>
      </c>
      <c r="AE468" s="38" t="s">
        <v>410</v>
      </c>
    </row>
    <row r="469" spans="1:31" ht="18" customHeight="1" x14ac:dyDescent="0.25">
      <c r="A4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69" s="79">
        <v>4</v>
      </c>
      <c r="C469" s="23">
        <v>43783</v>
      </c>
      <c r="D469" s="67">
        <f>IF(COUNTIF($G$2:$G469,$G469)=1,1,0)</f>
        <v>0</v>
      </c>
      <c r="E469" s="67" t="str">
        <f>IFERROR(VLOOKUP(База_КР_КК[[#This Row],[ИД штатной должности (S)]],'уровень защищенности'!$B$7:$F$1095,5,0),"не защищена")</f>
        <v>высокий</v>
      </c>
      <c r="F469" s="68">
        <v>500378</v>
      </c>
      <c r="G469" s="74" t="s">
        <v>2265</v>
      </c>
      <c r="H469" s="181">
        <f>INDEX('Списки данных'!$D$2:$D$1048576,MATCH(База_КР_КК[[#This Row],[Структурное подразделение]],'Списки данных'!$C$2:$C$1048576,0))</f>
        <v>1</v>
      </c>
      <c r="I469" s="80" t="s">
        <v>132</v>
      </c>
      <c r="J469" s="80" t="s">
        <v>195</v>
      </c>
      <c r="K469" s="80" t="s">
        <v>21</v>
      </c>
      <c r="L469" s="30" t="s">
        <v>192</v>
      </c>
      <c r="M469" s="68">
        <v>6</v>
      </c>
      <c r="N469" s="181" t="str">
        <f t="shared" si="8"/>
        <v>нет</v>
      </c>
      <c r="O469" s="23"/>
      <c r="P469" s="23"/>
      <c r="Q469" s="106"/>
      <c r="R469" s="37">
        <v>108</v>
      </c>
      <c r="S469" s="39" t="s">
        <v>520</v>
      </c>
      <c r="T469" s="37">
        <v>1189</v>
      </c>
      <c r="U469" s="38" t="s">
        <v>1596</v>
      </c>
      <c r="V469" s="69" t="s">
        <v>272</v>
      </c>
      <c r="W469" s="89" t="s">
        <v>132</v>
      </c>
      <c r="X469" s="106" t="s">
        <v>296</v>
      </c>
      <c r="Y469" s="107" t="s">
        <v>12</v>
      </c>
      <c r="Z469" s="67">
        <f>IF(База_КР_КК[[#This Row],[Таб.номер резервиста]]="-","-",IF(OR(База_КР_КК[[#This Row],[Уровень КК]]=2,База_КР_КК[[#This Row],[Уровень КК]]=3),IF(COUNTIFS($U$2:$U469,$U469,$F$2:$F469,$F469)=1,1,0),IF(COUNTIFS($U$2:$U469,$U469,$L$2:$L469,$L469)=1,1,0)))</f>
        <v>0</v>
      </c>
      <c r="AA4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69" s="106"/>
      <c r="AC469" s="51"/>
      <c r="AD469" s="106" t="s">
        <v>15</v>
      </c>
      <c r="AE469" s="33" t="s">
        <v>410</v>
      </c>
    </row>
    <row r="470" spans="1:31" ht="18" customHeight="1" x14ac:dyDescent="0.25">
      <c r="A4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0" s="79">
        <v>4</v>
      </c>
      <c r="C470" s="23">
        <v>43783</v>
      </c>
      <c r="D470" s="67">
        <f>IF(COUNTIF($G$2:$G470,$G470)=1,1,0)</f>
        <v>0</v>
      </c>
      <c r="E470" s="67" t="str">
        <f>IFERROR(VLOOKUP(База_КР_КК[[#This Row],[ИД штатной должности (S)]],'уровень защищенности'!$B$7:$F$1095,5,0),"не защищена")</f>
        <v>высокий</v>
      </c>
      <c r="F470" s="68">
        <v>500378</v>
      </c>
      <c r="G470" s="74" t="s">
        <v>2265</v>
      </c>
      <c r="H470" s="181">
        <f>INDEX('Списки данных'!$D$2:$D$1048576,MATCH(База_КР_КК[[#This Row],[Структурное подразделение]],'Списки данных'!$C$2:$C$1048576,0))</f>
        <v>1</v>
      </c>
      <c r="I470" s="80" t="s">
        <v>132</v>
      </c>
      <c r="J470" s="80" t="s">
        <v>195</v>
      </c>
      <c r="K470" s="80" t="s">
        <v>21</v>
      </c>
      <c r="L470" s="30" t="s">
        <v>192</v>
      </c>
      <c r="M470" s="68">
        <v>6</v>
      </c>
      <c r="N470" s="181" t="str">
        <f t="shared" si="8"/>
        <v>нет</v>
      </c>
      <c r="O470" s="23"/>
      <c r="P470" s="23"/>
      <c r="Q470" s="106"/>
      <c r="R470" s="37">
        <v>108</v>
      </c>
      <c r="S470" s="38" t="s">
        <v>520</v>
      </c>
      <c r="T470" s="37">
        <v>79</v>
      </c>
      <c r="U470" s="39" t="s">
        <v>491</v>
      </c>
      <c r="V470" s="89" t="s">
        <v>272</v>
      </c>
      <c r="W470" s="89" t="s">
        <v>132</v>
      </c>
      <c r="X470" s="106" t="s">
        <v>295</v>
      </c>
      <c r="Y470" s="107" t="s">
        <v>18</v>
      </c>
      <c r="Z470" s="67">
        <f>IF(База_КР_КК[[#This Row],[Таб.номер резервиста]]="-","-",IF(OR(База_КР_КК[[#This Row],[Уровень КК]]=2,База_КР_КК[[#This Row],[Уровень КК]]=3),IF(COUNTIFS($U$2:$U470,$U470,$F$2:$F470,$F470)=1,1,0),IF(COUNTIFS($U$2:$U470,$U470,$L$2:$L470,$L470)=1,1,0)))</f>
        <v>0</v>
      </c>
      <c r="AA4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70" s="106" t="s">
        <v>24</v>
      </c>
      <c r="AC470" s="51">
        <v>44798</v>
      </c>
      <c r="AD470" s="106" t="s">
        <v>17</v>
      </c>
      <c r="AE470" s="38" t="s">
        <v>315</v>
      </c>
    </row>
    <row r="471" spans="1:31" ht="18" customHeight="1" x14ac:dyDescent="0.25">
      <c r="A4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1" s="79">
        <v>4</v>
      </c>
      <c r="C471" s="23">
        <v>43791</v>
      </c>
      <c r="D471" s="67">
        <f>IF(COUNTIF($G$2:$G471,$G471)=1,1,0)</f>
        <v>1</v>
      </c>
      <c r="E471" s="67" t="str">
        <f>IFERROR(VLOOKUP(База_КР_КК[[#This Row],[ИД штатной должности (S)]],'уровень защищенности'!$B$7:$F$1095,5,0),"не защищена")</f>
        <v>низкий</v>
      </c>
      <c r="F471" s="68">
        <v>500239</v>
      </c>
      <c r="G471" s="74" t="s">
        <v>2266</v>
      </c>
      <c r="H471" s="181">
        <f>INDEX('Списки данных'!$D$2:$D$1048576,MATCH(База_КР_КК[[#This Row],[Структурное подразделение]],'Списки данных'!$C$2:$C$1048576,0))</f>
        <v>2</v>
      </c>
      <c r="I471" s="80" t="s">
        <v>133</v>
      </c>
      <c r="J471" s="80" t="s">
        <v>197</v>
      </c>
      <c r="K471" s="80" t="s">
        <v>21</v>
      </c>
      <c r="L471" s="30" t="s">
        <v>194</v>
      </c>
      <c r="M471" s="68">
        <v>6</v>
      </c>
      <c r="N471" s="181" t="str">
        <f t="shared" si="8"/>
        <v>да</v>
      </c>
      <c r="O471" s="23">
        <v>45047</v>
      </c>
      <c r="P471" s="23">
        <v>45061</v>
      </c>
      <c r="Q471" s="106" t="s">
        <v>66</v>
      </c>
      <c r="R471" s="37">
        <v>109</v>
      </c>
      <c r="S471" s="39" t="s">
        <v>521</v>
      </c>
      <c r="T471" s="37">
        <v>109</v>
      </c>
      <c r="U471" s="39" t="s">
        <v>521</v>
      </c>
      <c r="V471" s="89" t="s">
        <v>272</v>
      </c>
      <c r="W471" s="89" t="s">
        <v>133</v>
      </c>
      <c r="X471" s="106" t="s">
        <v>295</v>
      </c>
      <c r="Y471" s="107" t="s">
        <v>14</v>
      </c>
      <c r="Z471" s="67">
        <f>IF(База_КР_КК[[#This Row],[Таб.номер резервиста]]="-","-",IF(OR(База_КР_КК[[#This Row],[Уровень КК]]=2,База_КР_КК[[#This Row],[Уровень КК]]=3),IF(COUNTIFS($U$2:$U471,$U471,$F$2:$F471,$F471)=1,1,0),IF(COUNTIFS($U$2:$U471,$U471,$L$2:$L471,$L471)=1,1,0)))</f>
        <v>1</v>
      </c>
      <c r="AA4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71" s="106" t="s">
        <v>24</v>
      </c>
      <c r="AC471" s="51">
        <v>45061</v>
      </c>
      <c r="AD471" s="106" t="s">
        <v>17</v>
      </c>
      <c r="AE471" s="38" t="s">
        <v>411</v>
      </c>
    </row>
    <row r="472" spans="1:31" ht="18" customHeight="1" x14ac:dyDescent="0.25">
      <c r="A4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2" s="79">
        <v>4</v>
      </c>
      <c r="C472" s="23">
        <v>43791</v>
      </c>
      <c r="D472" s="67">
        <f>IF(COUNTIF($G$2:$G472,$G472)=1,1,0)</f>
        <v>0</v>
      </c>
      <c r="E472" s="67" t="str">
        <f>IFERROR(VLOOKUP(База_КР_КК[[#This Row],[ИД штатной должности (S)]],'уровень защищенности'!$B$7:$F$1095,5,0),"не защищена")</f>
        <v>низкий</v>
      </c>
      <c r="F472" s="68">
        <v>500239</v>
      </c>
      <c r="G472" s="74" t="s">
        <v>2266</v>
      </c>
      <c r="H472" s="181">
        <f>INDEX('Списки данных'!$D$2:$D$1048576,MATCH(База_КР_КК[[#This Row],[Структурное подразделение]],'Списки данных'!$C$2:$C$1048576,0))</f>
        <v>2</v>
      </c>
      <c r="I472" s="80" t="s">
        <v>133</v>
      </c>
      <c r="J472" s="80" t="s">
        <v>197</v>
      </c>
      <c r="K472" s="80" t="s">
        <v>21</v>
      </c>
      <c r="L472" s="30" t="s">
        <v>194</v>
      </c>
      <c r="M472" s="68">
        <v>6</v>
      </c>
      <c r="N472" s="181" t="str">
        <f t="shared" si="8"/>
        <v>да</v>
      </c>
      <c r="O472" s="23">
        <v>45047</v>
      </c>
      <c r="P472" s="23">
        <v>45061</v>
      </c>
      <c r="Q472" s="106" t="s">
        <v>66</v>
      </c>
      <c r="R472" s="37">
        <v>109</v>
      </c>
      <c r="S472" s="39" t="s">
        <v>521</v>
      </c>
      <c r="T472" s="37">
        <v>1205</v>
      </c>
      <c r="U472" s="38" t="s">
        <v>1610</v>
      </c>
      <c r="V472" s="69" t="s">
        <v>272</v>
      </c>
      <c r="W472" s="89" t="s">
        <v>133</v>
      </c>
      <c r="X472" s="106" t="s">
        <v>296</v>
      </c>
      <c r="Y472" s="107" t="s">
        <v>12</v>
      </c>
      <c r="Z472" s="67">
        <f>IF(База_КР_КК[[#This Row],[Таб.номер резервиста]]="-","-",IF(OR(База_КР_КК[[#This Row],[Уровень КК]]=2,База_КР_КК[[#This Row],[Уровень КК]]=3),IF(COUNTIFS($U$2:$U472,$U472,$F$2:$F472,$F472)=1,1,0),IF(COUNTIFS($U$2:$U472,$U472,$L$2:$L472,$L472)=1,1,0)))</f>
        <v>1</v>
      </c>
      <c r="AA4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72" s="106"/>
      <c r="AC472" s="51"/>
      <c r="AD472" s="106" t="s">
        <v>13</v>
      </c>
      <c r="AE472" s="40" t="s">
        <v>411</v>
      </c>
    </row>
    <row r="473" spans="1:31" ht="18" customHeight="1" x14ac:dyDescent="0.25">
      <c r="A4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3" s="79">
        <v>4</v>
      </c>
      <c r="C473" s="23">
        <v>44880</v>
      </c>
      <c r="D473" s="67">
        <f>IF(COUNTIF($G$2:$G473,$G473)=1,1,0)</f>
        <v>0</v>
      </c>
      <c r="E473" s="67" t="str">
        <f>IFERROR(VLOOKUP(База_КР_КК[[#This Row],[ИД штатной должности (S)]],'уровень защищенности'!$B$7:$F$1095,5,0),"не защищена")</f>
        <v>низкий</v>
      </c>
      <c r="F473" s="68">
        <v>500239</v>
      </c>
      <c r="G473" s="74" t="s">
        <v>2266</v>
      </c>
      <c r="H473" s="181">
        <f>INDEX('Списки данных'!$D$2:$D$1048576,MATCH(База_КР_КК[[#This Row],[Структурное подразделение]],'Списки данных'!$C$2:$C$1048576,0))</f>
        <v>2</v>
      </c>
      <c r="I473" s="80" t="s">
        <v>133</v>
      </c>
      <c r="J473" s="80" t="s">
        <v>197</v>
      </c>
      <c r="K473" s="80" t="s">
        <v>21</v>
      </c>
      <c r="L473" s="30" t="s">
        <v>194</v>
      </c>
      <c r="M473" s="68">
        <v>6</v>
      </c>
      <c r="N473" s="181" t="str">
        <f t="shared" si="8"/>
        <v>да</v>
      </c>
      <c r="O473" s="23">
        <v>45047</v>
      </c>
      <c r="P473" s="23">
        <v>45061</v>
      </c>
      <c r="Q473" s="106" t="s">
        <v>66</v>
      </c>
      <c r="R473" s="37">
        <v>109</v>
      </c>
      <c r="S473" s="39" t="s">
        <v>521</v>
      </c>
      <c r="T473" s="37">
        <v>111</v>
      </c>
      <c r="U473" s="38" t="s">
        <v>523</v>
      </c>
      <c r="V473" s="89" t="s">
        <v>192</v>
      </c>
      <c r="W473" s="89" t="s">
        <v>133</v>
      </c>
      <c r="X473" s="106" t="s">
        <v>297</v>
      </c>
      <c r="Y473" s="107" t="s">
        <v>14</v>
      </c>
      <c r="Z473" s="67">
        <f>IF(База_КР_КК[[#This Row],[Таб.номер резервиста]]="-","-",IF(OR(База_КР_КК[[#This Row],[Уровень КК]]=2,База_КР_КК[[#This Row],[Уровень КК]]=3),IF(COUNTIFS($U$2:$U473,$U473,$F$2:$F473,$F473)=1,1,0),IF(COUNTIFS($U$2:$U473,$U473,$L$2:$L473,$L473)=1,1,0)))</f>
        <v>1</v>
      </c>
      <c r="AA4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73" s="106" t="s">
        <v>24</v>
      </c>
      <c r="AC473" s="51">
        <v>45071</v>
      </c>
      <c r="AD473" s="106" t="s">
        <v>15</v>
      </c>
      <c r="AE473" s="40" t="s">
        <v>411</v>
      </c>
    </row>
    <row r="474" spans="1:31" ht="18" customHeight="1" x14ac:dyDescent="0.25">
      <c r="A4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4" s="79">
        <v>4</v>
      </c>
      <c r="C474" s="23">
        <v>43965</v>
      </c>
      <c r="D474" s="67">
        <f>IF(COUNTIF($G$2:$G474,$G474)=1,1,0)</f>
        <v>0</v>
      </c>
      <c r="E474" s="67" t="str">
        <f>IFERROR(VLOOKUP(База_КР_КК[[#This Row],[ИД штатной должности (S)]],'уровень защищенности'!$B$7:$F$1095,5,0),"не защищена")</f>
        <v>низкий</v>
      </c>
      <c r="F474" s="68">
        <v>500239</v>
      </c>
      <c r="G474" s="74" t="s">
        <v>2266</v>
      </c>
      <c r="H474" s="181">
        <f>INDEX('Списки данных'!$D$2:$D$1048576,MATCH(База_КР_КК[[#This Row],[Структурное подразделение]],'Списки данных'!$C$2:$C$1048576,0))</f>
        <v>2</v>
      </c>
      <c r="I474" s="80" t="s">
        <v>133</v>
      </c>
      <c r="J474" s="80" t="s">
        <v>197</v>
      </c>
      <c r="K474" s="80" t="s">
        <v>21</v>
      </c>
      <c r="L474" s="30" t="s">
        <v>194</v>
      </c>
      <c r="M474" s="68">
        <v>6</v>
      </c>
      <c r="N474" s="181" t="str">
        <f t="shared" si="8"/>
        <v>да</v>
      </c>
      <c r="O474" s="23">
        <v>45047</v>
      </c>
      <c r="P474" s="23">
        <v>45061</v>
      </c>
      <c r="Q474" s="106" t="s">
        <v>66</v>
      </c>
      <c r="R474" s="37">
        <v>109</v>
      </c>
      <c r="S474" s="39" t="s">
        <v>521</v>
      </c>
      <c r="T474" s="37">
        <v>110</v>
      </c>
      <c r="U474" s="39" t="s">
        <v>522</v>
      </c>
      <c r="V474" s="89" t="s">
        <v>194</v>
      </c>
      <c r="W474" s="89" t="s">
        <v>133</v>
      </c>
      <c r="X474" s="106" t="s">
        <v>297</v>
      </c>
      <c r="Y474" s="107" t="s">
        <v>18</v>
      </c>
      <c r="Z474" s="67">
        <f>IF(База_КР_КК[[#This Row],[Таб.номер резервиста]]="-","-",IF(OR(База_КР_КК[[#This Row],[Уровень КК]]=2,База_КР_КК[[#This Row],[Уровень КК]]=3),IF(COUNTIFS($U$2:$U474,$U474,$F$2:$F474,$F474)=1,1,0),IF(COUNTIFS($U$2:$U474,$U474,$L$2:$L474,$L474)=1,1,0)))</f>
        <v>1</v>
      </c>
      <c r="AA4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74" s="106" t="s">
        <v>24</v>
      </c>
      <c r="AC474" s="51">
        <v>44306</v>
      </c>
      <c r="AD474" s="106" t="s">
        <v>13</v>
      </c>
      <c r="AE474" s="38" t="s">
        <v>318</v>
      </c>
    </row>
    <row r="475" spans="1:31" ht="18" customHeight="1" x14ac:dyDescent="0.25">
      <c r="A4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5" s="79">
        <v>3</v>
      </c>
      <c r="C475" s="23">
        <v>44014</v>
      </c>
      <c r="D475" s="67">
        <f>IF(COUNTIF($G$2:$G475,$G475)=1,1,0)</f>
        <v>1</v>
      </c>
      <c r="E475" s="67" t="str">
        <f>IFERROR(VLOOKUP(База_КР_КК[[#This Row],[ИД штатной должности (S)]],'уровень защищенности'!$B$7:$F$1095,5,0),"не защищена")</f>
        <v>высокий</v>
      </c>
      <c r="F475" s="68">
        <v>500238</v>
      </c>
      <c r="G475" s="74" t="s">
        <v>2267</v>
      </c>
      <c r="H475" s="181">
        <f>INDEX('Списки данных'!$D$2:$D$1048576,MATCH(База_КР_КК[[#This Row],[Структурное подразделение]],'Списки данных'!$C$2:$C$1048576,0))</f>
        <v>2</v>
      </c>
      <c r="I475" s="80" t="s">
        <v>133</v>
      </c>
      <c r="J475" s="80" t="s">
        <v>197</v>
      </c>
      <c r="K475" s="80" t="s">
        <v>21</v>
      </c>
      <c r="L475" s="30" t="s">
        <v>187</v>
      </c>
      <c r="M475" s="68">
        <v>5</v>
      </c>
      <c r="N475" s="181" t="str">
        <f t="shared" si="8"/>
        <v>да</v>
      </c>
      <c r="O475" s="23">
        <v>44986</v>
      </c>
      <c r="P475" s="23">
        <v>45066</v>
      </c>
      <c r="Q475" s="106" t="s">
        <v>66</v>
      </c>
      <c r="R475" s="37">
        <v>110</v>
      </c>
      <c r="S475" s="38" t="s">
        <v>522</v>
      </c>
      <c r="T475" s="37">
        <v>23</v>
      </c>
      <c r="U475" s="39" t="s">
        <v>437</v>
      </c>
      <c r="V475" s="69" t="s">
        <v>194</v>
      </c>
      <c r="W475" s="89" t="s">
        <v>133</v>
      </c>
      <c r="X475" s="106" t="s">
        <v>295</v>
      </c>
      <c r="Y475" s="107" t="s">
        <v>18</v>
      </c>
      <c r="Z475" s="67">
        <f>IF(База_КР_КК[[#This Row],[Таб.номер резервиста]]="-","-",IF(OR(База_КР_КК[[#This Row],[Уровень КК]]=2,База_КР_КК[[#This Row],[Уровень КК]]=3),IF(COUNTIFS($U$2:$U475,$U475,$F$2:$F475,$F475)=1,1,0),IF(COUNTIFS($U$2:$U475,$U475,$L$2:$L475,$L475)=1,1,0)))</f>
        <v>1</v>
      </c>
      <c r="AA4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75" s="106" t="s">
        <v>34</v>
      </c>
      <c r="AC475" s="51">
        <v>45047</v>
      </c>
      <c r="AD475" s="106" t="s">
        <v>17</v>
      </c>
      <c r="AE475" s="38" t="s">
        <v>404</v>
      </c>
    </row>
    <row r="476" spans="1:31" ht="18" customHeight="1" x14ac:dyDescent="0.25">
      <c r="A4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6" s="79">
        <v>3</v>
      </c>
      <c r="C476" s="23">
        <v>43426</v>
      </c>
      <c r="D476" s="67">
        <f>IF(COUNTIF($G$2:$G476,$G476)=1,1,0)</f>
        <v>0</v>
      </c>
      <c r="E476" s="67" t="str">
        <f>IFERROR(VLOOKUP(База_КР_КК[[#This Row],[ИД штатной должности (S)]],'уровень защищенности'!$B$7:$F$1095,5,0),"не защищена")</f>
        <v>высокий</v>
      </c>
      <c r="F476" s="68">
        <v>500238</v>
      </c>
      <c r="G476" s="74" t="s">
        <v>2267</v>
      </c>
      <c r="H476" s="181">
        <f>INDEX('Списки данных'!$D$2:$D$1048576,MATCH(База_КР_КК[[#This Row],[Структурное подразделение]],'Списки данных'!$C$2:$C$1048576,0))</f>
        <v>2</v>
      </c>
      <c r="I476" s="80" t="s">
        <v>133</v>
      </c>
      <c r="J476" s="80" t="s">
        <v>197</v>
      </c>
      <c r="K476" s="80" t="s">
        <v>21</v>
      </c>
      <c r="L476" s="30" t="s">
        <v>187</v>
      </c>
      <c r="M476" s="68">
        <v>5</v>
      </c>
      <c r="N476" s="181" t="str">
        <f t="shared" si="8"/>
        <v>да</v>
      </c>
      <c r="O476" s="23">
        <v>44986</v>
      </c>
      <c r="P476" s="23">
        <v>45066</v>
      </c>
      <c r="Q476" s="106" t="s">
        <v>66</v>
      </c>
      <c r="R476" s="37">
        <v>110</v>
      </c>
      <c r="S476" s="38" t="s">
        <v>522</v>
      </c>
      <c r="T476" s="37">
        <v>125</v>
      </c>
      <c r="U476" s="39" t="s">
        <v>537</v>
      </c>
      <c r="V476" s="89" t="s">
        <v>192</v>
      </c>
      <c r="W476" s="89" t="s">
        <v>133</v>
      </c>
      <c r="X476" s="106" t="s">
        <v>295</v>
      </c>
      <c r="Y476" s="107" t="s">
        <v>12</v>
      </c>
      <c r="Z476" s="67">
        <f>IF(База_КР_КК[[#This Row],[Таб.номер резервиста]]="-","-",IF(OR(База_КР_КК[[#This Row],[Уровень КК]]=2,База_КР_КК[[#This Row],[Уровень КК]]=3),IF(COUNTIFS($U$2:$U476,$U476,$F$2:$F476,$F476)=1,1,0),IF(COUNTIFS($U$2:$U476,$U476,$L$2:$L476,$L476)=1,1,0)))</f>
        <v>1</v>
      </c>
      <c r="AA4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76" s="106"/>
      <c r="AC476" s="51"/>
      <c r="AD476" s="106" t="s">
        <v>13</v>
      </c>
      <c r="AE476" s="38" t="s">
        <v>404</v>
      </c>
    </row>
    <row r="477" spans="1:31" ht="18" customHeight="1" x14ac:dyDescent="0.25">
      <c r="A4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7" s="79">
        <v>3</v>
      </c>
      <c r="C477" s="23">
        <v>44914</v>
      </c>
      <c r="D477" s="67">
        <f>IF(COUNTIF($G$2:$G477,$G477)=1,1,0)</f>
        <v>0</v>
      </c>
      <c r="E477" s="67" t="str">
        <f>IFERROR(VLOOKUP(База_КР_КК[[#This Row],[ИД штатной должности (S)]],'уровень защищенности'!$B$7:$F$1095,5,0),"не защищена")</f>
        <v>высокий</v>
      </c>
      <c r="F477" s="68">
        <v>500238</v>
      </c>
      <c r="G477" s="74" t="s">
        <v>2267</v>
      </c>
      <c r="H477" s="181">
        <f>INDEX('Списки данных'!$D$2:$D$1048576,MATCH(База_КР_КК[[#This Row],[Структурное подразделение]],'Списки данных'!$C$2:$C$1048576,0))</f>
        <v>2</v>
      </c>
      <c r="I477" s="80" t="s">
        <v>133</v>
      </c>
      <c r="J477" s="80" t="s">
        <v>197</v>
      </c>
      <c r="K477" s="80" t="s">
        <v>21</v>
      </c>
      <c r="L477" s="30" t="s">
        <v>187</v>
      </c>
      <c r="M477" s="68">
        <v>5</v>
      </c>
      <c r="N477" s="181" t="str">
        <f t="shared" si="8"/>
        <v>да</v>
      </c>
      <c r="O477" s="23">
        <v>44986</v>
      </c>
      <c r="P477" s="23">
        <v>45066</v>
      </c>
      <c r="Q477" s="106" t="s">
        <v>66</v>
      </c>
      <c r="R477" s="37">
        <v>110</v>
      </c>
      <c r="S477" s="38" t="s">
        <v>522</v>
      </c>
      <c r="T477" s="37">
        <v>110</v>
      </c>
      <c r="U477" s="38" t="s">
        <v>522</v>
      </c>
      <c r="V477" s="69" t="s">
        <v>194</v>
      </c>
      <c r="W477" s="89" t="s">
        <v>133</v>
      </c>
      <c r="X477" s="106" t="s">
        <v>297</v>
      </c>
      <c r="Y477" s="107" t="s">
        <v>14</v>
      </c>
      <c r="Z477" s="67">
        <f>IF(База_КР_КК[[#This Row],[Таб.номер резервиста]]="-","-",IF(OR(База_КР_КК[[#This Row],[Уровень КК]]=2,База_КР_КК[[#This Row],[Уровень КК]]=3),IF(COUNTIFS($U$2:$U477,$U477,$F$2:$F477,$F477)=1,1,0),IF(COUNTIFS($U$2:$U477,$U477,$L$2:$L477,$L477)=1,1,0)))</f>
        <v>1</v>
      </c>
      <c r="AA4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77" s="106" t="s">
        <v>24</v>
      </c>
      <c r="AC477" s="51">
        <v>45066</v>
      </c>
      <c r="AD477" s="106" t="s">
        <v>15</v>
      </c>
      <c r="AE477" s="40" t="s">
        <v>408</v>
      </c>
    </row>
    <row r="478" spans="1:31" ht="18" customHeight="1" x14ac:dyDescent="0.25">
      <c r="A4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8" s="79">
        <v>3</v>
      </c>
      <c r="C478" s="23">
        <v>44014</v>
      </c>
      <c r="D478" s="67">
        <f>IF(COUNTIF($G$2:$G478,$G478)=1,1,0)</f>
        <v>0</v>
      </c>
      <c r="E478" s="67" t="str">
        <f>IFERROR(VLOOKUP(База_КР_КК[[#This Row],[ИД штатной должности (S)]],'уровень защищенности'!$B$7:$F$1095,5,0),"не защищена")</f>
        <v>высокий</v>
      </c>
      <c r="F478" s="68">
        <v>500238</v>
      </c>
      <c r="G478" s="74" t="s">
        <v>2267</v>
      </c>
      <c r="H478" s="181">
        <f>INDEX('Списки данных'!$D$2:$D$1048576,MATCH(База_КР_КК[[#This Row],[Структурное подразделение]],'Списки данных'!$C$2:$C$1048576,0))</f>
        <v>2</v>
      </c>
      <c r="I478" s="80" t="s">
        <v>133</v>
      </c>
      <c r="J478" s="80" t="s">
        <v>197</v>
      </c>
      <c r="K478" s="80" t="s">
        <v>21</v>
      </c>
      <c r="L478" s="30" t="s">
        <v>187</v>
      </c>
      <c r="M478" s="68">
        <v>5</v>
      </c>
      <c r="N478" s="181" t="str">
        <f t="shared" si="8"/>
        <v>да</v>
      </c>
      <c r="O478" s="23">
        <v>44986</v>
      </c>
      <c r="P478" s="23">
        <v>45066</v>
      </c>
      <c r="Q478" s="106" t="s">
        <v>66</v>
      </c>
      <c r="R478" s="37">
        <v>110</v>
      </c>
      <c r="S478" s="38" t="s">
        <v>522</v>
      </c>
      <c r="T478" s="37">
        <v>1212</v>
      </c>
      <c r="U478" s="39" t="s">
        <v>1617</v>
      </c>
      <c r="V478" s="82" t="s">
        <v>187</v>
      </c>
      <c r="W478" s="89" t="s">
        <v>125</v>
      </c>
      <c r="X478" s="106" t="s">
        <v>295</v>
      </c>
      <c r="Y478" s="107" t="s">
        <v>14</v>
      </c>
      <c r="Z478" s="67">
        <f>IF(База_КР_КК[[#This Row],[Таб.номер резервиста]]="-","-",IF(OR(База_КР_КК[[#This Row],[Уровень КК]]=2,База_КР_КК[[#This Row],[Уровень КК]]=3),IF(COUNTIFS($U$2:$U478,$U478,$F$2:$F478,$F478)=1,1,0),IF(COUNTIFS($U$2:$U478,$U478,$L$2:$L478,$L478)=1,1,0)))</f>
        <v>1</v>
      </c>
      <c r="AA4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78" s="106" t="s">
        <v>24</v>
      </c>
      <c r="AC478" s="51">
        <v>44137</v>
      </c>
      <c r="AD478" s="106" t="s">
        <v>15</v>
      </c>
      <c r="AE478" s="38" t="s">
        <v>313</v>
      </c>
    </row>
    <row r="479" spans="1:31" ht="18" customHeight="1" x14ac:dyDescent="0.25">
      <c r="A4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79" s="79">
        <v>4</v>
      </c>
      <c r="C479" s="23">
        <v>43791</v>
      </c>
      <c r="D479" s="67">
        <f>IF(COUNTIF($G$2:$G479,$G479)=1,1,0)</f>
        <v>1</v>
      </c>
      <c r="E479" s="67" t="str">
        <f>IFERROR(VLOOKUP(База_КР_КК[[#This Row],[ИД штатной должности (S)]],'уровень защищенности'!$B$7:$F$1095,5,0),"не защищена")</f>
        <v>низкий</v>
      </c>
      <c r="F479" s="68">
        <v>500239</v>
      </c>
      <c r="G479" s="74" t="s">
        <v>2268</v>
      </c>
      <c r="H479" s="181">
        <f>INDEX('Списки данных'!$D$2:$D$1048576,MATCH(База_КР_КК[[#This Row],[Структурное подразделение]],'Списки данных'!$C$2:$C$1048576,0))</f>
        <v>2</v>
      </c>
      <c r="I479" s="80" t="s">
        <v>133</v>
      </c>
      <c r="J479" s="80" t="s">
        <v>197</v>
      </c>
      <c r="K479" s="80" t="s">
        <v>21</v>
      </c>
      <c r="L479" s="30" t="s">
        <v>194</v>
      </c>
      <c r="M479" s="68">
        <v>6</v>
      </c>
      <c r="N479" s="181" t="str">
        <f t="shared" si="8"/>
        <v>да</v>
      </c>
      <c r="O479" s="23">
        <v>45066</v>
      </c>
      <c r="P479" s="23">
        <v>45071</v>
      </c>
      <c r="Q479" s="106" t="s">
        <v>66</v>
      </c>
      <c r="R479" s="37">
        <v>111</v>
      </c>
      <c r="S479" s="38" t="s">
        <v>523</v>
      </c>
      <c r="T479" s="37">
        <v>109</v>
      </c>
      <c r="U479" s="39" t="s">
        <v>521</v>
      </c>
      <c r="V479" s="89" t="s">
        <v>272</v>
      </c>
      <c r="W479" s="89" t="s">
        <v>133</v>
      </c>
      <c r="X479" s="106" t="s">
        <v>295</v>
      </c>
      <c r="Y479" s="107" t="s">
        <v>14</v>
      </c>
      <c r="Z479" s="67">
        <f>IF(База_КР_КК[[#This Row],[Таб.номер резервиста]]="-","-",IF(OR(База_КР_КК[[#This Row],[Уровень КК]]=2,База_КР_КК[[#This Row],[Уровень КК]]=3),IF(COUNTIFS($U$2:$U479,$U479,$F$2:$F479,$F479)=1,1,0),IF(COUNTIFS($U$2:$U479,$U479,$L$2:$L479,$L479)=1,1,0)))</f>
        <v>0</v>
      </c>
      <c r="AA4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79" s="106" t="s">
        <v>24</v>
      </c>
      <c r="AC479" s="51">
        <v>45061</v>
      </c>
      <c r="AD479" s="106" t="s">
        <v>17</v>
      </c>
      <c r="AE479" s="38" t="s">
        <v>411</v>
      </c>
    </row>
    <row r="480" spans="1:31" ht="18" customHeight="1" x14ac:dyDescent="0.25">
      <c r="A4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0" s="79">
        <v>4</v>
      </c>
      <c r="C480" s="23">
        <v>43791</v>
      </c>
      <c r="D480" s="67">
        <f>IF(COUNTIF($G$2:$G480,$G480)=1,1,0)</f>
        <v>0</v>
      </c>
      <c r="E480" s="67" t="str">
        <f>IFERROR(VLOOKUP(База_КР_КК[[#This Row],[ИД штатной должности (S)]],'уровень защищенности'!$B$7:$F$1095,5,0),"не защищена")</f>
        <v>низкий</v>
      </c>
      <c r="F480" s="68">
        <v>500239</v>
      </c>
      <c r="G480" s="74" t="s">
        <v>2268</v>
      </c>
      <c r="H480" s="181">
        <f>INDEX('Списки данных'!$D$2:$D$1048576,MATCH(База_КР_КК[[#This Row],[Структурное подразделение]],'Списки данных'!$C$2:$C$1048576,0))</f>
        <v>2</v>
      </c>
      <c r="I480" s="80" t="s">
        <v>133</v>
      </c>
      <c r="J480" s="80" t="s">
        <v>197</v>
      </c>
      <c r="K480" s="80" t="s">
        <v>21</v>
      </c>
      <c r="L480" s="30" t="s">
        <v>194</v>
      </c>
      <c r="M480" s="68">
        <v>6</v>
      </c>
      <c r="N480" s="181" t="str">
        <f t="shared" si="8"/>
        <v>да</v>
      </c>
      <c r="O480" s="23">
        <v>45066</v>
      </c>
      <c r="P480" s="23">
        <v>45071</v>
      </c>
      <c r="Q480" s="106" t="s">
        <v>66</v>
      </c>
      <c r="R480" s="37">
        <v>111</v>
      </c>
      <c r="S480" s="38" t="s">
        <v>523</v>
      </c>
      <c r="T480" s="37">
        <v>1205</v>
      </c>
      <c r="U480" s="38" t="s">
        <v>1610</v>
      </c>
      <c r="V480" s="69" t="s">
        <v>272</v>
      </c>
      <c r="W480" s="89" t="s">
        <v>133</v>
      </c>
      <c r="X480" s="106" t="s">
        <v>296</v>
      </c>
      <c r="Y480" s="107" t="s">
        <v>12</v>
      </c>
      <c r="Z480" s="67">
        <f>IF(База_КР_КК[[#This Row],[Таб.номер резервиста]]="-","-",IF(OR(База_КР_КК[[#This Row],[Уровень КК]]=2,База_КР_КК[[#This Row],[Уровень КК]]=3),IF(COUNTIFS($U$2:$U480,$U480,$F$2:$F480,$F480)=1,1,0),IF(COUNTIFS($U$2:$U480,$U480,$L$2:$L480,$L480)=1,1,0)))</f>
        <v>0</v>
      </c>
      <c r="AA4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80" s="106"/>
      <c r="AC480" s="51"/>
      <c r="AD480" s="106" t="s">
        <v>13</v>
      </c>
      <c r="AE480" s="40" t="s">
        <v>411</v>
      </c>
    </row>
    <row r="481" spans="1:31" ht="18" customHeight="1" x14ac:dyDescent="0.25">
      <c r="A4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1" s="79">
        <v>4</v>
      </c>
      <c r="C481" s="23">
        <v>44880</v>
      </c>
      <c r="D481" s="67">
        <f>IF(COUNTIF($G$2:$G481,$G481)=1,1,0)</f>
        <v>0</v>
      </c>
      <c r="E481" s="67" t="str">
        <f>IFERROR(VLOOKUP(База_КР_КК[[#This Row],[ИД штатной должности (S)]],'уровень защищенности'!$B$7:$F$1095,5,0),"не защищена")</f>
        <v>низкий</v>
      </c>
      <c r="F481" s="68">
        <v>500239</v>
      </c>
      <c r="G481" s="74" t="s">
        <v>2268</v>
      </c>
      <c r="H481" s="181">
        <f>INDEX('Списки данных'!$D$2:$D$1048576,MATCH(База_КР_КК[[#This Row],[Структурное подразделение]],'Списки данных'!$C$2:$C$1048576,0))</f>
        <v>2</v>
      </c>
      <c r="I481" s="80" t="s">
        <v>133</v>
      </c>
      <c r="J481" s="80" t="s">
        <v>197</v>
      </c>
      <c r="K481" s="80" t="s">
        <v>21</v>
      </c>
      <c r="L481" s="30" t="s">
        <v>194</v>
      </c>
      <c r="M481" s="68">
        <v>6</v>
      </c>
      <c r="N481" s="181" t="str">
        <f t="shared" si="8"/>
        <v>да</v>
      </c>
      <c r="O481" s="23">
        <v>45066</v>
      </c>
      <c r="P481" s="23">
        <v>45071</v>
      </c>
      <c r="Q481" s="106" t="s">
        <v>66</v>
      </c>
      <c r="R481" s="37">
        <v>111</v>
      </c>
      <c r="S481" s="38" t="s">
        <v>523</v>
      </c>
      <c r="T481" s="37">
        <v>111</v>
      </c>
      <c r="U481" s="38" t="s">
        <v>523</v>
      </c>
      <c r="V481" s="89" t="s">
        <v>192</v>
      </c>
      <c r="W481" s="89" t="s">
        <v>133</v>
      </c>
      <c r="X481" s="106" t="s">
        <v>297</v>
      </c>
      <c r="Y481" s="107" t="s">
        <v>14</v>
      </c>
      <c r="Z481" s="67">
        <f>IF(База_КР_КК[[#This Row],[Таб.номер резервиста]]="-","-",IF(OR(База_КР_КК[[#This Row],[Уровень КК]]=2,База_КР_КК[[#This Row],[Уровень КК]]=3),IF(COUNTIFS($U$2:$U481,$U481,$F$2:$F481,$F481)=1,1,0),IF(COUNTIFS($U$2:$U481,$U481,$L$2:$L481,$L481)=1,1,0)))</f>
        <v>0</v>
      </c>
      <c r="AA4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81" s="106" t="s">
        <v>24</v>
      </c>
      <c r="AC481" s="51">
        <v>45071</v>
      </c>
      <c r="AD481" s="106" t="s">
        <v>15</v>
      </c>
      <c r="AE481" s="40" t="s">
        <v>411</v>
      </c>
    </row>
    <row r="482" spans="1:31" ht="18" customHeight="1" x14ac:dyDescent="0.25">
      <c r="A4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2" s="79">
        <v>4</v>
      </c>
      <c r="C482" s="23">
        <v>43965</v>
      </c>
      <c r="D482" s="67">
        <f>IF(COUNTIF($G$2:$G482,$G482)=1,1,0)</f>
        <v>0</v>
      </c>
      <c r="E482" s="67" t="str">
        <f>IFERROR(VLOOKUP(База_КР_КК[[#This Row],[ИД штатной должности (S)]],'уровень защищенности'!$B$7:$F$1095,5,0),"не защищена")</f>
        <v>низкий</v>
      </c>
      <c r="F482" s="68">
        <v>500239</v>
      </c>
      <c r="G482" s="74" t="s">
        <v>2268</v>
      </c>
      <c r="H482" s="181">
        <f>INDEX('Списки данных'!$D$2:$D$1048576,MATCH(База_КР_КК[[#This Row],[Структурное подразделение]],'Списки данных'!$C$2:$C$1048576,0))</f>
        <v>2</v>
      </c>
      <c r="I482" s="80" t="s">
        <v>133</v>
      </c>
      <c r="J482" s="80" t="s">
        <v>197</v>
      </c>
      <c r="K482" s="80" t="s">
        <v>21</v>
      </c>
      <c r="L482" s="30" t="s">
        <v>194</v>
      </c>
      <c r="M482" s="68">
        <v>6</v>
      </c>
      <c r="N482" s="181" t="str">
        <f t="shared" si="8"/>
        <v>да</v>
      </c>
      <c r="O482" s="23">
        <v>45066</v>
      </c>
      <c r="P482" s="23">
        <v>45071</v>
      </c>
      <c r="Q482" s="106" t="s">
        <v>66</v>
      </c>
      <c r="R482" s="37">
        <v>111</v>
      </c>
      <c r="S482" s="38" t="s">
        <v>523</v>
      </c>
      <c r="T482" s="37">
        <v>110</v>
      </c>
      <c r="U482" s="39" t="s">
        <v>522</v>
      </c>
      <c r="V482" s="89" t="s">
        <v>194</v>
      </c>
      <c r="W482" s="89" t="s">
        <v>133</v>
      </c>
      <c r="X482" s="106" t="s">
        <v>297</v>
      </c>
      <c r="Y482" s="107" t="s">
        <v>14</v>
      </c>
      <c r="Z482" s="67">
        <f>IF(База_КР_КК[[#This Row],[Таб.номер резервиста]]="-","-",IF(OR(База_КР_КК[[#This Row],[Уровень КК]]=2,База_КР_КК[[#This Row],[Уровень КК]]=3),IF(COUNTIFS($U$2:$U482,$U482,$F$2:$F482,$F482)=1,1,0),IF(COUNTIFS($U$2:$U482,$U482,$L$2:$L482,$L482)=1,1,0)))</f>
        <v>0</v>
      </c>
      <c r="AA4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82" s="106" t="s">
        <v>24</v>
      </c>
      <c r="AC482" s="51">
        <v>44306</v>
      </c>
      <c r="AD482" s="106" t="s">
        <v>13</v>
      </c>
      <c r="AE482" s="38" t="s">
        <v>318</v>
      </c>
    </row>
    <row r="483" spans="1:31" ht="18" customHeight="1" x14ac:dyDescent="0.25">
      <c r="A4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3" s="79">
        <v>4</v>
      </c>
      <c r="C483" s="23">
        <v>43791</v>
      </c>
      <c r="D483" s="67">
        <f>IF(COUNTIF($G$2:$G483,$G483)=1,1,0)</f>
        <v>1</v>
      </c>
      <c r="E483" s="67" t="str">
        <f>IFERROR(VLOOKUP(База_КР_КК[[#This Row],[ИД штатной должности (S)]],'уровень защищенности'!$B$7:$F$1095,5,0),"не защищена")</f>
        <v>низкий</v>
      </c>
      <c r="F483" s="68">
        <v>500239</v>
      </c>
      <c r="G483" s="74" t="s">
        <v>2269</v>
      </c>
      <c r="H483" s="181">
        <f>INDEX('Списки данных'!$D$2:$D$1048576,MATCH(База_КР_КК[[#This Row],[Структурное подразделение]],'Списки данных'!$C$2:$C$1048576,0))</f>
        <v>2</v>
      </c>
      <c r="I483" s="80" t="s">
        <v>133</v>
      </c>
      <c r="J483" s="80" t="s">
        <v>197</v>
      </c>
      <c r="K483" s="80" t="s">
        <v>21</v>
      </c>
      <c r="L483" s="30" t="s">
        <v>194</v>
      </c>
      <c r="M483" s="68">
        <v>6</v>
      </c>
      <c r="N483" s="181" t="str">
        <f t="shared" si="8"/>
        <v>нет</v>
      </c>
      <c r="O483" s="23"/>
      <c r="P483" s="23"/>
      <c r="Q483" s="106"/>
      <c r="R483" s="37">
        <v>112</v>
      </c>
      <c r="S483" s="38" t="s">
        <v>524</v>
      </c>
      <c r="T483" s="37">
        <v>109</v>
      </c>
      <c r="U483" s="39" t="s">
        <v>521</v>
      </c>
      <c r="V483" s="89" t="s">
        <v>272</v>
      </c>
      <c r="W483" s="89" t="s">
        <v>133</v>
      </c>
      <c r="X483" s="106" t="s">
        <v>295</v>
      </c>
      <c r="Y483" s="107" t="s">
        <v>14</v>
      </c>
      <c r="Z483" s="67">
        <f>IF(База_КР_КК[[#This Row],[Таб.номер резервиста]]="-","-",IF(OR(База_КР_КК[[#This Row],[Уровень КК]]=2,База_КР_КК[[#This Row],[Уровень КК]]=3),IF(COUNTIFS($U$2:$U483,$U483,$F$2:$F483,$F483)=1,1,0),IF(COUNTIFS($U$2:$U483,$U483,$L$2:$L483,$L483)=1,1,0)))</f>
        <v>0</v>
      </c>
      <c r="AA4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83" s="106" t="s">
        <v>24</v>
      </c>
      <c r="AC483" s="51">
        <v>45061</v>
      </c>
      <c r="AD483" s="106" t="s">
        <v>17</v>
      </c>
      <c r="AE483" s="38" t="s">
        <v>411</v>
      </c>
    </row>
    <row r="484" spans="1:31" ht="18" customHeight="1" x14ac:dyDescent="0.25">
      <c r="A4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4" s="79">
        <v>4</v>
      </c>
      <c r="C484" s="23">
        <v>43791</v>
      </c>
      <c r="D484" s="67">
        <f>IF(COUNTIF($G$2:$G484,$G484)=1,1,0)</f>
        <v>0</v>
      </c>
      <c r="E484" s="67" t="str">
        <f>IFERROR(VLOOKUP(База_КР_КК[[#This Row],[ИД штатной должности (S)]],'уровень защищенности'!$B$7:$F$1095,5,0),"не защищена")</f>
        <v>низкий</v>
      </c>
      <c r="F484" s="68">
        <v>500239</v>
      </c>
      <c r="G484" s="74" t="s">
        <v>2269</v>
      </c>
      <c r="H484" s="181">
        <f>INDEX('Списки данных'!$D$2:$D$1048576,MATCH(База_КР_КК[[#This Row],[Структурное подразделение]],'Списки данных'!$C$2:$C$1048576,0))</f>
        <v>2</v>
      </c>
      <c r="I484" s="80" t="s">
        <v>133</v>
      </c>
      <c r="J484" s="80" t="s">
        <v>197</v>
      </c>
      <c r="K484" s="80" t="s">
        <v>21</v>
      </c>
      <c r="L484" s="30" t="s">
        <v>194</v>
      </c>
      <c r="M484" s="68">
        <v>6</v>
      </c>
      <c r="N484" s="181" t="str">
        <f t="shared" si="8"/>
        <v>нет</v>
      </c>
      <c r="O484" s="23"/>
      <c r="P484" s="23"/>
      <c r="Q484" s="106"/>
      <c r="R484" s="37">
        <v>112</v>
      </c>
      <c r="S484" s="39" t="s">
        <v>524</v>
      </c>
      <c r="T484" s="37">
        <v>1205</v>
      </c>
      <c r="U484" s="38" t="s">
        <v>1610</v>
      </c>
      <c r="V484" s="69" t="s">
        <v>272</v>
      </c>
      <c r="W484" s="89" t="s">
        <v>133</v>
      </c>
      <c r="X484" s="106" t="s">
        <v>296</v>
      </c>
      <c r="Y484" s="107" t="s">
        <v>12</v>
      </c>
      <c r="Z484" s="67">
        <f>IF(База_КР_КК[[#This Row],[Таб.номер резервиста]]="-","-",IF(OR(База_КР_КК[[#This Row],[Уровень КК]]=2,База_КР_КК[[#This Row],[Уровень КК]]=3),IF(COUNTIFS($U$2:$U484,$U484,$F$2:$F484,$F484)=1,1,0),IF(COUNTIFS($U$2:$U484,$U484,$L$2:$L484,$L484)=1,1,0)))</f>
        <v>0</v>
      </c>
      <c r="AA4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84" s="106"/>
      <c r="AC484" s="51"/>
      <c r="AD484" s="106" t="s">
        <v>13</v>
      </c>
      <c r="AE484" s="40" t="s">
        <v>411</v>
      </c>
    </row>
    <row r="485" spans="1:31" ht="18" customHeight="1" x14ac:dyDescent="0.25">
      <c r="A4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5" s="79">
        <v>4</v>
      </c>
      <c r="C485" s="23">
        <v>44880</v>
      </c>
      <c r="D485" s="67">
        <f>IF(COUNTIF($G$2:$G485,$G485)=1,1,0)</f>
        <v>0</v>
      </c>
      <c r="E485" s="67" t="str">
        <f>IFERROR(VLOOKUP(База_КР_КК[[#This Row],[ИД штатной должности (S)]],'уровень защищенности'!$B$7:$F$1095,5,0),"не защищена")</f>
        <v>низкий</v>
      </c>
      <c r="F485" s="68">
        <v>500239</v>
      </c>
      <c r="G485" s="74" t="s">
        <v>2269</v>
      </c>
      <c r="H485" s="181">
        <f>INDEX('Списки данных'!$D$2:$D$1048576,MATCH(База_КР_КК[[#This Row],[Структурное подразделение]],'Списки данных'!$C$2:$C$1048576,0))</f>
        <v>2</v>
      </c>
      <c r="I485" s="80" t="s">
        <v>133</v>
      </c>
      <c r="J485" s="80" t="s">
        <v>197</v>
      </c>
      <c r="K485" s="80" t="s">
        <v>21</v>
      </c>
      <c r="L485" s="30" t="s">
        <v>194</v>
      </c>
      <c r="M485" s="68">
        <v>6</v>
      </c>
      <c r="N485" s="181" t="str">
        <f t="shared" si="8"/>
        <v>нет</v>
      </c>
      <c r="O485" s="23"/>
      <c r="P485" s="23"/>
      <c r="Q485" s="106"/>
      <c r="R485" s="37">
        <v>112</v>
      </c>
      <c r="S485" s="39" t="s">
        <v>524</v>
      </c>
      <c r="T485" s="37">
        <v>111</v>
      </c>
      <c r="U485" s="38" t="s">
        <v>523</v>
      </c>
      <c r="V485" s="89" t="s">
        <v>192</v>
      </c>
      <c r="W485" s="89" t="s">
        <v>133</v>
      </c>
      <c r="X485" s="106" t="s">
        <v>297</v>
      </c>
      <c r="Y485" s="107" t="s">
        <v>14</v>
      </c>
      <c r="Z485" s="67">
        <f>IF(База_КР_КК[[#This Row],[Таб.номер резервиста]]="-","-",IF(OR(База_КР_КК[[#This Row],[Уровень КК]]=2,База_КР_КК[[#This Row],[Уровень КК]]=3),IF(COUNTIFS($U$2:$U485,$U485,$F$2:$F485,$F485)=1,1,0),IF(COUNTIFS($U$2:$U485,$U485,$L$2:$L485,$L485)=1,1,0)))</f>
        <v>0</v>
      </c>
      <c r="AA4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85" s="106" t="s">
        <v>24</v>
      </c>
      <c r="AC485" s="51">
        <v>45071</v>
      </c>
      <c r="AD485" s="106" t="s">
        <v>15</v>
      </c>
      <c r="AE485" s="40" t="s">
        <v>411</v>
      </c>
    </row>
    <row r="486" spans="1:31" ht="18" customHeight="1" x14ac:dyDescent="0.25">
      <c r="A4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6" s="79">
        <v>4</v>
      </c>
      <c r="C486" s="23">
        <v>43965</v>
      </c>
      <c r="D486" s="67">
        <f>IF(COUNTIF($G$2:$G486,$G486)=1,1,0)</f>
        <v>0</v>
      </c>
      <c r="E486" s="67" t="str">
        <f>IFERROR(VLOOKUP(База_КР_КК[[#This Row],[ИД штатной должности (S)]],'уровень защищенности'!$B$7:$F$1095,5,0),"не защищена")</f>
        <v>низкий</v>
      </c>
      <c r="F486" s="68">
        <v>500239</v>
      </c>
      <c r="G486" s="74" t="s">
        <v>2269</v>
      </c>
      <c r="H486" s="181">
        <f>INDEX('Списки данных'!$D$2:$D$1048576,MATCH(База_КР_КК[[#This Row],[Структурное подразделение]],'Списки данных'!$C$2:$C$1048576,0))</f>
        <v>2</v>
      </c>
      <c r="I486" s="80" t="s">
        <v>133</v>
      </c>
      <c r="J486" s="80" t="s">
        <v>197</v>
      </c>
      <c r="K486" s="80" t="s">
        <v>21</v>
      </c>
      <c r="L486" s="30" t="s">
        <v>194</v>
      </c>
      <c r="M486" s="68">
        <v>6</v>
      </c>
      <c r="N486" s="181" t="str">
        <f t="shared" si="8"/>
        <v>нет</v>
      </c>
      <c r="O486" s="23"/>
      <c r="P486" s="23"/>
      <c r="Q486" s="106"/>
      <c r="R486" s="37">
        <v>112</v>
      </c>
      <c r="S486" s="39" t="s">
        <v>524</v>
      </c>
      <c r="T486" s="37">
        <v>110</v>
      </c>
      <c r="U486" s="39" t="s">
        <v>522</v>
      </c>
      <c r="V486" s="89" t="s">
        <v>194</v>
      </c>
      <c r="W486" s="89" t="s">
        <v>133</v>
      </c>
      <c r="X486" s="106" t="s">
        <v>297</v>
      </c>
      <c r="Y486" s="107" t="s">
        <v>14</v>
      </c>
      <c r="Z486" s="67">
        <f>IF(База_КР_КК[[#This Row],[Таб.номер резервиста]]="-","-",IF(OR(База_КР_КК[[#This Row],[Уровень КК]]=2,База_КР_КК[[#This Row],[Уровень КК]]=3),IF(COUNTIFS($U$2:$U486,$U486,$F$2:$F486,$F486)=1,1,0),IF(COUNTIFS($U$2:$U486,$U486,$L$2:$L486,$L486)=1,1,0)))</f>
        <v>0</v>
      </c>
      <c r="AA4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86" s="106" t="s">
        <v>24</v>
      </c>
      <c r="AC486" s="51">
        <v>44306</v>
      </c>
      <c r="AD486" s="106" t="s">
        <v>13</v>
      </c>
      <c r="AE486" s="38" t="s">
        <v>318</v>
      </c>
    </row>
    <row r="487" spans="1:31" ht="18" customHeight="1" x14ac:dyDescent="0.25">
      <c r="A4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7" s="79">
        <v>4</v>
      </c>
      <c r="C487" s="23">
        <v>43791</v>
      </c>
      <c r="D487" s="67">
        <f>IF(COUNTIF($G$2:$G487,$G487)=1,1,0)</f>
        <v>1</v>
      </c>
      <c r="E487" s="67" t="str">
        <f>IFERROR(VLOOKUP(База_КР_КК[[#This Row],[ИД штатной должности (S)]],'уровень защищенности'!$B$7:$F$1095,5,0),"не защищена")</f>
        <v>низкий</v>
      </c>
      <c r="F487" s="68">
        <v>500239</v>
      </c>
      <c r="G487" s="74" t="s">
        <v>2270</v>
      </c>
      <c r="H487" s="181">
        <f>INDEX('Списки данных'!$D$2:$D$1048576,MATCH(База_КР_КК[[#This Row],[Структурное подразделение]],'Списки данных'!$C$2:$C$1048576,0))</f>
        <v>2</v>
      </c>
      <c r="I487" s="80" t="s">
        <v>133</v>
      </c>
      <c r="J487" s="80" t="s">
        <v>197</v>
      </c>
      <c r="K487" s="80" t="s">
        <v>21</v>
      </c>
      <c r="L487" s="30" t="s">
        <v>194</v>
      </c>
      <c r="M487" s="68">
        <v>6</v>
      </c>
      <c r="N487" s="181" t="str">
        <f t="shared" si="8"/>
        <v>нет</v>
      </c>
      <c r="O487" s="23"/>
      <c r="P487" s="23"/>
      <c r="Q487" s="106"/>
      <c r="R487" s="37">
        <v>113</v>
      </c>
      <c r="S487" s="38" t="s">
        <v>525</v>
      </c>
      <c r="T487" s="37">
        <v>109</v>
      </c>
      <c r="U487" s="39" t="s">
        <v>521</v>
      </c>
      <c r="V487" s="89" t="s">
        <v>272</v>
      </c>
      <c r="W487" s="89" t="s">
        <v>133</v>
      </c>
      <c r="X487" s="106" t="s">
        <v>295</v>
      </c>
      <c r="Y487" s="107" t="s">
        <v>14</v>
      </c>
      <c r="Z487" s="67">
        <f>IF(База_КР_КК[[#This Row],[Таб.номер резервиста]]="-","-",IF(OR(База_КР_КК[[#This Row],[Уровень КК]]=2,База_КР_КК[[#This Row],[Уровень КК]]=3),IF(COUNTIFS($U$2:$U487,$U487,$F$2:$F487,$F487)=1,1,0),IF(COUNTIFS($U$2:$U487,$U487,$L$2:$L487,$L487)=1,1,0)))</f>
        <v>0</v>
      </c>
      <c r="AA4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87" s="106" t="s">
        <v>24</v>
      </c>
      <c r="AC487" s="51">
        <v>45061</v>
      </c>
      <c r="AD487" s="106" t="s">
        <v>17</v>
      </c>
      <c r="AE487" s="38" t="s">
        <v>411</v>
      </c>
    </row>
    <row r="488" spans="1:31" ht="18" customHeight="1" x14ac:dyDescent="0.25">
      <c r="A4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8" s="79">
        <v>4</v>
      </c>
      <c r="C488" s="23">
        <v>43791</v>
      </c>
      <c r="D488" s="67">
        <f>IF(COUNTIF($G$2:$G488,$G488)=1,1,0)</f>
        <v>0</v>
      </c>
      <c r="E488" s="67" t="str">
        <f>IFERROR(VLOOKUP(База_КР_КК[[#This Row],[ИД штатной должности (S)]],'уровень защищенности'!$B$7:$F$1095,5,0),"не защищена")</f>
        <v>низкий</v>
      </c>
      <c r="F488" s="68">
        <v>500239</v>
      </c>
      <c r="G488" s="74" t="s">
        <v>2270</v>
      </c>
      <c r="H488" s="181">
        <f>INDEX('Списки данных'!$D$2:$D$1048576,MATCH(База_КР_КК[[#This Row],[Структурное подразделение]],'Списки данных'!$C$2:$C$1048576,0))</f>
        <v>2</v>
      </c>
      <c r="I488" s="80" t="s">
        <v>133</v>
      </c>
      <c r="J488" s="80" t="s">
        <v>197</v>
      </c>
      <c r="K488" s="80" t="s">
        <v>21</v>
      </c>
      <c r="L488" s="30" t="s">
        <v>194</v>
      </c>
      <c r="M488" s="68">
        <v>6</v>
      </c>
      <c r="N488" s="181" t="str">
        <f t="shared" si="8"/>
        <v>нет</v>
      </c>
      <c r="O488" s="23"/>
      <c r="P488" s="23"/>
      <c r="Q488" s="106"/>
      <c r="R488" s="37">
        <v>113</v>
      </c>
      <c r="S488" s="39" t="s">
        <v>525</v>
      </c>
      <c r="T488" s="37">
        <v>1205</v>
      </c>
      <c r="U488" s="38" t="s">
        <v>1610</v>
      </c>
      <c r="V488" s="69" t="s">
        <v>272</v>
      </c>
      <c r="W488" s="89" t="s">
        <v>133</v>
      </c>
      <c r="X488" s="106" t="s">
        <v>296</v>
      </c>
      <c r="Y488" s="107" t="s">
        <v>12</v>
      </c>
      <c r="Z488" s="67">
        <f>IF(База_КР_КК[[#This Row],[Таб.номер резервиста]]="-","-",IF(OR(База_КР_КК[[#This Row],[Уровень КК]]=2,База_КР_КК[[#This Row],[Уровень КК]]=3),IF(COUNTIFS($U$2:$U488,$U488,$F$2:$F488,$F488)=1,1,0),IF(COUNTIFS($U$2:$U488,$U488,$L$2:$L488,$L488)=1,1,0)))</f>
        <v>0</v>
      </c>
      <c r="AA4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88" s="106"/>
      <c r="AC488" s="51"/>
      <c r="AD488" s="106" t="s">
        <v>13</v>
      </c>
      <c r="AE488" s="40" t="s">
        <v>411</v>
      </c>
    </row>
    <row r="489" spans="1:31" ht="18" customHeight="1" x14ac:dyDescent="0.25">
      <c r="A4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89" s="79">
        <v>4</v>
      </c>
      <c r="C489" s="23">
        <v>44880</v>
      </c>
      <c r="D489" s="67">
        <f>IF(COUNTIF($G$2:$G489,$G489)=1,1,0)</f>
        <v>0</v>
      </c>
      <c r="E489" s="67" t="str">
        <f>IFERROR(VLOOKUP(База_КР_КК[[#This Row],[ИД штатной должности (S)]],'уровень защищенности'!$B$7:$F$1095,5,0),"не защищена")</f>
        <v>низкий</v>
      </c>
      <c r="F489" s="68">
        <v>500239</v>
      </c>
      <c r="G489" s="74" t="s">
        <v>2270</v>
      </c>
      <c r="H489" s="181">
        <f>INDEX('Списки данных'!$D$2:$D$1048576,MATCH(База_КР_КК[[#This Row],[Структурное подразделение]],'Списки данных'!$C$2:$C$1048576,0))</f>
        <v>2</v>
      </c>
      <c r="I489" s="80" t="s">
        <v>133</v>
      </c>
      <c r="J489" s="80" t="s">
        <v>197</v>
      </c>
      <c r="K489" s="80" t="s">
        <v>21</v>
      </c>
      <c r="L489" s="30" t="s">
        <v>194</v>
      </c>
      <c r="M489" s="68">
        <v>6</v>
      </c>
      <c r="N489" s="181" t="str">
        <f t="shared" si="8"/>
        <v>нет</v>
      </c>
      <c r="O489" s="23"/>
      <c r="P489" s="23"/>
      <c r="Q489" s="106"/>
      <c r="R489" s="37">
        <v>113</v>
      </c>
      <c r="S489" s="39" t="s">
        <v>525</v>
      </c>
      <c r="T489" s="37">
        <v>111</v>
      </c>
      <c r="U489" s="38" t="s">
        <v>523</v>
      </c>
      <c r="V489" s="89" t="s">
        <v>192</v>
      </c>
      <c r="W489" s="89" t="s">
        <v>133</v>
      </c>
      <c r="X489" s="106" t="s">
        <v>297</v>
      </c>
      <c r="Y489" s="107" t="s">
        <v>14</v>
      </c>
      <c r="Z489" s="67">
        <f>IF(База_КР_КК[[#This Row],[Таб.номер резервиста]]="-","-",IF(OR(База_КР_КК[[#This Row],[Уровень КК]]=2,База_КР_КК[[#This Row],[Уровень КК]]=3),IF(COUNTIFS($U$2:$U489,$U489,$F$2:$F489,$F489)=1,1,0),IF(COUNTIFS($U$2:$U489,$U489,$L$2:$L489,$L489)=1,1,0)))</f>
        <v>0</v>
      </c>
      <c r="AA4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89" s="106" t="s">
        <v>24</v>
      </c>
      <c r="AC489" s="51">
        <v>45071</v>
      </c>
      <c r="AD489" s="106" t="s">
        <v>15</v>
      </c>
      <c r="AE489" s="40" t="s">
        <v>411</v>
      </c>
    </row>
    <row r="490" spans="1:31" ht="18" customHeight="1" x14ac:dyDescent="0.25">
      <c r="A4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0" s="79">
        <v>4</v>
      </c>
      <c r="C490" s="23">
        <v>43965</v>
      </c>
      <c r="D490" s="67">
        <f>IF(COUNTIF($G$2:$G490,$G490)=1,1,0)</f>
        <v>0</v>
      </c>
      <c r="E490" s="67" t="str">
        <f>IFERROR(VLOOKUP(База_КР_КК[[#This Row],[ИД штатной должности (S)]],'уровень защищенности'!$B$7:$F$1095,5,0),"не защищена")</f>
        <v>низкий</v>
      </c>
      <c r="F490" s="68">
        <v>500239</v>
      </c>
      <c r="G490" s="74" t="s">
        <v>2270</v>
      </c>
      <c r="H490" s="181">
        <f>INDEX('Списки данных'!$D$2:$D$1048576,MATCH(База_КР_КК[[#This Row],[Структурное подразделение]],'Списки данных'!$C$2:$C$1048576,0))</f>
        <v>2</v>
      </c>
      <c r="I490" s="80" t="s">
        <v>133</v>
      </c>
      <c r="J490" s="80" t="s">
        <v>197</v>
      </c>
      <c r="K490" s="80" t="s">
        <v>21</v>
      </c>
      <c r="L490" s="30" t="s">
        <v>194</v>
      </c>
      <c r="M490" s="68">
        <v>6</v>
      </c>
      <c r="N490" s="181" t="str">
        <f t="shared" si="8"/>
        <v>нет</v>
      </c>
      <c r="O490" s="23"/>
      <c r="P490" s="23"/>
      <c r="Q490" s="106"/>
      <c r="R490" s="37">
        <v>113</v>
      </c>
      <c r="S490" s="39" t="s">
        <v>525</v>
      </c>
      <c r="T490" s="37">
        <v>110</v>
      </c>
      <c r="U490" s="39" t="s">
        <v>522</v>
      </c>
      <c r="V490" s="89" t="s">
        <v>194</v>
      </c>
      <c r="W490" s="89" t="s">
        <v>133</v>
      </c>
      <c r="X490" s="106" t="s">
        <v>297</v>
      </c>
      <c r="Y490" s="107" t="s">
        <v>18</v>
      </c>
      <c r="Z490" s="67">
        <f>IF(База_КР_КК[[#This Row],[Таб.номер резервиста]]="-","-",IF(OR(База_КР_КК[[#This Row],[Уровень КК]]=2,База_КР_КК[[#This Row],[Уровень КК]]=3),IF(COUNTIFS($U$2:$U490,$U490,$F$2:$F490,$F490)=1,1,0),IF(COUNTIFS($U$2:$U490,$U490,$L$2:$L490,$L490)=1,1,0)))</f>
        <v>0</v>
      </c>
      <c r="AA4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0" s="106" t="s">
        <v>24</v>
      </c>
      <c r="AC490" s="51">
        <v>44306</v>
      </c>
      <c r="AD490" s="106" t="s">
        <v>13</v>
      </c>
      <c r="AE490" s="38" t="s">
        <v>318</v>
      </c>
    </row>
    <row r="491" spans="1:31" ht="18" customHeight="1" x14ac:dyDescent="0.25">
      <c r="A4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1" s="79">
        <v>4</v>
      </c>
      <c r="C491" s="23">
        <v>43734</v>
      </c>
      <c r="D491" s="67">
        <f>IF(COUNTIF($G$2:$G491,$G491)=1,1,0)</f>
        <v>1</v>
      </c>
      <c r="E491" s="67" t="str">
        <f>IFERROR(VLOOKUP(База_КР_КК[[#This Row],[ИД штатной должности (S)]],'уровень защищенности'!$B$7:$F$1095,5,0),"не защищена")</f>
        <v>высокий</v>
      </c>
      <c r="F491" s="68">
        <v>500335</v>
      </c>
      <c r="G491" s="74" t="s">
        <v>2271</v>
      </c>
      <c r="H491" s="181">
        <f>INDEX('Списки данных'!$D$2:$D$1048576,MATCH(База_КР_КК[[#This Row],[Структурное подразделение]],'Списки данных'!$C$2:$C$1048576,0))</f>
        <v>18</v>
      </c>
      <c r="I491" s="80" t="s">
        <v>122</v>
      </c>
      <c r="J491" s="80" t="s">
        <v>188</v>
      </c>
      <c r="K491" s="80" t="s">
        <v>190</v>
      </c>
      <c r="L491" s="30" t="s">
        <v>191</v>
      </c>
      <c r="M491" s="68">
        <v>6</v>
      </c>
      <c r="N491" s="181" t="str">
        <f t="shared" si="8"/>
        <v>нет</v>
      </c>
      <c r="O491" s="23"/>
      <c r="P491" s="23"/>
      <c r="Q491" s="106"/>
      <c r="R491" s="37">
        <v>114</v>
      </c>
      <c r="S491" s="38" t="s">
        <v>526</v>
      </c>
      <c r="T491" s="37">
        <v>1154</v>
      </c>
      <c r="U491" s="39" t="s">
        <v>1563</v>
      </c>
      <c r="V491" s="89" t="s">
        <v>272</v>
      </c>
      <c r="W491" s="89" t="s">
        <v>122</v>
      </c>
      <c r="X491" s="106" t="s">
        <v>295</v>
      </c>
      <c r="Y491" s="107" t="s">
        <v>12</v>
      </c>
      <c r="Z491" s="67">
        <f>IF(База_КР_КК[[#This Row],[Таб.номер резервиста]]="-","-",IF(OR(База_КР_КК[[#This Row],[Уровень КК]]=2,База_КР_КК[[#This Row],[Уровень КК]]=3),IF(COUNTIFS($U$2:$U491,$U491,$F$2:$F491,$F491)=1,1,0),IF(COUNTIFS($U$2:$U491,$U491,$L$2:$L491,$L491)=1,1,0)))</f>
        <v>0</v>
      </c>
      <c r="AA4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1" s="106"/>
      <c r="AC491" s="51"/>
      <c r="AD491" s="106" t="s">
        <v>13</v>
      </c>
      <c r="AE491" s="38" t="s">
        <v>409</v>
      </c>
    </row>
    <row r="492" spans="1:31" ht="18" customHeight="1" x14ac:dyDescent="0.25">
      <c r="A4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2" s="79">
        <v>4</v>
      </c>
      <c r="C492" s="23">
        <v>43734</v>
      </c>
      <c r="D492" s="67">
        <f>IF(COUNTIF($G$2:$G492,$G492)=1,1,0)</f>
        <v>0</v>
      </c>
      <c r="E492" s="67" t="str">
        <f>IFERROR(VLOOKUP(База_КР_КК[[#This Row],[ИД штатной должности (S)]],'уровень защищенности'!$B$7:$F$1095,5,0),"не защищена")</f>
        <v>высокий</v>
      </c>
      <c r="F492" s="68">
        <v>500335</v>
      </c>
      <c r="G492" s="74" t="s">
        <v>2271</v>
      </c>
      <c r="H492" s="181">
        <f>INDEX('Списки данных'!$D$2:$D$1048576,MATCH(База_КР_КК[[#This Row],[Структурное подразделение]],'Списки данных'!$C$2:$C$1048576,0))</f>
        <v>18</v>
      </c>
      <c r="I492" s="80" t="s">
        <v>122</v>
      </c>
      <c r="J492" s="80" t="s">
        <v>188</v>
      </c>
      <c r="K492" s="80" t="s">
        <v>190</v>
      </c>
      <c r="L492" s="30" t="s">
        <v>191</v>
      </c>
      <c r="M492" s="68">
        <v>6</v>
      </c>
      <c r="N492" s="181" t="str">
        <f t="shared" si="8"/>
        <v>нет</v>
      </c>
      <c r="O492" s="23"/>
      <c r="P492" s="23"/>
      <c r="Q492" s="106"/>
      <c r="R492" s="37">
        <v>114</v>
      </c>
      <c r="S492" s="38" t="s">
        <v>526</v>
      </c>
      <c r="T492" s="37">
        <v>1153</v>
      </c>
      <c r="U492" s="39" t="s">
        <v>1562</v>
      </c>
      <c r="V492" s="89" t="s">
        <v>272</v>
      </c>
      <c r="W492" s="89" t="s">
        <v>122</v>
      </c>
      <c r="X492" s="106" t="s">
        <v>295</v>
      </c>
      <c r="Y492" s="107" t="s">
        <v>12</v>
      </c>
      <c r="Z492" s="67">
        <f>IF(База_КР_КК[[#This Row],[Таб.номер резервиста]]="-","-",IF(OR(База_КР_КК[[#This Row],[Уровень КК]]=2,База_КР_КК[[#This Row],[Уровень КК]]=3),IF(COUNTIFS($U$2:$U492,$U492,$F$2:$F492,$F492)=1,1,0),IF(COUNTIFS($U$2:$U492,$U492,$L$2:$L492,$L492)=1,1,0)))</f>
        <v>0</v>
      </c>
      <c r="AA4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2" s="106"/>
      <c r="AC492" s="51"/>
      <c r="AD492" s="106" t="s">
        <v>17</v>
      </c>
      <c r="AE492" s="38" t="s">
        <v>409</v>
      </c>
    </row>
    <row r="493" spans="1:31" ht="18" customHeight="1" x14ac:dyDescent="0.25">
      <c r="A4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3" s="79">
        <v>4</v>
      </c>
      <c r="C493" s="23">
        <v>44887</v>
      </c>
      <c r="D493" s="67">
        <f>IF(COUNTIF($G$2:$G493,$G493)=1,1,0)</f>
        <v>0</v>
      </c>
      <c r="E493" s="67" t="str">
        <f>IFERROR(VLOOKUP(База_КР_КК[[#This Row],[ИД штатной должности (S)]],'уровень защищенности'!$B$7:$F$1095,5,0),"не защищена")</f>
        <v>высокий</v>
      </c>
      <c r="F493" s="68">
        <v>500335</v>
      </c>
      <c r="G493" s="74" t="s">
        <v>2271</v>
      </c>
      <c r="H493" s="181">
        <f>INDEX('Списки данных'!$D$2:$D$1048576,MATCH(База_КР_КК[[#This Row],[Структурное подразделение]],'Списки данных'!$C$2:$C$1048576,0))</f>
        <v>18</v>
      </c>
      <c r="I493" s="80" t="s">
        <v>122</v>
      </c>
      <c r="J493" s="80" t="s">
        <v>188</v>
      </c>
      <c r="K493" s="80" t="s">
        <v>190</v>
      </c>
      <c r="L493" s="30" t="s">
        <v>191</v>
      </c>
      <c r="M493" s="68">
        <v>6</v>
      </c>
      <c r="N493" s="181" t="str">
        <f t="shared" si="8"/>
        <v>нет</v>
      </c>
      <c r="O493" s="23"/>
      <c r="P493" s="23"/>
      <c r="Q493" s="106"/>
      <c r="R493" s="37">
        <v>114</v>
      </c>
      <c r="S493" s="39" t="s">
        <v>526</v>
      </c>
      <c r="T493" s="37">
        <v>1155</v>
      </c>
      <c r="U493" s="38" t="s">
        <v>1564</v>
      </c>
      <c r="V493" s="69" t="s">
        <v>272</v>
      </c>
      <c r="W493" s="89" t="s">
        <v>122</v>
      </c>
      <c r="X493" s="106" t="s">
        <v>297</v>
      </c>
      <c r="Y493" s="107" t="s">
        <v>12</v>
      </c>
      <c r="Z493" s="67">
        <f>IF(База_КР_КК[[#This Row],[Таб.номер резервиста]]="-","-",IF(OR(База_КР_КК[[#This Row],[Уровень КК]]=2,База_КР_КК[[#This Row],[Уровень КК]]=3),IF(COUNTIFS($U$2:$U493,$U493,$F$2:$F493,$F493)=1,1,0),IF(COUNTIFS($U$2:$U493,$U493,$L$2:$L493,$L493)=1,1,0)))</f>
        <v>0</v>
      </c>
      <c r="AA4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3" s="106"/>
      <c r="AC493" s="51"/>
      <c r="AD493" s="106" t="s">
        <v>15</v>
      </c>
      <c r="AE493" s="33" t="s">
        <v>409</v>
      </c>
    </row>
    <row r="494" spans="1:31" ht="18" customHeight="1" x14ac:dyDescent="0.25">
      <c r="A4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4" s="79">
        <v>4</v>
      </c>
      <c r="C494" s="23">
        <v>44887</v>
      </c>
      <c r="D494" s="67">
        <f>IF(COUNTIF($G$2:$G494,$G494)=1,1,0)</f>
        <v>0</v>
      </c>
      <c r="E494" s="67" t="str">
        <f>IFERROR(VLOOKUP(База_КР_КК[[#This Row],[ИД штатной должности (S)]],'уровень защищенности'!$B$7:$F$1095,5,0),"не защищена")</f>
        <v>высокий</v>
      </c>
      <c r="F494" s="68">
        <v>500335</v>
      </c>
      <c r="G494" s="74" t="s">
        <v>2271</v>
      </c>
      <c r="H494" s="181">
        <f>INDEX('Списки данных'!$D$2:$D$1048576,MATCH(База_КР_КК[[#This Row],[Структурное подразделение]],'Списки данных'!$C$2:$C$1048576,0))</f>
        <v>18</v>
      </c>
      <c r="I494" s="80" t="s">
        <v>122</v>
      </c>
      <c r="J494" s="80" t="s">
        <v>188</v>
      </c>
      <c r="K494" s="80" t="s">
        <v>190</v>
      </c>
      <c r="L494" s="30" t="s">
        <v>191</v>
      </c>
      <c r="M494" s="68">
        <v>6</v>
      </c>
      <c r="N494" s="181" t="str">
        <f t="shared" si="8"/>
        <v>нет</v>
      </c>
      <c r="O494" s="23"/>
      <c r="P494" s="23"/>
      <c r="Q494" s="106"/>
      <c r="R494" s="37">
        <v>114</v>
      </c>
      <c r="S494" s="39" t="s">
        <v>526</v>
      </c>
      <c r="T494" s="37">
        <v>1156</v>
      </c>
      <c r="U494" s="38" t="s">
        <v>1565</v>
      </c>
      <c r="V494" s="69" t="s">
        <v>272</v>
      </c>
      <c r="W494" s="89" t="s">
        <v>122</v>
      </c>
      <c r="X494" s="106" t="s">
        <v>297</v>
      </c>
      <c r="Y494" s="107" t="s">
        <v>12</v>
      </c>
      <c r="Z494" s="67">
        <f>IF(База_КР_КК[[#This Row],[Таб.номер резервиста]]="-","-",IF(OR(База_КР_КК[[#This Row],[Уровень КК]]=2,База_КР_КК[[#This Row],[Уровень КК]]=3),IF(COUNTIFS($U$2:$U494,$U494,$F$2:$F494,$F494)=1,1,0),IF(COUNTIFS($U$2:$U494,$U494,$L$2:$L494,$L494)=1,1,0)))</f>
        <v>0</v>
      </c>
      <c r="AA4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4" s="106"/>
      <c r="AC494" s="51"/>
      <c r="AD494" s="106" t="s">
        <v>15</v>
      </c>
      <c r="AE494" s="33" t="s">
        <v>409</v>
      </c>
    </row>
    <row r="495" spans="1:31" ht="18" customHeight="1" x14ac:dyDescent="0.25">
      <c r="A4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5" s="79">
        <v>4</v>
      </c>
      <c r="C495" s="23">
        <v>43734</v>
      </c>
      <c r="D495" s="67">
        <f>IF(COUNTIF($G$2:$G495,$G495)=1,1,0)</f>
        <v>1</v>
      </c>
      <c r="E495" s="67" t="str">
        <f>IFERROR(VLOOKUP(База_КР_КК[[#This Row],[ИД штатной должности (S)]],'уровень защищенности'!$B$7:$F$1095,5,0),"не защищена")</f>
        <v>высокий</v>
      </c>
      <c r="F495" s="68">
        <v>500342</v>
      </c>
      <c r="G495" s="74" t="s">
        <v>2272</v>
      </c>
      <c r="H495" s="181">
        <f>INDEX('Списки данных'!$D$2:$D$1048576,MATCH(База_КР_КК[[#This Row],[Структурное подразделение]],'Списки данных'!$C$2:$C$1048576,0))</f>
        <v>18</v>
      </c>
      <c r="I495" s="80" t="s">
        <v>122</v>
      </c>
      <c r="J495" s="80" t="s">
        <v>188</v>
      </c>
      <c r="K495" s="80" t="s">
        <v>21</v>
      </c>
      <c r="L495" s="30" t="s">
        <v>191</v>
      </c>
      <c r="M495" s="68">
        <v>6</v>
      </c>
      <c r="N495" s="181" t="str">
        <f t="shared" si="8"/>
        <v>да</v>
      </c>
      <c r="O495" s="23">
        <v>44890</v>
      </c>
      <c r="P495" s="23">
        <v>44890</v>
      </c>
      <c r="Q495" s="106" t="s">
        <v>66</v>
      </c>
      <c r="R495" s="37">
        <v>115</v>
      </c>
      <c r="S495" s="38" t="s">
        <v>527</v>
      </c>
      <c r="T495" s="37">
        <v>1168</v>
      </c>
      <c r="U495" s="39" t="s">
        <v>1577</v>
      </c>
      <c r="V495" s="89" t="s">
        <v>272</v>
      </c>
      <c r="W495" s="89" t="s">
        <v>122</v>
      </c>
      <c r="X495" s="106" t="s">
        <v>295</v>
      </c>
      <c r="Y495" s="107" t="s">
        <v>12</v>
      </c>
      <c r="Z495" s="67">
        <f>IF(База_КР_КК[[#This Row],[Таб.номер резервиста]]="-","-",IF(OR(База_КР_КК[[#This Row],[Уровень КК]]=2,База_КР_КК[[#This Row],[Уровень КК]]=3),IF(COUNTIFS($U$2:$U495,$U495,$F$2:$F495,$F495)=1,1,0),IF(COUNTIFS($U$2:$U495,$U495,$L$2:$L495,$L495)=1,1,0)))</f>
        <v>0</v>
      </c>
      <c r="AA4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5" s="106"/>
      <c r="AC495" s="51"/>
      <c r="AD495" s="106" t="s">
        <v>17</v>
      </c>
      <c r="AE495" s="38" t="s">
        <v>409</v>
      </c>
    </row>
    <row r="496" spans="1:31" ht="18" customHeight="1" x14ac:dyDescent="0.25">
      <c r="A4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6" s="79">
        <v>4</v>
      </c>
      <c r="C496" s="23">
        <v>43734</v>
      </c>
      <c r="D496" s="67">
        <f>IF(COUNTIF($G$2:$G496,$G496)=1,1,0)</f>
        <v>0</v>
      </c>
      <c r="E496" s="67" t="str">
        <f>IFERROR(VLOOKUP(База_КР_КК[[#This Row],[ИД штатной должности (S)]],'уровень защищенности'!$B$7:$F$1095,5,0),"не защищена")</f>
        <v>высокий</v>
      </c>
      <c r="F496" s="68">
        <v>500342</v>
      </c>
      <c r="G496" s="74" t="s">
        <v>2272</v>
      </c>
      <c r="H496" s="181">
        <f>INDEX('Списки данных'!$D$2:$D$1048576,MATCH(База_КР_КК[[#This Row],[Структурное подразделение]],'Списки данных'!$C$2:$C$1048576,0))</f>
        <v>18</v>
      </c>
      <c r="I496" s="80" t="s">
        <v>122</v>
      </c>
      <c r="J496" s="80" t="s">
        <v>188</v>
      </c>
      <c r="K496" s="80" t="s">
        <v>21</v>
      </c>
      <c r="L496" s="30" t="s">
        <v>191</v>
      </c>
      <c r="M496" s="68">
        <v>6</v>
      </c>
      <c r="N496" s="181" t="str">
        <f t="shared" si="8"/>
        <v>да</v>
      </c>
      <c r="O496" s="23">
        <v>44890</v>
      </c>
      <c r="P496" s="23">
        <v>44890</v>
      </c>
      <c r="Q496" s="106" t="s">
        <v>66</v>
      </c>
      <c r="R496" s="37">
        <v>115</v>
      </c>
      <c r="S496" s="38" t="s">
        <v>527</v>
      </c>
      <c r="T496" s="37">
        <v>115</v>
      </c>
      <c r="U496" s="39" t="s">
        <v>527</v>
      </c>
      <c r="V496" s="89" t="s">
        <v>272</v>
      </c>
      <c r="W496" s="89" t="s">
        <v>122</v>
      </c>
      <c r="X496" s="106" t="s">
        <v>295</v>
      </c>
      <c r="Y496" s="107" t="s">
        <v>14</v>
      </c>
      <c r="Z496" s="67">
        <f>IF(База_КР_КК[[#This Row],[Таб.номер резервиста]]="-","-",IF(OR(База_КР_КК[[#This Row],[Уровень КК]]=2,База_КР_КК[[#This Row],[Уровень КК]]=3),IF(COUNTIFS($U$2:$U496,$U496,$F$2:$F496,$F496)=1,1,0),IF(COUNTIFS($U$2:$U496,$U496,$L$2:$L496,$L496)=1,1,0)))</f>
        <v>0</v>
      </c>
      <c r="AA4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96" s="106" t="s">
        <v>24</v>
      </c>
      <c r="AC496" s="51">
        <v>44890</v>
      </c>
      <c r="AD496" s="106" t="s">
        <v>17</v>
      </c>
      <c r="AE496" s="38" t="s">
        <v>310</v>
      </c>
    </row>
    <row r="497" spans="1:31" ht="18" customHeight="1" x14ac:dyDescent="0.25">
      <c r="A4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7" s="79">
        <v>4</v>
      </c>
      <c r="C497" s="23">
        <v>43734</v>
      </c>
      <c r="D497" s="67">
        <f>IF(COUNTIF($G$2:$G497,$G497)=1,1,0)</f>
        <v>0</v>
      </c>
      <c r="E497" s="67" t="str">
        <f>IFERROR(VLOOKUP(База_КР_КК[[#This Row],[ИД штатной должности (S)]],'уровень защищенности'!$B$7:$F$1095,5,0),"не защищена")</f>
        <v>высокий</v>
      </c>
      <c r="F497" s="68">
        <v>500342</v>
      </c>
      <c r="G497" s="74" t="s">
        <v>2272</v>
      </c>
      <c r="H497" s="181">
        <f>INDEX('Списки данных'!$D$2:$D$1048576,MATCH(База_КР_КК[[#This Row],[Структурное подразделение]],'Списки данных'!$C$2:$C$1048576,0))</f>
        <v>18</v>
      </c>
      <c r="I497" s="80" t="s">
        <v>122</v>
      </c>
      <c r="J497" s="80" t="s">
        <v>188</v>
      </c>
      <c r="K497" s="80" t="s">
        <v>21</v>
      </c>
      <c r="L497" s="30" t="s">
        <v>191</v>
      </c>
      <c r="M497" s="68">
        <v>6</v>
      </c>
      <c r="N497" s="181" t="str">
        <f t="shared" si="8"/>
        <v>да</v>
      </c>
      <c r="O497" s="23">
        <v>44890</v>
      </c>
      <c r="P497" s="23">
        <v>44890</v>
      </c>
      <c r="Q497" s="106" t="s">
        <v>66</v>
      </c>
      <c r="R497" s="37">
        <v>115</v>
      </c>
      <c r="S497" s="38" t="s">
        <v>527</v>
      </c>
      <c r="T497" s="37">
        <v>46</v>
      </c>
      <c r="U497" s="39" t="s">
        <v>460</v>
      </c>
      <c r="V497" s="89" t="s">
        <v>272</v>
      </c>
      <c r="W497" s="89" t="s">
        <v>122</v>
      </c>
      <c r="X497" s="106" t="s">
        <v>295</v>
      </c>
      <c r="Y497" s="107" t="s">
        <v>14</v>
      </c>
      <c r="Z497" s="67">
        <f>IF(База_КР_КК[[#This Row],[Таб.номер резервиста]]="-","-",IF(OR(База_КР_КК[[#This Row],[Уровень КК]]=2,База_КР_КК[[#This Row],[Уровень КК]]=3),IF(COUNTIFS($U$2:$U497,$U497,$F$2:$F497,$F497)=1,1,0),IF(COUNTIFS($U$2:$U497,$U497,$L$2:$L497,$L497)=1,1,0)))</f>
        <v>0</v>
      </c>
      <c r="AA4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7" s="106" t="s">
        <v>24</v>
      </c>
      <c r="AC497" s="51">
        <v>44939</v>
      </c>
      <c r="AD497" s="106" t="s">
        <v>17</v>
      </c>
      <c r="AE497" s="38" t="s">
        <v>409</v>
      </c>
    </row>
    <row r="498" spans="1:31" ht="18" customHeight="1" x14ac:dyDescent="0.25">
      <c r="A4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8" s="79">
        <v>4</v>
      </c>
      <c r="C498" s="23">
        <v>43734</v>
      </c>
      <c r="D498" s="67">
        <f>IF(COUNTIF($G$2:$G498,$G498)=1,1,0)</f>
        <v>0</v>
      </c>
      <c r="E498" s="67" t="str">
        <f>IFERROR(VLOOKUP(База_КР_КК[[#This Row],[ИД штатной должности (S)]],'уровень защищенности'!$B$7:$F$1095,5,0),"не защищена")</f>
        <v>высокий</v>
      </c>
      <c r="F498" s="68">
        <v>500342</v>
      </c>
      <c r="G498" s="74" t="s">
        <v>2272</v>
      </c>
      <c r="H498" s="181">
        <f>INDEX('Списки данных'!$D$2:$D$1048576,MATCH(База_КР_КК[[#This Row],[Структурное подразделение]],'Списки данных'!$C$2:$C$1048576,0))</f>
        <v>18</v>
      </c>
      <c r="I498" s="80" t="s">
        <v>122</v>
      </c>
      <c r="J498" s="80" t="s">
        <v>188</v>
      </c>
      <c r="K498" s="80" t="s">
        <v>21</v>
      </c>
      <c r="L498" s="30" t="s">
        <v>191</v>
      </c>
      <c r="M498" s="68">
        <v>6</v>
      </c>
      <c r="N498" s="181" t="str">
        <f t="shared" si="8"/>
        <v>да</v>
      </c>
      <c r="O498" s="23">
        <v>44890</v>
      </c>
      <c r="P498" s="23">
        <v>44890</v>
      </c>
      <c r="Q498" s="106" t="s">
        <v>66</v>
      </c>
      <c r="R498" s="37">
        <v>115</v>
      </c>
      <c r="S498" s="38" t="s">
        <v>527</v>
      </c>
      <c r="T498" s="37">
        <v>27</v>
      </c>
      <c r="U498" s="39" t="s">
        <v>441</v>
      </c>
      <c r="V498" s="89" t="s">
        <v>272</v>
      </c>
      <c r="W498" s="89" t="s">
        <v>122</v>
      </c>
      <c r="X498" s="106" t="s">
        <v>295</v>
      </c>
      <c r="Y498" s="107" t="s">
        <v>14</v>
      </c>
      <c r="Z498" s="67">
        <f>IF(База_КР_КК[[#This Row],[Таб.номер резервиста]]="-","-",IF(OR(База_КР_КК[[#This Row],[Уровень КК]]=2,База_КР_КК[[#This Row],[Уровень КК]]=3),IF(COUNTIFS($U$2:$U498,$U498,$F$2:$F498,$F498)=1,1,0),IF(COUNTIFS($U$2:$U498,$U498,$L$2:$L498,$L498)=1,1,0)))</f>
        <v>0</v>
      </c>
      <c r="AA4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8" s="106" t="s">
        <v>24</v>
      </c>
      <c r="AC498" s="51">
        <v>44678</v>
      </c>
      <c r="AD498" s="106" t="s">
        <v>13</v>
      </c>
      <c r="AE498" s="38" t="s">
        <v>312</v>
      </c>
    </row>
    <row r="499" spans="1:31" ht="18" customHeight="1" x14ac:dyDescent="0.25">
      <c r="A4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499" s="79">
        <v>4</v>
      </c>
      <c r="C499" s="23">
        <v>43734</v>
      </c>
      <c r="D499" s="67">
        <f>IF(COUNTIF($G$2:$G499,$G499)=1,1,0)</f>
        <v>0</v>
      </c>
      <c r="E499" s="67" t="str">
        <f>IFERROR(VLOOKUP(База_КР_КК[[#This Row],[ИД штатной должности (S)]],'уровень защищенности'!$B$7:$F$1095,5,0),"не защищена")</f>
        <v>высокий</v>
      </c>
      <c r="F499" s="68">
        <v>500342</v>
      </c>
      <c r="G499" s="74" t="s">
        <v>2272</v>
      </c>
      <c r="H499" s="181">
        <f>INDEX('Списки данных'!$D$2:$D$1048576,MATCH(База_КР_КК[[#This Row],[Структурное подразделение]],'Списки данных'!$C$2:$C$1048576,0))</f>
        <v>18</v>
      </c>
      <c r="I499" s="80" t="s">
        <v>122</v>
      </c>
      <c r="J499" s="80" t="s">
        <v>188</v>
      </c>
      <c r="K499" s="80" t="s">
        <v>21</v>
      </c>
      <c r="L499" s="30" t="s">
        <v>191</v>
      </c>
      <c r="M499" s="68">
        <v>6</v>
      </c>
      <c r="N499" s="181" t="str">
        <f t="shared" si="8"/>
        <v>да</v>
      </c>
      <c r="O499" s="23">
        <v>44890</v>
      </c>
      <c r="P499" s="23">
        <v>44890</v>
      </c>
      <c r="Q499" s="106" t="s">
        <v>66</v>
      </c>
      <c r="R499" s="37">
        <v>115</v>
      </c>
      <c r="S499" s="39" t="s">
        <v>527</v>
      </c>
      <c r="T499" s="37">
        <v>1169</v>
      </c>
      <c r="U499" s="39" t="s">
        <v>1578</v>
      </c>
      <c r="V499" s="89" t="s">
        <v>272</v>
      </c>
      <c r="W499" s="89" t="s">
        <v>122</v>
      </c>
      <c r="X499" s="106" t="s">
        <v>295</v>
      </c>
      <c r="Y499" s="107" t="s">
        <v>18</v>
      </c>
      <c r="Z499" s="67">
        <f>IF(База_КР_КК[[#This Row],[Таб.номер резервиста]]="-","-",IF(OR(База_КР_КК[[#This Row],[Уровень КК]]=2,База_КР_КК[[#This Row],[Уровень КК]]=3),IF(COUNTIFS($U$2:$U499,$U499,$F$2:$F499,$F499)=1,1,0),IF(COUNTIFS($U$2:$U499,$U499,$L$2:$L499,$L499)=1,1,0)))</f>
        <v>0</v>
      </c>
      <c r="AA4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99" s="106" t="s">
        <v>19</v>
      </c>
      <c r="AC499" s="51">
        <v>44783</v>
      </c>
      <c r="AD499" s="106" t="s">
        <v>13</v>
      </c>
      <c r="AE499" s="38" t="s">
        <v>312</v>
      </c>
    </row>
    <row r="500" spans="1:31" ht="18" customHeight="1" x14ac:dyDescent="0.25">
      <c r="A5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0" s="79">
        <v>4</v>
      </c>
      <c r="C500" s="23">
        <v>43791</v>
      </c>
      <c r="D500" s="67">
        <f>IF(COUNTIF($G$2:$G500,$G500)=1,1,0)</f>
        <v>1</v>
      </c>
      <c r="E500" s="67" t="str">
        <f>IFERROR(VLOOKUP(База_КР_КК[[#This Row],[ИД штатной должности (S)]],'уровень защищенности'!$B$7:$F$1095,5,0),"не защищена")</f>
        <v>средний</v>
      </c>
      <c r="F500" s="68">
        <v>500240</v>
      </c>
      <c r="G500" s="74" t="s">
        <v>2273</v>
      </c>
      <c r="H500" s="181">
        <f>INDEX('Списки данных'!$D$2:$D$1048576,MATCH(База_КР_КК[[#This Row],[Структурное подразделение]],'Списки данных'!$C$2:$C$1048576,0))</f>
        <v>2</v>
      </c>
      <c r="I500" s="80" t="s">
        <v>133</v>
      </c>
      <c r="J500" s="80" t="s">
        <v>197</v>
      </c>
      <c r="K500" s="80" t="s">
        <v>199</v>
      </c>
      <c r="L500" s="30" t="s">
        <v>192</v>
      </c>
      <c r="M500" s="68">
        <v>6</v>
      </c>
      <c r="N500" s="181" t="str">
        <f t="shared" si="8"/>
        <v>нет</v>
      </c>
      <c r="O500" s="23"/>
      <c r="P500" s="23"/>
      <c r="Q500" s="106"/>
      <c r="R500" s="37">
        <v>116</v>
      </c>
      <c r="S500" s="38" t="s">
        <v>528</v>
      </c>
      <c r="T500" s="37">
        <v>1200</v>
      </c>
      <c r="U500" s="39" t="s">
        <v>1606</v>
      </c>
      <c r="V500" s="89" t="s">
        <v>272</v>
      </c>
      <c r="W500" s="89" t="s">
        <v>133</v>
      </c>
      <c r="X500" s="106" t="s">
        <v>296</v>
      </c>
      <c r="Y500" s="107" t="s">
        <v>12</v>
      </c>
      <c r="Z500" s="67">
        <f>IF(База_КР_КК[[#This Row],[Таб.номер резервиста]]="-","-",IF(OR(База_КР_КК[[#This Row],[Уровень КК]]=2,База_КР_КК[[#This Row],[Уровень КК]]=3),IF(COUNTIFS($U$2:$U500,$U500,$F$2:$F500,$F500)=1,1,0),IF(COUNTIFS($U$2:$U500,$U500,$L$2:$L500,$L500)=1,1,0)))</f>
        <v>1</v>
      </c>
      <c r="AA5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0" s="106"/>
      <c r="AC500" s="51"/>
      <c r="AD500" s="106" t="s">
        <v>13</v>
      </c>
      <c r="AE500" s="38" t="s">
        <v>411</v>
      </c>
    </row>
    <row r="501" spans="1:31" ht="18" customHeight="1" x14ac:dyDescent="0.25">
      <c r="A5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1" s="79">
        <v>4</v>
      </c>
      <c r="C501" s="23">
        <v>44125</v>
      </c>
      <c r="D501" s="67">
        <f>IF(COUNTIF($G$2:$G501,$G501)=1,1,0)</f>
        <v>0</v>
      </c>
      <c r="E501" s="67" t="str">
        <f>IFERROR(VLOOKUP(База_КР_КК[[#This Row],[ИД штатной должности (S)]],'уровень защищенности'!$B$7:$F$1095,5,0),"не защищена")</f>
        <v>средний</v>
      </c>
      <c r="F501" s="68">
        <v>500240</v>
      </c>
      <c r="G501" s="74" t="s">
        <v>2273</v>
      </c>
      <c r="H501" s="181">
        <f>INDEX('Списки данных'!$D$2:$D$1048576,MATCH(База_КР_КК[[#This Row],[Структурное подразделение]],'Списки данных'!$C$2:$C$1048576,0))</f>
        <v>2</v>
      </c>
      <c r="I501" s="80" t="s">
        <v>133</v>
      </c>
      <c r="J501" s="80" t="s">
        <v>197</v>
      </c>
      <c r="K501" s="80" t="s">
        <v>199</v>
      </c>
      <c r="L501" s="30" t="s">
        <v>192</v>
      </c>
      <c r="M501" s="68">
        <v>6</v>
      </c>
      <c r="N501" s="181" t="str">
        <f t="shared" si="8"/>
        <v>нет</v>
      </c>
      <c r="O501" s="23"/>
      <c r="P501" s="23"/>
      <c r="Q501" s="106"/>
      <c r="R501" s="37">
        <v>116</v>
      </c>
      <c r="S501" s="39" t="s">
        <v>528</v>
      </c>
      <c r="T501" s="37">
        <v>1201</v>
      </c>
      <c r="U501" s="38" t="s">
        <v>1607</v>
      </c>
      <c r="V501" s="69" t="s">
        <v>272</v>
      </c>
      <c r="W501" s="89" t="s">
        <v>133</v>
      </c>
      <c r="X501" s="106" t="s">
        <v>297</v>
      </c>
      <c r="Y501" s="107" t="s">
        <v>12</v>
      </c>
      <c r="Z501" s="67">
        <f>IF(База_КР_КК[[#This Row],[Таб.номер резервиста]]="-","-",IF(OR(База_КР_КК[[#This Row],[Уровень КК]]=2,База_КР_КК[[#This Row],[Уровень КК]]=3),IF(COUNTIFS($U$2:$U501,$U501,$F$2:$F501,$F501)=1,1,0),IF(COUNTIFS($U$2:$U501,$U501,$L$2:$L501,$L501)=1,1,0)))</f>
        <v>1</v>
      </c>
      <c r="AA5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1" s="106"/>
      <c r="AC501" s="51"/>
      <c r="AD501" s="106" t="s">
        <v>17</v>
      </c>
      <c r="AE501" s="40" t="s">
        <v>411</v>
      </c>
    </row>
    <row r="502" spans="1:31" ht="18" customHeight="1" x14ac:dyDescent="0.25">
      <c r="A5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2" s="79">
        <v>4</v>
      </c>
      <c r="C502" s="23">
        <v>44880</v>
      </c>
      <c r="D502" s="67">
        <f>IF(COUNTIF($G$2:$G502,$G502)=1,1,0)</f>
        <v>0</v>
      </c>
      <c r="E502" s="67" t="str">
        <f>IFERROR(VLOOKUP(База_КР_КК[[#This Row],[ИД штатной должности (S)]],'уровень защищенности'!$B$7:$F$1095,5,0),"не защищена")</f>
        <v>средний</v>
      </c>
      <c r="F502" s="68">
        <v>500240</v>
      </c>
      <c r="G502" s="74" t="s">
        <v>2273</v>
      </c>
      <c r="H502" s="181">
        <f>INDEX('Списки данных'!$D$2:$D$1048576,MATCH(База_КР_КК[[#This Row],[Структурное подразделение]],'Списки данных'!$C$2:$C$1048576,0))</f>
        <v>2</v>
      </c>
      <c r="I502" s="80" t="s">
        <v>133</v>
      </c>
      <c r="J502" s="80" t="s">
        <v>197</v>
      </c>
      <c r="K502" s="80" t="s">
        <v>199</v>
      </c>
      <c r="L502" s="30" t="s">
        <v>192</v>
      </c>
      <c r="M502" s="68">
        <v>6</v>
      </c>
      <c r="N502" s="181" t="str">
        <f t="shared" si="8"/>
        <v>нет</v>
      </c>
      <c r="O502" s="23"/>
      <c r="P502" s="23"/>
      <c r="Q502" s="106"/>
      <c r="R502" s="37">
        <v>116</v>
      </c>
      <c r="S502" s="39" t="s">
        <v>528</v>
      </c>
      <c r="T502" s="37">
        <v>119</v>
      </c>
      <c r="U502" s="38" t="s">
        <v>531</v>
      </c>
      <c r="V502" s="69" t="s">
        <v>191</v>
      </c>
      <c r="W502" s="89" t="s">
        <v>133</v>
      </c>
      <c r="X502" s="106" t="s">
        <v>297</v>
      </c>
      <c r="Y502" s="107" t="s">
        <v>12</v>
      </c>
      <c r="Z502" s="67">
        <f>IF(База_КР_КК[[#This Row],[Таб.номер резервиста]]="-","-",IF(OR(База_КР_КК[[#This Row],[Уровень КК]]=2,База_КР_КК[[#This Row],[Уровень КК]]=3),IF(COUNTIFS($U$2:$U502,$U502,$F$2:$F502,$F502)=1,1,0),IF(COUNTIFS($U$2:$U502,$U502,$L$2:$L502,$L502)=1,1,0)))</f>
        <v>1</v>
      </c>
      <c r="AA5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2" s="106"/>
      <c r="AC502" s="51"/>
      <c r="AD502" s="106" t="s">
        <v>15</v>
      </c>
      <c r="AE502" s="40" t="s">
        <v>411</v>
      </c>
    </row>
    <row r="503" spans="1:31" ht="18" customHeight="1" x14ac:dyDescent="0.25">
      <c r="A5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3" s="79">
        <v>4</v>
      </c>
      <c r="C503" s="23">
        <v>44880</v>
      </c>
      <c r="D503" s="67">
        <f>IF(COUNTIF($G$2:$G503,$G503)=1,1,0)</f>
        <v>0</v>
      </c>
      <c r="E503" s="67" t="str">
        <f>IFERROR(VLOOKUP(База_КР_КК[[#This Row],[ИД штатной должности (S)]],'уровень защищенности'!$B$7:$F$1095,5,0),"не защищена")</f>
        <v>средний</v>
      </c>
      <c r="F503" s="68">
        <v>500240</v>
      </c>
      <c r="G503" s="74" t="s">
        <v>2273</v>
      </c>
      <c r="H503" s="181">
        <f>INDEX('Списки данных'!$D$2:$D$1048576,MATCH(База_КР_КК[[#This Row],[Структурное подразделение]],'Списки данных'!$C$2:$C$1048576,0))</f>
        <v>2</v>
      </c>
      <c r="I503" s="80" t="s">
        <v>133</v>
      </c>
      <c r="J503" s="80" t="s">
        <v>197</v>
      </c>
      <c r="K503" s="80" t="s">
        <v>199</v>
      </c>
      <c r="L503" s="30" t="s">
        <v>192</v>
      </c>
      <c r="M503" s="68">
        <v>6</v>
      </c>
      <c r="N503" s="181" t="str">
        <f t="shared" si="8"/>
        <v>нет</v>
      </c>
      <c r="O503" s="23"/>
      <c r="P503" s="23"/>
      <c r="Q503" s="106"/>
      <c r="R503" s="37">
        <v>116</v>
      </c>
      <c r="S503" s="39" t="s">
        <v>528</v>
      </c>
      <c r="T503" s="37">
        <v>1203</v>
      </c>
      <c r="U503" s="38" t="s">
        <v>1608</v>
      </c>
      <c r="V503" s="69" t="s">
        <v>272</v>
      </c>
      <c r="W503" s="89" t="s">
        <v>133</v>
      </c>
      <c r="X503" s="106" t="s">
        <v>296</v>
      </c>
      <c r="Y503" s="107" t="s">
        <v>12</v>
      </c>
      <c r="Z503" s="67">
        <f>IF(База_КР_КК[[#This Row],[Таб.номер резервиста]]="-","-",IF(OR(База_КР_КК[[#This Row],[Уровень КК]]=2,База_КР_КК[[#This Row],[Уровень КК]]=3),IF(COUNTIFS($U$2:$U503,$U503,$F$2:$F503,$F503)=1,1,0),IF(COUNTIFS($U$2:$U503,$U503,$L$2:$L503,$L503)=1,1,0)))</f>
        <v>1</v>
      </c>
      <c r="AA5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3" s="106"/>
      <c r="AC503" s="51"/>
      <c r="AD503" s="106" t="s">
        <v>15</v>
      </c>
      <c r="AE503" s="40" t="s">
        <v>411</v>
      </c>
    </row>
    <row r="504" spans="1:31" ht="18" customHeight="1" x14ac:dyDescent="0.25">
      <c r="A5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4" s="79">
        <v>4</v>
      </c>
      <c r="C504" s="23">
        <v>44880</v>
      </c>
      <c r="D504" s="67">
        <f>IF(COUNTIF($G$2:$G504,$G504)=1,1,0)</f>
        <v>0</v>
      </c>
      <c r="E504" s="67" t="str">
        <f>IFERROR(VLOOKUP(База_КР_КК[[#This Row],[ИД штатной должности (S)]],'уровень защищенности'!$B$7:$F$1095,5,0),"не защищена")</f>
        <v>средний</v>
      </c>
      <c r="F504" s="68">
        <v>500240</v>
      </c>
      <c r="G504" s="74" t="s">
        <v>2273</v>
      </c>
      <c r="H504" s="181">
        <f>INDEX('Списки данных'!$D$2:$D$1048576,MATCH(База_КР_КК[[#This Row],[Структурное подразделение]],'Списки данных'!$C$2:$C$1048576,0))</f>
        <v>2</v>
      </c>
      <c r="I504" s="80" t="s">
        <v>133</v>
      </c>
      <c r="J504" s="80" t="s">
        <v>197</v>
      </c>
      <c r="K504" s="80" t="s">
        <v>199</v>
      </c>
      <c r="L504" s="30" t="s">
        <v>192</v>
      </c>
      <c r="M504" s="68">
        <v>6</v>
      </c>
      <c r="N504" s="181" t="str">
        <f t="shared" si="8"/>
        <v>нет</v>
      </c>
      <c r="O504" s="23"/>
      <c r="P504" s="23"/>
      <c r="Q504" s="106"/>
      <c r="R504" s="37">
        <v>116</v>
      </c>
      <c r="S504" s="39" t="s">
        <v>528</v>
      </c>
      <c r="T504" s="37">
        <v>1204</v>
      </c>
      <c r="U504" s="38" t="s">
        <v>1609</v>
      </c>
      <c r="V504" s="69" t="s">
        <v>272</v>
      </c>
      <c r="W504" s="89" t="s">
        <v>133</v>
      </c>
      <c r="X504" s="106" t="s">
        <v>296</v>
      </c>
      <c r="Y504" s="107" t="s">
        <v>12</v>
      </c>
      <c r="Z504" s="67">
        <f>IF(База_КР_КК[[#This Row],[Таб.номер резервиста]]="-","-",IF(OR(База_КР_КК[[#This Row],[Уровень КК]]=2,База_КР_КК[[#This Row],[Уровень КК]]=3),IF(COUNTIFS($U$2:$U504,$U504,$F$2:$F504,$F504)=1,1,0),IF(COUNTIFS($U$2:$U504,$U504,$L$2:$L504,$L504)=1,1,0)))</f>
        <v>1</v>
      </c>
      <c r="AA5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4" s="106"/>
      <c r="AC504" s="51"/>
      <c r="AD504" s="106" t="s">
        <v>15</v>
      </c>
      <c r="AE504" s="40" t="s">
        <v>411</v>
      </c>
    </row>
    <row r="505" spans="1:31" ht="18" customHeight="1" x14ac:dyDescent="0.25">
      <c r="A5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5" s="79">
        <v>4</v>
      </c>
      <c r="C505" s="23">
        <v>44880</v>
      </c>
      <c r="D505" s="67">
        <f>IF(COUNTIF($G$2:$G505,$G505)=1,1,0)</f>
        <v>0</v>
      </c>
      <c r="E505" s="67" t="str">
        <f>IFERROR(VLOOKUP(База_КР_КК[[#This Row],[ИД штатной должности (S)]],'уровень защищенности'!$B$7:$F$1095,5,0),"не защищена")</f>
        <v>средний</v>
      </c>
      <c r="F505" s="68">
        <v>500240</v>
      </c>
      <c r="G505" s="74" t="s">
        <v>2273</v>
      </c>
      <c r="H505" s="181">
        <f>INDEX('Списки данных'!$D$2:$D$1048576,MATCH(База_КР_КК[[#This Row],[Структурное подразделение]],'Списки данных'!$C$2:$C$1048576,0))</f>
        <v>2</v>
      </c>
      <c r="I505" s="80" t="s">
        <v>133</v>
      </c>
      <c r="J505" s="80" t="s">
        <v>197</v>
      </c>
      <c r="K505" s="80" t="s">
        <v>199</v>
      </c>
      <c r="L505" s="30" t="s">
        <v>192</v>
      </c>
      <c r="M505" s="68">
        <v>6</v>
      </c>
      <c r="N505" s="181" t="str">
        <f t="shared" si="8"/>
        <v>нет</v>
      </c>
      <c r="O505" s="23"/>
      <c r="P505" s="23"/>
      <c r="Q505" s="106"/>
      <c r="R505" s="37">
        <v>116</v>
      </c>
      <c r="S505" s="39" t="s">
        <v>528</v>
      </c>
      <c r="T505" s="37">
        <v>1205</v>
      </c>
      <c r="U505" s="38" t="s">
        <v>1610</v>
      </c>
      <c r="V505" s="69" t="s">
        <v>272</v>
      </c>
      <c r="W505" s="89" t="s">
        <v>133</v>
      </c>
      <c r="X505" s="106" t="s">
        <v>296</v>
      </c>
      <c r="Y505" s="107" t="s">
        <v>12</v>
      </c>
      <c r="Z505" s="67">
        <f>IF(База_КР_КК[[#This Row],[Таб.номер резервиста]]="-","-",IF(OR(База_КР_КК[[#This Row],[Уровень КК]]=2,База_КР_КК[[#This Row],[Уровень КК]]=3),IF(COUNTIFS($U$2:$U505,$U505,$F$2:$F505,$F505)=1,1,0),IF(COUNTIFS($U$2:$U505,$U505,$L$2:$L505,$L505)=1,1,0)))</f>
        <v>1</v>
      </c>
      <c r="AA5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5" s="106"/>
      <c r="AC505" s="51"/>
      <c r="AD505" s="106" t="s">
        <v>15</v>
      </c>
      <c r="AE505" s="40" t="s">
        <v>411</v>
      </c>
    </row>
    <row r="506" spans="1:31" ht="18" customHeight="1" x14ac:dyDescent="0.25">
      <c r="A5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6" s="79">
        <v>4</v>
      </c>
      <c r="C506" s="23">
        <v>45012</v>
      </c>
      <c r="D506" s="67">
        <f>IF(COUNTIF($G$2:$G506,$G506)=1,1,0)</f>
        <v>0</v>
      </c>
      <c r="E506" s="67" t="str">
        <f>IFERROR(VLOOKUP(База_КР_КК[[#This Row],[ИД штатной должности (S)]],'уровень защищенности'!$B$7:$F$1095,5,0),"не защищена")</f>
        <v>средний</v>
      </c>
      <c r="F506" s="68">
        <v>500240</v>
      </c>
      <c r="G506" s="74" t="s">
        <v>2273</v>
      </c>
      <c r="H506" s="181">
        <f>INDEX('Списки данных'!$D$2:$D$1048576,MATCH(База_КР_КК[[#This Row],[Структурное подразделение]],'Списки данных'!$C$2:$C$1048576,0))</f>
        <v>2</v>
      </c>
      <c r="I506" s="80" t="s">
        <v>133</v>
      </c>
      <c r="J506" s="80" t="s">
        <v>197</v>
      </c>
      <c r="K506" s="80" t="s">
        <v>199</v>
      </c>
      <c r="L506" s="30" t="s">
        <v>192</v>
      </c>
      <c r="M506" s="68">
        <v>6</v>
      </c>
      <c r="N506" s="181" t="str">
        <f t="shared" si="8"/>
        <v>нет</v>
      </c>
      <c r="O506" s="23"/>
      <c r="P506" s="23"/>
      <c r="Q506" s="33"/>
      <c r="R506" s="37">
        <v>116</v>
      </c>
      <c r="S506" s="39" t="s">
        <v>528</v>
      </c>
      <c r="T506" s="37">
        <v>1206</v>
      </c>
      <c r="U506" s="38" t="s">
        <v>1611</v>
      </c>
      <c r="V506" s="69" t="s">
        <v>272</v>
      </c>
      <c r="W506" s="89" t="s">
        <v>133</v>
      </c>
      <c r="X506" s="106" t="s">
        <v>296</v>
      </c>
      <c r="Y506" s="39" t="s">
        <v>12</v>
      </c>
      <c r="Z506" s="67">
        <f>IF(База_КР_КК[[#This Row],[Таб.номер резервиста]]="-","-",IF(OR(База_КР_КК[[#This Row],[Уровень КК]]=2,База_КР_КК[[#This Row],[Уровень КК]]=3),IF(COUNTIFS($U$2:$U506,$U506,$F$2:$F506,$F506)=1,1,0),IF(COUNTIFS($U$2:$U506,$U506,$L$2:$L506,$L506)=1,1,0)))</f>
        <v>1</v>
      </c>
      <c r="AA5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6" s="33"/>
      <c r="AC506" s="25"/>
      <c r="AD506" s="33" t="s">
        <v>15</v>
      </c>
      <c r="AE506" s="38" t="s">
        <v>412</v>
      </c>
    </row>
    <row r="507" spans="1:31" ht="18" customHeight="1" x14ac:dyDescent="0.25">
      <c r="A5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7" s="79">
        <v>4</v>
      </c>
      <c r="C507" s="23">
        <v>45012</v>
      </c>
      <c r="D507" s="67">
        <f>IF(COUNTIF($G$2:$G507,$G507)=1,1,0)</f>
        <v>0</v>
      </c>
      <c r="E507" s="67" t="str">
        <f>IFERROR(VLOOKUP(База_КР_КК[[#This Row],[ИД штатной должности (S)]],'уровень защищенности'!$B$7:$F$1095,5,0),"не защищена")</f>
        <v>средний</v>
      </c>
      <c r="F507" s="68">
        <v>500240</v>
      </c>
      <c r="G507" s="74" t="s">
        <v>2273</v>
      </c>
      <c r="H507" s="181">
        <f>INDEX('Списки данных'!$D$2:$D$1048576,MATCH(База_КР_КК[[#This Row],[Структурное подразделение]],'Списки данных'!$C$2:$C$1048576,0))</f>
        <v>2</v>
      </c>
      <c r="I507" s="80" t="s">
        <v>133</v>
      </c>
      <c r="J507" s="80" t="s">
        <v>197</v>
      </c>
      <c r="K507" s="80" t="s">
        <v>199</v>
      </c>
      <c r="L507" s="30" t="s">
        <v>192</v>
      </c>
      <c r="M507" s="68">
        <v>6</v>
      </c>
      <c r="N507" s="181" t="str">
        <f t="shared" si="8"/>
        <v>нет</v>
      </c>
      <c r="O507" s="23"/>
      <c r="P507" s="23"/>
      <c r="Q507" s="33"/>
      <c r="R507" s="37">
        <v>116</v>
      </c>
      <c r="S507" s="39" t="s">
        <v>528</v>
      </c>
      <c r="T507" s="37">
        <v>1207</v>
      </c>
      <c r="U507" s="38" t="s">
        <v>1612</v>
      </c>
      <c r="V507" s="69" t="s">
        <v>272</v>
      </c>
      <c r="W507" s="89" t="s">
        <v>133</v>
      </c>
      <c r="X507" s="106" t="s">
        <v>296</v>
      </c>
      <c r="Y507" s="39" t="s">
        <v>12</v>
      </c>
      <c r="Z507" s="67">
        <f>IF(База_КР_КК[[#This Row],[Таб.номер резервиста]]="-","-",IF(OR(База_КР_КК[[#This Row],[Уровень КК]]=2,База_КР_КК[[#This Row],[Уровень КК]]=3),IF(COUNTIFS($U$2:$U507,$U507,$F$2:$F507,$F507)=1,1,0),IF(COUNTIFS($U$2:$U507,$U507,$L$2:$L507,$L507)=1,1,0)))</f>
        <v>1</v>
      </c>
      <c r="AA5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7" s="33"/>
      <c r="AC507" s="25"/>
      <c r="AD507" s="33" t="s">
        <v>15</v>
      </c>
      <c r="AE507" s="38" t="s">
        <v>412</v>
      </c>
    </row>
    <row r="508" spans="1:31" ht="18" customHeight="1" x14ac:dyDescent="0.25">
      <c r="A5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8" s="79">
        <v>4</v>
      </c>
      <c r="C508" s="23">
        <v>43791</v>
      </c>
      <c r="D508" s="67">
        <f>IF(COUNTIF($G$2:$G508,$G508)=1,1,0)</f>
        <v>0</v>
      </c>
      <c r="E508" s="67" t="str">
        <f>IFERROR(VLOOKUP(База_КР_КК[[#This Row],[ИД штатной должности (S)]],'уровень защищенности'!$B$7:$F$1095,5,0),"не защищена")</f>
        <v>средний</v>
      </c>
      <c r="F508" s="68">
        <v>500240</v>
      </c>
      <c r="G508" s="74" t="s">
        <v>2273</v>
      </c>
      <c r="H508" s="181">
        <f>INDEX('Списки данных'!$D$2:$D$1048576,MATCH(База_КР_КК[[#This Row],[Структурное подразделение]],'Списки данных'!$C$2:$C$1048576,0))</f>
        <v>2</v>
      </c>
      <c r="I508" s="80" t="s">
        <v>133</v>
      </c>
      <c r="J508" s="80" t="s">
        <v>197</v>
      </c>
      <c r="K508" s="80" t="s">
        <v>199</v>
      </c>
      <c r="L508" s="30" t="s">
        <v>192</v>
      </c>
      <c r="M508" s="68">
        <v>6</v>
      </c>
      <c r="N508" s="181" t="str">
        <f t="shared" si="8"/>
        <v>нет</v>
      </c>
      <c r="O508" s="23"/>
      <c r="P508" s="23"/>
      <c r="Q508" s="106"/>
      <c r="R508" s="37">
        <v>116</v>
      </c>
      <c r="S508" s="39" t="s">
        <v>528</v>
      </c>
      <c r="T508" s="37">
        <v>92</v>
      </c>
      <c r="U508" s="39" t="s">
        <v>504</v>
      </c>
      <c r="V508" s="89" t="s">
        <v>192</v>
      </c>
      <c r="W508" s="89" t="s">
        <v>133</v>
      </c>
      <c r="X508" s="106" t="s">
        <v>295</v>
      </c>
      <c r="Y508" s="107" t="s">
        <v>14</v>
      </c>
      <c r="Z508" s="67">
        <f>IF(База_КР_КК[[#This Row],[Таб.номер резервиста]]="-","-",IF(OR(База_КР_КК[[#This Row],[Уровень КК]]=2,База_КР_КК[[#This Row],[Уровень КК]]=3),IF(COUNTIFS($U$2:$U508,$U508,$F$2:$F508,$F508)=1,1,0),IF(COUNTIFS($U$2:$U508,$U508,$L$2:$L508,$L508)=1,1,0)))</f>
        <v>1</v>
      </c>
      <c r="AA5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8" s="106" t="s">
        <v>24</v>
      </c>
      <c r="AC508" s="51">
        <v>44866</v>
      </c>
      <c r="AD508" s="106" t="s">
        <v>17</v>
      </c>
      <c r="AE508" s="38" t="s">
        <v>318</v>
      </c>
    </row>
    <row r="509" spans="1:31" ht="18" customHeight="1" x14ac:dyDescent="0.25">
      <c r="A5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09" s="79">
        <v>4</v>
      </c>
      <c r="C509" s="23">
        <v>43791</v>
      </c>
      <c r="D509" s="67">
        <f>IF(COUNTIF($G$2:$G509,$G509)=1,1,0)</f>
        <v>0</v>
      </c>
      <c r="E509" s="67" t="str">
        <f>IFERROR(VLOOKUP(База_КР_КК[[#This Row],[ИД штатной должности (S)]],'уровень защищенности'!$B$7:$F$1095,5,0),"не защищена")</f>
        <v>средний</v>
      </c>
      <c r="F509" s="68">
        <v>500240</v>
      </c>
      <c r="G509" s="74" t="s">
        <v>2273</v>
      </c>
      <c r="H509" s="181">
        <f>INDEX('Списки данных'!$D$2:$D$1048576,MATCH(База_КР_КК[[#This Row],[Структурное подразделение]],'Списки данных'!$C$2:$C$1048576,0))</f>
        <v>2</v>
      </c>
      <c r="I509" s="80" t="s">
        <v>133</v>
      </c>
      <c r="J509" s="80" t="s">
        <v>197</v>
      </c>
      <c r="K509" s="80" t="s">
        <v>199</v>
      </c>
      <c r="L509" s="30" t="s">
        <v>192</v>
      </c>
      <c r="M509" s="68">
        <v>6</v>
      </c>
      <c r="N509" s="181" t="str">
        <f t="shared" si="8"/>
        <v>нет</v>
      </c>
      <c r="O509" s="23"/>
      <c r="P509" s="23"/>
      <c r="Q509" s="106"/>
      <c r="R509" s="37">
        <v>116</v>
      </c>
      <c r="S509" s="38" t="s">
        <v>528</v>
      </c>
      <c r="T509" s="37">
        <v>1208</v>
      </c>
      <c r="U509" s="39" t="s">
        <v>1613</v>
      </c>
      <c r="V509" s="89" t="s">
        <v>272</v>
      </c>
      <c r="W509" s="89" t="s">
        <v>133</v>
      </c>
      <c r="X509" s="106" t="s">
        <v>297</v>
      </c>
      <c r="Y509" s="107" t="s">
        <v>18</v>
      </c>
      <c r="Z509" s="67">
        <f>IF(База_КР_КК[[#This Row],[Таб.номер резервиста]]="-","-",IF(OR(База_КР_КК[[#This Row],[Уровень КК]]=2,База_КР_КК[[#This Row],[Уровень КК]]=3),IF(COUNTIFS($U$2:$U509,$U509,$F$2:$F509,$F509)=1,1,0),IF(COUNTIFS($U$2:$U509,$U509,$L$2:$L509,$L509)=1,1,0)))</f>
        <v>1</v>
      </c>
      <c r="AA5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09" s="106" t="s">
        <v>38</v>
      </c>
      <c r="AC509" s="51">
        <v>45245</v>
      </c>
      <c r="AD509" s="106" t="s">
        <v>31</v>
      </c>
      <c r="AE509" s="38" t="s">
        <v>411</v>
      </c>
    </row>
    <row r="510" spans="1:31" ht="18" customHeight="1" x14ac:dyDescent="0.25">
      <c r="A5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0" s="79">
        <v>4</v>
      </c>
      <c r="C510" s="23">
        <v>43791</v>
      </c>
      <c r="D510" s="67">
        <f>IF(COUNTIF($G$2:$G510,$G510)=1,1,0)</f>
        <v>0</v>
      </c>
      <c r="E510" s="67" t="str">
        <f>IFERROR(VLOOKUP(База_КР_КК[[#This Row],[ИД штатной должности (S)]],'уровень защищенности'!$B$7:$F$1095,5,0),"не защищена")</f>
        <v>средний</v>
      </c>
      <c r="F510" s="68">
        <v>500240</v>
      </c>
      <c r="G510" s="74" t="s">
        <v>2273</v>
      </c>
      <c r="H510" s="181">
        <f>INDEX('Списки данных'!$D$2:$D$1048576,MATCH(База_КР_КК[[#This Row],[Структурное подразделение]],'Списки данных'!$C$2:$C$1048576,0))</f>
        <v>2</v>
      </c>
      <c r="I510" s="80" t="s">
        <v>133</v>
      </c>
      <c r="J510" s="80" t="s">
        <v>197</v>
      </c>
      <c r="K510" s="80" t="s">
        <v>199</v>
      </c>
      <c r="L510" s="30" t="s">
        <v>192</v>
      </c>
      <c r="M510" s="68">
        <v>6</v>
      </c>
      <c r="N510" s="181" t="str">
        <f t="shared" si="8"/>
        <v>нет</v>
      </c>
      <c r="O510" s="23"/>
      <c r="P510" s="23"/>
      <c r="Q510" s="106"/>
      <c r="R510" s="37">
        <v>116</v>
      </c>
      <c r="S510" s="38" t="s">
        <v>528</v>
      </c>
      <c r="T510" s="37">
        <v>89</v>
      </c>
      <c r="U510" s="39" t="s">
        <v>501</v>
      </c>
      <c r="V510" s="89" t="s">
        <v>272</v>
      </c>
      <c r="W510" s="89" t="s">
        <v>133</v>
      </c>
      <c r="X510" s="106" t="s">
        <v>295</v>
      </c>
      <c r="Y510" s="107" t="s">
        <v>18</v>
      </c>
      <c r="Z510" s="67">
        <f>IF(База_КР_КК[[#This Row],[Таб.номер резервиста]]="-","-",IF(OR(База_КР_КК[[#This Row],[Уровень КК]]=2,База_КР_КК[[#This Row],[Уровень КК]]=3),IF(COUNTIFS($U$2:$U510,$U510,$F$2:$F510,$F510)=1,1,0),IF(COUNTIFS($U$2:$U510,$U510,$L$2:$L510,$L510)=1,1,0)))</f>
        <v>1</v>
      </c>
      <c r="AA5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0" s="106" t="s">
        <v>24</v>
      </c>
      <c r="AC510" s="51">
        <v>44495</v>
      </c>
      <c r="AD510" s="106" t="s">
        <v>17</v>
      </c>
      <c r="AE510" s="38" t="s">
        <v>318</v>
      </c>
    </row>
    <row r="511" spans="1:31" ht="18" customHeight="1" x14ac:dyDescent="0.25">
      <c r="A5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1" s="79">
        <v>4</v>
      </c>
      <c r="C511" s="23">
        <v>44495</v>
      </c>
      <c r="D511" s="67">
        <f>IF(COUNTIF($G$2:$G511,$G511)=1,1,0)</f>
        <v>0</v>
      </c>
      <c r="E511" s="67" t="str">
        <f>IFERROR(VLOOKUP(База_КР_КК[[#This Row],[ИД штатной должности (S)]],'уровень защищенности'!$B$7:$F$1095,5,0),"не защищена")</f>
        <v>средний</v>
      </c>
      <c r="F511" s="68">
        <v>500240</v>
      </c>
      <c r="G511" s="74" t="s">
        <v>2273</v>
      </c>
      <c r="H511" s="181">
        <f>INDEX('Списки данных'!$D$2:$D$1048576,MATCH(База_КР_КК[[#This Row],[Структурное подразделение]],'Списки данных'!$C$2:$C$1048576,0))</f>
        <v>2</v>
      </c>
      <c r="I511" s="80" t="s">
        <v>133</v>
      </c>
      <c r="J511" s="80" t="s">
        <v>197</v>
      </c>
      <c r="K511" s="80" t="s">
        <v>199</v>
      </c>
      <c r="L511" s="30" t="s">
        <v>192</v>
      </c>
      <c r="M511" s="68">
        <v>6</v>
      </c>
      <c r="N511" s="181" t="str">
        <f t="shared" si="8"/>
        <v>нет</v>
      </c>
      <c r="O511" s="23"/>
      <c r="P511" s="23"/>
      <c r="Q511" s="106"/>
      <c r="R511" s="37">
        <v>116</v>
      </c>
      <c r="S511" s="38" t="s">
        <v>528</v>
      </c>
      <c r="T511" s="37">
        <v>1209</v>
      </c>
      <c r="U511" s="39" t="s">
        <v>1614</v>
      </c>
      <c r="V511" s="89" t="s">
        <v>192</v>
      </c>
      <c r="W511" s="89" t="s">
        <v>133</v>
      </c>
      <c r="X511" s="106" t="s">
        <v>296</v>
      </c>
      <c r="Y511" s="107" t="s">
        <v>18</v>
      </c>
      <c r="Z511" s="67">
        <f>IF(База_КР_КК[[#This Row],[Таб.номер резервиста]]="-","-",IF(OR(База_КР_КК[[#This Row],[Уровень КК]]=2,База_КР_КК[[#This Row],[Уровень КК]]=3),IF(COUNTIFS($U$2:$U511,$U511,$F$2:$F511,$F511)=1,1,0),IF(COUNTIFS($U$2:$U511,$U511,$L$2:$L511,$L511)=1,1,0)))</f>
        <v>1</v>
      </c>
      <c r="AA5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1" s="106" t="s">
        <v>38</v>
      </c>
      <c r="AC511" s="51">
        <v>45245</v>
      </c>
      <c r="AD511" s="106" t="s">
        <v>31</v>
      </c>
      <c r="AE511" s="40" t="s">
        <v>411</v>
      </c>
    </row>
    <row r="512" spans="1:31" ht="18" customHeight="1" x14ac:dyDescent="0.25">
      <c r="A5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2" s="79">
        <v>4</v>
      </c>
      <c r="C512" s="23">
        <v>44495</v>
      </c>
      <c r="D512" s="67">
        <f>IF(COUNTIF($G$2:$G512,$G512)=1,1,0)</f>
        <v>0</v>
      </c>
      <c r="E512" s="67" t="str">
        <f>IFERROR(VLOOKUP(База_КР_КК[[#This Row],[ИД штатной должности (S)]],'уровень защищенности'!$B$7:$F$1095,5,0),"не защищена")</f>
        <v>средний</v>
      </c>
      <c r="F512" s="68">
        <v>500240</v>
      </c>
      <c r="G512" s="74" t="s">
        <v>2273</v>
      </c>
      <c r="H512" s="181">
        <f>INDEX('Списки данных'!$D$2:$D$1048576,MATCH(База_КР_КК[[#This Row],[Структурное подразделение]],'Списки данных'!$C$2:$C$1048576,0))</f>
        <v>2</v>
      </c>
      <c r="I512" s="80" t="s">
        <v>133</v>
      </c>
      <c r="J512" s="80" t="s">
        <v>197</v>
      </c>
      <c r="K512" s="80" t="s">
        <v>199</v>
      </c>
      <c r="L512" s="30" t="s">
        <v>192</v>
      </c>
      <c r="M512" s="68">
        <v>6</v>
      </c>
      <c r="N512" s="181" t="str">
        <f t="shared" si="8"/>
        <v>нет</v>
      </c>
      <c r="O512" s="23"/>
      <c r="P512" s="23"/>
      <c r="Q512" s="106"/>
      <c r="R512" s="37">
        <v>116</v>
      </c>
      <c r="S512" s="38" t="s">
        <v>528</v>
      </c>
      <c r="T512" s="37">
        <v>1210</v>
      </c>
      <c r="U512" s="39" t="s">
        <v>1615</v>
      </c>
      <c r="V512" s="89" t="s">
        <v>192</v>
      </c>
      <c r="W512" s="89" t="s">
        <v>133</v>
      </c>
      <c r="X512" s="106" t="s">
        <v>296</v>
      </c>
      <c r="Y512" s="107" t="s">
        <v>18</v>
      </c>
      <c r="Z512" s="67">
        <f>IF(База_КР_КК[[#This Row],[Таб.номер резервиста]]="-","-",IF(OR(База_КР_КК[[#This Row],[Уровень КК]]=2,База_КР_КК[[#This Row],[Уровень КК]]=3),IF(COUNTIFS($U$2:$U512,$U512,$F$2:$F512,$F512)=1,1,0),IF(COUNTIFS($U$2:$U512,$U512,$L$2:$L512,$L512)=1,1,0)))</f>
        <v>1</v>
      </c>
      <c r="AA5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2" s="106" t="s">
        <v>19</v>
      </c>
      <c r="AC512" s="51">
        <v>44701</v>
      </c>
      <c r="AD512" s="106" t="s">
        <v>15</v>
      </c>
      <c r="AE512" s="38" t="s">
        <v>319</v>
      </c>
    </row>
    <row r="513" spans="1:31" ht="18" customHeight="1" x14ac:dyDescent="0.25">
      <c r="A5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3" s="79">
        <v>4</v>
      </c>
      <c r="C513" s="23">
        <v>43791</v>
      </c>
      <c r="D513" s="67">
        <f>IF(COUNTIF($G$2:$G513,$G513)=1,1,0)</f>
        <v>1</v>
      </c>
      <c r="E513" s="67" t="str">
        <f>IFERROR(VLOOKUP(База_КР_КК[[#This Row],[ИД штатной должности (S)]],'уровень защищенности'!$B$7:$F$1095,5,0),"не защищена")</f>
        <v>высокий</v>
      </c>
      <c r="F513" s="68">
        <v>500241</v>
      </c>
      <c r="G513" s="74" t="s">
        <v>2274</v>
      </c>
      <c r="H513" s="181">
        <f>INDEX('Списки данных'!$D$2:$D$1048576,MATCH(База_КР_КК[[#This Row],[Структурное подразделение]],'Списки данных'!$C$2:$C$1048576,0))</f>
        <v>2</v>
      </c>
      <c r="I513" s="80" t="s">
        <v>133</v>
      </c>
      <c r="J513" s="80" t="s">
        <v>197</v>
      </c>
      <c r="K513" s="80" t="s">
        <v>199</v>
      </c>
      <c r="L513" s="30" t="s">
        <v>192</v>
      </c>
      <c r="M513" s="68">
        <v>6</v>
      </c>
      <c r="N513" s="181" t="str">
        <f t="shared" ref="N513:N576" si="9">IF(ISBLANK(O513),"нет","да")</f>
        <v>нет</v>
      </c>
      <c r="O513" s="23"/>
      <c r="P513" s="23"/>
      <c r="Q513" s="106"/>
      <c r="R513" s="37">
        <v>117</v>
      </c>
      <c r="S513" s="38" t="s">
        <v>529</v>
      </c>
      <c r="T513" s="37">
        <v>1218</v>
      </c>
      <c r="U513" s="39" t="s">
        <v>1623</v>
      </c>
      <c r="V513" s="89" t="s">
        <v>272</v>
      </c>
      <c r="W513" s="89" t="s">
        <v>133</v>
      </c>
      <c r="X513" s="106" t="s">
        <v>297</v>
      </c>
      <c r="Y513" s="107" t="s">
        <v>12</v>
      </c>
      <c r="Z513" s="67">
        <f>IF(База_КР_КК[[#This Row],[Таб.номер резервиста]]="-","-",IF(OR(База_КР_КК[[#This Row],[Уровень КК]]=2,База_КР_КК[[#This Row],[Уровень КК]]=3),IF(COUNTIFS($U$2:$U513,$U513,$F$2:$F513,$F513)=1,1,0),IF(COUNTIFS($U$2:$U513,$U513,$L$2:$L513,$L513)=1,1,0)))</f>
        <v>1</v>
      </c>
      <c r="AA5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3" s="106"/>
      <c r="AC513" s="51"/>
      <c r="AD513" s="106" t="s">
        <v>13</v>
      </c>
      <c r="AE513" s="38" t="s">
        <v>411</v>
      </c>
    </row>
    <row r="514" spans="1:31" ht="18" customHeight="1" x14ac:dyDescent="0.25">
      <c r="A5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4" s="79">
        <v>4</v>
      </c>
      <c r="C514" s="23">
        <v>44495</v>
      </c>
      <c r="D514" s="67">
        <f>IF(COUNTIF($G$2:$G514,$G514)=1,1,0)</f>
        <v>0</v>
      </c>
      <c r="E514" s="67" t="str">
        <f>IFERROR(VLOOKUP(База_КР_КК[[#This Row],[ИД штатной должности (S)]],'уровень защищенности'!$B$7:$F$1095,5,0),"не защищена")</f>
        <v>высокий</v>
      </c>
      <c r="F514" s="68">
        <v>500241</v>
      </c>
      <c r="G514" s="74" t="s">
        <v>2274</v>
      </c>
      <c r="H514" s="181">
        <f>INDEX('Списки данных'!$D$2:$D$1048576,MATCH(База_КР_КК[[#This Row],[Структурное подразделение]],'Списки данных'!$C$2:$C$1048576,0))</f>
        <v>2</v>
      </c>
      <c r="I514" s="80" t="s">
        <v>133</v>
      </c>
      <c r="J514" s="80" t="s">
        <v>197</v>
      </c>
      <c r="K514" s="80" t="s">
        <v>199</v>
      </c>
      <c r="L514" s="30" t="s">
        <v>192</v>
      </c>
      <c r="M514" s="68">
        <v>6</v>
      </c>
      <c r="N514" s="181" t="str">
        <f t="shared" si="9"/>
        <v>нет</v>
      </c>
      <c r="O514" s="23"/>
      <c r="P514" s="23"/>
      <c r="Q514" s="106"/>
      <c r="R514" s="37">
        <v>117</v>
      </c>
      <c r="S514" s="38" t="s">
        <v>529</v>
      </c>
      <c r="T514" s="37">
        <v>1219</v>
      </c>
      <c r="U514" s="39" t="s">
        <v>1624</v>
      </c>
      <c r="V514" s="89" t="s">
        <v>272</v>
      </c>
      <c r="W514" s="89" t="s">
        <v>133</v>
      </c>
      <c r="X514" s="106" t="s">
        <v>296</v>
      </c>
      <c r="Y514" s="107" t="s">
        <v>12</v>
      </c>
      <c r="Z514" s="67">
        <f>IF(База_КР_КК[[#This Row],[Таб.номер резервиста]]="-","-",IF(OR(База_КР_КК[[#This Row],[Уровень КК]]=2,База_КР_КК[[#This Row],[Уровень КК]]=3),IF(COUNTIFS($U$2:$U514,$U514,$F$2:$F514,$F514)=1,1,0),IF(COUNTIFS($U$2:$U514,$U514,$L$2:$L514,$L514)=1,1,0)))</f>
        <v>1</v>
      </c>
      <c r="AA5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4" s="106"/>
      <c r="AC514" s="51"/>
      <c r="AD514" s="106" t="s">
        <v>13</v>
      </c>
      <c r="AE514" s="40" t="s">
        <v>411</v>
      </c>
    </row>
    <row r="515" spans="1:31" ht="18" customHeight="1" x14ac:dyDescent="0.25">
      <c r="A5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5" s="79">
        <v>4</v>
      </c>
      <c r="C515" s="23">
        <v>44495</v>
      </c>
      <c r="D515" s="67">
        <f>IF(COUNTIF($G$2:$G515,$G515)=1,1,0)</f>
        <v>0</v>
      </c>
      <c r="E515" s="67" t="str">
        <f>IFERROR(VLOOKUP(База_КР_КК[[#This Row],[ИД штатной должности (S)]],'уровень защищенности'!$B$7:$F$1095,5,0),"не защищена")</f>
        <v>высокий</v>
      </c>
      <c r="F515" s="68">
        <v>500241</v>
      </c>
      <c r="G515" s="74" t="s">
        <v>2274</v>
      </c>
      <c r="H515" s="181">
        <f>INDEX('Списки данных'!$D$2:$D$1048576,MATCH(База_КР_КК[[#This Row],[Структурное подразделение]],'Списки данных'!$C$2:$C$1048576,0))</f>
        <v>2</v>
      </c>
      <c r="I515" s="80" t="s">
        <v>133</v>
      </c>
      <c r="J515" s="80" t="s">
        <v>197</v>
      </c>
      <c r="K515" s="80" t="s">
        <v>199</v>
      </c>
      <c r="L515" s="30" t="s">
        <v>192</v>
      </c>
      <c r="M515" s="68">
        <v>6</v>
      </c>
      <c r="N515" s="181" t="str">
        <f t="shared" si="9"/>
        <v>нет</v>
      </c>
      <c r="O515" s="23"/>
      <c r="P515" s="23"/>
      <c r="Q515" s="106"/>
      <c r="R515" s="37">
        <v>117</v>
      </c>
      <c r="S515" s="38" t="s">
        <v>529</v>
      </c>
      <c r="T515" s="37">
        <v>1220</v>
      </c>
      <c r="U515" s="39" t="s">
        <v>1625</v>
      </c>
      <c r="V515" s="89" t="s">
        <v>272</v>
      </c>
      <c r="W515" s="89" t="s">
        <v>133</v>
      </c>
      <c r="X515" s="106" t="s">
        <v>297</v>
      </c>
      <c r="Y515" s="107" t="s">
        <v>12</v>
      </c>
      <c r="Z515" s="67">
        <f>IF(База_КР_КК[[#This Row],[Таб.номер резервиста]]="-","-",IF(OR(База_КР_КК[[#This Row],[Уровень КК]]=2,База_КР_КК[[#This Row],[Уровень КК]]=3),IF(COUNTIFS($U$2:$U515,$U515,$F$2:$F515,$F515)=1,1,0),IF(COUNTIFS($U$2:$U515,$U515,$L$2:$L515,$L515)=1,1,0)))</f>
        <v>1</v>
      </c>
      <c r="AA5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5" s="106"/>
      <c r="AC515" s="51"/>
      <c r="AD515" s="106" t="s">
        <v>17</v>
      </c>
      <c r="AE515" s="40" t="s">
        <v>411</v>
      </c>
    </row>
    <row r="516" spans="1:31" ht="18" customHeight="1" x14ac:dyDescent="0.25">
      <c r="A5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6" s="79">
        <v>4</v>
      </c>
      <c r="C516" s="23">
        <v>44125</v>
      </c>
      <c r="D516" s="67">
        <f>IF(COUNTIF($G$2:$G516,$G516)=1,1,0)</f>
        <v>0</v>
      </c>
      <c r="E516" s="67" t="str">
        <f>IFERROR(VLOOKUP(База_КР_КК[[#This Row],[ИД штатной должности (S)]],'уровень защищенности'!$B$7:$F$1095,5,0),"не защищена")</f>
        <v>высокий</v>
      </c>
      <c r="F516" s="68">
        <v>500241</v>
      </c>
      <c r="G516" s="74" t="s">
        <v>2274</v>
      </c>
      <c r="H516" s="181">
        <f>INDEX('Списки данных'!$D$2:$D$1048576,MATCH(База_КР_КК[[#This Row],[Структурное подразделение]],'Списки данных'!$C$2:$C$1048576,0))</f>
        <v>2</v>
      </c>
      <c r="I516" s="80" t="s">
        <v>133</v>
      </c>
      <c r="J516" s="80" t="s">
        <v>197</v>
      </c>
      <c r="K516" s="80" t="s">
        <v>199</v>
      </c>
      <c r="L516" s="30" t="s">
        <v>192</v>
      </c>
      <c r="M516" s="79">
        <v>6</v>
      </c>
      <c r="N516" s="181" t="str">
        <f t="shared" si="9"/>
        <v>нет</v>
      </c>
      <c r="O516" s="23"/>
      <c r="P516" s="23"/>
      <c r="Q516" s="106"/>
      <c r="R516" s="37">
        <v>117</v>
      </c>
      <c r="S516" s="39" t="s">
        <v>529</v>
      </c>
      <c r="T516" s="37">
        <v>1221</v>
      </c>
      <c r="U516" s="38" t="s">
        <v>1626</v>
      </c>
      <c r="V516" s="69" t="s">
        <v>272</v>
      </c>
      <c r="W516" s="89" t="s">
        <v>133</v>
      </c>
      <c r="X516" s="106" t="s">
        <v>295</v>
      </c>
      <c r="Y516" s="107" t="s">
        <v>12</v>
      </c>
      <c r="Z516" s="67">
        <f>IF(База_КР_КК[[#This Row],[Таб.номер резервиста]]="-","-",IF(OR(База_КР_КК[[#This Row],[Уровень КК]]=2,База_КР_КК[[#This Row],[Уровень КК]]=3),IF(COUNTIFS($U$2:$U516,$U516,$F$2:$F516,$F516)=1,1,0),IF(COUNTIFS($U$2:$U516,$U516,$L$2:$L516,$L516)=1,1,0)))</f>
        <v>1</v>
      </c>
      <c r="AA5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6" s="106"/>
      <c r="AC516" s="51"/>
      <c r="AD516" s="106" t="s">
        <v>17</v>
      </c>
      <c r="AE516" s="40" t="s">
        <v>411</v>
      </c>
    </row>
    <row r="517" spans="1:31" ht="18" customHeight="1" x14ac:dyDescent="0.25">
      <c r="A5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7" s="79">
        <v>4</v>
      </c>
      <c r="C517" s="23">
        <v>44125</v>
      </c>
      <c r="D517" s="67">
        <f>IF(COUNTIF($G$2:$G517,$G517)=1,1,0)</f>
        <v>0</v>
      </c>
      <c r="E517" s="67" t="str">
        <f>IFERROR(VLOOKUP(База_КР_КК[[#This Row],[ИД штатной должности (S)]],'уровень защищенности'!$B$7:$F$1095,5,0),"не защищена")</f>
        <v>высокий</v>
      </c>
      <c r="F517" s="68">
        <v>500241</v>
      </c>
      <c r="G517" s="74" t="s">
        <v>2274</v>
      </c>
      <c r="H517" s="181">
        <f>INDEX('Списки данных'!$D$2:$D$1048576,MATCH(База_КР_КК[[#This Row],[Структурное подразделение]],'Списки данных'!$C$2:$C$1048576,0))</f>
        <v>2</v>
      </c>
      <c r="I517" s="80" t="s">
        <v>133</v>
      </c>
      <c r="J517" s="80" t="s">
        <v>197</v>
      </c>
      <c r="K517" s="80" t="s">
        <v>199</v>
      </c>
      <c r="L517" s="30" t="s">
        <v>192</v>
      </c>
      <c r="M517" s="79">
        <v>6</v>
      </c>
      <c r="N517" s="181" t="str">
        <f t="shared" si="9"/>
        <v>нет</v>
      </c>
      <c r="O517" s="23"/>
      <c r="P517" s="23"/>
      <c r="Q517" s="106"/>
      <c r="R517" s="37">
        <v>117</v>
      </c>
      <c r="S517" s="39" t="s">
        <v>529</v>
      </c>
      <c r="T517" s="37">
        <v>1222</v>
      </c>
      <c r="U517" s="38" t="s">
        <v>1627</v>
      </c>
      <c r="V517" s="69" t="s">
        <v>272</v>
      </c>
      <c r="W517" s="89" t="s">
        <v>133</v>
      </c>
      <c r="X517" s="106" t="s">
        <v>295</v>
      </c>
      <c r="Y517" s="107" t="s">
        <v>12</v>
      </c>
      <c r="Z517" s="67">
        <f>IF(База_КР_КК[[#This Row],[Таб.номер резервиста]]="-","-",IF(OR(База_КР_КК[[#This Row],[Уровень КК]]=2,База_КР_КК[[#This Row],[Уровень КК]]=3),IF(COUNTIFS($U$2:$U517,$U517,$F$2:$F517,$F517)=1,1,0),IF(COUNTIFS($U$2:$U517,$U517,$L$2:$L517,$L517)=1,1,0)))</f>
        <v>1</v>
      </c>
      <c r="AA5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7" s="106"/>
      <c r="AC517" s="51"/>
      <c r="AD517" s="106" t="s">
        <v>17</v>
      </c>
      <c r="AE517" s="40" t="s">
        <v>411</v>
      </c>
    </row>
    <row r="518" spans="1:31" ht="18" customHeight="1" x14ac:dyDescent="0.25">
      <c r="A5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8" s="79">
        <v>4</v>
      </c>
      <c r="C518" s="23">
        <v>45012</v>
      </c>
      <c r="D518" s="67">
        <f>IF(COUNTIF($G$2:$G518,$G518)=1,1,0)</f>
        <v>0</v>
      </c>
      <c r="E518" s="67" t="str">
        <f>IFERROR(VLOOKUP(База_КР_КК[[#This Row],[ИД штатной должности (S)]],'уровень защищенности'!$B$7:$F$1095,5,0),"не защищена")</f>
        <v>высокий</v>
      </c>
      <c r="F518" s="68">
        <v>500241</v>
      </c>
      <c r="G518" s="74" t="s">
        <v>2274</v>
      </c>
      <c r="H518" s="181">
        <f>INDEX('Списки данных'!$D$2:$D$1048576,MATCH(База_КР_КК[[#This Row],[Структурное подразделение]],'Списки данных'!$C$2:$C$1048576,0))</f>
        <v>2</v>
      </c>
      <c r="I518" s="80" t="s">
        <v>133</v>
      </c>
      <c r="J518" s="80" t="s">
        <v>197</v>
      </c>
      <c r="K518" s="80" t="s">
        <v>199</v>
      </c>
      <c r="L518" s="30" t="s">
        <v>192</v>
      </c>
      <c r="M518" s="68">
        <v>6</v>
      </c>
      <c r="N518" s="181" t="str">
        <f t="shared" si="9"/>
        <v>нет</v>
      </c>
      <c r="O518" s="23"/>
      <c r="P518" s="23"/>
      <c r="Q518" s="33"/>
      <c r="R518" s="37">
        <v>117</v>
      </c>
      <c r="S518" s="39" t="s">
        <v>529</v>
      </c>
      <c r="T518" s="37">
        <v>1206</v>
      </c>
      <c r="U518" s="38" t="s">
        <v>1611</v>
      </c>
      <c r="V518" s="69" t="s">
        <v>272</v>
      </c>
      <c r="W518" s="89" t="s">
        <v>133</v>
      </c>
      <c r="X518" s="106" t="s">
        <v>296</v>
      </c>
      <c r="Y518" s="39" t="s">
        <v>12</v>
      </c>
      <c r="Z518" s="67">
        <f>IF(База_КР_КК[[#This Row],[Таб.номер резервиста]]="-","-",IF(OR(База_КР_КК[[#This Row],[Уровень КК]]=2,База_КР_КК[[#This Row],[Уровень КК]]=3),IF(COUNTIFS($U$2:$U518,$U518,$F$2:$F518,$F518)=1,1,0),IF(COUNTIFS($U$2:$U518,$U518,$L$2:$L518,$L518)=1,1,0)))</f>
        <v>0</v>
      </c>
      <c r="AA5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8" s="33"/>
      <c r="AC518" s="25"/>
      <c r="AD518" s="33" t="s">
        <v>15</v>
      </c>
      <c r="AE518" s="38" t="s">
        <v>412</v>
      </c>
    </row>
    <row r="519" spans="1:31" ht="18" customHeight="1" x14ac:dyDescent="0.25">
      <c r="A5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19" s="79">
        <v>4</v>
      </c>
      <c r="C519" s="23">
        <v>43791</v>
      </c>
      <c r="D519" s="67">
        <f>IF(COUNTIF($G$2:$G519,$G519)=1,1,0)</f>
        <v>1</v>
      </c>
      <c r="E519" s="67" t="str">
        <f>IFERROR(VLOOKUP(База_КР_КК[[#This Row],[ИД штатной должности (S)]],'уровень защищенности'!$B$7:$F$1095,5,0),"не защищена")</f>
        <v>средний</v>
      </c>
      <c r="F519" s="68">
        <v>500242</v>
      </c>
      <c r="G519" s="74" t="s">
        <v>2275</v>
      </c>
      <c r="H519" s="181">
        <f>INDEX('Списки данных'!$D$2:$D$1048576,MATCH(База_КР_КК[[#This Row],[Структурное подразделение]],'Списки данных'!$C$2:$C$1048576,0))</f>
        <v>2</v>
      </c>
      <c r="I519" s="80" t="s">
        <v>133</v>
      </c>
      <c r="J519" s="80" t="s">
        <v>197</v>
      </c>
      <c r="K519" s="80" t="s">
        <v>199</v>
      </c>
      <c r="L519" s="30" t="s">
        <v>191</v>
      </c>
      <c r="M519" s="68">
        <v>6</v>
      </c>
      <c r="N519" s="181" t="str">
        <f t="shared" si="9"/>
        <v>нет</v>
      </c>
      <c r="O519" s="23"/>
      <c r="P519" s="23"/>
      <c r="Q519" s="106"/>
      <c r="R519" s="37">
        <v>118</v>
      </c>
      <c r="S519" s="38" t="s">
        <v>530</v>
      </c>
      <c r="T519" s="37">
        <v>1200</v>
      </c>
      <c r="U519" s="39" t="s">
        <v>1606</v>
      </c>
      <c r="V519" s="89" t="s">
        <v>272</v>
      </c>
      <c r="W519" s="89" t="s">
        <v>133</v>
      </c>
      <c r="X519" s="106" t="s">
        <v>296</v>
      </c>
      <c r="Y519" s="107" t="s">
        <v>12</v>
      </c>
      <c r="Z519" s="67">
        <f>IF(База_КР_КК[[#This Row],[Таб.номер резервиста]]="-","-",IF(OR(База_КР_КК[[#This Row],[Уровень КК]]=2,База_КР_КК[[#This Row],[Уровень КК]]=3),IF(COUNTIFS($U$2:$U519,$U519,$F$2:$F519,$F519)=1,1,0),IF(COUNTIFS($U$2:$U519,$U519,$L$2:$L519,$L519)=1,1,0)))</f>
        <v>0</v>
      </c>
      <c r="AA5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19" s="106"/>
      <c r="AC519" s="51"/>
      <c r="AD519" s="106" t="s">
        <v>13</v>
      </c>
      <c r="AE519" s="38" t="s">
        <v>411</v>
      </c>
    </row>
    <row r="520" spans="1:31" ht="18" customHeight="1" x14ac:dyDescent="0.25">
      <c r="A5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0" s="79">
        <v>4</v>
      </c>
      <c r="C520" s="23">
        <v>44125</v>
      </c>
      <c r="D520" s="67">
        <f>IF(COUNTIF($G$2:$G520,$G520)=1,1,0)</f>
        <v>0</v>
      </c>
      <c r="E520" s="67" t="str">
        <f>IFERROR(VLOOKUP(База_КР_КК[[#This Row],[ИД штатной должности (S)]],'уровень защищенности'!$B$7:$F$1095,5,0),"не защищена")</f>
        <v>средний</v>
      </c>
      <c r="F520" s="68">
        <v>500242</v>
      </c>
      <c r="G520" s="74" t="s">
        <v>2275</v>
      </c>
      <c r="H520" s="181">
        <f>INDEX('Списки данных'!$D$2:$D$1048576,MATCH(База_КР_КК[[#This Row],[Структурное подразделение]],'Списки данных'!$C$2:$C$1048576,0))</f>
        <v>2</v>
      </c>
      <c r="I520" s="80" t="s">
        <v>133</v>
      </c>
      <c r="J520" s="80" t="s">
        <v>197</v>
      </c>
      <c r="K520" s="80" t="s">
        <v>199</v>
      </c>
      <c r="L520" s="30" t="s">
        <v>191</v>
      </c>
      <c r="M520" s="68">
        <v>6</v>
      </c>
      <c r="N520" s="181" t="str">
        <f t="shared" si="9"/>
        <v>нет</v>
      </c>
      <c r="O520" s="23"/>
      <c r="P520" s="23"/>
      <c r="Q520" s="106"/>
      <c r="R520" s="37">
        <v>118</v>
      </c>
      <c r="S520" s="39" t="s">
        <v>530</v>
      </c>
      <c r="T520" s="37">
        <v>1201</v>
      </c>
      <c r="U520" s="38" t="s">
        <v>1607</v>
      </c>
      <c r="V520" s="69" t="s">
        <v>272</v>
      </c>
      <c r="W520" s="89" t="s">
        <v>133</v>
      </c>
      <c r="X520" s="106" t="s">
        <v>297</v>
      </c>
      <c r="Y520" s="107" t="s">
        <v>12</v>
      </c>
      <c r="Z520" s="67">
        <f>IF(База_КР_КК[[#This Row],[Таб.номер резервиста]]="-","-",IF(OR(База_КР_КК[[#This Row],[Уровень КК]]=2,База_КР_КК[[#This Row],[Уровень КК]]=3),IF(COUNTIFS($U$2:$U520,$U520,$F$2:$F520,$F520)=1,1,0),IF(COUNTIFS($U$2:$U520,$U520,$L$2:$L520,$L520)=1,1,0)))</f>
        <v>0</v>
      </c>
      <c r="AA5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0" s="106"/>
      <c r="AC520" s="51"/>
      <c r="AD520" s="106" t="s">
        <v>17</v>
      </c>
      <c r="AE520" s="40" t="s">
        <v>411</v>
      </c>
    </row>
    <row r="521" spans="1:31" ht="18" customHeight="1" x14ac:dyDescent="0.25">
      <c r="A5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1" s="79">
        <v>4</v>
      </c>
      <c r="C521" s="23">
        <v>44125</v>
      </c>
      <c r="D521" s="67">
        <f>IF(COUNTIF($G$2:$G521,$G521)=1,1,0)</f>
        <v>0</v>
      </c>
      <c r="E521" s="67" t="str">
        <f>IFERROR(VLOOKUP(База_КР_КК[[#This Row],[ИД штатной должности (S)]],'уровень защищенности'!$B$7:$F$1095,5,0),"не защищена")</f>
        <v>средний</v>
      </c>
      <c r="F521" s="68">
        <v>500242</v>
      </c>
      <c r="G521" s="74" t="s">
        <v>2275</v>
      </c>
      <c r="H521" s="181">
        <f>INDEX('Списки данных'!$D$2:$D$1048576,MATCH(База_КР_КК[[#This Row],[Структурное подразделение]],'Списки данных'!$C$2:$C$1048576,0))</f>
        <v>2</v>
      </c>
      <c r="I521" s="80" t="s">
        <v>133</v>
      </c>
      <c r="J521" s="80" t="s">
        <v>197</v>
      </c>
      <c r="K521" s="80" t="s">
        <v>199</v>
      </c>
      <c r="L521" s="30" t="s">
        <v>191</v>
      </c>
      <c r="M521" s="68">
        <v>6</v>
      </c>
      <c r="N521" s="181" t="str">
        <f t="shared" si="9"/>
        <v>нет</v>
      </c>
      <c r="O521" s="23"/>
      <c r="P521" s="23"/>
      <c r="Q521" s="106"/>
      <c r="R521" s="37">
        <v>118</v>
      </c>
      <c r="S521" s="39" t="s">
        <v>530</v>
      </c>
      <c r="T521" s="37">
        <v>1202</v>
      </c>
      <c r="U521" s="38" t="s">
        <v>1591</v>
      </c>
      <c r="V521" s="69" t="s">
        <v>272</v>
      </c>
      <c r="W521" s="89" t="s">
        <v>133</v>
      </c>
      <c r="X521" s="106" t="s">
        <v>297</v>
      </c>
      <c r="Y521" s="107" t="s">
        <v>12</v>
      </c>
      <c r="Z521" s="67">
        <f>IF(База_КР_КК[[#This Row],[Таб.номер резервиста]]="-","-",IF(OR(База_КР_КК[[#This Row],[Уровень КК]]=2,База_КР_КК[[#This Row],[Уровень КК]]=3),IF(COUNTIFS($U$2:$U521,$U521,$F$2:$F521,$F521)=1,1,0),IF(COUNTIFS($U$2:$U521,$U521,$L$2:$L521,$L521)=1,1,0)))</f>
        <v>0</v>
      </c>
      <c r="AA5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1" s="106"/>
      <c r="AC521" s="51"/>
      <c r="AD521" s="106" t="s">
        <v>17</v>
      </c>
      <c r="AE521" s="40" t="s">
        <v>411</v>
      </c>
    </row>
    <row r="522" spans="1:31" ht="18" customHeight="1" x14ac:dyDescent="0.25">
      <c r="A5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2" s="79">
        <v>4</v>
      </c>
      <c r="C522" s="23">
        <v>44880</v>
      </c>
      <c r="D522" s="67">
        <f>IF(COUNTIF($G$2:$G522,$G522)=1,1,0)</f>
        <v>0</v>
      </c>
      <c r="E522" s="67" t="str">
        <f>IFERROR(VLOOKUP(База_КР_КК[[#This Row],[ИД штатной должности (S)]],'уровень защищенности'!$B$7:$F$1095,5,0),"не защищена")</f>
        <v>средний</v>
      </c>
      <c r="F522" s="68">
        <v>500242</v>
      </c>
      <c r="G522" s="74" t="s">
        <v>2275</v>
      </c>
      <c r="H522" s="181">
        <f>INDEX('Списки данных'!$D$2:$D$1048576,MATCH(База_КР_КК[[#This Row],[Структурное подразделение]],'Списки данных'!$C$2:$C$1048576,0))</f>
        <v>2</v>
      </c>
      <c r="I522" s="80" t="s">
        <v>133</v>
      </c>
      <c r="J522" s="80" t="s">
        <v>197</v>
      </c>
      <c r="K522" s="80" t="s">
        <v>199</v>
      </c>
      <c r="L522" s="30" t="s">
        <v>191</v>
      </c>
      <c r="M522" s="68">
        <v>6</v>
      </c>
      <c r="N522" s="181" t="str">
        <f t="shared" si="9"/>
        <v>нет</v>
      </c>
      <c r="O522" s="23"/>
      <c r="P522" s="23"/>
      <c r="Q522" s="106"/>
      <c r="R522" s="37">
        <v>118</v>
      </c>
      <c r="S522" s="39" t="s">
        <v>530</v>
      </c>
      <c r="T522" s="37">
        <v>119</v>
      </c>
      <c r="U522" s="38" t="s">
        <v>531</v>
      </c>
      <c r="V522" s="69" t="s">
        <v>272</v>
      </c>
      <c r="W522" s="89" t="s">
        <v>133</v>
      </c>
      <c r="X522" s="106" t="s">
        <v>297</v>
      </c>
      <c r="Y522" s="107" t="s">
        <v>14</v>
      </c>
      <c r="Z522" s="67">
        <f>IF(База_КР_КК[[#This Row],[Таб.номер резервиста]]="-","-",IF(OR(База_КР_КК[[#This Row],[Уровень КК]]=2,База_КР_КК[[#This Row],[Уровень КК]]=3),IF(COUNTIFS($U$2:$U522,$U522,$F$2:$F522,$F522)=1,1,0),IF(COUNTIFS($U$2:$U522,$U522,$L$2:$L522,$L522)=1,1,0)))</f>
        <v>0</v>
      </c>
      <c r="AA5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2" s="106" t="s">
        <v>24</v>
      </c>
      <c r="AC522" s="51">
        <v>45071</v>
      </c>
      <c r="AD522" s="106" t="s">
        <v>15</v>
      </c>
      <c r="AE522" s="40" t="s">
        <v>411</v>
      </c>
    </row>
    <row r="523" spans="1:31" ht="18" customHeight="1" x14ac:dyDescent="0.25">
      <c r="A5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3" s="79">
        <v>4</v>
      </c>
      <c r="C523" s="23">
        <v>44880</v>
      </c>
      <c r="D523" s="67">
        <f>IF(COUNTIF($G$2:$G523,$G523)=1,1,0)</f>
        <v>0</v>
      </c>
      <c r="E523" s="67" t="str">
        <f>IFERROR(VLOOKUP(База_КР_КК[[#This Row],[ИД штатной должности (S)]],'уровень защищенности'!$B$7:$F$1095,5,0),"не защищена")</f>
        <v>средний</v>
      </c>
      <c r="F523" s="68">
        <v>500242</v>
      </c>
      <c r="G523" s="74" t="s">
        <v>2275</v>
      </c>
      <c r="H523" s="181">
        <f>INDEX('Списки данных'!$D$2:$D$1048576,MATCH(База_КР_КК[[#This Row],[Структурное подразделение]],'Списки данных'!$C$2:$C$1048576,0))</f>
        <v>2</v>
      </c>
      <c r="I523" s="80" t="s">
        <v>133</v>
      </c>
      <c r="J523" s="80" t="s">
        <v>197</v>
      </c>
      <c r="K523" s="80" t="s">
        <v>199</v>
      </c>
      <c r="L523" s="30" t="s">
        <v>191</v>
      </c>
      <c r="M523" s="68">
        <v>6</v>
      </c>
      <c r="N523" s="181" t="str">
        <f t="shared" si="9"/>
        <v>нет</v>
      </c>
      <c r="O523" s="23"/>
      <c r="P523" s="23"/>
      <c r="Q523" s="106"/>
      <c r="R523" s="37">
        <v>118</v>
      </c>
      <c r="S523" s="39" t="s">
        <v>530</v>
      </c>
      <c r="T523" s="37">
        <v>1203</v>
      </c>
      <c r="U523" s="38" t="s">
        <v>1608</v>
      </c>
      <c r="V523" s="69" t="s">
        <v>272</v>
      </c>
      <c r="W523" s="89" t="s">
        <v>133</v>
      </c>
      <c r="X523" s="106" t="s">
        <v>296</v>
      </c>
      <c r="Y523" s="107" t="s">
        <v>12</v>
      </c>
      <c r="Z523" s="67">
        <f>IF(База_КР_КК[[#This Row],[Таб.номер резервиста]]="-","-",IF(OR(База_КР_КК[[#This Row],[Уровень КК]]=2,База_КР_КК[[#This Row],[Уровень КК]]=3),IF(COUNTIFS($U$2:$U523,$U523,$F$2:$F523,$F523)=1,1,0),IF(COUNTIFS($U$2:$U523,$U523,$L$2:$L523,$L523)=1,1,0)))</f>
        <v>0</v>
      </c>
      <c r="AA5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3" s="106"/>
      <c r="AC523" s="51"/>
      <c r="AD523" s="106" t="s">
        <v>15</v>
      </c>
      <c r="AE523" s="40" t="s">
        <v>411</v>
      </c>
    </row>
    <row r="524" spans="1:31" ht="18" customHeight="1" x14ac:dyDescent="0.25">
      <c r="A5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4" s="79">
        <v>4</v>
      </c>
      <c r="C524" s="23">
        <v>44880</v>
      </c>
      <c r="D524" s="67">
        <f>IF(COUNTIF($G$2:$G524,$G524)=1,1,0)</f>
        <v>0</v>
      </c>
      <c r="E524" s="67" t="str">
        <f>IFERROR(VLOOKUP(База_КР_КК[[#This Row],[ИД штатной должности (S)]],'уровень защищенности'!$B$7:$F$1095,5,0),"не защищена")</f>
        <v>средний</v>
      </c>
      <c r="F524" s="68">
        <v>500242</v>
      </c>
      <c r="G524" s="74" t="s">
        <v>2275</v>
      </c>
      <c r="H524" s="181">
        <f>INDEX('Списки данных'!$D$2:$D$1048576,MATCH(База_КР_КК[[#This Row],[Структурное подразделение]],'Списки данных'!$C$2:$C$1048576,0))</f>
        <v>2</v>
      </c>
      <c r="I524" s="80" t="s">
        <v>133</v>
      </c>
      <c r="J524" s="80" t="s">
        <v>197</v>
      </c>
      <c r="K524" s="80" t="s">
        <v>199</v>
      </c>
      <c r="L524" s="30" t="s">
        <v>191</v>
      </c>
      <c r="M524" s="68">
        <v>6</v>
      </c>
      <c r="N524" s="181" t="str">
        <f t="shared" si="9"/>
        <v>нет</v>
      </c>
      <c r="O524" s="23"/>
      <c r="P524" s="23"/>
      <c r="Q524" s="106"/>
      <c r="R524" s="37">
        <v>118</v>
      </c>
      <c r="S524" s="39" t="s">
        <v>530</v>
      </c>
      <c r="T524" s="37">
        <v>1204</v>
      </c>
      <c r="U524" s="38" t="s">
        <v>1609</v>
      </c>
      <c r="V524" s="69" t="s">
        <v>272</v>
      </c>
      <c r="W524" s="89" t="s">
        <v>133</v>
      </c>
      <c r="X524" s="106" t="s">
        <v>296</v>
      </c>
      <c r="Y524" s="107" t="s">
        <v>12</v>
      </c>
      <c r="Z524" s="67">
        <f>IF(База_КР_КК[[#This Row],[Таб.номер резервиста]]="-","-",IF(OR(База_КР_КК[[#This Row],[Уровень КК]]=2,База_КР_КК[[#This Row],[Уровень КК]]=3),IF(COUNTIFS($U$2:$U524,$U524,$F$2:$F524,$F524)=1,1,0),IF(COUNTIFS($U$2:$U524,$U524,$L$2:$L524,$L524)=1,1,0)))</f>
        <v>0</v>
      </c>
      <c r="AA5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4" s="106"/>
      <c r="AC524" s="51"/>
      <c r="AD524" s="106" t="s">
        <v>15</v>
      </c>
      <c r="AE524" s="40" t="s">
        <v>411</v>
      </c>
    </row>
    <row r="525" spans="1:31" ht="18" customHeight="1" x14ac:dyDescent="0.25">
      <c r="A5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5" s="79">
        <v>4</v>
      </c>
      <c r="C525" s="23">
        <v>44880</v>
      </c>
      <c r="D525" s="67">
        <f>IF(COUNTIF($G$2:$G525,$G525)=1,1,0)</f>
        <v>0</v>
      </c>
      <c r="E525" s="67" t="str">
        <f>IFERROR(VLOOKUP(База_КР_КК[[#This Row],[ИД штатной должности (S)]],'уровень защищенности'!$B$7:$F$1095,5,0),"не защищена")</f>
        <v>средний</v>
      </c>
      <c r="F525" s="68">
        <v>500242</v>
      </c>
      <c r="G525" s="74" t="s">
        <v>2275</v>
      </c>
      <c r="H525" s="181">
        <f>INDEX('Списки данных'!$D$2:$D$1048576,MATCH(База_КР_КК[[#This Row],[Структурное подразделение]],'Списки данных'!$C$2:$C$1048576,0))</f>
        <v>2</v>
      </c>
      <c r="I525" s="80" t="s">
        <v>133</v>
      </c>
      <c r="J525" s="80" t="s">
        <v>197</v>
      </c>
      <c r="K525" s="80" t="s">
        <v>199</v>
      </c>
      <c r="L525" s="30" t="s">
        <v>191</v>
      </c>
      <c r="M525" s="68">
        <v>6</v>
      </c>
      <c r="N525" s="181" t="str">
        <f t="shared" si="9"/>
        <v>нет</v>
      </c>
      <c r="O525" s="23"/>
      <c r="P525" s="23"/>
      <c r="Q525" s="106"/>
      <c r="R525" s="37">
        <v>118</v>
      </c>
      <c r="S525" s="39" t="s">
        <v>530</v>
      </c>
      <c r="T525" s="37">
        <v>1205</v>
      </c>
      <c r="U525" s="38" t="s">
        <v>1610</v>
      </c>
      <c r="V525" s="69" t="s">
        <v>272</v>
      </c>
      <c r="W525" s="89" t="s">
        <v>133</v>
      </c>
      <c r="X525" s="106" t="s">
        <v>296</v>
      </c>
      <c r="Y525" s="107" t="s">
        <v>12</v>
      </c>
      <c r="Z525" s="67">
        <f>IF(База_КР_КК[[#This Row],[Таб.номер резервиста]]="-","-",IF(OR(База_КР_КК[[#This Row],[Уровень КК]]=2,База_КР_КК[[#This Row],[Уровень КК]]=3),IF(COUNTIFS($U$2:$U525,$U525,$F$2:$F525,$F525)=1,1,0),IF(COUNTIFS($U$2:$U525,$U525,$L$2:$L525,$L525)=1,1,0)))</f>
        <v>0</v>
      </c>
      <c r="AA5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5" s="106"/>
      <c r="AC525" s="51"/>
      <c r="AD525" s="106" t="s">
        <v>15</v>
      </c>
      <c r="AE525" s="40" t="s">
        <v>411</v>
      </c>
    </row>
    <row r="526" spans="1:31" ht="18" customHeight="1" x14ac:dyDescent="0.25">
      <c r="A5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6" s="79">
        <v>4</v>
      </c>
      <c r="C526" s="23">
        <v>45012</v>
      </c>
      <c r="D526" s="67">
        <f>IF(COUNTIF($G$2:$G526,$G526)=1,1,0)</f>
        <v>0</v>
      </c>
      <c r="E526" s="67" t="str">
        <f>IFERROR(VLOOKUP(База_КР_КК[[#This Row],[ИД штатной должности (S)]],'уровень защищенности'!$B$7:$F$1095,5,0),"не защищена")</f>
        <v>средний</v>
      </c>
      <c r="F526" s="68">
        <v>500242</v>
      </c>
      <c r="G526" s="74" t="s">
        <v>2275</v>
      </c>
      <c r="H526" s="181">
        <f>INDEX('Списки данных'!$D$2:$D$1048576,MATCH(База_КР_КК[[#This Row],[Структурное подразделение]],'Списки данных'!$C$2:$C$1048576,0))</f>
        <v>2</v>
      </c>
      <c r="I526" s="80" t="s">
        <v>133</v>
      </c>
      <c r="J526" s="80" t="s">
        <v>197</v>
      </c>
      <c r="K526" s="80" t="s">
        <v>199</v>
      </c>
      <c r="L526" s="30" t="s">
        <v>191</v>
      </c>
      <c r="M526" s="68">
        <v>6</v>
      </c>
      <c r="N526" s="181" t="str">
        <f t="shared" si="9"/>
        <v>нет</v>
      </c>
      <c r="O526" s="23"/>
      <c r="P526" s="23"/>
      <c r="Q526" s="33"/>
      <c r="R526" s="37">
        <v>118</v>
      </c>
      <c r="S526" s="39" t="s">
        <v>530</v>
      </c>
      <c r="T526" s="37">
        <v>1206</v>
      </c>
      <c r="U526" s="38" t="s">
        <v>1611</v>
      </c>
      <c r="V526" s="69" t="s">
        <v>272</v>
      </c>
      <c r="W526" s="89" t="s">
        <v>133</v>
      </c>
      <c r="X526" s="106" t="s">
        <v>296</v>
      </c>
      <c r="Y526" s="39" t="s">
        <v>12</v>
      </c>
      <c r="Z526" s="67">
        <f>IF(База_КР_КК[[#This Row],[Таб.номер резервиста]]="-","-",IF(OR(База_КР_КК[[#This Row],[Уровень КК]]=2,База_КР_КК[[#This Row],[Уровень КК]]=3),IF(COUNTIFS($U$2:$U526,$U526,$F$2:$F526,$F526)=1,1,0),IF(COUNTIFS($U$2:$U526,$U526,$L$2:$L526,$L526)=1,1,0)))</f>
        <v>0</v>
      </c>
      <c r="AA5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6" s="33"/>
      <c r="AC526" s="25"/>
      <c r="AD526" s="33" t="s">
        <v>15</v>
      </c>
      <c r="AE526" s="38" t="s">
        <v>412</v>
      </c>
    </row>
    <row r="527" spans="1:31" ht="18" customHeight="1" x14ac:dyDescent="0.25">
      <c r="A5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7" s="79">
        <v>4</v>
      </c>
      <c r="C527" s="23">
        <v>45012</v>
      </c>
      <c r="D527" s="67">
        <f>IF(COUNTIF($G$2:$G527,$G527)=1,1,0)</f>
        <v>0</v>
      </c>
      <c r="E527" s="67" t="str">
        <f>IFERROR(VLOOKUP(База_КР_КК[[#This Row],[ИД штатной должности (S)]],'уровень защищенности'!$B$7:$F$1095,5,0),"не защищена")</f>
        <v>средний</v>
      </c>
      <c r="F527" s="68">
        <v>500242</v>
      </c>
      <c r="G527" s="74" t="s">
        <v>2275</v>
      </c>
      <c r="H527" s="181">
        <f>INDEX('Списки данных'!$D$2:$D$1048576,MATCH(База_КР_КК[[#This Row],[Структурное подразделение]],'Списки данных'!$C$2:$C$1048576,0))</f>
        <v>2</v>
      </c>
      <c r="I527" s="80" t="s">
        <v>133</v>
      </c>
      <c r="J527" s="80" t="s">
        <v>197</v>
      </c>
      <c r="K527" s="80" t="s">
        <v>199</v>
      </c>
      <c r="L527" s="30" t="s">
        <v>191</v>
      </c>
      <c r="M527" s="68">
        <v>6</v>
      </c>
      <c r="N527" s="181" t="str">
        <f t="shared" si="9"/>
        <v>нет</v>
      </c>
      <c r="O527" s="23"/>
      <c r="P527" s="23"/>
      <c r="Q527" s="33"/>
      <c r="R527" s="37">
        <v>118</v>
      </c>
      <c r="S527" s="39" t="s">
        <v>530</v>
      </c>
      <c r="T527" s="37">
        <v>1207</v>
      </c>
      <c r="U527" s="38" t="s">
        <v>1612</v>
      </c>
      <c r="V527" s="69" t="s">
        <v>272</v>
      </c>
      <c r="W527" s="89" t="s">
        <v>133</v>
      </c>
      <c r="X527" s="106" t="s">
        <v>296</v>
      </c>
      <c r="Y527" s="39" t="s">
        <v>12</v>
      </c>
      <c r="Z527" s="67">
        <f>IF(База_КР_КК[[#This Row],[Таб.номер резервиста]]="-","-",IF(OR(База_КР_КК[[#This Row],[Уровень КК]]=2,База_КР_КК[[#This Row],[Уровень КК]]=3),IF(COUNTIFS($U$2:$U527,$U527,$F$2:$F527,$F527)=1,1,0),IF(COUNTIFS($U$2:$U527,$U527,$L$2:$L527,$L527)=1,1,0)))</f>
        <v>0</v>
      </c>
      <c r="AA5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7" s="33"/>
      <c r="AC527" s="25"/>
      <c r="AD527" s="33" t="s">
        <v>15</v>
      </c>
      <c r="AE527" s="38" t="s">
        <v>412</v>
      </c>
    </row>
    <row r="528" spans="1:31" ht="18" customHeight="1" x14ac:dyDescent="0.25">
      <c r="A5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8" s="79">
        <v>4</v>
      </c>
      <c r="C528" s="23">
        <v>43791</v>
      </c>
      <c r="D528" s="67">
        <f>IF(COUNTIF($G$2:$G528,$G528)=1,1,0)</f>
        <v>0</v>
      </c>
      <c r="E528" s="67" t="str">
        <f>IFERROR(VLOOKUP(База_КР_КК[[#This Row],[ИД штатной должности (S)]],'уровень защищенности'!$B$7:$F$1095,5,0),"не защищена")</f>
        <v>средний</v>
      </c>
      <c r="F528" s="68">
        <v>500242</v>
      </c>
      <c r="G528" s="74" t="s">
        <v>2275</v>
      </c>
      <c r="H528" s="181">
        <f>INDEX('Списки данных'!$D$2:$D$1048576,MATCH(База_КР_КК[[#This Row],[Структурное подразделение]],'Списки данных'!$C$2:$C$1048576,0))</f>
        <v>2</v>
      </c>
      <c r="I528" s="80" t="s">
        <v>133</v>
      </c>
      <c r="J528" s="80" t="s">
        <v>197</v>
      </c>
      <c r="K528" s="80" t="s">
        <v>199</v>
      </c>
      <c r="L528" s="30" t="s">
        <v>191</v>
      </c>
      <c r="M528" s="68">
        <v>6</v>
      </c>
      <c r="N528" s="181" t="str">
        <f t="shared" si="9"/>
        <v>нет</v>
      </c>
      <c r="O528" s="23"/>
      <c r="P528" s="23"/>
      <c r="Q528" s="106"/>
      <c r="R528" s="37">
        <v>118</v>
      </c>
      <c r="S528" s="39" t="s">
        <v>530</v>
      </c>
      <c r="T528" s="37">
        <v>92</v>
      </c>
      <c r="U528" s="39" t="s">
        <v>504</v>
      </c>
      <c r="V528" s="89" t="s">
        <v>192</v>
      </c>
      <c r="W528" s="89" t="s">
        <v>133</v>
      </c>
      <c r="X528" s="106" t="s">
        <v>295</v>
      </c>
      <c r="Y528" s="107" t="s">
        <v>14</v>
      </c>
      <c r="Z528" s="67">
        <f>IF(База_КР_КК[[#This Row],[Таб.номер резервиста]]="-","-",IF(OR(База_КР_КК[[#This Row],[Уровень КК]]=2,База_КР_КК[[#This Row],[Уровень КК]]=3),IF(COUNTIFS($U$2:$U528,$U528,$F$2:$F528,$F528)=1,1,0),IF(COUNTIFS($U$2:$U528,$U528,$L$2:$L528,$L528)=1,1,0)))</f>
        <v>0</v>
      </c>
      <c r="AA5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8" s="106" t="s">
        <v>24</v>
      </c>
      <c r="AC528" s="51">
        <v>44866</v>
      </c>
      <c r="AD528" s="106" t="s">
        <v>17</v>
      </c>
      <c r="AE528" s="38" t="s">
        <v>318</v>
      </c>
    </row>
    <row r="529" spans="1:31" ht="18" customHeight="1" x14ac:dyDescent="0.25">
      <c r="A5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29" s="79">
        <v>4</v>
      </c>
      <c r="C529" s="23">
        <v>43791</v>
      </c>
      <c r="D529" s="67">
        <f>IF(COUNTIF($G$2:$G529,$G529)=1,1,0)</f>
        <v>0</v>
      </c>
      <c r="E529" s="67" t="str">
        <f>IFERROR(VLOOKUP(База_КР_КК[[#This Row],[ИД штатной должности (S)]],'уровень защищенности'!$B$7:$F$1095,5,0),"не защищена")</f>
        <v>средний</v>
      </c>
      <c r="F529" s="68">
        <v>500242</v>
      </c>
      <c r="G529" s="74" t="s">
        <v>2275</v>
      </c>
      <c r="H529" s="181">
        <f>INDEX('Списки данных'!$D$2:$D$1048576,MATCH(База_КР_КК[[#This Row],[Структурное подразделение]],'Списки данных'!$C$2:$C$1048576,0))</f>
        <v>2</v>
      </c>
      <c r="I529" s="80" t="s">
        <v>133</v>
      </c>
      <c r="J529" s="80" t="s">
        <v>197</v>
      </c>
      <c r="K529" s="80" t="s">
        <v>199</v>
      </c>
      <c r="L529" s="30" t="s">
        <v>191</v>
      </c>
      <c r="M529" s="68">
        <v>6</v>
      </c>
      <c r="N529" s="181" t="str">
        <f t="shared" si="9"/>
        <v>нет</v>
      </c>
      <c r="O529" s="23"/>
      <c r="P529" s="23"/>
      <c r="Q529" s="106"/>
      <c r="R529" s="37">
        <v>118</v>
      </c>
      <c r="S529" s="39" t="s">
        <v>530</v>
      </c>
      <c r="T529" s="37">
        <v>1208</v>
      </c>
      <c r="U529" s="39" t="s">
        <v>1613</v>
      </c>
      <c r="V529" s="89" t="s">
        <v>192</v>
      </c>
      <c r="W529" s="89" t="s">
        <v>133</v>
      </c>
      <c r="X529" s="106" t="s">
        <v>297</v>
      </c>
      <c r="Y529" s="107" t="s">
        <v>18</v>
      </c>
      <c r="Z529" s="67">
        <f>IF(База_КР_КК[[#This Row],[Таб.номер резервиста]]="-","-",IF(OR(База_КР_КК[[#This Row],[Уровень КК]]=2,База_КР_КК[[#This Row],[Уровень КК]]=3),IF(COUNTIFS($U$2:$U529,$U529,$F$2:$F529,$F529)=1,1,0),IF(COUNTIFS($U$2:$U529,$U529,$L$2:$L529,$L529)=1,1,0)))</f>
        <v>0</v>
      </c>
      <c r="AA5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29" s="106" t="s">
        <v>38</v>
      </c>
      <c r="AC529" s="51">
        <v>45245</v>
      </c>
      <c r="AD529" s="106" t="s">
        <v>31</v>
      </c>
      <c r="AE529" s="38" t="s">
        <v>411</v>
      </c>
    </row>
    <row r="530" spans="1:31" ht="18" customHeight="1" x14ac:dyDescent="0.25">
      <c r="A5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0" s="79">
        <v>4</v>
      </c>
      <c r="C530" s="23">
        <v>43791</v>
      </c>
      <c r="D530" s="67">
        <f>IF(COUNTIF($G$2:$G530,$G530)=1,1,0)</f>
        <v>0</v>
      </c>
      <c r="E530" s="67" t="str">
        <f>IFERROR(VLOOKUP(База_КР_КК[[#This Row],[ИД штатной должности (S)]],'уровень защищенности'!$B$7:$F$1095,5,0),"не защищена")</f>
        <v>средний</v>
      </c>
      <c r="F530" s="68">
        <v>500242</v>
      </c>
      <c r="G530" s="74" t="s">
        <v>2275</v>
      </c>
      <c r="H530" s="181">
        <f>INDEX('Списки данных'!$D$2:$D$1048576,MATCH(База_КР_КК[[#This Row],[Структурное подразделение]],'Списки данных'!$C$2:$C$1048576,0))</f>
        <v>2</v>
      </c>
      <c r="I530" s="80" t="s">
        <v>133</v>
      </c>
      <c r="J530" s="80" t="s">
        <v>197</v>
      </c>
      <c r="K530" s="80" t="s">
        <v>199</v>
      </c>
      <c r="L530" s="30" t="s">
        <v>191</v>
      </c>
      <c r="M530" s="68">
        <v>6</v>
      </c>
      <c r="N530" s="181" t="str">
        <f t="shared" si="9"/>
        <v>нет</v>
      </c>
      <c r="O530" s="23"/>
      <c r="P530" s="23"/>
      <c r="Q530" s="106"/>
      <c r="R530" s="37">
        <v>118</v>
      </c>
      <c r="S530" s="38" t="s">
        <v>530</v>
      </c>
      <c r="T530" s="37">
        <v>89</v>
      </c>
      <c r="U530" s="39" t="s">
        <v>501</v>
      </c>
      <c r="V530" s="89" t="s">
        <v>272</v>
      </c>
      <c r="W530" s="89" t="s">
        <v>133</v>
      </c>
      <c r="X530" s="106" t="s">
        <v>295</v>
      </c>
      <c r="Y530" s="107" t="s">
        <v>18</v>
      </c>
      <c r="Z530" s="67">
        <f>IF(База_КР_КК[[#This Row],[Таб.номер резервиста]]="-","-",IF(OR(База_КР_КК[[#This Row],[Уровень КК]]=2,База_КР_КК[[#This Row],[Уровень КК]]=3),IF(COUNTIFS($U$2:$U530,$U530,$F$2:$F530,$F530)=1,1,0),IF(COUNTIFS($U$2:$U530,$U530,$L$2:$L530,$L530)=1,1,0)))</f>
        <v>0</v>
      </c>
      <c r="AA5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0" s="106" t="s">
        <v>24</v>
      </c>
      <c r="AC530" s="51">
        <v>44495</v>
      </c>
      <c r="AD530" s="106" t="s">
        <v>17</v>
      </c>
      <c r="AE530" s="38" t="s">
        <v>318</v>
      </c>
    </row>
    <row r="531" spans="1:31" ht="18" customHeight="1" x14ac:dyDescent="0.25">
      <c r="A5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1" s="79">
        <v>4</v>
      </c>
      <c r="C531" s="23">
        <v>44495</v>
      </c>
      <c r="D531" s="67">
        <f>IF(COUNTIF($G$2:$G531,$G531)=1,1,0)</f>
        <v>0</v>
      </c>
      <c r="E531" s="67" t="str">
        <f>IFERROR(VLOOKUP(База_КР_КК[[#This Row],[ИД штатной должности (S)]],'уровень защищенности'!$B$7:$F$1095,5,0),"не защищена")</f>
        <v>средний</v>
      </c>
      <c r="F531" s="68">
        <v>500242</v>
      </c>
      <c r="G531" s="74" t="s">
        <v>2275</v>
      </c>
      <c r="H531" s="181">
        <f>INDEX('Списки данных'!$D$2:$D$1048576,MATCH(База_КР_КК[[#This Row],[Структурное подразделение]],'Списки данных'!$C$2:$C$1048576,0))</f>
        <v>2</v>
      </c>
      <c r="I531" s="80" t="s">
        <v>133</v>
      </c>
      <c r="J531" s="80" t="s">
        <v>197</v>
      </c>
      <c r="K531" s="80" t="s">
        <v>199</v>
      </c>
      <c r="L531" s="30" t="s">
        <v>191</v>
      </c>
      <c r="M531" s="68">
        <v>6</v>
      </c>
      <c r="N531" s="181" t="str">
        <f t="shared" si="9"/>
        <v>нет</v>
      </c>
      <c r="O531" s="23"/>
      <c r="P531" s="23"/>
      <c r="Q531" s="106"/>
      <c r="R531" s="37">
        <v>118</v>
      </c>
      <c r="S531" s="38" t="s">
        <v>530</v>
      </c>
      <c r="T531" s="37">
        <v>1209</v>
      </c>
      <c r="U531" s="39" t="s">
        <v>1614</v>
      </c>
      <c r="V531" s="89" t="s">
        <v>192</v>
      </c>
      <c r="W531" s="89" t="s">
        <v>133</v>
      </c>
      <c r="X531" s="106" t="s">
        <v>296</v>
      </c>
      <c r="Y531" s="107" t="s">
        <v>18</v>
      </c>
      <c r="Z531" s="67">
        <f>IF(База_КР_КК[[#This Row],[Таб.номер резервиста]]="-","-",IF(OR(База_КР_КК[[#This Row],[Уровень КК]]=2,База_КР_КК[[#This Row],[Уровень КК]]=3),IF(COUNTIFS($U$2:$U531,$U531,$F$2:$F531,$F531)=1,1,0),IF(COUNTIFS($U$2:$U531,$U531,$L$2:$L531,$L531)=1,1,0)))</f>
        <v>0</v>
      </c>
      <c r="AA5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1" s="106" t="s">
        <v>38</v>
      </c>
      <c r="AC531" s="51">
        <v>45245</v>
      </c>
      <c r="AD531" s="106" t="s">
        <v>31</v>
      </c>
      <c r="AE531" s="40" t="s">
        <v>411</v>
      </c>
    </row>
    <row r="532" spans="1:31" ht="18" customHeight="1" x14ac:dyDescent="0.25">
      <c r="A5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2" s="79">
        <v>4</v>
      </c>
      <c r="C532" s="23">
        <v>44495</v>
      </c>
      <c r="D532" s="67">
        <f>IF(COUNTIF($G$2:$G532,$G532)=1,1,0)</f>
        <v>0</v>
      </c>
      <c r="E532" s="67" t="str">
        <f>IFERROR(VLOOKUP(База_КР_КК[[#This Row],[ИД штатной должности (S)]],'уровень защищенности'!$B$7:$F$1095,5,0),"не защищена")</f>
        <v>средний</v>
      </c>
      <c r="F532" s="68">
        <v>500242</v>
      </c>
      <c r="G532" s="74" t="s">
        <v>2275</v>
      </c>
      <c r="H532" s="181">
        <f>INDEX('Списки данных'!$D$2:$D$1048576,MATCH(База_КР_КК[[#This Row],[Структурное подразделение]],'Списки данных'!$C$2:$C$1048576,0))</f>
        <v>2</v>
      </c>
      <c r="I532" s="80" t="s">
        <v>133</v>
      </c>
      <c r="J532" s="80" t="s">
        <v>197</v>
      </c>
      <c r="K532" s="80" t="s">
        <v>199</v>
      </c>
      <c r="L532" s="30" t="s">
        <v>191</v>
      </c>
      <c r="M532" s="68">
        <v>6</v>
      </c>
      <c r="N532" s="181" t="str">
        <f t="shared" si="9"/>
        <v>нет</v>
      </c>
      <c r="O532" s="23"/>
      <c r="P532" s="23"/>
      <c r="Q532" s="106"/>
      <c r="R532" s="37">
        <v>118</v>
      </c>
      <c r="S532" s="38" t="s">
        <v>530</v>
      </c>
      <c r="T532" s="37">
        <v>1210</v>
      </c>
      <c r="U532" s="39" t="s">
        <v>1615</v>
      </c>
      <c r="V532" s="89" t="s">
        <v>192</v>
      </c>
      <c r="W532" s="89" t="s">
        <v>133</v>
      </c>
      <c r="X532" s="106" t="s">
        <v>296</v>
      </c>
      <c r="Y532" s="107" t="s">
        <v>18</v>
      </c>
      <c r="Z532" s="67">
        <f>IF(База_КР_КК[[#This Row],[Таб.номер резервиста]]="-","-",IF(OR(База_КР_КК[[#This Row],[Уровень КК]]=2,База_КР_КК[[#This Row],[Уровень КК]]=3),IF(COUNTIFS($U$2:$U532,$U532,$F$2:$F532,$F532)=1,1,0),IF(COUNTIFS($U$2:$U532,$U532,$L$2:$L532,$L532)=1,1,0)))</f>
        <v>0</v>
      </c>
      <c r="AA5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2" s="106" t="s">
        <v>19</v>
      </c>
      <c r="AC532" s="51">
        <v>44701</v>
      </c>
      <c r="AD532" s="106" t="s">
        <v>15</v>
      </c>
      <c r="AE532" s="38" t="s">
        <v>319</v>
      </c>
    </row>
    <row r="533" spans="1:31" ht="18" customHeight="1" x14ac:dyDescent="0.25">
      <c r="A5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3" s="79">
        <v>4</v>
      </c>
      <c r="C533" s="23">
        <v>43791</v>
      </c>
      <c r="D533" s="67">
        <f>IF(COUNTIF($G$2:$G533,$G533)=1,1,0)</f>
        <v>1</v>
      </c>
      <c r="E533" s="67" t="str">
        <f>IFERROR(VLOOKUP(База_КР_КК[[#This Row],[ИД штатной должности (S)]],'уровень защищенности'!$B$7:$F$1095,5,0),"не защищена")</f>
        <v>средний</v>
      </c>
      <c r="F533" s="68">
        <v>500242</v>
      </c>
      <c r="G533" s="74" t="s">
        <v>2276</v>
      </c>
      <c r="H533" s="181">
        <f>INDEX('Списки данных'!$D$2:$D$1048576,MATCH(База_КР_КК[[#This Row],[Структурное подразделение]],'Списки данных'!$C$2:$C$1048576,0))</f>
        <v>2</v>
      </c>
      <c r="I533" s="80" t="s">
        <v>133</v>
      </c>
      <c r="J533" s="80" t="s">
        <v>197</v>
      </c>
      <c r="K533" s="80" t="s">
        <v>199</v>
      </c>
      <c r="L533" s="30" t="s">
        <v>191</v>
      </c>
      <c r="M533" s="68">
        <v>6</v>
      </c>
      <c r="N533" s="181" t="str">
        <f t="shared" si="9"/>
        <v>да</v>
      </c>
      <c r="O533" s="23">
        <v>45071</v>
      </c>
      <c r="P533" s="23">
        <v>45071</v>
      </c>
      <c r="Q533" s="106" t="s">
        <v>66</v>
      </c>
      <c r="R533" s="37">
        <v>119</v>
      </c>
      <c r="S533" s="38" t="s">
        <v>531</v>
      </c>
      <c r="T533" s="37">
        <v>1200</v>
      </c>
      <c r="U533" s="39" t="s">
        <v>1606</v>
      </c>
      <c r="V533" s="89" t="s">
        <v>272</v>
      </c>
      <c r="W533" s="89" t="s">
        <v>133</v>
      </c>
      <c r="X533" s="106" t="s">
        <v>296</v>
      </c>
      <c r="Y533" s="107" t="s">
        <v>12</v>
      </c>
      <c r="Z533" s="67">
        <f>IF(База_КР_КК[[#This Row],[Таб.номер резервиста]]="-","-",IF(OR(База_КР_КК[[#This Row],[Уровень КК]]=2,База_КР_КК[[#This Row],[Уровень КК]]=3),IF(COUNTIFS($U$2:$U533,$U533,$F$2:$F533,$F533)=1,1,0),IF(COUNTIFS($U$2:$U533,$U533,$L$2:$L533,$L533)=1,1,0)))</f>
        <v>0</v>
      </c>
      <c r="AA5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3" s="106"/>
      <c r="AC533" s="51"/>
      <c r="AD533" s="106" t="s">
        <v>13</v>
      </c>
      <c r="AE533" s="38" t="s">
        <v>411</v>
      </c>
    </row>
    <row r="534" spans="1:31" ht="18" customHeight="1" x14ac:dyDescent="0.25">
      <c r="A5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4" s="79">
        <v>4</v>
      </c>
      <c r="C534" s="23">
        <v>44125</v>
      </c>
      <c r="D534" s="67">
        <f>IF(COUNTIF($G$2:$G534,$G534)=1,1,0)</f>
        <v>0</v>
      </c>
      <c r="E534" s="67" t="str">
        <f>IFERROR(VLOOKUP(База_КР_КК[[#This Row],[ИД штатной должности (S)]],'уровень защищенности'!$B$7:$F$1095,5,0),"не защищена")</f>
        <v>средний</v>
      </c>
      <c r="F534" s="68">
        <v>500242</v>
      </c>
      <c r="G534" s="74" t="s">
        <v>2276</v>
      </c>
      <c r="H534" s="181">
        <f>INDEX('Списки данных'!$D$2:$D$1048576,MATCH(База_КР_КК[[#This Row],[Структурное подразделение]],'Списки данных'!$C$2:$C$1048576,0))</f>
        <v>2</v>
      </c>
      <c r="I534" s="80" t="s">
        <v>133</v>
      </c>
      <c r="J534" s="80" t="s">
        <v>197</v>
      </c>
      <c r="K534" s="80" t="s">
        <v>199</v>
      </c>
      <c r="L534" s="30" t="s">
        <v>191</v>
      </c>
      <c r="M534" s="68">
        <v>6</v>
      </c>
      <c r="N534" s="181" t="str">
        <f t="shared" si="9"/>
        <v>да</v>
      </c>
      <c r="O534" s="23">
        <v>45071</v>
      </c>
      <c r="P534" s="23">
        <v>45071</v>
      </c>
      <c r="Q534" s="106" t="s">
        <v>66</v>
      </c>
      <c r="R534" s="37">
        <v>119</v>
      </c>
      <c r="S534" s="38" t="s">
        <v>531</v>
      </c>
      <c r="T534" s="37">
        <v>1201</v>
      </c>
      <c r="U534" s="38" t="s">
        <v>1607</v>
      </c>
      <c r="V534" s="69" t="s">
        <v>272</v>
      </c>
      <c r="W534" s="89" t="s">
        <v>133</v>
      </c>
      <c r="X534" s="106" t="s">
        <v>297</v>
      </c>
      <c r="Y534" s="107" t="s">
        <v>12</v>
      </c>
      <c r="Z534" s="67">
        <f>IF(База_КР_КК[[#This Row],[Таб.номер резервиста]]="-","-",IF(OR(База_КР_КК[[#This Row],[Уровень КК]]=2,База_КР_КК[[#This Row],[Уровень КК]]=3),IF(COUNTIFS($U$2:$U534,$U534,$F$2:$F534,$F534)=1,1,0),IF(COUNTIFS($U$2:$U534,$U534,$L$2:$L534,$L534)=1,1,0)))</f>
        <v>0</v>
      </c>
      <c r="AA5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4" s="106"/>
      <c r="AC534" s="51"/>
      <c r="AD534" s="106" t="s">
        <v>17</v>
      </c>
      <c r="AE534" s="40" t="s">
        <v>411</v>
      </c>
    </row>
    <row r="535" spans="1:31" ht="18" customHeight="1" x14ac:dyDescent="0.25">
      <c r="A5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5" s="79">
        <v>4</v>
      </c>
      <c r="C535" s="23">
        <v>44125</v>
      </c>
      <c r="D535" s="67">
        <f>IF(COUNTIF($G$2:$G535,$G535)=1,1,0)</f>
        <v>0</v>
      </c>
      <c r="E535" s="67" t="str">
        <f>IFERROR(VLOOKUP(База_КР_КК[[#This Row],[ИД штатной должности (S)]],'уровень защищенности'!$B$7:$F$1095,5,0),"не защищена")</f>
        <v>средний</v>
      </c>
      <c r="F535" s="68">
        <v>500242</v>
      </c>
      <c r="G535" s="74" t="s">
        <v>2276</v>
      </c>
      <c r="H535" s="181">
        <f>INDEX('Списки данных'!$D$2:$D$1048576,MATCH(База_КР_КК[[#This Row],[Структурное подразделение]],'Списки данных'!$C$2:$C$1048576,0))</f>
        <v>2</v>
      </c>
      <c r="I535" s="80" t="s">
        <v>133</v>
      </c>
      <c r="J535" s="80" t="s">
        <v>197</v>
      </c>
      <c r="K535" s="80" t="s">
        <v>199</v>
      </c>
      <c r="L535" s="30" t="s">
        <v>191</v>
      </c>
      <c r="M535" s="68">
        <v>6</v>
      </c>
      <c r="N535" s="181" t="str">
        <f t="shared" si="9"/>
        <v>да</v>
      </c>
      <c r="O535" s="23">
        <v>45071</v>
      </c>
      <c r="P535" s="23">
        <v>45071</v>
      </c>
      <c r="Q535" s="106" t="s">
        <v>66</v>
      </c>
      <c r="R535" s="37">
        <v>119</v>
      </c>
      <c r="S535" s="38" t="s">
        <v>531</v>
      </c>
      <c r="T535" s="37">
        <v>1202</v>
      </c>
      <c r="U535" s="38" t="s">
        <v>1591</v>
      </c>
      <c r="V535" s="69" t="s">
        <v>272</v>
      </c>
      <c r="W535" s="89" t="s">
        <v>133</v>
      </c>
      <c r="X535" s="106" t="s">
        <v>297</v>
      </c>
      <c r="Y535" s="107" t="s">
        <v>12</v>
      </c>
      <c r="Z535" s="67">
        <f>IF(База_КР_КК[[#This Row],[Таб.номер резервиста]]="-","-",IF(OR(База_КР_КК[[#This Row],[Уровень КК]]=2,База_КР_КК[[#This Row],[Уровень КК]]=3),IF(COUNTIFS($U$2:$U535,$U535,$F$2:$F535,$F535)=1,1,0),IF(COUNTIFS($U$2:$U535,$U535,$L$2:$L535,$L535)=1,1,0)))</f>
        <v>0</v>
      </c>
      <c r="AA5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5" s="106"/>
      <c r="AC535" s="51"/>
      <c r="AD535" s="106" t="s">
        <v>17</v>
      </c>
      <c r="AE535" s="40" t="s">
        <v>411</v>
      </c>
    </row>
    <row r="536" spans="1:31" ht="18" customHeight="1" x14ac:dyDescent="0.25">
      <c r="A5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6" s="79">
        <v>4</v>
      </c>
      <c r="C536" s="23">
        <v>44880</v>
      </c>
      <c r="D536" s="67">
        <f>IF(COUNTIF($G$2:$G536,$G536)=1,1,0)</f>
        <v>0</v>
      </c>
      <c r="E536" s="67" t="str">
        <f>IFERROR(VLOOKUP(База_КР_КК[[#This Row],[ИД штатной должности (S)]],'уровень защищенности'!$B$7:$F$1095,5,0),"не защищена")</f>
        <v>средний</v>
      </c>
      <c r="F536" s="68">
        <v>500242</v>
      </c>
      <c r="G536" s="74" t="s">
        <v>2276</v>
      </c>
      <c r="H536" s="181">
        <f>INDEX('Списки данных'!$D$2:$D$1048576,MATCH(База_КР_КК[[#This Row],[Структурное подразделение]],'Списки данных'!$C$2:$C$1048576,0))</f>
        <v>2</v>
      </c>
      <c r="I536" s="80" t="s">
        <v>133</v>
      </c>
      <c r="J536" s="80" t="s">
        <v>197</v>
      </c>
      <c r="K536" s="80" t="s">
        <v>199</v>
      </c>
      <c r="L536" s="30" t="s">
        <v>191</v>
      </c>
      <c r="M536" s="68">
        <v>6</v>
      </c>
      <c r="N536" s="181" t="str">
        <f t="shared" si="9"/>
        <v>да</v>
      </c>
      <c r="O536" s="23">
        <v>45071</v>
      </c>
      <c r="P536" s="23">
        <v>45071</v>
      </c>
      <c r="Q536" s="106" t="s">
        <v>66</v>
      </c>
      <c r="R536" s="37">
        <v>119</v>
      </c>
      <c r="S536" s="38" t="s">
        <v>531</v>
      </c>
      <c r="T536" s="37">
        <v>119</v>
      </c>
      <c r="U536" s="38" t="s">
        <v>531</v>
      </c>
      <c r="V536" s="69" t="s">
        <v>272</v>
      </c>
      <c r="W536" s="89" t="s">
        <v>133</v>
      </c>
      <c r="X536" s="106" t="s">
        <v>297</v>
      </c>
      <c r="Y536" s="107" t="s">
        <v>14</v>
      </c>
      <c r="Z536" s="67">
        <f>IF(База_КР_КК[[#This Row],[Таб.номер резервиста]]="-","-",IF(OR(База_КР_КК[[#This Row],[Уровень КК]]=2,База_КР_КК[[#This Row],[Уровень КК]]=3),IF(COUNTIFS($U$2:$U536,$U536,$F$2:$F536,$F536)=1,1,0),IF(COUNTIFS($U$2:$U536,$U536,$L$2:$L536,$L536)=1,1,0)))</f>
        <v>0</v>
      </c>
      <c r="AA5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536" s="106" t="s">
        <v>24</v>
      </c>
      <c r="AC536" s="51">
        <v>45071</v>
      </c>
      <c r="AD536" s="106" t="s">
        <v>15</v>
      </c>
      <c r="AE536" s="40" t="s">
        <v>411</v>
      </c>
    </row>
    <row r="537" spans="1:31" ht="18" customHeight="1" x14ac:dyDescent="0.25">
      <c r="A5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7" s="79">
        <v>4</v>
      </c>
      <c r="C537" s="23">
        <v>44880</v>
      </c>
      <c r="D537" s="67">
        <f>IF(COUNTIF($G$2:$G537,$G537)=1,1,0)</f>
        <v>0</v>
      </c>
      <c r="E537" s="67" t="str">
        <f>IFERROR(VLOOKUP(База_КР_КК[[#This Row],[ИД штатной должности (S)]],'уровень защищенности'!$B$7:$F$1095,5,0),"не защищена")</f>
        <v>средний</v>
      </c>
      <c r="F537" s="68">
        <v>500242</v>
      </c>
      <c r="G537" s="74" t="s">
        <v>2276</v>
      </c>
      <c r="H537" s="181">
        <f>INDEX('Списки данных'!$D$2:$D$1048576,MATCH(База_КР_КК[[#This Row],[Структурное подразделение]],'Списки данных'!$C$2:$C$1048576,0))</f>
        <v>2</v>
      </c>
      <c r="I537" s="80" t="s">
        <v>133</v>
      </c>
      <c r="J537" s="80" t="s">
        <v>197</v>
      </c>
      <c r="K537" s="80" t="s">
        <v>199</v>
      </c>
      <c r="L537" s="30" t="s">
        <v>191</v>
      </c>
      <c r="M537" s="68">
        <v>6</v>
      </c>
      <c r="N537" s="181" t="str">
        <f t="shared" si="9"/>
        <v>да</v>
      </c>
      <c r="O537" s="23">
        <v>45071</v>
      </c>
      <c r="P537" s="23">
        <v>45071</v>
      </c>
      <c r="Q537" s="106" t="s">
        <v>66</v>
      </c>
      <c r="R537" s="37">
        <v>119</v>
      </c>
      <c r="S537" s="38" t="s">
        <v>531</v>
      </c>
      <c r="T537" s="37">
        <v>1203</v>
      </c>
      <c r="U537" s="38" t="s">
        <v>1608</v>
      </c>
      <c r="V537" s="69" t="s">
        <v>272</v>
      </c>
      <c r="W537" s="89" t="s">
        <v>133</v>
      </c>
      <c r="X537" s="106" t="s">
        <v>296</v>
      </c>
      <c r="Y537" s="107" t="s">
        <v>12</v>
      </c>
      <c r="Z537" s="67">
        <f>IF(База_КР_КК[[#This Row],[Таб.номер резервиста]]="-","-",IF(OR(База_КР_КК[[#This Row],[Уровень КК]]=2,База_КР_КК[[#This Row],[Уровень КК]]=3),IF(COUNTIFS($U$2:$U537,$U537,$F$2:$F537,$F537)=1,1,0),IF(COUNTIFS($U$2:$U537,$U537,$L$2:$L537,$L537)=1,1,0)))</f>
        <v>0</v>
      </c>
      <c r="AA5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7" s="106"/>
      <c r="AC537" s="51"/>
      <c r="AD537" s="106" t="s">
        <v>15</v>
      </c>
      <c r="AE537" s="40" t="s">
        <v>411</v>
      </c>
    </row>
    <row r="538" spans="1:31" ht="18" customHeight="1" x14ac:dyDescent="0.25">
      <c r="A5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8" s="79">
        <v>4</v>
      </c>
      <c r="C538" s="23">
        <v>44880</v>
      </c>
      <c r="D538" s="67">
        <f>IF(COUNTIF($G$2:$G538,$G538)=1,1,0)</f>
        <v>0</v>
      </c>
      <c r="E538" s="67" t="str">
        <f>IFERROR(VLOOKUP(База_КР_КК[[#This Row],[ИД штатной должности (S)]],'уровень защищенности'!$B$7:$F$1095,5,0),"не защищена")</f>
        <v>средний</v>
      </c>
      <c r="F538" s="68">
        <v>500242</v>
      </c>
      <c r="G538" s="74" t="s">
        <v>2276</v>
      </c>
      <c r="H538" s="181">
        <f>INDEX('Списки данных'!$D$2:$D$1048576,MATCH(База_КР_КК[[#This Row],[Структурное подразделение]],'Списки данных'!$C$2:$C$1048576,0))</f>
        <v>2</v>
      </c>
      <c r="I538" s="80" t="s">
        <v>133</v>
      </c>
      <c r="J538" s="80" t="s">
        <v>197</v>
      </c>
      <c r="K538" s="80" t="s">
        <v>199</v>
      </c>
      <c r="L538" s="30" t="s">
        <v>191</v>
      </c>
      <c r="M538" s="68">
        <v>6</v>
      </c>
      <c r="N538" s="181" t="str">
        <f t="shared" si="9"/>
        <v>да</v>
      </c>
      <c r="O538" s="23">
        <v>45071</v>
      </c>
      <c r="P538" s="23">
        <v>45071</v>
      </c>
      <c r="Q538" s="106" t="s">
        <v>66</v>
      </c>
      <c r="R538" s="37">
        <v>119</v>
      </c>
      <c r="S538" s="38" t="s">
        <v>531</v>
      </c>
      <c r="T538" s="37">
        <v>1204</v>
      </c>
      <c r="U538" s="38" t="s">
        <v>1609</v>
      </c>
      <c r="V538" s="69" t="s">
        <v>272</v>
      </c>
      <c r="W538" s="89" t="s">
        <v>133</v>
      </c>
      <c r="X538" s="106" t="s">
        <v>296</v>
      </c>
      <c r="Y538" s="107" t="s">
        <v>12</v>
      </c>
      <c r="Z538" s="67">
        <f>IF(База_КР_КК[[#This Row],[Таб.номер резервиста]]="-","-",IF(OR(База_КР_КК[[#This Row],[Уровень КК]]=2,База_КР_КК[[#This Row],[Уровень КК]]=3),IF(COUNTIFS($U$2:$U538,$U538,$F$2:$F538,$F538)=1,1,0),IF(COUNTIFS($U$2:$U538,$U538,$L$2:$L538,$L538)=1,1,0)))</f>
        <v>0</v>
      </c>
      <c r="AA5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8" s="106"/>
      <c r="AC538" s="51"/>
      <c r="AD538" s="106" t="s">
        <v>15</v>
      </c>
      <c r="AE538" s="40" t="s">
        <v>411</v>
      </c>
    </row>
    <row r="539" spans="1:31" ht="18" customHeight="1" x14ac:dyDescent="0.25">
      <c r="A5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39" s="79">
        <v>4</v>
      </c>
      <c r="C539" s="23">
        <v>44880</v>
      </c>
      <c r="D539" s="67">
        <f>IF(COUNTIF($G$2:$G539,$G539)=1,1,0)</f>
        <v>0</v>
      </c>
      <c r="E539" s="67" t="str">
        <f>IFERROR(VLOOKUP(База_КР_КК[[#This Row],[ИД штатной должности (S)]],'уровень защищенности'!$B$7:$F$1095,5,0),"не защищена")</f>
        <v>средний</v>
      </c>
      <c r="F539" s="68">
        <v>500242</v>
      </c>
      <c r="G539" s="74" t="s">
        <v>2276</v>
      </c>
      <c r="H539" s="181">
        <f>INDEX('Списки данных'!$D$2:$D$1048576,MATCH(База_КР_КК[[#This Row],[Структурное подразделение]],'Списки данных'!$C$2:$C$1048576,0))</f>
        <v>2</v>
      </c>
      <c r="I539" s="80" t="s">
        <v>133</v>
      </c>
      <c r="J539" s="80" t="s">
        <v>197</v>
      </c>
      <c r="K539" s="80" t="s">
        <v>199</v>
      </c>
      <c r="L539" s="30" t="s">
        <v>191</v>
      </c>
      <c r="M539" s="68">
        <v>6</v>
      </c>
      <c r="N539" s="181" t="str">
        <f t="shared" si="9"/>
        <v>да</v>
      </c>
      <c r="O539" s="23">
        <v>45071</v>
      </c>
      <c r="P539" s="23">
        <v>45071</v>
      </c>
      <c r="Q539" s="106" t="s">
        <v>66</v>
      </c>
      <c r="R539" s="37">
        <v>119</v>
      </c>
      <c r="S539" s="38" t="s">
        <v>531</v>
      </c>
      <c r="T539" s="37">
        <v>1205</v>
      </c>
      <c r="U539" s="38" t="s">
        <v>1610</v>
      </c>
      <c r="V539" s="69" t="s">
        <v>272</v>
      </c>
      <c r="W539" s="89" t="s">
        <v>133</v>
      </c>
      <c r="X539" s="106" t="s">
        <v>296</v>
      </c>
      <c r="Y539" s="107" t="s">
        <v>12</v>
      </c>
      <c r="Z539" s="67">
        <f>IF(База_КР_КК[[#This Row],[Таб.номер резервиста]]="-","-",IF(OR(База_КР_КК[[#This Row],[Уровень КК]]=2,База_КР_КК[[#This Row],[Уровень КК]]=3),IF(COUNTIFS($U$2:$U539,$U539,$F$2:$F539,$F539)=1,1,0),IF(COUNTIFS($U$2:$U539,$U539,$L$2:$L539,$L539)=1,1,0)))</f>
        <v>0</v>
      </c>
      <c r="AA5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39" s="106"/>
      <c r="AC539" s="51"/>
      <c r="AD539" s="106" t="s">
        <v>15</v>
      </c>
      <c r="AE539" s="40" t="s">
        <v>411</v>
      </c>
    </row>
    <row r="540" spans="1:31" ht="18" customHeight="1" x14ac:dyDescent="0.25">
      <c r="A5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0" s="79">
        <v>4</v>
      </c>
      <c r="C540" s="23">
        <v>45012</v>
      </c>
      <c r="D540" s="67">
        <f>IF(COUNTIF($G$2:$G540,$G540)=1,1,0)</f>
        <v>0</v>
      </c>
      <c r="E540" s="67" t="str">
        <f>IFERROR(VLOOKUP(База_КР_КК[[#This Row],[ИД штатной должности (S)]],'уровень защищенности'!$B$7:$F$1095,5,0),"не защищена")</f>
        <v>средний</v>
      </c>
      <c r="F540" s="68">
        <v>500242</v>
      </c>
      <c r="G540" s="74" t="s">
        <v>2276</v>
      </c>
      <c r="H540" s="181">
        <f>INDEX('Списки данных'!$D$2:$D$1048576,MATCH(База_КР_КК[[#This Row],[Структурное подразделение]],'Списки данных'!$C$2:$C$1048576,0))</f>
        <v>2</v>
      </c>
      <c r="I540" s="80" t="s">
        <v>133</v>
      </c>
      <c r="J540" s="80" t="s">
        <v>197</v>
      </c>
      <c r="K540" s="80" t="s">
        <v>199</v>
      </c>
      <c r="L540" s="30" t="s">
        <v>191</v>
      </c>
      <c r="M540" s="68">
        <v>6</v>
      </c>
      <c r="N540" s="181" t="str">
        <f t="shared" si="9"/>
        <v>да</v>
      </c>
      <c r="O540" s="23">
        <v>45071</v>
      </c>
      <c r="P540" s="23">
        <v>45071</v>
      </c>
      <c r="Q540" s="106" t="s">
        <v>66</v>
      </c>
      <c r="R540" s="37">
        <v>119</v>
      </c>
      <c r="S540" s="38" t="s">
        <v>531</v>
      </c>
      <c r="T540" s="37">
        <v>1206</v>
      </c>
      <c r="U540" s="38" t="s">
        <v>1611</v>
      </c>
      <c r="V540" s="69" t="s">
        <v>272</v>
      </c>
      <c r="W540" s="89" t="s">
        <v>133</v>
      </c>
      <c r="X540" s="106" t="s">
        <v>296</v>
      </c>
      <c r="Y540" s="39" t="s">
        <v>12</v>
      </c>
      <c r="Z540" s="67">
        <f>IF(База_КР_КК[[#This Row],[Таб.номер резервиста]]="-","-",IF(OR(База_КР_КК[[#This Row],[Уровень КК]]=2,База_КР_КК[[#This Row],[Уровень КК]]=3),IF(COUNTIFS($U$2:$U540,$U540,$F$2:$F540,$F540)=1,1,0),IF(COUNTIFS($U$2:$U540,$U540,$L$2:$L540,$L540)=1,1,0)))</f>
        <v>0</v>
      </c>
      <c r="AA5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0" s="33"/>
      <c r="AC540" s="25"/>
      <c r="AD540" s="33" t="s">
        <v>15</v>
      </c>
      <c r="AE540" s="38" t="s">
        <v>412</v>
      </c>
    </row>
    <row r="541" spans="1:31" ht="18" customHeight="1" x14ac:dyDescent="0.25">
      <c r="A5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1" s="79">
        <v>4</v>
      </c>
      <c r="C541" s="23">
        <v>45012</v>
      </c>
      <c r="D541" s="67">
        <f>IF(COUNTIF($G$2:$G541,$G541)=1,1,0)</f>
        <v>0</v>
      </c>
      <c r="E541" s="67" t="str">
        <f>IFERROR(VLOOKUP(База_КР_КК[[#This Row],[ИД штатной должности (S)]],'уровень защищенности'!$B$7:$F$1095,5,0),"не защищена")</f>
        <v>средний</v>
      </c>
      <c r="F541" s="68">
        <v>500242</v>
      </c>
      <c r="G541" s="74" t="s">
        <v>2276</v>
      </c>
      <c r="H541" s="181">
        <f>INDEX('Списки данных'!$D$2:$D$1048576,MATCH(База_КР_КК[[#This Row],[Структурное подразделение]],'Списки данных'!$C$2:$C$1048576,0))</f>
        <v>2</v>
      </c>
      <c r="I541" s="80" t="s">
        <v>133</v>
      </c>
      <c r="J541" s="80" t="s">
        <v>197</v>
      </c>
      <c r="K541" s="80" t="s">
        <v>199</v>
      </c>
      <c r="L541" s="30" t="s">
        <v>191</v>
      </c>
      <c r="M541" s="68">
        <v>6</v>
      </c>
      <c r="N541" s="181" t="str">
        <f t="shared" si="9"/>
        <v>да</v>
      </c>
      <c r="O541" s="23">
        <v>45071</v>
      </c>
      <c r="P541" s="23">
        <v>45071</v>
      </c>
      <c r="Q541" s="106" t="s">
        <v>66</v>
      </c>
      <c r="R541" s="37">
        <v>119</v>
      </c>
      <c r="S541" s="38" t="s">
        <v>531</v>
      </c>
      <c r="T541" s="37">
        <v>1207</v>
      </c>
      <c r="U541" s="38" t="s">
        <v>1612</v>
      </c>
      <c r="V541" s="69" t="s">
        <v>272</v>
      </c>
      <c r="W541" s="89" t="s">
        <v>133</v>
      </c>
      <c r="X541" s="106" t="s">
        <v>296</v>
      </c>
      <c r="Y541" s="39" t="s">
        <v>12</v>
      </c>
      <c r="Z541" s="67">
        <f>IF(База_КР_КК[[#This Row],[Таб.номер резервиста]]="-","-",IF(OR(База_КР_КК[[#This Row],[Уровень КК]]=2,База_КР_КК[[#This Row],[Уровень КК]]=3),IF(COUNTIFS($U$2:$U541,$U541,$F$2:$F541,$F541)=1,1,0),IF(COUNTIFS($U$2:$U541,$U541,$L$2:$L541,$L541)=1,1,0)))</f>
        <v>0</v>
      </c>
      <c r="AA5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1" s="33"/>
      <c r="AC541" s="25"/>
      <c r="AD541" s="33" t="s">
        <v>15</v>
      </c>
      <c r="AE541" s="38" t="s">
        <v>412</v>
      </c>
    </row>
    <row r="542" spans="1:31" ht="18" customHeight="1" x14ac:dyDescent="0.25">
      <c r="A5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2" s="79">
        <v>4</v>
      </c>
      <c r="C542" s="23">
        <v>43791</v>
      </c>
      <c r="D542" s="67">
        <f>IF(COUNTIF($G$2:$G542,$G542)=1,1,0)</f>
        <v>0</v>
      </c>
      <c r="E542" s="67" t="str">
        <f>IFERROR(VLOOKUP(База_КР_КК[[#This Row],[ИД штатной должности (S)]],'уровень защищенности'!$B$7:$F$1095,5,0),"не защищена")</f>
        <v>средний</v>
      </c>
      <c r="F542" s="68">
        <v>500242</v>
      </c>
      <c r="G542" s="74" t="s">
        <v>2276</v>
      </c>
      <c r="H542" s="181">
        <f>INDEX('Списки данных'!$D$2:$D$1048576,MATCH(База_КР_КК[[#This Row],[Структурное подразделение]],'Списки данных'!$C$2:$C$1048576,0))</f>
        <v>2</v>
      </c>
      <c r="I542" s="80" t="s">
        <v>133</v>
      </c>
      <c r="J542" s="80" t="s">
        <v>197</v>
      </c>
      <c r="K542" s="80" t="s">
        <v>199</v>
      </c>
      <c r="L542" s="30" t="s">
        <v>191</v>
      </c>
      <c r="M542" s="68">
        <v>6</v>
      </c>
      <c r="N542" s="181" t="str">
        <f t="shared" si="9"/>
        <v>да</v>
      </c>
      <c r="O542" s="23">
        <v>45071</v>
      </c>
      <c r="P542" s="23">
        <v>45071</v>
      </c>
      <c r="Q542" s="106" t="s">
        <v>66</v>
      </c>
      <c r="R542" s="37">
        <v>119</v>
      </c>
      <c r="S542" s="38" t="s">
        <v>531</v>
      </c>
      <c r="T542" s="37">
        <v>92</v>
      </c>
      <c r="U542" s="39" t="s">
        <v>504</v>
      </c>
      <c r="V542" s="89" t="s">
        <v>192</v>
      </c>
      <c r="W542" s="89" t="s">
        <v>133</v>
      </c>
      <c r="X542" s="106" t="s">
        <v>295</v>
      </c>
      <c r="Y542" s="107" t="s">
        <v>14</v>
      </c>
      <c r="Z542" s="67">
        <f>IF(База_КР_КК[[#This Row],[Таб.номер резервиста]]="-","-",IF(OR(База_КР_КК[[#This Row],[Уровень КК]]=2,База_КР_КК[[#This Row],[Уровень КК]]=3),IF(COUNTIFS($U$2:$U542,$U542,$F$2:$F542,$F542)=1,1,0),IF(COUNTIFS($U$2:$U542,$U542,$L$2:$L542,$L542)=1,1,0)))</f>
        <v>0</v>
      </c>
      <c r="AA5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2" s="106" t="s">
        <v>24</v>
      </c>
      <c r="AC542" s="51">
        <v>44866</v>
      </c>
      <c r="AD542" s="106" t="s">
        <v>17</v>
      </c>
      <c r="AE542" s="38" t="s">
        <v>318</v>
      </c>
    </row>
    <row r="543" spans="1:31" ht="18" customHeight="1" x14ac:dyDescent="0.25">
      <c r="A5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3" s="79">
        <v>4</v>
      </c>
      <c r="C543" s="23">
        <v>43791</v>
      </c>
      <c r="D543" s="67">
        <f>IF(COUNTIF($G$2:$G543,$G543)=1,1,0)</f>
        <v>0</v>
      </c>
      <c r="E543" s="67" t="str">
        <f>IFERROR(VLOOKUP(База_КР_КК[[#This Row],[ИД штатной должности (S)]],'уровень защищенности'!$B$7:$F$1095,5,0),"не защищена")</f>
        <v>средний</v>
      </c>
      <c r="F543" s="68">
        <v>500242</v>
      </c>
      <c r="G543" s="74" t="s">
        <v>2276</v>
      </c>
      <c r="H543" s="181">
        <f>INDEX('Списки данных'!$D$2:$D$1048576,MATCH(База_КР_КК[[#This Row],[Структурное подразделение]],'Списки данных'!$C$2:$C$1048576,0))</f>
        <v>2</v>
      </c>
      <c r="I543" s="80" t="s">
        <v>133</v>
      </c>
      <c r="J543" s="80" t="s">
        <v>197</v>
      </c>
      <c r="K543" s="80" t="s">
        <v>199</v>
      </c>
      <c r="L543" s="30" t="s">
        <v>191</v>
      </c>
      <c r="M543" s="68">
        <v>6</v>
      </c>
      <c r="N543" s="181" t="str">
        <f t="shared" si="9"/>
        <v>да</v>
      </c>
      <c r="O543" s="23">
        <v>45071</v>
      </c>
      <c r="P543" s="23">
        <v>45071</v>
      </c>
      <c r="Q543" s="106" t="s">
        <v>66</v>
      </c>
      <c r="R543" s="37">
        <v>119</v>
      </c>
      <c r="S543" s="38" t="s">
        <v>531</v>
      </c>
      <c r="T543" s="37">
        <v>111</v>
      </c>
      <c r="U543" s="39" t="s">
        <v>523</v>
      </c>
      <c r="V543" s="89" t="s">
        <v>192</v>
      </c>
      <c r="W543" s="89" t="s">
        <v>133</v>
      </c>
      <c r="X543" s="106" t="s">
        <v>295</v>
      </c>
      <c r="Y543" s="107" t="s">
        <v>14</v>
      </c>
      <c r="Z543" s="67">
        <f>IF(База_КР_КК[[#This Row],[Таб.номер резервиста]]="-","-",IF(OR(База_КР_КК[[#This Row],[Уровень КК]]=2,База_КР_КК[[#This Row],[Уровень КК]]=3),IF(COUNTIFS($U$2:$U543,$U543,$F$2:$F543,$F543)=1,1,0),IF(COUNTIFS($U$2:$U543,$U543,$L$2:$L543,$L543)=1,1,0)))</f>
        <v>1</v>
      </c>
      <c r="AA5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3" s="106" t="s">
        <v>24</v>
      </c>
      <c r="AC543" s="51">
        <v>43862</v>
      </c>
      <c r="AD543" s="106" t="s">
        <v>15</v>
      </c>
      <c r="AE543" s="38" t="s">
        <v>317</v>
      </c>
    </row>
    <row r="544" spans="1:31" ht="18" customHeight="1" x14ac:dyDescent="0.25">
      <c r="A5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4" s="79">
        <v>4</v>
      </c>
      <c r="C544" s="23">
        <v>43791</v>
      </c>
      <c r="D544" s="67">
        <f>IF(COUNTIF($G$2:$G544,$G544)=1,1,0)</f>
        <v>0</v>
      </c>
      <c r="E544" s="67" t="str">
        <f>IFERROR(VLOOKUP(База_КР_КК[[#This Row],[ИД штатной должности (S)]],'уровень защищенности'!$B$7:$F$1095,5,0),"не защищена")</f>
        <v>средний</v>
      </c>
      <c r="F544" s="68">
        <v>500242</v>
      </c>
      <c r="G544" s="74" t="s">
        <v>2276</v>
      </c>
      <c r="H544" s="181">
        <f>INDEX('Списки данных'!$D$2:$D$1048576,MATCH(База_КР_КК[[#This Row],[Структурное подразделение]],'Списки данных'!$C$2:$C$1048576,0))</f>
        <v>2</v>
      </c>
      <c r="I544" s="80" t="s">
        <v>133</v>
      </c>
      <c r="J544" s="80" t="s">
        <v>197</v>
      </c>
      <c r="K544" s="80" t="s">
        <v>199</v>
      </c>
      <c r="L544" s="30" t="s">
        <v>191</v>
      </c>
      <c r="M544" s="68">
        <v>6</v>
      </c>
      <c r="N544" s="181" t="str">
        <f t="shared" si="9"/>
        <v>да</v>
      </c>
      <c r="O544" s="23">
        <v>45071</v>
      </c>
      <c r="P544" s="23">
        <v>45071</v>
      </c>
      <c r="Q544" s="106" t="s">
        <v>66</v>
      </c>
      <c r="R544" s="37">
        <v>119</v>
      </c>
      <c r="S544" s="38" t="s">
        <v>531</v>
      </c>
      <c r="T544" s="37">
        <v>1208</v>
      </c>
      <c r="U544" s="39" t="s">
        <v>1613</v>
      </c>
      <c r="V544" s="89" t="s">
        <v>192</v>
      </c>
      <c r="W544" s="89" t="s">
        <v>133</v>
      </c>
      <c r="X544" s="106" t="s">
        <v>297</v>
      </c>
      <c r="Y544" s="107" t="s">
        <v>18</v>
      </c>
      <c r="Z544" s="67">
        <f>IF(База_КР_КК[[#This Row],[Таб.номер резервиста]]="-","-",IF(OR(База_КР_КК[[#This Row],[Уровень КК]]=2,База_КР_КК[[#This Row],[Уровень КК]]=3),IF(COUNTIFS($U$2:$U544,$U544,$F$2:$F544,$F544)=1,1,0),IF(COUNTIFS($U$2:$U544,$U544,$L$2:$L544,$L544)=1,1,0)))</f>
        <v>0</v>
      </c>
      <c r="AA5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4" s="106" t="s">
        <v>38</v>
      </c>
      <c r="AC544" s="51">
        <v>45245</v>
      </c>
      <c r="AD544" s="106" t="s">
        <v>31</v>
      </c>
      <c r="AE544" s="38" t="s">
        <v>411</v>
      </c>
    </row>
    <row r="545" spans="1:31" ht="18" customHeight="1" x14ac:dyDescent="0.25">
      <c r="A5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5" s="79">
        <v>4</v>
      </c>
      <c r="C545" s="23">
        <v>43791</v>
      </c>
      <c r="D545" s="67">
        <f>IF(COUNTIF($G$2:$G545,$G545)=1,1,0)</f>
        <v>0</v>
      </c>
      <c r="E545" s="67" t="str">
        <f>IFERROR(VLOOKUP(База_КР_КК[[#This Row],[ИД штатной должности (S)]],'уровень защищенности'!$B$7:$F$1095,5,0),"не защищена")</f>
        <v>средний</v>
      </c>
      <c r="F545" s="68">
        <v>500242</v>
      </c>
      <c r="G545" s="74" t="s">
        <v>2276</v>
      </c>
      <c r="H545" s="181">
        <f>INDEX('Списки данных'!$D$2:$D$1048576,MATCH(База_КР_КК[[#This Row],[Структурное подразделение]],'Списки данных'!$C$2:$C$1048576,0))</f>
        <v>2</v>
      </c>
      <c r="I545" s="80" t="s">
        <v>133</v>
      </c>
      <c r="J545" s="80" t="s">
        <v>197</v>
      </c>
      <c r="K545" s="80" t="s">
        <v>199</v>
      </c>
      <c r="L545" s="30" t="s">
        <v>191</v>
      </c>
      <c r="M545" s="68">
        <v>6</v>
      </c>
      <c r="N545" s="181" t="str">
        <f t="shared" si="9"/>
        <v>да</v>
      </c>
      <c r="O545" s="23">
        <v>45071</v>
      </c>
      <c r="P545" s="23">
        <v>45071</v>
      </c>
      <c r="Q545" s="106" t="s">
        <v>66</v>
      </c>
      <c r="R545" s="37">
        <v>119</v>
      </c>
      <c r="S545" s="38" t="s">
        <v>531</v>
      </c>
      <c r="T545" s="37">
        <v>89</v>
      </c>
      <c r="U545" s="39" t="s">
        <v>501</v>
      </c>
      <c r="V545" s="89" t="s">
        <v>272</v>
      </c>
      <c r="W545" s="89" t="s">
        <v>133</v>
      </c>
      <c r="X545" s="106" t="s">
        <v>295</v>
      </c>
      <c r="Y545" s="107" t="s">
        <v>18</v>
      </c>
      <c r="Z545" s="67">
        <f>IF(База_КР_КК[[#This Row],[Таб.номер резервиста]]="-","-",IF(OR(База_КР_КК[[#This Row],[Уровень КК]]=2,База_КР_КК[[#This Row],[Уровень КК]]=3),IF(COUNTIFS($U$2:$U545,$U545,$F$2:$F545,$F545)=1,1,0),IF(COUNTIFS($U$2:$U545,$U545,$L$2:$L545,$L545)=1,1,0)))</f>
        <v>0</v>
      </c>
      <c r="AA5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5" s="106" t="s">
        <v>24</v>
      </c>
      <c r="AC545" s="51">
        <v>44495</v>
      </c>
      <c r="AD545" s="106" t="s">
        <v>17</v>
      </c>
      <c r="AE545" s="38" t="s">
        <v>318</v>
      </c>
    </row>
    <row r="546" spans="1:31" ht="18" customHeight="1" x14ac:dyDescent="0.25">
      <c r="A5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6" s="79">
        <v>4</v>
      </c>
      <c r="C546" s="23">
        <v>44495</v>
      </c>
      <c r="D546" s="67">
        <f>IF(COUNTIF($G$2:$G546,$G546)=1,1,0)</f>
        <v>0</v>
      </c>
      <c r="E546" s="67" t="str">
        <f>IFERROR(VLOOKUP(База_КР_КК[[#This Row],[ИД штатной должности (S)]],'уровень защищенности'!$B$7:$F$1095,5,0),"не защищена")</f>
        <v>средний</v>
      </c>
      <c r="F546" s="68">
        <v>500242</v>
      </c>
      <c r="G546" s="74" t="s">
        <v>2276</v>
      </c>
      <c r="H546" s="181">
        <f>INDEX('Списки данных'!$D$2:$D$1048576,MATCH(База_КР_КК[[#This Row],[Структурное подразделение]],'Списки данных'!$C$2:$C$1048576,0))</f>
        <v>2</v>
      </c>
      <c r="I546" s="80" t="s">
        <v>133</v>
      </c>
      <c r="J546" s="80" t="s">
        <v>197</v>
      </c>
      <c r="K546" s="80" t="s">
        <v>199</v>
      </c>
      <c r="L546" s="30" t="s">
        <v>191</v>
      </c>
      <c r="M546" s="68">
        <v>6</v>
      </c>
      <c r="N546" s="181" t="str">
        <f t="shared" si="9"/>
        <v>да</v>
      </c>
      <c r="O546" s="23">
        <v>45071</v>
      </c>
      <c r="P546" s="23">
        <v>45071</v>
      </c>
      <c r="Q546" s="106" t="s">
        <v>66</v>
      </c>
      <c r="R546" s="37">
        <v>119</v>
      </c>
      <c r="S546" s="38" t="s">
        <v>531</v>
      </c>
      <c r="T546" s="37">
        <v>1209</v>
      </c>
      <c r="U546" s="39" t="s">
        <v>1614</v>
      </c>
      <c r="V546" s="89" t="s">
        <v>192</v>
      </c>
      <c r="W546" s="89" t="s">
        <v>133</v>
      </c>
      <c r="X546" s="106" t="s">
        <v>296</v>
      </c>
      <c r="Y546" s="107" t="s">
        <v>18</v>
      </c>
      <c r="Z546" s="67">
        <f>IF(База_КР_КК[[#This Row],[Таб.номер резервиста]]="-","-",IF(OR(База_КР_КК[[#This Row],[Уровень КК]]=2,База_КР_КК[[#This Row],[Уровень КК]]=3),IF(COUNTIFS($U$2:$U546,$U546,$F$2:$F546,$F546)=1,1,0),IF(COUNTIFS($U$2:$U546,$U546,$L$2:$L546,$L546)=1,1,0)))</f>
        <v>0</v>
      </c>
      <c r="AA5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6" s="106" t="s">
        <v>38</v>
      </c>
      <c r="AC546" s="51">
        <v>45245</v>
      </c>
      <c r="AD546" s="106" t="s">
        <v>31</v>
      </c>
      <c r="AE546" s="40" t="s">
        <v>411</v>
      </c>
    </row>
    <row r="547" spans="1:31" ht="18" customHeight="1" x14ac:dyDescent="0.25">
      <c r="A5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7" s="79">
        <v>4</v>
      </c>
      <c r="C547" s="23">
        <v>44495</v>
      </c>
      <c r="D547" s="67">
        <f>IF(COUNTIF($G$2:$G547,$G547)=1,1,0)</f>
        <v>0</v>
      </c>
      <c r="E547" s="67" t="str">
        <f>IFERROR(VLOOKUP(База_КР_КК[[#This Row],[ИД штатной должности (S)]],'уровень защищенности'!$B$7:$F$1095,5,0),"не защищена")</f>
        <v>средний</v>
      </c>
      <c r="F547" s="68">
        <v>500242</v>
      </c>
      <c r="G547" s="74" t="s">
        <v>2276</v>
      </c>
      <c r="H547" s="181">
        <f>INDEX('Списки данных'!$D$2:$D$1048576,MATCH(База_КР_КК[[#This Row],[Структурное подразделение]],'Списки данных'!$C$2:$C$1048576,0))</f>
        <v>2</v>
      </c>
      <c r="I547" s="80" t="s">
        <v>133</v>
      </c>
      <c r="J547" s="80" t="s">
        <v>197</v>
      </c>
      <c r="K547" s="80" t="s">
        <v>199</v>
      </c>
      <c r="L547" s="30" t="s">
        <v>191</v>
      </c>
      <c r="M547" s="68">
        <v>6</v>
      </c>
      <c r="N547" s="181" t="str">
        <f t="shared" si="9"/>
        <v>да</v>
      </c>
      <c r="O547" s="23">
        <v>45071</v>
      </c>
      <c r="P547" s="23">
        <v>45071</v>
      </c>
      <c r="Q547" s="106" t="s">
        <v>66</v>
      </c>
      <c r="R547" s="37">
        <v>119</v>
      </c>
      <c r="S547" s="38" t="s">
        <v>531</v>
      </c>
      <c r="T547" s="37">
        <v>1210</v>
      </c>
      <c r="U547" s="39" t="s">
        <v>1615</v>
      </c>
      <c r="V547" s="89" t="s">
        <v>192</v>
      </c>
      <c r="W547" s="89" t="s">
        <v>133</v>
      </c>
      <c r="X547" s="106" t="s">
        <v>296</v>
      </c>
      <c r="Y547" s="107" t="s">
        <v>18</v>
      </c>
      <c r="Z547" s="67">
        <f>IF(База_КР_КК[[#This Row],[Таб.номер резервиста]]="-","-",IF(OR(База_КР_КК[[#This Row],[Уровень КК]]=2,База_КР_КК[[#This Row],[Уровень КК]]=3),IF(COUNTIFS($U$2:$U547,$U547,$F$2:$F547,$F547)=1,1,0),IF(COUNTIFS($U$2:$U547,$U547,$L$2:$L547,$L547)=1,1,0)))</f>
        <v>0</v>
      </c>
      <c r="AA5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7" s="106" t="s">
        <v>19</v>
      </c>
      <c r="AC547" s="51">
        <v>44701</v>
      </c>
      <c r="AD547" s="106" t="s">
        <v>15</v>
      </c>
      <c r="AE547" s="38" t="s">
        <v>319</v>
      </c>
    </row>
    <row r="548" spans="1:31" ht="18" customHeight="1" x14ac:dyDescent="0.25">
      <c r="A5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8" s="79">
        <v>4</v>
      </c>
      <c r="C548" s="23">
        <v>43791</v>
      </c>
      <c r="D548" s="67">
        <f>IF(COUNTIF($G$2:$G548,$G548)=1,1,0)</f>
        <v>1</v>
      </c>
      <c r="E548" s="67" t="str">
        <f>IFERROR(VLOOKUP(База_КР_КК[[#This Row],[ИД штатной должности (S)]],'уровень защищенности'!$B$7:$F$1095,5,0),"не защищена")</f>
        <v>средний</v>
      </c>
      <c r="F548" s="68">
        <v>500242</v>
      </c>
      <c r="G548" s="74" t="s">
        <v>2277</v>
      </c>
      <c r="H548" s="181">
        <f>INDEX('Списки данных'!$D$2:$D$1048576,MATCH(База_КР_КК[[#This Row],[Структурное подразделение]],'Списки данных'!$C$2:$C$1048576,0))</f>
        <v>2</v>
      </c>
      <c r="I548" s="80" t="s">
        <v>133</v>
      </c>
      <c r="J548" s="80" t="s">
        <v>197</v>
      </c>
      <c r="K548" s="80" t="s">
        <v>199</v>
      </c>
      <c r="L548" s="30" t="s">
        <v>191</v>
      </c>
      <c r="M548" s="68">
        <v>6</v>
      </c>
      <c r="N548" s="181" t="str">
        <f t="shared" si="9"/>
        <v>нет</v>
      </c>
      <c r="O548" s="23"/>
      <c r="P548" s="23"/>
      <c r="Q548" s="106"/>
      <c r="R548" s="37">
        <v>120</v>
      </c>
      <c r="S548" s="39" t="s">
        <v>532</v>
      </c>
      <c r="T548" s="37">
        <v>1200</v>
      </c>
      <c r="U548" s="39" t="s">
        <v>1606</v>
      </c>
      <c r="V548" s="89" t="s">
        <v>272</v>
      </c>
      <c r="W548" s="89" t="s">
        <v>133</v>
      </c>
      <c r="X548" s="106" t="s">
        <v>296</v>
      </c>
      <c r="Y548" s="107" t="s">
        <v>12</v>
      </c>
      <c r="Z548" s="67">
        <f>IF(База_КР_КК[[#This Row],[Таб.номер резервиста]]="-","-",IF(OR(База_КР_КК[[#This Row],[Уровень КК]]=2,База_КР_КК[[#This Row],[Уровень КК]]=3),IF(COUNTIFS($U$2:$U548,$U548,$F$2:$F548,$F548)=1,1,0),IF(COUNTIFS($U$2:$U548,$U548,$L$2:$L548,$L548)=1,1,0)))</f>
        <v>0</v>
      </c>
      <c r="AA5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8" s="106"/>
      <c r="AC548" s="51"/>
      <c r="AD548" s="106" t="s">
        <v>13</v>
      </c>
      <c r="AE548" s="38" t="s">
        <v>411</v>
      </c>
    </row>
    <row r="549" spans="1:31" ht="18" customHeight="1" x14ac:dyDescent="0.25">
      <c r="A5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49" s="79">
        <v>4</v>
      </c>
      <c r="C549" s="23">
        <v>44125</v>
      </c>
      <c r="D549" s="67">
        <f>IF(COUNTIF($G$2:$G549,$G549)=1,1,0)</f>
        <v>0</v>
      </c>
      <c r="E549" s="67" t="str">
        <f>IFERROR(VLOOKUP(База_КР_КК[[#This Row],[ИД штатной должности (S)]],'уровень защищенности'!$B$7:$F$1095,5,0),"не защищена")</f>
        <v>средний</v>
      </c>
      <c r="F549" s="68">
        <v>500242</v>
      </c>
      <c r="G549" s="74" t="s">
        <v>2277</v>
      </c>
      <c r="H549" s="181">
        <f>INDEX('Списки данных'!$D$2:$D$1048576,MATCH(База_КР_КК[[#This Row],[Структурное подразделение]],'Списки данных'!$C$2:$C$1048576,0))</f>
        <v>2</v>
      </c>
      <c r="I549" s="80" t="s">
        <v>133</v>
      </c>
      <c r="J549" s="80" t="s">
        <v>197</v>
      </c>
      <c r="K549" s="80" t="s">
        <v>199</v>
      </c>
      <c r="L549" s="30" t="s">
        <v>191</v>
      </c>
      <c r="M549" s="68">
        <v>6</v>
      </c>
      <c r="N549" s="181" t="str">
        <f t="shared" si="9"/>
        <v>нет</v>
      </c>
      <c r="O549" s="23"/>
      <c r="P549" s="23"/>
      <c r="Q549" s="106"/>
      <c r="R549" s="37">
        <v>120</v>
      </c>
      <c r="S549" s="39" t="s">
        <v>532</v>
      </c>
      <c r="T549" s="37">
        <v>1201</v>
      </c>
      <c r="U549" s="38" t="s">
        <v>1607</v>
      </c>
      <c r="V549" s="69" t="s">
        <v>272</v>
      </c>
      <c r="W549" s="89" t="s">
        <v>133</v>
      </c>
      <c r="X549" s="106" t="s">
        <v>297</v>
      </c>
      <c r="Y549" s="107" t="s">
        <v>12</v>
      </c>
      <c r="Z549" s="67">
        <f>IF(База_КР_КК[[#This Row],[Таб.номер резервиста]]="-","-",IF(OR(База_КР_КК[[#This Row],[Уровень КК]]=2,База_КР_КК[[#This Row],[Уровень КК]]=3),IF(COUNTIFS($U$2:$U549,$U549,$F$2:$F549,$F549)=1,1,0),IF(COUNTIFS($U$2:$U549,$U549,$L$2:$L549,$L549)=1,1,0)))</f>
        <v>0</v>
      </c>
      <c r="AA5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49" s="106"/>
      <c r="AC549" s="51"/>
      <c r="AD549" s="106" t="s">
        <v>17</v>
      </c>
      <c r="AE549" s="40" t="s">
        <v>411</v>
      </c>
    </row>
    <row r="550" spans="1:31" ht="18" customHeight="1" x14ac:dyDescent="0.25">
      <c r="A5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0" s="79">
        <v>4</v>
      </c>
      <c r="C550" s="23">
        <v>44125</v>
      </c>
      <c r="D550" s="67">
        <f>IF(COUNTIF($G$2:$G550,$G550)=1,1,0)</f>
        <v>0</v>
      </c>
      <c r="E550" s="67" t="str">
        <f>IFERROR(VLOOKUP(База_КР_КК[[#This Row],[ИД штатной должности (S)]],'уровень защищенности'!$B$7:$F$1095,5,0),"не защищена")</f>
        <v>средний</v>
      </c>
      <c r="F550" s="68">
        <v>500242</v>
      </c>
      <c r="G550" s="74" t="s">
        <v>2277</v>
      </c>
      <c r="H550" s="181">
        <f>INDEX('Списки данных'!$D$2:$D$1048576,MATCH(База_КР_КК[[#This Row],[Структурное подразделение]],'Списки данных'!$C$2:$C$1048576,0))</f>
        <v>2</v>
      </c>
      <c r="I550" s="80" t="s">
        <v>133</v>
      </c>
      <c r="J550" s="80" t="s">
        <v>197</v>
      </c>
      <c r="K550" s="80" t="s">
        <v>199</v>
      </c>
      <c r="L550" s="30" t="s">
        <v>191</v>
      </c>
      <c r="M550" s="68">
        <v>6</v>
      </c>
      <c r="N550" s="181" t="str">
        <f t="shared" si="9"/>
        <v>нет</v>
      </c>
      <c r="O550" s="23"/>
      <c r="P550" s="23"/>
      <c r="Q550" s="106"/>
      <c r="R550" s="37">
        <v>120</v>
      </c>
      <c r="S550" s="39" t="s">
        <v>532</v>
      </c>
      <c r="T550" s="37">
        <v>1202</v>
      </c>
      <c r="U550" s="38" t="s">
        <v>1591</v>
      </c>
      <c r="V550" s="69" t="s">
        <v>272</v>
      </c>
      <c r="W550" s="89" t="s">
        <v>133</v>
      </c>
      <c r="X550" s="106" t="s">
        <v>297</v>
      </c>
      <c r="Y550" s="107" t="s">
        <v>12</v>
      </c>
      <c r="Z550" s="67">
        <f>IF(База_КР_КК[[#This Row],[Таб.номер резервиста]]="-","-",IF(OR(База_КР_КК[[#This Row],[Уровень КК]]=2,База_КР_КК[[#This Row],[Уровень КК]]=3),IF(COUNTIFS($U$2:$U550,$U550,$F$2:$F550,$F550)=1,1,0),IF(COUNTIFS($U$2:$U550,$U550,$L$2:$L550,$L550)=1,1,0)))</f>
        <v>0</v>
      </c>
      <c r="AA5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0" s="106"/>
      <c r="AC550" s="51"/>
      <c r="AD550" s="106" t="s">
        <v>17</v>
      </c>
      <c r="AE550" s="40" t="s">
        <v>411</v>
      </c>
    </row>
    <row r="551" spans="1:31" ht="18" customHeight="1" x14ac:dyDescent="0.25">
      <c r="A5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1" s="79">
        <v>4</v>
      </c>
      <c r="C551" s="23">
        <v>44880</v>
      </c>
      <c r="D551" s="67">
        <f>IF(COUNTIF($G$2:$G551,$G551)=1,1,0)</f>
        <v>0</v>
      </c>
      <c r="E551" s="67" t="str">
        <f>IFERROR(VLOOKUP(База_КР_КК[[#This Row],[ИД штатной должности (S)]],'уровень защищенности'!$B$7:$F$1095,5,0),"не защищена")</f>
        <v>средний</v>
      </c>
      <c r="F551" s="68">
        <v>500242</v>
      </c>
      <c r="G551" s="74" t="s">
        <v>2277</v>
      </c>
      <c r="H551" s="181">
        <f>INDEX('Списки данных'!$D$2:$D$1048576,MATCH(База_КР_КК[[#This Row],[Структурное подразделение]],'Списки данных'!$C$2:$C$1048576,0))</f>
        <v>2</v>
      </c>
      <c r="I551" s="80" t="s">
        <v>133</v>
      </c>
      <c r="J551" s="80" t="s">
        <v>197</v>
      </c>
      <c r="K551" s="80" t="s">
        <v>199</v>
      </c>
      <c r="L551" s="30" t="s">
        <v>191</v>
      </c>
      <c r="M551" s="68">
        <v>6</v>
      </c>
      <c r="N551" s="181" t="str">
        <f t="shared" si="9"/>
        <v>нет</v>
      </c>
      <c r="O551" s="23"/>
      <c r="P551" s="23"/>
      <c r="Q551" s="106"/>
      <c r="R551" s="37">
        <v>120</v>
      </c>
      <c r="S551" s="39" t="s">
        <v>532</v>
      </c>
      <c r="T551" s="37">
        <v>119</v>
      </c>
      <c r="U551" s="38" t="s">
        <v>531</v>
      </c>
      <c r="V551" s="69" t="s">
        <v>272</v>
      </c>
      <c r="W551" s="89" t="s">
        <v>133</v>
      </c>
      <c r="X551" s="106" t="s">
        <v>297</v>
      </c>
      <c r="Y551" s="107" t="s">
        <v>14</v>
      </c>
      <c r="Z551" s="67">
        <f>IF(База_КР_КК[[#This Row],[Таб.номер резервиста]]="-","-",IF(OR(База_КР_КК[[#This Row],[Уровень КК]]=2,База_КР_КК[[#This Row],[Уровень КК]]=3),IF(COUNTIFS($U$2:$U551,$U551,$F$2:$F551,$F551)=1,1,0),IF(COUNTIFS($U$2:$U551,$U551,$L$2:$L551,$L551)=1,1,0)))</f>
        <v>0</v>
      </c>
      <c r="AA5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1" s="106" t="s">
        <v>24</v>
      </c>
      <c r="AC551" s="51">
        <v>45071</v>
      </c>
      <c r="AD551" s="106" t="s">
        <v>15</v>
      </c>
      <c r="AE551" s="40" t="s">
        <v>411</v>
      </c>
    </row>
    <row r="552" spans="1:31" ht="18" customHeight="1" x14ac:dyDescent="0.25">
      <c r="A5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2" s="79">
        <v>4</v>
      </c>
      <c r="C552" s="23">
        <v>44880</v>
      </c>
      <c r="D552" s="67">
        <f>IF(COUNTIF($G$2:$G552,$G552)=1,1,0)</f>
        <v>0</v>
      </c>
      <c r="E552" s="67" t="str">
        <f>IFERROR(VLOOKUP(База_КР_КК[[#This Row],[ИД штатной должности (S)]],'уровень защищенности'!$B$7:$F$1095,5,0),"не защищена")</f>
        <v>средний</v>
      </c>
      <c r="F552" s="68">
        <v>500242</v>
      </c>
      <c r="G552" s="74" t="s">
        <v>2277</v>
      </c>
      <c r="H552" s="181">
        <f>INDEX('Списки данных'!$D$2:$D$1048576,MATCH(База_КР_КК[[#This Row],[Структурное подразделение]],'Списки данных'!$C$2:$C$1048576,0))</f>
        <v>2</v>
      </c>
      <c r="I552" s="80" t="s">
        <v>133</v>
      </c>
      <c r="J552" s="80" t="s">
        <v>197</v>
      </c>
      <c r="K552" s="80" t="s">
        <v>199</v>
      </c>
      <c r="L552" s="30" t="s">
        <v>191</v>
      </c>
      <c r="M552" s="68">
        <v>6</v>
      </c>
      <c r="N552" s="181" t="str">
        <f t="shared" si="9"/>
        <v>нет</v>
      </c>
      <c r="O552" s="23"/>
      <c r="P552" s="23"/>
      <c r="Q552" s="106"/>
      <c r="R552" s="37">
        <v>120</v>
      </c>
      <c r="S552" s="39" t="s">
        <v>532</v>
      </c>
      <c r="T552" s="37">
        <v>1203</v>
      </c>
      <c r="U552" s="38" t="s">
        <v>1608</v>
      </c>
      <c r="V552" s="69" t="s">
        <v>272</v>
      </c>
      <c r="W552" s="89" t="s">
        <v>133</v>
      </c>
      <c r="X552" s="106" t="s">
        <v>296</v>
      </c>
      <c r="Y552" s="107" t="s">
        <v>12</v>
      </c>
      <c r="Z552" s="67">
        <f>IF(База_КР_КК[[#This Row],[Таб.номер резервиста]]="-","-",IF(OR(База_КР_КК[[#This Row],[Уровень КК]]=2,База_КР_КК[[#This Row],[Уровень КК]]=3),IF(COUNTIFS($U$2:$U552,$U552,$F$2:$F552,$F552)=1,1,0),IF(COUNTIFS($U$2:$U552,$U552,$L$2:$L552,$L552)=1,1,0)))</f>
        <v>0</v>
      </c>
      <c r="AA5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2" s="106"/>
      <c r="AC552" s="51"/>
      <c r="AD552" s="106" t="s">
        <v>15</v>
      </c>
      <c r="AE552" s="40" t="s">
        <v>411</v>
      </c>
    </row>
    <row r="553" spans="1:31" ht="18" customHeight="1" x14ac:dyDescent="0.25">
      <c r="A5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3" s="79">
        <v>4</v>
      </c>
      <c r="C553" s="23">
        <v>44880</v>
      </c>
      <c r="D553" s="67">
        <f>IF(COUNTIF($G$2:$G553,$G553)=1,1,0)</f>
        <v>0</v>
      </c>
      <c r="E553" s="67" t="str">
        <f>IFERROR(VLOOKUP(База_КР_КК[[#This Row],[ИД штатной должности (S)]],'уровень защищенности'!$B$7:$F$1095,5,0),"не защищена")</f>
        <v>средний</v>
      </c>
      <c r="F553" s="68">
        <v>500242</v>
      </c>
      <c r="G553" s="74" t="s">
        <v>2277</v>
      </c>
      <c r="H553" s="181">
        <f>INDEX('Списки данных'!$D$2:$D$1048576,MATCH(База_КР_КК[[#This Row],[Структурное подразделение]],'Списки данных'!$C$2:$C$1048576,0))</f>
        <v>2</v>
      </c>
      <c r="I553" s="80" t="s">
        <v>133</v>
      </c>
      <c r="J553" s="80" t="s">
        <v>197</v>
      </c>
      <c r="K553" s="80" t="s">
        <v>199</v>
      </c>
      <c r="L553" s="30" t="s">
        <v>191</v>
      </c>
      <c r="M553" s="68">
        <v>6</v>
      </c>
      <c r="N553" s="181" t="str">
        <f t="shared" si="9"/>
        <v>нет</v>
      </c>
      <c r="O553" s="23"/>
      <c r="P553" s="23"/>
      <c r="Q553" s="106"/>
      <c r="R553" s="37">
        <v>120</v>
      </c>
      <c r="S553" s="39" t="s">
        <v>532</v>
      </c>
      <c r="T553" s="37">
        <v>1204</v>
      </c>
      <c r="U553" s="38" t="s">
        <v>1609</v>
      </c>
      <c r="V553" s="69" t="s">
        <v>272</v>
      </c>
      <c r="W553" s="89" t="s">
        <v>133</v>
      </c>
      <c r="X553" s="106" t="s">
        <v>296</v>
      </c>
      <c r="Y553" s="107" t="s">
        <v>12</v>
      </c>
      <c r="Z553" s="67">
        <f>IF(База_КР_КК[[#This Row],[Таб.номер резервиста]]="-","-",IF(OR(База_КР_КК[[#This Row],[Уровень КК]]=2,База_КР_КК[[#This Row],[Уровень КК]]=3),IF(COUNTIFS($U$2:$U553,$U553,$F$2:$F553,$F553)=1,1,0),IF(COUNTIFS($U$2:$U553,$U553,$L$2:$L553,$L553)=1,1,0)))</f>
        <v>0</v>
      </c>
      <c r="AA5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3" s="106"/>
      <c r="AC553" s="51"/>
      <c r="AD553" s="106" t="s">
        <v>15</v>
      </c>
      <c r="AE553" s="40" t="s">
        <v>411</v>
      </c>
    </row>
    <row r="554" spans="1:31" ht="18" customHeight="1" x14ac:dyDescent="0.25">
      <c r="A5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4" s="79">
        <v>4</v>
      </c>
      <c r="C554" s="23">
        <v>44880</v>
      </c>
      <c r="D554" s="67">
        <f>IF(COUNTIF($G$2:$G554,$G554)=1,1,0)</f>
        <v>0</v>
      </c>
      <c r="E554" s="67" t="str">
        <f>IFERROR(VLOOKUP(База_КР_КК[[#This Row],[ИД штатной должности (S)]],'уровень защищенности'!$B$7:$F$1095,5,0),"не защищена")</f>
        <v>средний</v>
      </c>
      <c r="F554" s="68">
        <v>500242</v>
      </c>
      <c r="G554" s="74" t="s">
        <v>2277</v>
      </c>
      <c r="H554" s="181">
        <f>INDEX('Списки данных'!$D$2:$D$1048576,MATCH(База_КР_КК[[#This Row],[Структурное подразделение]],'Списки данных'!$C$2:$C$1048576,0))</f>
        <v>2</v>
      </c>
      <c r="I554" s="80" t="s">
        <v>133</v>
      </c>
      <c r="J554" s="80" t="s">
        <v>197</v>
      </c>
      <c r="K554" s="80" t="s">
        <v>199</v>
      </c>
      <c r="L554" s="30" t="s">
        <v>191</v>
      </c>
      <c r="M554" s="68">
        <v>6</v>
      </c>
      <c r="N554" s="181" t="str">
        <f t="shared" si="9"/>
        <v>нет</v>
      </c>
      <c r="O554" s="23"/>
      <c r="P554" s="23"/>
      <c r="Q554" s="106"/>
      <c r="R554" s="37">
        <v>120</v>
      </c>
      <c r="S554" s="39" t="s">
        <v>532</v>
      </c>
      <c r="T554" s="37">
        <v>1205</v>
      </c>
      <c r="U554" s="38" t="s">
        <v>1610</v>
      </c>
      <c r="V554" s="69" t="s">
        <v>272</v>
      </c>
      <c r="W554" s="89" t="s">
        <v>133</v>
      </c>
      <c r="X554" s="106" t="s">
        <v>296</v>
      </c>
      <c r="Y554" s="107" t="s">
        <v>12</v>
      </c>
      <c r="Z554" s="67">
        <f>IF(База_КР_КК[[#This Row],[Таб.номер резервиста]]="-","-",IF(OR(База_КР_КК[[#This Row],[Уровень КК]]=2,База_КР_КК[[#This Row],[Уровень КК]]=3),IF(COUNTIFS($U$2:$U554,$U554,$F$2:$F554,$F554)=1,1,0),IF(COUNTIFS($U$2:$U554,$U554,$L$2:$L554,$L554)=1,1,0)))</f>
        <v>0</v>
      </c>
      <c r="AA5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4" s="106"/>
      <c r="AC554" s="51"/>
      <c r="AD554" s="106" t="s">
        <v>15</v>
      </c>
      <c r="AE554" s="40" t="s">
        <v>411</v>
      </c>
    </row>
    <row r="555" spans="1:31" ht="18" customHeight="1" x14ac:dyDescent="0.25">
      <c r="A5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5" s="79">
        <v>4</v>
      </c>
      <c r="C555" s="23">
        <v>45012</v>
      </c>
      <c r="D555" s="67">
        <f>IF(COUNTIF($G$2:$G555,$G555)=1,1,0)</f>
        <v>0</v>
      </c>
      <c r="E555" s="67" t="str">
        <f>IFERROR(VLOOKUP(База_КР_КК[[#This Row],[ИД штатной должности (S)]],'уровень защищенности'!$B$7:$F$1095,5,0),"не защищена")</f>
        <v>средний</v>
      </c>
      <c r="F555" s="68">
        <v>500242</v>
      </c>
      <c r="G555" s="74" t="s">
        <v>2277</v>
      </c>
      <c r="H555" s="181">
        <f>INDEX('Списки данных'!$D$2:$D$1048576,MATCH(База_КР_КК[[#This Row],[Структурное подразделение]],'Списки данных'!$C$2:$C$1048576,0))</f>
        <v>2</v>
      </c>
      <c r="I555" s="80" t="s">
        <v>133</v>
      </c>
      <c r="J555" s="80" t="s">
        <v>197</v>
      </c>
      <c r="K555" s="80" t="s">
        <v>199</v>
      </c>
      <c r="L555" s="30" t="s">
        <v>191</v>
      </c>
      <c r="M555" s="68">
        <v>6</v>
      </c>
      <c r="N555" s="181" t="str">
        <f t="shared" si="9"/>
        <v>нет</v>
      </c>
      <c r="O555" s="23"/>
      <c r="P555" s="23"/>
      <c r="Q555" s="33"/>
      <c r="R555" s="37">
        <v>120</v>
      </c>
      <c r="S555" s="39" t="s">
        <v>532</v>
      </c>
      <c r="T555" s="37">
        <v>1206</v>
      </c>
      <c r="U555" s="38" t="s">
        <v>1611</v>
      </c>
      <c r="V555" s="69" t="s">
        <v>272</v>
      </c>
      <c r="W555" s="89" t="s">
        <v>133</v>
      </c>
      <c r="X555" s="106" t="s">
        <v>296</v>
      </c>
      <c r="Y555" s="39" t="s">
        <v>12</v>
      </c>
      <c r="Z555" s="67">
        <f>IF(База_КР_КК[[#This Row],[Таб.номер резервиста]]="-","-",IF(OR(База_КР_КК[[#This Row],[Уровень КК]]=2,База_КР_КК[[#This Row],[Уровень КК]]=3),IF(COUNTIFS($U$2:$U555,$U555,$F$2:$F555,$F555)=1,1,0),IF(COUNTIFS($U$2:$U555,$U555,$L$2:$L555,$L555)=1,1,0)))</f>
        <v>0</v>
      </c>
      <c r="AA5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5" s="33"/>
      <c r="AC555" s="25"/>
      <c r="AD555" s="33" t="s">
        <v>15</v>
      </c>
      <c r="AE555" s="38" t="s">
        <v>412</v>
      </c>
    </row>
    <row r="556" spans="1:31" ht="18" customHeight="1" x14ac:dyDescent="0.25">
      <c r="A5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6" s="79">
        <v>4</v>
      </c>
      <c r="C556" s="23">
        <v>45012</v>
      </c>
      <c r="D556" s="67">
        <f>IF(COUNTIF($G$2:$G556,$G556)=1,1,0)</f>
        <v>0</v>
      </c>
      <c r="E556" s="67" t="str">
        <f>IFERROR(VLOOKUP(База_КР_КК[[#This Row],[ИД штатной должности (S)]],'уровень защищенности'!$B$7:$F$1095,5,0),"не защищена")</f>
        <v>средний</v>
      </c>
      <c r="F556" s="68">
        <v>500242</v>
      </c>
      <c r="G556" s="74" t="s">
        <v>2277</v>
      </c>
      <c r="H556" s="181">
        <f>INDEX('Списки данных'!$D$2:$D$1048576,MATCH(База_КР_КК[[#This Row],[Структурное подразделение]],'Списки данных'!$C$2:$C$1048576,0))</f>
        <v>2</v>
      </c>
      <c r="I556" s="80" t="s">
        <v>133</v>
      </c>
      <c r="J556" s="80" t="s">
        <v>197</v>
      </c>
      <c r="K556" s="80" t="s">
        <v>199</v>
      </c>
      <c r="L556" s="30" t="s">
        <v>191</v>
      </c>
      <c r="M556" s="68">
        <v>6</v>
      </c>
      <c r="N556" s="181" t="str">
        <f t="shared" si="9"/>
        <v>нет</v>
      </c>
      <c r="O556" s="23"/>
      <c r="P556" s="23"/>
      <c r="Q556" s="33"/>
      <c r="R556" s="37">
        <v>120</v>
      </c>
      <c r="S556" s="39" t="s">
        <v>532</v>
      </c>
      <c r="T556" s="37">
        <v>1207</v>
      </c>
      <c r="U556" s="38" t="s">
        <v>1612</v>
      </c>
      <c r="V556" s="69" t="s">
        <v>272</v>
      </c>
      <c r="W556" s="89" t="s">
        <v>133</v>
      </c>
      <c r="X556" s="106" t="s">
        <v>296</v>
      </c>
      <c r="Y556" s="39" t="s">
        <v>12</v>
      </c>
      <c r="Z556" s="67">
        <f>IF(База_КР_КК[[#This Row],[Таб.номер резервиста]]="-","-",IF(OR(База_КР_КК[[#This Row],[Уровень КК]]=2,База_КР_КК[[#This Row],[Уровень КК]]=3),IF(COUNTIFS($U$2:$U556,$U556,$F$2:$F556,$F556)=1,1,0),IF(COUNTIFS($U$2:$U556,$U556,$L$2:$L556,$L556)=1,1,0)))</f>
        <v>0</v>
      </c>
      <c r="AA5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6" s="33"/>
      <c r="AC556" s="25"/>
      <c r="AD556" s="33" t="s">
        <v>15</v>
      </c>
      <c r="AE556" s="38" t="s">
        <v>412</v>
      </c>
    </row>
    <row r="557" spans="1:31" ht="18" customHeight="1" x14ac:dyDescent="0.25">
      <c r="A5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7" s="79">
        <v>4</v>
      </c>
      <c r="C557" s="23">
        <v>43791</v>
      </c>
      <c r="D557" s="67">
        <f>IF(COUNTIF($G$2:$G557,$G557)=1,1,0)</f>
        <v>0</v>
      </c>
      <c r="E557" s="67" t="str">
        <f>IFERROR(VLOOKUP(База_КР_КК[[#This Row],[ИД штатной должности (S)]],'уровень защищенности'!$B$7:$F$1095,5,0),"не защищена")</f>
        <v>средний</v>
      </c>
      <c r="F557" s="68">
        <v>500242</v>
      </c>
      <c r="G557" s="74" t="s">
        <v>2277</v>
      </c>
      <c r="H557" s="181">
        <f>INDEX('Списки данных'!$D$2:$D$1048576,MATCH(База_КР_КК[[#This Row],[Структурное подразделение]],'Списки данных'!$C$2:$C$1048576,0))</f>
        <v>2</v>
      </c>
      <c r="I557" s="80" t="s">
        <v>133</v>
      </c>
      <c r="J557" s="80" t="s">
        <v>197</v>
      </c>
      <c r="K557" s="80" t="s">
        <v>199</v>
      </c>
      <c r="L557" s="30" t="s">
        <v>191</v>
      </c>
      <c r="M557" s="68">
        <v>6</v>
      </c>
      <c r="N557" s="181" t="str">
        <f t="shared" si="9"/>
        <v>нет</v>
      </c>
      <c r="O557" s="23"/>
      <c r="P557" s="23"/>
      <c r="Q557" s="106"/>
      <c r="R557" s="37">
        <v>120</v>
      </c>
      <c r="S557" s="39" t="s">
        <v>532</v>
      </c>
      <c r="T557" s="37">
        <v>92</v>
      </c>
      <c r="U557" s="39" t="s">
        <v>504</v>
      </c>
      <c r="V557" s="89" t="s">
        <v>192</v>
      </c>
      <c r="W557" s="89" t="s">
        <v>133</v>
      </c>
      <c r="X557" s="106" t="s">
        <v>295</v>
      </c>
      <c r="Y557" s="107" t="s">
        <v>14</v>
      </c>
      <c r="Z557" s="67">
        <f>IF(База_КР_КК[[#This Row],[Таб.номер резервиста]]="-","-",IF(OR(База_КР_КК[[#This Row],[Уровень КК]]=2,База_КР_КК[[#This Row],[Уровень КК]]=3),IF(COUNTIFS($U$2:$U557,$U557,$F$2:$F557,$F557)=1,1,0),IF(COUNTIFS($U$2:$U557,$U557,$L$2:$L557,$L557)=1,1,0)))</f>
        <v>0</v>
      </c>
      <c r="AA5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7" s="106" t="s">
        <v>24</v>
      </c>
      <c r="AC557" s="51">
        <v>44866</v>
      </c>
      <c r="AD557" s="106" t="s">
        <v>17</v>
      </c>
      <c r="AE557" s="38" t="s">
        <v>318</v>
      </c>
    </row>
    <row r="558" spans="1:31" ht="18" customHeight="1" x14ac:dyDescent="0.25">
      <c r="A5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8" s="79">
        <v>4</v>
      </c>
      <c r="C558" s="23">
        <v>43791</v>
      </c>
      <c r="D558" s="67">
        <f>IF(COUNTIF($G$2:$G558,$G558)=1,1,0)</f>
        <v>0</v>
      </c>
      <c r="E558" s="67" t="str">
        <f>IFERROR(VLOOKUP(База_КР_КК[[#This Row],[ИД штатной должности (S)]],'уровень защищенности'!$B$7:$F$1095,5,0),"не защищена")</f>
        <v>средний</v>
      </c>
      <c r="F558" s="68">
        <v>500242</v>
      </c>
      <c r="G558" s="74" t="s">
        <v>2277</v>
      </c>
      <c r="H558" s="181">
        <f>INDEX('Списки данных'!$D$2:$D$1048576,MATCH(База_КР_КК[[#This Row],[Структурное подразделение]],'Списки данных'!$C$2:$C$1048576,0))</f>
        <v>2</v>
      </c>
      <c r="I558" s="80" t="s">
        <v>133</v>
      </c>
      <c r="J558" s="80" t="s">
        <v>197</v>
      </c>
      <c r="K558" s="80" t="s">
        <v>199</v>
      </c>
      <c r="L558" s="30" t="s">
        <v>191</v>
      </c>
      <c r="M558" s="68">
        <v>6</v>
      </c>
      <c r="N558" s="181" t="str">
        <f t="shared" si="9"/>
        <v>нет</v>
      </c>
      <c r="O558" s="23"/>
      <c r="P558" s="23"/>
      <c r="Q558" s="106"/>
      <c r="R558" s="37">
        <v>120</v>
      </c>
      <c r="S558" s="39" t="s">
        <v>532</v>
      </c>
      <c r="T558" s="37">
        <v>1208</v>
      </c>
      <c r="U558" s="39" t="s">
        <v>1613</v>
      </c>
      <c r="V558" s="89" t="s">
        <v>192</v>
      </c>
      <c r="W558" s="89" t="s">
        <v>133</v>
      </c>
      <c r="X558" s="106" t="s">
        <v>297</v>
      </c>
      <c r="Y558" s="107" t="s">
        <v>18</v>
      </c>
      <c r="Z558" s="67">
        <f>IF(База_КР_КК[[#This Row],[Таб.номер резервиста]]="-","-",IF(OR(База_КР_КК[[#This Row],[Уровень КК]]=2,База_КР_КК[[#This Row],[Уровень КК]]=3),IF(COUNTIFS($U$2:$U558,$U558,$F$2:$F558,$F558)=1,1,0),IF(COUNTIFS($U$2:$U558,$U558,$L$2:$L558,$L558)=1,1,0)))</f>
        <v>0</v>
      </c>
      <c r="AA5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8" s="106" t="s">
        <v>38</v>
      </c>
      <c r="AC558" s="51">
        <v>45245</v>
      </c>
      <c r="AD558" s="106" t="s">
        <v>31</v>
      </c>
      <c r="AE558" s="38" t="s">
        <v>411</v>
      </c>
    </row>
    <row r="559" spans="1:31" ht="18" customHeight="1" x14ac:dyDescent="0.25">
      <c r="A5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59" s="79">
        <v>4</v>
      </c>
      <c r="C559" s="23">
        <v>43791</v>
      </c>
      <c r="D559" s="67">
        <f>IF(COUNTIF($G$2:$G559,$G559)=1,1,0)</f>
        <v>0</v>
      </c>
      <c r="E559" s="67" t="str">
        <f>IFERROR(VLOOKUP(База_КР_КК[[#This Row],[ИД штатной должности (S)]],'уровень защищенности'!$B$7:$F$1095,5,0),"не защищена")</f>
        <v>средний</v>
      </c>
      <c r="F559" s="68">
        <v>500242</v>
      </c>
      <c r="G559" s="74" t="s">
        <v>2277</v>
      </c>
      <c r="H559" s="181">
        <f>INDEX('Списки данных'!$D$2:$D$1048576,MATCH(База_КР_КК[[#This Row],[Структурное подразделение]],'Списки данных'!$C$2:$C$1048576,0))</f>
        <v>2</v>
      </c>
      <c r="I559" s="80" t="s">
        <v>133</v>
      </c>
      <c r="J559" s="80" t="s">
        <v>197</v>
      </c>
      <c r="K559" s="80" t="s">
        <v>199</v>
      </c>
      <c r="L559" s="30" t="s">
        <v>191</v>
      </c>
      <c r="M559" s="68">
        <v>6</v>
      </c>
      <c r="N559" s="181" t="str">
        <f t="shared" si="9"/>
        <v>нет</v>
      </c>
      <c r="O559" s="23"/>
      <c r="P559" s="23"/>
      <c r="Q559" s="106"/>
      <c r="R559" s="37">
        <v>120</v>
      </c>
      <c r="S559" s="38" t="s">
        <v>532</v>
      </c>
      <c r="T559" s="37">
        <v>89</v>
      </c>
      <c r="U559" s="39" t="s">
        <v>501</v>
      </c>
      <c r="V559" s="89" t="s">
        <v>272</v>
      </c>
      <c r="W559" s="89" t="s">
        <v>133</v>
      </c>
      <c r="X559" s="106" t="s">
        <v>295</v>
      </c>
      <c r="Y559" s="107" t="s">
        <v>18</v>
      </c>
      <c r="Z559" s="67">
        <f>IF(База_КР_КК[[#This Row],[Таб.номер резервиста]]="-","-",IF(OR(База_КР_КК[[#This Row],[Уровень КК]]=2,База_КР_КК[[#This Row],[Уровень КК]]=3),IF(COUNTIFS($U$2:$U559,$U559,$F$2:$F559,$F559)=1,1,0),IF(COUNTIFS($U$2:$U559,$U559,$L$2:$L559,$L559)=1,1,0)))</f>
        <v>0</v>
      </c>
      <c r="AA5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59" s="106" t="s">
        <v>24</v>
      </c>
      <c r="AC559" s="51">
        <v>44495</v>
      </c>
      <c r="AD559" s="106" t="s">
        <v>17</v>
      </c>
      <c r="AE559" s="38" t="s">
        <v>318</v>
      </c>
    </row>
    <row r="560" spans="1:31" ht="18" customHeight="1" x14ac:dyDescent="0.25">
      <c r="A5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0" s="79">
        <v>4</v>
      </c>
      <c r="C560" s="23">
        <v>44495</v>
      </c>
      <c r="D560" s="67">
        <f>IF(COUNTIF($G$2:$G560,$G560)=1,1,0)</f>
        <v>0</v>
      </c>
      <c r="E560" s="67" t="str">
        <f>IFERROR(VLOOKUP(База_КР_КК[[#This Row],[ИД штатной должности (S)]],'уровень защищенности'!$B$7:$F$1095,5,0),"не защищена")</f>
        <v>средний</v>
      </c>
      <c r="F560" s="68">
        <v>500242</v>
      </c>
      <c r="G560" s="74" t="s">
        <v>2277</v>
      </c>
      <c r="H560" s="181">
        <f>INDEX('Списки данных'!$D$2:$D$1048576,MATCH(База_КР_КК[[#This Row],[Структурное подразделение]],'Списки данных'!$C$2:$C$1048576,0))</f>
        <v>2</v>
      </c>
      <c r="I560" s="80" t="s">
        <v>133</v>
      </c>
      <c r="J560" s="80" t="s">
        <v>197</v>
      </c>
      <c r="K560" s="80" t="s">
        <v>199</v>
      </c>
      <c r="L560" s="30" t="s">
        <v>191</v>
      </c>
      <c r="M560" s="68">
        <v>6</v>
      </c>
      <c r="N560" s="181" t="str">
        <f t="shared" si="9"/>
        <v>нет</v>
      </c>
      <c r="O560" s="23"/>
      <c r="P560" s="23"/>
      <c r="Q560" s="106"/>
      <c r="R560" s="37">
        <v>120</v>
      </c>
      <c r="S560" s="39" t="s">
        <v>532</v>
      </c>
      <c r="T560" s="37">
        <v>1209</v>
      </c>
      <c r="U560" s="39" t="s">
        <v>1614</v>
      </c>
      <c r="V560" s="89" t="s">
        <v>192</v>
      </c>
      <c r="W560" s="89" t="s">
        <v>133</v>
      </c>
      <c r="X560" s="106" t="s">
        <v>296</v>
      </c>
      <c r="Y560" s="107" t="s">
        <v>18</v>
      </c>
      <c r="Z560" s="67">
        <f>IF(База_КР_КК[[#This Row],[Таб.номер резервиста]]="-","-",IF(OR(База_КР_КК[[#This Row],[Уровень КК]]=2,База_КР_КК[[#This Row],[Уровень КК]]=3),IF(COUNTIFS($U$2:$U560,$U560,$F$2:$F560,$F560)=1,1,0),IF(COUNTIFS($U$2:$U560,$U560,$L$2:$L560,$L560)=1,1,0)))</f>
        <v>0</v>
      </c>
      <c r="AA5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0" s="106" t="s">
        <v>38</v>
      </c>
      <c r="AC560" s="51">
        <v>45245</v>
      </c>
      <c r="AD560" s="106" t="s">
        <v>31</v>
      </c>
      <c r="AE560" s="40" t="s">
        <v>411</v>
      </c>
    </row>
    <row r="561" spans="1:31" ht="18" customHeight="1" x14ac:dyDescent="0.25">
      <c r="A5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1" s="79">
        <v>4</v>
      </c>
      <c r="C561" s="23">
        <v>44495</v>
      </c>
      <c r="D561" s="67">
        <f>IF(COUNTIF($G$2:$G561,$G561)=1,1,0)</f>
        <v>0</v>
      </c>
      <c r="E561" s="67" t="str">
        <f>IFERROR(VLOOKUP(База_КР_КК[[#This Row],[ИД штатной должности (S)]],'уровень защищенности'!$B$7:$F$1095,5,0),"не защищена")</f>
        <v>средний</v>
      </c>
      <c r="F561" s="68">
        <v>500242</v>
      </c>
      <c r="G561" s="74" t="s">
        <v>2277</v>
      </c>
      <c r="H561" s="181">
        <f>INDEX('Списки данных'!$D$2:$D$1048576,MATCH(База_КР_КК[[#This Row],[Структурное подразделение]],'Списки данных'!$C$2:$C$1048576,0))</f>
        <v>2</v>
      </c>
      <c r="I561" s="80" t="s">
        <v>133</v>
      </c>
      <c r="J561" s="80" t="s">
        <v>197</v>
      </c>
      <c r="K561" s="80" t="s">
        <v>199</v>
      </c>
      <c r="L561" s="30" t="s">
        <v>191</v>
      </c>
      <c r="M561" s="68">
        <v>6</v>
      </c>
      <c r="N561" s="181" t="str">
        <f t="shared" si="9"/>
        <v>нет</v>
      </c>
      <c r="O561" s="23"/>
      <c r="P561" s="23"/>
      <c r="Q561" s="106"/>
      <c r="R561" s="37">
        <v>120</v>
      </c>
      <c r="S561" s="39" t="s">
        <v>532</v>
      </c>
      <c r="T561" s="37">
        <v>1210</v>
      </c>
      <c r="U561" s="39" t="s">
        <v>1615</v>
      </c>
      <c r="V561" s="89" t="s">
        <v>192</v>
      </c>
      <c r="W561" s="89" t="s">
        <v>133</v>
      </c>
      <c r="X561" s="106" t="s">
        <v>296</v>
      </c>
      <c r="Y561" s="107" t="s">
        <v>18</v>
      </c>
      <c r="Z561" s="67">
        <f>IF(База_КР_КК[[#This Row],[Таб.номер резервиста]]="-","-",IF(OR(База_КР_КК[[#This Row],[Уровень КК]]=2,База_КР_КК[[#This Row],[Уровень КК]]=3),IF(COUNTIFS($U$2:$U561,$U561,$F$2:$F561,$F561)=1,1,0),IF(COUNTIFS($U$2:$U561,$U561,$L$2:$L561,$L561)=1,1,0)))</f>
        <v>0</v>
      </c>
      <c r="AA5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1" s="106" t="s">
        <v>19</v>
      </c>
      <c r="AC561" s="51">
        <v>44701</v>
      </c>
      <c r="AD561" s="106" t="s">
        <v>15</v>
      </c>
      <c r="AE561" s="38" t="s">
        <v>319</v>
      </c>
    </row>
    <row r="562" spans="1:31" ht="18" customHeight="1" x14ac:dyDescent="0.25">
      <c r="A5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2" s="79">
        <v>4</v>
      </c>
      <c r="C562" s="23">
        <v>43791</v>
      </c>
      <c r="D562" s="67">
        <f>IF(COUNTIF($G$2:$G562,$G562)=1,1,0)</f>
        <v>1</v>
      </c>
      <c r="E562" s="67" t="str">
        <f>IFERROR(VLOOKUP(База_КР_КК[[#This Row],[ИД штатной должности (S)]],'уровень защищенности'!$B$7:$F$1095,5,0),"не защищена")</f>
        <v>средний</v>
      </c>
      <c r="F562" s="68">
        <v>500242</v>
      </c>
      <c r="G562" s="74" t="s">
        <v>2278</v>
      </c>
      <c r="H562" s="181">
        <f>INDEX('Списки данных'!$D$2:$D$1048576,MATCH(База_КР_КК[[#This Row],[Структурное подразделение]],'Списки данных'!$C$2:$C$1048576,0))</f>
        <v>2</v>
      </c>
      <c r="I562" s="80" t="s">
        <v>133</v>
      </c>
      <c r="J562" s="80" t="s">
        <v>197</v>
      </c>
      <c r="K562" s="80" t="s">
        <v>199</v>
      </c>
      <c r="L562" s="30" t="s">
        <v>191</v>
      </c>
      <c r="M562" s="68">
        <v>6</v>
      </c>
      <c r="N562" s="181" t="str">
        <f t="shared" si="9"/>
        <v>нет</v>
      </c>
      <c r="O562" s="23"/>
      <c r="P562" s="23"/>
      <c r="Q562" s="106"/>
      <c r="R562" s="37">
        <v>121</v>
      </c>
      <c r="S562" s="38" t="s">
        <v>533</v>
      </c>
      <c r="T562" s="37">
        <v>1200</v>
      </c>
      <c r="U562" s="39" t="s">
        <v>1606</v>
      </c>
      <c r="V562" s="89" t="s">
        <v>272</v>
      </c>
      <c r="W562" s="89" t="s">
        <v>133</v>
      </c>
      <c r="X562" s="106" t="s">
        <v>296</v>
      </c>
      <c r="Y562" s="107" t="s">
        <v>12</v>
      </c>
      <c r="Z562" s="67">
        <f>IF(База_КР_КК[[#This Row],[Таб.номер резервиста]]="-","-",IF(OR(База_КР_КК[[#This Row],[Уровень КК]]=2,База_КР_КК[[#This Row],[Уровень КК]]=3),IF(COUNTIFS($U$2:$U562,$U562,$F$2:$F562,$F562)=1,1,0),IF(COUNTIFS($U$2:$U562,$U562,$L$2:$L562,$L562)=1,1,0)))</f>
        <v>0</v>
      </c>
      <c r="AA5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2" s="106"/>
      <c r="AC562" s="51"/>
      <c r="AD562" s="106" t="s">
        <v>13</v>
      </c>
      <c r="AE562" s="38" t="s">
        <v>411</v>
      </c>
    </row>
    <row r="563" spans="1:31" ht="18" customHeight="1" x14ac:dyDescent="0.25">
      <c r="A5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3" s="79">
        <v>4</v>
      </c>
      <c r="C563" s="23">
        <v>44125</v>
      </c>
      <c r="D563" s="67">
        <f>IF(COUNTIF($G$2:$G563,$G563)=1,1,0)</f>
        <v>0</v>
      </c>
      <c r="E563" s="67" t="str">
        <f>IFERROR(VLOOKUP(База_КР_КК[[#This Row],[ИД штатной должности (S)]],'уровень защищенности'!$B$7:$F$1095,5,0),"не защищена")</f>
        <v>средний</v>
      </c>
      <c r="F563" s="68">
        <v>500242</v>
      </c>
      <c r="G563" s="74" t="s">
        <v>2278</v>
      </c>
      <c r="H563" s="181">
        <f>INDEX('Списки данных'!$D$2:$D$1048576,MATCH(База_КР_КК[[#This Row],[Структурное подразделение]],'Списки данных'!$C$2:$C$1048576,0))</f>
        <v>2</v>
      </c>
      <c r="I563" s="80" t="s">
        <v>133</v>
      </c>
      <c r="J563" s="80" t="s">
        <v>197</v>
      </c>
      <c r="K563" s="80" t="s">
        <v>199</v>
      </c>
      <c r="L563" s="30" t="s">
        <v>191</v>
      </c>
      <c r="M563" s="68">
        <v>6</v>
      </c>
      <c r="N563" s="181" t="str">
        <f t="shared" si="9"/>
        <v>нет</v>
      </c>
      <c r="O563" s="23"/>
      <c r="P563" s="23"/>
      <c r="Q563" s="106"/>
      <c r="R563" s="37">
        <v>121</v>
      </c>
      <c r="S563" s="39" t="s">
        <v>533</v>
      </c>
      <c r="T563" s="37">
        <v>1201</v>
      </c>
      <c r="U563" s="38" t="s">
        <v>1607</v>
      </c>
      <c r="V563" s="69" t="s">
        <v>272</v>
      </c>
      <c r="W563" s="89" t="s">
        <v>133</v>
      </c>
      <c r="X563" s="106" t="s">
        <v>297</v>
      </c>
      <c r="Y563" s="107" t="s">
        <v>12</v>
      </c>
      <c r="Z563" s="67">
        <f>IF(База_КР_КК[[#This Row],[Таб.номер резервиста]]="-","-",IF(OR(База_КР_КК[[#This Row],[Уровень КК]]=2,База_КР_КК[[#This Row],[Уровень КК]]=3),IF(COUNTIFS($U$2:$U563,$U563,$F$2:$F563,$F563)=1,1,0),IF(COUNTIFS($U$2:$U563,$U563,$L$2:$L563,$L563)=1,1,0)))</f>
        <v>0</v>
      </c>
      <c r="AA5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3" s="106"/>
      <c r="AC563" s="51"/>
      <c r="AD563" s="106" t="s">
        <v>17</v>
      </c>
      <c r="AE563" s="40" t="s">
        <v>411</v>
      </c>
    </row>
    <row r="564" spans="1:31" ht="18" customHeight="1" x14ac:dyDescent="0.25">
      <c r="A5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4" s="79">
        <v>4</v>
      </c>
      <c r="C564" s="23">
        <v>44125</v>
      </c>
      <c r="D564" s="67">
        <f>IF(COUNTIF($G$2:$G564,$G564)=1,1,0)</f>
        <v>0</v>
      </c>
      <c r="E564" s="67" t="str">
        <f>IFERROR(VLOOKUP(База_КР_КК[[#This Row],[ИД штатной должности (S)]],'уровень защищенности'!$B$7:$F$1095,5,0),"не защищена")</f>
        <v>средний</v>
      </c>
      <c r="F564" s="68">
        <v>500242</v>
      </c>
      <c r="G564" s="74" t="s">
        <v>2278</v>
      </c>
      <c r="H564" s="181">
        <f>INDEX('Списки данных'!$D$2:$D$1048576,MATCH(База_КР_КК[[#This Row],[Структурное подразделение]],'Списки данных'!$C$2:$C$1048576,0))</f>
        <v>2</v>
      </c>
      <c r="I564" s="80" t="s">
        <v>133</v>
      </c>
      <c r="J564" s="80" t="s">
        <v>197</v>
      </c>
      <c r="K564" s="80" t="s">
        <v>199</v>
      </c>
      <c r="L564" s="30" t="s">
        <v>191</v>
      </c>
      <c r="M564" s="68">
        <v>6</v>
      </c>
      <c r="N564" s="181" t="str">
        <f t="shared" si="9"/>
        <v>нет</v>
      </c>
      <c r="O564" s="23"/>
      <c r="P564" s="23"/>
      <c r="Q564" s="106"/>
      <c r="R564" s="37">
        <v>121</v>
      </c>
      <c r="S564" s="39" t="s">
        <v>533</v>
      </c>
      <c r="T564" s="37">
        <v>1202</v>
      </c>
      <c r="U564" s="38" t="s">
        <v>1591</v>
      </c>
      <c r="V564" s="69" t="s">
        <v>272</v>
      </c>
      <c r="W564" s="89" t="s">
        <v>133</v>
      </c>
      <c r="X564" s="106" t="s">
        <v>297</v>
      </c>
      <c r="Y564" s="107" t="s">
        <v>12</v>
      </c>
      <c r="Z564" s="67">
        <f>IF(База_КР_КК[[#This Row],[Таб.номер резервиста]]="-","-",IF(OR(База_КР_КК[[#This Row],[Уровень КК]]=2,База_КР_КК[[#This Row],[Уровень КК]]=3),IF(COUNTIFS($U$2:$U564,$U564,$F$2:$F564,$F564)=1,1,0),IF(COUNTIFS($U$2:$U564,$U564,$L$2:$L564,$L564)=1,1,0)))</f>
        <v>0</v>
      </c>
      <c r="AA5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4" s="106"/>
      <c r="AC564" s="51"/>
      <c r="AD564" s="106" t="s">
        <v>17</v>
      </c>
      <c r="AE564" s="40" t="s">
        <v>411</v>
      </c>
    </row>
    <row r="565" spans="1:31" ht="18" customHeight="1" x14ac:dyDescent="0.25">
      <c r="A5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5" s="79">
        <v>4</v>
      </c>
      <c r="C565" s="23">
        <v>44880</v>
      </c>
      <c r="D565" s="67">
        <f>IF(COUNTIF($G$2:$G565,$G565)=1,1,0)</f>
        <v>0</v>
      </c>
      <c r="E565" s="67" t="str">
        <f>IFERROR(VLOOKUP(База_КР_КК[[#This Row],[ИД штатной должности (S)]],'уровень защищенности'!$B$7:$F$1095,5,0),"не защищена")</f>
        <v>средний</v>
      </c>
      <c r="F565" s="68">
        <v>500242</v>
      </c>
      <c r="G565" s="74" t="s">
        <v>2278</v>
      </c>
      <c r="H565" s="181">
        <f>INDEX('Списки данных'!$D$2:$D$1048576,MATCH(База_КР_КК[[#This Row],[Структурное подразделение]],'Списки данных'!$C$2:$C$1048576,0))</f>
        <v>2</v>
      </c>
      <c r="I565" s="80" t="s">
        <v>133</v>
      </c>
      <c r="J565" s="80" t="s">
        <v>197</v>
      </c>
      <c r="K565" s="80" t="s">
        <v>199</v>
      </c>
      <c r="L565" s="30" t="s">
        <v>191</v>
      </c>
      <c r="M565" s="68">
        <v>6</v>
      </c>
      <c r="N565" s="181" t="str">
        <f t="shared" si="9"/>
        <v>нет</v>
      </c>
      <c r="O565" s="23"/>
      <c r="P565" s="23"/>
      <c r="Q565" s="106"/>
      <c r="R565" s="37">
        <v>121</v>
      </c>
      <c r="S565" s="39" t="s">
        <v>533</v>
      </c>
      <c r="T565" s="37">
        <v>119</v>
      </c>
      <c r="U565" s="38" t="s">
        <v>531</v>
      </c>
      <c r="V565" s="69" t="s">
        <v>272</v>
      </c>
      <c r="W565" s="89" t="s">
        <v>133</v>
      </c>
      <c r="X565" s="106" t="s">
        <v>297</v>
      </c>
      <c r="Y565" s="107" t="s">
        <v>14</v>
      </c>
      <c r="Z565" s="67">
        <f>IF(База_КР_КК[[#This Row],[Таб.номер резервиста]]="-","-",IF(OR(База_КР_КК[[#This Row],[Уровень КК]]=2,База_КР_КК[[#This Row],[Уровень КК]]=3),IF(COUNTIFS($U$2:$U565,$U565,$F$2:$F565,$F565)=1,1,0),IF(COUNTIFS($U$2:$U565,$U565,$L$2:$L565,$L565)=1,1,0)))</f>
        <v>0</v>
      </c>
      <c r="AA5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5" s="106" t="s">
        <v>24</v>
      </c>
      <c r="AC565" s="51">
        <v>45071</v>
      </c>
      <c r="AD565" s="106" t="s">
        <v>15</v>
      </c>
      <c r="AE565" s="40" t="s">
        <v>411</v>
      </c>
    </row>
    <row r="566" spans="1:31" ht="18" customHeight="1" x14ac:dyDescent="0.25">
      <c r="A5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6" s="79">
        <v>4</v>
      </c>
      <c r="C566" s="23">
        <v>44880</v>
      </c>
      <c r="D566" s="67">
        <f>IF(COUNTIF($G$2:$G566,$G566)=1,1,0)</f>
        <v>0</v>
      </c>
      <c r="E566" s="67" t="str">
        <f>IFERROR(VLOOKUP(База_КР_КК[[#This Row],[ИД штатной должности (S)]],'уровень защищенности'!$B$7:$F$1095,5,0),"не защищена")</f>
        <v>средний</v>
      </c>
      <c r="F566" s="68">
        <v>500242</v>
      </c>
      <c r="G566" s="74" t="s">
        <v>2278</v>
      </c>
      <c r="H566" s="181">
        <f>INDEX('Списки данных'!$D$2:$D$1048576,MATCH(База_КР_КК[[#This Row],[Структурное подразделение]],'Списки данных'!$C$2:$C$1048576,0))</f>
        <v>2</v>
      </c>
      <c r="I566" s="80" t="s">
        <v>133</v>
      </c>
      <c r="J566" s="80" t="s">
        <v>197</v>
      </c>
      <c r="K566" s="80" t="s">
        <v>199</v>
      </c>
      <c r="L566" s="30" t="s">
        <v>191</v>
      </c>
      <c r="M566" s="68">
        <v>6</v>
      </c>
      <c r="N566" s="181" t="str">
        <f t="shared" si="9"/>
        <v>нет</v>
      </c>
      <c r="O566" s="23"/>
      <c r="P566" s="23"/>
      <c r="Q566" s="106"/>
      <c r="R566" s="37">
        <v>121</v>
      </c>
      <c r="S566" s="39" t="s">
        <v>533</v>
      </c>
      <c r="T566" s="37">
        <v>1203</v>
      </c>
      <c r="U566" s="38" t="s">
        <v>1608</v>
      </c>
      <c r="V566" s="69" t="s">
        <v>272</v>
      </c>
      <c r="W566" s="89" t="s">
        <v>133</v>
      </c>
      <c r="X566" s="106" t="s">
        <v>296</v>
      </c>
      <c r="Y566" s="107" t="s">
        <v>12</v>
      </c>
      <c r="Z566" s="67">
        <f>IF(База_КР_КК[[#This Row],[Таб.номер резервиста]]="-","-",IF(OR(База_КР_КК[[#This Row],[Уровень КК]]=2,База_КР_КК[[#This Row],[Уровень КК]]=3),IF(COUNTIFS($U$2:$U566,$U566,$F$2:$F566,$F566)=1,1,0),IF(COUNTIFS($U$2:$U566,$U566,$L$2:$L566,$L566)=1,1,0)))</f>
        <v>0</v>
      </c>
      <c r="AA5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6" s="106"/>
      <c r="AC566" s="51"/>
      <c r="AD566" s="106" t="s">
        <v>15</v>
      </c>
      <c r="AE566" s="40" t="s">
        <v>411</v>
      </c>
    </row>
    <row r="567" spans="1:31" ht="18" customHeight="1" x14ac:dyDescent="0.25">
      <c r="A5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7" s="79">
        <v>4</v>
      </c>
      <c r="C567" s="23">
        <v>44880</v>
      </c>
      <c r="D567" s="67">
        <f>IF(COUNTIF($G$2:$G567,$G567)=1,1,0)</f>
        <v>0</v>
      </c>
      <c r="E567" s="67" t="str">
        <f>IFERROR(VLOOKUP(База_КР_КК[[#This Row],[ИД штатной должности (S)]],'уровень защищенности'!$B$7:$F$1095,5,0),"не защищена")</f>
        <v>средний</v>
      </c>
      <c r="F567" s="68">
        <v>500242</v>
      </c>
      <c r="G567" s="74" t="s">
        <v>2278</v>
      </c>
      <c r="H567" s="181">
        <f>INDEX('Списки данных'!$D$2:$D$1048576,MATCH(База_КР_КК[[#This Row],[Структурное подразделение]],'Списки данных'!$C$2:$C$1048576,0))</f>
        <v>2</v>
      </c>
      <c r="I567" s="80" t="s">
        <v>133</v>
      </c>
      <c r="J567" s="80" t="s">
        <v>197</v>
      </c>
      <c r="K567" s="80" t="s">
        <v>199</v>
      </c>
      <c r="L567" s="30" t="s">
        <v>191</v>
      </c>
      <c r="M567" s="68">
        <v>6</v>
      </c>
      <c r="N567" s="181" t="str">
        <f t="shared" si="9"/>
        <v>нет</v>
      </c>
      <c r="O567" s="23"/>
      <c r="P567" s="23"/>
      <c r="Q567" s="106"/>
      <c r="R567" s="37">
        <v>121</v>
      </c>
      <c r="S567" s="39" t="s">
        <v>533</v>
      </c>
      <c r="T567" s="37">
        <v>1204</v>
      </c>
      <c r="U567" s="38" t="s">
        <v>1609</v>
      </c>
      <c r="V567" s="69" t="s">
        <v>272</v>
      </c>
      <c r="W567" s="89" t="s">
        <v>133</v>
      </c>
      <c r="X567" s="106" t="s">
        <v>296</v>
      </c>
      <c r="Y567" s="107" t="s">
        <v>12</v>
      </c>
      <c r="Z567" s="67">
        <f>IF(База_КР_КК[[#This Row],[Таб.номер резервиста]]="-","-",IF(OR(База_КР_КК[[#This Row],[Уровень КК]]=2,База_КР_КК[[#This Row],[Уровень КК]]=3),IF(COUNTIFS($U$2:$U567,$U567,$F$2:$F567,$F567)=1,1,0),IF(COUNTIFS($U$2:$U567,$U567,$L$2:$L567,$L567)=1,1,0)))</f>
        <v>0</v>
      </c>
      <c r="AA5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7" s="106"/>
      <c r="AC567" s="51"/>
      <c r="AD567" s="106" t="s">
        <v>15</v>
      </c>
      <c r="AE567" s="40" t="s">
        <v>411</v>
      </c>
    </row>
    <row r="568" spans="1:31" ht="18" customHeight="1" x14ac:dyDescent="0.25">
      <c r="A5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8" s="79">
        <v>4</v>
      </c>
      <c r="C568" s="23">
        <v>44880</v>
      </c>
      <c r="D568" s="67">
        <f>IF(COUNTIF($G$2:$G568,$G568)=1,1,0)</f>
        <v>0</v>
      </c>
      <c r="E568" s="67" t="str">
        <f>IFERROR(VLOOKUP(База_КР_КК[[#This Row],[ИД штатной должности (S)]],'уровень защищенности'!$B$7:$F$1095,5,0),"не защищена")</f>
        <v>средний</v>
      </c>
      <c r="F568" s="68">
        <v>500242</v>
      </c>
      <c r="G568" s="74" t="s">
        <v>2278</v>
      </c>
      <c r="H568" s="181">
        <f>INDEX('Списки данных'!$D$2:$D$1048576,MATCH(База_КР_КК[[#This Row],[Структурное подразделение]],'Списки данных'!$C$2:$C$1048576,0))</f>
        <v>2</v>
      </c>
      <c r="I568" s="80" t="s">
        <v>133</v>
      </c>
      <c r="J568" s="80" t="s">
        <v>197</v>
      </c>
      <c r="K568" s="80" t="s">
        <v>199</v>
      </c>
      <c r="L568" s="30" t="s">
        <v>191</v>
      </c>
      <c r="M568" s="68">
        <v>6</v>
      </c>
      <c r="N568" s="181" t="str">
        <f t="shared" si="9"/>
        <v>нет</v>
      </c>
      <c r="O568" s="23"/>
      <c r="P568" s="23"/>
      <c r="Q568" s="106"/>
      <c r="R568" s="37">
        <v>121</v>
      </c>
      <c r="S568" s="39" t="s">
        <v>533</v>
      </c>
      <c r="T568" s="37">
        <v>1205</v>
      </c>
      <c r="U568" s="38" t="s">
        <v>1610</v>
      </c>
      <c r="V568" s="69" t="s">
        <v>272</v>
      </c>
      <c r="W568" s="89" t="s">
        <v>133</v>
      </c>
      <c r="X568" s="106" t="s">
        <v>296</v>
      </c>
      <c r="Y568" s="107" t="s">
        <v>12</v>
      </c>
      <c r="Z568" s="67">
        <f>IF(База_КР_КК[[#This Row],[Таб.номер резервиста]]="-","-",IF(OR(База_КР_КК[[#This Row],[Уровень КК]]=2,База_КР_КК[[#This Row],[Уровень КК]]=3),IF(COUNTIFS($U$2:$U568,$U568,$F$2:$F568,$F568)=1,1,0),IF(COUNTIFS($U$2:$U568,$U568,$L$2:$L568,$L568)=1,1,0)))</f>
        <v>0</v>
      </c>
      <c r="AA5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8" s="106"/>
      <c r="AC568" s="51"/>
      <c r="AD568" s="106" t="s">
        <v>15</v>
      </c>
      <c r="AE568" s="40" t="s">
        <v>411</v>
      </c>
    </row>
    <row r="569" spans="1:31" ht="18" customHeight="1" x14ac:dyDescent="0.25">
      <c r="A5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69" s="79">
        <v>4</v>
      </c>
      <c r="C569" s="23">
        <v>45012</v>
      </c>
      <c r="D569" s="67">
        <f>IF(COUNTIF($G$2:$G569,$G569)=1,1,0)</f>
        <v>0</v>
      </c>
      <c r="E569" s="67" t="str">
        <f>IFERROR(VLOOKUP(База_КР_КК[[#This Row],[ИД штатной должности (S)]],'уровень защищенности'!$B$7:$F$1095,5,0),"не защищена")</f>
        <v>средний</v>
      </c>
      <c r="F569" s="68">
        <v>500242</v>
      </c>
      <c r="G569" s="74" t="s">
        <v>2278</v>
      </c>
      <c r="H569" s="181">
        <f>INDEX('Списки данных'!$D$2:$D$1048576,MATCH(База_КР_КК[[#This Row],[Структурное подразделение]],'Списки данных'!$C$2:$C$1048576,0))</f>
        <v>2</v>
      </c>
      <c r="I569" s="80" t="s">
        <v>133</v>
      </c>
      <c r="J569" s="80" t="s">
        <v>197</v>
      </c>
      <c r="K569" s="80" t="s">
        <v>199</v>
      </c>
      <c r="L569" s="30" t="s">
        <v>191</v>
      </c>
      <c r="M569" s="68">
        <v>6</v>
      </c>
      <c r="N569" s="181" t="str">
        <f t="shared" si="9"/>
        <v>нет</v>
      </c>
      <c r="O569" s="23"/>
      <c r="P569" s="23"/>
      <c r="Q569" s="33"/>
      <c r="R569" s="37">
        <v>121</v>
      </c>
      <c r="S569" s="39" t="s">
        <v>533</v>
      </c>
      <c r="T569" s="37">
        <v>1206</v>
      </c>
      <c r="U569" s="38" t="s">
        <v>1611</v>
      </c>
      <c r="V569" s="69" t="s">
        <v>272</v>
      </c>
      <c r="W569" s="89" t="s">
        <v>133</v>
      </c>
      <c r="X569" s="106" t="s">
        <v>296</v>
      </c>
      <c r="Y569" s="39" t="s">
        <v>12</v>
      </c>
      <c r="Z569" s="67">
        <f>IF(База_КР_КК[[#This Row],[Таб.номер резервиста]]="-","-",IF(OR(База_КР_КК[[#This Row],[Уровень КК]]=2,База_КР_КК[[#This Row],[Уровень КК]]=3),IF(COUNTIFS($U$2:$U569,$U569,$F$2:$F569,$F569)=1,1,0),IF(COUNTIFS($U$2:$U569,$U569,$L$2:$L569,$L569)=1,1,0)))</f>
        <v>0</v>
      </c>
      <c r="AA5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69" s="33"/>
      <c r="AC569" s="25"/>
      <c r="AD569" s="33" t="s">
        <v>15</v>
      </c>
      <c r="AE569" s="38" t="s">
        <v>412</v>
      </c>
    </row>
    <row r="570" spans="1:31" ht="18" customHeight="1" x14ac:dyDescent="0.25">
      <c r="A5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0" s="79">
        <v>4</v>
      </c>
      <c r="C570" s="23">
        <v>45012</v>
      </c>
      <c r="D570" s="67">
        <f>IF(COUNTIF($G$2:$G570,$G570)=1,1,0)</f>
        <v>0</v>
      </c>
      <c r="E570" s="67" t="str">
        <f>IFERROR(VLOOKUP(База_КР_КК[[#This Row],[ИД штатной должности (S)]],'уровень защищенности'!$B$7:$F$1095,5,0),"не защищена")</f>
        <v>средний</v>
      </c>
      <c r="F570" s="68">
        <v>500242</v>
      </c>
      <c r="G570" s="74" t="s">
        <v>2278</v>
      </c>
      <c r="H570" s="181">
        <f>INDEX('Списки данных'!$D$2:$D$1048576,MATCH(База_КР_КК[[#This Row],[Структурное подразделение]],'Списки данных'!$C$2:$C$1048576,0))</f>
        <v>2</v>
      </c>
      <c r="I570" s="80" t="s">
        <v>133</v>
      </c>
      <c r="J570" s="80" t="s">
        <v>197</v>
      </c>
      <c r="K570" s="80" t="s">
        <v>199</v>
      </c>
      <c r="L570" s="30" t="s">
        <v>191</v>
      </c>
      <c r="M570" s="68">
        <v>6</v>
      </c>
      <c r="N570" s="181" t="str">
        <f t="shared" si="9"/>
        <v>нет</v>
      </c>
      <c r="O570" s="23"/>
      <c r="P570" s="23"/>
      <c r="Q570" s="33"/>
      <c r="R570" s="37">
        <v>121</v>
      </c>
      <c r="S570" s="39" t="s">
        <v>533</v>
      </c>
      <c r="T570" s="37">
        <v>1207</v>
      </c>
      <c r="U570" s="38" t="s">
        <v>1612</v>
      </c>
      <c r="V570" s="69" t="s">
        <v>272</v>
      </c>
      <c r="W570" s="89" t="s">
        <v>133</v>
      </c>
      <c r="X570" s="106" t="s">
        <v>296</v>
      </c>
      <c r="Y570" s="39" t="s">
        <v>12</v>
      </c>
      <c r="Z570" s="67">
        <f>IF(База_КР_КК[[#This Row],[Таб.номер резервиста]]="-","-",IF(OR(База_КР_КК[[#This Row],[Уровень КК]]=2,База_КР_КК[[#This Row],[Уровень КК]]=3),IF(COUNTIFS($U$2:$U570,$U570,$F$2:$F570,$F570)=1,1,0),IF(COUNTIFS($U$2:$U570,$U570,$L$2:$L570,$L570)=1,1,0)))</f>
        <v>0</v>
      </c>
      <c r="AA5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0" s="33"/>
      <c r="AC570" s="25"/>
      <c r="AD570" s="33" t="s">
        <v>15</v>
      </c>
      <c r="AE570" s="38" t="s">
        <v>412</v>
      </c>
    </row>
    <row r="571" spans="1:31" ht="18" customHeight="1" x14ac:dyDescent="0.25">
      <c r="A5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1" s="79">
        <v>4</v>
      </c>
      <c r="C571" s="23">
        <v>43791</v>
      </c>
      <c r="D571" s="67">
        <f>IF(COUNTIF($G$2:$G571,$G571)=1,1,0)</f>
        <v>0</v>
      </c>
      <c r="E571" s="67" t="str">
        <f>IFERROR(VLOOKUP(База_КР_КК[[#This Row],[ИД штатной должности (S)]],'уровень защищенности'!$B$7:$F$1095,5,0),"не защищена")</f>
        <v>средний</v>
      </c>
      <c r="F571" s="68">
        <v>500242</v>
      </c>
      <c r="G571" s="74" t="s">
        <v>2278</v>
      </c>
      <c r="H571" s="181">
        <f>INDEX('Списки данных'!$D$2:$D$1048576,MATCH(База_КР_КК[[#This Row],[Структурное подразделение]],'Списки данных'!$C$2:$C$1048576,0))</f>
        <v>2</v>
      </c>
      <c r="I571" s="80" t="s">
        <v>133</v>
      </c>
      <c r="J571" s="80" t="s">
        <v>197</v>
      </c>
      <c r="K571" s="80" t="s">
        <v>199</v>
      </c>
      <c r="L571" s="30" t="s">
        <v>191</v>
      </c>
      <c r="M571" s="68">
        <v>6</v>
      </c>
      <c r="N571" s="181" t="str">
        <f t="shared" si="9"/>
        <v>нет</v>
      </c>
      <c r="O571" s="23"/>
      <c r="P571" s="23"/>
      <c r="Q571" s="106"/>
      <c r="R571" s="37">
        <v>121</v>
      </c>
      <c r="S571" s="39" t="s">
        <v>533</v>
      </c>
      <c r="T571" s="37">
        <v>92</v>
      </c>
      <c r="U571" s="39" t="s">
        <v>504</v>
      </c>
      <c r="V571" s="89" t="s">
        <v>192</v>
      </c>
      <c r="W571" s="89" t="s">
        <v>133</v>
      </c>
      <c r="X571" s="106" t="s">
        <v>295</v>
      </c>
      <c r="Y571" s="107" t="s">
        <v>14</v>
      </c>
      <c r="Z571" s="67">
        <f>IF(База_КР_КК[[#This Row],[Таб.номер резервиста]]="-","-",IF(OR(База_КР_КК[[#This Row],[Уровень КК]]=2,База_КР_КК[[#This Row],[Уровень КК]]=3),IF(COUNTIFS($U$2:$U571,$U571,$F$2:$F571,$F571)=1,1,0),IF(COUNTIFS($U$2:$U571,$U571,$L$2:$L571,$L571)=1,1,0)))</f>
        <v>0</v>
      </c>
      <c r="AA5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1" s="106" t="s">
        <v>24</v>
      </c>
      <c r="AC571" s="51">
        <v>44866</v>
      </c>
      <c r="AD571" s="106" t="s">
        <v>17</v>
      </c>
      <c r="AE571" s="38" t="s">
        <v>318</v>
      </c>
    </row>
    <row r="572" spans="1:31" ht="18" customHeight="1" x14ac:dyDescent="0.25">
      <c r="A5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2" s="79">
        <v>4</v>
      </c>
      <c r="C572" s="23">
        <v>43791</v>
      </c>
      <c r="D572" s="67">
        <f>IF(COUNTIF($G$2:$G572,$G572)=1,1,0)</f>
        <v>0</v>
      </c>
      <c r="E572" s="67" t="str">
        <f>IFERROR(VLOOKUP(База_КР_КК[[#This Row],[ИД штатной должности (S)]],'уровень защищенности'!$B$7:$F$1095,5,0),"не защищена")</f>
        <v>средний</v>
      </c>
      <c r="F572" s="68">
        <v>500242</v>
      </c>
      <c r="G572" s="74" t="s">
        <v>2278</v>
      </c>
      <c r="H572" s="181">
        <f>INDEX('Списки данных'!$D$2:$D$1048576,MATCH(База_КР_КК[[#This Row],[Структурное подразделение]],'Списки данных'!$C$2:$C$1048576,0))</f>
        <v>2</v>
      </c>
      <c r="I572" s="80" t="s">
        <v>133</v>
      </c>
      <c r="J572" s="80" t="s">
        <v>197</v>
      </c>
      <c r="K572" s="80" t="s">
        <v>199</v>
      </c>
      <c r="L572" s="30" t="s">
        <v>191</v>
      </c>
      <c r="M572" s="68">
        <v>6</v>
      </c>
      <c r="N572" s="181" t="str">
        <f t="shared" si="9"/>
        <v>нет</v>
      </c>
      <c r="O572" s="23"/>
      <c r="P572" s="23"/>
      <c r="Q572" s="106"/>
      <c r="R572" s="37">
        <v>121</v>
      </c>
      <c r="S572" s="39" t="s">
        <v>533</v>
      </c>
      <c r="T572" s="37">
        <v>1208</v>
      </c>
      <c r="U572" s="39" t="s">
        <v>1613</v>
      </c>
      <c r="V572" s="89" t="s">
        <v>192</v>
      </c>
      <c r="W572" s="89" t="s">
        <v>133</v>
      </c>
      <c r="X572" s="106" t="s">
        <v>297</v>
      </c>
      <c r="Y572" s="107" t="s">
        <v>18</v>
      </c>
      <c r="Z572" s="67">
        <f>IF(База_КР_КК[[#This Row],[Таб.номер резервиста]]="-","-",IF(OR(База_КР_КК[[#This Row],[Уровень КК]]=2,База_КР_КК[[#This Row],[Уровень КК]]=3),IF(COUNTIFS($U$2:$U572,$U572,$F$2:$F572,$F572)=1,1,0),IF(COUNTIFS($U$2:$U572,$U572,$L$2:$L572,$L572)=1,1,0)))</f>
        <v>0</v>
      </c>
      <c r="AA5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2" s="106" t="s">
        <v>38</v>
      </c>
      <c r="AC572" s="51">
        <v>45245</v>
      </c>
      <c r="AD572" s="106" t="s">
        <v>31</v>
      </c>
      <c r="AE572" s="38" t="s">
        <v>411</v>
      </c>
    </row>
    <row r="573" spans="1:31" ht="18" customHeight="1" x14ac:dyDescent="0.25">
      <c r="A5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3" s="79">
        <v>4</v>
      </c>
      <c r="C573" s="23">
        <v>43791</v>
      </c>
      <c r="D573" s="67">
        <f>IF(COUNTIF($G$2:$G573,$G573)=1,1,0)</f>
        <v>0</v>
      </c>
      <c r="E573" s="67" t="str">
        <f>IFERROR(VLOOKUP(База_КР_КК[[#This Row],[ИД штатной должности (S)]],'уровень защищенности'!$B$7:$F$1095,5,0),"не защищена")</f>
        <v>средний</v>
      </c>
      <c r="F573" s="68">
        <v>500242</v>
      </c>
      <c r="G573" s="74" t="s">
        <v>2278</v>
      </c>
      <c r="H573" s="181">
        <f>INDEX('Списки данных'!$D$2:$D$1048576,MATCH(База_КР_КК[[#This Row],[Структурное подразделение]],'Списки данных'!$C$2:$C$1048576,0))</f>
        <v>2</v>
      </c>
      <c r="I573" s="80" t="s">
        <v>133</v>
      </c>
      <c r="J573" s="80" t="s">
        <v>197</v>
      </c>
      <c r="K573" s="80" t="s">
        <v>199</v>
      </c>
      <c r="L573" s="30" t="s">
        <v>191</v>
      </c>
      <c r="M573" s="68">
        <v>6</v>
      </c>
      <c r="N573" s="181" t="str">
        <f t="shared" si="9"/>
        <v>нет</v>
      </c>
      <c r="O573" s="23"/>
      <c r="P573" s="23"/>
      <c r="Q573" s="106"/>
      <c r="R573" s="37">
        <v>121</v>
      </c>
      <c r="S573" s="38" t="s">
        <v>533</v>
      </c>
      <c r="T573" s="37">
        <v>89</v>
      </c>
      <c r="U573" s="39" t="s">
        <v>501</v>
      </c>
      <c r="V573" s="89" t="s">
        <v>272</v>
      </c>
      <c r="W573" s="89" t="s">
        <v>133</v>
      </c>
      <c r="X573" s="106" t="s">
        <v>295</v>
      </c>
      <c r="Y573" s="107" t="s">
        <v>18</v>
      </c>
      <c r="Z573" s="67">
        <f>IF(База_КР_КК[[#This Row],[Таб.номер резервиста]]="-","-",IF(OR(База_КР_КК[[#This Row],[Уровень КК]]=2,База_КР_КК[[#This Row],[Уровень КК]]=3),IF(COUNTIFS($U$2:$U573,$U573,$F$2:$F573,$F573)=1,1,0),IF(COUNTIFS($U$2:$U573,$U573,$L$2:$L573,$L573)=1,1,0)))</f>
        <v>0</v>
      </c>
      <c r="AA5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3" s="106" t="s">
        <v>24</v>
      </c>
      <c r="AC573" s="51">
        <v>44495</v>
      </c>
      <c r="AD573" s="106" t="s">
        <v>17</v>
      </c>
      <c r="AE573" s="38" t="s">
        <v>318</v>
      </c>
    </row>
    <row r="574" spans="1:31" ht="18" customHeight="1" x14ac:dyDescent="0.25">
      <c r="A5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4" s="79">
        <v>4</v>
      </c>
      <c r="C574" s="23">
        <v>44495</v>
      </c>
      <c r="D574" s="67">
        <f>IF(COUNTIF($G$2:$G574,$G574)=1,1,0)</f>
        <v>0</v>
      </c>
      <c r="E574" s="67" t="str">
        <f>IFERROR(VLOOKUP(База_КР_КК[[#This Row],[ИД штатной должности (S)]],'уровень защищенности'!$B$7:$F$1095,5,0),"не защищена")</f>
        <v>средний</v>
      </c>
      <c r="F574" s="68">
        <v>500242</v>
      </c>
      <c r="G574" s="74" t="s">
        <v>2278</v>
      </c>
      <c r="H574" s="181">
        <f>INDEX('Списки данных'!$D$2:$D$1048576,MATCH(База_КР_КК[[#This Row],[Структурное подразделение]],'Списки данных'!$C$2:$C$1048576,0))</f>
        <v>2</v>
      </c>
      <c r="I574" s="80" t="s">
        <v>133</v>
      </c>
      <c r="J574" s="80" t="s">
        <v>197</v>
      </c>
      <c r="K574" s="80" t="s">
        <v>199</v>
      </c>
      <c r="L574" s="30" t="s">
        <v>191</v>
      </c>
      <c r="M574" s="68">
        <v>6</v>
      </c>
      <c r="N574" s="181" t="str">
        <f t="shared" si="9"/>
        <v>нет</v>
      </c>
      <c r="O574" s="23"/>
      <c r="P574" s="23"/>
      <c r="Q574" s="106"/>
      <c r="R574" s="37">
        <v>121</v>
      </c>
      <c r="S574" s="38" t="s">
        <v>533</v>
      </c>
      <c r="T574" s="37">
        <v>1209</v>
      </c>
      <c r="U574" s="39" t="s">
        <v>1614</v>
      </c>
      <c r="V574" s="89" t="s">
        <v>192</v>
      </c>
      <c r="W574" s="89" t="s">
        <v>133</v>
      </c>
      <c r="X574" s="106" t="s">
        <v>296</v>
      </c>
      <c r="Y574" s="107" t="s">
        <v>18</v>
      </c>
      <c r="Z574" s="67">
        <f>IF(База_КР_КК[[#This Row],[Таб.номер резервиста]]="-","-",IF(OR(База_КР_КК[[#This Row],[Уровень КК]]=2,База_КР_КК[[#This Row],[Уровень КК]]=3),IF(COUNTIFS($U$2:$U574,$U574,$F$2:$F574,$F574)=1,1,0),IF(COUNTIFS($U$2:$U574,$U574,$L$2:$L574,$L574)=1,1,0)))</f>
        <v>0</v>
      </c>
      <c r="AA5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4" s="106" t="s">
        <v>38</v>
      </c>
      <c r="AC574" s="51">
        <v>45245</v>
      </c>
      <c r="AD574" s="106" t="s">
        <v>31</v>
      </c>
      <c r="AE574" s="40" t="s">
        <v>411</v>
      </c>
    </row>
    <row r="575" spans="1:31" ht="18" customHeight="1" x14ac:dyDescent="0.25">
      <c r="A5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5" s="79">
        <v>4</v>
      </c>
      <c r="C575" s="23">
        <v>44495</v>
      </c>
      <c r="D575" s="67">
        <f>IF(COUNTIF($G$2:$G575,$G575)=1,1,0)</f>
        <v>0</v>
      </c>
      <c r="E575" s="67" t="str">
        <f>IFERROR(VLOOKUP(База_КР_КК[[#This Row],[ИД штатной должности (S)]],'уровень защищенности'!$B$7:$F$1095,5,0),"не защищена")</f>
        <v>средний</v>
      </c>
      <c r="F575" s="68">
        <v>500242</v>
      </c>
      <c r="G575" s="74" t="s">
        <v>2278</v>
      </c>
      <c r="H575" s="181">
        <f>INDEX('Списки данных'!$D$2:$D$1048576,MATCH(База_КР_КК[[#This Row],[Структурное подразделение]],'Списки данных'!$C$2:$C$1048576,0))</f>
        <v>2</v>
      </c>
      <c r="I575" s="80" t="s">
        <v>133</v>
      </c>
      <c r="J575" s="80" t="s">
        <v>197</v>
      </c>
      <c r="K575" s="80" t="s">
        <v>199</v>
      </c>
      <c r="L575" s="30" t="s">
        <v>191</v>
      </c>
      <c r="M575" s="68">
        <v>6</v>
      </c>
      <c r="N575" s="181" t="str">
        <f t="shared" si="9"/>
        <v>нет</v>
      </c>
      <c r="O575" s="23"/>
      <c r="P575" s="23"/>
      <c r="Q575" s="106"/>
      <c r="R575" s="37">
        <v>121</v>
      </c>
      <c r="S575" s="38" t="s">
        <v>533</v>
      </c>
      <c r="T575" s="37">
        <v>1210</v>
      </c>
      <c r="U575" s="39" t="s">
        <v>1615</v>
      </c>
      <c r="V575" s="89" t="s">
        <v>192</v>
      </c>
      <c r="W575" s="89" t="s">
        <v>133</v>
      </c>
      <c r="X575" s="106" t="s">
        <v>296</v>
      </c>
      <c r="Y575" s="107" t="s">
        <v>18</v>
      </c>
      <c r="Z575" s="67">
        <f>IF(База_КР_КК[[#This Row],[Таб.номер резервиста]]="-","-",IF(OR(База_КР_КК[[#This Row],[Уровень КК]]=2,База_КР_КК[[#This Row],[Уровень КК]]=3),IF(COUNTIFS($U$2:$U575,$U575,$F$2:$F575,$F575)=1,1,0),IF(COUNTIFS($U$2:$U575,$U575,$L$2:$L575,$L575)=1,1,0)))</f>
        <v>0</v>
      </c>
      <c r="AA5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5" s="106" t="s">
        <v>19</v>
      </c>
      <c r="AC575" s="51">
        <v>44701</v>
      </c>
      <c r="AD575" s="106" t="s">
        <v>15</v>
      </c>
      <c r="AE575" s="38" t="s">
        <v>319</v>
      </c>
    </row>
    <row r="576" spans="1:31" ht="18" customHeight="1" x14ac:dyDescent="0.25">
      <c r="A5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6" s="79">
        <v>4</v>
      </c>
      <c r="C576" s="23">
        <v>43791</v>
      </c>
      <c r="D576" s="67">
        <f>IF(COUNTIF($G$2:$G576,$G576)=1,1,0)</f>
        <v>1</v>
      </c>
      <c r="E576" s="67" t="str">
        <f>IFERROR(VLOOKUP(База_КР_КК[[#This Row],[ИД штатной должности (S)]],'уровень защищенности'!$B$7:$F$1095,5,0),"не защищена")</f>
        <v>высокий</v>
      </c>
      <c r="F576" s="68">
        <v>500243</v>
      </c>
      <c r="G576" s="74" t="s">
        <v>2279</v>
      </c>
      <c r="H576" s="181">
        <f>INDEX('Списки данных'!$D$2:$D$1048576,MATCH(База_КР_КК[[#This Row],[Структурное подразделение]],'Списки данных'!$C$2:$C$1048576,0))</f>
        <v>2</v>
      </c>
      <c r="I576" s="80" t="s">
        <v>133</v>
      </c>
      <c r="J576" s="80" t="s">
        <v>197</v>
      </c>
      <c r="K576" s="80" t="s">
        <v>199</v>
      </c>
      <c r="L576" s="30" t="s">
        <v>192</v>
      </c>
      <c r="M576" s="68">
        <v>6</v>
      </c>
      <c r="N576" s="181" t="str">
        <f t="shared" si="9"/>
        <v>нет</v>
      </c>
      <c r="O576" s="23"/>
      <c r="P576" s="23"/>
      <c r="Q576" s="106"/>
      <c r="R576" s="37">
        <v>122</v>
      </c>
      <c r="S576" s="39" t="s">
        <v>534</v>
      </c>
      <c r="T576" s="37">
        <v>1218</v>
      </c>
      <c r="U576" s="39" t="s">
        <v>1623</v>
      </c>
      <c r="V576" s="89" t="s">
        <v>272</v>
      </c>
      <c r="W576" s="89" t="s">
        <v>133</v>
      </c>
      <c r="X576" s="106" t="s">
        <v>297</v>
      </c>
      <c r="Y576" s="107" t="s">
        <v>12</v>
      </c>
      <c r="Z576" s="67">
        <f>IF(База_КР_КК[[#This Row],[Таб.номер резервиста]]="-","-",IF(OR(База_КР_КК[[#This Row],[Уровень КК]]=2,База_КР_КК[[#This Row],[Уровень КК]]=3),IF(COUNTIFS($U$2:$U576,$U576,$F$2:$F576,$F576)=1,1,0),IF(COUNTIFS($U$2:$U576,$U576,$L$2:$L576,$L576)=1,1,0)))</f>
        <v>0</v>
      </c>
      <c r="AA5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6" s="106"/>
      <c r="AC576" s="51"/>
      <c r="AD576" s="106" t="s">
        <v>13</v>
      </c>
      <c r="AE576" s="38" t="s">
        <v>411</v>
      </c>
    </row>
    <row r="577" spans="1:31" ht="18" customHeight="1" x14ac:dyDescent="0.25">
      <c r="A5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7" s="79">
        <v>4</v>
      </c>
      <c r="C577" s="23">
        <v>44495</v>
      </c>
      <c r="D577" s="67">
        <f>IF(COUNTIF($G$2:$G577,$G577)=1,1,0)</f>
        <v>0</v>
      </c>
      <c r="E577" s="67" t="str">
        <f>IFERROR(VLOOKUP(База_КР_КК[[#This Row],[ИД штатной должности (S)]],'уровень защищенности'!$B$7:$F$1095,5,0),"не защищена")</f>
        <v>высокий</v>
      </c>
      <c r="F577" s="68">
        <v>500243</v>
      </c>
      <c r="G577" s="74" t="s">
        <v>2279</v>
      </c>
      <c r="H577" s="181">
        <f>INDEX('Списки данных'!$D$2:$D$1048576,MATCH(База_КР_КК[[#This Row],[Структурное подразделение]],'Списки данных'!$C$2:$C$1048576,0))</f>
        <v>2</v>
      </c>
      <c r="I577" s="80" t="s">
        <v>133</v>
      </c>
      <c r="J577" s="80" t="s">
        <v>197</v>
      </c>
      <c r="K577" s="80" t="s">
        <v>199</v>
      </c>
      <c r="L577" s="30" t="s">
        <v>192</v>
      </c>
      <c r="M577" s="68">
        <v>6</v>
      </c>
      <c r="N577" s="181" t="str">
        <f t="shared" ref="N577:N640" si="10">IF(ISBLANK(O577),"нет","да")</f>
        <v>нет</v>
      </c>
      <c r="O577" s="23"/>
      <c r="P577" s="23"/>
      <c r="Q577" s="106"/>
      <c r="R577" s="37">
        <v>122</v>
      </c>
      <c r="S577" s="38" t="s">
        <v>534</v>
      </c>
      <c r="T577" s="37">
        <v>1219</v>
      </c>
      <c r="U577" s="39" t="s">
        <v>1624</v>
      </c>
      <c r="V577" s="89" t="s">
        <v>272</v>
      </c>
      <c r="W577" s="89" t="s">
        <v>133</v>
      </c>
      <c r="X577" s="106" t="s">
        <v>296</v>
      </c>
      <c r="Y577" s="107" t="s">
        <v>12</v>
      </c>
      <c r="Z577" s="67">
        <f>IF(База_КР_КК[[#This Row],[Таб.номер резервиста]]="-","-",IF(OR(База_КР_КК[[#This Row],[Уровень КК]]=2,База_КР_КК[[#This Row],[Уровень КК]]=3),IF(COUNTIFS($U$2:$U577,$U577,$F$2:$F577,$F577)=1,1,0),IF(COUNTIFS($U$2:$U577,$U577,$L$2:$L577,$L577)=1,1,0)))</f>
        <v>0</v>
      </c>
      <c r="AA5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7" s="106"/>
      <c r="AC577" s="51"/>
      <c r="AD577" s="106" t="s">
        <v>13</v>
      </c>
      <c r="AE577" s="40" t="s">
        <v>411</v>
      </c>
    </row>
    <row r="578" spans="1:31" ht="18" customHeight="1" x14ac:dyDescent="0.25">
      <c r="A5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8" s="79">
        <v>4</v>
      </c>
      <c r="C578" s="23">
        <v>44495</v>
      </c>
      <c r="D578" s="67">
        <f>IF(COUNTIF($G$2:$G578,$G578)=1,1,0)</f>
        <v>0</v>
      </c>
      <c r="E578" s="67" t="str">
        <f>IFERROR(VLOOKUP(База_КР_КК[[#This Row],[ИД штатной должности (S)]],'уровень защищенности'!$B$7:$F$1095,5,0),"не защищена")</f>
        <v>высокий</v>
      </c>
      <c r="F578" s="68">
        <v>500243</v>
      </c>
      <c r="G578" s="74" t="s">
        <v>2279</v>
      </c>
      <c r="H578" s="181">
        <f>INDEX('Списки данных'!$D$2:$D$1048576,MATCH(База_КР_КК[[#This Row],[Структурное подразделение]],'Списки данных'!$C$2:$C$1048576,0))</f>
        <v>2</v>
      </c>
      <c r="I578" s="80" t="s">
        <v>133</v>
      </c>
      <c r="J578" s="80" t="s">
        <v>197</v>
      </c>
      <c r="K578" s="80" t="s">
        <v>199</v>
      </c>
      <c r="L578" s="30" t="s">
        <v>192</v>
      </c>
      <c r="M578" s="68">
        <v>6</v>
      </c>
      <c r="N578" s="181" t="str">
        <f t="shared" si="10"/>
        <v>нет</v>
      </c>
      <c r="O578" s="23"/>
      <c r="P578" s="23"/>
      <c r="Q578" s="106"/>
      <c r="R578" s="37">
        <v>122</v>
      </c>
      <c r="S578" s="38" t="s">
        <v>534</v>
      </c>
      <c r="T578" s="37">
        <v>1220</v>
      </c>
      <c r="U578" s="39" t="s">
        <v>1625</v>
      </c>
      <c r="V578" s="89" t="s">
        <v>272</v>
      </c>
      <c r="W578" s="89" t="s">
        <v>133</v>
      </c>
      <c r="X578" s="106" t="s">
        <v>297</v>
      </c>
      <c r="Y578" s="107" t="s">
        <v>12</v>
      </c>
      <c r="Z578" s="67">
        <f>IF(База_КР_КК[[#This Row],[Таб.номер резервиста]]="-","-",IF(OR(База_КР_КК[[#This Row],[Уровень КК]]=2,База_КР_КК[[#This Row],[Уровень КК]]=3),IF(COUNTIFS($U$2:$U578,$U578,$F$2:$F578,$F578)=1,1,0),IF(COUNTIFS($U$2:$U578,$U578,$L$2:$L578,$L578)=1,1,0)))</f>
        <v>0</v>
      </c>
      <c r="AA5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8" s="106"/>
      <c r="AC578" s="51"/>
      <c r="AD578" s="106" t="s">
        <v>17</v>
      </c>
      <c r="AE578" s="40" t="s">
        <v>411</v>
      </c>
    </row>
    <row r="579" spans="1:31" ht="18" customHeight="1" x14ac:dyDescent="0.25">
      <c r="A5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79" s="79">
        <v>4</v>
      </c>
      <c r="C579" s="23">
        <v>44125</v>
      </c>
      <c r="D579" s="67">
        <f>IF(COUNTIF($G$2:$G579,$G579)=1,1,0)</f>
        <v>0</v>
      </c>
      <c r="E579" s="67" t="str">
        <f>IFERROR(VLOOKUP(База_КР_КК[[#This Row],[ИД штатной должности (S)]],'уровень защищенности'!$B$7:$F$1095,5,0),"не защищена")</f>
        <v>высокий</v>
      </c>
      <c r="F579" s="68">
        <v>500243</v>
      </c>
      <c r="G579" s="74" t="s">
        <v>2279</v>
      </c>
      <c r="H579" s="181">
        <f>INDEX('Списки данных'!$D$2:$D$1048576,MATCH(База_КР_КК[[#This Row],[Структурное подразделение]],'Списки данных'!$C$2:$C$1048576,0))</f>
        <v>2</v>
      </c>
      <c r="I579" s="80" t="s">
        <v>133</v>
      </c>
      <c r="J579" s="80" t="s">
        <v>197</v>
      </c>
      <c r="K579" s="80" t="s">
        <v>199</v>
      </c>
      <c r="L579" s="30" t="s">
        <v>192</v>
      </c>
      <c r="M579" s="79">
        <v>6</v>
      </c>
      <c r="N579" s="181" t="str">
        <f t="shared" si="10"/>
        <v>нет</v>
      </c>
      <c r="O579" s="23"/>
      <c r="P579" s="23"/>
      <c r="Q579" s="106"/>
      <c r="R579" s="37">
        <v>122</v>
      </c>
      <c r="S579" s="39" t="s">
        <v>534</v>
      </c>
      <c r="T579" s="37">
        <v>1221</v>
      </c>
      <c r="U579" s="38" t="s">
        <v>1626</v>
      </c>
      <c r="V579" s="69" t="s">
        <v>272</v>
      </c>
      <c r="W579" s="89" t="s">
        <v>133</v>
      </c>
      <c r="X579" s="106" t="s">
        <v>295</v>
      </c>
      <c r="Y579" s="107" t="s">
        <v>12</v>
      </c>
      <c r="Z579" s="67">
        <f>IF(База_КР_КК[[#This Row],[Таб.номер резервиста]]="-","-",IF(OR(База_КР_КК[[#This Row],[Уровень КК]]=2,База_КР_КК[[#This Row],[Уровень КК]]=3),IF(COUNTIFS($U$2:$U579,$U579,$F$2:$F579,$F579)=1,1,0),IF(COUNTIFS($U$2:$U579,$U579,$L$2:$L579,$L579)=1,1,0)))</f>
        <v>0</v>
      </c>
      <c r="AA5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79" s="106"/>
      <c r="AC579" s="51"/>
      <c r="AD579" s="106" t="s">
        <v>17</v>
      </c>
      <c r="AE579" s="40" t="s">
        <v>411</v>
      </c>
    </row>
    <row r="580" spans="1:31" ht="18" customHeight="1" x14ac:dyDescent="0.25">
      <c r="A5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0" s="79">
        <v>4</v>
      </c>
      <c r="C580" s="23">
        <v>44125</v>
      </c>
      <c r="D580" s="67">
        <f>IF(COUNTIF($G$2:$G580,$G580)=1,1,0)</f>
        <v>0</v>
      </c>
      <c r="E580" s="67" t="str">
        <f>IFERROR(VLOOKUP(База_КР_КК[[#This Row],[ИД штатной должности (S)]],'уровень защищенности'!$B$7:$F$1095,5,0),"не защищена")</f>
        <v>высокий</v>
      </c>
      <c r="F580" s="68">
        <v>500243</v>
      </c>
      <c r="G580" s="74" t="s">
        <v>2279</v>
      </c>
      <c r="H580" s="181">
        <f>INDEX('Списки данных'!$D$2:$D$1048576,MATCH(База_КР_КК[[#This Row],[Структурное подразделение]],'Списки данных'!$C$2:$C$1048576,0))</f>
        <v>2</v>
      </c>
      <c r="I580" s="80" t="s">
        <v>133</v>
      </c>
      <c r="J580" s="80" t="s">
        <v>197</v>
      </c>
      <c r="K580" s="80" t="s">
        <v>199</v>
      </c>
      <c r="L580" s="30" t="s">
        <v>192</v>
      </c>
      <c r="M580" s="79">
        <v>6</v>
      </c>
      <c r="N580" s="181" t="str">
        <f t="shared" si="10"/>
        <v>нет</v>
      </c>
      <c r="O580" s="23"/>
      <c r="P580" s="23"/>
      <c r="Q580" s="106"/>
      <c r="R580" s="37">
        <v>122</v>
      </c>
      <c r="S580" s="39" t="s">
        <v>534</v>
      </c>
      <c r="T580" s="37">
        <v>1222</v>
      </c>
      <c r="U580" s="38" t="s">
        <v>1627</v>
      </c>
      <c r="V580" s="69" t="s">
        <v>272</v>
      </c>
      <c r="W580" s="89" t="s">
        <v>133</v>
      </c>
      <c r="X580" s="106" t="s">
        <v>295</v>
      </c>
      <c r="Y580" s="107" t="s">
        <v>12</v>
      </c>
      <c r="Z580" s="67">
        <f>IF(База_КР_КК[[#This Row],[Таб.номер резервиста]]="-","-",IF(OR(База_КР_КК[[#This Row],[Уровень КК]]=2,База_КР_КК[[#This Row],[Уровень КК]]=3),IF(COUNTIFS($U$2:$U580,$U580,$F$2:$F580,$F580)=1,1,0),IF(COUNTIFS($U$2:$U580,$U580,$L$2:$L580,$L580)=1,1,0)))</f>
        <v>0</v>
      </c>
      <c r="AA5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0" s="106"/>
      <c r="AC580" s="51"/>
      <c r="AD580" s="106" t="s">
        <v>17</v>
      </c>
      <c r="AE580" s="40" t="s">
        <v>411</v>
      </c>
    </row>
    <row r="581" spans="1:31" ht="18" customHeight="1" x14ac:dyDescent="0.25">
      <c r="A5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1" s="79">
        <v>4</v>
      </c>
      <c r="C581" s="23">
        <v>45012</v>
      </c>
      <c r="D581" s="67">
        <f>IF(COUNTIF($G$2:$G581,$G581)=1,1,0)</f>
        <v>0</v>
      </c>
      <c r="E581" s="67" t="str">
        <f>IFERROR(VLOOKUP(База_КР_КК[[#This Row],[ИД штатной должности (S)]],'уровень защищенности'!$B$7:$F$1095,5,0),"не защищена")</f>
        <v>высокий</v>
      </c>
      <c r="F581" s="68">
        <v>500243</v>
      </c>
      <c r="G581" s="74" t="s">
        <v>2279</v>
      </c>
      <c r="H581" s="181">
        <f>INDEX('Списки данных'!$D$2:$D$1048576,MATCH(База_КР_КК[[#This Row],[Структурное подразделение]],'Списки данных'!$C$2:$C$1048576,0))</f>
        <v>2</v>
      </c>
      <c r="I581" s="80" t="s">
        <v>133</v>
      </c>
      <c r="J581" s="80" t="s">
        <v>197</v>
      </c>
      <c r="K581" s="80" t="s">
        <v>199</v>
      </c>
      <c r="L581" s="30" t="s">
        <v>192</v>
      </c>
      <c r="M581" s="68">
        <v>6</v>
      </c>
      <c r="N581" s="181" t="str">
        <f t="shared" si="10"/>
        <v>нет</v>
      </c>
      <c r="O581" s="23"/>
      <c r="P581" s="23"/>
      <c r="Q581" s="33"/>
      <c r="R581" s="37">
        <v>122</v>
      </c>
      <c r="S581" s="39" t="s">
        <v>534</v>
      </c>
      <c r="T581" s="37">
        <v>1206</v>
      </c>
      <c r="U581" s="38" t="s">
        <v>1611</v>
      </c>
      <c r="V581" s="69" t="s">
        <v>272</v>
      </c>
      <c r="W581" s="89" t="s">
        <v>133</v>
      </c>
      <c r="X581" s="106" t="s">
        <v>296</v>
      </c>
      <c r="Y581" s="39" t="s">
        <v>12</v>
      </c>
      <c r="Z581" s="67">
        <f>IF(База_КР_КК[[#This Row],[Таб.номер резервиста]]="-","-",IF(OR(База_КР_КК[[#This Row],[Уровень КК]]=2,База_КР_КК[[#This Row],[Уровень КК]]=3),IF(COUNTIFS($U$2:$U581,$U581,$F$2:$F581,$F581)=1,1,0),IF(COUNTIFS($U$2:$U581,$U581,$L$2:$L581,$L581)=1,1,0)))</f>
        <v>0</v>
      </c>
      <c r="AA5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1" s="33"/>
      <c r="AC581" s="25"/>
      <c r="AD581" s="33" t="s">
        <v>15</v>
      </c>
      <c r="AE581" s="38" t="s">
        <v>412</v>
      </c>
    </row>
    <row r="582" spans="1:31" ht="18" customHeight="1" x14ac:dyDescent="0.25">
      <c r="A5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2" s="79">
        <v>4</v>
      </c>
      <c r="C582" s="23">
        <v>43791</v>
      </c>
      <c r="D582" s="67">
        <f>IF(COUNTIF($G$2:$G582,$G582)=1,1,0)</f>
        <v>1</v>
      </c>
      <c r="E582" s="67" t="str">
        <f>IFERROR(VLOOKUP(База_КР_КК[[#This Row],[ИД штатной должности (S)]],'уровень защищенности'!$B$7:$F$1095,5,0),"не защищена")</f>
        <v>высокий</v>
      </c>
      <c r="F582" s="68">
        <v>500244</v>
      </c>
      <c r="G582" s="74" t="s">
        <v>2280</v>
      </c>
      <c r="H582" s="181">
        <f>INDEX('Списки данных'!$D$2:$D$1048576,MATCH(База_КР_КК[[#This Row],[Структурное подразделение]],'Списки данных'!$C$2:$C$1048576,0))</f>
        <v>2</v>
      </c>
      <c r="I582" s="80" t="s">
        <v>133</v>
      </c>
      <c r="J582" s="80" t="s">
        <v>197</v>
      </c>
      <c r="K582" s="80" t="s">
        <v>199</v>
      </c>
      <c r="L582" s="30" t="s">
        <v>192</v>
      </c>
      <c r="M582" s="68">
        <v>6</v>
      </c>
      <c r="N582" s="181" t="str">
        <f t="shared" si="10"/>
        <v>нет</v>
      </c>
      <c r="O582" s="23"/>
      <c r="P582" s="23"/>
      <c r="Q582" s="106"/>
      <c r="R582" s="37">
        <v>123</v>
      </c>
      <c r="S582" s="39" t="s">
        <v>535</v>
      </c>
      <c r="T582" s="37">
        <v>1218</v>
      </c>
      <c r="U582" s="39" t="s">
        <v>1623</v>
      </c>
      <c r="V582" s="89" t="s">
        <v>272</v>
      </c>
      <c r="W582" s="89" t="s">
        <v>133</v>
      </c>
      <c r="X582" s="106" t="s">
        <v>297</v>
      </c>
      <c r="Y582" s="107" t="s">
        <v>12</v>
      </c>
      <c r="Z582" s="67">
        <f>IF(База_КР_КК[[#This Row],[Таб.номер резервиста]]="-","-",IF(OR(База_КР_КК[[#This Row],[Уровень КК]]=2,База_КР_КК[[#This Row],[Уровень КК]]=3),IF(COUNTIFS($U$2:$U582,$U582,$F$2:$F582,$F582)=1,1,0),IF(COUNTIFS($U$2:$U582,$U582,$L$2:$L582,$L582)=1,1,0)))</f>
        <v>0</v>
      </c>
      <c r="AA5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2" s="106"/>
      <c r="AC582" s="51"/>
      <c r="AD582" s="106" t="s">
        <v>13</v>
      </c>
      <c r="AE582" s="38" t="s">
        <v>411</v>
      </c>
    </row>
    <row r="583" spans="1:31" ht="18" customHeight="1" x14ac:dyDescent="0.25">
      <c r="A5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3" s="79">
        <v>4</v>
      </c>
      <c r="C583" s="23">
        <v>44495</v>
      </c>
      <c r="D583" s="67">
        <f>IF(COUNTIF($G$2:$G583,$G583)=1,1,0)</f>
        <v>0</v>
      </c>
      <c r="E583" s="67" t="str">
        <f>IFERROR(VLOOKUP(База_КР_КК[[#This Row],[ИД штатной должности (S)]],'уровень защищенности'!$B$7:$F$1095,5,0),"не защищена")</f>
        <v>высокий</v>
      </c>
      <c r="F583" s="68">
        <v>500244</v>
      </c>
      <c r="G583" s="74" t="s">
        <v>2280</v>
      </c>
      <c r="H583" s="181">
        <f>INDEX('Списки данных'!$D$2:$D$1048576,MATCH(База_КР_КК[[#This Row],[Структурное подразделение]],'Списки данных'!$C$2:$C$1048576,0))</f>
        <v>2</v>
      </c>
      <c r="I583" s="80" t="s">
        <v>133</v>
      </c>
      <c r="J583" s="80" t="s">
        <v>197</v>
      </c>
      <c r="K583" s="80" t="s">
        <v>199</v>
      </c>
      <c r="L583" s="30" t="s">
        <v>192</v>
      </c>
      <c r="M583" s="68">
        <v>6</v>
      </c>
      <c r="N583" s="181" t="str">
        <f t="shared" si="10"/>
        <v>нет</v>
      </c>
      <c r="O583" s="23"/>
      <c r="P583" s="23"/>
      <c r="Q583" s="106"/>
      <c r="R583" s="37">
        <v>123</v>
      </c>
      <c r="S583" s="38" t="s">
        <v>535</v>
      </c>
      <c r="T583" s="37">
        <v>1219</v>
      </c>
      <c r="U583" s="39" t="s">
        <v>1624</v>
      </c>
      <c r="V583" s="89" t="s">
        <v>272</v>
      </c>
      <c r="W583" s="89" t="s">
        <v>133</v>
      </c>
      <c r="X583" s="106" t="s">
        <v>296</v>
      </c>
      <c r="Y583" s="107" t="s">
        <v>12</v>
      </c>
      <c r="Z583" s="67">
        <f>IF(База_КР_КК[[#This Row],[Таб.номер резервиста]]="-","-",IF(OR(База_КР_КК[[#This Row],[Уровень КК]]=2,База_КР_КК[[#This Row],[Уровень КК]]=3),IF(COUNTIFS($U$2:$U583,$U583,$F$2:$F583,$F583)=1,1,0),IF(COUNTIFS($U$2:$U583,$U583,$L$2:$L583,$L583)=1,1,0)))</f>
        <v>0</v>
      </c>
      <c r="AA5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3" s="106"/>
      <c r="AC583" s="51"/>
      <c r="AD583" s="106" t="s">
        <v>13</v>
      </c>
      <c r="AE583" s="40" t="s">
        <v>411</v>
      </c>
    </row>
    <row r="584" spans="1:31" ht="18" customHeight="1" x14ac:dyDescent="0.25">
      <c r="A5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4" s="79">
        <v>4</v>
      </c>
      <c r="C584" s="23">
        <v>44495</v>
      </c>
      <c r="D584" s="67">
        <f>IF(COUNTIF($G$2:$G584,$G584)=1,1,0)</f>
        <v>0</v>
      </c>
      <c r="E584" s="67" t="str">
        <f>IFERROR(VLOOKUP(База_КР_КК[[#This Row],[ИД штатной должности (S)]],'уровень защищенности'!$B$7:$F$1095,5,0),"не защищена")</f>
        <v>высокий</v>
      </c>
      <c r="F584" s="68">
        <v>500244</v>
      </c>
      <c r="G584" s="74" t="s">
        <v>2280</v>
      </c>
      <c r="H584" s="181">
        <f>INDEX('Списки данных'!$D$2:$D$1048576,MATCH(База_КР_КК[[#This Row],[Структурное подразделение]],'Списки данных'!$C$2:$C$1048576,0))</f>
        <v>2</v>
      </c>
      <c r="I584" s="80" t="s">
        <v>133</v>
      </c>
      <c r="J584" s="80" t="s">
        <v>197</v>
      </c>
      <c r="K584" s="80" t="s">
        <v>199</v>
      </c>
      <c r="L584" s="30" t="s">
        <v>192</v>
      </c>
      <c r="M584" s="68">
        <v>6</v>
      </c>
      <c r="N584" s="181" t="str">
        <f t="shared" si="10"/>
        <v>нет</v>
      </c>
      <c r="O584" s="23"/>
      <c r="P584" s="23"/>
      <c r="Q584" s="106"/>
      <c r="R584" s="37">
        <v>123</v>
      </c>
      <c r="S584" s="38" t="s">
        <v>535</v>
      </c>
      <c r="T584" s="37">
        <v>1220</v>
      </c>
      <c r="U584" s="39" t="s">
        <v>1625</v>
      </c>
      <c r="V584" s="89" t="s">
        <v>272</v>
      </c>
      <c r="W584" s="89" t="s">
        <v>133</v>
      </c>
      <c r="X584" s="106" t="s">
        <v>297</v>
      </c>
      <c r="Y584" s="107" t="s">
        <v>12</v>
      </c>
      <c r="Z584" s="67">
        <f>IF(База_КР_КК[[#This Row],[Таб.номер резервиста]]="-","-",IF(OR(База_КР_КК[[#This Row],[Уровень КК]]=2,База_КР_КК[[#This Row],[Уровень КК]]=3),IF(COUNTIFS($U$2:$U584,$U584,$F$2:$F584,$F584)=1,1,0),IF(COUNTIFS($U$2:$U584,$U584,$L$2:$L584,$L584)=1,1,0)))</f>
        <v>0</v>
      </c>
      <c r="AA5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4" s="106"/>
      <c r="AC584" s="51"/>
      <c r="AD584" s="106" t="s">
        <v>17</v>
      </c>
      <c r="AE584" s="40" t="s">
        <v>411</v>
      </c>
    </row>
    <row r="585" spans="1:31" ht="18" customHeight="1" x14ac:dyDescent="0.25">
      <c r="A5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5" s="79">
        <v>4</v>
      </c>
      <c r="C585" s="23">
        <v>44125</v>
      </c>
      <c r="D585" s="67">
        <f>IF(COUNTIF($G$2:$G585,$G585)=1,1,0)</f>
        <v>0</v>
      </c>
      <c r="E585" s="67" t="str">
        <f>IFERROR(VLOOKUP(База_КР_КК[[#This Row],[ИД штатной должности (S)]],'уровень защищенности'!$B$7:$F$1095,5,0),"не защищена")</f>
        <v>высокий</v>
      </c>
      <c r="F585" s="68">
        <v>500244</v>
      </c>
      <c r="G585" s="74" t="s">
        <v>2280</v>
      </c>
      <c r="H585" s="181">
        <f>INDEX('Списки данных'!$D$2:$D$1048576,MATCH(База_КР_КК[[#This Row],[Структурное подразделение]],'Списки данных'!$C$2:$C$1048576,0))</f>
        <v>2</v>
      </c>
      <c r="I585" s="80" t="s">
        <v>133</v>
      </c>
      <c r="J585" s="80" t="s">
        <v>197</v>
      </c>
      <c r="K585" s="80" t="s">
        <v>199</v>
      </c>
      <c r="L585" s="30" t="s">
        <v>192</v>
      </c>
      <c r="M585" s="79">
        <v>6</v>
      </c>
      <c r="N585" s="181" t="str">
        <f t="shared" si="10"/>
        <v>нет</v>
      </c>
      <c r="O585" s="23"/>
      <c r="P585" s="23"/>
      <c r="Q585" s="106"/>
      <c r="R585" s="37">
        <v>123</v>
      </c>
      <c r="S585" s="39" t="s">
        <v>535</v>
      </c>
      <c r="T585" s="37">
        <v>1221</v>
      </c>
      <c r="U585" s="38" t="s">
        <v>1626</v>
      </c>
      <c r="V585" s="69" t="s">
        <v>272</v>
      </c>
      <c r="W585" s="89" t="s">
        <v>133</v>
      </c>
      <c r="X585" s="106" t="s">
        <v>295</v>
      </c>
      <c r="Y585" s="107" t="s">
        <v>12</v>
      </c>
      <c r="Z585" s="67">
        <f>IF(База_КР_КК[[#This Row],[Таб.номер резервиста]]="-","-",IF(OR(База_КР_КК[[#This Row],[Уровень КК]]=2,База_КР_КК[[#This Row],[Уровень КК]]=3),IF(COUNTIFS($U$2:$U585,$U585,$F$2:$F585,$F585)=1,1,0),IF(COUNTIFS($U$2:$U585,$U585,$L$2:$L585,$L585)=1,1,0)))</f>
        <v>0</v>
      </c>
      <c r="AA5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5" s="106"/>
      <c r="AC585" s="51"/>
      <c r="AD585" s="106" t="s">
        <v>17</v>
      </c>
      <c r="AE585" s="40" t="s">
        <v>411</v>
      </c>
    </row>
    <row r="586" spans="1:31" ht="18" customHeight="1" x14ac:dyDescent="0.25">
      <c r="A5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6" s="79">
        <v>4</v>
      </c>
      <c r="C586" s="23">
        <v>44125</v>
      </c>
      <c r="D586" s="67">
        <f>IF(COUNTIF($G$2:$G586,$G586)=1,1,0)</f>
        <v>0</v>
      </c>
      <c r="E586" s="67" t="str">
        <f>IFERROR(VLOOKUP(База_КР_КК[[#This Row],[ИД штатной должности (S)]],'уровень защищенности'!$B$7:$F$1095,5,0),"не защищена")</f>
        <v>высокий</v>
      </c>
      <c r="F586" s="68">
        <v>500244</v>
      </c>
      <c r="G586" s="74" t="s">
        <v>2280</v>
      </c>
      <c r="H586" s="181">
        <f>INDEX('Списки данных'!$D$2:$D$1048576,MATCH(База_КР_КК[[#This Row],[Структурное подразделение]],'Списки данных'!$C$2:$C$1048576,0))</f>
        <v>2</v>
      </c>
      <c r="I586" s="80" t="s">
        <v>133</v>
      </c>
      <c r="J586" s="80" t="s">
        <v>197</v>
      </c>
      <c r="K586" s="80" t="s">
        <v>199</v>
      </c>
      <c r="L586" s="30" t="s">
        <v>192</v>
      </c>
      <c r="M586" s="79">
        <v>6</v>
      </c>
      <c r="N586" s="181" t="str">
        <f t="shared" si="10"/>
        <v>нет</v>
      </c>
      <c r="O586" s="23"/>
      <c r="P586" s="23"/>
      <c r="Q586" s="106"/>
      <c r="R586" s="37">
        <v>123</v>
      </c>
      <c r="S586" s="39" t="s">
        <v>535</v>
      </c>
      <c r="T586" s="37">
        <v>1222</v>
      </c>
      <c r="U586" s="38" t="s">
        <v>1627</v>
      </c>
      <c r="V586" s="69" t="s">
        <v>272</v>
      </c>
      <c r="W586" s="89" t="s">
        <v>133</v>
      </c>
      <c r="X586" s="106" t="s">
        <v>295</v>
      </c>
      <c r="Y586" s="107" t="s">
        <v>12</v>
      </c>
      <c r="Z586" s="67">
        <f>IF(База_КР_КК[[#This Row],[Таб.номер резервиста]]="-","-",IF(OR(База_КР_КК[[#This Row],[Уровень КК]]=2,База_КР_КК[[#This Row],[Уровень КК]]=3),IF(COUNTIFS($U$2:$U586,$U586,$F$2:$F586,$F586)=1,1,0),IF(COUNTIFS($U$2:$U586,$U586,$L$2:$L586,$L586)=1,1,0)))</f>
        <v>0</v>
      </c>
      <c r="AA5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6" s="106"/>
      <c r="AC586" s="51"/>
      <c r="AD586" s="106" t="s">
        <v>17</v>
      </c>
      <c r="AE586" s="40" t="s">
        <v>411</v>
      </c>
    </row>
    <row r="587" spans="1:31" ht="18" customHeight="1" x14ac:dyDescent="0.25">
      <c r="A5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7" s="79">
        <v>4</v>
      </c>
      <c r="C587" s="23">
        <v>45012</v>
      </c>
      <c r="D587" s="67">
        <f>IF(COUNTIF($G$2:$G587,$G587)=1,1,0)</f>
        <v>0</v>
      </c>
      <c r="E587" s="67" t="str">
        <f>IFERROR(VLOOKUP(База_КР_КК[[#This Row],[ИД штатной должности (S)]],'уровень защищенности'!$B$7:$F$1095,5,0),"не защищена")</f>
        <v>высокий</v>
      </c>
      <c r="F587" s="68">
        <v>500244</v>
      </c>
      <c r="G587" s="74" t="s">
        <v>2280</v>
      </c>
      <c r="H587" s="181">
        <f>INDEX('Списки данных'!$D$2:$D$1048576,MATCH(База_КР_КК[[#This Row],[Структурное подразделение]],'Списки данных'!$C$2:$C$1048576,0))</f>
        <v>2</v>
      </c>
      <c r="I587" s="80" t="s">
        <v>133</v>
      </c>
      <c r="J587" s="80" t="s">
        <v>197</v>
      </c>
      <c r="K587" s="80" t="s">
        <v>199</v>
      </c>
      <c r="L587" s="30" t="s">
        <v>192</v>
      </c>
      <c r="M587" s="68">
        <v>6</v>
      </c>
      <c r="N587" s="181" t="str">
        <f t="shared" si="10"/>
        <v>нет</v>
      </c>
      <c r="O587" s="23"/>
      <c r="P587" s="23"/>
      <c r="Q587" s="33"/>
      <c r="R587" s="37">
        <v>123</v>
      </c>
      <c r="S587" s="39" t="s">
        <v>535</v>
      </c>
      <c r="T587" s="37">
        <v>1206</v>
      </c>
      <c r="U587" s="38" t="s">
        <v>1611</v>
      </c>
      <c r="V587" s="69" t="s">
        <v>272</v>
      </c>
      <c r="W587" s="89" t="s">
        <v>133</v>
      </c>
      <c r="X587" s="106" t="s">
        <v>296</v>
      </c>
      <c r="Y587" s="39" t="s">
        <v>12</v>
      </c>
      <c r="Z587" s="67">
        <f>IF(База_КР_КК[[#This Row],[Таб.номер резервиста]]="-","-",IF(OR(База_КР_КК[[#This Row],[Уровень КК]]=2,База_КР_КК[[#This Row],[Уровень КК]]=3),IF(COUNTIFS($U$2:$U587,$U587,$F$2:$F587,$F587)=1,1,0),IF(COUNTIFS($U$2:$U587,$U587,$L$2:$L587,$L587)=1,1,0)))</f>
        <v>0</v>
      </c>
      <c r="AA5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7" s="33"/>
      <c r="AC587" s="25"/>
      <c r="AD587" s="33" t="s">
        <v>15</v>
      </c>
      <c r="AE587" s="38" t="s">
        <v>412</v>
      </c>
    </row>
    <row r="588" spans="1:31" ht="18" customHeight="1" x14ac:dyDescent="0.25">
      <c r="A5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8" s="79">
        <v>4</v>
      </c>
      <c r="C588" s="23">
        <v>44125</v>
      </c>
      <c r="D588" s="67">
        <f>IF(COUNTIF($G$2:$G588,$G588)=1,1,0)</f>
        <v>1</v>
      </c>
      <c r="E588" s="67" t="str">
        <f>IFERROR(VLOOKUP(База_КР_КК[[#This Row],[ИД штатной должности (S)]],'уровень защищенности'!$B$7:$F$1095,5,0),"не защищена")</f>
        <v>средний</v>
      </c>
      <c r="F588" s="68">
        <v>500245</v>
      </c>
      <c r="G588" s="74" t="s">
        <v>2281</v>
      </c>
      <c r="H588" s="181">
        <f>INDEX('Списки данных'!$D$2:$D$1048576,MATCH(База_КР_КК[[#This Row],[Структурное подразделение]],'Списки данных'!$C$2:$C$1048576,0))</f>
        <v>2</v>
      </c>
      <c r="I588" s="80" t="s">
        <v>133</v>
      </c>
      <c r="J588" s="80" t="s">
        <v>197</v>
      </c>
      <c r="K588" s="80" t="s">
        <v>199</v>
      </c>
      <c r="L588" s="30" t="s">
        <v>192</v>
      </c>
      <c r="M588" s="68">
        <v>6</v>
      </c>
      <c r="N588" s="181" t="str">
        <f t="shared" si="10"/>
        <v>да</v>
      </c>
      <c r="O588" s="23">
        <v>44064</v>
      </c>
      <c r="P588" s="23">
        <v>44378</v>
      </c>
      <c r="Q588" s="106" t="s">
        <v>57</v>
      </c>
      <c r="R588" s="37">
        <v>124</v>
      </c>
      <c r="S588" s="38" t="s">
        <v>536</v>
      </c>
      <c r="T588" s="37">
        <v>1223</v>
      </c>
      <c r="U588" s="39" t="s">
        <v>1628</v>
      </c>
      <c r="V588" s="89" t="s">
        <v>272</v>
      </c>
      <c r="W588" s="89" t="s">
        <v>133</v>
      </c>
      <c r="X588" s="106" t="s">
        <v>297</v>
      </c>
      <c r="Y588" s="107" t="s">
        <v>12</v>
      </c>
      <c r="Z588" s="67">
        <f>IF(База_КР_КК[[#This Row],[Таб.номер резервиста]]="-","-",IF(OR(База_КР_КК[[#This Row],[Уровень КК]]=2,База_КР_КК[[#This Row],[Уровень КК]]=3),IF(COUNTIFS($U$2:$U588,$U588,$F$2:$F588,$F588)=1,1,0),IF(COUNTIFS($U$2:$U588,$U588,$L$2:$L588,$L588)=1,1,0)))</f>
        <v>1</v>
      </c>
      <c r="AA5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8" s="106"/>
      <c r="AC588" s="51"/>
      <c r="AD588" s="106" t="s">
        <v>17</v>
      </c>
      <c r="AE588" s="38" t="s">
        <v>411</v>
      </c>
    </row>
    <row r="589" spans="1:31" ht="18" customHeight="1" x14ac:dyDescent="0.25">
      <c r="A5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89" s="79">
        <v>4</v>
      </c>
      <c r="C589" s="23">
        <v>44125</v>
      </c>
      <c r="D589" s="67">
        <f>IF(COUNTIF($G$2:$G589,$G589)=1,1,0)</f>
        <v>0</v>
      </c>
      <c r="E589" s="67" t="str">
        <f>IFERROR(VLOOKUP(База_КР_КК[[#This Row],[ИД штатной должности (S)]],'уровень защищенности'!$B$7:$F$1095,5,0),"не защищена")</f>
        <v>средний</v>
      </c>
      <c r="F589" s="68">
        <v>500245</v>
      </c>
      <c r="G589" s="74" t="s">
        <v>2281</v>
      </c>
      <c r="H589" s="181">
        <f>INDEX('Списки данных'!$D$2:$D$1048576,MATCH(База_КР_КК[[#This Row],[Структурное подразделение]],'Списки данных'!$C$2:$C$1048576,0))</f>
        <v>2</v>
      </c>
      <c r="I589" s="80" t="s">
        <v>133</v>
      </c>
      <c r="J589" s="80" t="s">
        <v>197</v>
      </c>
      <c r="K589" s="80" t="s">
        <v>199</v>
      </c>
      <c r="L589" s="30" t="s">
        <v>192</v>
      </c>
      <c r="M589" s="68">
        <v>6</v>
      </c>
      <c r="N589" s="181" t="str">
        <f t="shared" si="10"/>
        <v>да</v>
      </c>
      <c r="O589" s="23">
        <v>44064</v>
      </c>
      <c r="P589" s="23">
        <v>44378</v>
      </c>
      <c r="Q589" s="106" t="s">
        <v>57</v>
      </c>
      <c r="R589" s="37">
        <v>124</v>
      </c>
      <c r="S589" s="38" t="s">
        <v>536</v>
      </c>
      <c r="T589" s="37">
        <v>1224</v>
      </c>
      <c r="U589" s="39" t="s">
        <v>1629</v>
      </c>
      <c r="V589" s="89" t="s">
        <v>272</v>
      </c>
      <c r="W589" s="89" t="s">
        <v>133</v>
      </c>
      <c r="X589" s="106" t="s">
        <v>296</v>
      </c>
      <c r="Y589" s="107" t="s">
        <v>12</v>
      </c>
      <c r="Z589" s="67">
        <f>IF(База_КР_КК[[#This Row],[Таб.номер резервиста]]="-","-",IF(OR(База_КР_КК[[#This Row],[Уровень КК]]=2,База_КР_КК[[#This Row],[Уровень КК]]=3),IF(COUNTIFS($U$2:$U589,$U589,$F$2:$F589,$F589)=1,1,0),IF(COUNTIFS($U$2:$U589,$U589,$L$2:$L589,$L589)=1,1,0)))</f>
        <v>1</v>
      </c>
      <c r="AA5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89" s="106"/>
      <c r="AC589" s="51"/>
      <c r="AD589" s="106" t="s">
        <v>13</v>
      </c>
      <c r="AE589" s="38" t="s">
        <v>411</v>
      </c>
    </row>
    <row r="590" spans="1:31" ht="18" customHeight="1" x14ac:dyDescent="0.25">
      <c r="A5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0" s="79">
        <v>4</v>
      </c>
      <c r="C590" s="23">
        <v>44125</v>
      </c>
      <c r="D590" s="67">
        <f>IF(COUNTIF($G$2:$G590,$G590)=1,1,0)</f>
        <v>0</v>
      </c>
      <c r="E590" s="67" t="str">
        <f>IFERROR(VLOOKUP(База_КР_КК[[#This Row],[ИД штатной должности (S)]],'уровень защищенности'!$B$7:$F$1095,5,0),"не защищена")</f>
        <v>средний</v>
      </c>
      <c r="F590" s="68">
        <v>500245</v>
      </c>
      <c r="G590" s="74" t="s">
        <v>2281</v>
      </c>
      <c r="H590" s="181">
        <f>INDEX('Списки данных'!$D$2:$D$1048576,MATCH(База_КР_КК[[#This Row],[Структурное подразделение]],'Списки данных'!$C$2:$C$1048576,0))</f>
        <v>2</v>
      </c>
      <c r="I590" s="80" t="s">
        <v>133</v>
      </c>
      <c r="J590" s="80" t="s">
        <v>197</v>
      </c>
      <c r="K590" s="80" t="s">
        <v>199</v>
      </c>
      <c r="L590" s="30" t="s">
        <v>192</v>
      </c>
      <c r="M590" s="68">
        <v>6</v>
      </c>
      <c r="N590" s="181" t="str">
        <f t="shared" si="10"/>
        <v>да</v>
      </c>
      <c r="O590" s="23">
        <v>44064</v>
      </c>
      <c r="P590" s="23">
        <v>44378</v>
      </c>
      <c r="Q590" s="106" t="s">
        <v>57</v>
      </c>
      <c r="R590" s="37">
        <v>124</v>
      </c>
      <c r="S590" s="38" t="s">
        <v>536</v>
      </c>
      <c r="T590" s="37">
        <v>1199</v>
      </c>
      <c r="U590" s="39" t="s">
        <v>1605</v>
      </c>
      <c r="V590" s="89" t="s">
        <v>272</v>
      </c>
      <c r="W590" s="89" t="s">
        <v>133</v>
      </c>
      <c r="X590" s="106" t="s">
        <v>297</v>
      </c>
      <c r="Y590" s="107" t="s">
        <v>12</v>
      </c>
      <c r="Z590" s="67">
        <f>IF(База_КР_КК[[#This Row],[Таб.номер резервиста]]="-","-",IF(OR(База_КР_КК[[#This Row],[Уровень КК]]=2,База_КР_КК[[#This Row],[Уровень КК]]=3),IF(COUNTIFS($U$2:$U590,$U590,$F$2:$F590,$F590)=1,1,0),IF(COUNTIFS($U$2:$U590,$U590,$L$2:$L590,$L590)=1,1,0)))</f>
        <v>1</v>
      </c>
      <c r="AA5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0" s="106"/>
      <c r="AC590" s="51"/>
      <c r="AD590" s="106" t="s">
        <v>17</v>
      </c>
      <c r="AE590" s="38" t="s">
        <v>411</v>
      </c>
    </row>
    <row r="591" spans="1:31" ht="18" customHeight="1" x14ac:dyDescent="0.25">
      <c r="A5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1" s="79">
        <v>4</v>
      </c>
      <c r="C591" s="23">
        <v>44125</v>
      </c>
      <c r="D591" s="67">
        <f>IF(COUNTIF($G$2:$G591,$G591)=1,1,0)</f>
        <v>0</v>
      </c>
      <c r="E591" s="67" t="str">
        <f>IFERROR(VLOOKUP(База_КР_КК[[#This Row],[ИД штатной должности (S)]],'уровень защищенности'!$B$7:$F$1095,5,0),"не защищена")</f>
        <v>средний</v>
      </c>
      <c r="F591" s="68">
        <v>500245</v>
      </c>
      <c r="G591" s="74" t="s">
        <v>2281</v>
      </c>
      <c r="H591" s="181">
        <f>INDEX('Списки данных'!$D$2:$D$1048576,MATCH(База_КР_КК[[#This Row],[Структурное подразделение]],'Списки данных'!$C$2:$C$1048576,0))</f>
        <v>2</v>
      </c>
      <c r="I591" s="80" t="s">
        <v>133</v>
      </c>
      <c r="J591" s="80" t="s">
        <v>197</v>
      </c>
      <c r="K591" s="80" t="s">
        <v>199</v>
      </c>
      <c r="L591" s="30" t="s">
        <v>192</v>
      </c>
      <c r="M591" s="68">
        <v>6</v>
      </c>
      <c r="N591" s="181" t="str">
        <f t="shared" si="10"/>
        <v>да</v>
      </c>
      <c r="O591" s="23">
        <v>44064</v>
      </c>
      <c r="P591" s="23">
        <v>44378</v>
      </c>
      <c r="Q591" s="106" t="s">
        <v>57</v>
      </c>
      <c r="R591" s="37">
        <v>124</v>
      </c>
      <c r="S591" s="38" t="s">
        <v>536</v>
      </c>
      <c r="T591" s="37">
        <v>1225</v>
      </c>
      <c r="U591" s="39" t="s">
        <v>1630</v>
      </c>
      <c r="V591" s="69" t="s">
        <v>272</v>
      </c>
      <c r="W591" s="89" t="s">
        <v>133</v>
      </c>
      <c r="X591" s="106" t="s">
        <v>297</v>
      </c>
      <c r="Y591" s="107" t="s">
        <v>12</v>
      </c>
      <c r="Z591" s="67">
        <f>IF(База_КР_КК[[#This Row],[Таб.номер резервиста]]="-","-",IF(OR(База_КР_КК[[#This Row],[Уровень КК]]=2,База_КР_КК[[#This Row],[Уровень КК]]=3),IF(COUNTIFS($U$2:$U591,$U591,$F$2:$F591,$F591)=1,1,0),IF(COUNTIFS($U$2:$U591,$U591,$L$2:$L591,$L591)=1,1,0)))</f>
        <v>1</v>
      </c>
      <c r="AA5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1" s="106"/>
      <c r="AC591" s="51"/>
      <c r="AD591" s="106" t="s">
        <v>13</v>
      </c>
      <c r="AE591" s="40" t="s">
        <v>411</v>
      </c>
    </row>
    <row r="592" spans="1:31" ht="18" customHeight="1" x14ac:dyDescent="0.25">
      <c r="A5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2" s="79">
        <v>4</v>
      </c>
      <c r="C592" s="23">
        <v>44125</v>
      </c>
      <c r="D592" s="67">
        <f>IF(COUNTIF($G$2:$G592,$G592)=1,1,0)</f>
        <v>0</v>
      </c>
      <c r="E592" s="67" t="str">
        <f>IFERROR(VLOOKUP(База_КР_КК[[#This Row],[ИД штатной должности (S)]],'уровень защищенности'!$B$7:$F$1095,5,0),"не защищена")</f>
        <v>средний</v>
      </c>
      <c r="F592" s="68">
        <v>500245</v>
      </c>
      <c r="G592" s="74" t="s">
        <v>2281</v>
      </c>
      <c r="H592" s="181">
        <f>INDEX('Списки данных'!$D$2:$D$1048576,MATCH(База_КР_КК[[#This Row],[Структурное подразделение]],'Списки данных'!$C$2:$C$1048576,0))</f>
        <v>2</v>
      </c>
      <c r="I592" s="80" t="s">
        <v>133</v>
      </c>
      <c r="J592" s="80" t="s">
        <v>197</v>
      </c>
      <c r="K592" s="80" t="s">
        <v>199</v>
      </c>
      <c r="L592" s="30" t="s">
        <v>192</v>
      </c>
      <c r="M592" s="68">
        <v>6</v>
      </c>
      <c r="N592" s="181" t="str">
        <f t="shared" si="10"/>
        <v>да</v>
      </c>
      <c r="O592" s="23">
        <v>44064</v>
      </c>
      <c r="P592" s="23">
        <v>44378</v>
      </c>
      <c r="Q592" s="106" t="s">
        <v>57</v>
      </c>
      <c r="R592" s="37">
        <v>124</v>
      </c>
      <c r="S592" s="39" t="s">
        <v>536</v>
      </c>
      <c r="T592" s="37">
        <v>1226</v>
      </c>
      <c r="U592" s="38" t="s">
        <v>1631</v>
      </c>
      <c r="V592" s="69" t="s">
        <v>272</v>
      </c>
      <c r="W592" s="89" t="s">
        <v>133</v>
      </c>
      <c r="X592" s="106" t="s">
        <v>297</v>
      </c>
      <c r="Y592" s="107" t="s">
        <v>12</v>
      </c>
      <c r="Z592" s="67">
        <f>IF(База_КР_КК[[#This Row],[Таб.номер резервиста]]="-","-",IF(OR(База_КР_КК[[#This Row],[Уровень КК]]=2,База_КР_КК[[#This Row],[Уровень КК]]=3),IF(COUNTIFS($U$2:$U592,$U592,$F$2:$F592,$F592)=1,1,0),IF(COUNTIFS($U$2:$U592,$U592,$L$2:$L592,$L592)=1,1,0)))</f>
        <v>1</v>
      </c>
      <c r="AA5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2" s="106"/>
      <c r="AC592" s="51"/>
      <c r="AD592" s="106" t="s">
        <v>17</v>
      </c>
      <c r="AE592" s="40" t="s">
        <v>411</v>
      </c>
    </row>
    <row r="593" spans="1:31" ht="18" customHeight="1" x14ac:dyDescent="0.25">
      <c r="A5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3" s="79">
        <v>4</v>
      </c>
      <c r="C593" s="23">
        <v>44125</v>
      </c>
      <c r="D593" s="67">
        <f>IF(COUNTIF($G$2:$G593,$G593)=1,1,0)</f>
        <v>0</v>
      </c>
      <c r="E593" s="67" t="str">
        <f>IFERROR(VLOOKUP(База_КР_КК[[#This Row],[ИД штатной должности (S)]],'уровень защищенности'!$B$7:$F$1095,5,0),"не защищена")</f>
        <v>средний</v>
      </c>
      <c r="F593" s="68">
        <v>500245</v>
      </c>
      <c r="G593" s="74" t="s">
        <v>2281</v>
      </c>
      <c r="H593" s="181">
        <f>INDEX('Списки данных'!$D$2:$D$1048576,MATCH(База_КР_КК[[#This Row],[Структурное подразделение]],'Списки данных'!$C$2:$C$1048576,0))</f>
        <v>2</v>
      </c>
      <c r="I593" s="80" t="s">
        <v>133</v>
      </c>
      <c r="J593" s="80" t="s">
        <v>197</v>
      </c>
      <c r="K593" s="80" t="s">
        <v>199</v>
      </c>
      <c r="L593" s="30" t="s">
        <v>192</v>
      </c>
      <c r="M593" s="68">
        <v>6</v>
      </c>
      <c r="N593" s="181" t="str">
        <f t="shared" si="10"/>
        <v>да</v>
      </c>
      <c r="O593" s="23">
        <v>44064</v>
      </c>
      <c r="P593" s="23">
        <v>44378</v>
      </c>
      <c r="Q593" s="106" t="s">
        <v>57</v>
      </c>
      <c r="R593" s="37">
        <v>124</v>
      </c>
      <c r="S593" s="39" t="s">
        <v>536</v>
      </c>
      <c r="T593" s="37">
        <v>1227</v>
      </c>
      <c r="U593" s="38" t="s">
        <v>1632</v>
      </c>
      <c r="V593" s="69" t="s">
        <v>272</v>
      </c>
      <c r="W593" s="89" t="s">
        <v>133</v>
      </c>
      <c r="X593" s="106" t="s">
        <v>296</v>
      </c>
      <c r="Y593" s="107" t="s">
        <v>12</v>
      </c>
      <c r="Z593" s="67">
        <f>IF(База_КР_КК[[#This Row],[Таб.номер резервиста]]="-","-",IF(OR(База_КР_КК[[#This Row],[Уровень КК]]=2,База_КР_КК[[#This Row],[Уровень КК]]=3),IF(COUNTIFS($U$2:$U593,$U593,$F$2:$F593,$F593)=1,1,0),IF(COUNTIFS($U$2:$U593,$U593,$L$2:$L593,$L593)=1,1,0)))</f>
        <v>1</v>
      </c>
      <c r="AA5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3" s="106"/>
      <c r="AC593" s="51"/>
      <c r="AD593" s="106" t="s">
        <v>13</v>
      </c>
      <c r="AE593" s="40" t="s">
        <v>411</v>
      </c>
    </row>
    <row r="594" spans="1:31" ht="18" customHeight="1" x14ac:dyDescent="0.25">
      <c r="A5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4" s="79">
        <v>4</v>
      </c>
      <c r="C594" s="23">
        <v>44880</v>
      </c>
      <c r="D594" s="67">
        <f>IF(COUNTIF($G$2:$G594,$G594)=1,1,0)</f>
        <v>0</v>
      </c>
      <c r="E594" s="67" t="str">
        <f>IFERROR(VLOOKUP(База_КР_КК[[#This Row],[ИД штатной должности (S)]],'уровень защищенности'!$B$7:$F$1095,5,0),"не защищена")</f>
        <v>средний</v>
      </c>
      <c r="F594" s="68">
        <v>500245</v>
      </c>
      <c r="G594" s="74" t="s">
        <v>2281</v>
      </c>
      <c r="H594" s="181">
        <f>INDEX('Списки данных'!$D$2:$D$1048576,MATCH(База_КР_КК[[#This Row],[Структурное подразделение]],'Списки данных'!$C$2:$C$1048576,0))</f>
        <v>2</v>
      </c>
      <c r="I594" s="80" t="s">
        <v>133</v>
      </c>
      <c r="J594" s="80" t="s">
        <v>197</v>
      </c>
      <c r="K594" s="80" t="s">
        <v>199</v>
      </c>
      <c r="L594" s="30" t="s">
        <v>192</v>
      </c>
      <c r="M594" s="68">
        <v>6</v>
      </c>
      <c r="N594" s="181" t="str">
        <f t="shared" si="10"/>
        <v>да</v>
      </c>
      <c r="O594" s="23">
        <v>44064</v>
      </c>
      <c r="P594" s="23">
        <v>44378</v>
      </c>
      <c r="Q594" s="106" t="s">
        <v>57</v>
      </c>
      <c r="R594" s="37">
        <v>124</v>
      </c>
      <c r="S594" s="39" t="s">
        <v>536</v>
      </c>
      <c r="T594" s="37">
        <v>1228</v>
      </c>
      <c r="U594" s="38" t="s">
        <v>1633</v>
      </c>
      <c r="V594" s="69" t="s">
        <v>272</v>
      </c>
      <c r="W594" s="89" t="s">
        <v>133</v>
      </c>
      <c r="X594" s="106" t="s">
        <v>296</v>
      </c>
      <c r="Y594" s="107" t="s">
        <v>12</v>
      </c>
      <c r="Z594" s="67">
        <f>IF(База_КР_КК[[#This Row],[Таб.номер резервиста]]="-","-",IF(OR(База_КР_КК[[#This Row],[Уровень КК]]=2,База_КР_КК[[#This Row],[Уровень КК]]=3),IF(COUNTIFS($U$2:$U594,$U594,$F$2:$F594,$F594)=1,1,0),IF(COUNTIFS($U$2:$U594,$U594,$L$2:$L594,$L594)=1,1,0)))</f>
        <v>1</v>
      </c>
      <c r="AA5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4" s="106"/>
      <c r="AC594" s="51"/>
      <c r="AD594" s="106" t="s">
        <v>15</v>
      </c>
      <c r="AE594" s="40" t="s">
        <v>411</v>
      </c>
    </row>
    <row r="595" spans="1:31" ht="18" customHeight="1" x14ac:dyDescent="0.25">
      <c r="A5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5" s="79">
        <v>4</v>
      </c>
      <c r="C595" s="23">
        <v>44880</v>
      </c>
      <c r="D595" s="67">
        <f>IF(COUNTIF($G$2:$G595,$G595)=1,1,0)</f>
        <v>0</v>
      </c>
      <c r="E595" s="67" t="str">
        <f>IFERROR(VLOOKUP(База_КР_КК[[#This Row],[ИД штатной должности (S)]],'уровень защищенности'!$B$7:$F$1095,5,0),"не защищена")</f>
        <v>средний</v>
      </c>
      <c r="F595" s="68">
        <v>500245</v>
      </c>
      <c r="G595" s="74" t="s">
        <v>2281</v>
      </c>
      <c r="H595" s="181">
        <f>INDEX('Списки данных'!$D$2:$D$1048576,MATCH(База_КР_КК[[#This Row],[Структурное подразделение]],'Списки данных'!$C$2:$C$1048576,0))</f>
        <v>2</v>
      </c>
      <c r="I595" s="80" t="s">
        <v>133</v>
      </c>
      <c r="J595" s="80" t="s">
        <v>197</v>
      </c>
      <c r="K595" s="80" t="s">
        <v>199</v>
      </c>
      <c r="L595" s="30" t="s">
        <v>192</v>
      </c>
      <c r="M595" s="68">
        <v>6</v>
      </c>
      <c r="N595" s="181" t="str">
        <f t="shared" si="10"/>
        <v>да</v>
      </c>
      <c r="O595" s="23">
        <v>44064</v>
      </c>
      <c r="P595" s="23">
        <v>44378</v>
      </c>
      <c r="Q595" s="106" t="s">
        <v>57</v>
      </c>
      <c r="R595" s="37">
        <v>124</v>
      </c>
      <c r="S595" s="39" t="s">
        <v>536</v>
      </c>
      <c r="T595" s="37">
        <v>1214</v>
      </c>
      <c r="U595" s="38" t="s">
        <v>1619</v>
      </c>
      <c r="V595" s="69" t="s">
        <v>272</v>
      </c>
      <c r="W595" s="89" t="s">
        <v>133</v>
      </c>
      <c r="X595" s="106" t="s">
        <v>296</v>
      </c>
      <c r="Y595" s="107" t="s">
        <v>12</v>
      </c>
      <c r="Z595" s="67">
        <f>IF(База_КР_КК[[#This Row],[Таб.номер резервиста]]="-","-",IF(OR(База_КР_КК[[#This Row],[Уровень КК]]=2,База_КР_КК[[#This Row],[Уровень КК]]=3),IF(COUNTIFS($U$2:$U595,$U595,$F$2:$F595,$F595)=1,1,0),IF(COUNTIFS($U$2:$U595,$U595,$L$2:$L595,$L595)=1,1,0)))</f>
        <v>1</v>
      </c>
      <c r="AA5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5" s="106"/>
      <c r="AC595" s="51"/>
      <c r="AD595" s="106" t="s">
        <v>15</v>
      </c>
      <c r="AE595" s="40" t="s">
        <v>411</v>
      </c>
    </row>
    <row r="596" spans="1:31" ht="18" customHeight="1" x14ac:dyDescent="0.25">
      <c r="A5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6" s="79">
        <v>4</v>
      </c>
      <c r="C596" s="23">
        <v>44880</v>
      </c>
      <c r="D596" s="67">
        <f>IF(COUNTIF($G$2:$G596,$G596)=1,1,0)</f>
        <v>0</v>
      </c>
      <c r="E596" s="67" t="str">
        <f>IFERROR(VLOOKUP(База_КР_КК[[#This Row],[ИД штатной должности (S)]],'уровень защищенности'!$B$7:$F$1095,5,0),"не защищена")</f>
        <v>средний</v>
      </c>
      <c r="F596" s="68">
        <v>500245</v>
      </c>
      <c r="G596" s="74" t="s">
        <v>2281</v>
      </c>
      <c r="H596" s="181">
        <f>INDEX('Списки данных'!$D$2:$D$1048576,MATCH(База_КР_КК[[#This Row],[Структурное подразделение]],'Списки данных'!$C$2:$C$1048576,0))</f>
        <v>2</v>
      </c>
      <c r="I596" s="80" t="s">
        <v>133</v>
      </c>
      <c r="J596" s="80" t="s">
        <v>197</v>
      </c>
      <c r="K596" s="80" t="s">
        <v>199</v>
      </c>
      <c r="L596" s="30" t="s">
        <v>192</v>
      </c>
      <c r="M596" s="68">
        <v>6</v>
      </c>
      <c r="N596" s="181" t="str">
        <f t="shared" si="10"/>
        <v>да</v>
      </c>
      <c r="O596" s="23">
        <v>44064</v>
      </c>
      <c r="P596" s="23">
        <v>44378</v>
      </c>
      <c r="Q596" s="106" t="s">
        <v>57</v>
      </c>
      <c r="R596" s="37">
        <v>124</v>
      </c>
      <c r="S596" s="39" t="s">
        <v>536</v>
      </c>
      <c r="T596" s="37">
        <v>1229</v>
      </c>
      <c r="U596" s="38" t="s">
        <v>1634</v>
      </c>
      <c r="V596" s="69" t="s">
        <v>272</v>
      </c>
      <c r="W596" s="89" t="s">
        <v>133</v>
      </c>
      <c r="X596" s="106" t="s">
        <v>296</v>
      </c>
      <c r="Y596" s="107" t="s">
        <v>12</v>
      </c>
      <c r="Z596" s="67">
        <f>IF(База_КР_КК[[#This Row],[Таб.номер резервиста]]="-","-",IF(OR(База_КР_КК[[#This Row],[Уровень КК]]=2,База_КР_КК[[#This Row],[Уровень КК]]=3),IF(COUNTIFS($U$2:$U596,$U596,$F$2:$F596,$F596)=1,1,0),IF(COUNTIFS($U$2:$U596,$U596,$L$2:$L596,$L596)=1,1,0)))</f>
        <v>1</v>
      </c>
      <c r="AA5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6" s="106"/>
      <c r="AC596" s="51"/>
      <c r="AD596" s="106" t="s">
        <v>15</v>
      </c>
      <c r="AE596" s="40" t="s">
        <v>411</v>
      </c>
    </row>
    <row r="597" spans="1:31" ht="18" customHeight="1" x14ac:dyDescent="0.25">
      <c r="A5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7" s="79">
        <v>4</v>
      </c>
      <c r="C597" s="23">
        <v>44880</v>
      </c>
      <c r="D597" s="67">
        <f>IF(COUNTIF($G$2:$G597,$G597)=1,1,0)</f>
        <v>0</v>
      </c>
      <c r="E597" s="67" t="str">
        <f>IFERROR(VLOOKUP(База_КР_КК[[#This Row],[ИД штатной должности (S)]],'уровень защищенности'!$B$7:$F$1095,5,0),"не защищена")</f>
        <v>средний</v>
      </c>
      <c r="F597" s="68">
        <v>500245</v>
      </c>
      <c r="G597" s="74" t="s">
        <v>2281</v>
      </c>
      <c r="H597" s="181">
        <f>INDEX('Списки данных'!$D$2:$D$1048576,MATCH(База_КР_КК[[#This Row],[Структурное подразделение]],'Списки данных'!$C$2:$C$1048576,0))</f>
        <v>2</v>
      </c>
      <c r="I597" s="80" t="s">
        <v>133</v>
      </c>
      <c r="J597" s="80" t="s">
        <v>197</v>
      </c>
      <c r="K597" s="80" t="s">
        <v>199</v>
      </c>
      <c r="L597" s="30" t="s">
        <v>192</v>
      </c>
      <c r="M597" s="68">
        <v>6</v>
      </c>
      <c r="N597" s="181" t="str">
        <f t="shared" si="10"/>
        <v>да</v>
      </c>
      <c r="O597" s="23">
        <v>44064</v>
      </c>
      <c r="P597" s="23">
        <v>44378</v>
      </c>
      <c r="Q597" s="106" t="s">
        <v>57</v>
      </c>
      <c r="R597" s="37">
        <v>124</v>
      </c>
      <c r="S597" s="39" t="s">
        <v>536</v>
      </c>
      <c r="T597" s="37">
        <v>1230</v>
      </c>
      <c r="U597" s="38" t="s">
        <v>1635</v>
      </c>
      <c r="V597" s="69" t="s">
        <v>272</v>
      </c>
      <c r="W597" s="89" t="s">
        <v>133</v>
      </c>
      <c r="X597" s="106" t="s">
        <v>296</v>
      </c>
      <c r="Y597" s="107" t="s">
        <v>12</v>
      </c>
      <c r="Z597" s="67">
        <f>IF(База_КР_КК[[#This Row],[Таб.номер резервиста]]="-","-",IF(OR(База_КР_КК[[#This Row],[Уровень КК]]=2,База_КР_КК[[#This Row],[Уровень КК]]=3),IF(COUNTIFS($U$2:$U597,$U597,$F$2:$F597,$F597)=1,1,0),IF(COUNTIFS($U$2:$U597,$U597,$L$2:$L597,$L597)=1,1,0)))</f>
        <v>1</v>
      </c>
      <c r="AA5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7" s="106"/>
      <c r="AC597" s="51"/>
      <c r="AD597" s="106" t="s">
        <v>15</v>
      </c>
      <c r="AE597" s="40" t="s">
        <v>411</v>
      </c>
    </row>
    <row r="598" spans="1:31" ht="18" customHeight="1" x14ac:dyDescent="0.25">
      <c r="A5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8" s="79">
        <v>4</v>
      </c>
      <c r="C598" s="23">
        <v>44880</v>
      </c>
      <c r="D598" s="67">
        <f>IF(COUNTIF($G$2:$G598,$G598)=1,1,0)</f>
        <v>0</v>
      </c>
      <c r="E598" s="67" t="str">
        <f>IFERROR(VLOOKUP(База_КР_КК[[#This Row],[ИД штатной должности (S)]],'уровень защищенности'!$B$7:$F$1095,5,0),"не защищена")</f>
        <v>средний</v>
      </c>
      <c r="F598" s="68">
        <v>500245</v>
      </c>
      <c r="G598" s="74" t="s">
        <v>2281</v>
      </c>
      <c r="H598" s="181">
        <f>INDEX('Списки данных'!$D$2:$D$1048576,MATCH(База_КР_КК[[#This Row],[Структурное подразделение]],'Списки данных'!$C$2:$C$1048576,0))</f>
        <v>2</v>
      </c>
      <c r="I598" s="80" t="s">
        <v>133</v>
      </c>
      <c r="J598" s="80" t="s">
        <v>197</v>
      </c>
      <c r="K598" s="80" t="s">
        <v>199</v>
      </c>
      <c r="L598" s="30" t="s">
        <v>192</v>
      </c>
      <c r="M598" s="68">
        <v>6</v>
      </c>
      <c r="N598" s="181" t="str">
        <f t="shared" si="10"/>
        <v>да</v>
      </c>
      <c r="O598" s="23">
        <v>44064</v>
      </c>
      <c r="P598" s="23">
        <v>44378</v>
      </c>
      <c r="Q598" s="106" t="s">
        <v>57</v>
      </c>
      <c r="R598" s="37">
        <v>124</v>
      </c>
      <c r="S598" s="39" t="s">
        <v>536</v>
      </c>
      <c r="T598" s="37">
        <v>1231</v>
      </c>
      <c r="U598" s="38" t="s">
        <v>1636</v>
      </c>
      <c r="V598" s="69" t="s">
        <v>272</v>
      </c>
      <c r="W598" s="89" t="s">
        <v>133</v>
      </c>
      <c r="X598" s="106" t="s">
        <v>296</v>
      </c>
      <c r="Y598" s="107" t="s">
        <v>12</v>
      </c>
      <c r="Z598" s="67">
        <f>IF(База_КР_КК[[#This Row],[Таб.номер резервиста]]="-","-",IF(OR(База_КР_КК[[#This Row],[Уровень КК]]=2,База_КР_КК[[#This Row],[Уровень КК]]=3),IF(COUNTIFS($U$2:$U598,$U598,$F$2:$F598,$F598)=1,1,0),IF(COUNTIFS($U$2:$U598,$U598,$L$2:$L598,$L598)=1,1,0)))</f>
        <v>1</v>
      </c>
      <c r="AA5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8" s="106"/>
      <c r="AC598" s="51"/>
      <c r="AD598" s="106" t="s">
        <v>15</v>
      </c>
      <c r="AE598" s="40" t="s">
        <v>411</v>
      </c>
    </row>
    <row r="599" spans="1:31" ht="18" customHeight="1" x14ac:dyDescent="0.25">
      <c r="A5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599" s="79">
        <v>4</v>
      </c>
      <c r="C599" s="23">
        <v>43791</v>
      </c>
      <c r="D599" s="67">
        <f>IF(COUNTIF($G$2:$G599,$G599)=1,1,0)</f>
        <v>0</v>
      </c>
      <c r="E599" s="67" t="str">
        <f>IFERROR(VLOOKUP(База_КР_КК[[#This Row],[ИД штатной должности (S)]],'уровень защищенности'!$B$7:$F$1095,5,0),"не защищена")</f>
        <v>средний</v>
      </c>
      <c r="F599" s="68">
        <v>500245</v>
      </c>
      <c r="G599" s="74" t="s">
        <v>2281</v>
      </c>
      <c r="H599" s="181">
        <f>INDEX('Списки данных'!$D$2:$D$1048576,MATCH(База_КР_КК[[#This Row],[Структурное подразделение]],'Списки данных'!$C$2:$C$1048576,0))</f>
        <v>2</v>
      </c>
      <c r="I599" s="80" t="s">
        <v>133</v>
      </c>
      <c r="J599" s="80" t="s">
        <v>197</v>
      </c>
      <c r="K599" s="80" t="s">
        <v>199</v>
      </c>
      <c r="L599" s="30" t="s">
        <v>192</v>
      </c>
      <c r="M599" s="68">
        <v>6</v>
      </c>
      <c r="N599" s="181" t="str">
        <f t="shared" si="10"/>
        <v>да</v>
      </c>
      <c r="O599" s="23">
        <v>44064</v>
      </c>
      <c r="P599" s="23">
        <v>44378</v>
      </c>
      <c r="Q599" s="106" t="s">
        <v>57</v>
      </c>
      <c r="R599" s="37">
        <v>124</v>
      </c>
      <c r="S599" s="38" t="s">
        <v>536</v>
      </c>
      <c r="T599" s="37">
        <v>1232</v>
      </c>
      <c r="U599" s="39" t="s">
        <v>1637</v>
      </c>
      <c r="V599" s="89" t="s">
        <v>272</v>
      </c>
      <c r="W599" s="89" t="s">
        <v>133</v>
      </c>
      <c r="X599" s="106" t="s">
        <v>297</v>
      </c>
      <c r="Y599" s="107" t="s">
        <v>18</v>
      </c>
      <c r="Z599" s="67">
        <f>IF(База_КР_КК[[#This Row],[Таб.номер резервиста]]="-","-",IF(OR(База_КР_КК[[#This Row],[Уровень КК]]=2,База_КР_КК[[#This Row],[Уровень КК]]=3),IF(COUNTIFS($U$2:$U599,$U599,$F$2:$F599,$F599)=1,1,0),IF(COUNTIFS($U$2:$U599,$U599,$L$2:$L599,$L599)=1,1,0)))</f>
        <v>1</v>
      </c>
      <c r="AA5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599" s="106" t="s">
        <v>38</v>
      </c>
      <c r="AC599" s="51">
        <v>44125</v>
      </c>
      <c r="AD599" s="106" t="s">
        <v>31</v>
      </c>
      <c r="AE599" s="38" t="s">
        <v>318</v>
      </c>
    </row>
    <row r="600" spans="1:31" ht="18" customHeight="1" x14ac:dyDescent="0.25">
      <c r="A6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0" s="79">
        <v>4</v>
      </c>
      <c r="C600" s="23">
        <v>43791</v>
      </c>
      <c r="D600" s="67">
        <f>IF(COUNTIF($G$2:$G600,$G600)=1,1,0)</f>
        <v>1</v>
      </c>
      <c r="E600" s="67" t="str">
        <f>IFERROR(VLOOKUP(База_КР_КК[[#This Row],[ИД штатной должности (S)]],'уровень защищенности'!$B$7:$F$1095,5,0),"не защищена")</f>
        <v>средний</v>
      </c>
      <c r="F600" s="68">
        <v>500246</v>
      </c>
      <c r="G600" s="74" t="s">
        <v>2282</v>
      </c>
      <c r="H600" s="181">
        <f>INDEX('Списки данных'!$D$2:$D$1048576,MATCH(База_КР_КК[[#This Row],[Структурное подразделение]],'Списки данных'!$C$2:$C$1048576,0))</f>
        <v>2</v>
      </c>
      <c r="I600" s="80" t="s">
        <v>133</v>
      </c>
      <c r="J600" s="80" t="s">
        <v>197</v>
      </c>
      <c r="K600" s="80" t="s">
        <v>199</v>
      </c>
      <c r="L600" s="30" t="s">
        <v>192</v>
      </c>
      <c r="M600" s="68">
        <v>6</v>
      </c>
      <c r="N600" s="181" t="str">
        <f t="shared" si="10"/>
        <v>нет</v>
      </c>
      <c r="O600" s="23"/>
      <c r="P600" s="23"/>
      <c r="Q600" s="106"/>
      <c r="R600" s="37">
        <v>125</v>
      </c>
      <c r="S600" s="38" t="s">
        <v>537</v>
      </c>
      <c r="T600" s="37">
        <v>1225</v>
      </c>
      <c r="U600" s="39" t="s">
        <v>1630</v>
      </c>
      <c r="V600" s="89" t="s">
        <v>272</v>
      </c>
      <c r="W600" s="89" t="s">
        <v>133</v>
      </c>
      <c r="X600" s="106" t="s">
        <v>297</v>
      </c>
      <c r="Y600" s="107" t="s">
        <v>12</v>
      </c>
      <c r="Z600" s="67">
        <f>IF(База_КР_КК[[#This Row],[Таб.номер резервиста]]="-","-",IF(OR(База_КР_КК[[#This Row],[Уровень КК]]=2,База_КР_КК[[#This Row],[Уровень КК]]=3),IF(COUNTIFS($U$2:$U600,$U600,$F$2:$F600,$F600)=1,1,0),IF(COUNTIFS($U$2:$U600,$U600,$L$2:$L600,$L600)=1,1,0)))</f>
        <v>0</v>
      </c>
      <c r="AA6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0" s="106"/>
      <c r="AC600" s="51"/>
      <c r="AD600" s="106" t="s">
        <v>13</v>
      </c>
      <c r="AE600" s="38" t="s">
        <v>411</v>
      </c>
    </row>
    <row r="601" spans="1:31" ht="18" customHeight="1" x14ac:dyDescent="0.25">
      <c r="A6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1" s="79">
        <v>4</v>
      </c>
      <c r="C601" s="23">
        <v>44125</v>
      </c>
      <c r="D601" s="67">
        <f>IF(COUNTIF($G$2:$G601,$G601)=1,1,0)</f>
        <v>0</v>
      </c>
      <c r="E601" s="67" t="str">
        <f>IFERROR(VLOOKUP(База_КР_КК[[#This Row],[ИД штатной должности (S)]],'уровень защищенности'!$B$7:$F$1095,5,0),"не защищена")</f>
        <v>средний</v>
      </c>
      <c r="F601" s="68">
        <v>500246</v>
      </c>
      <c r="G601" s="74" t="s">
        <v>2282</v>
      </c>
      <c r="H601" s="181">
        <f>INDEX('Списки данных'!$D$2:$D$1048576,MATCH(База_КР_КК[[#This Row],[Структурное подразделение]],'Списки данных'!$C$2:$C$1048576,0))</f>
        <v>2</v>
      </c>
      <c r="I601" s="80" t="s">
        <v>133</v>
      </c>
      <c r="J601" s="80" t="s">
        <v>197</v>
      </c>
      <c r="K601" s="80" t="s">
        <v>199</v>
      </c>
      <c r="L601" s="30" t="s">
        <v>192</v>
      </c>
      <c r="M601" s="68">
        <v>6</v>
      </c>
      <c r="N601" s="181" t="str">
        <f t="shared" si="10"/>
        <v>нет</v>
      </c>
      <c r="O601" s="23"/>
      <c r="P601" s="23"/>
      <c r="Q601" s="106"/>
      <c r="R601" s="37">
        <v>125</v>
      </c>
      <c r="S601" s="38" t="s">
        <v>537</v>
      </c>
      <c r="T601" s="37">
        <v>1223</v>
      </c>
      <c r="U601" s="39" t="s">
        <v>1628</v>
      </c>
      <c r="V601" s="89" t="s">
        <v>272</v>
      </c>
      <c r="W601" s="89" t="s">
        <v>133</v>
      </c>
      <c r="X601" s="106" t="s">
        <v>297</v>
      </c>
      <c r="Y601" s="107" t="s">
        <v>12</v>
      </c>
      <c r="Z601" s="67">
        <f>IF(База_КР_КК[[#This Row],[Таб.номер резервиста]]="-","-",IF(OR(База_КР_КК[[#This Row],[Уровень КК]]=2,База_КР_КК[[#This Row],[Уровень КК]]=3),IF(COUNTIFS($U$2:$U601,$U601,$F$2:$F601,$F601)=1,1,0),IF(COUNTIFS($U$2:$U601,$U601,$L$2:$L601,$L601)=1,1,0)))</f>
        <v>0</v>
      </c>
      <c r="AA6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1" s="106"/>
      <c r="AC601" s="51"/>
      <c r="AD601" s="106" t="s">
        <v>17</v>
      </c>
      <c r="AE601" s="38" t="s">
        <v>411</v>
      </c>
    </row>
    <row r="602" spans="1:31" ht="18" customHeight="1" x14ac:dyDescent="0.25">
      <c r="A6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2" s="79">
        <v>4</v>
      </c>
      <c r="C602" s="23">
        <v>44125</v>
      </c>
      <c r="D602" s="67">
        <f>IF(COUNTIF($G$2:$G602,$G602)=1,1,0)</f>
        <v>0</v>
      </c>
      <c r="E602" s="67" t="str">
        <f>IFERROR(VLOOKUP(База_КР_КК[[#This Row],[ИД штатной должности (S)]],'уровень защищенности'!$B$7:$F$1095,5,0),"не защищена")</f>
        <v>средний</v>
      </c>
      <c r="F602" s="68">
        <v>500246</v>
      </c>
      <c r="G602" s="74" t="s">
        <v>2282</v>
      </c>
      <c r="H602" s="181">
        <f>INDEX('Списки данных'!$D$2:$D$1048576,MATCH(База_КР_КК[[#This Row],[Структурное подразделение]],'Списки данных'!$C$2:$C$1048576,0))</f>
        <v>2</v>
      </c>
      <c r="I602" s="80" t="s">
        <v>133</v>
      </c>
      <c r="J602" s="80" t="s">
        <v>197</v>
      </c>
      <c r="K602" s="80" t="s">
        <v>199</v>
      </c>
      <c r="L602" s="30" t="s">
        <v>192</v>
      </c>
      <c r="M602" s="68">
        <v>6</v>
      </c>
      <c r="N602" s="181" t="str">
        <f t="shared" si="10"/>
        <v>нет</v>
      </c>
      <c r="O602" s="23"/>
      <c r="P602" s="23"/>
      <c r="Q602" s="106"/>
      <c r="R602" s="37">
        <v>125</v>
      </c>
      <c r="S602" s="38" t="s">
        <v>537</v>
      </c>
      <c r="T602" s="37">
        <v>1224</v>
      </c>
      <c r="U602" s="39" t="s">
        <v>1629</v>
      </c>
      <c r="V602" s="89" t="s">
        <v>272</v>
      </c>
      <c r="W602" s="89" t="s">
        <v>133</v>
      </c>
      <c r="X602" s="106" t="s">
        <v>296</v>
      </c>
      <c r="Y602" s="107" t="s">
        <v>12</v>
      </c>
      <c r="Z602" s="67">
        <f>IF(База_КР_КК[[#This Row],[Таб.номер резервиста]]="-","-",IF(OR(База_КР_КК[[#This Row],[Уровень КК]]=2,База_КР_КК[[#This Row],[Уровень КК]]=3),IF(COUNTIFS($U$2:$U602,$U602,$F$2:$F602,$F602)=1,1,0),IF(COUNTIFS($U$2:$U602,$U602,$L$2:$L602,$L602)=1,1,0)))</f>
        <v>0</v>
      </c>
      <c r="AA6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2" s="106"/>
      <c r="AC602" s="51"/>
      <c r="AD602" s="106" t="s">
        <v>13</v>
      </c>
      <c r="AE602" s="38" t="s">
        <v>411</v>
      </c>
    </row>
    <row r="603" spans="1:31" ht="18" customHeight="1" x14ac:dyDescent="0.25">
      <c r="A6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3" s="79">
        <v>4</v>
      </c>
      <c r="C603" s="23">
        <v>44125</v>
      </c>
      <c r="D603" s="67">
        <f>IF(COUNTIF($G$2:$G603,$G603)=1,1,0)</f>
        <v>0</v>
      </c>
      <c r="E603" s="67" t="str">
        <f>IFERROR(VLOOKUP(База_КР_КК[[#This Row],[ИД штатной должности (S)]],'уровень защищенности'!$B$7:$F$1095,5,0),"не защищена")</f>
        <v>средний</v>
      </c>
      <c r="F603" s="68">
        <v>500246</v>
      </c>
      <c r="G603" s="74" t="s">
        <v>2282</v>
      </c>
      <c r="H603" s="181">
        <f>INDEX('Списки данных'!$D$2:$D$1048576,MATCH(База_КР_КК[[#This Row],[Структурное подразделение]],'Списки данных'!$C$2:$C$1048576,0))</f>
        <v>2</v>
      </c>
      <c r="I603" s="80" t="s">
        <v>133</v>
      </c>
      <c r="J603" s="80" t="s">
        <v>197</v>
      </c>
      <c r="K603" s="80" t="s">
        <v>199</v>
      </c>
      <c r="L603" s="30" t="s">
        <v>192</v>
      </c>
      <c r="M603" s="68">
        <v>6</v>
      </c>
      <c r="N603" s="181" t="str">
        <f t="shared" si="10"/>
        <v>нет</v>
      </c>
      <c r="O603" s="23"/>
      <c r="P603" s="23"/>
      <c r="Q603" s="106"/>
      <c r="R603" s="37">
        <v>125</v>
      </c>
      <c r="S603" s="38" t="s">
        <v>537</v>
      </c>
      <c r="T603" s="37">
        <v>1199</v>
      </c>
      <c r="U603" s="39" t="s">
        <v>1605</v>
      </c>
      <c r="V603" s="89" t="s">
        <v>272</v>
      </c>
      <c r="W603" s="89" t="s">
        <v>133</v>
      </c>
      <c r="X603" s="106" t="s">
        <v>297</v>
      </c>
      <c r="Y603" s="107" t="s">
        <v>12</v>
      </c>
      <c r="Z603" s="67">
        <f>IF(База_КР_КК[[#This Row],[Таб.номер резервиста]]="-","-",IF(OR(База_КР_КК[[#This Row],[Уровень КК]]=2,База_КР_КК[[#This Row],[Уровень КК]]=3),IF(COUNTIFS($U$2:$U603,$U603,$F$2:$F603,$F603)=1,1,0),IF(COUNTIFS($U$2:$U603,$U603,$L$2:$L603,$L603)=1,1,0)))</f>
        <v>0</v>
      </c>
      <c r="AA6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3" s="106"/>
      <c r="AC603" s="51"/>
      <c r="AD603" s="106" t="s">
        <v>17</v>
      </c>
      <c r="AE603" s="38" t="s">
        <v>411</v>
      </c>
    </row>
    <row r="604" spans="1:31" ht="18" customHeight="1" x14ac:dyDescent="0.25">
      <c r="A6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4" s="79">
        <v>4</v>
      </c>
      <c r="C604" s="23">
        <v>44125</v>
      </c>
      <c r="D604" s="67">
        <f>IF(COUNTIF($G$2:$G604,$G604)=1,1,0)</f>
        <v>0</v>
      </c>
      <c r="E604" s="67" t="str">
        <f>IFERROR(VLOOKUP(База_КР_КК[[#This Row],[ИД штатной должности (S)]],'уровень защищенности'!$B$7:$F$1095,5,0),"не защищена")</f>
        <v>средний</v>
      </c>
      <c r="F604" s="68">
        <v>500246</v>
      </c>
      <c r="G604" s="74" t="s">
        <v>2282</v>
      </c>
      <c r="H604" s="181">
        <f>INDEX('Списки данных'!$D$2:$D$1048576,MATCH(База_КР_КК[[#This Row],[Структурное подразделение]],'Списки данных'!$C$2:$C$1048576,0))</f>
        <v>2</v>
      </c>
      <c r="I604" s="80" t="s">
        <v>133</v>
      </c>
      <c r="J604" s="80" t="s">
        <v>197</v>
      </c>
      <c r="K604" s="80" t="s">
        <v>199</v>
      </c>
      <c r="L604" s="30" t="s">
        <v>192</v>
      </c>
      <c r="M604" s="68">
        <v>6</v>
      </c>
      <c r="N604" s="181" t="str">
        <f t="shared" si="10"/>
        <v>нет</v>
      </c>
      <c r="O604" s="23"/>
      <c r="P604" s="23"/>
      <c r="Q604" s="106"/>
      <c r="R604" s="37">
        <v>125</v>
      </c>
      <c r="S604" s="39" t="s">
        <v>537</v>
      </c>
      <c r="T604" s="37">
        <v>1226</v>
      </c>
      <c r="U604" s="38" t="s">
        <v>1631</v>
      </c>
      <c r="V604" s="69" t="s">
        <v>272</v>
      </c>
      <c r="W604" s="89" t="s">
        <v>133</v>
      </c>
      <c r="X604" s="106" t="s">
        <v>297</v>
      </c>
      <c r="Y604" s="107" t="s">
        <v>12</v>
      </c>
      <c r="Z604" s="67">
        <f>IF(База_КР_КК[[#This Row],[Таб.номер резервиста]]="-","-",IF(OR(База_КР_КК[[#This Row],[Уровень КК]]=2,База_КР_КК[[#This Row],[Уровень КК]]=3),IF(COUNTIFS($U$2:$U604,$U604,$F$2:$F604,$F604)=1,1,0),IF(COUNTIFS($U$2:$U604,$U604,$L$2:$L604,$L604)=1,1,0)))</f>
        <v>0</v>
      </c>
      <c r="AA6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4" s="106"/>
      <c r="AC604" s="51"/>
      <c r="AD604" s="106" t="s">
        <v>17</v>
      </c>
      <c r="AE604" s="40" t="s">
        <v>411</v>
      </c>
    </row>
    <row r="605" spans="1:31" ht="18" customHeight="1" x14ac:dyDescent="0.25">
      <c r="A6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5" s="79">
        <v>4</v>
      </c>
      <c r="C605" s="23">
        <v>44125</v>
      </c>
      <c r="D605" s="67">
        <f>IF(COUNTIF($G$2:$G605,$G605)=1,1,0)</f>
        <v>0</v>
      </c>
      <c r="E605" s="67" t="str">
        <f>IFERROR(VLOOKUP(База_КР_КК[[#This Row],[ИД штатной должности (S)]],'уровень защищенности'!$B$7:$F$1095,5,0),"не защищена")</f>
        <v>средний</v>
      </c>
      <c r="F605" s="68">
        <v>500246</v>
      </c>
      <c r="G605" s="74" t="s">
        <v>2282</v>
      </c>
      <c r="H605" s="181">
        <f>INDEX('Списки данных'!$D$2:$D$1048576,MATCH(База_КР_КК[[#This Row],[Структурное подразделение]],'Списки данных'!$C$2:$C$1048576,0))</f>
        <v>2</v>
      </c>
      <c r="I605" s="80" t="s">
        <v>133</v>
      </c>
      <c r="J605" s="80" t="s">
        <v>197</v>
      </c>
      <c r="K605" s="80" t="s">
        <v>199</v>
      </c>
      <c r="L605" s="30" t="s">
        <v>192</v>
      </c>
      <c r="M605" s="68">
        <v>6</v>
      </c>
      <c r="N605" s="181" t="str">
        <f t="shared" si="10"/>
        <v>нет</v>
      </c>
      <c r="O605" s="23"/>
      <c r="P605" s="23"/>
      <c r="Q605" s="106"/>
      <c r="R605" s="37">
        <v>125</v>
      </c>
      <c r="S605" s="39" t="s">
        <v>537</v>
      </c>
      <c r="T605" s="37">
        <v>1227</v>
      </c>
      <c r="U605" s="38" t="s">
        <v>1632</v>
      </c>
      <c r="V605" s="69" t="s">
        <v>272</v>
      </c>
      <c r="W605" s="89" t="s">
        <v>133</v>
      </c>
      <c r="X605" s="106" t="s">
        <v>296</v>
      </c>
      <c r="Y605" s="107" t="s">
        <v>12</v>
      </c>
      <c r="Z605" s="67">
        <f>IF(База_КР_КК[[#This Row],[Таб.номер резервиста]]="-","-",IF(OR(База_КР_КК[[#This Row],[Уровень КК]]=2,База_КР_КК[[#This Row],[Уровень КК]]=3),IF(COUNTIFS($U$2:$U605,$U605,$F$2:$F605,$F605)=1,1,0),IF(COUNTIFS($U$2:$U605,$U605,$L$2:$L605,$L605)=1,1,0)))</f>
        <v>0</v>
      </c>
      <c r="AA6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5" s="106"/>
      <c r="AC605" s="51"/>
      <c r="AD605" s="106" t="s">
        <v>13</v>
      </c>
      <c r="AE605" s="40" t="s">
        <v>411</v>
      </c>
    </row>
    <row r="606" spans="1:31" ht="18" customHeight="1" x14ac:dyDescent="0.25">
      <c r="A6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6" s="79">
        <v>4</v>
      </c>
      <c r="C606" s="23">
        <v>44880</v>
      </c>
      <c r="D606" s="67">
        <f>IF(COUNTIF($G$2:$G606,$G606)=1,1,0)</f>
        <v>0</v>
      </c>
      <c r="E606" s="67" t="str">
        <f>IFERROR(VLOOKUP(База_КР_КК[[#This Row],[ИД штатной должности (S)]],'уровень защищенности'!$B$7:$F$1095,5,0),"не защищена")</f>
        <v>средний</v>
      </c>
      <c r="F606" s="68">
        <v>500246</v>
      </c>
      <c r="G606" s="74" t="s">
        <v>2282</v>
      </c>
      <c r="H606" s="181">
        <f>INDEX('Списки данных'!$D$2:$D$1048576,MATCH(База_КР_КК[[#This Row],[Структурное подразделение]],'Списки данных'!$C$2:$C$1048576,0))</f>
        <v>2</v>
      </c>
      <c r="I606" s="80" t="s">
        <v>133</v>
      </c>
      <c r="J606" s="80" t="s">
        <v>197</v>
      </c>
      <c r="K606" s="80" t="s">
        <v>199</v>
      </c>
      <c r="L606" s="30" t="s">
        <v>192</v>
      </c>
      <c r="M606" s="68">
        <v>6</v>
      </c>
      <c r="N606" s="181" t="str">
        <f t="shared" si="10"/>
        <v>нет</v>
      </c>
      <c r="O606" s="23"/>
      <c r="P606" s="23"/>
      <c r="Q606" s="106"/>
      <c r="R606" s="37">
        <v>125</v>
      </c>
      <c r="S606" s="39" t="s">
        <v>537</v>
      </c>
      <c r="T606" s="37">
        <v>1228</v>
      </c>
      <c r="U606" s="38" t="s">
        <v>1633</v>
      </c>
      <c r="V606" s="69" t="s">
        <v>272</v>
      </c>
      <c r="W606" s="89" t="s">
        <v>133</v>
      </c>
      <c r="X606" s="106" t="s">
        <v>296</v>
      </c>
      <c r="Y606" s="107" t="s">
        <v>12</v>
      </c>
      <c r="Z606" s="67">
        <f>IF(База_КР_КК[[#This Row],[Таб.номер резервиста]]="-","-",IF(OR(База_КР_КК[[#This Row],[Уровень КК]]=2,База_КР_КК[[#This Row],[Уровень КК]]=3),IF(COUNTIFS($U$2:$U606,$U606,$F$2:$F606,$F606)=1,1,0),IF(COUNTIFS($U$2:$U606,$U606,$L$2:$L606,$L606)=1,1,0)))</f>
        <v>0</v>
      </c>
      <c r="AA6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6" s="106"/>
      <c r="AC606" s="51"/>
      <c r="AD606" s="106" t="s">
        <v>15</v>
      </c>
      <c r="AE606" s="40" t="s">
        <v>411</v>
      </c>
    </row>
    <row r="607" spans="1:31" ht="18" customHeight="1" x14ac:dyDescent="0.25">
      <c r="A6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7" s="79">
        <v>4</v>
      </c>
      <c r="C607" s="23">
        <v>44880</v>
      </c>
      <c r="D607" s="67">
        <f>IF(COUNTIF($G$2:$G607,$G607)=1,1,0)</f>
        <v>0</v>
      </c>
      <c r="E607" s="67" t="str">
        <f>IFERROR(VLOOKUP(База_КР_КК[[#This Row],[ИД штатной должности (S)]],'уровень защищенности'!$B$7:$F$1095,5,0),"не защищена")</f>
        <v>средний</v>
      </c>
      <c r="F607" s="68">
        <v>500246</v>
      </c>
      <c r="G607" s="74" t="s">
        <v>2282</v>
      </c>
      <c r="H607" s="181">
        <f>INDEX('Списки данных'!$D$2:$D$1048576,MATCH(База_КР_КК[[#This Row],[Структурное подразделение]],'Списки данных'!$C$2:$C$1048576,0))</f>
        <v>2</v>
      </c>
      <c r="I607" s="80" t="s">
        <v>133</v>
      </c>
      <c r="J607" s="80" t="s">
        <v>197</v>
      </c>
      <c r="K607" s="80" t="s">
        <v>199</v>
      </c>
      <c r="L607" s="30" t="s">
        <v>192</v>
      </c>
      <c r="M607" s="68">
        <v>6</v>
      </c>
      <c r="N607" s="181" t="str">
        <f t="shared" si="10"/>
        <v>нет</v>
      </c>
      <c r="O607" s="23"/>
      <c r="P607" s="23"/>
      <c r="Q607" s="106"/>
      <c r="R607" s="37">
        <v>125</v>
      </c>
      <c r="S607" s="39" t="s">
        <v>537</v>
      </c>
      <c r="T607" s="37">
        <v>1214</v>
      </c>
      <c r="U607" s="38" t="s">
        <v>1619</v>
      </c>
      <c r="V607" s="69" t="s">
        <v>272</v>
      </c>
      <c r="W607" s="89" t="s">
        <v>133</v>
      </c>
      <c r="X607" s="106" t="s">
        <v>296</v>
      </c>
      <c r="Y607" s="107" t="s">
        <v>12</v>
      </c>
      <c r="Z607" s="67">
        <f>IF(База_КР_КК[[#This Row],[Таб.номер резервиста]]="-","-",IF(OR(База_КР_КК[[#This Row],[Уровень КК]]=2,База_КР_КК[[#This Row],[Уровень КК]]=3),IF(COUNTIFS($U$2:$U607,$U607,$F$2:$F607,$F607)=1,1,0),IF(COUNTIFS($U$2:$U607,$U607,$L$2:$L607,$L607)=1,1,0)))</f>
        <v>0</v>
      </c>
      <c r="AA6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7" s="106"/>
      <c r="AC607" s="51"/>
      <c r="AD607" s="106" t="s">
        <v>15</v>
      </c>
      <c r="AE607" s="40" t="s">
        <v>411</v>
      </c>
    </row>
    <row r="608" spans="1:31" ht="18" customHeight="1" x14ac:dyDescent="0.25">
      <c r="A6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8" s="79">
        <v>4</v>
      </c>
      <c r="C608" s="23">
        <v>44880</v>
      </c>
      <c r="D608" s="67">
        <f>IF(COUNTIF($G$2:$G608,$G608)=1,1,0)</f>
        <v>0</v>
      </c>
      <c r="E608" s="67" t="str">
        <f>IFERROR(VLOOKUP(База_КР_КК[[#This Row],[ИД штатной должности (S)]],'уровень защищенности'!$B$7:$F$1095,5,0),"не защищена")</f>
        <v>средний</v>
      </c>
      <c r="F608" s="68">
        <v>500246</v>
      </c>
      <c r="G608" s="74" t="s">
        <v>2282</v>
      </c>
      <c r="H608" s="181">
        <f>INDEX('Списки данных'!$D$2:$D$1048576,MATCH(База_КР_КК[[#This Row],[Структурное подразделение]],'Списки данных'!$C$2:$C$1048576,0))</f>
        <v>2</v>
      </c>
      <c r="I608" s="80" t="s">
        <v>133</v>
      </c>
      <c r="J608" s="80" t="s">
        <v>197</v>
      </c>
      <c r="K608" s="80" t="s">
        <v>199</v>
      </c>
      <c r="L608" s="30" t="s">
        <v>192</v>
      </c>
      <c r="M608" s="68">
        <v>6</v>
      </c>
      <c r="N608" s="181" t="str">
        <f t="shared" si="10"/>
        <v>нет</v>
      </c>
      <c r="O608" s="23"/>
      <c r="P608" s="23"/>
      <c r="Q608" s="106"/>
      <c r="R608" s="37">
        <v>125</v>
      </c>
      <c r="S608" s="39" t="s">
        <v>537</v>
      </c>
      <c r="T608" s="37">
        <v>1229</v>
      </c>
      <c r="U608" s="38" t="s">
        <v>1634</v>
      </c>
      <c r="V608" s="69" t="s">
        <v>272</v>
      </c>
      <c r="W608" s="89" t="s">
        <v>133</v>
      </c>
      <c r="X608" s="106" t="s">
        <v>296</v>
      </c>
      <c r="Y608" s="107" t="s">
        <v>12</v>
      </c>
      <c r="Z608" s="67">
        <f>IF(База_КР_КК[[#This Row],[Таб.номер резервиста]]="-","-",IF(OR(База_КР_КК[[#This Row],[Уровень КК]]=2,База_КР_КК[[#This Row],[Уровень КК]]=3),IF(COUNTIFS($U$2:$U608,$U608,$F$2:$F608,$F608)=1,1,0),IF(COUNTIFS($U$2:$U608,$U608,$L$2:$L608,$L608)=1,1,0)))</f>
        <v>0</v>
      </c>
      <c r="AA6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8" s="106"/>
      <c r="AC608" s="51"/>
      <c r="AD608" s="106" t="s">
        <v>15</v>
      </c>
      <c r="AE608" s="40" t="s">
        <v>411</v>
      </c>
    </row>
    <row r="609" spans="1:31" ht="18" customHeight="1" x14ac:dyDescent="0.25">
      <c r="A6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09" s="79">
        <v>4</v>
      </c>
      <c r="C609" s="23">
        <v>44880</v>
      </c>
      <c r="D609" s="67">
        <f>IF(COUNTIF($G$2:$G609,$G609)=1,1,0)</f>
        <v>0</v>
      </c>
      <c r="E609" s="67" t="str">
        <f>IFERROR(VLOOKUP(База_КР_КК[[#This Row],[ИД штатной должности (S)]],'уровень защищенности'!$B$7:$F$1095,5,0),"не защищена")</f>
        <v>средний</v>
      </c>
      <c r="F609" s="68">
        <v>500246</v>
      </c>
      <c r="G609" s="74" t="s">
        <v>2282</v>
      </c>
      <c r="H609" s="181">
        <f>INDEX('Списки данных'!$D$2:$D$1048576,MATCH(База_КР_КК[[#This Row],[Структурное подразделение]],'Списки данных'!$C$2:$C$1048576,0))</f>
        <v>2</v>
      </c>
      <c r="I609" s="80" t="s">
        <v>133</v>
      </c>
      <c r="J609" s="80" t="s">
        <v>197</v>
      </c>
      <c r="K609" s="80" t="s">
        <v>199</v>
      </c>
      <c r="L609" s="30" t="s">
        <v>192</v>
      </c>
      <c r="M609" s="68">
        <v>6</v>
      </c>
      <c r="N609" s="181" t="str">
        <f t="shared" si="10"/>
        <v>нет</v>
      </c>
      <c r="O609" s="23"/>
      <c r="P609" s="23"/>
      <c r="Q609" s="106"/>
      <c r="R609" s="37">
        <v>125</v>
      </c>
      <c r="S609" s="39" t="s">
        <v>537</v>
      </c>
      <c r="T609" s="37">
        <v>1230</v>
      </c>
      <c r="U609" s="38" t="s">
        <v>1635</v>
      </c>
      <c r="V609" s="69" t="s">
        <v>272</v>
      </c>
      <c r="W609" s="89" t="s">
        <v>133</v>
      </c>
      <c r="X609" s="106" t="s">
        <v>296</v>
      </c>
      <c r="Y609" s="107" t="s">
        <v>12</v>
      </c>
      <c r="Z609" s="67">
        <f>IF(База_КР_КК[[#This Row],[Таб.номер резервиста]]="-","-",IF(OR(База_КР_КК[[#This Row],[Уровень КК]]=2,База_КР_КК[[#This Row],[Уровень КК]]=3),IF(COUNTIFS($U$2:$U609,$U609,$F$2:$F609,$F609)=1,1,0),IF(COUNTIFS($U$2:$U609,$U609,$L$2:$L609,$L609)=1,1,0)))</f>
        <v>0</v>
      </c>
      <c r="AA6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09" s="106"/>
      <c r="AC609" s="51"/>
      <c r="AD609" s="106" t="s">
        <v>15</v>
      </c>
      <c r="AE609" s="40" t="s">
        <v>411</v>
      </c>
    </row>
    <row r="610" spans="1:31" ht="18" customHeight="1" x14ac:dyDescent="0.25">
      <c r="A6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0" s="79">
        <v>4</v>
      </c>
      <c r="C610" s="23">
        <v>44880</v>
      </c>
      <c r="D610" s="67">
        <f>IF(COUNTIF($G$2:$G610,$G610)=1,1,0)</f>
        <v>0</v>
      </c>
      <c r="E610" s="67" t="str">
        <f>IFERROR(VLOOKUP(База_КР_КК[[#This Row],[ИД штатной должности (S)]],'уровень защищенности'!$B$7:$F$1095,5,0),"не защищена")</f>
        <v>средний</v>
      </c>
      <c r="F610" s="68">
        <v>500246</v>
      </c>
      <c r="G610" s="74" t="s">
        <v>2282</v>
      </c>
      <c r="H610" s="181">
        <f>INDEX('Списки данных'!$D$2:$D$1048576,MATCH(База_КР_КК[[#This Row],[Структурное подразделение]],'Списки данных'!$C$2:$C$1048576,0))</f>
        <v>2</v>
      </c>
      <c r="I610" s="80" t="s">
        <v>133</v>
      </c>
      <c r="J610" s="80" t="s">
        <v>197</v>
      </c>
      <c r="K610" s="80" t="s">
        <v>199</v>
      </c>
      <c r="L610" s="30" t="s">
        <v>192</v>
      </c>
      <c r="M610" s="68">
        <v>6</v>
      </c>
      <c r="N610" s="181" t="str">
        <f t="shared" si="10"/>
        <v>нет</v>
      </c>
      <c r="O610" s="23"/>
      <c r="P610" s="23"/>
      <c r="Q610" s="106"/>
      <c r="R610" s="37">
        <v>125</v>
      </c>
      <c r="S610" s="39" t="s">
        <v>537</v>
      </c>
      <c r="T610" s="37">
        <v>1231</v>
      </c>
      <c r="U610" s="38" t="s">
        <v>1636</v>
      </c>
      <c r="V610" s="69" t="s">
        <v>272</v>
      </c>
      <c r="W610" s="89" t="s">
        <v>133</v>
      </c>
      <c r="X610" s="106" t="s">
        <v>296</v>
      </c>
      <c r="Y610" s="107" t="s">
        <v>12</v>
      </c>
      <c r="Z610" s="67">
        <f>IF(База_КР_КК[[#This Row],[Таб.номер резервиста]]="-","-",IF(OR(База_КР_КК[[#This Row],[Уровень КК]]=2,База_КР_КК[[#This Row],[Уровень КК]]=3),IF(COUNTIFS($U$2:$U610,$U610,$F$2:$F610,$F610)=1,1,0),IF(COUNTIFS($U$2:$U610,$U610,$L$2:$L610,$L610)=1,1,0)))</f>
        <v>0</v>
      </c>
      <c r="AA6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0" s="106"/>
      <c r="AC610" s="51"/>
      <c r="AD610" s="106" t="s">
        <v>15</v>
      </c>
      <c r="AE610" s="40" t="s">
        <v>411</v>
      </c>
    </row>
    <row r="611" spans="1:31" ht="18" customHeight="1" x14ac:dyDescent="0.25">
      <c r="A6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1" s="79">
        <v>4</v>
      </c>
      <c r="C611" s="23">
        <v>43791</v>
      </c>
      <c r="D611" s="67">
        <f>IF(COUNTIF($G$2:$G611,$G611)=1,1,0)</f>
        <v>0</v>
      </c>
      <c r="E611" s="67" t="str">
        <f>IFERROR(VLOOKUP(База_КР_КК[[#This Row],[ИД штатной должности (S)]],'уровень защищенности'!$B$7:$F$1095,5,0),"не защищена")</f>
        <v>средний</v>
      </c>
      <c r="F611" s="68">
        <v>500246</v>
      </c>
      <c r="G611" s="74" t="s">
        <v>2282</v>
      </c>
      <c r="H611" s="181">
        <f>INDEX('Списки данных'!$D$2:$D$1048576,MATCH(База_КР_КК[[#This Row],[Структурное подразделение]],'Списки данных'!$C$2:$C$1048576,0))</f>
        <v>2</v>
      </c>
      <c r="I611" s="80" t="s">
        <v>133</v>
      </c>
      <c r="J611" s="80" t="s">
        <v>197</v>
      </c>
      <c r="K611" s="80" t="s">
        <v>199</v>
      </c>
      <c r="L611" s="30" t="s">
        <v>192</v>
      </c>
      <c r="M611" s="68">
        <v>6</v>
      </c>
      <c r="N611" s="181" t="str">
        <f t="shared" si="10"/>
        <v>нет</v>
      </c>
      <c r="O611" s="23"/>
      <c r="P611" s="23"/>
      <c r="Q611" s="106"/>
      <c r="R611" s="37">
        <v>125</v>
      </c>
      <c r="S611" s="38" t="s">
        <v>537</v>
      </c>
      <c r="T611" s="37">
        <v>1232</v>
      </c>
      <c r="U611" s="39" t="s">
        <v>1637</v>
      </c>
      <c r="V611" s="89" t="s">
        <v>272</v>
      </c>
      <c r="W611" s="89" t="s">
        <v>133</v>
      </c>
      <c r="X611" s="106" t="s">
        <v>297</v>
      </c>
      <c r="Y611" s="107" t="s">
        <v>18</v>
      </c>
      <c r="Z611" s="67">
        <f>IF(База_КР_КК[[#This Row],[Таб.номер резервиста]]="-","-",IF(OR(База_КР_КК[[#This Row],[Уровень КК]]=2,База_КР_КК[[#This Row],[Уровень КК]]=3),IF(COUNTIFS($U$2:$U611,$U611,$F$2:$F611,$F611)=1,1,0),IF(COUNTIFS($U$2:$U611,$U611,$L$2:$L611,$L611)=1,1,0)))</f>
        <v>0</v>
      </c>
      <c r="AA6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1" s="106" t="s">
        <v>38</v>
      </c>
      <c r="AC611" s="51">
        <v>44125</v>
      </c>
      <c r="AD611" s="106" t="s">
        <v>31</v>
      </c>
      <c r="AE611" s="38" t="s">
        <v>318</v>
      </c>
    </row>
    <row r="612" spans="1:31" ht="18" customHeight="1" x14ac:dyDescent="0.25">
      <c r="A6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2" s="79">
        <v>4</v>
      </c>
      <c r="C612" s="23">
        <v>43791</v>
      </c>
      <c r="D612" s="67">
        <f>IF(COUNTIF($G$2:$G612,$G612)=1,1,0)</f>
        <v>1</v>
      </c>
      <c r="E612" s="67" t="str">
        <f>IFERROR(VLOOKUP(База_КР_КК[[#This Row],[ИД штатной должности (S)]],'уровень защищенности'!$B$7:$F$1095,5,0),"не защищена")</f>
        <v>средний</v>
      </c>
      <c r="F612" s="68">
        <v>500247</v>
      </c>
      <c r="G612" s="74" t="s">
        <v>2283</v>
      </c>
      <c r="H612" s="181">
        <f>INDEX('Списки данных'!$D$2:$D$1048576,MATCH(База_КР_КК[[#This Row],[Структурное подразделение]],'Списки данных'!$C$2:$C$1048576,0))</f>
        <v>2</v>
      </c>
      <c r="I612" s="80" t="s">
        <v>133</v>
      </c>
      <c r="J612" s="80" t="s">
        <v>197</v>
      </c>
      <c r="K612" s="80" t="s">
        <v>199</v>
      </c>
      <c r="L612" s="31" t="s">
        <v>192</v>
      </c>
      <c r="M612" s="68">
        <v>6</v>
      </c>
      <c r="N612" s="181" t="str">
        <f t="shared" si="10"/>
        <v>нет</v>
      </c>
      <c r="O612" s="23"/>
      <c r="P612" s="23"/>
      <c r="Q612" s="106"/>
      <c r="R612" s="37">
        <v>126</v>
      </c>
      <c r="S612" s="38" t="s">
        <v>538</v>
      </c>
      <c r="T612" s="37">
        <v>1225</v>
      </c>
      <c r="U612" s="39" t="s">
        <v>1630</v>
      </c>
      <c r="V612" s="89" t="s">
        <v>272</v>
      </c>
      <c r="W612" s="89" t="s">
        <v>133</v>
      </c>
      <c r="X612" s="106" t="s">
        <v>297</v>
      </c>
      <c r="Y612" s="107" t="s">
        <v>12</v>
      </c>
      <c r="Z612" s="67">
        <f>IF(База_КР_КК[[#This Row],[Таб.номер резервиста]]="-","-",IF(OR(База_КР_КК[[#This Row],[Уровень КК]]=2,База_КР_КК[[#This Row],[Уровень КК]]=3),IF(COUNTIFS($U$2:$U612,$U612,$F$2:$F612,$F612)=1,1,0),IF(COUNTIFS($U$2:$U612,$U612,$L$2:$L612,$L612)=1,1,0)))</f>
        <v>0</v>
      </c>
      <c r="AA6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2" s="106"/>
      <c r="AC612" s="51"/>
      <c r="AD612" s="106" t="s">
        <v>13</v>
      </c>
      <c r="AE612" s="38" t="s">
        <v>411</v>
      </c>
    </row>
    <row r="613" spans="1:31" ht="18" customHeight="1" x14ac:dyDescent="0.25">
      <c r="A6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3" s="79">
        <v>4</v>
      </c>
      <c r="C613" s="23">
        <v>44125</v>
      </c>
      <c r="D613" s="67">
        <f>IF(COUNTIF($G$2:$G613,$G613)=1,1,0)</f>
        <v>0</v>
      </c>
      <c r="E613" s="67" t="str">
        <f>IFERROR(VLOOKUP(База_КР_КК[[#This Row],[ИД штатной должности (S)]],'уровень защищенности'!$B$7:$F$1095,5,0),"не защищена")</f>
        <v>средний</v>
      </c>
      <c r="F613" s="68">
        <v>500247</v>
      </c>
      <c r="G613" s="74" t="s">
        <v>2283</v>
      </c>
      <c r="H613" s="181">
        <f>INDEX('Списки данных'!$D$2:$D$1048576,MATCH(База_КР_КК[[#This Row],[Структурное подразделение]],'Списки данных'!$C$2:$C$1048576,0))</f>
        <v>2</v>
      </c>
      <c r="I613" s="80" t="s">
        <v>133</v>
      </c>
      <c r="J613" s="80" t="s">
        <v>197</v>
      </c>
      <c r="K613" s="80" t="s">
        <v>199</v>
      </c>
      <c r="L613" s="31" t="s">
        <v>192</v>
      </c>
      <c r="M613" s="68">
        <v>6</v>
      </c>
      <c r="N613" s="181" t="str">
        <f t="shared" si="10"/>
        <v>нет</v>
      </c>
      <c r="O613" s="23"/>
      <c r="P613" s="23"/>
      <c r="Q613" s="106"/>
      <c r="R613" s="37">
        <v>126</v>
      </c>
      <c r="S613" s="38" t="s">
        <v>538</v>
      </c>
      <c r="T613" s="37">
        <v>1227</v>
      </c>
      <c r="U613" s="39" t="s">
        <v>1632</v>
      </c>
      <c r="V613" s="89" t="s">
        <v>272</v>
      </c>
      <c r="W613" s="89" t="s">
        <v>133</v>
      </c>
      <c r="X613" s="106" t="s">
        <v>296</v>
      </c>
      <c r="Y613" s="107" t="s">
        <v>12</v>
      </c>
      <c r="Z613" s="67">
        <f>IF(База_КР_КК[[#This Row],[Таб.номер резервиста]]="-","-",IF(OR(База_КР_КК[[#This Row],[Уровень КК]]=2,База_КР_КК[[#This Row],[Уровень КК]]=3),IF(COUNTIFS($U$2:$U613,$U613,$F$2:$F613,$F613)=1,1,0),IF(COUNTIFS($U$2:$U613,$U613,$L$2:$L613,$L613)=1,1,0)))</f>
        <v>0</v>
      </c>
      <c r="AA6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3" s="106"/>
      <c r="AC613" s="51"/>
      <c r="AD613" s="106" t="s">
        <v>13</v>
      </c>
      <c r="AE613" s="38" t="s">
        <v>411</v>
      </c>
    </row>
    <row r="614" spans="1:31" ht="18" customHeight="1" x14ac:dyDescent="0.25">
      <c r="A6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4" s="79">
        <v>4</v>
      </c>
      <c r="C614" s="23">
        <v>44125</v>
      </c>
      <c r="D614" s="67">
        <f>IF(COUNTIF($G$2:$G614,$G614)=1,1,0)</f>
        <v>0</v>
      </c>
      <c r="E614" s="67" t="str">
        <f>IFERROR(VLOOKUP(База_КР_КК[[#This Row],[ИД штатной должности (S)]],'уровень защищенности'!$B$7:$F$1095,5,0),"не защищена")</f>
        <v>средний</v>
      </c>
      <c r="F614" s="68">
        <v>500247</v>
      </c>
      <c r="G614" s="74" t="s">
        <v>2283</v>
      </c>
      <c r="H614" s="181">
        <f>INDEX('Списки данных'!$D$2:$D$1048576,MATCH(База_КР_КК[[#This Row],[Структурное подразделение]],'Списки данных'!$C$2:$C$1048576,0))</f>
        <v>2</v>
      </c>
      <c r="I614" s="80" t="s">
        <v>133</v>
      </c>
      <c r="J614" s="80" t="s">
        <v>197</v>
      </c>
      <c r="K614" s="80" t="s">
        <v>199</v>
      </c>
      <c r="L614" s="31" t="s">
        <v>192</v>
      </c>
      <c r="M614" s="68">
        <v>6</v>
      </c>
      <c r="N614" s="181" t="str">
        <f t="shared" si="10"/>
        <v>нет</v>
      </c>
      <c r="O614" s="23"/>
      <c r="P614" s="23"/>
      <c r="Q614" s="106"/>
      <c r="R614" s="37">
        <v>126</v>
      </c>
      <c r="S614" s="38" t="s">
        <v>538</v>
      </c>
      <c r="T614" s="37">
        <v>1223</v>
      </c>
      <c r="U614" s="39" t="s">
        <v>1628</v>
      </c>
      <c r="V614" s="89" t="s">
        <v>272</v>
      </c>
      <c r="W614" s="89" t="s">
        <v>133</v>
      </c>
      <c r="X614" s="106" t="s">
        <v>297</v>
      </c>
      <c r="Y614" s="107" t="s">
        <v>12</v>
      </c>
      <c r="Z614" s="67">
        <f>IF(База_КР_КК[[#This Row],[Таб.номер резервиста]]="-","-",IF(OR(База_КР_КК[[#This Row],[Уровень КК]]=2,База_КР_КК[[#This Row],[Уровень КК]]=3),IF(COUNTIFS($U$2:$U614,$U614,$F$2:$F614,$F614)=1,1,0),IF(COUNTIFS($U$2:$U614,$U614,$L$2:$L614,$L614)=1,1,0)))</f>
        <v>0</v>
      </c>
      <c r="AA6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4" s="106"/>
      <c r="AC614" s="51"/>
      <c r="AD614" s="106" t="s">
        <v>17</v>
      </c>
      <c r="AE614" s="38" t="s">
        <v>411</v>
      </c>
    </row>
    <row r="615" spans="1:31" ht="18" customHeight="1" x14ac:dyDescent="0.25">
      <c r="A6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5" s="79">
        <v>4</v>
      </c>
      <c r="C615" s="23">
        <v>44125</v>
      </c>
      <c r="D615" s="67">
        <f>IF(COUNTIF($G$2:$G615,$G615)=1,1,0)</f>
        <v>0</v>
      </c>
      <c r="E615" s="67" t="str">
        <f>IFERROR(VLOOKUP(База_КР_КК[[#This Row],[ИД штатной должности (S)]],'уровень защищенности'!$B$7:$F$1095,5,0),"не защищена")</f>
        <v>средний</v>
      </c>
      <c r="F615" s="68">
        <v>500247</v>
      </c>
      <c r="G615" s="74" t="s">
        <v>2283</v>
      </c>
      <c r="H615" s="181">
        <f>INDEX('Списки данных'!$D$2:$D$1048576,MATCH(База_КР_КК[[#This Row],[Структурное подразделение]],'Списки данных'!$C$2:$C$1048576,0))</f>
        <v>2</v>
      </c>
      <c r="I615" s="80" t="s">
        <v>133</v>
      </c>
      <c r="J615" s="80" t="s">
        <v>197</v>
      </c>
      <c r="K615" s="80" t="s">
        <v>199</v>
      </c>
      <c r="L615" s="31" t="s">
        <v>192</v>
      </c>
      <c r="M615" s="68">
        <v>6</v>
      </c>
      <c r="N615" s="181" t="str">
        <f t="shared" si="10"/>
        <v>нет</v>
      </c>
      <c r="O615" s="23"/>
      <c r="P615" s="23"/>
      <c r="Q615" s="106"/>
      <c r="R615" s="37">
        <v>126</v>
      </c>
      <c r="S615" s="38" t="s">
        <v>538</v>
      </c>
      <c r="T615" s="37">
        <v>1224</v>
      </c>
      <c r="U615" s="39" t="s">
        <v>1629</v>
      </c>
      <c r="V615" s="89" t="s">
        <v>272</v>
      </c>
      <c r="W615" s="89" t="s">
        <v>133</v>
      </c>
      <c r="X615" s="106" t="s">
        <v>296</v>
      </c>
      <c r="Y615" s="107" t="s">
        <v>12</v>
      </c>
      <c r="Z615" s="67">
        <f>IF(База_КР_КК[[#This Row],[Таб.номер резервиста]]="-","-",IF(OR(База_КР_КК[[#This Row],[Уровень КК]]=2,База_КР_КК[[#This Row],[Уровень КК]]=3),IF(COUNTIFS($U$2:$U615,$U615,$F$2:$F615,$F615)=1,1,0),IF(COUNTIFS($U$2:$U615,$U615,$L$2:$L615,$L615)=1,1,0)))</f>
        <v>0</v>
      </c>
      <c r="AA6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5" s="106"/>
      <c r="AC615" s="51"/>
      <c r="AD615" s="106" t="s">
        <v>13</v>
      </c>
      <c r="AE615" s="38" t="s">
        <v>411</v>
      </c>
    </row>
    <row r="616" spans="1:31" ht="18" customHeight="1" x14ac:dyDescent="0.25">
      <c r="A6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6" s="79">
        <v>4</v>
      </c>
      <c r="C616" s="23">
        <v>44125</v>
      </c>
      <c r="D616" s="67">
        <f>IF(COUNTIF($G$2:$G616,$G616)=1,1,0)</f>
        <v>0</v>
      </c>
      <c r="E616" s="67" t="str">
        <f>IFERROR(VLOOKUP(База_КР_КК[[#This Row],[ИД штатной должности (S)]],'уровень защищенности'!$B$7:$F$1095,5,0),"не защищена")</f>
        <v>средний</v>
      </c>
      <c r="F616" s="68">
        <v>500247</v>
      </c>
      <c r="G616" s="74" t="s">
        <v>2283</v>
      </c>
      <c r="H616" s="181">
        <f>INDEX('Списки данных'!$D$2:$D$1048576,MATCH(База_КР_КК[[#This Row],[Структурное подразделение]],'Списки данных'!$C$2:$C$1048576,0))</f>
        <v>2</v>
      </c>
      <c r="I616" s="80" t="s">
        <v>133</v>
      </c>
      <c r="J616" s="80" t="s">
        <v>197</v>
      </c>
      <c r="K616" s="80" t="s">
        <v>199</v>
      </c>
      <c r="L616" s="31" t="s">
        <v>192</v>
      </c>
      <c r="M616" s="68">
        <v>6</v>
      </c>
      <c r="N616" s="181" t="str">
        <f t="shared" si="10"/>
        <v>нет</v>
      </c>
      <c r="O616" s="23"/>
      <c r="P616" s="23"/>
      <c r="Q616" s="106"/>
      <c r="R616" s="37">
        <v>126</v>
      </c>
      <c r="S616" s="38" t="s">
        <v>538</v>
      </c>
      <c r="T616" s="37">
        <v>1199</v>
      </c>
      <c r="U616" s="39" t="s">
        <v>1605</v>
      </c>
      <c r="V616" s="89" t="s">
        <v>272</v>
      </c>
      <c r="W616" s="89" t="s">
        <v>133</v>
      </c>
      <c r="X616" s="106" t="s">
        <v>297</v>
      </c>
      <c r="Y616" s="107" t="s">
        <v>12</v>
      </c>
      <c r="Z616" s="67">
        <f>IF(База_КР_КК[[#This Row],[Таб.номер резервиста]]="-","-",IF(OR(База_КР_КК[[#This Row],[Уровень КК]]=2,База_КР_КК[[#This Row],[Уровень КК]]=3),IF(COUNTIFS($U$2:$U616,$U616,$F$2:$F616,$F616)=1,1,0),IF(COUNTIFS($U$2:$U616,$U616,$L$2:$L616,$L616)=1,1,0)))</f>
        <v>0</v>
      </c>
      <c r="AA6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6" s="106"/>
      <c r="AC616" s="51"/>
      <c r="AD616" s="106" t="s">
        <v>17</v>
      </c>
      <c r="AE616" s="38" t="s">
        <v>411</v>
      </c>
    </row>
    <row r="617" spans="1:31" ht="18" customHeight="1" x14ac:dyDescent="0.25">
      <c r="A6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7" s="79">
        <v>4</v>
      </c>
      <c r="C617" s="23">
        <v>44125</v>
      </c>
      <c r="D617" s="67">
        <f>IF(COUNTIF($G$2:$G617,$G617)=1,1,0)</f>
        <v>0</v>
      </c>
      <c r="E617" s="67" t="str">
        <f>IFERROR(VLOOKUP(База_КР_КК[[#This Row],[ИД штатной должности (S)]],'уровень защищенности'!$B$7:$F$1095,5,0),"не защищена")</f>
        <v>средний</v>
      </c>
      <c r="F617" s="68">
        <v>500247</v>
      </c>
      <c r="G617" s="74" t="s">
        <v>2283</v>
      </c>
      <c r="H617" s="181">
        <f>INDEX('Списки данных'!$D$2:$D$1048576,MATCH(База_КР_КК[[#This Row],[Структурное подразделение]],'Списки данных'!$C$2:$C$1048576,0))</f>
        <v>2</v>
      </c>
      <c r="I617" s="80" t="s">
        <v>133</v>
      </c>
      <c r="J617" s="80" t="s">
        <v>197</v>
      </c>
      <c r="K617" s="80" t="s">
        <v>199</v>
      </c>
      <c r="L617" s="31" t="s">
        <v>192</v>
      </c>
      <c r="M617" s="68">
        <v>6</v>
      </c>
      <c r="N617" s="181" t="str">
        <f t="shared" si="10"/>
        <v>нет</v>
      </c>
      <c r="O617" s="23"/>
      <c r="P617" s="23"/>
      <c r="Q617" s="106"/>
      <c r="R617" s="37">
        <v>126</v>
      </c>
      <c r="S617" s="39" t="s">
        <v>538</v>
      </c>
      <c r="T617" s="37">
        <v>1226</v>
      </c>
      <c r="U617" s="38" t="s">
        <v>1631</v>
      </c>
      <c r="V617" s="69" t="s">
        <v>272</v>
      </c>
      <c r="W617" s="89" t="s">
        <v>133</v>
      </c>
      <c r="X617" s="106" t="s">
        <v>297</v>
      </c>
      <c r="Y617" s="107" t="s">
        <v>12</v>
      </c>
      <c r="Z617" s="67">
        <f>IF(База_КР_КК[[#This Row],[Таб.номер резервиста]]="-","-",IF(OR(База_КР_КК[[#This Row],[Уровень КК]]=2,База_КР_КК[[#This Row],[Уровень КК]]=3),IF(COUNTIFS($U$2:$U617,$U617,$F$2:$F617,$F617)=1,1,0),IF(COUNTIFS($U$2:$U617,$U617,$L$2:$L617,$L617)=1,1,0)))</f>
        <v>0</v>
      </c>
      <c r="AA6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7" s="106"/>
      <c r="AC617" s="51"/>
      <c r="AD617" s="106" t="s">
        <v>17</v>
      </c>
      <c r="AE617" s="40" t="s">
        <v>411</v>
      </c>
    </row>
    <row r="618" spans="1:31" ht="18" customHeight="1" x14ac:dyDescent="0.25">
      <c r="A6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8" s="79">
        <v>4</v>
      </c>
      <c r="C618" s="23">
        <v>44880</v>
      </c>
      <c r="D618" s="67">
        <f>IF(COUNTIF($G$2:$G618,$G618)=1,1,0)</f>
        <v>0</v>
      </c>
      <c r="E618" s="67" t="str">
        <f>IFERROR(VLOOKUP(База_КР_КК[[#This Row],[ИД штатной должности (S)]],'уровень защищенности'!$B$7:$F$1095,5,0),"не защищена")</f>
        <v>средний</v>
      </c>
      <c r="F618" s="68">
        <v>500247</v>
      </c>
      <c r="G618" s="74" t="s">
        <v>2283</v>
      </c>
      <c r="H618" s="181">
        <f>INDEX('Списки данных'!$D$2:$D$1048576,MATCH(База_КР_КК[[#This Row],[Структурное подразделение]],'Списки данных'!$C$2:$C$1048576,0))</f>
        <v>2</v>
      </c>
      <c r="I618" s="80" t="s">
        <v>133</v>
      </c>
      <c r="J618" s="80" t="s">
        <v>197</v>
      </c>
      <c r="K618" s="80" t="s">
        <v>199</v>
      </c>
      <c r="L618" s="31" t="s">
        <v>192</v>
      </c>
      <c r="M618" s="68">
        <v>6</v>
      </c>
      <c r="N618" s="181" t="str">
        <f t="shared" si="10"/>
        <v>нет</v>
      </c>
      <c r="O618" s="23"/>
      <c r="P618" s="23"/>
      <c r="Q618" s="106"/>
      <c r="R618" s="37">
        <v>126</v>
      </c>
      <c r="S618" s="39" t="s">
        <v>538</v>
      </c>
      <c r="T618" s="37">
        <v>1228</v>
      </c>
      <c r="U618" s="38" t="s">
        <v>1633</v>
      </c>
      <c r="V618" s="69" t="s">
        <v>272</v>
      </c>
      <c r="W618" s="89" t="s">
        <v>133</v>
      </c>
      <c r="X618" s="106" t="s">
        <v>296</v>
      </c>
      <c r="Y618" s="107" t="s">
        <v>12</v>
      </c>
      <c r="Z618" s="67">
        <f>IF(База_КР_КК[[#This Row],[Таб.номер резервиста]]="-","-",IF(OR(База_КР_КК[[#This Row],[Уровень КК]]=2,База_КР_КК[[#This Row],[Уровень КК]]=3),IF(COUNTIFS($U$2:$U618,$U618,$F$2:$F618,$F618)=1,1,0),IF(COUNTIFS($U$2:$U618,$U618,$L$2:$L618,$L618)=1,1,0)))</f>
        <v>0</v>
      </c>
      <c r="AA6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8" s="106"/>
      <c r="AC618" s="51"/>
      <c r="AD618" s="106" t="s">
        <v>15</v>
      </c>
      <c r="AE618" s="40" t="s">
        <v>411</v>
      </c>
    </row>
    <row r="619" spans="1:31" ht="18" customHeight="1" x14ac:dyDescent="0.25">
      <c r="A6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19" s="79">
        <v>4</v>
      </c>
      <c r="C619" s="23">
        <v>44880</v>
      </c>
      <c r="D619" s="67">
        <f>IF(COUNTIF($G$2:$G619,$G619)=1,1,0)</f>
        <v>0</v>
      </c>
      <c r="E619" s="67" t="str">
        <f>IFERROR(VLOOKUP(База_КР_КК[[#This Row],[ИД штатной должности (S)]],'уровень защищенности'!$B$7:$F$1095,5,0),"не защищена")</f>
        <v>средний</v>
      </c>
      <c r="F619" s="68">
        <v>500247</v>
      </c>
      <c r="G619" s="74" t="s">
        <v>2283</v>
      </c>
      <c r="H619" s="181">
        <f>INDEX('Списки данных'!$D$2:$D$1048576,MATCH(База_КР_КК[[#This Row],[Структурное подразделение]],'Списки данных'!$C$2:$C$1048576,0))</f>
        <v>2</v>
      </c>
      <c r="I619" s="80" t="s">
        <v>133</v>
      </c>
      <c r="J619" s="80" t="s">
        <v>197</v>
      </c>
      <c r="K619" s="80" t="s">
        <v>199</v>
      </c>
      <c r="L619" s="31" t="s">
        <v>192</v>
      </c>
      <c r="M619" s="68">
        <v>6</v>
      </c>
      <c r="N619" s="181" t="str">
        <f t="shared" si="10"/>
        <v>нет</v>
      </c>
      <c r="O619" s="23"/>
      <c r="P619" s="23"/>
      <c r="Q619" s="106"/>
      <c r="R619" s="37">
        <v>126</v>
      </c>
      <c r="S619" s="39" t="s">
        <v>538</v>
      </c>
      <c r="T619" s="37">
        <v>1214</v>
      </c>
      <c r="U619" s="38" t="s">
        <v>1619</v>
      </c>
      <c r="V619" s="69" t="s">
        <v>272</v>
      </c>
      <c r="W619" s="89" t="s">
        <v>133</v>
      </c>
      <c r="X619" s="106" t="s">
        <v>296</v>
      </c>
      <c r="Y619" s="107" t="s">
        <v>12</v>
      </c>
      <c r="Z619" s="67">
        <f>IF(База_КР_КК[[#This Row],[Таб.номер резервиста]]="-","-",IF(OR(База_КР_КК[[#This Row],[Уровень КК]]=2,База_КР_КК[[#This Row],[Уровень КК]]=3),IF(COUNTIFS($U$2:$U619,$U619,$F$2:$F619,$F619)=1,1,0),IF(COUNTIFS($U$2:$U619,$U619,$L$2:$L619,$L619)=1,1,0)))</f>
        <v>0</v>
      </c>
      <c r="AA6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19" s="106"/>
      <c r="AC619" s="51"/>
      <c r="AD619" s="106" t="s">
        <v>15</v>
      </c>
      <c r="AE619" s="40" t="s">
        <v>411</v>
      </c>
    </row>
    <row r="620" spans="1:31" ht="18" customHeight="1" x14ac:dyDescent="0.25">
      <c r="A6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0" s="79">
        <v>4</v>
      </c>
      <c r="C620" s="23">
        <v>44880</v>
      </c>
      <c r="D620" s="67">
        <f>IF(COUNTIF($G$2:$G620,$G620)=1,1,0)</f>
        <v>0</v>
      </c>
      <c r="E620" s="67" t="str">
        <f>IFERROR(VLOOKUP(База_КР_КК[[#This Row],[ИД штатной должности (S)]],'уровень защищенности'!$B$7:$F$1095,5,0),"не защищена")</f>
        <v>средний</v>
      </c>
      <c r="F620" s="68">
        <v>500247</v>
      </c>
      <c r="G620" s="74" t="s">
        <v>2283</v>
      </c>
      <c r="H620" s="181">
        <f>INDEX('Списки данных'!$D$2:$D$1048576,MATCH(База_КР_КК[[#This Row],[Структурное подразделение]],'Списки данных'!$C$2:$C$1048576,0))</f>
        <v>2</v>
      </c>
      <c r="I620" s="80" t="s">
        <v>133</v>
      </c>
      <c r="J620" s="80" t="s">
        <v>197</v>
      </c>
      <c r="K620" s="80" t="s">
        <v>199</v>
      </c>
      <c r="L620" s="31" t="s">
        <v>192</v>
      </c>
      <c r="M620" s="68">
        <v>6</v>
      </c>
      <c r="N620" s="181" t="str">
        <f t="shared" si="10"/>
        <v>нет</v>
      </c>
      <c r="O620" s="23"/>
      <c r="P620" s="23"/>
      <c r="Q620" s="106"/>
      <c r="R620" s="37">
        <v>126</v>
      </c>
      <c r="S620" s="39" t="s">
        <v>538</v>
      </c>
      <c r="T620" s="37">
        <v>1229</v>
      </c>
      <c r="U620" s="38" t="s">
        <v>1634</v>
      </c>
      <c r="V620" s="69" t="s">
        <v>272</v>
      </c>
      <c r="W620" s="89" t="s">
        <v>133</v>
      </c>
      <c r="X620" s="106" t="s">
        <v>296</v>
      </c>
      <c r="Y620" s="107" t="s">
        <v>12</v>
      </c>
      <c r="Z620" s="67">
        <f>IF(База_КР_КК[[#This Row],[Таб.номер резервиста]]="-","-",IF(OR(База_КР_КК[[#This Row],[Уровень КК]]=2,База_КР_КК[[#This Row],[Уровень КК]]=3),IF(COUNTIFS($U$2:$U620,$U620,$F$2:$F620,$F620)=1,1,0),IF(COUNTIFS($U$2:$U620,$U620,$L$2:$L620,$L620)=1,1,0)))</f>
        <v>0</v>
      </c>
      <c r="AA6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0" s="106"/>
      <c r="AC620" s="51"/>
      <c r="AD620" s="106" t="s">
        <v>15</v>
      </c>
      <c r="AE620" s="40" t="s">
        <v>411</v>
      </c>
    </row>
    <row r="621" spans="1:31" ht="18" customHeight="1" x14ac:dyDescent="0.25">
      <c r="A6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1" s="79">
        <v>4</v>
      </c>
      <c r="C621" s="23">
        <v>44880</v>
      </c>
      <c r="D621" s="67">
        <f>IF(COUNTIF($G$2:$G621,$G621)=1,1,0)</f>
        <v>0</v>
      </c>
      <c r="E621" s="67" t="str">
        <f>IFERROR(VLOOKUP(База_КР_КК[[#This Row],[ИД штатной должности (S)]],'уровень защищенности'!$B$7:$F$1095,5,0),"не защищена")</f>
        <v>средний</v>
      </c>
      <c r="F621" s="68">
        <v>500247</v>
      </c>
      <c r="G621" s="74" t="s">
        <v>2283</v>
      </c>
      <c r="H621" s="181">
        <f>INDEX('Списки данных'!$D$2:$D$1048576,MATCH(База_КР_КК[[#This Row],[Структурное подразделение]],'Списки данных'!$C$2:$C$1048576,0))</f>
        <v>2</v>
      </c>
      <c r="I621" s="80" t="s">
        <v>133</v>
      </c>
      <c r="J621" s="80" t="s">
        <v>197</v>
      </c>
      <c r="K621" s="80" t="s">
        <v>199</v>
      </c>
      <c r="L621" s="31" t="s">
        <v>192</v>
      </c>
      <c r="M621" s="68">
        <v>6</v>
      </c>
      <c r="N621" s="181" t="str">
        <f t="shared" si="10"/>
        <v>нет</v>
      </c>
      <c r="O621" s="23"/>
      <c r="P621" s="23"/>
      <c r="Q621" s="106"/>
      <c r="R621" s="37">
        <v>126</v>
      </c>
      <c r="S621" s="39" t="s">
        <v>538</v>
      </c>
      <c r="T621" s="37">
        <v>1230</v>
      </c>
      <c r="U621" s="38" t="s">
        <v>1635</v>
      </c>
      <c r="V621" s="69" t="s">
        <v>272</v>
      </c>
      <c r="W621" s="89" t="s">
        <v>133</v>
      </c>
      <c r="X621" s="106" t="s">
        <v>296</v>
      </c>
      <c r="Y621" s="107" t="s">
        <v>12</v>
      </c>
      <c r="Z621" s="67">
        <f>IF(База_КР_КК[[#This Row],[Таб.номер резервиста]]="-","-",IF(OR(База_КР_КК[[#This Row],[Уровень КК]]=2,База_КР_КК[[#This Row],[Уровень КК]]=3),IF(COUNTIFS($U$2:$U621,$U621,$F$2:$F621,$F621)=1,1,0),IF(COUNTIFS($U$2:$U621,$U621,$L$2:$L621,$L621)=1,1,0)))</f>
        <v>0</v>
      </c>
      <c r="AA6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1" s="106"/>
      <c r="AC621" s="51"/>
      <c r="AD621" s="106" t="s">
        <v>15</v>
      </c>
      <c r="AE621" s="40" t="s">
        <v>411</v>
      </c>
    </row>
    <row r="622" spans="1:31" ht="18" customHeight="1" x14ac:dyDescent="0.25">
      <c r="A6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2" s="79">
        <v>4</v>
      </c>
      <c r="C622" s="23">
        <v>44880</v>
      </c>
      <c r="D622" s="67">
        <f>IF(COUNTIF($G$2:$G622,$G622)=1,1,0)</f>
        <v>0</v>
      </c>
      <c r="E622" s="67" t="str">
        <f>IFERROR(VLOOKUP(База_КР_КК[[#This Row],[ИД штатной должности (S)]],'уровень защищенности'!$B$7:$F$1095,5,0),"не защищена")</f>
        <v>средний</v>
      </c>
      <c r="F622" s="68">
        <v>500247</v>
      </c>
      <c r="G622" s="74" t="s">
        <v>2283</v>
      </c>
      <c r="H622" s="181">
        <f>INDEX('Списки данных'!$D$2:$D$1048576,MATCH(База_КР_КК[[#This Row],[Структурное подразделение]],'Списки данных'!$C$2:$C$1048576,0))</f>
        <v>2</v>
      </c>
      <c r="I622" s="80" t="s">
        <v>133</v>
      </c>
      <c r="J622" s="80" t="s">
        <v>197</v>
      </c>
      <c r="K622" s="80" t="s">
        <v>199</v>
      </c>
      <c r="L622" s="31" t="s">
        <v>192</v>
      </c>
      <c r="M622" s="68">
        <v>6</v>
      </c>
      <c r="N622" s="181" t="str">
        <f t="shared" si="10"/>
        <v>нет</v>
      </c>
      <c r="O622" s="23"/>
      <c r="P622" s="23"/>
      <c r="Q622" s="106"/>
      <c r="R622" s="37">
        <v>126</v>
      </c>
      <c r="S622" s="39" t="s">
        <v>538</v>
      </c>
      <c r="T622" s="37">
        <v>1231</v>
      </c>
      <c r="U622" s="38" t="s">
        <v>1636</v>
      </c>
      <c r="V622" s="69" t="s">
        <v>272</v>
      </c>
      <c r="W622" s="89" t="s">
        <v>133</v>
      </c>
      <c r="X622" s="106" t="s">
        <v>296</v>
      </c>
      <c r="Y622" s="107" t="s">
        <v>12</v>
      </c>
      <c r="Z622" s="67">
        <f>IF(База_КР_КК[[#This Row],[Таб.номер резервиста]]="-","-",IF(OR(База_КР_КК[[#This Row],[Уровень КК]]=2,База_КР_КК[[#This Row],[Уровень КК]]=3),IF(COUNTIFS($U$2:$U622,$U622,$F$2:$F622,$F622)=1,1,0),IF(COUNTIFS($U$2:$U622,$U622,$L$2:$L622,$L622)=1,1,0)))</f>
        <v>0</v>
      </c>
      <c r="AA6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2" s="106"/>
      <c r="AC622" s="51"/>
      <c r="AD622" s="106" t="s">
        <v>15</v>
      </c>
      <c r="AE622" s="40" t="s">
        <v>411</v>
      </c>
    </row>
    <row r="623" spans="1:31" ht="18" customHeight="1" x14ac:dyDescent="0.25">
      <c r="A6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3" s="79">
        <v>4</v>
      </c>
      <c r="C623" s="23">
        <v>43791</v>
      </c>
      <c r="D623" s="67">
        <f>IF(COUNTIF($G$2:$G623,$G623)=1,1,0)</f>
        <v>0</v>
      </c>
      <c r="E623" s="67" t="str">
        <f>IFERROR(VLOOKUP(База_КР_КК[[#This Row],[ИД штатной должности (S)]],'уровень защищенности'!$B$7:$F$1095,5,0),"не защищена")</f>
        <v>средний</v>
      </c>
      <c r="F623" s="68">
        <v>500247</v>
      </c>
      <c r="G623" s="74" t="s">
        <v>2283</v>
      </c>
      <c r="H623" s="181">
        <f>INDEX('Списки данных'!$D$2:$D$1048576,MATCH(База_КР_КК[[#This Row],[Структурное подразделение]],'Списки данных'!$C$2:$C$1048576,0))</f>
        <v>2</v>
      </c>
      <c r="I623" s="80" t="s">
        <v>133</v>
      </c>
      <c r="J623" s="80" t="s">
        <v>197</v>
      </c>
      <c r="K623" s="80" t="s">
        <v>199</v>
      </c>
      <c r="L623" s="31" t="s">
        <v>192</v>
      </c>
      <c r="M623" s="68">
        <v>6</v>
      </c>
      <c r="N623" s="181" t="str">
        <f t="shared" si="10"/>
        <v>нет</v>
      </c>
      <c r="O623" s="23"/>
      <c r="P623" s="23"/>
      <c r="Q623" s="106"/>
      <c r="R623" s="37">
        <v>126</v>
      </c>
      <c r="S623" s="38" t="s">
        <v>538</v>
      </c>
      <c r="T623" s="37">
        <v>1232</v>
      </c>
      <c r="U623" s="39" t="s">
        <v>1637</v>
      </c>
      <c r="V623" s="89" t="s">
        <v>272</v>
      </c>
      <c r="W623" s="89" t="s">
        <v>133</v>
      </c>
      <c r="X623" s="106" t="s">
        <v>297</v>
      </c>
      <c r="Y623" s="107" t="s">
        <v>18</v>
      </c>
      <c r="Z623" s="67">
        <f>IF(База_КР_КК[[#This Row],[Таб.номер резервиста]]="-","-",IF(OR(База_КР_КК[[#This Row],[Уровень КК]]=2,База_КР_КК[[#This Row],[Уровень КК]]=3),IF(COUNTIFS($U$2:$U623,$U623,$F$2:$F623,$F623)=1,1,0),IF(COUNTIFS($U$2:$U623,$U623,$L$2:$L623,$L623)=1,1,0)))</f>
        <v>0</v>
      </c>
      <c r="AA6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3" s="106" t="s">
        <v>38</v>
      </c>
      <c r="AC623" s="51">
        <v>44125</v>
      </c>
      <c r="AD623" s="106" t="s">
        <v>31</v>
      </c>
      <c r="AE623" s="38" t="s">
        <v>318</v>
      </c>
    </row>
    <row r="624" spans="1:31" ht="18" customHeight="1" x14ac:dyDescent="0.25">
      <c r="A6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4" s="79">
        <v>4</v>
      </c>
      <c r="C624" s="23">
        <v>43791</v>
      </c>
      <c r="D624" s="67">
        <f>IF(COUNTIF($G$2:$G624,$G624)=1,1,0)</f>
        <v>1</v>
      </c>
      <c r="E624" s="67" t="str">
        <f>IFERROR(VLOOKUP(База_КР_КК[[#This Row],[ИД штатной должности (S)]],'уровень защищенности'!$B$7:$F$1095,5,0),"не защищена")</f>
        <v>средний</v>
      </c>
      <c r="F624" s="68">
        <v>500248</v>
      </c>
      <c r="G624" s="74" t="s">
        <v>2284</v>
      </c>
      <c r="H624" s="181">
        <f>INDEX('Списки данных'!$D$2:$D$1048576,MATCH(База_КР_КК[[#This Row],[Структурное подразделение]],'Списки данных'!$C$2:$C$1048576,0))</f>
        <v>2</v>
      </c>
      <c r="I624" s="80" t="s">
        <v>133</v>
      </c>
      <c r="J624" s="80" t="s">
        <v>197</v>
      </c>
      <c r="K624" s="80" t="s">
        <v>21</v>
      </c>
      <c r="L624" s="30" t="s">
        <v>192</v>
      </c>
      <c r="M624" s="68">
        <v>6</v>
      </c>
      <c r="N624" s="181" t="str">
        <f t="shared" si="10"/>
        <v>нет</v>
      </c>
      <c r="O624" s="23"/>
      <c r="P624" s="23"/>
      <c r="Q624" s="106"/>
      <c r="R624" s="37">
        <v>127</v>
      </c>
      <c r="S624" s="38" t="s">
        <v>539</v>
      </c>
      <c r="T624" s="37">
        <v>1225</v>
      </c>
      <c r="U624" s="39" t="s">
        <v>1630</v>
      </c>
      <c r="V624" s="89" t="s">
        <v>272</v>
      </c>
      <c r="W624" s="89" t="s">
        <v>133</v>
      </c>
      <c r="X624" s="106" t="s">
        <v>297</v>
      </c>
      <c r="Y624" s="107" t="s">
        <v>12</v>
      </c>
      <c r="Z624" s="67">
        <f>IF(База_КР_КК[[#This Row],[Таб.номер резервиста]]="-","-",IF(OR(База_КР_КК[[#This Row],[Уровень КК]]=2,База_КР_КК[[#This Row],[Уровень КК]]=3),IF(COUNTIFS($U$2:$U624,$U624,$F$2:$F624,$F624)=1,1,0),IF(COUNTIFS($U$2:$U624,$U624,$L$2:$L624,$L624)=1,1,0)))</f>
        <v>0</v>
      </c>
      <c r="AA6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4" s="106"/>
      <c r="AC624" s="51"/>
      <c r="AD624" s="106" t="s">
        <v>13</v>
      </c>
      <c r="AE624" s="38" t="s">
        <v>318</v>
      </c>
    </row>
    <row r="625" spans="1:31" ht="18" customHeight="1" x14ac:dyDescent="0.25">
      <c r="A6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5" s="79">
        <v>4</v>
      </c>
      <c r="C625" s="23">
        <v>44125</v>
      </c>
      <c r="D625" s="67">
        <f>IF(COUNTIF($G$2:$G625,$G625)=1,1,0)</f>
        <v>0</v>
      </c>
      <c r="E625" s="67" t="str">
        <f>IFERROR(VLOOKUP(База_КР_КК[[#This Row],[ИД штатной должности (S)]],'уровень защищенности'!$B$7:$F$1095,5,0),"не защищена")</f>
        <v>средний</v>
      </c>
      <c r="F625" s="68">
        <v>500248</v>
      </c>
      <c r="G625" s="74" t="s">
        <v>2284</v>
      </c>
      <c r="H625" s="181">
        <f>INDEX('Списки данных'!$D$2:$D$1048576,MATCH(База_КР_КК[[#This Row],[Структурное подразделение]],'Списки данных'!$C$2:$C$1048576,0))</f>
        <v>2</v>
      </c>
      <c r="I625" s="80" t="s">
        <v>133</v>
      </c>
      <c r="J625" s="80" t="s">
        <v>197</v>
      </c>
      <c r="K625" s="80" t="s">
        <v>21</v>
      </c>
      <c r="L625" s="30" t="s">
        <v>192</v>
      </c>
      <c r="M625" s="68">
        <v>6</v>
      </c>
      <c r="N625" s="181" t="str">
        <f t="shared" si="10"/>
        <v>нет</v>
      </c>
      <c r="O625" s="23"/>
      <c r="P625" s="23"/>
      <c r="Q625" s="106"/>
      <c r="R625" s="37">
        <v>127</v>
      </c>
      <c r="S625" s="38" t="s">
        <v>539</v>
      </c>
      <c r="T625" s="37">
        <v>1227</v>
      </c>
      <c r="U625" s="39" t="s">
        <v>1632</v>
      </c>
      <c r="V625" s="89" t="s">
        <v>272</v>
      </c>
      <c r="W625" s="89" t="s">
        <v>133</v>
      </c>
      <c r="X625" s="106" t="s">
        <v>296</v>
      </c>
      <c r="Y625" s="107" t="s">
        <v>12</v>
      </c>
      <c r="Z625" s="67">
        <f>IF(База_КР_КК[[#This Row],[Таб.номер резервиста]]="-","-",IF(OR(База_КР_КК[[#This Row],[Уровень КК]]=2,База_КР_КК[[#This Row],[Уровень КК]]=3),IF(COUNTIFS($U$2:$U625,$U625,$F$2:$F625,$F625)=1,1,0),IF(COUNTIFS($U$2:$U625,$U625,$L$2:$L625,$L625)=1,1,0)))</f>
        <v>0</v>
      </c>
      <c r="AA6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5" s="106"/>
      <c r="AC625" s="51"/>
      <c r="AD625" s="106" t="s">
        <v>13</v>
      </c>
      <c r="AE625" s="38" t="s">
        <v>411</v>
      </c>
    </row>
    <row r="626" spans="1:31" ht="18" customHeight="1" x14ac:dyDescent="0.25">
      <c r="A6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6" s="79">
        <v>4</v>
      </c>
      <c r="C626" s="23">
        <v>44125</v>
      </c>
      <c r="D626" s="67">
        <f>IF(COUNTIF($G$2:$G626,$G626)=1,1,0)</f>
        <v>0</v>
      </c>
      <c r="E626" s="67" t="str">
        <f>IFERROR(VLOOKUP(База_КР_КК[[#This Row],[ИД штатной должности (S)]],'уровень защищенности'!$B$7:$F$1095,5,0),"не защищена")</f>
        <v>средний</v>
      </c>
      <c r="F626" s="68">
        <v>500248</v>
      </c>
      <c r="G626" s="74" t="s">
        <v>2284</v>
      </c>
      <c r="H626" s="181">
        <f>INDEX('Списки данных'!$D$2:$D$1048576,MATCH(База_КР_КК[[#This Row],[Структурное подразделение]],'Списки данных'!$C$2:$C$1048576,0))</f>
        <v>2</v>
      </c>
      <c r="I626" s="80" t="s">
        <v>133</v>
      </c>
      <c r="J626" s="80" t="s">
        <v>197</v>
      </c>
      <c r="K626" s="80" t="s">
        <v>21</v>
      </c>
      <c r="L626" s="30" t="s">
        <v>192</v>
      </c>
      <c r="M626" s="68">
        <v>6</v>
      </c>
      <c r="N626" s="181" t="str">
        <f t="shared" si="10"/>
        <v>нет</v>
      </c>
      <c r="O626" s="23"/>
      <c r="P626" s="23"/>
      <c r="Q626" s="106"/>
      <c r="R626" s="37">
        <v>127</v>
      </c>
      <c r="S626" s="38" t="s">
        <v>539</v>
      </c>
      <c r="T626" s="37">
        <v>1223</v>
      </c>
      <c r="U626" s="39" t="s">
        <v>1628</v>
      </c>
      <c r="V626" s="89" t="s">
        <v>272</v>
      </c>
      <c r="W626" s="89" t="s">
        <v>133</v>
      </c>
      <c r="X626" s="106" t="s">
        <v>297</v>
      </c>
      <c r="Y626" s="107" t="s">
        <v>12</v>
      </c>
      <c r="Z626" s="67">
        <f>IF(База_КР_КК[[#This Row],[Таб.номер резервиста]]="-","-",IF(OR(База_КР_КК[[#This Row],[Уровень КК]]=2,База_КР_КК[[#This Row],[Уровень КК]]=3),IF(COUNTIFS($U$2:$U626,$U626,$F$2:$F626,$F626)=1,1,0),IF(COUNTIFS($U$2:$U626,$U626,$L$2:$L626,$L626)=1,1,0)))</f>
        <v>0</v>
      </c>
      <c r="AA6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6" s="106"/>
      <c r="AC626" s="51"/>
      <c r="AD626" s="106" t="s">
        <v>17</v>
      </c>
      <c r="AE626" s="38" t="s">
        <v>411</v>
      </c>
    </row>
    <row r="627" spans="1:31" ht="18" customHeight="1" x14ac:dyDescent="0.25">
      <c r="A6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7" s="79">
        <v>4</v>
      </c>
      <c r="C627" s="23">
        <v>44125</v>
      </c>
      <c r="D627" s="67">
        <f>IF(COUNTIF($G$2:$G627,$G627)=1,1,0)</f>
        <v>0</v>
      </c>
      <c r="E627" s="67" t="str">
        <f>IFERROR(VLOOKUP(База_КР_КК[[#This Row],[ИД штатной должности (S)]],'уровень защищенности'!$B$7:$F$1095,5,0),"не защищена")</f>
        <v>средний</v>
      </c>
      <c r="F627" s="68">
        <v>500248</v>
      </c>
      <c r="G627" s="74" t="s">
        <v>2284</v>
      </c>
      <c r="H627" s="181">
        <f>INDEX('Списки данных'!$D$2:$D$1048576,MATCH(База_КР_КК[[#This Row],[Структурное подразделение]],'Списки данных'!$C$2:$C$1048576,0))</f>
        <v>2</v>
      </c>
      <c r="I627" s="80" t="s">
        <v>133</v>
      </c>
      <c r="J627" s="80" t="s">
        <v>197</v>
      </c>
      <c r="K627" s="80" t="s">
        <v>21</v>
      </c>
      <c r="L627" s="30" t="s">
        <v>192</v>
      </c>
      <c r="M627" s="68">
        <v>6</v>
      </c>
      <c r="N627" s="181" t="str">
        <f t="shared" si="10"/>
        <v>нет</v>
      </c>
      <c r="O627" s="23"/>
      <c r="P627" s="23"/>
      <c r="Q627" s="106"/>
      <c r="R627" s="37">
        <v>127</v>
      </c>
      <c r="S627" s="38" t="s">
        <v>539</v>
      </c>
      <c r="T627" s="37">
        <v>1224</v>
      </c>
      <c r="U627" s="39" t="s">
        <v>1629</v>
      </c>
      <c r="V627" s="89" t="s">
        <v>272</v>
      </c>
      <c r="W627" s="89" t="s">
        <v>133</v>
      </c>
      <c r="X627" s="106" t="s">
        <v>296</v>
      </c>
      <c r="Y627" s="107" t="s">
        <v>12</v>
      </c>
      <c r="Z627" s="67">
        <f>IF(База_КР_КК[[#This Row],[Таб.номер резервиста]]="-","-",IF(OR(База_КР_КК[[#This Row],[Уровень КК]]=2,База_КР_КК[[#This Row],[Уровень КК]]=3),IF(COUNTIFS($U$2:$U627,$U627,$F$2:$F627,$F627)=1,1,0),IF(COUNTIFS($U$2:$U627,$U627,$L$2:$L627,$L627)=1,1,0)))</f>
        <v>0</v>
      </c>
      <c r="AA6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7" s="106"/>
      <c r="AC627" s="51"/>
      <c r="AD627" s="106" t="s">
        <v>13</v>
      </c>
      <c r="AE627" s="38" t="s">
        <v>411</v>
      </c>
    </row>
    <row r="628" spans="1:31" ht="18" customHeight="1" x14ac:dyDescent="0.25">
      <c r="A6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8" s="79">
        <v>4</v>
      </c>
      <c r="C628" s="23">
        <v>44125</v>
      </c>
      <c r="D628" s="67">
        <f>IF(COUNTIF($G$2:$G628,$G628)=1,1,0)</f>
        <v>0</v>
      </c>
      <c r="E628" s="67" t="str">
        <f>IFERROR(VLOOKUP(База_КР_КК[[#This Row],[ИД штатной должности (S)]],'уровень защищенности'!$B$7:$F$1095,5,0),"не защищена")</f>
        <v>средний</v>
      </c>
      <c r="F628" s="68">
        <v>500248</v>
      </c>
      <c r="G628" s="74" t="s">
        <v>2284</v>
      </c>
      <c r="H628" s="181">
        <f>INDEX('Списки данных'!$D$2:$D$1048576,MATCH(База_КР_КК[[#This Row],[Структурное подразделение]],'Списки данных'!$C$2:$C$1048576,0))</f>
        <v>2</v>
      </c>
      <c r="I628" s="80" t="s">
        <v>133</v>
      </c>
      <c r="J628" s="80" t="s">
        <v>197</v>
      </c>
      <c r="K628" s="80" t="s">
        <v>21</v>
      </c>
      <c r="L628" s="30" t="s">
        <v>192</v>
      </c>
      <c r="M628" s="68">
        <v>6</v>
      </c>
      <c r="N628" s="181" t="str">
        <f t="shared" si="10"/>
        <v>нет</v>
      </c>
      <c r="O628" s="23"/>
      <c r="P628" s="23"/>
      <c r="Q628" s="106"/>
      <c r="R628" s="37">
        <v>127</v>
      </c>
      <c r="S628" s="38" t="s">
        <v>539</v>
      </c>
      <c r="T628" s="37">
        <v>1199</v>
      </c>
      <c r="U628" s="39" t="s">
        <v>1605</v>
      </c>
      <c r="V628" s="89" t="s">
        <v>272</v>
      </c>
      <c r="W628" s="89" t="s">
        <v>133</v>
      </c>
      <c r="X628" s="106" t="s">
        <v>297</v>
      </c>
      <c r="Y628" s="107" t="s">
        <v>12</v>
      </c>
      <c r="Z628" s="67">
        <f>IF(База_КР_КК[[#This Row],[Таб.номер резервиста]]="-","-",IF(OR(База_КР_КК[[#This Row],[Уровень КК]]=2,База_КР_КК[[#This Row],[Уровень КК]]=3),IF(COUNTIFS($U$2:$U628,$U628,$F$2:$F628,$F628)=1,1,0),IF(COUNTIFS($U$2:$U628,$U628,$L$2:$L628,$L628)=1,1,0)))</f>
        <v>0</v>
      </c>
      <c r="AA6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8" s="106"/>
      <c r="AC628" s="51"/>
      <c r="AD628" s="106" t="s">
        <v>17</v>
      </c>
      <c r="AE628" s="38" t="s">
        <v>411</v>
      </c>
    </row>
    <row r="629" spans="1:31" ht="18" customHeight="1" x14ac:dyDescent="0.25">
      <c r="A6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29" s="79">
        <v>4</v>
      </c>
      <c r="C629" s="23">
        <v>44125</v>
      </c>
      <c r="D629" s="67">
        <f>IF(COUNTIF($G$2:$G629,$G629)=1,1,0)</f>
        <v>0</v>
      </c>
      <c r="E629" s="67" t="str">
        <f>IFERROR(VLOOKUP(База_КР_КК[[#This Row],[ИД штатной должности (S)]],'уровень защищенности'!$B$7:$F$1095,5,0),"не защищена")</f>
        <v>средний</v>
      </c>
      <c r="F629" s="68">
        <v>500248</v>
      </c>
      <c r="G629" s="74" t="s">
        <v>2284</v>
      </c>
      <c r="H629" s="181">
        <f>INDEX('Списки данных'!$D$2:$D$1048576,MATCH(База_КР_КК[[#This Row],[Структурное подразделение]],'Списки данных'!$C$2:$C$1048576,0))</f>
        <v>2</v>
      </c>
      <c r="I629" s="80" t="s">
        <v>133</v>
      </c>
      <c r="J629" s="80" t="s">
        <v>197</v>
      </c>
      <c r="K629" s="80" t="s">
        <v>21</v>
      </c>
      <c r="L629" s="30" t="s">
        <v>192</v>
      </c>
      <c r="M629" s="68">
        <v>6</v>
      </c>
      <c r="N629" s="181" t="str">
        <f t="shared" si="10"/>
        <v>нет</v>
      </c>
      <c r="O629" s="23"/>
      <c r="P629" s="23"/>
      <c r="Q629" s="106"/>
      <c r="R629" s="37">
        <v>127</v>
      </c>
      <c r="S629" s="39" t="s">
        <v>539</v>
      </c>
      <c r="T629" s="37">
        <v>1226</v>
      </c>
      <c r="U629" s="38" t="s">
        <v>1631</v>
      </c>
      <c r="V629" s="69" t="s">
        <v>272</v>
      </c>
      <c r="W629" s="89" t="s">
        <v>133</v>
      </c>
      <c r="X629" s="106" t="s">
        <v>297</v>
      </c>
      <c r="Y629" s="107" t="s">
        <v>12</v>
      </c>
      <c r="Z629" s="67">
        <f>IF(База_КР_КК[[#This Row],[Таб.номер резервиста]]="-","-",IF(OR(База_КР_КК[[#This Row],[Уровень КК]]=2,База_КР_КК[[#This Row],[Уровень КК]]=3),IF(COUNTIFS($U$2:$U629,$U629,$F$2:$F629,$F629)=1,1,0),IF(COUNTIFS($U$2:$U629,$U629,$L$2:$L629,$L629)=1,1,0)))</f>
        <v>0</v>
      </c>
      <c r="AA6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29" s="106"/>
      <c r="AC629" s="51"/>
      <c r="AD629" s="106" t="s">
        <v>17</v>
      </c>
      <c r="AE629" s="40" t="s">
        <v>411</v>
      </c>
    </row>
    <row r="630" spans="1:31" ht="18" customHeight="1" x14ac:dyDescent="0.25">
      <c r="A6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0" s="79">
        <v>4</v>
      </c>
      <c r="C630" s="23">
        <v>43791</v>
      </c>
      <c r="D630" s="67">
        <f>IF(COUNTIF($G$2:$G630,$G630)=1,1,0)</f>
        <v>0</v>
      </c>
      <c r="E630" s="67" t="str">
        <f>IFERROR(VLOOKUP(База_КР_КК[[#This Row],[ИД штатной должности (S)]],'уровень защищенности'!$B$7:$F$1095,5,0),"не защищена")</f>
        <v>средний</v>
      </c>
      <c r="F630" s="68">
        <v>500248</v>
      </c>
      <c r="G630" s="74" t="s">
        <v>2284</v>
      </c>
      <c r="H630" s="181">
        <f>INDEX('Списки данных'!$D$2:$D$1048576,MATCH(База_КР_КК[[#This Row],[Структурное подразделение]],'Списки данных'!$C$2:$C$1048576,0))</f>
        <v>2</v>
      </c>
      <c r="I630" s="80" t="s">
        <v>133</v>
      </c>
      <c r="J630" s="80" t="s">
        <v>197</v>
      </c>
      <c r="K630" s="80" t="s">
        <v>21</v>
      </c>
      <c r="L630" s="30" t="s">
        <v>192</v>
      </c>
      <c r="M630" s="68">
        <v>6</v>
      </c>
      <c r="N630" s="181" t="str">
        <f t="shared" si="10"/>
        <v>нет</v>
      </c>
      <c r="O630" s="23"/>
      <c r="P630" s="23"/>
      <c r="Q630" s="106"/>
      <c r="R630" s="37">
        <v>127</v>
      </c>
      <c r="S630" s="38" t="s">
        <v>539</v>
      </c>
      <c r="T630" s="37">
        <v>1232</v>
      </c>
      <c r="U630" s="39" t="s">
        <v>1637</v>
      </c>
      <c r="V630" s="89" t="s">
        <v>272</v>
      </c>
      <c r="W630" s="89" t="s">
        <v>133</v>
      </c>
      <c r="X630" s="106" t="s">
        <v>297</v>
      </c>
      <c r="Y630" s="107" t="s">
        <v>18</v>
      </c>
      <c r="Z630" s="67">
        <f>IF(База_КР_КК[[#This Row],[Таб.номер резервиста]]="-","-",IF(OR(База_КР_КК[[#This Row],[Уровень КК]]=2,База_КР_КК[[#This Row],[Уровень КК]]=3),IF(COUNTIFS($U$2:$U630,$U630,$F$2:$F630,$F630)=1,1,0),IF(COUNTIFS($U$2:$U630,$U630,$L$2:$L630,$L630)=1,1,0)))</f>
        <v>0</v>
      </c>
      <c r="AA6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30" s="106" t="s">
        <v>38</v>
      </c>
      <c r="AC630" s="51">
        <v>44125</v>
      </c>
      <c r="AD630" s="106" t="s">
        <v>31</v>
      </c>
      <c r="AE630" s="38" t="s">
        <v>318</v>
      </c>
    </row>
    <row r="631" spans="1:31" ht="18" customHeight="1" x14ac:dyDescent="0.25">
      <c r="A6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1" s="79">
        <v>4</v>
      </c>
      <c r="C631" s="23">
        <v>44880</v>
      </c>
      <c r="D631" s="67">
        <f>IF(COUNTIF($G$2:$G631,$G631)=1,1,0)</f>
        <v>1</v>
      </c>
      <c r="E631" s="67" t="str">
        <f>IFERROR(VLOOKUP(База_КР_КК[[#This Row],[ИД штатной должности (S)]],'уровень защищенности'!$B$7:$F$1095,5,0),"не защищена")</f>
        <v>низкий</v>
      </c>
      <c r="F631" s="68">
        <v>500249</v>
      </c>
      <c r="G631" s="74" t="s">
        <v>2285</v>
      </c>
      <c r="H631" s="181">
        <f>INDEX('Списки данных'!$D$2:$D$1048576,MATCH(База_КР_КК[[#This Row],[Структурное подразделение]],'Списки данных'!$C$2:$C$1048576,0))</f>
        <v>2</v>
      </c>
      <c r="I631" s="80" t="s">
        <v>133</v>
      </c>
      <c r="J631" s="80" t="s">
        <v>197</v>
      </c>
      <c r="K631" s="80" t="s">
        <v>21</v>
      </c>
      <c r="L631" s="30" t="s">
        <v>192</v>
      </c>
      <c r="M631" s="68">
        <v>7</v>
      </c>
      <c r="N631" s="181" t="str">
        <f t="shared" si="10"/>
        <v>да</v>
      </c>
      <c r="O631" s="23">
        <v>43983</v>
      </c>
      <c r="P631" s="23">
        <v>43983</v>
      </c>
      <c r="Q631" s="106" t="s">
        <v>66</v>
      </c>
      <c r="R631" s="37">
        <v>128</v>
      </c>
      <c r="S631" s="39" t="s">
        <v>540</v>
      </c>
      <c r="T631" s="37">
        <v>1233</v>
      </c>
      <c r="U631" s="38" t="s">
        <v>1638</v>
      </c>
      <c r="V631" s="69" t="s">
        <v>272</v>
      </c>
      <c r="W631" s="89" t="s">
        <v>133</v>
      </c>
      <c r="X631" s="106" t="s">
        <v>296</v>
      </c>
      <c r="Y631" s="107" t="s">
        <v>12</v>
      </c>
      <c r="Z631" s="67">
        <f>IF(База_КР_КК[[#This Row],[Таб.номер резервиста]]="-","-",IF(OR(База_КР_КК[[#This Row],[Уровень КК]]=2,База_КР_КК[[#This Row],[Уровень КК]]=3),IF(COUNTIFS($U$2:$U631,$U631,$F$2:$F631,$F631)=1,1,0),IF(COUNTIFS($U$2:$U631,$U631,$L$2:$L631,$L631)=1,1,0)))</f>
        <v>1</v>
      </c>
      <c r="AA6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31" s="106"/>
      <c r="AC631" s="51"/>
      <c r="AD631" s="106" t="s">
        <v>15</v>
      </c>
      <c r="AE631" s="40" t="s">
        <v>411</v>
      </c>
    </row>
    <row r="632" spans="1:31" ht="18" customHeight="1" x14ac:dyDescent="0.25">
      <c r="A6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2" s="79">
        <v>4</v>
      </c>
      <c r="C632" s="23">
        <v>43791</v>
      </c>
      <c r="D632" s="67">
        <f>IF(COUNTIF($G$2:$G632,$G632)=1,1,0)</f>
        <v>0</v>
      </c>
      <c r="E632" s="67" t="str">
        <f>IFERROR(VLOOKUP(База_КР_КК[[#This Row],[ИД штатной должности (S)]],'уровень защищенности'!$B$7:$F$1095,5,0),"не защищена")</f>
        <v>низкий</v>
      </c>
      <c r="F632" s="68">
        <v>500249</v>
      </c>
      <c r="G632" s="74" t="s">
        <v>2285</v>
      </c>
      <c r="H632" s="181">
        <f>INDEX('Списки данных'!$D$2:$D$1048576,MATCH(База_КР_КК[[#This Row],[Структурное подразделение]],'Списки данных'!$C$2:$C$1048576,0))</f>
        <v>2</v>
      </c>
      <c r="I632" s="80" t="s">
        <v>133</v>
      </c>
      <c r="J632" s="80" t="s">
        <v>197</v>
      </c>
      <c r="K632" s="80" t="s">
        <v>21</v>
      </c>
      <c r="L632" s="30" t="s">
        <v>192</v>
      </c>
      <c r="M632" s="68">
        <v>7</v>
      </c>
      <c r="N632" s="181" t="str">
        <f t="shared" si="10"/>
        <v>да</v>
      </c>
      <c r="O632" s="23">
        <v>43983</v>
      </c>
      <c r="P632" s="23">
        <v>43983</v>
      </c>
      <c r="Q632" s="106" t="s">
        <v>66</v>
      </c>
      <c r="R632" s="37">
        <v>128</v>
      </c>
      <c r="S632" s="38" t="s">
        <v>540</v>
      </c>
      <c r="T632" s="37">
        <v>128</v>
      </c>
      <c r="U632" s="39" t="s">
        <v>540</v>
      </c>
      <c r="V632" s="89" t="s">
        <v>272</v>
      </c>
      <c r="W632" s="89" t="s">
        <v>133</v>
      </c>
      <c r="X632" s="106" t="s">
        <v>295</v>
      </c>
      <c r="Y632" s="107" t="s">
        <v>14</v>
      </c>
      <c r="Z632" s="67">
        <f>IF(База_КР_КК[[#This Row],[Таб.номер резервиста]]="-","-",IF(OR(База_КР_КК[[#This Row],[Уровень КК]]=2,База_КР_КК[[#This Row],[Уровень КК]]=3),IF(COUNTIFS($U$2:$U632,$U632,$F$2:$F632,$F632)=1,1,0),IF(COUNTIFS($U$2:$U632,$U632,$L$2:$L632,$L632)=1,1,0)))</f>
        <v>1</v>
      </c>
      <c r="AA6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632" s="106" t="s">
        <v>24</v>
      </c>
      <c r="AC632" s="51">
        <v>43983</v>
      </c>
      <c r="AD632" s="106" t="s">
        <v>15</v>
      </c>
      <c r="AE632" s="38" t="s">
        <v>317</v>
      </c>
    </row>
    <row r="633" spans="1:31" ht="18" customHeight="1" x14ac:dyDescent="0.25">
      <c r="A6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3" s="79">
        <v>4</v>
      </c>
      <c r="C633" s="23">
        <v>44495</v>
      </c>
      <c r="D633" s="67">
        <f>IF(COUNTIF($G$2:$G633,$G633)=1,1,0)</f>
        <v>0</v>
      </c>
      <c r="E633" s="67" t="str">
        <f>IFERROR(VLOOKUP(База_КР_КК[[#This Row],[ИД штатной должности (S)]],'уровень защищенности'!$B$7:$F$1095,5,0),"не защищена")</f>
        <v>низкий</v>
      </c>
      <c r="F633" s="68">
        <v>500249</v>
      </c>
      <c r="G633" s="74" t="s">
        <v>2285</v>
      </c>
      <c r="H633" s="181">
        <f>INDEX('Списки данных'!$D$2:$D$1048576,MATCH(База_КР_КК[[#This Row],[Структурное подразделение]],'Списки данных'!$C$2:$C$1048576,0))</f>
        <v>2</v>
      </c>
      <c r="I633" s="80" t="s">
        <v>133</v>
      </c>
      <c r="J633" s="80" t="s">
        <v>197</v>
      </c>
      <c r="K633" s="80" t="s">
        <v>21</v>
      </c>
      <c r="L633" s="30" t="s">
        <v>192</v>
      </c>
      <c r="M633" s="68">
        <v>7</v>
      </c>
      <c r="N633" s="181" t="str">
        <f t="shared" si="10"/>
        <v>да</v>
      </c>
      <c r="O633" s="23">
        <v>43983</v>
      </c>
      <c r="P633" s="23">
        <v>43983</v>
      </c>
      <c r="Q633" s="106" t="s">
        <v>66</v>
      </c>
      <c r="R633" s="37">
        <v>128</v>
      </c>
      <c r="S633" s="38" t="s">
        <v>540</v>
      </c>
      <c r="T633" s="37">
        <v>1234</v>
      </c>
      <c r="U633" s="39" t="s">
        <v>1639</v>
      </c>
      <c r="V633" s="69" t="s">
        <v>192</v>
      </c>
      <c r="W633" s="89" t="s">
        <v>133</v>
      </c>
      <c r="X633" s="106" t="s">
        <v>296</v>
      </c>
      <c r="Y633" s="107" t="s">
        <v>18</v>
      </c>
      <c r="Z633" s="67">
        <f>IF(База_КР_КК[[#This Row],[Таб.номер резервиста]]="-","-",IF(OR(База_КР_КК[[#This Row],[Уровень КК]]=2,База_КР_КК[[#This Row],[Уровень КК]]=3),IF(COUNTIFS($U$2:$U633,$U633,$F$2:$F633,$F633)=1,1,0),IF(COUNTIFS($U$2:$U633,$U633,$L$2:$L633,$L633)=1,1,0)))</f>
        <v>1</v>
      </c>
      <c r="AA6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33" s="106" t="s">
        <v>38</v>
      </c>
      <c r="AC633" s="51">
        <v>45245</v>
      </c>
      <c r="AD633" s="106" t="s">
        <v>31</v>
      </c>
      <c r="AE633" s="40" t="s">
        <v>411</v>
      </c>
    </row>
    <row r="634" spans="1:31" ht="18" customHeight="1" x14ac:dyDescent="0.25">
      <c r="A6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4" s="79">
        <v>4</v>
      </c>
      <c r="C634" s="23">
        <v>44495</v>
      </c>
      <c r="D634" s="67">
        <f>IF(COUNTIF($G$2:$G634,$G634)=1,1,0)</f>
        <v>0</v>
      </c>
      <c r="E634" s="67" t="str">
        <f>IFERROR(VLOOKUP(База_КР_КК[[#This Row],[ИД штатной должности (S)]],'уровень защищенности'!$B$7:$F$1095,5,0),"не защищена")</f>
        <v>низкий</v>
      </c>
      <c r="F634" s="68">
        <v>500249</v>
      </c>
      <c r="G634" s="74" t="s">
        <v>2285</v>
      </c>
      <c r="H634" s="181">
        <f>INDEX('Списки данных'!$D$2:$D$1048576,MATCH(База_КР_КК[[#This Row],[Структурное подразделение]],'Списки данных'!$C$2:$C$1048576,0))</f>
        <v>2</v>
      </c>
      <c r="I634" s="80" t="s">
        <v>133</v>
      </c>
      <c r="J634" s="80" t="s">
        <v>197</v>
      </c>
      <c r="K634" s="80" t="s">
        <v>21</v>
      </c>
      <c r="L634" s="30" t="s">
        <v>192</v>
      </c>
      <c r="M634" s="68">
        <v>7</v>
      </c>
      <c r="N634" s="181" t="str">
        <f t="shared" si="10"/>
        <v>да</v>
      </c>
      <c r="O634" s="23">
        <v>43983</v>
      </c>
      <c r="P634" s="23">
        <v>43983</v>
      </c>
      <c r="Q634" s="106" t="s">
        <v>66</v>
      </c>
      <c r="R634" s="37">
        <v>128</v>
      </c>
      <c r="S634" s="38" t="s">
        <v>540</v>
      </c>
      <c r="T634" s="37">
        <v>1235</v>
      </c>
      <c r="U634" s="39" t="s">
        <v>1640</v>
      </c>
      <c r="V634" s="89" t="s">
        <v>192</v>
      </c>
      <c r="W634" s="89" t="s">
        <v>133</v>
      </c>
      <c r="X634" s="106" t="s">
        <v>296</v>
      </c>
      <c r="Y634" s="107" t="s">
        <v>18</v>
      </c>
      <c r="Z634" s="67">
        <f>IF(База_КР_КК[[#This Row],[Таб.номер резервиста]]="-","-",IF(OR(База_КР_КК[[#This Row],[Уровень КК]]=2,База_КР_КК[[#This Row],[Уровень КК]]=3),IF(COUNTIFS($U$2:$U634,$U634,$F$2:$F634,$F634)=1,1,0),IF(COUNTIFS($U$2:$U634,$U634,$L$2:$L634,$L634)=1,1,0)))</f>
        <v>1</v>
      </c>
      <c r="AA6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34" s="106" t="s">
        <v>38</v>
      </c>
      <c r="AC634" s="51">
        <v>45245</v>
      </c>
      <c r="AD634" s="106" t="s">
        <v>31</v>
      </c>
      <c r="AE634" s="40" t="s">
        <v>411</v>
      </c>
    </row>
    <row r="635" spans="1:31" ht="18" customHeight="1" x14ac:dyDescent="0.25">
      <c r="A6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5" s="79">
        <v>3</v>
      </c>
      <c r="C635" s="23">
        <v>43426</v>
      </c>
      <c r="D635" s="67">
        <f>IF(COUNTIF($G$2:$G635,$G635)=1,1,0)</f>
        <v>1</v>
      </c>
      <c r="E635" s="67" t="str">
        <f>IFERROR(VLOOKUP(База_КР_КК[[#This Row],[ИД штатной должности (S)]],'уровень защищенности'!$B$7:$F$1095,5,0),"не защищена")</f>
        <v>высокий</v>
      </c>
      <c r="F635" s="68">
        <v>500572</v>
      </c>
      <c r="G635" s="74" t="s">
        <v>2286</v>
      </c>
      <c r="H635" s="181">
        <f>INDEX('Списки данных'!$D$2:$D$1048576,MATCH(База_КР_КК[[#This Row],[Структурное подразделение]],'Списки данных'!$C$2:$C$1048576,0))</f>
        <v>1</v>
      </c>
      <c r="I635" s="80" t="s">
        <v>132</v>
      </c>
      <c r="J635" s="80" t="s">
        <v>195</v>
      </c>
      <c r="K635" s="80" t="s">
        <v>196</v>
      </c>
      <c r="L635" s="30" t="s">
        <v>198</v>
      </c>
      <c r="M635" s="68">
        <v>5</v>
      </c>
      <c r="N635" s="181" t="str">
        <f t="shared" si="10"/>
        <v>да</v>
      </c>
      <c r="O635" s="23">
        <v>44549</v>
      </c>
      <c r="P635" s="23">
        <v>44629</v>
      </c>
      <c r="Q635" s="106" t="s">
        <v>66</v>
      </c>
      <c r="R635" s="37">
        <v>129</v>
      </c>
      <c r="S635" s="38" t="s">
        <v>541</v>
      </c>
      <c r="T635" s="37">
        <v>62</v>
      </c>
      <c r="U635" s="38" t="s">
        <v>474</v>
      </c>
      <c r="V635" s="89" t="s">
        <v>194</v>
      </c>
      <c r="W635" s="89" t="s">
        <v>132</v>
      </c>
      <c r="X635" s="106" t="s">
        <v>295</v>
      </c>
      <c r="Y635" s="107" t="s">
        <v>12</v>
      </c>
      <c r="Z635" s="67">
        <f>IF(База_КР_КК[[#This Row],[Таб.номер резервиста]]="-","-",IF(OR(База_КР_КК[[#This Row],[Уровень КК]]=2,База_КР_КК[[#This Row],[Уровень КК]]=3),IF(COUNTIFS($U$2:$U635,$U635,$F$2:$F635,$F635)=1,1,0),IF(COUNTIFS($U$2:$U635,$U635,$L$2:$L635,$L635)=1,1,0)))</f>
        <v>1</v>
      </c>
      <c r="AA6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35" s="106"/>
      <c r="AC635" s="51"/>
      <c r="AD635" s="106" t="s">
        <v>17</v>
      </c>
      <c r="AE635" s="38" t="s">
        <v>404</v>
      </c>
    </row>
    <row r="636" spans="1:31" ht="18" customHeight="1" x14ac:dyDescent="0.25">
      <c r="A6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6" s="79">
        <v>3</v>
      </c>
      <c r="C636" s="23">
        <v>43426</v>
      </c>
      <c r="D636" s="67">
        <f>IF(COUNTIF($G$2:$G636,$G636)=1,1,0)</f>
        <v>0</v>
      </c>
      <c r="E636" s="67" t="str">
        <f>IFERROR(VLOOKUP(База_КР_КК[[#This Row],[ИД штатной должности (S)]],'уровень защищенности'!$B$7:$F$1095,5,0),"не защищена")</f>
        <v>высокий</v>
      </c>
      <c r="F636" s="68">
        <v>500572</v>
      </c>
      <c r="G636" s="74" t="s">
        <v>2286</v>
      </c>
      <c r="H636" s="181">
        <f>INDEX('Списки данных'!$D$2:$D$1048576,MATCH(База_КР_КК[[#This Row],[Структурное подразделение]],'Списки данных'!$C$2:$C$1048576,0))</f>
        <v>1</v>
      </c>
      <c r="I636" s="80" t="s">
        <v>132</v>
      </c>
      <c r="J636" s="80" t="s">
        <v>195</v>
      </c>
      <c r="K636" s="80" t="s">
        <v>196</v>
      </c>
      <c r="L636" s="30" t="s">
        <v>198</v>
      </c>
      <c r="M636" s="68">
        <v>5</v>
      </c>
      <c r="N636" s="181" t="str">
        <f t="shared" si="10"/>
        <v>да</v>
      </c>
      <c r="O636" s="23">
        <v>44549</v>
      </c>
      <c r="P636" s="23">
        <v>44629</v>
      </c>
      <c r="Q636" s="106" t="s">
        <v>66</v>
      </c>
      <c r="R636" s="37">
        <v>129</v>
      </c>
      <c r="S636" s="38" t="s">
        <v>541</v>
      </c>
      <c r="T636" s="37">
        <v>61</v>
      </c>
      <c r="U636" s="38" t="s">
        <v>473</v>
      </c>
      <c r="V636" s="89" t="s">
        <v>194</v>
      </c>
      <c r="W636" s="89" t="s">
        <v>132</v>
      </c>
      <c r="X636" s="106" t="s">
        <v>295</v>
      </c>
      <c r="Y636" s="107" t="s">
        <v>12</v>
      </c>
      <c r="Z636" s="67">
        <f>IF(База_КР_КК[[#This Row],[Таб.номер резервиста]]="-","-",IF(OR(База_КР_КК[[#This Row],[Уровень КК]]=2,База_КР_КК[[#This Row],[Уровень КК]]=3),IF(COUNTIFS($U$2:$U636,$U636,$F$2:$F636,$F636)=1,1,0),IF(COUNTIFS($U$2:$U636,$U636,$L$2:$L636,$L636)=1,1,0)))</f>
        <v>1</v>
      </c>
      <c r="AA6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36" s="106"/>
      <c r="AC636" s="51"/>
      <c r="AD636" s="106" t="s">
        <v>13</v>
      </c>
      <c r="AE636" s="38" t="s">
        <v>404</v>
      </c>
    </row>
    <row r="637" spans="1:31" ht="18" customHeight="1" x14ac:dyDescent="0.25">
      <c r="A6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7" s="79">
        <v>3</v>
      </c>
      <c r="C637" s="23">
        <v>44599</v>
      </c>
      <c r="D637" s="67">
        <f>IF(COUNTIF($G$2:$G637,$G637)=1,1,0)</f>
        <v>0</v>
      </c>
      <c r="E637" s="67" t="str">
        <f>IFERROR(VLOOKUP(База_КР_КК[[#This Row],[ИД штатной должности (S)]],'уровень защищенности'!$B$7:$F$1095,5,0),"не защищена")</f>
        <v>высокий</v>
      </c>
      <c r="F637" s="68">
        <v>500572</v>
      </c>
      <c r="G637" s="74" t="s">
        <v>2286</v>
      </c>
      <c r="H637" s="181">
        <f>INDEX('Списки данных'!$D$2:$D$1048576,MATCH(База_КР_КК[[#This Row],[Структурное подразделение]],'Списки данных'!$C$2:$C$1048576,0))</f>
        <v>1</v>
      </c>
      <c r="I637" s="80" t="s">
        <v>132</v>
      </c>
      <c r="J637" s="80" t="s">
        <v>195</v>
      </c>
      <c r="K637" s="80" t="s">
        <v>196</v>
      </c>
      <c r="L637" s="30" t="s">
        <v>198</v>
      </c>
      <c r="M637" s="68">
        <v>5</v>
      </c>
      <c r="N637" s="181" t="str">
        <f t="shared" si="10"/>
        <v>да</v>
      </c>
      <c r="O637" s="23">
        <v>44549</v>
      </c>
      <c r="P637" s="23">
        <v>44629</v>
      </c>
      <c r="Q637" s="106" t="s">
        <v>66</v>
      </c>
      <c r="R637" s="37">
        <v>129</v>
      </c>
      <c r="S637" s="39" t="s">
        <v>541</v>
      </c>
      <c r="T637" s="37">
        <v>129</v>
      </c>
      <c r="U637" s="38" t="s">
        <v>541</v>
      </c>
      <c r="V637" s="89" t="s">
        <v>192</v>
      </c>
      <c r="W637" s="89" t="s">
        <v>132</v>
      </c>
      <c r="X637" s="106" t="s">
        <v>297</v>
      </c>
      <c r="Y637" s="107" t="s">
        <v>14</v>
      </c>
      <c r="Z637" s="67">
        <f>IF(База_КР_КК[[#This Row],[Таб.номер резервиста]]="-","-",IF(OR(База_КР_КК[[#This Row],[Уровень КК]]=2,База_КР_КК[[#This Row],[Уровень КК]]=3),IF(COUNTIFS($U$2:$U637,$U637,$F$2:$F637,$F637)=1,1,0),IF(COUNTIFS($U$2:$U637,$U637,$L$2:$L637,$L637)=1,1,0)))</f>
        <v>1</v>
      </c>
      <c r="AA6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637" s="106" t="s">
        <v>24</v>
      </c>
      <c r="AC637" s="51">
        <v>44629</v>
      </c>
      <c r="AD637" s="106" t="s">
        <v>15</v>
      </c>
      <c r="AE637" s="38" t="s">
        <v>321</v>
      </c>
    </row>
    <row r="638" spans="1:31" ht="18" customHeight="1" x14ac:dyDescent="0.25">
      <c r="A6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8" s="79">
        <v>4</v>
      </c>
      <c r="C638" s="23">
        <v>43783</v>
      </c>
      <c r="D638" s="67">
        <f>IF(COUNTIF($G$2:$G638,$G638)=1,1,0)</f>
        <v>1</v>
      </c>
      <c r="E638" s="67" t="str">
        <f>IFERROR(VLOOKUP(База_КР_КК[[#This Row],[ИД штатной должности (S)]],'уровень защищенности'!$B$7:$F$1095,5,0),"не защищена")</f>
        <v>высокий</v>
      </c>
      <c r="F638" s="68">
        <v>500373</v>
      </c>
      <c r="G638" s="74" t="s">
        <v>2287</v>
      </c>
      <c r="H638" s="181">
        <f>INDEX('Списки данных'!$D$2:$D$1048576,MATCH(База_КР_КК[[#This Row],[Структурное подразделение]],'Списки данных'!$C$2:$C$1048576,0))</f>
        <v>1</v>
      </c>
      <c r="I638" s="80" t="s">
        <v>132</v>
      </c>
      <c r="J638" s="80" t="s">
        <v>195</v>
      </c>
      <c r="K638" s="80" t="s">
        <v>196</v>
      </c>
      <c r="L638" s="30" t="s">
        <v>191</v>
      </c>
      <c r="M638" s="68">
        <v>6</v>
      </c>
      <c r="N638" s="181" t="str">
        <f t="shared" si="10"/>
        <v>да</v>
      </c>
      <c r="O638" s="23">
        <v>43875</v>
      </c>
      <c r="P638" s="23">
        <v>43967</v>
      </c>
      <c r="Q638" s="106" t="s">
        <v>66</v>
      </c>
      <c r="R638" s="37">
        <v>130</v>
      </c>
      <c r="S638" s="38" t="s">
        <v>542</v>
      </c>
      <c r="T638" s="37">
        <v>1178</v>
      </c>
      <c r="U638" s="39" t="s">
        <v>1586</v>
      </c>
      <c r="V638" s="89" t="s">
        <v>272</v>
      </c>
      <c r="W638" s="89" t="s">
        <v>132</v>
      </c>
      <c r="X638" s="106" t="s">
        <v>295</v>
      </c>
      <c r="Y638" s="107" t="s">
        <v>12</v>
      </c>
      <c r="Z638" s="67">
        <f>IF(База_КР_КК[[#This Row],[Таб.номер резервиста]]="-","-",IF(OR(База_КР_КК[[#This Row],[Уровень КК]]=2,База_КР_КК[[#This Row],[Уровень КК]]=3),IF(COUNTIFS($U$2:$U638,$U638,$F$2:$F638,$F638)=1,1,0),IF(COUNTIFS($U$2:$U638,$U638,$L$2:$L638,$L638)=1,1,0)))</f>
        <v>0</v>
      </c>
      <c r="AA6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38" s="106"/>
      <c r="AC638" s="51"/>
      <c r="AD638" s="106" t="s">
        <v>13</v>
      </c>
      <c r="AE638" s="38" t="s">
        <v>410</v>
      </c>
    </row>
    <row r="639" spans="1:31" ht="18" customHeight="1" x14ac:dyDescent="0.25">
      <c r="A6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39" s="79">
        <v>4</v>
      </c>
      <c r="C639" s="23">
        <v>43783</v>
      </c>
      <c r="D639" s="67">
        <f>IF(COUNTIF($G$2:$G639,$G639)=1,1,0)</f>
        <v>0</v>
      </c>
      <c r="E639" s="67" t="str">
        <f>IFERROR(VLOOKUP(База_КР_КК[[#This Row],[ИД штатной должности (S)]],'уровень защищенности'!$B$7:$F$1095,5,0),"не защищена")</f>
        <v>высокий</v>
      </c>
      <c r="F639" s="68">
        <v>500373</v>
      </c>
      <c r="G639" s="74" t="s">
        <v>2287</v>
      </c>
      <c r="H639" s="181">
        <f>INDEX('Списки данных'!$D$2:$D$1048576,MATCH(База_КР_КК[[#This Row],[Структурное подразделение]],'Списки данных'!$C$2:$C$1048576,0))</f>
        <v>1</v>
      </c>
      <c r="I639" s="80" t="s">
        <v>132</v>
      </c>
      <c r="J639" s="80" t="s">
        <v>195</v>
      </c>
      <c r="K639" s="80" t="s">
        <v>196</v>
      </c>
      <c r="L639" s="30" t="s">
        <v>191</v>
      </c>
      <c r="M639" s="68">
        <v>6</v>
      </c>
      <c r="N639" s="181" t="str">
        <f t="shared" si="10"/>
        <v>да</v>
      </c>
      <c r="O639" s="23">
        <v>43875</v>
      </c>
      <c r="P639" s="23">
        <v>43967</v>
      </c>
      <c r="Q639" s="106" t="s">
        <v>66</v>
      </c>
      <c r="R639" s="37">
        <v>130</v>
      </c>
      <c r="S639" s="38" t="s">
        <v>542</v>
      </c>
      <c r="T639" s="37">
        <v>1177</v>
      </c>
      <c r="U639" s="39" t="s">
        <v>1585</v>
      </c>
      <c r="V639" s="89" t="s">
        <v>272</v>
      </c>
      <c r="W639" s="89" t="s">
        <v>132</v>
      </c>
      <c r="X639" s="106" t="s">
        <v>295</v>
      </c>
      <c r="Y639" s="107" t="s">
        <v>12</v>
      </c>
      <c r="Z639" s="67">
        <f>IF(База_КР_КК[[#This Row],[Таб.номер резервиста]]="-","-",IF(OR(База_КР_КК[[#This Row],[Уровень КК]]=2,База_КР_КК[[#This Row],[Уровень КК]]=3),IF(COUNTIFS($U$2:$U639,$U639,$F$2:$F639,$F639)=1,1,0),IF(COUNTIFS($U$2:$U639,$U639,$L$2:$L639,$L639)=1,1,0)))</f>
        <v>0</v>
      </c>
      <c r="AA6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39" s="106"/>
      <c r="AC639" s="51"/>
      <c r="AD639" s="106" t="s">
        <v>13</v>
      </c>
      <c r="AE639" s="38" t="s">
        <v>410</v>
      </c>
    </row>
    <row r="640" spans="1:31" ht="18" customHeight="1" x14ac:dyDescent="0.25">
      <c r="A6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0" s="79">
        <v>4</v>
      </c>
      <c r="C640" s="23">
        <v>43783</v>
      </c>
      <c r="D640" s="67">
        <f>IF(COUNTIF($G$2:$G640,$G640)=1,1,0)</f>
        <v>0</v>
      </c>
      <c r="E640" s="67" t="str">
        <f>IFERROR(VLOOKUP(База_КР_КК[[#This Row],[ИД штатной должности (S)]],'уровень защищенности'!$B$7:$F$1095,5,0),"не защищена")</f>
        <v>высокий</v>
      </c>
      <c r="F640" s="68">
        <v>500373</v>
      </c>
      <c r="G640" s="74" t="s">
        <v>2287</v>
      </c>
      <c r="H640" s="181">
        <f>INDEX('Списки данных'!$D$2:$D$1048576,MATCH(База_КР_КК[[#This Row],[Структурное подразделение]],'Списки данных'!$C$2:$C$1048576,0))</f>
        <v>1</v>
      </c>
      <c r="I640" s="80" t="s">
        <v>132</v>
      </c>
      <c r="J640" s="80" t="s">
        <v>195</v>
      </c>
      <c r="K640" s="80" t="s">
        <v>196</v>
      </c>
      <c r="L640" s="30" t="s">
        <v>191</v>
      </c>
      <c r="M640" s="68">
        <v>6</v>
      </c>
      <c r="N640" s="181" t="str">
        <f t="shared" si="10"/>
        <v>да</v>
      </c>
      <c r="O640" s="23">
        <v>43875</v>
      </c>
      <c r="P640" s="23">
        <v>43967</v>
      </c>
      <c r="Q640" s="106" t="s">
        <v>66</v>
      </c>
      <c r="R640" s="37">
        <v>130</v>
      </c>
      <c r="S640" s="38" t="s">
        <v>542</v>
      </c>
      <c r="T640" s="37">
        <v>1179</v>
      </c>
      <c r="U640" s="39" t="s">
        <v>1587</v>
      </c>
      <c r="V640" s="89" t="s">
        <v>272</v>
      </c>
      <c r="W640" s="89" t="s">
        <v>132</v>
      </c>
      <c r="X640" s="106" t="s">
        <v>295</v>
      </c>
      <c r="Y640" s="107" t="s">
        <v>12</v>
      </c>
      <c r="Z640" s="67">
        <f>IF(База_КР_КК[[#This Row],[Таб.номер резервиста]]="-","-",IF(OR(База_КР_КК[[#This Row],[Уровень КК]]=2,База_КР_КК[[#This Row],[Уровень КК]]=3),IF(COUNTIFS($U$2:$U640,$U640,$F$2:$F640,$F640)=1,1,0),IF(COUNTIFS($U$2:$U640,$U640,$L$2:$L640,$L640)=1,1,0)))</f>
        <v>0</v>
      </c>
      <c r="AA6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0" s="106"/>
      <c r="AC640" s="51"/>
      <c r="AD640" s="106" t="s">
        <v>17</v>
      </c>
      <c r="AE640" s="38" t="s">
        <v>410</v>
      </c>
    </row>
    <row r="641" spans="1:31" ht="18" customHeight="1" x14ac:dyDescent="0.25">
      <c r="A6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1" s="79">
        <v>4</v>
      </c>
      <c r="C641" s="23">
        <v>43783</v>
      </c>
      <c r="D641" s="67">
        <f>IF(COUNTIF($G$2:$G641,$G641)=1,1,0)</f>
        <v>0</v>
      </c>
      <c r="E641" s="67" t="str">
        <f>IFERROR(VLOOKUP(База_КР_КК[[#This Row],[ИД штатной должности (S)]],'уровень защищенности'!$B$7:$F$1095,5,0),"не защищена")</f>
        <v>высокий</v>
      </c>
      <c r="F641" s="68">
        <v>500373</v>
      </c>
      <c r="G641" s="74" t="s">
        <v>2287</v>
      </c>
      <c r="H641" s="181">
        <f>INDEX('Списки данных'!$D$2:$D$1048576,MATCH(База_КР_КК[[#This Row],[Структурное подразделение]],'Списки данных'!$C$2:$C$1048576,0))</f>
        <v>1</v>
      </c>
      <c r="I641" s="80" t="s">
        <v>132</v>
      </c>
      <c r="J641" s="80" t="s">
        <v>195</v>
      </c>
      <c r="K641" s="80" t="s">
        <v>196</v>
      </c>
      <c r="L641" s="30" t="s">
        <v>191</v>
      </c>
      <c r="M641" s="68">
        <v>6</v>
      </c>
      <c r="N641" s="181" t="str">
        <f t="shared" ref="N641:N704" si="11">IF(ISBLANK(O641),"нет","да")</f>
        <v>да</v>
      </c>
      <c r="O641" s="23">
        <v>43875</v>
      </c>
      <c r="P641" s="23">
        <v>43967</v>
      </c>
      <c r="Q641" s="106" t="s">
        <v>66</v>
      </c>
      <c r="R641" s="37">
        <v>130</v>
      </c>
      <c r="S641" s="38" t="s">
        <v>542</v>
      </c>
      <c r="T641" s="37">
        <v>1176</v>
      </c>
      <c r="U641" s="39" t="s">
        <v>1584</v>
      </c>
      <c r="V641" s="89" t="s">
        <v>272</v>
      </c>
      <c r="W641" s="89" t="s">
        <v>132</v>
      </c>
      <c r="X641" s="106" t="s">
        <v>295</v>
      </c>
      <c r="Y641" s="107" t="s">
        <v>12</v>
      </c>
      <c r="Z641" s="67">
        <f>IF(База_КР_КК[[#This Row],[Таб.номер резервиста]]="-","-",IF(OR(База_КР_КК[[#This Row],[Уровень КК]]=2,База_КР_КК[[#This Row],[Уровень КК]]=3),IF(COUNTIFS($U$2:$U641,$U641,$F$2:$F641,$F641)=1,1,0),IF(COUNTIFS($U$2:$U641,$U641,$L$2:$L641,$L641)=1,1,0)))</f>
        <v>0</v>
      </c>
      <c r="AA6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1" s="106"/>
      <c r="AC641" s="51"/>
      <c r="AD641" s="106" t="s">
        <v>13</v>
      </c>
      <c r="AE641" s="38" t="s">
        <v>410</v>
      </c>
    </row>
    <row r="642" spans="1:31" ht="18" customHeight="1" x14ac:dyDescent="0.25">
      <c r="A6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2" s="79">
        <v>4</v>
      </c>
      <c r="C642" s="23">
        <v>43783</v>
      </c>
      <c r="D642" s="67">
        <f>IF(COUNTIF($G$2:$G642,$G642)=1,1,0)</f>
        <v>0</v>
      </c>
      <c r="E642" s="67" t="str">
        <f>IFERROR(VLOOKUP(База_КР_КК[[#This Row],[ИД штатной должности (S)]],'уровень защищенности'!$B$7:$F$1095,5,0),"не защищена")</f>
        <v>высокий</v>
      </c>
      <c r="F642" s="68">
        <v>500373</v>
      </c>
      <c r="G642" s="74" t="s">
        <v>2287</v>
      </c>
      <c r="H642" s="181">
        <f>INDEX('Списки данных'!$D$2:$D$1048576,MATCH(База_КР_КК[[#This Row],[Структурное подразделение]],'Списки данных'!$C$2:$C$1048576,0))</f>
        <v>1</v>
      </c>
      <c r="I642" s="80" t="s">
        <v>132</v>
      </c>
      <c r="J642" s="80" t="s">
        <v>195</v>
      </c>
      <c r="K642" s="80" t="s">
        <v>196</v>
      </c>
      <c r="L642" s="30" t="s">
        <v>191</v>
      </c>
      <c r="M642" s="68">
        <v>6</v>
      </c>
      <c r="N642" s="181" t="str">
        <f t="shared" si="11"/>
        <v>да</v>
      </c>
      <c r="O642" s="23">
        <v>43875</v>
      </c>
      <c r="P642" s="23">
        <v>43967</v>
      </c>
      <c r="Q642" s="106" t="s">
        <v>66</v>
      </c>
      <c r="R642" s="37">
        <v>130</v>
      </c>
      <c r="S642" s="38" t="s">
        <v>542</v>
      </c>
      <c r="T642" s="37">
        <v>1180</v>
      </c>
      <c r="U642" s="39" t="s">
        <v>1588</v>
      </c>
      <c r="V642" s="89" t="s">
        <v>272</v>
      </c>
      <c r="W642" s="89" t="s">
        <v>132</v>
      </c>
      <c r="X642" s="106" t="s">
        <v>295</v>
      </c>
      <c r="Y642" s="107" t="s">
        <v>12</v>
      </c>
      <c r="Z642" s="67">
        <f>IF(База_КР_КК[[#This Row],[Таб.номер резервиста]]="-","-",IF(OR(База_КР_КК[[#This Row],[Уровень КК]]=2,База_КР_КК[[#This Row],[Уровень КК]]=3),IF(COUNTIFS($U$2:$U642,$U642,$F$2:$F642,$F642)=1,1,0),IF(COUNTIFS($U$2:$U642,$U642,$L$2:$L642,$L642)=1,1,0)))</f>
        <v>0</v>
      </c>
      <c r="AA6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2" s="106"/>
      <c r="AC642" s="51"/>
      <c r="AD642" s="106" t="s">
        <v>17</v>
      </c>
      <c r="AE642" s="38" t="s">
        <v>410</v>
      </c>
    </row>
    <row r="643" spans="1:31" ht="18" customHeight="1" x14ac:dyDescent="0.25">
      <c r="A6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3" s="79">
        <v>4</v>
      </c>
      <c r="C643" s="23">
        <v>44113</v>
      </c>
      <c r="D643" s="67">
        <f>IF(COUNTIF($G$2:$G643,$G643)=1,1,0)</f>
        <v>0</v>
      </c>
      <c r="E643" s="67" t="str">
        <f>IFERROR(VLOOKUP(База_КР_КК[[#This Row],[ИД штатной должности (S)]],'уровень защищенности'!$B$7:$F$1095,5,0),"не защищена")</f>
        <v>высокий</v>
      </c>
      <c r="F643" s="68">
        <v>500373</v>
      </c>
      <c r="G643" s="74" t="s">
        <v>2287</v>
      </c>
      <c r="H643" s="181">
        <f>INDEX('Списки данных'!$D$2:$D$1048576,MATCH(База_КР_КК[[#This Row],[Структурное подразделение]],'Списки данных'!$C$2:$C$1048576,0))</f>
        <v>1</v>
      </c>
      <c r="I643" s="80" t="s">
        <v>132</v>
      </c>
      <c r="J643" s="80" t="s">
        <v>195</v>
      </c>
      <c r="K643" s="80" t="s">
        <v>196</v>
      </c>
      <c r="L643" s="30" t="s">
        <v>191</v>
      </c>
      <c r="M643" s="68">
        <v>6</v>
      </c>
      <c r="N643" s="181" t="str">
        <f t="shared" si="11"/>
        <v>да</v>
      </c>
      <c r="O643" s="23">
        <v>43875</v>
      </c>
      <c r="P643" s="23">
        <v>43967</v>
      </c>
      <c r="Q643" s="106" t="s">
        <v>66</v>
      </c>
      <c r="R643" s="37">
        <v>130</v>
      </c>
      <c r="S643" s="38" t="s">
        <v>542</v>
      </c>
      <c r="T643" s="37">
        <v>1181</v>
      </c>
      <c r="U643" s="39" t="s">
        <v>1589</v>
      </c>
      <c r="V643" s="89" t="s">
        <v>272</v>
      </c>
      <c r="W643" s="89" t="s">
        <v>132</v>
      </c>
      <c r="X643" s="106" t="s">
        <v>295</v>
      </c>
      <c r="Y643" s="107" t="s">
        <v>12</v>
      </c>
      <c r="Z643" s="67">
        <f>IF(База_КР_КК[[#This Row],[Таб.номер резервиста]]="-","-",IF(OR(База_КР_КК[[#This Row],[Уровень КК]]=2,База_КР_КК[[#This Row],[Уровень КК]]=3),IF(COUNTIFS($U$2:$U643,$U643,$F$2:$F643,$F643)=1,1,0),IF(COUNTIFS($U$2:$U643,$U643,$L$2:$L643,$L643)=1,1,0)))</f>
        <v>0</v>
      </c>
      <c r="AA6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3" s="106"/>
      <c r="AC643" s="51"/>
      <c r="AD643" s="106" t="s">
        <v>17</v>
      </c>
      <c r="AE643" s="38" t="s">
        <v>410</v>
      </c>
    </row>
    <row r="644" spans="1:31" ht="18" customHeight="1" x14ac:dyDescent="0.25">
      <c r="A6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4" s="79">
        <v>4</v>
      </c>
      <c r="C644" s="23">
        <v>44897</v>
      </c>
      <c r="D644" s="67">
        <f>IF(COUNTIF($G$2:$G644,$G644)=1,1,0)</f>
        <v>0</v>
      </c>
      <c r="E644" s="67" t="str">
        <f>IFERROR(VLOOKUP(База_КР_КК[[#This Row],[ИД штатной должности (S)]],'уровень защищенности'!$B$7:$F$1095,5,0),"не защищена")</f>
        <v>высокий</v>
      </c>
      <c r="F644" s="68">
        <v>500373</v>
      </c>
      <c r="G644" s="74" t="s">
        <v>2287</v>
      </c>
      <c r="H644" s="181">
        <f>INDEX('Списки данных'!$D$2:$D$1048576,MATCH(База_КР_КК[[#This Row],[Структурное подразделение]],'Списки данных'!$C$2:$C$1048576,0))</f>
        <v>1</v>
      </c>
      <c r="I644" s="80" t="s">
        <v>132</v>
      </c>
      <c r="J644" s="80" t="s">
        <v>195</v>
      </c>
      <c r="K644" s="80" t="s">
        <v>196</v>
      </c>
      <c r="L644" s="30" t="s">
        <v>191</v>
      </c>
      <c r="M644" s="68">
        <v>6</v>
      </c>
      <c r="N644" s="181" t="str">
        <f t="shared" si="11"/>
        <v>да</v>
      </c>
      <c r="O644" s="23">
        <v>43875</v>
      </c>
      <c r="P644" s="23">
        <v>43967</v>
      </c>
      <c r="Q644" s="106" t="s">
        <v>66</v>
      </c>
      <c r="R644" s="37">
        <v>130</v>
      </c>
      <c r="S644" s="39" t="s">
        <v>542</v>
      </c>
      <c r="T644" s="37">
        <v>1182</v>
      </c>
      <c r="U644" s="38" t="s">
        <v>1590</v>
      </c>
      <c r="V644" s="69" t="s">
        <v>272</v>
      </c>
      <c r="W644" s="89" t="s">
        <v>132</v>
      </c>
      <c r="X644" s="106" t="s">
        <v>296</v>
      </c>
      <c r="Y644" s="107" t="s">
        <v>12</v>
      </c>
      <c r="Z644" s="67">
        <f>IF(База_КР_КК[[#This Row],[Таб.номер резервиста]]="-","-",IF(OR(База_КР_КК[[#This Row],[Уровень КК]]=2,База_КР_КК[[#This Row],[Уровень КК]]=3),IF(COUNTIFS($U$2:$U644,$U644,$F$2:$F644,$F644)=1,1,0),IF(COUNTIFS($U$2:$U644,$U644,$L$2:$L644,$L644)=1,1,0)))</f>
        <v>0</v>
      </c>
      <c r="AA6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4" s="106"/>
      <c r="AC644" s="51"/>
      <c r="AD644" s="106" t="s">
        <v>15</v>
      </c>
      <c r="AE644" s="33" t="s">
        <v>410</v>
      </c>
    </row>
    <row r="645" spans="1:31" ht="18" customHeight="1" x14ac:dyDescent="0.25">
      <c r="A6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5" s="79">
        <v>4</v>
      </c>
      <c r="C645" s="23">
        <v>44897</v>
      </c>
      <c r="D645" s="67">
        <f>IF(COUNTIF($G$2:$G645,$G645)=1,1,0)</f>
        <v>0</v>
      </c>
      <c r="E645" s="67" t="str">
        <f>IFERROR(VLOOKUP(База_КР_КК[[#This Row],[ИД штатной должности (S)]],'уровень защищенности'!$B$7:$F$1095,5,0),"не защищена")</f>
        <v>высокий</v>
      </c>
      <c r="F645" s="68">
        <v>500373</v>
      </c>
      <c r="G645" s="74" t="s">
        <v>2287</v>
      </c>
      <c r="H645" s="181">
        <f>INDEX('Списки данных'!$D$2:$D$1048576,MATCH(База_КР_КК[[#This Row],[Структурное подразделение]],'Списки данных'!$C$2:$C$1048576,0))</f>
        <v>1</v>
      </c>
      <c r="I645" s="80" t="s">
        <v>132</v>
      </c>
      <c r="J645" s="80" t="s">
        <v>195</v>
      </c>
      <c r="K645" s="80" t="s">
        <v>196</v>
      </c>
      <c r="L645" s="30" t="s">
        <v>191</v>
      </c>
      <c r="M645" s="68">
        <v>6</v>
      </c>
      <c r="N645" s="181" t="str">
        <f t="shared" si="11"/>
        <v>да</v>
      </c>
      <c r="O645" s="23">
        <v>43875</v>
      </c>
      <c r="P645" s="23">
        <v>43967</v>
      </c>
      <c r="Q645" s="106" t="s">
        <v>66</v>
      </c>
      <c r="R645" s="37">
        <v>130</v>
      </c>
      <c r="S645" s="39" t="s">
        <v>542</v>
      </c>
      <c r="T645" s="37">
        <v>1183</v>
      </c>
      <c r="U645" s="38" t="s">
        <v>1591</v>
      </c>
      <c r="V645" s="69" t="s">
        <v>272</v>
      </c>
      <c r="W645" s="89" t="s">
        <v>132</v>
      </c>
      <c r="X645" s="106" t="s">
        <v>296</v>
      </c>
      <c r="Y645" s="107" t="s">
        <v>12</v>
      </c>
      <c r="Z645" s="67">
        <f>IF(База_КР_КК[[#This Row],[Таб.номер резервиста]]="-","-",IF(OR(База_КР_КК[[#This Row],[Уровень КК]]=2,База_КР_КК[[#This Row],[Уровень КК]]=3),IF(COUNTIFS($U$2:$U645,$U645,$F$2:$F645,$F645)=1,1,0),IF(COUNTIFS($U$2:$U645,$U645,$L$2:$L645,$L645)=1,1,0)))</f>
        <v>0</v>
      </c>
      <c r="AA6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5" s="106"/>
      <c r="AC645" s="51"/>
      <c r="AD645" s="106" t="s">
        <v>15</v>
      </c>
      <c r="AE645" s="33" t="s">
        <v>410</v>
      </c>
    </row>
    <row r="646" spans="1:31" ht="18" customHeight="1" x14ac:dyDescent="0.25">
      <c r="A6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6" s="79">
        <v>4</v>
      </c>
      <c r="C646" s="23">
        <v>44897</v>
      </c>
      <c r="D646" s="67">
        <f>IF(COUNTIF($G$2:$G646,$G646)=1,1,0)</f>
        <v>0</v>
      </c>
      <c r="E646" s="67" t="str">
        <f>IFERROR(VLOOKUP(База_КР_КК[[#This Row],[ИД штатной должности (S)]],'уровень защищенности'!$B$7:$F$1095,5,0),"не защищена")</f>
        <v>высокий</v>
      </c>
      <c r="F646" s="68">
        <v>500373</v>
      </c>
      <c r="G646" s="74" t="s">
        <v>2287</v>
      </c>
      <c r="H646" s="181">
        <f>INDEX('Списки данных'!$D$2:$D$1048576,MATCH(База_КР_КК[[#This Row],[Структурное подразделение]],'Списки данных'!$C$2:$C$1048576,0))</f>
        <v>1</v>
      </c>
      <c r="I646" s="80" t="s">
        <v>132</v>
      </c>
      <c r="J646" s="80" t="s">
        <v>195</v>
      </c>
      <c r="K646" s="80" t="s">
        <v>196</v>
      </c>
      <c r="L646" s="30" t="s">
        <v>191</v>
      </c>
      <c r="M646" s="68">
        <v>6</v>
      </c>
      <c r="N646" s="181" t="str">
        <f t="shared" si="11"/>
        <v>да</v>
      </c>
      <c r="O646" s="23">
        <v>43875</v>
      </c>
      <c r="P646" s="23">
        <v>43967</v>
      </c>
      <c r="Q646" s="106" t="s">
        <v>66</v>
      </c>
      <c r="R646" s="37">
        <v>130</v>
      </c>
      <c r="S646" s="39" t="s">
        <v>542</v>
      </c>
      <c r="T646" s="37">
        <v>1184</v>
      </c>
      <c r="U646" s="38" t="s">
        <v>1592</v>
      </c>
      <c r="V646" s="69" t="s">
        <v>272</v>
      </c>
      <c r="W646" s="89" t="s">
        <v>132</v>
      </c>
      <c r="X646" s="106" t="s">
        <v>296</v>
      </c>
      <c r="Y646" s="107" t="s">
        <v>12</v>
      </c>
      <c r="Z646" s="67">
        <f>IF(База_КР_КК[[#This Row],[Таб.номер резервиста]]="-","-",IF(OR(База_КР_КК[[#This Row],[Уровень КК]]=2,База_КР_КК[[#This Row],[Уровень КК]]=3),IF(COUNTIFS($U$2:$U646,$U646,$F$2:$F646,$F646)=1,1,0),IF(COUNTIFS($U$2:$U646,$U646,$L$2:$L646,$L646)=1,1,0)))</f>
        <v>0</v>
      </c>
      <c r="AA6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6" s="106"/>
      <c r="AC646" s="51"/>
      <c r="AD646" s="106" t="s">
        <v>15</v>
      </c>
      <c r="AE646" s="33" t="s">
        <v>410</v>
      </c>
    </row>
    <row r="647" spans="1:31" ht="18" customHeight="1" x14ac:dyDescent="0.25">
      <c r="A6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7" s="79">
        <v>4</v>
      </c>
      <c r="C647" s="23">
        <v>44897</v>
      </c>
      <c r="D647" s="67">
        <f>IF(COUNTIF($G$2:$G647,$G647)=1,1,0)</f>
        <v>0</v>
      </c>
      <c r="E647" s="67" t="str">
        <f>IFERROR(VLOOKUP(База_КР_КК[[#This Row],[ИД штатной должности (S)]],'уровень защищенности'!$B$7:$F$1095,5,0),"не защищена")</f>
        <v>высокий</v>
      </c>
      <c r="F647" s="68">
        <v>500373</v>
      </c>
      <c r="G647" s="74" t="s">
        <v>2287</v>
      </c>
      <c r="H647" s="181">
        <f>INDEX('Списки данных'!$D$2:$D$1048576,MATCH(База_КР_КК[[#This Row],[Структурное подразделение]],'Списки данных'!$C$2:$C$1048576,0))</f>
        <v>1</v>
      </c>
      <c r="I647" s="80" t="s">
        <v>132</v>
      </c>
      <c r="J647" s="80" t="s">
        <v>195</v>
      </c>
      <c r="K647" s="80" t="s">
        <v>196</v>
      </c>
      <c r="L647" s="30" t="s">
        <v>191</v>
      </c>
      <c r="M647" s="68">
        <v>6</v>
      </c>
      <c r="N647" s="181" t="str">
        <f t="shared" si="11"/>
        <v>да</v>
      </c>
      <c r="O647" s="23">
        <v>43875</v>
      </c>
      <c r="P647" s="23">
        <v>43967</v>
      </c>
      <c r="Q647" s="106" t="s">
        <v>66</v>
      </c>
      <c r="R647" s="37">
        <v>130</v>
      </c>
      <c r="S647" s="39" t="s">
        <v>542</v>
      </c>
      <c r="T647" s="37">
        <v>1185</v>
      </c>
      <c r="U647" s="38" t="s">
        <v>1593</v>
      </c>
      <c r="V647" s="69" t="s">
        <v>272</v>
      </c>
      <c r="W647" s="89" t="s">
        <v>132</v>
      </c>
      <c r="X647" s="106" t="s">
        <v>295</v>
      </c>
      <c r="Y647" s="107" t="s">
        <v>12</v>
      </c>
      <c r="Z647" s="67">
        <f>IF(База_КР_КК[[#This Row],[Таб.номер резервиста]]="-","-",IF(OR(База_КР_КК[[#This Row],[Уровень КК]]=2,База_КР_КК[[#This Row],[Уровень КК]]=3),IF(COUNTIFS($U$2:$U647,$U647,$F$2:$F647,$F647)=1,1,0),IF(COUNTIFS($U$2:$U647,$U647,$L$2:$L647,$L647)=1,1,0)))</f>
        <v>0</v>
      </c>
      <c r="AA6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7" s="106"/>
      <c r="AC647" s="51"/>
      <c r="AD647" s="106" t="s">
        <v>15</v>
      </c>
      <c r="AE647" s="33" t="s">
        <v>410</v>
      </c>
    </row>
    <row r="648" spans="1:31" ht="18" customHeight="1" x14ac:dyDescent="0.25">
      <c r="A6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8" s="79">
        <v>4</v>
      </c>
      <c r="C648" s="23">
        <v>43783</v>
      </c>
      <c r="D648" s="67">
        <f>IF(COUNTIF($G$2:$G648,$G648)=1,1,0)</f>
        <v>0</v>
      </c>
      <c r="E648" s="67" t="str">
        <f>IFERROR(VLOOKUP(База_КР_КК[[#This Row],[ИД штатной должности (S)]],'уровень защищенности'!$B$7:$F$1095,5,0),"не защищена")</f>
        <v>высокий</v>
      </c>
      <c r="F648" s="68">
        <v>500373</v>
      </c>
      <c r="G648" s="74" t="s">
        <v>2287</v>
      </c>
      <c r="H648" s="181">
        <f>INDEX('Списки данных'!$D$2:$D$1048576,MATCH(База_КР_КК[[#This Row],[Структурное подразделение]],'Списки данных'!$C$2:$C$1048576,0))</f>
        <v>1</v>
      </c>
      <c r="I648" s="80" t="s">
        <v>132</v>
      </c>
      <c r="J648" s="80" t="s">
        <v>195</v>
      </c>
      <c r="K648" s="80" t="s">
        <v>196</v>
      </c>
      <c r="L648" s="30" t="s">
        <v>191</v>
      </c>
      <c r="M648" s="68">
        <v>6</v>
      </c>
      <c r="N648" s="181" t="str">
        <f t="shared" si="11"/>
        <v>да</v>
      </c>
      <c r="O648" s="23">
        <v>43875</v>
      </c>
      <c r="P648" s="23">
        <v>43967</v>
      </c>
      <c r="Q648" s="106" t="s">
        <v>66</v>
      </c>
      <c r="R648" s="37">
        <v>130</v>
      </c>
      <c r="S648" s="38" t="s">
        <v>542</v>
      </c>
      <c r="T648" s="37">
        <v>67</v>
      </c>
      <c r="U648" s="39" t="s">
        <v>479</v>
      </c>
      <c r="V648" s="89" t="s">
        <v>272</v>
      </c>
      <c r="W648" s="89" t="s">
        <v>132</v>
      </c>
      <c r="X648" s="106" t="s">
        <v>295</v>
      </c>
      <c r="Y648" s="107" t="s">
        <v>14</v>
      </c>
      <c r="Z648" s="67">
        <f>IF(База_КР_КК[[#This Row],[Таб.номер резервиста]]="-","-",IF(OR(База_КР_КК[[#This Row],[Уровень КК]]=2,База_КР_КК[[#This Row],[Уровень КК]]=3),IF(COUNTIFS($U$2:$U648,$U648,$F$2:$F648,$F648)=1,1,0),IF(COUNTIFS($U$2:$U648,$U648,$L$2:$L648,$L648)=1,1,0)))</f>
        <v>1</v>
      </c>
      <c r="AA6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48" s="106" t="s">
        <v>24</v>
      </c>
      <c r="AC648" s="51">
        <v>44761</v>
      </c>
      <c r="AD648" s="106" t="s">
        <v>13</v>
      </c>
      <c r="AE648" s="38" t="s">
        <v>315</v>
      </c>
    </row>
    <row r="649" spans="1:31" ht="18" customHeight="1" x14ac:dyDescent="0.25">
      <c r="A6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49" s="79">
        <v>4</v>
      </c>
      <c r="C649" s="23">
        <v>43783</v>
      </c>
      <c r="D649" s="67">
        <f>IF(COUNTIF($G$2:$G649,$G649)=1,1,0)</f>
        <v>0</v>
      </c>
      <c r="E649" s="67" t="str">
        <f>IFERROR(VLOOKUP(База_КР_КК[[#This Row],[ИД штатной должности (S)]],'уровень защищенности'!$B$7:$F$1095,5,0),"не защищена")</f>
        <v>высокий</v>
      </c>
      <c r="F649" s="68">
        <v>500373</v>
      </c>
      <c r="G649" s="74" t="s">
        <v>2287</v>
      </c>
      <c r="H649" s="181">
        <f>INDEX('Списки данных'!$D$2:$D$1048576,MATCH(База_КР_КК[[#This Row],[Структурное подразделение]],'Списки данных'!$C$2:$C$1048576,0))</f>
        <v>1</v>
      </c>
      <c r="I649" s="80" t="s">
        <v>132</v>
      </c>
      <c r="J649" s="80" t="s">
        <v>195</v>
      </c>
      <c r="K649" s="80" t="s">
        <v>196</v>
      </c>
      <c r="L649" s="30" t="s">
        <v>191</v>
      </c>
      <c r="M649" s="68">
        <v>6</v>
      </c>
      <c r="N649" s="181" t="str">
        <f t="shared" si="11"/>
        <v>да</v>
      </c>
      <c r="O649" s="23">
        <v>43875</v>
      </c>
      <c r="P649" s="23">
        <v>43967</v>
      </c>
      <c r="Q649" s="106" t="s">
        <v>66</v>
      </c>
      <c r="R649" s="37">
        <v>130</v>
      </c>
      <c r="S649" s="38" t="s">
        <v>542</v>
      </c>
      <c r="T649" s="37">
        <v>130</v>
      </c>
      <c r="U649" s="39" t="s">
        <v>542</v>
      </c>
      <c r="V649" s="89" t="s">
        <v>272</v>
      </c>
      <c r="W649" s="89" t="s">
        <v>132</v>
      </c>
      <c r="X649" s="106" t="s">
        <v>295</v>
      </c>
      <c r="Y649" s="107" t="s">
        <v>14</v>
      </c>
      <c r="Z649" s="67">
        <f>IF(База_КР_КК[[#This Row],[Таб.номер резервиста]]="-","-",IF(OR(База_КР_КК[[#This Row],[Уровень КК]]=2,База_КР_КК[[#This Row],[Уровень КК]]=3),IF(COUNTIFS($U$2:$U649,$U649,$F$2:$F649,$F649)=1,1,0),IF(COUNTIFS($U$2:$U649,$U649,$L$2:$L649,$L649)=1,1,0)))</f>
        <v>1</v>
      </c>
      <c r="AA6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649" s="106" t="s">
        <v>24</v>
      </c>
      <c r="AC649" s="51">
        <v>43967</v>
      </c>
      <c r="AD649" s="106" t="s">
        <v>31</v>
      </c>
      <c r="AE649" s="38" t="s">
        <v>315</v>
      </c>
    </row>
    <row r="650" spans="1:31" ht="18" customHeight="1" x14ac:dyDescent="0.25">
      <c r="A6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0" s="79">
        <v>4</v>
      </c>
      <c r="C650" s="23">
        <v>44496</v>
      </c>
      <c r="D650" s="67">
        <f>IF(COUNTIF($G$2:$G650,$G650)=1,1,0)</f>
        <v>0</v>
      </c>
      <c r="E650" s="67" t="str">
        <f>IFERROR(VLOOKUP(База_КР_КК[[#This Row],[ИД штатной должности (S)]],'уровень защищенности'!$B$7:$F$1095,5,0),"не защищена")</f>
        <v>высокий</v>
      </c>
      <c r="F650" s="68">
        <v>500373</v>
      </c>
      <c r="G650" s="74" t="s">
        <v>2287</v>
      </c>
      <c r="H650" s="181">
        <f>INDEX('Списки данных'!$D$2:$D$1048576,MATCH(База_КР_КК[[#This Row],[Структурное подразделение]],'Списки данных'!$C$2:$C$1048576,0))</f>
        <v>1</v>
      </c>
      <c r="I650" s="80" t="s">
        <v>132</v>
      </c>
      <c r="J650" s="80" t="s">
        <v>195</v>
      </c>
      <c r="K650" s="80" t="s">
        <v>196</v>
      </c>
      <c r="L650" s="30" t="s">
        <v>191</v>
      </c>
      <c r="M650" s="68">
        <v>6</v>
      </c>
      <c r="N650" s="181" t="str">
        <f t="shared" si="11"/>
        <v>да</v>
      </c>
      <c r="O650" s="23">
        <v>43875</v>
      </c>
      <c r="P650" s="23">
        <v>43967</v>
      </c>
      <c r="Q650" s="106" t="s">
        <v>66</v>
      </c>
      <c r="R650" s="37">
        <v>130</v>
      </c>
      <c r="S650" s="38" t="s">
        <v>542</v>
      </c>
      <c r="T650" s="37">
        <v>70</v>
      </c>
      <c r="U650" s="39" t="s">
        <v>482</v>
      </c>
      <c r="V650" s="89" t="s">
        <v>192</v>
      </c>
      <c r="W650" s="89" t="s">
        <v>132</v>
      </c>
      <c r="X650" s="106" t="s">
        <v>295</v>
      </c>
      <c r="Y650" s="107" t="s">
        <v>14</v>
      </c>
      <c r="Z650" s="67">
        <f>IF(База_КР_КК[[#This Row],[Таб.номер резервиста]]="-","-",IF(OR(База_КР_КК[[#This Row],[Уровень КК]]=2,База_КР_КК[[#This Row],[Уровень КК]]=3),IF(COUNTIFS($U$2:$U650,$U650,$F$2:$F650,$F650)=1,1,0),IF(COUNTIFS($U$2:$U650,$U650,$L$2:$L650,$L650)=1,1,0)))</f>
        <v>0</v>
      </c>
      <c r="AA6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0" s="106" t="s">
        <v>24</v>
      </c>
      <c r="AC650" s="51">
        <v>44939</v>
      </c>
      <c r="AD650" s="106" t="s">
        <v>17</v>
      </c>
      <c r="AE650" s="33" t="s">
        <v>410</v>
      </c>
    </row>
    <row r="651" spans="1:31" ht="18" customHeight="1" x14ac:dyDescent="0.25">
      <c r="A6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1" s="79">
        <v>4</v>
      </c>
      <c r="C651" s="23">
        <v>43783</v>
      </c>
      <c r="D651" s="67">
        <f>IF(COUNTIF($G$2:$G651,$G651)=1,1,0)</f>
        <v>1</v>
      </c>
      <c r="E651" s="67" t="str">
        <f>IFERROR(VLOOKUP(База_КР_КК[[#This Row],[ИД штатной должности (S)]],'уровень защищенности'!$B$7:$F$1095,5,0),"не защищена")</f>
        <v>высокий</v>
      </c>
      <c r="F651" s="68">
        <v>500373</v>
      </c>
      <c r="G651" s="74" t="s">
        <v>2288</v>
      </c>
      <c r="H651" s="181">
        <f>INDEX('Списки данных'!$D$2:$D$1048576,MATCH(База_КР_КК[[#This Row],[Структурное подразделение]],'Списки данных'!$C$2:$C$1048576,0))</f>
        <v>1</v>
      </c>
      <c r="I651" s="80" t="s">
        <v>132</v>
      </c>
      <c r="J651" s="80" t="s">
        <v>195</v>
      </c>
      <c r="K651" s="80" t="s">
        <v>196</v>
      </c>
      <c r="L651" s="30" t="s">
        <v>191</v>
      </c>
      <c r="M651" s="68">
        <v>6</v>
      </c>
      <c r="N651" s="181" t="str">
        <f t="shared" si="11"/>
        <v>нет</v>
      </c>
      <c r="O651" s="23"/>
      <c r="P651" s="23"/>
      <c r="Q651" s="106"/>
      <c r="R651" s="37">
        <v>131</v>
      </c>
      <c r="S651" s="38" t="s">
        <v>543</v>
      </c>
      <c r="T651" s="37">
        <v>1177</v>
      </c>
      <c r="U651" s="39" t="s">
        <v>1585</v>
      </c>
      <c r="V651" s="89" t="s">
        <v>272</v>
      </c>
      <c r="W651" s="89" t="s">
        <v>132</v>
      </c>
      <c r="X651" s="106" t="s">
        <v>295</v>
      </c>
      <c r="Y651" s="107" t="s">
        <v>12</v>
      </c>
      <c r="Z651" s="67">
        <f>IF(База_КР_КК[[#This Row],[Таб.номер резервиста]]="-","-",IF(OR(База_КР_КК[[#This Row],[Уровень КК]]=2,База_КР_КК[[#This Row],[Уровень КК]]=3),IF(COUNTIFS($U$2:$U651,$U651,$F$2:$F651,$F651)=1,1,0),IF(COUNTIFS($U$2:$U651,$U651,$L$2:$L651,$L651)=1,1,0)))</f>
        <v>0</v>
      </c>
      <c r="AA6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1" s="106"/>
      <c r="AC651" s="51"/>
      <c r="AD651" s="106" t="s">
        <v>13</v>
      </c>
      <c r="AE651" s="38" t="s">
        <v>410</v>
      </c>
    </row>
    <row r="652" spans="1:31" ht="18" customHeight="1" x14ac:dyDescent="0.25">
      <c r="A6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2" s="79">
        <v>4</v>
      </c>
      <c r="C652" s="23">
        <v>43783</v>
      </c>
      <c r="D652" s="67">
        <f>IF(COUNTIF($G$2:$G652,$G652)=1,1,0)</f>
        <v>0</v>
      </c>
      <c r="E652" s="67" t="str">
        <f>IFERROR(VLOOKUP(База_КР_КК[[#This Row],[ИД штатной должности (S)]],'уровень защищенности'!$B$7:$F$1095,5,0),"не защищена")</f>
        <v>высокий</v>
      </c>
      <c r="F652" s="68">
        <v>500373</v>
      </c>
      <c r="G652" s="74" t="s">
        <v>2288</v>
      </c>
      <c r="H652" s="181">
        <f>INDEX('Списки данных'!$D$2:$D$1048576,MATCH(База_КР_КК[[#This Row],[Структурное подразделение]],'Списки данных'!$C$2:$C$1048576,0))</f>
        <v>1</v>
      </c>
      <c r="I652" s="80" t="s">
        <v>132</v>
      </c>
      <c r="J652" s="80" t="s">
        <v>195</v>
      </c>
      <c r="K652" s="80" t="s">
        <v>196</v>
      </c>
      <c r="L652" s="30" t="s">
        <v>191</v>
      </c>
      <c r="M652" s="68">
        <v>6</v>
      </c>
      <c r="N652" s="181" t="str">
        <f t="shared" si="11"/>
        <v>нет</v>
      </c>
      <c r="O652" s="23"/>
      <c r="P652" s="23"/>
      <c r="Q652" s="106"/>
      <c r="R652" s="37">
        <v>131</v>
      </c>
      <c r="S652" s="38" t="s">
        <v>543</v>
      </c>
      <c r="T652" s="37">
        <v>1178</v>
      </c>
      <c r="U652" s="39" t="s">
        <v>1586</v>
      </c>
      <c r="V652" s="89" t="s">
        <v>272</v>
      </c>
      <c r="W652" s="89" t="s">
        <v>132</v>
      </c>
      <c r="X652" s="106" t="s">
        <v>295</v>
      </c>
      <c r="Y652" s="107" t="s">
        <v>12</v>
      </c>
      <c r="Z652" s="67">
        <f>IF(База_КР_КК[[#This Row],[Таб.номер резервиста]]="-","-",IF(OR(База_КР_КК[[#This Row],[Уровень КК]]=2,База_КР_КК[[#This Row],[Уровень КК]]=3),IF(COUNTIFS($U$2:$U652,$U652,$F$2:$F652,$F652)=1,1,0),IF(COUNTIFS($U$2:$U652,$U652,$L$2:$L652,$L652)=1,1,0)))</f>
        <v>0</v>
      </c>
      <c r="AA6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2" s="106"/>
      <c r="AC652" s="51"/>
      <c r="AD652" s="106" t="s">
        <v>13</v>
      </c>
      <c r="AE652" s="38" t="s">
        <v>410</v>
      </c>
    </row>
    <row r="653" spans="1:31" ht="18" customHeight="1" x14ac:dyDescent="0.25">
      <c r="A6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3" s="79">
        <v>4</v>
      </c>
      <c r="C653" s="23">
        <v>43783</v>
      </c>
      <c r="D653" s="67">
        <f>IF(COUNTIF($G$2:$G653,$G653)=1,1,0)</f>
        <v>0</v>
      </c>
      <c r="E653" s="67" t="str">
        <f>IFERROR(VLOOKUP(База_КР_КК[[#This Row],[ИД штатной должности (S)]],'уровень защищенности'!$B$7:$F$1095,5,0),"не защищена")</f>
        <v>высокий</v>
      </c>
      <c r="F653" s="68">
        <v>500373</v>
      </c>
      <c r="G653" s="74" t="s">
        <v>2288</v>
      </c>
      <c r="H653" s="181">
        <f>INDEX('Списки данных'!$D$2:$D$1048576,MATCH(База_КР_КК[[#This Row],[Структурное подразделение]],'Списки данных'!$C$2:$C$1048576,0))</f>
        <v>1</v>
      </c>
      <c r="I653" s="80" t="s">
        <v>132</v>
      </c>
      <c r="J653" s="80" t="s">
        <v>195</v>
      </c>
      <c r="K653" s="80" t="s">
        <v>196</v>
      </c>
      <c r="L653" s="30" t="s">
        <v>191</v>
      </c>
      <c r="M653" s="68">
        <v>6</v>
      </c>
      <c r="N653" s="181" t="str">
        <f t="shared" si="11"/>
        <v>нет</v>
      </c>
      <c r="O653" s="23"/>
      <c r="P653" s="23"/>
      <c r="Q653" s="106"/>
      <c r="R653" s="37">
        <v>131</v>
      </c>
      <c r="S653" s="38" t="s">
        <v>543</v>
      </c>
      <c r="T653" s="37">
        <v>1179</v>
      </c>
      <c r="U653" s="39" t="s">
        <v>1587</v>
      </c>
      <c r="V653" s="89" t="s">
        <v>272</v>
      </c>
      <c r="W653" s="89" t="s">
        <v>132</v>
      </c>
      <c r="X653" s="106" t="s">
        <v>295</v>
      </c>
      <c r="Y653" s="107" t="s">
        <v>12</v>
      </c>
      <c r="Z653" s="67">
        <f>IF(База_КР_КК[[#This Row],[Таб.номер резервиста]]="-","-",IF(OR(База_КР_КК[[#This Row],[Уровень КК]]=2,База_КР_КК[[#This Row],[Уровень КК]]=3),IF(COUNTIFS($U$2:$U653,$U653,$F$2:$F653,$F653)=1,1,0),IF(COUNTIFS($U$2:$U653,$U653,$L$2:$L653,$L653)=1,1,0)))</f>
        <v>0</v>
      </c>
      <c r="AA6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3" s="106"/>
      <c r="AC653" s="51"/>
      <c r="AD653" s="106" t="s">
        <v>17</v>
      </c>
      <c r="AE653" s="38" t="s">
        <v>410</v>
      </c>
    </row>
    <row r="654" spans="1:31" ht="18" customHeight="1" x14ac:dyDescent="0.25">
      <c r="A6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4" s="79">
        <v>4</v>
      </c>
      <c r="C654" s="23">
        <v>43783</v>
      </c>
      <c r="D654" s="67">
        <f>IF(COUNTIF($G$2:$G654,$G654)=1,1,0)</f>
        <v>0</v>
      </c>
      <c r="E654" s="67" t="str">
        <f>IFERROR(VLOOKUP(База_КР_КК[[#This Row],[ИД штатной должности (S)]],'уровень защищенности'!$B$7:$F$1095,5,0),"не защищена")</f>
        <v>высокий</v>
      </c>
      <c r="F654" s="68">
        <v>500373</v>
      </c>
      <c r="G654" s="74" t="s">
        <v>2288</v>
      </c>
      <c r="H654" s="181">
        <f>INDEX('Списки данных'!$D$2:$D$1048576,MATCH(База_КР_КК[[#This Row],[Структурное подразделение]],'Списки данных'!$C$2:$C$1048576,0))</f>
        <v>1</v>
      </c>
      <c r="I654" s="80" t="s">
        <v>132</v>
      </c>
      <c r="J654" s="80" t="s">
        <v>195</v>
      </c>
      <c r="K654" s="80" t="s">
        <v>196</v>
      </c>
      <c r="L654" s="30" t="s">
        <v>191</v>
      </c>
      <c r="M654" s="68">
        <v>6</v>
      </c>
      <c r="N654" s="181" t="str">
        <f t="shared" si="11"/>
        <v>нет</v>
      </c>
      <c r="O654" s="23"/>
      <c r="P654" s="23"/>
      <c r="Q654" s="106"/>
      <c r="R654" s="37">
        <v>131</v>
      </c>
      <c r="S654" s="38" t="s">
        <v>543</v>
      </c>
      <c r="T654" s="37">
        <v>1176</v>
      </c>
      <c r="U654" s="39" t="s">
        <v>1584</v>
      </c>
      <c r="V654" s="89" t="s">
        <v>272</v>
      </c>
      <c r="W654" s="89" t="s">
        <v>132</v>
      </c>
      <c r="X654" s="106" t="s">
        <v>295</v>
      </c>
      <c r="Y654" s="107" t="s">
        <v>12</v>
      </c>
      <c r="Z654" s="67">
        <f>IF(База_КР_КК[[#This Row],[Таб.номер резервиста]]="-","-",IF(OR(База_КР_КК[[#This Row],[Уровень КК]]=2,База_КР_КК[[#This Row],[Уровень КК]]=3),IF(COUNTIFS($U$2:$U654,$U654,$F$2:$F654,$F654)=1,1,0),IF(COUNTIFS($U$2:$U654,$U654,$L$2:$L654,$L654)=1,1,0)))</f>
        <v>0</v>
      </c>
      <c r="AA6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4" s="106"/>
      <c r="AC654" s="51"/>
      <c r="AD654" s="106" t="s">
        <v>13</v>
      </c>
      <c r="AE654" s="38" t="s">
        <v>410</v>
      </c>
    </row>
    <row r="655" spans="1:31" ht="18" customHeight="1" x14ac:dyDescent="0.25">
      <c r="A6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5" s="79">
        <v>4</v>
      </c>
      <c r="C655" s="23">
        <v>43783</v>
      </c>
      <c r="D655" s="67">
        <f>IF(COUNTIF($G$2:$G655,$G655)=1,1,0)</f>
        <v>0</v>
      </c>
      <c r="E655" s="67" t="str">
        <f>IFERROR(VLOOKUP(База_КР_КК[[#This Row],[ИД штатной должности (S)]],'уровень защищенности'!$B$7:$F$1095,5,0),"не защищена")</f>
        <v>высокий</v>
      </c>
      <c r="F655" s="68">
        <v>500373</v>
      </c>
      <c r="G655" s="74" t="s">
        <v>2288</v>
      </c>
      <c r="H655" s="181">
        <f>INDEX('Списки данных'!$D$2:$D$1048576,MATCH(База_КР_КК[[#This Row],[Структурное подразделение]],'Списки данных'!$C$2:$C$1048576,0))</f>
        <v>1</v>
      </c>
      <c r="I655" s="80" t="s">
        <v>132</v>
      </c>
      <c r="J655" s="80" t="s">
        <v>195</v>
      </c>
      <c r="K655" s="80" t="s">
        <v>196</v>
      </c>
      <c r="L655" s="30" t="s">
        <v>191</v>
      </c>
      <c r="M655" s="68">
        <v>6</v>
      </c>
      <c r="N655" s="181" t="str">
        <f t="shared" si="11"/>
        <v>нет</v>
      </c>
      <c r="O655" s="23"/>
      <c r="P655" s="23"/>
      <c r="Q655" s="106"/>
      <c r="R655" s="37">
        <v>131</v>
      </c>
      <c r="S655" s="38" t="s">
        <v>543</v>
      </c>
      <c r="T655" s="37">
        <v>1180</v>
      </c>
      <c r="U655" s="39" t="s">
        <v>1588</v>
      </c>
      <c r="V655" s="89" t="s">
        <v>272</v>
      </c>
      <c r="W655" s="89" t="s">
        <v>132</v>
      </c>
      <c r="X655" s="106" t="s">
        <v>295</v>
      </c>
      <c r="Y655" s="107" t="s">
        <v>12</v>
      </c>
      <c r="Z655" s="67">
        <f>IF(База_КР_КК[[#This Row],[Таб.номер резервиста]]="-","-",IF(OR(База_КР_КК[[#This Row],[Уровень КК]]=2,База_КР_КК[[#This Row],[Уровень КК]]=3),IF(COUNTIFS($U$2:$U655,$U655,$F$2:$F655,$F655)=1,1,0),IF(COUNTIFS($U$2:$U655,$U655,$L$2:$L655,$L655)=1,1,0)))</f>
        <v>0</v>
      </c>
      <c r="AA6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5" s="106"/>
      <c r="AC655" s="51"/>
      <c r="AD655" s="106" t="s">
        <v>17</v>
      </c>
      <c r="AE655" s="38" t="s">
        <v>410</v>
      </c>
    </row>
    <row r="656" spans="1:31" ht="18" customHeight="1" x14ac:dyDescent="0.25">
      <c r="A6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6" s="79">
        <v>4</v>
      </c>
      <c r="C656" s="23">
        <v>44113</v>
      </c>
      <c r="D656" s="67">
        <f>IF(COUNTIF($G$2:$G656,$G656)=1,1,0)</f>
        <v>0</v>
      </c>
      <c r="E656" s="67" t="str">
        <f>IFERROR(VLOOKUP(База_КР_КК[[#This Row],[ИД штатной должности (S)]],'уровень защищенности'!$B$7:$F$1095,5,0),"не защищена")</f>
        <v>высокий</v>
      </c>
      <c r="F656" s="68">
        <v>500373</v>
      </c>
      <c r="G656" s="74" t="s">
        <v>2288</v>
      </c>
      <c r="H656" s="181">
        <f>INDEX('Списки данных'!$D$2:$D$1048576,MATCH(База_КР_КК[[#This Row],[Структурное подразделение]],'Списки данных'!$C$2:$C$1048576,0))</f>
        <v>1</v>
      </c>
      <c r="I656" s="80" t="s">
        <v>132</v>
      </c>
      <c r="J656" s="80" t="s">
        <v>195</v>
      </c>
      <c r="K656" s="80" t="s">
        <v>196</v>
      </c>
      <c r="L656" s="30" t="s">
        <v>191</v>
      </c>
      <c r="M656" s="68">
        <v>6</v>
      </c>
      <c r="N656" s="181" t="str">
        <f t="shared" si="11"/>
        <v>нет</v>
      </c>
      <c r="O656" s="23"/>
      <c r="P656" s="23"/>
      <c r="Q656" s="106"/>
      <c r="R656" s="37">
        <v>131</v>
      </c>
      <c r="S656" s="38" t="s">
        <v>543</v>
      </c>
      <c r="T656" s="37">
        <v>1181</v>
      </c>
      <c r="U656" s="39" t="s">
        <v>1589</v>
      </c>
      <c r="V656" s="89" t="s">
        <v>272</v>
      </c>
      <c r="W656" s="89" t="s">
        <v>132</v>
      </c>
      <c r="X656" s="106" t="s">
        <v>295</v>
      </c>
      <c r="Y656" s="107" t="s">
        <v>12</v>
      </c>
      <c r="Z656" s="67">
        <f>IF(База_КР_КК[[#This Row],[Таб.номер резервиста]]="-","-",IF(OR(База_КР_КК[[#This Row],[Уровень КК]]=2,База_КР_КК[[#This Row],[Уровень КК]]=3),IF(COUNTIFS($U$2:$U656,$U656,$F$2:$F656,$F656)=1,1,0),IF(COUNTIFS($U$2:$U656,$U656,$L$2:$L656,$L656)=1,1,0)))</f>
        <v>0</v>
      </c>
      <c r="AA6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6" s="106"/>
      <c r="AC656" s="51"/>
      <c r="AD656" s="106" t="s">
        <v>17</v>
      </c>
      <c r="AE656" s="38" t="s">
        <v>410</v>
      </c>
    </row>
    <row r="657" spans="1:31" ht="18" customHeight="1" x14ac:dyDescent="0.25">
      <c r="A6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7" s="79">
        <v>4</v>
      </c>
      <c r="C657" s="23">
        <v>44897</v>
      </c>
      <c r="D657" s="67">
        <f>IF(COUNTIF($G$2:$G657,$G657)=1,1,0)</f>
        <v>0</v>
      </c>
      <c r="E657" s="67" t="str">
        <f>IFERROR(VLOOKUP(База_КР_КК[[#This Row],[ИД штатной должности (S)]],'уровень защищенности'!$B$7:$F$1095,5,0),"не защищена")</f>
        <v>высокий</v>
      </c>
      <c r="F657" s="68">
        <v>500373</v>
      </c>
      <c r="G657" s="74" t="s">
        <v>2288</v>
      </c>
      <c r="H657" s="181">
        <f>INDEX('Списки данных'!$D$2:$D$1048576,MATCH(База_КР_КК[[#This Row],[Структурное подразделение]],'Списки данных'!$C$2:$C$1048576,0))</f>
        <v>1</v>
      </c>
      <c r="I657" s="80" t="s">
        <v>132</v>
      </c>
      <c r="J657" s="80" t="s">
        <v>195</v>
      </c>
      <c r="K657" s="80" t="s">
        <v>196</v>
      </c>
      <c r="L657" s="30" t="s">
        <v>191</v>
      </c>
      <c r="M657" s="68">
        <v>6</v>
      </c>
      <c r="N657" s="181" t="str">
        <f t="shared" si="11"/>
        <v>нет</v>
      </c>
      <c r="O657" s="23"/>
      <c r="P657" s="23"/>
      <c r="Q657" s="106"/>
      <c r="R657" s="37">
        <v>131</v>
      </c>
      <c r="S657" s="39" t="s">
        <v>543</v>
      </c>
      <c r="T657" s="37">
        <v>1182</v>
      </c>
      <c r="U657" s="38" t="s">
        <v>1590</v>
      </c>
      <c r="V657" s="69" t="s">
        <v>272</v>
      </c>
      <c r="W657" s="89" t="s">
        <v>132</v>
      </c>
      <c r="X657" s="106" t="s">
        <v>296</v>
      </c>
      <c r="Y657" s="107" t="s">
        <v>12</v>
      </c>
      <c r="Z657" s="67">
        <f>IF(База_КР_КК[[#This Row],[Таб.номер резервиста]]="-","-",IF(OR(База_КР_КК[[#This Row],[Уровень КК]]=2,База_КР_КК[[#This Row],[Уровень КК]]=3),IF(COUNTIFS($U$2:$U657,$U657,$F$2:$F657,$F657)=1,1,0),IF(COUNTIFS($U$2:$U657,$U657,$L$2:$L657,$L657)=1,1,0)))</f>
        <v>0</v>
      </c>
      <c r="AA6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7" s="106"/>
      <c r="AC657" s="51"/>
      <c r="AD657" s="106" t="s">
        <v>15</v>
      </c>
      <c r="AE657" s="33" t="s">
        <v>410</v>
      </c>
    </row>
    <row r="658" spans="1:31" ht="18" customHeight="1" x14ac:dyDescent="0.25">
      <c r="A6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8" s="79">
        <v>4</v>
      </c>
      <c r="C658" s="23">
        <v>44897</v>
      </c>
      <c r="D658" s="67">
        <f>IF(COUNTIF($G$2:$G658,$G658)=1,1,0)</f>
        <v>0</v>
      </c>
      <c r="E658" s="67" t="str">
        <f>IFERROR(VLOOKUP(База_КР_КК[[#This Row],[ИД штатной должности (S)]],'уровень защищенности'!$B$7:$F$1095,5,0),"не защищена")</f>
        <v>высокий</v>
      </c>
      <c r="F658" s="68">
        <v>500373</v>
      </c>
      <c r="G658" s="74" t="s">
        <v>2288</v>
      </c>
      <c r="H658" s="181">
        <f>INDEX('Списки данных'!$D$2:$D$1048576,MATCH(База_КР_КК[[#This Row],[Структурное подразделение]],'Списки данных'!$C$2:$C$1048576,0))</f>
        <v>1</v>
      </c>
      <c r="I658" s="80" t="s">
        <v>132</v>
      </c>
      <c r="J658" s="80" t="s">
        <v>195</v>
      </c>
      <c r="K658" s="80" t="s">
        <v>196</v>
      </c>
      <c r="L658" s="30" t="s">
        <v>191</v>
      </c>
      <c r="M658" s="68">
        <v>6</v>
      </c>
      <c r="N658" s="181" t="str">
        <f t="shared" si="11"/>
        <v>нет</v>
      </c>
      <c r="O658" s="23"/>
      <c r="P658" s="23"/>
      <c r="Q658" s="106"/>
      <c r="R658" s="37">
        <v>131</v>
      </c>
      <c r="S658" s="39" t="s">
        <v>543</v>
      </c>
      <c r="T658" s="37">
        <v>1183</v>
      </c>
      <c r="U658" s="38" t="s">
        <v>1591</v>
      </c>
      <c r="V658" s="69" t="s">
        <v>272</v>
      </c>
      <c r="W658" s="89" t="s">
        <v>132</v>
      </c>
      <c r="X658" s="106" t="s">
        <v>296</v>
      </c>
      <c r="Y658" s="107" t="s">
        <v>12</v>
      </c>
      <c r="Z658" s="67">
        <f>IF(База_КР_КК[[#This Row],[Таб.номер резервиста]]="-","-",IF(OR(База_КР_КК[[#This Row],[Уровень КК]]=2,База_КР_КК[[#This Row],[Уровень КК]]=3),IF(COUNTIFS($U$2:$U658,$U658,$F$2:$F658,$F658)=1,1,0),IF(COUNTIFS($U$2:$U658,$U658,$L$2:$L658,$L658)=1,1,0)))</f>
        <v>0</v>
      </c>
      <c r="AA6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8" s="106"/>
      <c r="AC658" s="51"/>
      <c r="AD658" s="106" t="s">
        <v>15</v>
      </c>
      <c r="AE658" s="33" t="s">
        <v>410</v>
      </c>
    </row>
    <row r="659" spans="1:31" ht="18" customHeight="1" x14ac:dyDescent="0.25">
      <c r="A6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59" s="79">
        <v>4</v>
      </c>
      <c r="C659" s="23">
        <v>44897</v>
      </c>
      <c r="D659" s="67">
        <f>IF(COUNTIF($G$2:$G659,$G659)=1,1,0)</f>
        <v>0</v>
      </c>
      <c r="E659" s="67" t="str">
        <f>IFERROR(VLOOKUP(База_КР_КК[[#This Row],[ИД штатной должности (S)]],'уровень защищенности'!$B$7:$F$1095,5,0),"не защищена")</f>
        <v>высокий</v>
      </c>
      <c r="F659" s="68">
        <v>500373</v>
      </c>
      <c r="G659" s="74" t="s">
        <v>2288</v>
      </c>
      <c r="H659" s="181">
        <f>INDEX('Списки данных'!$D$2:$D$1048576,MATCH(База_КР_КК[[#This Row],[Структурное подразделение]],'Списки данных'!$C$2:$C$1048576,0))</f>
        <v>1</v>
      </c>
      <c r="I659" s="80" t="s">
        <v>132</v>
      </c>
      <c r="J659" s="80" t="s">
        <v>195</v>
      </c>
      <c r="K659" s="80" t="s">
        <v>196</v>
      </c>
      <c r="L659" s="30" t="s">
        <v>191</v>
      </c>
      <c r="M659" s="68">
        <v>6</v>
      </c>
      <c r="N659" s="181" t="str">
        <f t="shared" si="11"/>
        <v>нет</v>
      </c>
      <c r="O659" s="23"/>
      <c r="P659" s="23"/>
      <c r="Q659" s="106"/>
      <c r="R659" s="37">
        <v>131</v>
      </c>
      <c r="S659" s="39" t="s">
        <v>543</v>
      </c>
      <c r="T659" s="37">
        <v>1184</v>
      </c>
      <c r="U659" s="38" t="s">
        <v>1592</v>
      </c>
      <c r="V659" s="69" t="s">
        <v>272</v>
      </c>
      <c r="W659" s="89" t="s">
        <v>132</v>
      </c>
      <c r="X659" s="106" t="s">
        <v>296</v>
      </c>
      <c r="Y659" s="107" t="s">
        <v>12</v>
      </c>
      <c r="Z659" s="67">
        <f>IF(База_КР_КК[[#This Row],[Таб.номер резервиста]]="-","-",IF(OR(База_КР_КК[[#This Row],[Уровень КК]]=2,База_КР_КК[[#This Row],[Уровень КК]]=3),IF(COUNTIFS($U$2:$U659,$U659,$F$2:$F659,$F659)=1,1,0),IF(COUNTIFS($U$2:$U659,$U659,$L$2:$L659,$L659)=1,1,0)))</f>
        <v>0</v>
      </c>
      <c r="AA6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59" s="106"/>
      <c r="AC659" s="51"/>
      <c r="AD659" s="106" t="s">
        <v>15</v>
      </c>
      <c r="AE659" s="33" t="s">
        <v>410</v>
      </c>
    </row>
    <row r="660" spans="1:31" ht="18" customHeight="1" x14ac:dyDescent="0.25">
      <c r="A6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0" s="79">
        <v>4</v>
      </c>
      <c r="C660" s="23">
        <v>44897</v>
      </c>
      <c r="D660" s="67">
        <f>IF(COUNTIF($G$2:$G660,$G660)=1,1,0)</f>
        <v>0</v>
      </c>
      <c r="E660" s="67" t="str">
        <f>IFERROR(VLOOKUP(База_КР_КК[[#This Row],[ИД штатной должности (S)]],'уровень защищенности'!$B$7:$F$1095,5,0),"не защищена")</f>
        <v>высокий</v>
      </c>
      <c r="F660" s="68">
        <v>500373</v>
      </c>
      <c r="G660" s="74" t="s">
        <v>2288</v>
      </c>
      <c r="H660" s="181">
        <f>INDEX('Списки данных'!$D$2:$D$1048576,MATCH(База_КР_КК[[#This Row],[Структурное подразделение]],'Списки данных'!$C$2:$C$1048576,0))</f>
        <v>1</v>
      </c>
      <c r="I660" s="80" t="s">
        <v>132</v>
      </c>
      <c r="J660" s="80" t="s">
        <v>195</v>
      </c>
      <c r="K660" s="80" t="s">
        <v>196</v>
      </c>
      <c r="L660" s="30" t="s">
        <v>191</v>
      </c>
      <c r="M660" s="68">
        <v>6</v>
      </c>
      <c r="N660" s="181" t="str">
        <f t="shared" si="11"/>
        <v>нет</v>
      </c>
      <c r="O660" s="23"/>
      <c r="P660" s="23"/>
      <c r="Q660" s="106"/>
      <c r="R660" s="37">
        <v>131</v>
      </c>
      <c r="S660" s="39" t="s">
        <v>543</v>
      </c>
      <c r="T660" s="37">
        <v>1185</v>
      </c>
      <c r="U660" s="38" t="s">
        <v>1593</v>
      </c>
      <c r="V660" s="69" t="s">
        <v>272</v>
      </c>
      <c r="W660" s="89" t="s">
        <v>132</v>
      </c>
      <c r="X660" s="106" t="s">
        <v>295</v>
      </c>
      <c r="Y660" s="107" t="s">
        <v>12</v>
      </c>
      <c r="Z660" s="67">
        <f>IF(База_КР_КК[[#This Row],[Таб.номер резервиста]]="-","-",IF(OR(База_КР_КК[[#This Row],[Уровень КК]]=2,База_КР_КК[[#This Row],[Уровень КК]]=3),IF(COUNTIFS($U$2:$U660,$U660,$F$2:$F660,$F660)=1,1,0),IF(COUNTIFS($U$2:$U660,$U660,$L$2:$L660,$L660)=1,1,0)))</f>
        <v>0</v>
      </c>
      <c r="AA6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0" s="106"/>
      <c r="AC660" s="51"/>
      <c r="AD660" s="106" t="s">
        <v>15</v>
      </c>
      <c r="AE660" s="33" t="s">
        <v>410</v>
      </c>
    </row>
    <row r="661" spans="1:31" ht="18" customHeight="1" x14ac:dyDescent="0.25">
      <c r="A6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1" s="79">
        <v>4</v>
      </c>
      <c r="C661" s="23">
        <v>44496</v>
      </c>
      <c r="D661" s="67">
        <f>IF(COUNTIF($G$2:$G661,$G661)=1,1,0)</f>
        <v>0</v>
      </c>
      <c r="E661" s="67" t="str">
        <f>IFERROR(VLOOKUP(База_КР_КК[[#This Row],[ИД штатной должности (S)]],'уровень защищенности'!$B$7:$F$1095,5,0),"не защищена")</f>
        <v>высокий</v>
      </c>
      <c r="F661" s="68">
        <v>500373</v>
      </c>
      <c r="G661" s="74" t="s">
        <v>2288</v>
      </c>
      <c r="H661" s="181">
        <f>INDEX('Списки данных'!$D$2:$D$1048576,MATCH(База_КР_КК[[#This Row],[Структурное подразделение]],'Списки данных'!$C$2:$C$1048576,0))</f>
        <v>1</v>
      </c>
      <c r="I661" s="80" t="s">
        <v>132</v>
      </c>
      <c r="J661" s="80" t="s">
        <v>195</v>
      </c>
      <c r="K661" s="80" t="s">
        <v>196</v>
      </c>
      <c r="L661" s="30" t="s">
        <v>191</v>
      </c>
      <c r="M661" s="68">
        <v>6</v>
      </c>
      <c r="N661" s="181" t="str">
        <f t="shared" si="11"/>
        <v>нет</v>
      </c>
      <c r="O661" s="23"/>
      <c r="P661" s="23"/>
      <c r="Q661" s="106"/>
      <c r="R661" s="37">
        <v>131</v>
      </c>
      <c r="S661" s="38" t="s">
        <v>543</v>
      </c>
      <c r="T661" s="37">
        <v>70</v>
      </c>
      <c r="U661" s="39" t="s">
        <v>482</v>
      </c>
      <c r="V661" s="89" t="s">
        <v>192</v>
      </c>
      <c r="W661" s="89" t="s">
        <v>132</v>
      </c>
      <c r="X661" s="106" t="s">
        <v>295</v>
      </c>
      <c r="Y661" s="107" t="s">
        <v>14</v>
      </c>
      <c r="Z661" s="67">
        <f>IF(База_КР_КК[[#This Row],[Таб.номер резервиста]]="-","-",IF(OR(База_КР_КК[[#This Row],[Уровень КК]]=2,База_КР_КК[[#This Row],[Уровень КК]]=3),IF(COUNTIFS($U$2:$U661,$U661,$F$2:$F661,$F661)=1,1,0),IF(COUNTIFS($U$2:$U661,$U661,$L$2:$L661,$L661)=1,1,0)))</f>
        <v>0</v>
      </c>
      <c r="AA6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1" s="106" t="s">
        <v>24</v>
      </c>
      <c r="AC661" s="51">
        <v>44939</v>
      </c>
      <c r="AD661" s="106" t="s">
        <v>17</v>
      </c>
      <c r="AE661" s="33" t="s">
        <v>410</v>
      </c>
    </row>
    <row r="662" spans="1:31" ht="18" customHeight="1" x14ac:dyDescent="0.25">
      <c r="A6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2" s="79">
        <v>3</v>
      </c>
      <c r="C662" s="23">
        <v>43426</v>
      </c>
      <c r="D662" s="67">
        <f>IF(COUNTIF($G$2:$G662,$G662)=1,1,0)</f>
        <v>1</v>
      </c>
      <c r="E662" s="67" t="str">
        <f>IFERROR(VLOOKUP(База_КР_КК[[#This Row],[ИД штатной должности (S)]],'уровень защищенности'!$B$7:$F$1095,5,0),"не защищена")</f>
        <v>высокий</v>
      </c>
      <c r="F662" s="68">
        <v>500573</v>
      </c>
      <c r="G662" s="74" t="s">
        <v>2289</v>
      </c>
      <c r="H662" s="181">
        <f>INDEX('Списки данных'!$D$2:$D$1048576,MATCH(База_КР_КК[[#This Row],[Структурное подразделение]],'Списки данных'!$C$2:$C$1048576,0))</f>
        <v>1</v>
      </c>
      <c r="I662" s="80" t="s">
        <v>132</v>
      </c>
      <c r="J662" s="80" t="s">
        <v>195</v>
      </c>
      <c r="K662" s="80" t="s">
        <v>196</v>
      </c>
      <c r="L662" s="30" t="s">
        <v>198</v>
      </c>
      <c r="M662" s="68">
        <v>5</v>
      </c>
      <c r="N662" s="181" t="str">
        <f t="shared" si="11"/>
        <v>нет</v>
      </c>
      <c r="O662" s="23"/>
      <c r="P662" s="23"/>
      <c r="Q662" s="106"/>
      <c r="R662" s="37">
        <v>132</v>
      </c>
      <c r="S662" s="38" t="s">
        <v>544</v>
      </c>
      <c r="T662" s="37">
        <v>61</v>
      </c>
      <c r="U662" s="38" t="s">
        <v>473</v>
      </c>
      <c r="V662" s="89" t="s">
        <v>194</v>
      </c>
      <c r="W662" s="89" t="s">
        <v>132</v>
      </c>
      <c r="X662" s="106" t="s">
        <v>295</v>
      </c>
      <c r="Y662" s="107" t="s">
        <v>12</v>
      </c>
      <c r="Z662" s="67">
        <f>IF(База_КР_КК[[#This Row],[Таб.номер резервиста]]="-","-",IF(OR(База_КР_КК[[#This Row],[Уровень КК]]=2,База_КР_КК[[#This Row],[Уровень КК]]=3),IF(COUNTIFS($U$2:$U662,$U662,$F$2:$F662,$F662)=1,1,0),IF(COUNTIFS($U$2:$U662,$U662,$L$2:$L662,$L662)=1,1,0)))</f>
        <v>1</v>
      </c>
      <c r="AA6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2" s="106"/>
      <c r="AC662" s="51"/>
      <c r="AD662" s="106" t="s">
        <v>13</v>
      </c>
      <c r="AE662" s="38" t="s">
        <v>404</v>
      </c>
    </row>
    <row r="663" spans="1:31" ht="18" customHeight="1" x14ac:dyDescent="0.25">
      <c r="A6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3" s="79">
        <v>3</v>
      </c>
      <c r="C663" s="23">
        <v>44014</v>
      </c>
      <c r="D663" s="67">
        <f>IF(COUNTIF($G$2:$G663,$G663)=1,1,0)</f>
        <v>0</v>
      </c>
      <c r="E663" s="67" t="str">
        <f>IFERROR(VLOOKUP(База_КР_КК[[#This Row],[ИД штатной должности (S)]],'уровень защищенности'!$B$7:$F$1095,5,0),"не защищена")</f>
        <v>высокий</v>
      </c>
      <c r="F663" s="68">
        <v>500573</v>
      </c>
      <c r="G663" s="74" t="s">
        <v>2289</v>
      </c>
      <c r="H663" s="181">
        <f>INDEX('Списки данных'!$D$2:$D$1048576,MATCH(База_КР_КК[[#This Row],[Структурное подразделение]],'Списки данных'!$C$2:$C$1048576,0))</f>
        <v>1</v>
      </c>
      <c r="I663" s="80" t="s">
        <v>132</v>
      </c>
      <c r="J663" s="80" t="s">
        <v>195</v>
      </c>
      <c r="K663" s="80" t="s">
        <v>196</v>
      </c>
      <c r="L663" s="30" t="s">
        <v>198</v>
      </c>
      <c r="M663" s="68">
        <v>5</v>
      </c>
      <c r="N663" s="181" t="str">
        <f t="shared" si="11"/>
        <v>нет</v>
      </c>
      <c r="O663" s="23"/>
      <c r="P663" s="23"/>
      <c r="Q663" s="106"/>
      <c r="R663" s="37">
        <v>132</v>
      </c>
      <c r="S663" s="38" t="s">
        <v>544</v>
      </c>
      <c r="T663" s="37">
        <v>72</v>
      </c>
      <c r="U663" s="38" t="s">
        <v>484</v>
      </c>
      <c r="V663" s="89" t="s">
        <v>192</v>
      </c>
      <c r="W663" s="89" t="s">
        <v>132</v>
      </c>
      <c r="X663" s="106" t="s">
        <v>297</v>
      </c>
      <c r="Y663" s="107" t="s">
        <v>12</v>
      </c>
      <c r="Z663" s="67">
        <f>IF(База_КР_КК[[#This Row],[Таб.номер резервиста]]="-","-",IF(OR(База_КР_КК[[#This Row],[Уровень КК]]=2,База_КР_КК[[#This Row],[Уровень КК]]=3),IF(COUNTIFS($U$2:$U663,$U663,$F$2:$F663,$F663)=1,1,0),IF(COUNTIFS($U$2:$U663,$U663,$L$2:$L663,$L663)=1,1,0)))</f>
        <v>1</v>
      </c>
      <c r="AA6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3" s="106"/>
      <c r="AC663" s="51"/>
      <c r="AD663" s="106" t="s">
        <v>13</v>
      </c>
      <c r="AE663" s="38" t="s">
        <v>404</v>
      </c>
    </row>
    <row r="664" spans="1:31" ht="18" customHeight="1" x14ac:dyDescent="0.25">
      <c r="A6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4" s="79">
        <v>3</v>
      </c>
      <c r="C664" s="23">
        <v>43426</v>
      </c>
      <c r="D664" s="67">
        <f>IF(COUNTIF($G$2:$G664,$G664)=1,1,0)</f>
        <v>0</v>
      </c>
      <c r="E664" s="67" t="str">
        <f>IFERROR(VLOOKUP(База_КР_КК[[#This Row],[ИД штатной должности (S)]],'уровень защищенности'!$B$7:$F$1095,5,0),"не защищена")</f>
        <v>высокий</v>
      </c>
      <c r="F664" s="68">
        <v>500573</v>
      </c>
      <c r="G664" s="74" t="s">
        <v>2289</v>
      </c>
      <c r="H664" s="181">
        <f>INDEX('Списки данных'!$D$2:$D$1048576,MATCH(База_КР_КК[[#This Row],[Структурное подразделение]],'Списки данных'!$C$2:$C$1048576,0))</f>
        <v>1</v>
      </c>
      <c r="I664" s="80" t="s">
        <v>132</v>
      </c>
      <c r="J664" s="80" t="s">
        <v>195</v>
      </c>
      <c r="K664" s="80" t="s">
        <v>196</v>
      </c>
      <c r="L664" s="30" t="s">
        <v>198</v>
      </c>
      <c r="M664" s="68">
        <v>5</v>
      </c>
      <c r="N664" s="181" t="str">
        <f t="shared" si="11"/>
        <v>нет</v>
      </c>
      <c r="O664" s="23"/>
      <c r="P664" s="23"/>
      <c r="Q664" s="106"/>
      <c r="R664" s="37">
        <v>132</v>
      </c>
      <c r="S664" s="38" t="s">
        <v>544</v>
      </c>
      <c r="T664" s="37">
        <v>62</v>
      </c>
      <c r="U664" s="38" t="s">
        <v>474</v>
      </c>
      <c r="V664" s="89" t="s">
        <v>194</v>
      </c>
      <c r="W664" s="89" t="s">
        <v>132</v>
      </c>
      <c r="X664" s="106" t="s">
        <v>295</v>
      </c>
      <c r="Y664" s="107" t="s">
        <v>12</v>
      </c>
      <c r="Z664" s="67">
        <f>IF(База_КР_КК[[#This Row],[Таб.номер резервиста]]="-","-",IF(OR(База_КР_КК[[#This Row],[Уровень КК]]=2,База_КР_КК[[#This Row],[Уровень КК]]=3),IF(COUNTIFS($U$2:$U664,$U664,$F$2:$F664,$F664)=1,1,0),IF(COUNTIFS($U$2:$U664,$U664,$L$2:$L664,$L664)=1,1,0)))</f>
        <v>1</v>
      </c>
      <c r="AA6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4" s="106"/>
      <c r="AC664" s="51"/>
      <c r="AD664" s="106" t="s">
        <v>17</v>
      </c>
      <c r="AE664" s="38" t="s">
        <v>404</v>
      </c>
    </row>
    <row r="665" spans="1:31" ht="18" customHeight="1" x14ac:dyDescent="0.25">
      <c r="A6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5" s="79">
        <v>3</v>
      </c>
      <c r="C665" s="23">
        <v>44914</v>
      </c>
      <c r="D665" s="67">
        <f>IF(COUNTIF($G$2:$G665,$G665)=1,1,0)</f>
        <v>0</v>
      </c>
      <c r="E665" s="67" t="str">
        <f>IFERROR(VLOOKUP(База_КР_КК[[#This Row],[ИД штатной должности (S)]],'уровень защищенности'!$B$7:$F$1095,5,0),"не защищена")</f>
        <v>высокий</v>
      </c>
      <c r="F665" s="68">
        <v>500573</v>
      </c>
      <c r="G665" s="74" t="s">
        <v>2289</v>
      </c>
      <c r="H665" s="181">
        <f>INDEX('Списки данных'!$D$2:$D$1048576,MATCH(База_КР_КК[[#This Row],[Структурное подразделение]],'Списки данных'!$C$2:$C$1048576,0))</f>
        <v>1</v>
      </c>
      <c r="I665" s="80" t="s">
        <v>132</v>
      </c>
      <c r="J665" s="80" t="s">
        <v>195</v>
      </c>
      <c r="K665" s="80" t="s">
        <v>196</v>
      </c>
      <c r="L665" s="30" t="s">
        <v>198</v>
      </c>
      <c r="M665" s="68">
        <v>5</v>
      </c>
      <c r="N665" s="181" t="str">
        <f t="shared" si="11"/>
        <v>нет</v>
      </c>
      <c r="O665" s="23"/>
      <c r="P665" s="23"/>
      <c r="Q665" s="106"/>
      <c r="R665" s="37">
        <v>132</v>
      </c>
      <c r="S665" s="38" t="s">
        <v>544</v>
      </c>
      <c r="T665" s="37">
        <v>68</v>
      </c>
      <c r="U665" s="38" t="s">
        <v>480</v>
      </c>
      <c r="V665" s="69" t="s">
        <v>192</v>
      </c>
      <c r="W665" s="89" t="s">
        <v>132</v>
      </c>
      <c r="X665" s="106" t="s">
        <v>296</v>
      </c>
      <c r="Y665" s="107" t="s">
        <v>12</v>
      </c>
      <c r="Z665" s="67">
        <f>IF(База_КР_КК[[#This Row],[Таб.номер резервиста]]="-","-",IF(OR(База_КР_КК[[#This Row],[Уровень КК]]=2,База_КР_КК[[#This Row],[Уровень КК]]=3),IF(COUNTIFS($U$2:$U665,$U665,$F$2:$F665,$F665)=1,1,0),IF(COUNTIFS($U$2:$U665,$U665,$L$2:$L665,$L665)=1,1,0)))</f>
        <v>1</v>
      </c>
      <c r="AA6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5" s="106"/>
      <c r="AC665" s="51"/>
      <c r="AD665" s="106" t="s">
        <v>15</v>
      </c>
      <c r="AE665" s="40" t="s">
        <v>408</v>
      </c>
    </row>
    <row r="666" spans="1:31" ht="18" customHeight="1" x14ac:dyDescent="0.25">
      <c r="A6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6" s="79">
        <v>4</v>
      </c>
      <c r="C666" s="23">
        <v>43791</v>
      </c>
      <c r="D666" s="67">
        <f>IF(COUNTIF($G$2:$G666,$G666)=1,1,0)</f>
        <v>1</v>
      </c>
      <c r="E666" s="67" t="str">
        <f>IFERROR(VLOOKUP(База_КР_КК[[#This Row],[ИД штатной должности (S)]],'уровень защищенности'!$B$7:$F$1095,5,0),"не защищена")</f>
        <v>средний</v>
      </c>
      <c r="F666" s="68">
        <v>500602</v>
      </c>
      <c r="G666" s="74" t="s">
        <v>2290</v>
      </c>
      <c r="H666" s="181">
        <f>INDEX('Списки данных'!$D$2:$D$1048576,MATCH(База_КР_КК[[#This Row],[Структурное подразделение]],'Списки данных'!$C$2:$C$1048576,0))</f>
        <v>2</v>
      </c>
      <c r="I666" s="80" t="s">
        <v>133</v>
      </c>
      <c r="J666" s="80" t="s">
        <v>197</v>
      </c>
      <c r="K666" s="80" t="s">
        <v>199</v>
      </c>
      <c r="L666" s="30" t="s">
        <v>192</v>
      </c>
      <c r="M666" s="68">
        <v>6</v>
      </c>
      <c r="N666" s="181" t="str">
        <f t="shared" si="11"/>
        <v>да</v>
      </c>
      <c r="O666" s="23">
        <v>44378</v>
      </c>
      <c r="P666" s="23">
        <v>44378</v>
      </c>
      <c r="Q666" s="106" t="s">
        <v>57</v>
      </c>
      <c r="R666" s="37">
        <v>133</v>
      </c>
      <c r="S666" s="38" t="s">
        <v>545</v>
      </c>
      <c r="T666" s="37">
        <v>1225</v>
      </c>
      <c r="U666" s="39" t="s">
        <v>1630</v>
      </c>
      <c r="V666" s="89" t="s">
        <v>272</v>
      </c>
      <c r="W666" s="89" t="s">
        <v>133</v>
      </c>
      <c r="X666" s="106" t="s">
        <v>297</v>
      </c>
      <c r="Y666" s="107" t="s">
        <v>12</v>
      </c>
      <c r="Z666" s="67">
        <f>IF(База_КР_КК[[#This Row],[Таб.номер резервиста]]="-","-",IF(OR(База_КР_КК[[#This Row],[Уровень КК]]=2,База_КР_КК[[#This Row],[Уровень КК]]=3),IF(COUNTIFS($U$2:$U666,$U666,$F$2:$F666,$F666)=1,1,0),IF(COUNTIFS($U$2:$U666,$U666,$L$2:$L666,$L666)=1,1,0)))</f>
        <v>0</v>
      </c>
      <c r="AA6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6" s="106"/>
      <c r="AC666" s="51"/>
      <c r="AD666" s="106" t="s">
        <v>13</v>
      </c>
      <c r="AE666" s="38" t="s">
        <v>411</v>
      </c>
    </row>
    <row r="667" spans="1:31" ht="18" customHeight="1" x14ac:dyDescent="0.25">
      <c r="A6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7" s="79">
        <v>4</v>
      </c>
      <c r="C667" s="23">
        <v>44125</v>
      </c>
      <c r="D667" s="67">
        <f>IF(COUNTIF($G$2:$G667,$G667)=1,1,0)</f>
        <v>0</v>
      </c>
      <c r="E667" s="67" t="str">
        <f>IFERROR(VLOOKUP(База_КР_КК[[#This Row],[ИД штатной должности (S)]],'уровень защищенности'!$B$7:$F$1095,5,0),"не защищена")</f>
        <v>средний</v>
      </c>
      <c r="F667" s="68">
        <v>500602</v>
      </c>
      <c r="G667" s="74" t="s">
        <v>2290</v>
      </c>
      <c r="H667" s="181">
        <f>INDEX('Списки данных'!$D$2:$D$1048576,MATCH(База_КР_КК[[#This Row],[Структурное подразделение]],'Списки данных'!$C$2:$C$1048576,0))</f>
        <v>2</v>
      </c>
      <c r="I667" s="80" t="s">
        <v>133</v>
      </c>
      <c r="J667" s="80" t="s">
        <v>197</v>
      </c>
      <c r="K667" s="80" t="s">
        <v>199</v>
      </c>
      <c r="L667" s="30" t="s">
        <v>192</v>
      </c>
      <c r="M667" s="68">
        <v>6</v>
      </c>
      <c r="N667" s="181" t="str">
        <f t="shared" si="11"/>
        <v>да</v>
      </c>
      <c r="O667" s="23">
        <v>44378</v>
      </c>
      <c r="P667" s="23">
        <v>44378</v>
      </c>
      <c r="Q667" s="106" t="s">
        <v>57</v>
      </c>
      <c r="R667" s="37">
        <v>133</v>
      </c>
      <c r="S667" s="38" t="s">
        <v>545</v>
      </c>
      <c r="T667" s="37">
        <v>1227</v>
      </c>
      <c r="U667" s="39" t="s">
        <v>1632</v>
      </c>
      <c r="V667" s="89" t="s">
        <v>272</v>
      </c>
      <c r="W667" s="89" t="s">
        <v>133</v>
      </c>
      <c r="X667" s="106" t="s">
        <v>296</v>
      </c>
      <c r="Y667" s="107" t="s">
        <v>12</v>
      </c>
      <c r="Z667" s="67">
        <f>IF(База_КР_КК[[#This Row],[Таб.номер резервиста]]="-","-",IF(OR(База_КР_КК[[#This Row],[Уровень КК]]=2,База_КР_КК[[#This Row],[Уровень КК]]=3),IF(COUNTIFS($U$2:$U667,$U667,$F$2:$F667,$F667)=1,1,0),IF(COUNTIFS($U$2:$U667,$U667,$L$2:$L667,$L667)=1,1,0)))</f>
        <v>0</v>
      </c>
      <c r="AA6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7" s="106"/>
      <c r="AC667" s="51"/>
      <c r="AD667" s="106" t="s">
        <v>13</v>
      </c>
      <c r="AE667" s="38" t="s">
        <v>411</v>
      </c>
    </row>
    <row r="668" spans="1:31" ht="18" customHeight="1" x14ac:dyDescent="0.25">
      <c r="A6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8" s="79">
        <v>4</v>
      </c>
      <c r="C668" s="23">
        <v>44125</v>
      </c>
      <c r="D668" s="67">
        <f>IF(COUNTIF($G$2:$G668,$G668)=1,1,0)</f>
        <v>0</v>
      </c>
      <c r="E668" s="67" t="str">
        <f>IFERROR(VLOOKUP(База_КР_КК[[#This Row],[ИД штатной должности (S)]],'уровень защищенности'!$B$7:$F$1095,5,0),"не защищена")</f>
        <v>средний</v>
      </c>
      <c r="F668" s="68">
        <v>500602</v>
      </c>
      <c r="G668" s="74" t="s">
        <v>2290</v>
      </c>
      <c r="H668" s="181">
        <f>INDEX('Списки данных'!$D$2:$D$1048576,MATCH(База_КР_КК[[#This Row],[Структурное подразделение]],'Списки данных'!$C$2:$C$1048576,0))</f>
        <v>2</v>
      </c>
      <c r="I668" s="80" t="s">
        <v>133</v>
      </c>
      <c r="J668" s="80" t="s">
        <v>197</v>
      </c>
      <c r="K668" s="80" t="s">
        <v>199</v>
      </c>
      <c r="L668" s="30" t="s">
        <v>192</v>
      </c>
      <c r="M668" s="68">
        <v>6</v>
      </c>
      <c r="N668" s="181" t="str">
        <f t="shared" si="11"/>
        <v>да</v>
      </c>
      <c r="O668" s="23">
        <v>44378</v>
      </c>
      <c r="P668" s="23">
        <v>44378</v>
      </c>
      <c r="Q668" s="106" t="s">
        <v>57</v>
      </c>
      <c r="R668" s="37">
        <v>133</v>
      </c>
      <c r="S668" s="38" t="s">
        <v>545</v>
      </c>
      <c r="T668" s="37">
        <v>1223</v>
      </c>
      <c r="U668" s="39" t="s">
        <v>1628</v>
      </c>
      <c r="V668" s="89" t="s">
        <v>272</v>
      </c>
      <c r="W668" s="89" t="s">
        <v>133</v>
      </c>
      <c r="X668" s="106" t="s">
        <v>297</v>
      </c>
      <c r="Y668" s="107" t="s">
        <v>12</v>
      </c>
      <c r="Z668" s="67">
        <f>IF(База_КР_КК[[#This Row],[Таб.номер резервиста]]="-","-",IF(OR(База_КР_КК[[#This Row],[Уровень КК]]=2,База_КР_КК[[#This Row],[Уровень КК]]=3),IF(COUNTIFS($U$2:$U668,$U668,$F$2:$F668,$F668)=1,1,0),IF(COUNTIFS($U$2:$U668,$U668,$L$2:$L668,$L668)=1,1,0)))</f>
        <v>0</v>
      </c>
      <c r="AA6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8" s="106"/>
      <c r="AC668" s="51"/>
      <c r="AD668" s="106" t="s">
        <v>17</v>
      </c>
      <c r="AE668" s="38" t="s">
        <v>411</v>
      </c>
    </row>
    <row r="669" spans="1:31" ht="18" customHeight="1" x14ac:dyDescent="0.25">
      <c r="A6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69" s="79">
        <v>4</v>
      </c>
      <c r="C669" s="23">
        <v>44125</v>
      </c>
      <c r="D669" s="67">
        <f>IF(COUNTIF($G$2:$G669,$G669)=1,1,0)</f>
        <v>0</v>
      </c>
      <c r="E669" s="67" t="str">
        <f>IFERROR(VLOOKUP(База_КР_КК[[#This Row],[ИД штатной должности (S)]],'уровень защищенности'!$B$7:$F$1095,5,0),"не защищена")</f>
        <v>средний</v>
      </c>
      <c r="F669" s="68">
        <v>500602</v>
      </c>
      <c r="G669" s="74" t="s">
        <v>2290</v>
      </c>
      <c r="H669" s="181">
        <f>INDEX('Списки данных'!$D$2:$D$1048576,MATCH(База_КР_КК[[#This Row],[Структурное подразделение]],'Списки данных'!$C$2:$C$1048576,0))</f>
        <v>2</v>
      </c>
      <c r="I669" s="80" t="s">
        <v>133</v>
      </c>
      <c r="J669" s="80" t="s">
        <v>197</v>
      </c>
      <c r="K669" s="80" t="s">
        <v>199</v>
      </c>
      <c r="L669" s="30" t="s">
        <v>192</v>
      </c>
      <c r="M669" s="68">
        <v>6</v>
      </c>
      <c r="N669" s="181" t="str">
        <f t="shared" si="11"/>
        <v>да</v>
      </c>
      <c r="O669" s="23">
        <v>44378</v>
      </c>
      <c r="P669" s="23">
        <v>44378</v>
      </c>
      <c r="Q669" s="106" t="s">
        <v>57</v>
      </c>
      <c r="R669" s="37">
        <v>133</v>
      </c>
      <c r="S669" s="38" t="s">
        <v>545</v>
      </c>
      <c r="T669" s="37">
        <v>1224</v>
      </c>
      <c r="U669" s="39" t="s">
        <v>1629</v>
      </c>
      <c r="V669" s="89" t="s">
        <v>272</v>
      </c>
      <c r="W669" s="89" t="s">
        <v>133</v>
      </c>
      <c r="X669" s="106" t="s">
        <v>296</v>
      </c>
      <c r="Y669" s="107" t="s">
        <v>12</v>
      </c>
      <c r="Z669" s="67">
        <f>IF(База_КР_КК[[#This Row],[Таб.номер резервиста]]="-","-",IF(OR(База_КР_КК[[#This Row],[Уровень КК]]=2,База_КР_КК[[#This Row],[Уровень КК]]=3),IF(COUNTIFS($U$2:$U669,$U669,$F$2:$F669,$F669)=1,1,0),IF(COUNTIFS($U$2:$U669,$U669,$L$2:$L669,$L669)=1,1,0)))</f>
        <v>0</v>
      </c>
      <c r="AA6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69" s="106"/>
      <c r="AC669" s="51"/>
      <c r="AD669" s="106" t="s">
        <v>13</v>
      </c>
      <c r="AE669" s="38" t="s">
        <v>411</v>
      </c>
    </row>
    <row r="670" spans="1:31" ht="18" customHeight="1" x14ac:dyDescent="0.25">
      <c r="A6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0" s="79">
        <v>4</v>
      </c>
      <c r="C670" s="23">
        <v>44125</v>
      </c>
      <c r="D670" s="67">
        <f>IF(COUNTIF($G$2:$G670,$G670)=1,1,0)</f>
        <v>0</v>
      </c>
      <c r="E670" s="67" t="str">
        <f>IFERROR(VLOOKUP(База_КР_КК[[#This Row],[ИД штатной должности (S)]],'уровень защищенности'!$B$7:$F$1095,5,0),"не защищена")</f>
        <v>средний</v>
      </c>
      <c r="F670" s="68">
        <v>500602</v>
      </c>
      <c r="G670" s="74" t="s">
        <v>2290</v>
      </c>
      <c r="H670" s="181">
        <f>INDEX('Списки данных'!$D$2:$D$1048576,MATCH(База_КР_КК[[#This Row],[Структурное подразделение]],'Списки данных'!$C$2:$C$1048576,0))</f>
        <v>2</v>
      </c>
      <c r="I670" s="80" t="s">
        <v>133</v>
      </c>
      <c r="J670" s="80" t="s">
        <v>197</v>
      </c>
      <c r="K670" s="80" t="s">
        <v>199</v>
      </c>
      <c r="L670" s="30" t="s">
        <v>192</v>
      </c>
      <c r="M670" s="68">
        <v>6</v>
      </c>
      <c r="N670" s="181" t="str">
        <f t="shared" si="11"/>
        <v>да</v>
      </c>
      <c r="O670" s="23">
        <v>44378</v>
      </c>
      <c r="P670" s="23">
        <v>44378</v>
      </c>
      <c r="Q670" s="106" t="s">
        <v>57</v>
      </c>
      <c r="R670" s="37">
        <v>133</v>
      </c>
      <c r="S670" s="38" t="s">
        <v>545</v>
      </c>
      <c r="T670" s="37">
        <v>1199</v>
      </c>
      <c r="U670" s="39" t="s">
        <v>1605</v>
      </c>
      <c r="V670" s="89" t="s">
        <v>272</v>
      </c>
      <c r="W670" s="89" t="s">
        <v>133</v>
      </c>
      <c r="X670" s="106" t="s">
        <v>297</v>
      </c>
      <c r="Y670" s="107" t="s">
        <v>12</v>
      </c>
      <c r="Z670" s="67">
        <f>IF(База_КР_КК[[#This Row],[Таб.номер резервиста]]="-","-",IF(OR(База_КР_КК[[#This Row],[Уровень КК]]=2,База_КР_КК[[#This Row],[Уровень КК]]=3),IF(COUNTIFS($U$2:$U670,$U670,$F$2:$F670,$F670)=1,1,0),IF(COUNTIFS($U$2:$U670,$U670,$L$2:$L670,$L670)=1,1,0)))</f>
        <v>0</v>
      </c>
      <c r="AA6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0" s="106"/>
      <c r="AC670" s="51"/>
      <c r="AD670" s="106" t="s">
        <v>17</v>
      </c>
      <c r="AE670" s="38" t="s">
        <v>411</v>
      </c>
    </row>
    <row r="671" spans="1:31" ht="18" customHeight="1" x14ac:dyDescent="0.25">
      <c r="A6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1" s="79">
        <v>4</v>
      </c>
      <c r="C671" s="23">
        <v>44125</v>
      </c>
      <c r="D671" s="67">
        <f>IF(COUNTIF($G$2:$G671,$G671)=1,1,0)</f>
        <v>0</v>
      </c>
      <c r="E671" s="67" t="str">
        <f>IFERROR(VLOOKUP(База_КР_КК[[#This Row],[ИД штатной должности (S)]],'уровень защищенности'!$B$7:$F$1095,5,0),"не защищена")</f>
        <v>средний</v>
      </c>
      <c r="F671" s="68">
        <v>500602</v>
      </c>
      <c r="G671" s="74" t="s">
        <v>2290</v>
      </c>
      <c r="H671" s="181">
        <f>INDEX('Списки данных'!$D$2:$D$1048576,MATCH(База_КР_КК[[#This Row],[Структурное подразделение]],'Списки данных'!$C$2:$C$1048576,0))</f>
        <v>2</v>
      </c>
      <c r="I671" s="80" t="s">
        <v>133</v>
      </c>
      <c r="J671" s="80" t="s">
        <v>197</v>
      </c>
      <c r="K671" s="80" t="s">
        <v>199</v>
      </c>
      <c r="L671" s="30" t="s">
        <v>192</v>
      </c>
      <c r="M671" s="68">
        <v>6</v>
      </c>
      <c r="N671" s="181" t="str">
        <f t="shared" si="11"/>
        <v>да</v>
      </c>
      <c r="O671" s="23">
        <v>44378</v>
      </c>
      <c r="P671" s="23">
        <v>44378</v>
      </c>
      <c r="Q671" s="106" t="s">
        <v>57</v>
      </c>
      <c r="R671" s="37">
        <v>133</v>
      </c>
      <c r="S671" s="39" t="s">
        <v>545</v>
      </c>
      <c r="T671" s="37">
        <v>1226</v>
      </c>
      <c r="U671" s="38" t="s">
        <v>1631</v>
      </c>
      <c r="V671" s="69" t="s">
        <v>272</v>
      </c>
      <c r="W671" s="89" t="s">
        <v>133</v>
      </c>
      <c r="X671" s="106" t="s">
        <v>297</v>
      </c>
      <c r="Y671" s="107" t="s">
        <v>12</v>
      </c>
      <c r="Z671" s="67">
        <f>IF(База_КР_КК[[#This Row],[Таб.номер резервиста]]="-","-",IF(OR(База_КР_КК[[#This Row],[Уровень КК]]=2,База_КР_КК[[#This Row],[Уровень КК]]=3),IF(COUNTIFS($U$2:$U671,$U671,$F$2:$F671,$F671)=1,1,0),IF(COUNTIFS($U$2:$U671,$U671,$L$2:$L671,$L671)=1,1,0)))</f>
        <v>0</v>
      </c>
      <c r="AA6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1" s="106"/>
      <c r="AC671" s="51"/>
      <c r="AD671" s="106" t="s">
        <v>17</v>
      </c>
      <c r="AE671" s="40" t="s">
        <v>411</v>
      </c>
    </row>
    <row r="672" spans="1:31" ht="18" customHeight="1" x14ac:dyDescent="0.25">
      <c r="A6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2" s="79">
        <v>4</v>
      </c>
      <c r="C672" s="23">
        <v>44880</v>
      </c>
      <c r="D672" s="67">
        <f>IF(COUNTIF($G$2:$G672,$G672)=1,1,0)</f>
        <v>0</v>
      </c>
      <c r="E672" s="67" t="str">
        <f>IFERROR(VLOOKUP(База_КР_КК[[#This Row],[ИД штатной должности (S)]],'уровень защищенности'!$B$7:$F$1095,5,0),"не защищена")</f>
        <v>средний</v>
      </c>
      <c r="F672" s="68">
        <v>500602</v>
      </c>
      <c r="G672" s="74" t="s">
        <v>2290</v>
      </c>
      <c r="H672" s="181">
        <f>INDEX('Списки данных'!$D$2:$D$1048576,MATCH(База_КР_КК[[#This Row],[Структурное подразделение]],'Списки данных'!$C$2:$C$1048576,0))</f>
        <v>2</v>
      </c>
      <c r="I672" s="80" t="s">
        <v>133</v>
      </c>
      <c r="J672" s="80" t="s">
        <v>197</v>
      </c>
      <c r="K672" s="80" t="s">
        <v>199</v>
      </c>
      <c r="L672" s="30" t="s">
        <v>192</v>
      </c>
      <c r="M672" s="68">
        <v>6</v>
      </c>
      <c r="N672" s="181" t="str">
        <f t="shared" si="11"/>
        <v>да</v>
      </c>
      <c r="O672" s="23">
        <v>44378</v>
      </c>
      <c r="P672" s="23">
        <v>44378</v>
      </c>
      <c r="Q672" s="106" t="s">
        <v>57</v>
      </c>
      <c r="R672" s="37">
        <v>133</v>
      </c>
      <c r="S672" s="39" t="s">
        <v>545</v>
      </c>
      <c r="T672" s="37">
        <v>1228</v>
      </c>
      <c r="U672" s="38" t="s">
        <v>1633</v>
      </c>
      <c r="V672" s="69" t="s">
        <v>272</v>
      </c>
      <c r="W672" s="89" t="s">
        <v>133</v>
      </c>
      <c r="X672" s="106" t="s">
        <v>296</v>
      </c>
      <c r="Y672" s="107" t="s">
        <v>12</v>
      </c>
      <c r="Z672" s="67">
        <f>IF(База_КР_КК[[#This Row],[Таб.номер резервиста]]="-","-",IF(OR(База_КР_КК[[#This Row],[Уровень КК]]=2,База_КР_КК[[#This Row],[Уровень КК]]=3),IF(COUNTIFS($U$2:$U672,$U672,$F$2:$F672,$F672)=1,1,0),IF(COUNTIFS($U$2:$U672,$U672,$L$2:$L672,$L672)=1,1,0)))</f>
        <v>0</v>
      </c>
      <c r="AA6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2" s="106"/>
      <c r="AC672" s="51"/>
      <c r="AD672" s="106" t="s">
        <v>15</v>
      </c>
      <c r="AE672" s="40" t="s">
        <v>411</v>
      </c>
    </row>
    <row r="673" spans="1:31" ht="18" customHeight="1" x14ac:dyDescent="0.25">
      <c r="A6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3" s="79">
        <v>4</v>
      </c>
      <c r="C673" s="23">
        <v>44880</v>
      </c>
      <c r="D673" s="67">
        <f>IF(COUNTIF($G$2:$G673,$G673)=1,1,0)</f>
        <v>0</v>
      </c>
      <c r="E673" s="67" t="str">
        <f>IFERROR(VLOOKUP(База_КР_КК[[#This Row],[ИД штатной должности (S)]],'уровень защищенности'!$B$7:$F$1095,5,0),"не защищена")</f>
        <v>средний</v>
      </c>
      <c r="F673" s="68">
        <v>500602</v>
      </c>
      <c r="G673" s="74" t="s">
        <v>2290</v>
      </c>
      <c r="H673" s="181">
        <f>INDEX('Списки данных'!$D$2:$D$1048576,MATCH(База_КР_КК[[#This Row],[Структурное подразделение]],'Списки данных'!$C$2:$C$1048576,0))</f>
        <v>2</v>
      </c>
      <c r="I673" s="80" t="s">
        <v>133</v>
      </c>
      <c r="J673" s="80" t="s">
        <v>197</v>
      </c>
      <c r="K673" s="80" t="s">
        <v>199</v>
      </c>
      <c r="L673" s="30" t="s">
        <v>192</v>
      </c>
      <c r="M673" s="68">
        <v>6</v>
      </c>
      <c r="N673" s="181" t="str">
        <f t="shared" si="11"/>
        <v>да</v>
      </c>
      <c r="O673" s="23">
        <v>44378</v>
      </c>
      <c r="P673" s="23">
        <v>44378</v>
      </c>
      <c r="Q673" s="106" t="s">
        <v>57</v>
      </c>
      <c r="R673" s="37">
        <v>133</v>
      </c>
      <c r="S673" s="39" t="s">
        <v>545</v>
      </c>
      <c r="T673" s="37">
        <v>1214</v>
      </c>
      <c r="U673" s="38" t="s">
        <v>1619</v>
      </c>
      <c r="V673" s="69" t="s">
        <v>272</v>
      </c>
      <c r="W673" s="89" t="s">
        <v>133</v>
      </c>
      <c r="X673" s="106" t="s">
        <v>296</v>
      </c>
      <c r="Y673" s="107" t="s">
        <v>12</v>
      </c>
      <c r="Z673" s="67">
        <f>IF(База_КР_КК[[#This Row],[Таб.номер резервиста]]="-","-",IF(OR(База_КР_КК[[#This Row],[Уровень КК]]=2,База_КР_КК[[#This Row],[Уровень КК]]=3),IF(COUNTIFS($U$2:$U673,$U673,$F$2:$F673,$F673)=1,1,0),IF(COUNTIFS($U$2:$U673,$U673,$L$2:$L673,$L673)=1,1,0)))</f>
        <v>0</v>
      </c>
      <c r="AA6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3" s="106"/>
      <c r="AC673" s="51"/>
      <c r="AD673" s="106" t="s">
        <v>15</v>
      </c>
      <c r="AE673" s="40" t="s">
        <v>411</v>
      </c>
    </row>
    <row r="674" spans="1:31" ht="18" customHeight="1" x14ac:dyDescent="0.25">
      <c r="A6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4" s="79">
        <v>4</v>
      </c>
      <c r="C674" s="23">
        <v>44880</v>
      </c>
      <c r="D674" s="67">
        <f>IF(COUNTIF($G$2:$G674,$G674)=1,1,0)</f>
        <v>0</v>
      </c>
      <c r="E674" s="67" t="str">
        <f>IFERROR(VLOOKUP(База_КР_КК[[#This Row],[ИД штатной должности (S)]],'уровень защищенности'!$B$7:$F$1095,5,0),"не защищена")</f>
        <v>средний</v>
      </c>
      <c r="F674" s="68">
        <v>500602</v>
      </c>
      <c r="G674" s="74" t="s">
        <v>2290</v>
      </c>
      <c r="H674" s="181">
        <f>INDEX('Списки данных'!$D$2:$D$1048576,MATCH(База_КР_КК[[#This Row],[Структурное подразделение]],'Списки данных'!$C$2:$C$1048576,0))</f>
        <v>2</v>
      </c>
      <c r="I674" s="80" t="s">
        <v>133</v>
      </c>
      <c r="J674" s="80" t="s">
        <v>197</v>
      </c>
      <c r="K674" s="80" t="s">
        <v>199</v>
      </c>
      <c r="L674" s="30" t="s">
        <v>192</v>
      </c>
      <c r="M674" s="68">
        <v>6</v>
      </c>
      <c r="N674" s="181" t="str">
        <f t="shared" si="11"/>
        <v>да</v>
      </c>
      <c r="O674" s="23">
        <v>44378</v>
      </c>
      <c r="P674" s="23">
        <v>44378</v>
      </c>
      <c r="Q674" s="106" t="s">
        <v>57</v>
      </c>
      <c r="R674" s="37">
        <v>133</v>
      </c>
      <c r="S674" s="39" t="s">
        <v>545</v>
      </c>
      <c r="T674" s="37">
        <v>1229</v>
      </c>
      <c r="U674" s="38" t="s">
        <v>1634</v>
      </c>
      <c r="V674" s="69" t="s">
        <v>272</v>
      </c>
      <c r="W674" s="89" t="s">
        <v>133</v>
      </c>
      <c r="X674" s="106" t="s">
        <v>296</v>
      </c>
      <c r="Y674" s="107" t="s">
        <v>12</v>
      </c>
      <c r="Z674" s="67">
        <f>IF(База_КР_КК[[#This Row],[Таб.номер резервиста]]="-","-",IF(OR(База_КР_КК[[#This Row],[Уровень КК]]=2,База_КР_КК[[#This Row],[Уровень КК]]=3),IF(COUNTIFS($U$2:$U674,$U674,$F$2:$F674,$F674)=1,1,0),IF(COUNTIFS($U$2:$U674,$U674,$L$2:$L674,$L674)=1,1,0)))</f>
        <v>0</v>
      </c>
      <c r="AA6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4" s="106"/>
      <c r="AC674" s="51"/>
      <c r="AD674" s="106" t="s">
        <v>15</v>
      </c>
      <c r="AE674" s="40" t="s">
        <v>411</v>
      </c>
    </row>
    <row r="675" spans="1:31" ht="18" customHeight="1" x14ac:dyDescent="0.25">
      <c r="A6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5" s="79">
        <v>4</v>
      </c>
      <c r="C675" s="23">
        <v>44880</v>
      </c>
      <c r="D675" s="67">
        <f>IF(COUNTIF($G$2:$G675,$G675)=1,1,0)</f>
        <v>0</v>
      </c>
      <c r="E675" s="67" t="str">
        <f>IFERROR(VLOOKUP(База_КР_КК[[#This Row],[ИД штатной должности (S)]],'уровень защищенности'!$B$7:$F$1095,5,0),"не защищена")</f>
        <v>средний</v>
      </c>
      <c r="F675" s="68">
        <v>500602</v>
      </c>
      <c r="G675" s="74" t="s">
        <v>2290</v>
      </c>
      <c r="H675" s="181">
        <f>INDEX('Списки данных'!$D$2:$D$1048576,MATCH(База_КР_КК[[#This Row],[Структурное подразделение]],'Списки данных'!$C$2:$C$1048576,0))</f>
        <v>2</v>
      </c>
      <c r="I675" s="80" t="s">
        <v>133</v>
      </c>
      <c r="J675" s="80" t="s">
        <v>197</v>
      </c>
      <c r="K675" s="80" t="s">
        <v>199</v>
      </c>
      <c r="L675" s="30" t="s">
        <v>192</v>
      </c>
      <c r="M675" s="68">
        <v>6</v>
      </c>
      <c r="N675" s="181" t="str">
        <f t="shared" si="11"/>
        <v>да</v>
      </c>
      <c r="O675" s="23">
        <v>44378</v>
      </c>
      <c r="P675" s="23">
        <v>44378</v>
      </c>
      <c r="Q675" s="106" t="s">
        <v>57</v>
      </c>
      <c r="R675" s="37">
        <v>133</v>
      </c>
      <c r="S675" s="39" t="s">
        <v>545</v>
      </c>
      <c r="T675" s="37">
        <v>1230</v>
      </c>
      <c r="U675" s="38" t="s">
        <v>1635</v>
      </c>
      <c r="V675" s="69" t="s">
        <v>272</v>
      </c>
      <c r="W675" s="89" t="s">
        <v>133</v>
      </c>
      <c r="X675" s="106" t="s">
        <v>296</v>
      </c>
      <c r="Y675" s="107" t="s">
        <v>12</v>
      </c>
      <c r="Z675" s="67">
        <f>IF(База_КР_КК[[#This Row],[Таб.номер резервиста]]="-","-",IF(OR(База_КР_КК[[#This Row],[Уровень КК]]=2,База_КР_КК[[#This Row],[Уровень КК]]=3),IF(COUNTIFS($U$2:$U675,$U675,$F$2:$F675,$F675)=1,1,0),IF(COUNTIFS($U$2:$U675,$U675,$L$2:$L675,$L675)=1,1,0)))</f>
        <v>0</v>
      </c>
      <c r="AA6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5" s="106"/>
      <c r="AC675" s="51"/>
      <c r="AD675" s="106" t="s">
        <v>15</v>
      </c>
      <c r="AE675" s="40" t="s">
        <v>411</v>
      </c>
    </row>
    <row r="676" spans="1:31" ht="18" customHeight="1" x14ac:dyDescent="0.25">
      <c r="A6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6" s="79">
        <v>4</v>
      </c>
      <c r="C676" s="23">
        <v>44880</v>
      </c>
      <c r="D676" s="67">
        <f>IF(COUNTIF($G$2:$G676,$G676)=1,1,0)</f>
        <v>0</v>
      </c>
      <c r="E676" s="67" t="str">
        <f>IFERROR(VLOOKUP(База_КР_КК[[#This Row],[ИД штатной должности (S)]],'уровень защищенности'!$B$7:$F$1095,5,0),"не защищена")</f>
        <v>средний</v>
      </c>
      <c r="F676" s="68">
        <v>500602</v>
      </c>
      <c r="G676" s="74" t="s">
        <v>2290</v>
      </c>
      <c r="H676" s="181">
        <f>INDEX('Списки данных'!$D$2:$D$1048576,MATCH(База_КР_КК[[#This Row],[Структурное подразделение]],'Списки данных'!$C$2:$C$1048576,0))</f>
        <v>2</v>
      </c>
      <c r="I676" s="80" t="s">
        <v>133</v>
      </c>
      <c r="J676" s="80" t="s">
        <v>197</v>
      </c>
      <c r="K676" s="80" t="s">
        <v>199</v>
      </c>
      <c r="L676" s="30" t="s">
        <v>192</v>
      </c>
      <c r="M676" s="68">
        <v>6</v>
      </c>
      <c r="N676" s="181" t="str">
        <f t="shared" si="11"/>
        <v>да</v>
      </c>
      <c r="O676" s="23">
        <v>44378</v>
      </c>
      <c r="P676" s="23">
        <v>44378</v>
      </c>
      <c r="Q676" s="106" t="s">
        <v>57</v>
      </c>
      <c r="R676" s="37">
        <v>133</v>
      </c>
      <c r="S676" s="39" t="s">
        <v>545</v>
      </c>
      <c r="T676" s="37">
        <v>1231</v>
      </c>
      <c r="U676" s="38" t="s">
        <v>1636</v>
      </c>
      <c r="V676" s="69" t="s">
        <v>272</v>
      </c>
      <c r="W676" s="89" t="s">
        <v>133</v>
      </c>
      <c r="X676" s="106" t="s">
        <v>296</v>
      </c>
      <c r="Y676" s="107" t="s">
        <v>12</v>
      </c>
      <c r="Z676" s="67">
        <f>IF(База_КР_КК[[#This Row],[Таб.номер резервиста]]="-","-",IF(OR(База_КР_КК[[#This Row],[Уровень КК]]=2,База_КР_КК[[#This Row],[Уровень КК]]=3),IF(COUNTIFS($U$2:$U676,$U676,$F$2:$F676,$F676)=1,1,0),IF(COUNTIFS($U$2:$U676,$U676,$L$2:$L676,$L676)=1,1,0)))</f>
        <v>0</v>
      </c>
      <c r="AA6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6" s="106"/>
      <c r="AC676" s="51"/>
      <c r="AD676" s="106" t="s">
        <v>15</v>
      </c>
      <c r="AE676" s="40" t="s">
        <v>411</v>
      </c>
    </row>
    <row r="677" spans="1:31" ht="18" customHeight="1" x14ac:dyDescent="0.25">
      <c r="A6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7" s="79">
        <v>4</v>
      </c>
      <c r="C677" s="23">
        <v>44495</v>
      </c>
      <c r="D677" s="67">
        <f>IF(COUNTIF($G$2:$G677,$G677)=1,1,0)</f>
        <v>1</v>
      </c>
      <c r="E677" s="67" t="str">
        <f>IFERROR(VLOOKUP(База_КР_КК[[#This Row],[ИД штатной должности (S)]],'уровень защищенности'!$B$7:$F$1095,5,0),"не защищена")</f>
        <v>высокий</v>
      </c>
      <c r="F677" s="68">
        <v>500612</v>
      </c>
      <c r="G677" s="74" t="s">
        <v>2291</v>
      </c>
      <c r="H677" s="181">
        <f>INDEX('Списки данных'!$D$2:$D$1048576,MATCH(База_КР_КК[[#This Row],[Структурное подразделение]],'Списки данных'!$C$2:$C$1048576,0))</f>
        <v>2</v>
      </c>
      <c r="I677" s="80" t="s">
        <v>133</v>
      </c>
      <c r="J677" s="80" t="s">
        <v>197</v>
      </c>
      <c r="K677" s="80" t="s">
        <v>199</v>
      </c>
      <c r="L677" s="30" t="s">
        <v>192</v>
      </c>
      <c r="M677" s="68">
        <v>7</v>
      </c>
      <c r="N677" s="181" t="str">
        <f t="shared" si="11"/>
        <v>нет</v>
      </c>
      <c r="O677" s="23"/>
      <c r="P677" s="23"/>
      <c r="Q677" s="106"/>
      <c r="R677" s="37">
        <v>134</v>
      </c>
      <c r="S677" s="38" t="s">
        <v>546</v>
      </c>
      <c r="T677" s="37">
        <v>1213</v>
      </c>
      <c r="U677" s="39" t="s">
        <v>1618</v>
      </c>
      <c r="V677" s="69" t="s">
        <v>272</v>
      </c>
      <c r="W677" s="69" t="s">
        <v>133</v>
      </c>
      <c r="X677" s="106" t="s">
        <v>295</v>
      </c>
      <c r="Y677" s="107" t="s">
        <v>12</v>
      </c>
      <c r="Z677" s="67">
        <f>IF(База_КР_КК[[#This Row],[Таб.номер резервиста]]="-","-",IF(OR(База_КР_КК[[#This Row],[Уровень КК]]=2,База_КР_КК[[#This Row],[Уровень КК]]=3),IF(COUNTIFS($U$2:$U677,$U677,$F$2:$F677,$F677)=1,1,0),IF(COUNTIFS($U$2:$U677,$U677,$L$2:$L677,$L677)=1,1,0)))</f>
        <v>1</v>
      </c>
      <c r="AA6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7" s="106"/>
      <c r="AC677" s="51"/>
      <c r="AD677" s="106" t="s">
        <v>17</v>
      </c>
      <c r="AE677" s="38" t="s">
        <v>411</v>
      </c>
    </row>
    <row r="678" spans="1:31" ht="18" customHeight="1" x14ac:dyDescent="0.25">
      <c r="A6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8" s="79">
        <v>4</v>
      </c>
      <c r="C678" s="23">
        <v>44495</v>
      </c>
      <c r="D678" s="67">
        <f>IF(COUNTIF($G$2:$G678,$G678)=1,1,0)</f>
        <v>0</v>
      </c>
      <c r="E678" s="67" t="str">
        <f>IFERROR(VLOOKUP(База_КР_КК[[#This Row],[ИД штатной должности (S)]],'уровень защищенности'!$B$7:$F$1095,5,0),"не защищена")</f>
        <v>высокий</v>
      </c>
      <c r="F678" s="68">
        <v>500612</v>
      </c>
      <c r="G678" s="74" t="s">
        <v>2291</v>
      </c>
      <c r="H678" s="181">
        <f>INDEX('Списки данных'!$D$2:$D$1048576,MATCH(База_КР_КК[[#This Row],[Структурное подразделение]],'Списки данных'!$C$2:$C$1048576,0))</f>
        <v>2</v>
      </c>
      <c r="I678" s="80" t="s">
        <v>133</v>
      </c>
      <c r="J678" s="80" t="s">
        <v>197</v>
      </c>
      <c r="K678" s="80" t="s">
        <v>199</v>
      </c>
      <c r="L678" s="30" t="s">
        <v>192</v>
      </c>
      <c r="M678" s="68">
        <v>7</v>
      </c>
      <c r="N678" s="181" t="str">
        <f t="shared" si="11"/>
        <v>нет</v>
      </c>
      <c r="O678" s="23"/>
      <c r="P678" s="23"/>
      <c r="Q678" s="106"/>
      <c r="R678" s="37">
        <v>134</v>
      </c>
      <c r="S678" s="38" t="s">
        <v>546</v>
      </c>
      <c r="T678" s="37">
        <v>1236</v>
      </c>
      <c r="U678" s="39" t="s">
        <v>1641</v>
      </c>
      <c r="V678" s="89" t="s">
        <v>192</v>
      </c>
      <c r="W678" s="89" t="s">
        <v>133</v>
      </c>
      <c r="X678" s="106" t="s">
        <v>296</v>
      </c>
      <c r="Y678" s="107" t="s">
        <v>18</v>
      </c>
      <c r="Z678" s="67">
        <f>IF(База_КР_КК[[#This Row],[Таб.номер резервиста]]="-","-",IF(OR(База_КР_КК[[#This Row],[Уровень КК]]=2,База_КР_КК[[#This Row],[Уровень КК]]=3),IF(COUNTIFS($U$2:$U678,$U678,$F$2:$F678,$F678)=1,1,0),IF(COUNTIFS($U$2:$U678,$U678,$L$2:$L678,$L678)=1,1,0)))</f>
        <v>1</v>
      </c>
      <c r="AA6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8" s="106" t="s">
        <v>38</v>
      </c>
      <c r="AC678" s="51">
        <v>45245</v>
      </c>
      <c r="AD678" s="106" t="s">
        <v>31</v>
      </c>
      <c r="AE678" s="40" t="s">
        <v>411</v>
      </c>
    </row>
    <row r="679" spans="1:31" ht="18" customHeight="1" x14ac:dyDescent="0.25">
      <c r="A6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79" s="79">
        <v>4</v>
      </c>
      <c r="C679" s="23">
        <v>44495</v>
      </c>
      <c r="D679" s="67">
        <f>IF(COUNTIF($G$2:$G679,$G679)=1,1,0)</f>
        <v>1</v>
      </c>
      <c r="E679" s="67" t="str">
        <f>IFERROR(VLOOKUP(База_КР_КК[[#This Row],[ИД штатной должности (S)]],'уровень защищенности'!$B$7:$F$1095,5,0),"не защищена")</f>
        <v>высокий</v>
      </c>
      <c r="F679" s="68">
        <v>500613</v>
      </c>
      <c r="G679" s="74" t="s">
        <v>2292</v>
      </c>
      <c r="H679" s="181">
        <f>INDEX('Списки данных'!$D$2:$D$1048576,MATCH(База_КР_КК[[#This Row],[Структурное подразделение]],'Списки данных'!$C$2:$C$1048576,0))</f>
        <v>2</v>
      </c>
      <c r="I679" s="80" t="s">
        <v>133</v>
      </c>
      <c r="J679" s="80" t="s">
        <v>197</v>
      </c>
      <c r="K679" s="80" t="s">
        <v>199</v>
      </c>
      <c r="L679" s="30" t="s">
        <v>192</v>
      </c>
      <c r="M679" s="68">
        <v>7</v>
      </c>
      <c r="N679" s="181" t="str">
        <f t="shared" si="11"/>
        <v>да</v>
      </c>
      <c r="O679" s="23">
        <v>44211</v>
      </c>
      <c r="P679" s="23">
        <v>44211</v>
      </c>
      <c r="Q679" s="106" t="s">
        <v>66</v>
      </c>
      <c r="R679" s="37">
        <v>135</v>
      </c>
      <c r="S679" s="39" t="s">
        <v>547</v>
      </c>
      <c r="T679" s="37">
        <v>1213</v>
      </c>
      <c r="U679" s="38" t="s">
        <v>1618</v>
      </c>
      <c r="V679" s="69" t="s">
        <v>272</v>
      </c>
      <c r="W679" s="69" t="s">
        <v>133</v>
      </c>
      <c r="X679" s="106" t="s">
        <v>295</v>
      </c>
      <c r="Y679" s="107" t="s">
        <v>12</v>
      </c>
      <c r="Z679" s="67">
        <f>IF(База_КР_КК[[#This Row],[Таб.номер резервиста]]="-","-",IF(OR(База_КР_КК[[#This Row],[Уровень КК]]=2,База_КР_КК[[#This Row],[Уровень КК]]=3),IF(COUNTIFS($U$2:$U679,$U679,$F$2:$F679,$F679)=1,1,0),IF(COUNTIFS($U$2:$U679,$U679,$L$2:$L679,$L679)=1,1,0)))</f>
        <v>0</v>
      </c>
      <c r="AA6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79" s="106"/>
      <c r="AC679" s="51"/>
      <c r="AD679" s="106" t="s">
        <v>17</v>
      </c>
      <c r="AE679" s="40" t="s">
        <v>411</v>
      </c>
    </row>
    <row r="680" spans="1:31" ht="18" customHeight="1" x14ac:dyDescent="0.25">
      <c r="A6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0" s="79">
        <v>4</v>
      </c>
      <c r="C680" s="23">
        <v>43791</v>
      </c>
      <c r="D680" s="67">
        <f>IF(COUNTIF($G$2:$G680,$G680)=1,1,0)</f>
        <v>0</v>
      </c>
      <c r="E680" s="67" t="str">
        <f>IFERROR(VLOOKUP(База_КР_КК[[#This Row],[ИД штатной должности (S)]],'уровень защищенности'!$B$7:$F$1095,5,0),"не защищена")</f>
        <v>высокий</v>
      </c>
      <c r="F680" s="68">
        <v>500613</v>
      </c>
      <c r="G680" s="74" t="s">
        <v>2292</v>
      </c>
      <c r="H680" s="181">
        <f>INDEX('Списки данных'!$D$2:$D$1048576,MATCH(База_КР_КК[[#This Row],[Структурное подразделение]],'Списки данных'!$C$2:$C$1048576,0))</f>
        <v>2</v>
      </c>
      <c r="I680" s="80" t="s">
        <v>133</v>
      </c>
      <c r="J680" s="80" t="s">
        <v>197</v>
      </c>
      <c r="K680" s="80" t="s">
        <v>199</v>
      </c>
      <c r="L680" s="30" t="s">
        <v>192</v>
      </c>
      <c r="M680" s="68">
        <v>7</v>
      </c>
      <c r="N680" s="181" t="str">
        <f t="shared" si="11"/>
        <v>да</v>
      </c>
      <c r="O680" s="23">
        <v>44211</v>
      </c>
      <c r="P680" s="23">
        <v>44211</v>
      </c>
      <c r="Q680" s="106" t="s">
        <v>66</v>
      </c>
      <c r="R680" s="37">
        <v>135</v>
      </c>
      <c r="S680" s="38" t="s">
        <v>547</v>
      </c>
      <c r="T680" s="37">
        <v>135</v>
      </c>
      <c r="U680" s="39" t="s">
        <v>547</v>
      </c>
      <c r="V680" s="89" t="s">
        <v>272</v>
      </c>
      <c r="W680" s="89" t="s">
        <v>133</v>
      </c>
      <c r="X680" s="106" t="s">
        <v>297</v>
      </c>
      <c r="Y680" s="107" t="s">
        <v>14</v>
      </c>
      <c r="Z680" s="67">
        <f>IF(База_КР_КК[[#This Row],[Таб.номер резервиста]]="-","-",IF(OR(База_КР_КК[[#This Row],[Уровень КК]]=2,База_КР_КК[[#This Row],[Уровень КК]]=3),IF(COUNTIFS($U$2:$U680,$U680,$F$2:$F680,$F680)=1,1,0),IF(COUNTIFS($U$2:$U680,$U680,$L$2:$L680,$L680)=1,1,0)))</f>
        <v>1</v>
      </c>
      <c r="AA6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680" s="106" t="s">
        <v>24</v>
      </c>
      <c r="AC680" s="51">
        <v>44211</v>
      </c>
      <c r="AD680" s="106" t="s">
        <v>13</v>
      </c>
      <c r="AE680" s="38" t="s">
        <v>318</v>
      </c>
    </row>
    <row r="681" spans="1:31" ht="18" customHeight="1" x14ac:dyDescent="0.25">
      <c r="A6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1" s="79">
        <v>3</v>
      </c>
      <c r="C681" s="23">
        <v>44914</v>
      </c>
      <c r="D681" s="67">
        <f>IF(COUNTIF($G$2:$G681,$G681)=1,1,0)</f>
        <v>1</v>
      </c>
      <c r="E681" s="67" t="str">
        <f>IFERROR(VLOOKUP(База_КР_КК[[#This Row],[ИД штатной должности (S)]],'уровень защищенности'!$B$7:$F$1095,5,0),"не защищена")</f>
        <v>низкий</v>
      </c>
      <c r="F681" s="68">
        <v>500623</v>
      </c>
      <c r="G681" s="74" t="s">
        <v>2293</v>
      </c>
      <c r="H681" s="181">
        <f>INDEX('Списки данных'!$D$2:$D$1048576,MATCH(База_КР_КК[[#This Row],[Структурное подразделение]],'Списки данных'!$C$2:$C$1048576,0))</f>
        <v>216</v>
      </c>
      <c r="I681" s="80" t="s">
        <v>125</v>
      </c>
      <c r="J681" s="80" t="s">
        <v>21</v>
      </c>
      <c r="K681" s="80" t="s">
        <v>21</v>
      </c>
      <c r="L681" s="30" t="s">
        <v>200</v>
      </c>
      <c r="M681" s="68">
        <v>5</v>
      </c>
      <c r="N681" s="181" t="str">
        <f t="shared" si="11"/>
        <v>нет</v>
      </c>
      <c r="O681" s="23"/>
      <c r="P681" s="23"/>
      <c r="Q681" s="106"/>
      <c r="R681" s="37">
        <v>136</v>
      </c>
      <c r="S681" s="38" t="s">
        <v>548</v>
      </c>
      <c r="T681" s="37">
        <v>29</v>
      </c>
      <c r="U681" s="38" t="s">
        <v>443</v>
      </c>
      <c r="V681" s="69" t="s">
        <v>189</v>
      </c>
      <c r="W681" s="89" t="s">
        <v>122</v>
      </c>
      <c r="X681" s="106" t="s">
        <v>296</v>
      </c>
      <c r="Y681" s="107" t="s">
        <v>12</v>
      </c>
      <c r="Z681" s="67">
        <f>IF(База_КР_КК[[#This Row],[Таб.номер резервиста]]="-","-",IF(OR(База_КР_КК[[#This Row],[Уровень КК]]=2,База_КР_КК[[#This Row],[Уровень КК]]=3),IF(COUNTIFS($U$2:$U681,$U681,$F$2:$F681,$F681)=1,1,0),IF(COUNTIFS($U$2:$U681,$U681,$L$2:$L681,$L681)=1,1,0)))</f>
        <v>1</v>
      </c>
      <c r="AA6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81" s="106"/>
      <c r="AC681" s="51"/>
      <c r="AD681" s="106" t="s">
        <v>15</v>
      </c>
      <c r="AE681" s="40" t="s">
        <v>408</v>
      </c>
    </row>
    <row r="682" spans="1:31" ht="18" customHeight="1" x14ac:dyDescent="0.25">
      <c r="A6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2" s="79">
        <v>4</v>
      </c>
      <c r="C682" s="23">
        <v>44880</v>
      </c>
      <c r="D682" s="67">
        <f>IF(COUNTIF($G$2:$G682,$G682)=1,1,0)</f>
        <v>1</v>
      </c>
      <c r="E682" s="67" t="str">
        <f>IFERROR(VLOOKUP(База_КР_КК[[#This Row],[ИД штатной должности (S)]],'уровень защищенности'!$B$7:$F$1095,5,0),"не защищена")</f>
        <v>низкий</v>
      </c>
      <c r="F682" s="68">
        <v>500716</v>
      </c>
      <c r="G682" s="74" t="s">
        <v>2294</v>
      </c>
      <c r="H682" s="181">
        <f>INDEX('Списки данных'!$D$2:$D$1048576,MATCH(База_КР_КК[[#This Row],[Структурное подразделение]],'Списки данных'!$C$2:$C$1048576,0))</f>
        <v>2</v>
      </c>
      <c r="I682" s="80" t="s">
        <v>133</v>
      </c>
      <c r="J682" s="80" t="s">
        <v>197</v>
      </c>
      <c r="K682" s="80" t="s">
        <v>21</v>
      </c>
      <c r="L682" s="30" t="s">
        <v>192</v>
      </c>
      <c r="M682" s="68">
        <v>7</v>
      </c>
      <c r="N682" s="181" t="str">
        <f t="shared" si="11"/>
        <v>да</v>
      </c>
      <c r="O682" s="23">
        <v>44377</v>
      </c>
      <c r="P682" s="23">
        <v>44384</v>
      </c>
      <c r="Q682" s="106" t="s">
        <v>66</v>
      </c>
      <c r="R682" s="37">
        <v>137</v>
      </c>
      <c r="S682" s="39" t="s">
        <v>549</v>
      </c>
      <c r="T682" s="37">
        <v>1233</v>
      </c>
      <c r="U682" s="38" t="s">
        <v>1638</v>
      </c>
      <c r="V682" s="69" t="s">
        <v>272</v>
      </c>
      <c r="W682" s="89" t="s">
        <v>133</v>
      </c>
      <c r="X682" s="106" t="s">
        <v>296</v>
      </c>
      <c r="Y682" s="107" t="s">
        <v>12</v>
      </c>
      <c r="Z682" s="67">
        <f>IF(База_КР_КК[[#This Row],[Таб.номер резервиста]]="-","-",IF(OR(База_КР_КК[[#This Row],[Уровень КК]]=2,База_КР_КК[[#This Row],[Уровень КК]]=3),IF(COUNTIFS($U$2:$U682,$U682,$F$2:$F682,$F682)=1,1,0),IF(COUNTIFS($U$2:$U682,$U682,$L$2:$L682,$L682)=1,1,0)))</f>
        <v>0</v>
      </c>
      <c r="AA6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82" s="106"/>
      <c r="AC682" s="51"/>
      <c r="AD682" s="106" t="s">
        <v>15</v>
      </c>
      <c r="AE682" s="40" t="s">
        <v>411</v>
      </c>
    </row>
    <row r="683" spans="1:31" ht="18" customHeight="1" x14ac:dyDescent="0.25">
      <c r="A6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3" s="79">
        <v>4</v>
      </c>
      <c r="C683" s="23">
        <v>44125</v>
      </c>
      <c r="D683" s="67">
        <f>IF(COUNTIF($G$2:$G683,$G683)=1,1,0)</f>
        <v>0</v>
      </c>
      <c r="E683" s="67" t="str">
        <f>IFERROR(VLOOKUP(База_КР_КК[[#This Row],[ИД штатной должности (S)]],'уровень защищенности'!$B$7:$F$1095,5,0),"не защищена")</f>
        <v>низкий</v>
      </c>
      <c r="F683" s="68">
        <v>500716</v>
      </c>
      <c r="G683" s="74" t="s">
        <v>2294</v>
      </c>
      <c r="H683" s="181">
        <f>INDEX('Списки данных'!$D$2:$D$1048576,MATCH(База_КР_КК[[#This Row],[Структурное подразделение]],'Списки данных'!$C$2:$C$1048576,0))</f>
        <v>2</v>
      </c>
      <c r="I683" s="80" t="s">
        <v>133</v>
      </c>
      <c r="J683" s="80" t="s">
        <v>197</v>
      </c>
      <c r="K683" s="80" t="s">
        <v>21</v>
      </c>
      <c r="L683" s="30" t="s">
        <v>192</v>
      </c>
      <c r="M683" s="68">
        <v>7</v>
      </c>
      <c r="N683" s="181" t="str">
        <f t="shared" si="11"/>
        <v>да</v>
      </c>
      <c r="O683" s="23">
        <v>44377</v>
      </c>
      <c r="P683" s="23">
        <v>44384</v>
      </c>
      <c r="Q683" s="106" t="s">
        <v>66</v>
      </c>
      <c r="R683" s="37">
        <v>137</v>
      </c>
      <c r="S683" s="38" t="s">
        <v>549</v>
      </c>
      <c r="T683" s="37">
        <v>137</v>
      </c>
      <c r="U683" s="39" t="s">
        <v>549</v>
      </c>
      <c r="V683" s="69" t="s">
        <v>272</v>
      </c>
      <c r="W683" s="89" t="s">
        <v>133</v>
      </c>
      <c r="X683" s="106" t="s">
        <v>296</v>
      </c>
      <c r="Y683" s="107" t="s">
        <v>14</v>
      </c>
      <c r="Z683" s="67">
        <f>IF(База_КР_КК[[#This Row],[Таб.номер резервиста]]="-","-",IF(OR(База_КР_КК[[#This Row],[Уровень КК]]=2,База_КР_КК[[#This Row],[Уровень КК]]=3),IF(COUNTIFS($U$2:$U683,$U683,$F$2:$F683,$F683)=1,1,0),IF(COUNTIFS($U$2:$U683,$U683,$L$2:$L683,$L683)=1,1,0)))</f>
        <v>1</v>
      </c>
      <c r="AA6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683" s="106" t="s">
        <v>24</v>
      </c>
      <c r="AC683" s="51">
        <v>44384</v>
      </c>
      <c r="AD683" s="106" t="s">
        <v>15</v>
      </c>
      <c r="AE683" s="38" t="s">
        <v>318</v>
      </c>
    </row>
    <row r="684" spans="1:31" ht="18" customHeight="1" x14ac:dyDescent="0.25">
      <c r="A6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4" s="79">
        <v>4</v>
      </c>
      <c r="C684" s="23">
        <v>44495</v>
      </c>
      <c r="D684" s="67">
        <f>IF(COUNTIF($G$2:$G684,$G684)=1,1,0)</f>
        <v>0</v>
      </c>
      <c r="E684" s="67" t="str">
        <f>IFERROR(VLOOKUP(База_КР_КК[[#This Row],[ИД штатной должности (S)]],'уровень защищенности'!$B$7:$F$1095,5,0),"не защищена")</f>
        <v>низкий</v>
      </c>
      <c r="F684" s="68">
        <v>500716</v>
      </c>
      <c r="G684" s="74" t="s">
        <v>2294</v>
      </c>
      <c r="H684" s="181">
        <f>INDEX('Списки данных'!$D$2:$D$1048576,MATCH(База_КР_КК[[#This Row],[Структурное подразделение]],'Списки данных'!$C$2:$C$1048576,0))</f>
        <v>2</v>
      </c>
      <c r="I684" s="80" t="s">
        <v>133</v>
      </c>
      <c r="J684" s="80" t="s">
        <v>197</v>
      </c>
      <c r="K684" s="80" t="s">
        <v>21</v>
      </c>
      <c r="L684" s="30" t="s">
        <v>192</v>
      </c>
      <c r="M684" s="68">
        <v>7</v>
      </c>
      <c r="N684" s="181" t="str">
        <f t="shared" si="11"/>
        <v>да</v>
      </c>
      <c r="O684" s="23">
        <v>44377</v>
      </c>
      <c r="P684" s="23">
        <v>44384</v>
      </c>
      <c r="Q684" s="106" t="s">
        <v>66</v>
      </c>
      <c r="R684" s="37">
        <v>137</v>
      </c>
      <c r="S684" s="39" t="s">
        <v>549</v>
      </c>
      <c r="T684" s="37">
        <v>1234</v>
      </c>
      <c r="U684" s="39" t="s">
        <v>1639</v>
      </c>
      <c r="V684" s="69" t="s">
        <v>192</v>
      </c>
      <c r="W684" s="89" t="s">
        <v>133</v>
      </c>
      <c r="X684" s="106" t="s">
        <v>296</v>
      </c>
      <c r="Y684" s="107" t="s">
        <v>18</v>
      </c>
      <c r="Z684" s="67">
        <f>IF(База_КР_КК[[#This Row],[Таб.номер резервиста]]="-","-",IF(OR(База_КР_КК[[#This Row],[Уровень КК]]=2,База_КР_КК[[#This Row],[Уровень КК]]=3),IF(COUNTIFS($U$2:$U684,$U684,$F$2:$F684,$F684)=1,1,0),IF(COUNTIFS($U$2:$U684,$U684,$L$2:$L684,$L684)=1,1,0)))</f>
        <v>0</v>
      </c>
      <c r="AA6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84" s="106" t="s">
        <v>38</v>
      </c>
      <c r="AC684" s="51">
        <v>45245</v>
      </c>
      <c r="AD684" s="106" t="s">
        <v>31</v>
      </c>
      <c r="AE684" s="40" t="s">
        <v>411</v>
      </c>
    </row>
    <row r="685" spans="1:31" ht="18" customHeight="1" x14ac:dyDescent="0.25">
      <c r="A6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5" s="79">
        <v>4</v>
      </c>
      <c r="C685" s="23">
        <v>44495</v>
      </c>
      <c r="D685" s="67">
        <f>IF(COUNTIF($G$2:$G685,$G685)=1,1,0)</f>
        <v>0</v>
      </c>
      <c r="E685" s="67" t="str">
        <f>IFERROR(VLOOKUP(База_КР_КК[[#This Row],[ИД штатной должности (S)]],'уровень защищенности'!$B$7:$F$1095,5,0),"не защищена")</f>
        <v>низкий</v>
      </c>
      <c r="F685" s="68">
        <v>500716</v>
      </c>
      <c r="G685" s="74" t="s">
        <v>2294</v>
      </c>
      <c r="H685" s="181">
        <f>INDEX('Списки данных'!$D$2:$D$1048576,MATCH(База_КР_КК[[#This Row],[Структурное подразделение]],'Списки данных'!$C$2:$C$1048576,0))</f>
        <v>2</v>
      </c>
      <c r="I685" s="80" t="s">
        <v>133</v>
      </c>
      <c r="J685" s="80" t="s">
        <v>197</v>
      </c>
      <c r="K685" s="80" t="s">
        <v>21</v>
      </c>
      <c r="L685" s="30" t="s">
        <v>192</v>
      </c>
      <c r="M685" s="68">
        <v>7</v>
      </c>
      <c r="N685" s="181" t="str">
        <f t="shared" si="11"/>
        <v>да</v>
      </c>
      <c r="O685" s="23">
        <v>44377</v>
      </c>
      <c r="P685" s="23">
        <v>44384</v>
      </c>
      <c r="Q685" s="106" t="s">
        <v>66</v>
      </c>
      <c r="R685" s="37">
        <v>137</v>
      </c>
      <c r="S685" s="39" t="s">
        <v>549</v>
      </c>
      <c r="T685" s="37">
        <v>1235</v>
      </c>
      <c r="U685" s="39" t="s">
        <v>1640</v>
      </c>
      <c r="V685" s="89" t="s">
        <v>192</v>
      </c>
      <c r="W685" s="89" t="s">
        <v>133</v>
      </c>
      <c r="X685" s="106" t="s">
        <v>296</v>
      </c>
      <c r="Y685" s="107" t="s">
        <v>18</v>
      </c>
      <c r="Z685" s="67">
        <f>IF(База_КР_КК[[#This Row],[Таб.номер резервиста]]="-","-",IF(OR(База_КР_КК[[#This Row],[Уровень КК]]=2,База_КР_КК[[#This Row],[Уровень КК]]=3),IF(COUNTIFS($U$2:$U685,$U685,$F$2:$F685,$F685)=1,1,0),IF(COUNTIFS($U$2:$U685,$U685,$L$2:$L685,$L685)=1,1,0)))</f>
        <v>0</v>
      </c>
      <c r="AA6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85" s="106" t="s">
        <v>38</v>
      </c>
      <c r="AC685" s="51">
        <v>45245</v>
      </c>
      <c r="AD685" s="106" t="s">
        <v>31</v>
      </c>
      <c r="AE685" s="40" t="s">
        <v>411</v>
      </c>
    </row>
    <row r="686" spans="1:31" ht="18" customHeight="1" x14ac:dyDescent="0.25">
      <c r="A6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6" s="79">
        <v>3</v>
      </c>
      <c r="C686" s="23">
        <v>44517</v>
      </c>
      <c r="D686" s="67">
        <f>IF(COUNTIF($G$2:$G686,$G686)=1,1,0)</f>
        <v>1</v>
      </c>
      <c r="E686" s="67" t="str">
        <f>IFERROR(VLOOKUP(База_КР_КК[[#This Row],[ИД штатной должности (S)]],'уровень защищенности'!$B$7:$F$1095,5,0),"не защищена")</f>
        <v>не защищена</v>
      </c>
      <c r="F686" s="68">
        <v>500626</v>
      </c>
      <c r="G686" s="74" t="s">
        <v>2295</v>
      </c>
      <c r="H686" s="181">
        <f>INDEX('Списки данных'!$D$2:$D$1048576,MATCH(База_КР_КК[[#This Row],[Структурное подразделение]],'Списки данных'!$C$2:$C$1048576,0))</f>
        <v>216</v>
      </c>
      <c r="I686" s="80" t="s">
        <v>125</v>
      </c>
      <c r="J686" s="80" t="s">
        <v>21</v>
      </c>
      <c r="K686" s="80" t="s">
        <v>21</v>
      </c>
      <c r="L686" s="30" t="s">
        <v>200</v>
      </c>
      <c r="M686" s="68">
        <v>5</v>
      </c>
      <c r="N686" s="181" t="str">
        <f t="shared" si="11"/>
        <v>нет</v>
      </c>
      <c r="O686" s="23"/>
      <c r="P686" s="23"/>
      <c r="Q686" s="106"/>
      <c r="R686" s="37">
        <v>138</v>
      </c>
      <c r="S686" s="38" t="s">
        <v>550</v>
      </c>
      <c r="T686" s="37" t="s">
        <v>21</v>
      </c>
      <c r="U686" s="37" t="s">
        <v>21</v>
      </c>
      <c r="V686" s="88" t="s">
        <v>21</v>
      </c>
      <c r="W686" s="88" t="s">
        <v>21</v>
      </c>
      <c r="X686" s="106"/>
      <c r="Y686" s="107"/>
      <c r="Z686" s="67" t="str">
        <f>IF(База_КР_КК[[#This Row],[Таб.номер резервиста]]="-","-",IF(OR(База_КР_КК[[#This Row],[Уровень КК]]=2,База_КР_КК[[#This Row],[Уровень КК]]=3),IF(COUNTIFS($U$2:$U686,$U686,$F$2:$F686,$F686)=1,1,0),IF(COUNTIFS($U$2:$U686,$U686,$L$2:$L686,$L686)=1,1,0)))</f>
        <v>-</v>
      </c>
      <c r="AA686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686" s="106"/>
      <c r="AC686" s="51"/>
      <c r="AD686" s="106"/>
      <c r="AE686" s="38" t="s">
        <v>321</v>
      </c>
    </row>
    <row r="687" spans="1:31" ht="18" customHeight="1" x14ac:dyDescent="0.25">
      <c r="A6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7" s="79">
        <v>3</v>
      </c>
      <c r="C687" s="23">
        <v>43080</v>
      </c>
      <c r="D687" s="67">
        <f>IF(COUNTIF($G$2:$G687,$G687)=1,1,0)</f>
        <v>1</v>
      </c>
      <c r="E687" s="67" t="str">
        <f>IFERROR(VLOOKUP(База_КР_КК[[#This Row],[ИД штатной должности (S)]],'уровень защищенности'!$B$7:$F$1095,5,0),"не защищена")</f>
        <v>высокий</v>
      </c>
      <c r="F687" s="68">
        <v>500656</v>
      </c>
      <c r="G687" s="74" t="s">
        <v>2296</v>
      </c>
      <c r="H687" s="181">
        <f>INDEX('Списки данных'!$D$2:$D$1048576,MATCH(База_КР_КК[[#This Row],[Структурное подразделение]],'Списки данных'!$C$2:$C$1048576,0))</f>
        <v>22</v>
      </c>
      <c r="I687" s="80" t="s">
        <v>135</v>
      </c>
      <c r="J687" s="80" t="s">
        <v>21</v>
      </c>
      <c r="K687" s="80" t="s">
        <v>21</v>
      </c>
      <c r="L687" s="30" t="s">
        <v>201</v>
      </c>
      <c r="M687" s="68">
        <v>4</v>
      </c>
      <c r="N687" s="181" t="str">
        <f t="shared" si="11"/>
        <v>да</v>
      </c>
      <c r="O687" s="23">
        <v>44059</v>
      </c>
      <c r="P687" s="23">
        <v>44151</v>
      </c>
      <c r="Q687" s="106" t="s">
        <v>66</v>
      </c>
      <c r="R687" s="37">
        <v>139</v>
      </c>
      <c r="S687" s="39" t="s">
        <v>551</v>
      </c>
      <c r="T687" s="37">
        <v>142</v>
      </c>
      <c r="U687" s="39" t="s">
        <v>554</v>
      </c>
      <c r="V687" s="89" t="s">
        <v>187</v>
      </c>
      <c r="W687" s="89" t="s">
        <v>135</v>
      </c>
      <c r="X687" s="106" t="s">
        <v>295</v>
      </c>
      <c r="Y687" s="107" t="s">
        <v>12</v>
      </c>
      <c r="Z687" s="67">
        <f>IF(База_КР_КК[[#This Row],[Таб.номер резервиста]]="-","-",IF(OR(База_КР_КК[[#This Row],[Уровень КК]]=2,База_КР_КК[[#This Row],[Уровень КК]]=3),IF(COUNTIFS($U$2:$U687,$U687,$F$2:$F687,$F687)=1,1,0),IF(COUNTIFS($U$2:$U687,$U687,$L$2:$L687,$L687)=1,1,0)))</f>
        <v>1</v>
      </c>
      <c r="AA6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87" s="106"/>
      <c r="AC687" s="51"/>
      <c r="AD687" s="106" t="s">
        <v>13</v>
      </c>
      <c r="AE687" s="38" t="s">
        <v>405</v>
      </c>
    </row>
    <row r="688" spans="1:31" ht="18" customHeight="1" x14ac:dyDescent="0.25">
      <c r="A6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8" s="79">
        <v>3</v>
      </c>
      <c r="C688" s="23">
        <v>44791</v>
      </c>
      <c r="D688" s="67">
        <f>IF(COUNTIF($G$2:$G688,$G688)=1,1,0)</f>
        <v>0</v>
      </c>
      <c r="E688" s="67" t="str">
        <f>IFERROR(VLOOKUP(База_КР_КК[[#This Row],[ИД штатной должности (S)]],'уровень защищенности'!$B$7:$F$1095,5,0),"не защищена")</f>
        <v>высокий</v>
      </c>
      <c r="F688" s="68">
        <v>500656</v>
      </c>
      <c r="G688" s="74" t="s">
        <v>2296</v>
      </c>
      <c r="H688" s="181">
        <f>INDEX('Списки данных'!$D$2:$D$1048576,MATCH(База_КР_КК[[#This Row],[Структурное подразделение]],'Списки данных'!$C$2:$C$1048576,0))</f>
        <v>22</v>
      </c>
      <c r="I688" s="80" t="s">
        <v>135</v>
      </c>
      <c r="J688" s="80" t="s">
        <v>21</v>
      </c>
      <c r="K688" s="80" t="s">
        <v>21</v>
      </c>
      <c r="L688" s="30" t="s">
        <v>201</v>
      </c>
      <c r="M688" s="68">
        <v>4</v>
      </c>
      <c r="N688" s="181" t="str">
        <f t="shared" si="11"/>
        <v>да</v>
      </c>
      <c r="O688" s="23">
        <v>44059</v>
      </c>
      <c r="P688" s="23">
        <v>44151</v>
      </c>
      <c r="Q688" s="106" t="s">
        <v>66</v>
      </c>
      <c r="R688" s="37">
        <v>139</v>
      </c>
      <c r="S688" s="39" t="s">
        <v>551</v>
      </c>
      <c r="T688" s="37">
        <v>165</v>
      </c>
      <c r="U688" s="38" t="s">
        <v>577</v>
      </c>
      <c r="V688" s="69" t="s">
        <v>183</v>
      </c>
      <c r="W688" s="89" t="s">
        <v>135</v>
      </c>
      <c r="X688" s="106" t="s">
        <v>296</v>
      </c>
      <c r="Y688" s="107" t="s">
        <v>12</v>
      </c>
      <c r="Z688" s="67">
        <f>IF(База_КР_КК[[#This Row],[Таб.номер резервиста]]="-","-",IF(OR(База_КР_КК[[#This Row],[Уровень КК]]=2,База_КР_КК[[#This Row],[Уровень КК]]=3),IF(COUNTIFS($U$2:$U688,$U688,$F$2:$F688,$F688)=1,1,0),IF(COUNTIFS($U$2:$U688,$U688,$L$2:$L688,$L688)=1,1,0)))</f>
        <v>1</v>
      </c>
      <c r="AA6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88" s="106"/>
      <c r="AC688" s="51"/>
      <c r="AD688" s="106" t="s">
        <v>15</v>
      </c>
      <c r="AE688" s="38" t="s">
        <v>405</v>
      </c>
    </row>
    <row r="689" spans="1:31" ht="18" customHeight="1" x14ac:dyDescent="0.25">
      <c r="A6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89" s="79">
        <v>3</v>
      </c>
      <c r="C689" s="23">
        <v>43312</v>
      </c>
      <c r="D689" s="67">
        <f>IF(COUNTIF($G$2:$G689,$G689)=1,1,0)</f>
        <v>0</v>
      </c>
      <c r="E689" s="67" t="str">
        <f>IFERROR(VLOOKUP(База_КР_КК[[#This Row],[ИД штатной должности (S)]],'уровень защищенности'!$B$7:$F$1095,5,0),"не защищена")</f>
        <v>высокий</v>
      </c>
      <c r="F689" s="68">
        <v>500656</v>
      </c>
      <c r="G689" s="74" t="s">
        <v>2296</v>
      </c>
      <c r="H689" s="181">
        <f>INDEX('Списки данных'!$D$2:$D$1048576,MATCH(База_КР_КК[[#This Row],[Структурное подразделение]],'Списки данных'!$C$2:$C$1048576,0))</f>
        <v>22</v>
      </c>
      <c r="I689" s="80" t="s">
        <v>135</v>
      </c>
      <c r="J689" s="80" t="s">
        <v>21</v>
      </c>
      <c r="K689" s="80" t="s">
        <v>21</v>
      </c>
      <c r="L689" s="30" t="s">
        <v>201</v>
      </c>
      <c r="M689" s="68">
        <v>4</v>
      </c>
      <c r="N689" s="181" t="str">
        <f t="shared" si="11"/>
        <v>да</v>
      </c>
      <c r="O689" s="23">
        <v>44059</v>
      </c>
      <c r="P689" s="23">
        <v>44151</v>
      </c>
      <c r="Q689" s="106" t="s">
        <v>66</v>
      </c>
      <c r="R689" s="37">
        <v>139</v>
      </c>
      <c r="S689" s="39" t="s">
        <v>551</v>
      </c>
      <c r="T689" s="37">
        <v>139</v>
      </c>
      <c r="U689" s="39" t="s">
        <v>551</v>
      </c>
      <c r="V689" s="94" t="s">
        <v>187</v>
      </c>
      <c r="W689" s="89" t="s">
        <v>135</v>
      </c>
      <c r="X689" s="106" t="s">
        <v>295</v>
      </c>
      <c r="Y689" s="107" t="s">
        <v>14</v>
      </c>
      <c r="Z689" s="67">
        <f>IF(База_КР_КК[[#This Row],[Таб.номер резервиста]]="-","-",IF(OR(База_КР_КК[[#This Row],[Уровень КК]]=2,База_КР_КК[[#This Row],[Уровень КК]]=3),IF(COUNTIFS($U$2:$U689,$U689,$F$2:$F689,$F689)=1,1,0),IF(COUNTIFS($U$2:$U689,$U689,$L$2:$L689,$L689)=1,1,0)))</f>
        <v>1</v>
      </c>
      <c r="AA6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689" s="106" t="s">
        <v>24</v>
      </c>
      <c r="AC689" s="51">
        <v>44151</v>
      </c>
      <c r="AD689" s="106" t="s">
        <v>13</v>
      </c>
      <c r="AE689" s="38" t="s">
        <v>305</v>
      </c>
    </row>
    <row r="690" spans="1:31" ht="18" customHeight="1" x14ac:dyDescent="0.25">
      <c r="A6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0" s="79">
        <v>3</v>
      </c>
      <c r="C690" s="23">
        <v>43312</v>
      </c>
      <c r="D690" s="67">
        <f>IF(COUNTIF($G$2:$G690,$G690)=1,1,0)</f>
        <v>0</v>
      </c>
      <c r="E690" s="67" t="str">
        <f>IFERROR(VLOOKUP(База_КР_КК[[#This Row],[ИД штатной должности (S)]],'уровень защищенности'!$B$7:$F$1095,5,0),"не защищена")</f>
        <v>высокий</v>
      </c>
      <c r="F690" s="68">
        <v>500656</v>
      </c>
      <c r="G690" s="74" t="s">
        <v>2296</v>
      </c>
      <c r="H690" s="181">
        <f>INDEX('Списки данных'!$D$2:$D$1048576,MATCH(База_КР_КК[[#This Row],[Структурное подразделение]],'Списки данных'!$C$2:$C$1048576,0))</f>
        <v>22</v>
      </c>
      <c r="I690" s="80" t="s">
        <v>135</v>
      </c>
      <c r="J690" s="80" t="s">
        <v>21</v>
      </c>
      <c r="K690" s="80" t="s">
        <v>21</v>
      </c>
      <c r="L690" s="30" t="s">
        <v>201</v>
      </c>
      <c r="M690" s="68">
        <v>4</v>
      </c>
      <c r="N690" s="181" t="str">
        <f t="shared" si="11"/>
        <v>да</v>
      </c>
      <c r="O690" s="23">
        <v>44059</v>
      </c>
      <c r="P690" s="23">
        <v>44151</v>
      </c>
      <c r="Q690" s="106" t="s">
        <v>66</v>
      </c>
      <c r="R690" s="37">
        <v>139</v>
      </c>
      <c r="S690" s="39" t="s">
        <v>551</v>
      </c>
      <c r="T690" s="37">
        <v>206</v>
      </c>
      <c r="U690" s="39" t="s">
        <v>618</v>
      </c>
      <c r="V690" s="89" t="s">
        <v>189</v>
      </c>
      <c r="W690" s="89" t="s">
        <v>135</v>
      </c>
      <c r="X690" s="106" t="s">
        <v>297</v>
      </c>
      <c r="Y690" s="107" t="s">
        <v>18</v>
      </c>
      <c r="Z690" s="67">
        <f>IF(База_КР_КК[[#This Row],[Таб.номер резервиста]]="-","-",IF(OR(База_КР_КК[[#This Row],[Уровень КК]]=2,База_КР_КК[[#This Row],[Уровень КК]]=3),IF(COUNTIFS($U$2:$U690,$U690,$F$2:$F690,$F690)=1,1,0),IF(COUNTIFS($U$2:$U690,$U690,$L$2:$L690,$L690)=1,1,0)))</f>
        <v>1</v>
      </c>
      <c r="AA6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0" s="106" t="s">
        <v>20</v>
      </c>
      <c r="AC690" s="51">
        <v>45156</v>
      </c>
      <c r="AD690" s="106" t="s">
        <v>31</v>
      </c>
      <c r="AE690" s="38" t="s">
        <v>405</v>
      </c>
    </row>
    <row r="691" spans="1:31" ht="18" customHeight="1" x14ac:dyDescent="0.25">
      <c r="A6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1" s="79">
        <v>3</v>
      </c>
      <c r="C691" s="23">
        <v>43992</v>
      </c>
      <c r="D691" s="67">
        <f>IF(COUNTIF($G$2:$G691,$G691)=1,1,0)</f>
        <v>0</v>
      </c>
      <c r="E691" s="67" t="str">
        <f>IFERROR(VLOOKUP(База_КР_КК[[#This Row],[ИД штатной должности (S)]],'уровень защищенности'!$B$7:$F$1095,5,0),"не защищена")</f>
        <v>высокий</v>
      </c>
      <c r="F691" s="68">
        <v>500656</v>
      </c>
      <c r="G691" s="74" t="s">
        <v>2296</v>
      </c>
      <c r="H691" s="181">
        <f>INDEX('Списки данных'!$D$2:$D$1048576,MATCH(База_КР_КК[[#This Row],[Структурное подразделение]],'Списки данных'!$C$2:$C$1048576,0))</f>
        <v>22</v>
      </c>
      <c r="I691" s="80" t="s">
        <v>135</v>
      </c>
      <c r="J691" s="80" t="s">
        <v>21</v>
      </c>
      <c r="K691" s="80" t="s">
        <v>21</v>
      </c>
      <c r="L691" s="30" t="s">
        <v>201</v>
      </c>
      <c r="M691" s="68">
        <v>4</v>
      </c>
      <c r="N691" s="181" t="str">
        <f t="shared" si="11"/>
        <v>да</v>
      </c>
      <c r="O691" s="23">
        <v>44059</v>
      </c>
      <c r="P691" s="23">
        <v>44151</v>
      </c>
      <c r="Q691" s="106" t="s">
        <v>66</v>
      </c>
      <c r="R691" s="37">
        <v>139</v>
      </c>
      <c r="S691" s="39" t="s">
        <v>551</v>
      </c>
      <c r="T691" s="37">
        <v>1149</v>
      </c>
      <c r="U691" s="39" t="s">
        <v>1558</v>
      </c>
      <c r="V691" s="89" t="s">
        <v>194</v>
      </c>
      <c r="W691" s="89" t="s">
        <v>132</v>
      </c>
      <c r="X691" s="106" t="s">
        <v>296</v>
      </c>
      <c r="Y691" s="107" t="s">
        <v>18</v>
      </c>
      <c r="Z691" s="67">
        <f>IF(База_КР_КК[[#This Row],[Таб.номер резервиста]]="-","-",IF(OR(База_КР_КК[[#This Row],[Уровень КК]]=2,База_КР_КК[[#This Row],[Уровень КК]]=3),IF(COUNTIFS($U$2:$U691,$U691,$F$2:$F691,$F691)=1,1,0),IF(COUNTIFS($U$2:$U691,$U691,$L$2:$L691,$L691)=1,1,0)))</f>
        <v>1</v>
      </c>
      <c r="AA6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1" s="106" t="s">
        <v>38</v>
      </c>
      <c r="AC691" s="51">
        <v>44340</v>
      </c>
      <c r="AD691" s="106" t="s">
        <v>31</v>
      </c>
      <c r="AE691" s="38" t="s">
        <v>303</v>
      </c>
    </row>
    <row r="692" spans="1:31" ht="18" customHeight="1" x14ac:dyDescent="0.25">
      <c r="A6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2" s="79">
        <v>4</v>
      </c>
      <c r="C692" s="23">
        <v>44879</v>
      </c>
      <c r="D692" s="67">
        <f>IF(COUNTIF($G$2:$G692,$G692)=1,1,0)</f>
        <v>1</v>
      </c>
      <c r="E692" s="67" t="str">
        <f>IFERROR(VLOOKUP(База_КР_КК[[#This Row],[ИД штатной должности (S)]],'уровень защищенности'!$B$7:$F$1095,5,0),"не защищена")</f>
        <v>низкий</v>
      </c>
      <c r="F692" s="68">
        <v>500667</v>
      </c>
      <c r="G692" s="74" t="s">
        <v>2297</v>
      </c>
      <c r="H692" s="181">
        <f>INDEX('Списки данных'!$D$2:$D$1048576,MATCH(База_КР_КК[[#This Row],[Структурное подразделение]],'Списки данных'!$C$2:$C$1048576,0))</f>
        <v>22</v>
      </c>
      <c r="I692" s="80" t="s">
        <v>135</v>
      </c>
      <c r="J692" s="80" t="s">
        <v>21</v>
      </c>
      <c r="K692" s="80" t="s">
        <v>21</v>
      </c>
      <c r="L692" s="30" t="s">
        <v>189</v>
      </c>
      <c r="M692" s="68">
        <v>6</v>
      </c>
      <c r="N692" s="181" t="str">
        <f t="shared" si="11"/>
        <v>да</v>
      </c>
      <c r="O692" s="23">
        <v>44641</v>
      </c>
      <c r="P692" s="23">
        <v>44743</v>
      </c>
      <c r="Q692" s="106" t="s">
        <v>66</v>
      </c>
      <c r="R692" s="37">
        <v>140</v>
      </c>
      <c r="S692" s="39" t="s">
        <v>552</v>
      </c>
      <c r="T692" s="37">
        <v>1238</v>
      </c>
      <c r="U692" s="38" t="s">
        <v>1642</v>
      </c>
      <c r="V692" s="69" t="s">
        <v>16</v>
      </c>
      <c r="W692" s="89" t="s">
        <v>135</v>
      </c>
      <c r="X692" s="106" t="s">
        <v>296</v>
      </c>
      <c r="Y692" s="107" t="s">
        <v>12</v>
      </c>
      <c r="Z692" s="67">
        <f>IF(База_КР_КК[[#This Row],[Таб.номер резервиста]]="-","-",IF(OR(База_КР_КК[[#This Row],[Уровень КК]]=2,База_КР_КК[[#This Row],[Уровень КК]]=3),IF(COUNTIFS($U$2:$U692,$U692,$F$2:$F692,$F692)=1,1,0),IF(COUNTIFS($U$2:$U692,$U692,$L$2:$L692,$L692)=1,1,0)))</f>
        <v>1</v>
      </c>
      <c r="AA6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2" s="106"/>
      <c r="AC692" s="51"/>
      <c r="AD692" s="106" t="s">
        <v>15</v>
      </c>
      <c r="AE692" s="33" t="s">
        <v>413</v>
      </c>
    </row>
    <row r="693" spans="1:31" ht="18" customHeight="1" x14ac:dyDescent="0.25">
      <c r="A6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3" s="79">
        <v>4</v>
      </c>
      <c r="C693" s="23">
        <v>43733</v>
      </c>
      <c r="D693" s="67">
        <f>IF(COUNTIF($G$2:$G693,$G693)=1,1,0)</f>
        <v>0</v>
      </c>
      <c r="E693" s="67" t="str">
        <f>IFERROR(VLOOKUP(База_КР_КК[[#This Row],[ИД штатной должности (S)]],'уровень защищенности'!$B$7:$F$1095,5,0),"не защищена")</f>
        <v>низкий</v>
      </c>
      <c r="F693" s="68">
        <v>500667</v>
      </c>
      <c r="G693" s="74" t="s">
        <v>2297</v>
      </c>
      <c r="H693" s="181">
        <f>INDEX('Списки данных'!$D$2:$D$1048576,MATCH(База_КР_КК[[#This Row],[Структурное подразделение]],'Списки данных'!$C$2:$C$1048576,0))</f>
        <v>22</v>
      </c>
      <c r="I693" s="80" t="s">
        <v>135</v>
      </c>
      <c r="J693" s="80" t="s">
        <v>21</v>
      </c>
      <c r="K693" s="80" t="s">
        <v>21</v>
      </c>
      <c r="L693" s="30" t="s">
        <v>189</v>
      </c>
      <c r="M693" s="68">
        <v>6</v>
      </c>
      <c r="N693" s="181" t="str">
        <f t="shared" si="11"/>
        <v>да</v>
      </c>
      <c r="O693" s="23">
        <v>44641</v>
      </c>
      <c r="P693" s="23">
        <v>44743</v>
      </c>
      <c r="Q693" s="106" t="s">
        <v>66</v>
      </c>
      <c r="R693" s="37">
        <v>140</v>
      </c>
      <c r="S693" s="39" t="s">
        <v>552</v>
      </c>
      <c r="T693" s="37">
        <v>140</v>
      </c>
      <c r="U693" s="39" t="s">
        <v>552</v>
      </c>
      <c r="V693" s="89" t="s">
        <v>192</v>
      </c>
      <c r="W693" s="89" t="s">
        <v>135</v>
      </c>
      <c r="X693" s="106" t="s">
        <v>295</v>
      </c>
      <c r="Y693" s="107" t="s">
        <v>14</v>
      </c>
      <c r="Z693" s="67">
        <f>IF(База_КР_КК[[#This Row],[Таб.номер резервиста]]="-","-",IF(OR(База_КР_КК[[#This Row],[Уровень КК]]=2,База_КР_КК[[#This Row],[Уровень КК]]=3),IF(COUNTIFS($U$2:$U693,$U693,$F$2:$F693,$F693)=1,1,0),IF(COUNTIFS($U$2:$U693,$U693,$L$2:$L693,$L693)=1,1,0)))</f>
        <v>1</v>
      </c>
      <c r="AA6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693" s="106" t="s">
        <v>24</v>
      </c>
      <c r="AC693" s="51">
        <v>44743</v>
      </c>
      <c r="AD693" s="106" t="s">
        <v>17</v>
      </c>
      <c r="AE693" s="38" t="s">
        <v>323</v>
      </c>
    </row>
    <row r="694" spans="1:31" ht="18" customHeight="1" x14ac:dyDescent="0.25">
      <c r="A6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4" s="79">
        <v>3</v>
      </c>
      <c r="C694" s="23">
        <v>43776</v>
      </c>
      <c r="D694" s="67">
        <f>IF(COUNTIF($G$2:$G694,$G694)=1,1,0)</f>
        <v>1</v>
      </c>
      <c r="E694" s="67" t="str">
        <f>IFERROR(VLOOKUP(База_КР_КК[[#This Row],[ИД штатной должности (S)]],'уровень защищенности'!$B$7:$F$1095,5,0),"не защищена")</f>
        <v>высокий</v>
      </c>
      <c r="F694" s="68">
        <v>500668</v>
      </c>
      <c r="G694" s="74" t="s">
        <v>2298</v>
      </c>
      <c r="H694" s="181">
        <f>INDEX('Списки данных'!$D$2:$D$1048576,MATCH(База_КР_КК[[#This Row],[Структурное подразделение]],'Списки данных'!$C$2:$C$1048576,0))</f>
        <v>22</v>
      </c>
      <c r="I694" s="80" t="s">
        <v>135</v>
      </c>
      <c r="J694" s="80" t="s">
        <v>21</v>
      </c>
      <c r="K694" s="80" t="s">
        <v>21</v>
      </c>
      <c r="L694" s="30" t="s">
        <v>189</v>
      </c>
      <c r="M694" s="68">
        <v>5</v>
      </c>
      <c r="N694" s="181" t="str">
        <f t="shared" si="11"/>
        <v>нет</v>
      </c>
      <c r="O694" s="23"/>
      <c r="P694" s="23"/>
      <c r="Q694" s="106"/>
      <c r="R694" s="37">
        <v>141</v>
      </c>
      <c r="S694" s="38" t="s">
        <v>553</v>
      </c>
      <c r="T694" s="37">
        <v>148</v>
      </c>
      <c r="U694" s="39" t="s">
        <v>560</v>
      </c>
      <c r="V694" s="89" t="s">
        <v>198</v>
      </c>
      <c r="W694" s="89" t="s">
        <v>135</v>
      </c>
      <c r="X694" s="106" t="s">
        <v>295</v>
      </c>
      <c r="Y694" s="107" t="s">
        <v>12</v>
      </c>
      <c r="Z694" s="67">
        <f>IF(База_КР_КК[[#This Row],[Таб.номер резервиста]]="-","-",IF(OR(База_КР_КК[[#This Row],[Уровень КК]]=2,База_КР_КК[[#This Row],[Уровень КК]]=3),IF(COUNTIFS($U$2:$U694,$U694,$F$2:$F694,$F694)=1,1,0),IF(COUNTIFS($U$2:$U694,$U694,$L$2:$L694,$L694)=1,1,0)))</f>
        <v>1</v>
      </c>
      <c r="AA6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4" s="106"/>
      <c r="AC694" s="51"/>
      <c r="AD694" s="106" t="s">
        <v>13</v>
      </c>
      <c r="AE694" s="38" t="s">
        <v>404</v>
      </c>
    </row>
    <row r="695" spans="1:31" ht="18" customHeight="1" x14ac:dyDescent="0.25">
      <c r="A6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5" s="79">
        <v>3</v>
      </c>
      <c r="C695" s="23">
        <v>43426</v>
      </c>
      <c r="D695" s="67">
        <f>IF(COUNTIF($G$2:$G695,$G695)=1,1,0)</f>
        <v>1</v>
      </c>
      <c r="E695" s="67" t="str">
        <f>IFERROR(VLOOKUP(База_КР_КК[[#This Row],[ИД штатной должности (S)]],'уровень защищенности'!$B$7:$F$1095,5,0),"не защищена")</f>
        <v>средний</v>
      </c>
      <c r="F695" s="68">
        <v>500658</v>
      </c>
      <c r="G695" s="74" t="s">
        <v>2299</v>
      </c>
      <c r="H695" s="181">
        <f>INDEX('Списки данных'!$D$2:$D$1048576,MATCH(База_КР_КК[[#This Row],[Структурное подразделение]],'Списки данных'!$C$2:$C$1048576,0))</f>
        <v>22</v>
      </c>
      <c r="I695" s="80" t="s">
        <v>135</v>
      </c>
      <c r="J695" s="80" t="s">
        <v>202</v>
      </c>
      <c r="K695" s="80" t="s">
        <v>21</v>
      </c>
      <c r="L695" s="30" t="s">
        <v>187</v>
      </c>
      <c r="M695" s="68">
        <v>5</v>
      </c>
      <c r="N695" s="181" t="str">
        <f t="shared" si="11"/>
        <v>нет</v>
      </c>
      <c r="O695" s="23"/>
      <c r="P695" s="23"/>
      <c r="Q695" s="106"/>
      <c r="R695" s="37">
        <v>142</v>
      </c>
      <c r="S695" s="38" t="s">
        <v>554</v>
      </c>
      <c r="T695" s="37">
        <v>1239</v>
      </c>
      <c r="U695" s="39" t="s">
        <v>1643</v>
      </c>
      <c r="V695" s="89" t="s">
        <v>189</v>
      </c>
      <c r="W695" s="89" t="s">
        <v>135</v>
      </c>
      <c r="X695" s="106" t="s">
        <v>297</v>
      </c>
      <c r="Y695" s="107" t="s">
        <v>12</v>
      </c>
      <c r="Z695" s="67">
        <f>IF(База_КР_КК[[#This Row],[Таб.номер резервиста]]="-","-",IF(OR(База_КР_КК[[#This Row],[Уровень КК]]=2,База_КР_КК[[#This Row],[Уровень КК]]=3),IF(COUNTIFS($U$2:$U695,$U695,$F$2:$F695,$F695)=1,1,0),IF(COUNTIFS($U$2:$U695,$U695,$L$2:$L695,$L695)=1,1,0)))</f>
        <v>1</v>
      </c>
      <c r="AA6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5" s="106"/>
      <c r="AC695" s="51"/>
      <c r="AD695" s="106" t="s">
        <v>13</v>
      </c>
      <c r="AE695" s="38" t="s">
        <v>404</v>
      </c>
    </row>
    <row r="696" spans="1:31" ht="18" customHeight="1" x14ac:dyDescent="0.25">
      <c r="A6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6" s="79">
        <v>4</v>
      </c>
      <c r="C696" s="23">
        <v>43733</v>
      </c>
      <c r="D696" s="67">
        <f>IF(COUNTIF($G$2:$G696,$G696)=1,1,0)</f>
        <v>1</v>
      </c>
      <c r="E696" s="67" t="str">
        <f>IFERROR(VLOOKUP(База_КР_КК[[#This Row],[ИД штатной должности (S)]],'уровень защищенности'!$B$7:$F$1095,5,0),"не защищена")</f>
        <v>высокий</v>
      </c>
      <c r="F696" s="68">
        <v>500657</v>
      </c>
      <c r="G696" s="74" t="s">
        <v>2300</v>
      </c>
      <c r="H696" s="181">
        <f>INDEX('Списки данных'!$D$2:$D$1048576,MATCH(База_КР_КК[[#This Row],[Структурное подразделение]],'Списки данных'!$C$2:$C$1048576,0))</f>
        <v>22</v>
      </c>
      <c r="I696" s="80" t="s">
        <v>135</v>
      </c>
      <c r="J696" s="80" t="s">
        <v>202</v>
      </c>
      <c r="K696" s="80" t="s">
        <v>21</v>
      </c>
      <c r="L696" s="30" t="s">
        <v>194</v>
      </c>
      <c r="M696" s="68">
        <v>6</v>
      </c>
      <c r="N696" s="181" t="str">
        <f t="shared" si="11"/>
        <v>нет</v>
      </c>
      <c r="O696" s="23"/>
      <c r="P696" s="23"/>
      <c r="Q696" s="106"/>
      <c r="R696" s="37">
        <v>143</v>
      </c>
      <c r="S696" s="38" t="s">
        <v>555</v>
      </c>
      <c r="T696" s="37">
        <v>1240</v>
      </c>
      <c r="U696" s="39" t="s">
        <v>1644</v>
      </c>
      <c r="V696" s="89" t="s">
        <v>272</v>
      </c>
      <c r="W696" s="89" t="s">
        <v>169</v>
      </c>
      <c r="X696" s="106" t="s">
        <v>296</v>
      </c>
      <c r="Y696" s="107" t="s">
        <v>18</v>
      </c>
      <c r="Z696" s="67">
        <f>IF(База_КР_КК[[#This Row],[Таб.номер резервиста]]="-","-",IF(OR(База_КР_КК[[#This Row],[Уровень КК]]=2,База_КР_КК[[#This Row],[Уровень КК]]=3),IF(COUNTIFS($U$2:$U696,$U696,$F$2:$F696,$F696)=1,1,0),IF(COUNTIFS($U$2:$U696,$U696,$L$2:$L696,$L696)=1,1,0)))</f>
        <v>1</v>
      </c>
      <c r="AA6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6" s="106" t="s">
        <v>33</v>
      </c>
      <c r="AC696" s="51">
        <v>45026</v>
      </c>
      <c r="AD696" s="106" t="s">
        <v>13</v>
      </c>
      <c r="AE696" s="38" t="s">
        <v>413</v>
      </c>
    </row>
    <row r="697" spans="1:31" ht="18" customHeight="1" x14ac:dyDescent="0.25">
      <c r="A6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7" s="79">
        <v>4</v>
      </c>
      <c r="C697" s="23">
        <v>43733</v>
      </c>
      <c r="D697" s="67">
        <f>IF(COUNTIF($G$2:$G697,$G697)=1,1,0)</f>
        <v>0</v>
      </c>
      <c r="E697" s="67" t="str">
        <f>IFERROR(VLOOKUP(База_КР_КК[[#This Row],[ИД штатной должности (S)]],'уровень защищенности'!$B$7:$F$1095,5,0),"не защищена")</f>
        <v>высокий</v>
      </c>
      <c r="F697" s="68">
        <v>500657</v>
      </c>
      <c r="G697" s="74" t="s">
        <v>2300</v>
      </c>
      <c r="H697" s="181">
        <f>INDEX('Списки данных'!$D$2:$D$1048576,MATCH(База_КР_КК[[#This Row],[Структурное подразделение]],'Списки данных'!$C$2:$C$1048576,0))</f>
        <v>22</v>
      </c>
      <c r="I697" s="80" t="s">
        <v>135</v>
      </c>
      <c r="J697" s="80" t="s">
        <v>202</v>
      </c>
      <c r="K697" s="80" t="s">
        <v>21</v>
      </c>
      <c r="L697" s="30" t="s">
        <v>194</v>
      </c>
      <c r="M697" s="68">
        <v>6</v>
      </c>
      <c r="N697" s="181" t="str">
        <f t="shared" si="11"/>
        <v>нет</v>
      </c>
      <c r="O697" s="23"/>
      <c r="P697" s="23"/>
      <c r="Q697" s="106"/>
      <c r="R697" s="37">
        <v>143</v>
      </c>
      <c r="S697" s="38" t="s">
        <v>555</v>
      </c>
      <c r="T697" s="37">
        <v>1241</v>
      </c>
      <c r="U697" s="39" t="s">
        <v>1645</v>
      </c>
      <c r="V697" s="89" t="s">
        <v>272</v>
      </c>
      <c r="W697" s="89" t="s">
        <v>135</v>
      </c>
      <c r="X697" s="106" t="s">
        <v>295</v>
      </c>
      <c r="Y697" s="107" t="s">
        <v>12</v>
      </c>
      <c r="Z697" s="67">
        <f>IF(База_КР_КК[[#This Row],[Таб.номер резервиста]]="-","-",IF(OR(База_КР_КК[[#This Row],[Уровень КК]]=2,База_КР_КК[[#This Row],[Уровень КК]]=3),IF(COUNTIFS($U$2:$U697,$U697,$F$2:$F697,$F697)=1,1,0),IF(COUNTIFS($U$2:$U697,$U697,$L$2:$L697,$L697)=1,1,0)))</f>
        <v>1</v>
      </c>
      <c r="AA6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7" s="106"/>
      <c r="AC697" s="51"/>
      <c r="AD697" s="106" t="s">
        <v>13</v>
      </c>
      <c r="AE697" s="38" t="s">
        <v>413</v>
      </c>
    </row>
    <row r="698" spans="1:31" ht="18" customHeight="1" x14ac:dyDescent="0.25">
      <c r="A6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8" s="79">
        <v>4</v>
      </c>
      <c r="C698" s="23">
        <v>44879</v>
      </c>
      <c r="D698" s="67">
        <f>IF(COUNTIF($G$2:$G698,$G698)=1,1,0)</f>
        <v>0</v>
      </c>
      <c r="E698" s="67" t="str">
        <f>IFERROR(VLOOKUP(База_КР_КК[[#This Row],[ИД штатной должности (S)]],'уровень защищенности'!$B$7:$F$1095,5,0),"не защищена")</f>
        <v>высокий</v>
      </c>
      <c r="F698" s="68">
        <v>500657</v>
      </c>
      <c r="G698" s="74" t="s">
        <v>2300</v>
      </c>
      <c r="H698" s="181">
        <f>INDEX('Списки данных'!$D$2:$D$1048576,MATCH(База_КР_КК[[#This Row],[Структурное подразделение]],'Списки данных'!$C$2:$C$1048576,0))</f>
        <v>22</v>
      </c>
      <c r="I698" s="80" t="s">
        <v>135</v>
      </c>
      <c r="J698" s="80" t="s">
        <v>202</v>
      </c>
      <c r="K698" s="80" t="s">
        <v>21</v>
      </c>
      <c r="L698" s="30" t="s">
        <v>194</v>
      </c>
      <c r="M698" s="68">
        <v>6</v>
      </c>
      <c r="N698" s="181" t="str">
        <f t="shared" si="11"/>
        <v>нет</v>
      </c>
      <c r="O698" s="23"/>
      <c r="P698" s="23"/>
      <c r="Q698" s="106"/>
      <c r="R698" s="37">
        <v>143</v>
      </c>
      <c r="S698" s="38" t="s">
        <v>555</v>
      </c>
      <c r="T698" s="37">
        <v>1242</v>
      </c>
      <c r="U698" s="38" t="s">
        <v>1646</v>
      </c>
      <c r="V698" s="69" t="s">
        <v>272</v>
      </c>
      <c r="W698" s="89" t="s">
        <v>135</v>
      </c>
      <c r="X698" s="106" t="s">
        <v>297</v>
      </c>
      <c r="Y698" s="107" t="s">
        <v>12</v>
      </c>
      <c r="Z698" s="67">
        <f>IF(База_КР_КК[[#This Row],[Таб.номер резервиста]]="-","-",IF(OR(База_КР_КК[[#This Row],[Уровень КК]]=2,База_КР_КК[[#This Row],[Уровень КК]]=3),IF(COUNTIFS($U$2:$U698,$U698,$F$2:$F698,$F698)=1,1,0),IF(COUNTIFS($U$2:$U698,$U698,$L$2:$L698,$L698)=1,1,0)))</f>
        <v>1</v>
      </c>
      <c r="AA6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8" s="106"/>
      <c r="AC698" s="51"/>
      <c r="AD698" s="106" t="s">
        <v>15</v>
      </c>
      <c r="AE698" s="33" t="s">
        <v>413</v>
      </c>
    </row>
    <row r="699" spans="1:31" ht="18" customHeight="1" x14ac:dyDescent="0.25">
      <c r="A6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699" s="79">
        <v>4</v>
      </c>
      <c r="C699" s="23">
        <v>44879</v>
      </c>
      <c r="D699" s="67">
        <f>IF(COUNTIF($G$2:$G699,$G699)=1,1,0)</f>
        <v>0</v>
      </c>
      <c r="E699" s="67" t="str">
        <f>IFERROR(VLOOKUP(База_КР_КК[[#This Row],[ИД штатной должности (S)]],'уровень защищенности'!$B$7:$F$1095,5,0),"не защищена")</f>
        <v>высокий</v>
      </c>
      <c r="F699" s="68">
        <v>500657</v>
      </c>
      <c r="G699" s="74" t="s">
        <v>2300</v>
      </c>
      <c r="H699" s="181">
        <f>INDEX('Списки данных'!$D$2:$D$1048576,MATCH(База_КР_КК[[#This Row],[Структурное подразделение]],'Списки данных'!$C$2:$C$1048576,0))</f>
        <v>22</v>
      </c>
      <c r="I699" s="80" t="s">
        <v>135</v>
      </c>
      <c r="J699" s="80" t="s">
        <v>202</v>
      </c>
      <c r="K699" s="80" t="s">
        <v>21</v>
      </c>
      <c r="L699" s="30" t="s">
        <v>194</v>
      </c>
      <c r="M699" s="68">
        <v>6</v>
      </c>
      <c r="N699" s="181" t="str">
        <f t="shared" si="11"/>
        <v>нет</v>
      </c>
      <c r="O699" s="23"/>
      <c r="P699" s="23"/>
      <c r="Q699" s="106"/>
      <c r="R699" s="37">
        <v>143</v>
      </c>
      <c r="S699" s="38" t="s">
        <v>555</v>
      </c>
      <c r="T699" s="37">
        <v>1243</v>
      </c>
      <c r="U699" s="38" t="s">
        <v>1581</v>
      </c>
      <c r="V699" s="69" t="s">
        <v>272</v>
      </c>
      <c r="W699" s="89" t="s">
        <v>135</v>
      </c>
      <c r="X699" s="106" t="s">
        <v>297</v>
      </c>
      <c r="Y699" s="107" t="s">
        <v>12</v>
      </c>
      <c r="Z699" s="67">
        <f>IF(База_КР_КК[[#This Row],[Таб.номер резервиста]]="-","-",IF(OR(База_КР_КК[[#This Row],[Уровень КК]]=2,База_КР_КК[[#This Row],[Уровень КК]]=3),IF(COUNTIFS($U$2:$U699,$U699,$F$2:$F699,$F699)=1,1,0),IF(COUNTIFS($U$2:$U699,$U699,$L$2:$L699,$L699)=1,1,0)))</f>
        <v>1</v>
      </c>
      <c r="AA6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699" s="106"/>
      <c r="AC699" s="51"/>
      <c r="AD699" s="106" t="s">
        <v>15</v>
      </c>
      <c r="AE699" s="33" t="s">
        <v>413</v>
      </c>
    </row>
    <row r="700" spans="1:31" ht="18" customHeight="1" x14ac:dyDescent="0.25">
      <c r="A7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0" s="79">
        <v>4</v>
      </c>
      <c r="C700" s="23">
        <v>43733</v>
      </c>
      <c r="D700" s="67">
        <f>IF(COUNTIF($G$2:$G700,$G700)=1,1,0)</f>
        <v>1</v>
      </c>
      <c r="E700" s="67" t="str">
        <f>IFERROR(VLOOKUP(База_КР_КК[[#This Row],[ИД штатной должности (S)]],'уровень защищенности'!$B$7:$F$1095,5,0),"не защищена")</f>
        <v>высокий</v>
      </c>
      <c r="F700" s="68">
        <v>500657</v>
      </c>
      <c r="G700" s="74" t="s">
        <v>2301</v>
      </c>
      <c r="H700" s="181">
        <f>INDEX('Списки данных'!$D$2:$D$1048576,MATCH(База_КР_КК[[#This Row],[Структурное подразделение]],'Списки данных'!$C$2:$C$1048576,0))</f>
        <v>22</v>
      </c>
      <c r="I700" s="80" t="s">
        <v>135</v>
      </c>
      <c r="J700" s="80" t="s">
        <v>202</v>
      </c>
      <c r="K700" s="80" t="s">
        <v>21</v>
      </c>
      <c r="L700" s="30" t="s">
        <v>194</v>
      </c>
      <c r="M700" s="68">
        <v>6</v>
      </c>
      <c r="N700" s="181" t="str">
        <f t="shared" si="11"/>
        <v>нет</v>
      </c>
      <c r="O700" s="23"/>
      <c r="P700" s="23"/>
      <c r="Q700" s="106"/>
      <c r="R700" s="37">
        <v>144</v>
      </c>
      <c r="S700" s="38" t="s">
        <v>556</v>
      </c>
      <c r="T700" s="37">
        <v>1240</v>
      </c>
      <c r="U700" s="39" t="s">
        <v>1644</v>
      </c>
      <c r="V700" s="89" t="s">
        <v>272</v>
      </c>
      <c r="W700" s="89" t="s">
        <v>169</v>
      </c>
      <c r="X700" s="106" t="s">
        <v>296</v>
      </c>
      <c r="Y700" s="107" t="s">
        <v>18</v>
      </c>
      <c r="Z700" s="67">
        <f>IF(База_КР_КК[[#This Row],[Таб.номер резервиста]]="-","-",IF(OR(База_КР_КК[[#This Row],[Уровень КК]]=2,База_КР_КК[[#This Row],[Уровень КК]]=3),IF(COUNTIFS($U$2:$U700,$U700,$F$2:$F700,$F700)=1,1,0),IF(COUNTIFS($U$2:$U700,$U700,$L$2:$L700,$L700)=1,1,0)))</f>
        <v>0</v>
      </c>
      <c r="AA7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0" s="106" t="s">
        <v>33</v>
      </c>
      <c r="AC700" s="51">
        <v>45026</v>
      </c>
      <c r="AD700" s="106" t="s">
        <v>13</v>
      </c>
      <c r="AE700" s="38" t="s">
        <v>413</v>
      </c>
    </row>
    <row r="701" spans="1:31" ht="18" customHeight="1" x14ac:dyDescent="0.25">
      <c r="A7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1" s="79">
        <v>4</v>
      </c>
      <c r="C701" s="23">
        <v>43733</v>
      </c>
      <c r="D701" s="67">
        <f>IF(COUNTIF($G$2:$G701,$G701)=1,1,0)</f>
        <v>0</v>
      </c>
      <c r="E701" s="67" t="str">
        <f>IFERROR(VLOOKUP(База_КР_КК[[#This Row],[ИД штатной должности (S)]],'уровень защищенности'!$B$7:$F$1095,5,0),"не защищена")</f>
        <v>высокий</v>
      </c>
      <c r="F701" s="68">
        <v>500657</v>
      </c>
      <c r="G701" s="74" t="s">
        <v>2301</v>
      </c>
      <c r="H701" s="181">
        <f>INDEX('Списки данных'!$D$2:$D$1048576,MATCH(База_КР_КК[[#This Row],[Структурное подразделение]],'Списки данных'!$C$2:$C$1048576,0))</f>
        <v>22</v>
      </c>
      <c r="I701" s="80" t="s">
        <v>135</v>
      </c>
      <c r="J701" s="80" t="s">
        <v>202</v>
      </c>
      <c r="K701" s="80" t="s">
        <v>21</v>
      </c>
      <c r="L701" s="30" t="s">
        <v>194</v>
      </c>
      <c r="M701" s="68">
        <v>6</v>
      </c>
      <c r="N701" s="181" t="str">
        <f t="shared" si="11"/>
        <v>нет</v>
      </c>
      <c r="O701" s="23"/>
      <c r="P701" s="23"/>
      <c r="Q701" s="106"/>
      <c r="R701" s="37">
        <v>144</v>
      </c>
      <c r="S701" s="38" t="s">
        <v>556</v>
      </c>
      <c r="T701" s="37">
        <v>1241</v>
      </c>
      <c r="U701" s="39" t="s">
        <v>1645</v>
      </c>
      <c r="V701" s="89" t="s">
        <v>272</v>
      </c>
      <c r="W701" s="89" t="s">
        <v>135</v>
      </c>
      <c r="X701" s="106" t="s">
        <v>295</v>
      </c>
      <c r="Y701" s="107" t="s">
        <v>12</v>
      </c>
      <c r="Z701" s="67">
        <f>IF(База_КР_КК[[#This Row],[Таб.номер резервиста]]="-","-",IF(OR(База_КР_КК[[#This Row],[Уровень КК]]=2,База_КР_КК[[#This Row],[Уровень КК]]=3),IF(COUNTIFS($U$2:$U701,$U701,$F$2:$F701,$F701)=1,1,0),IF(COUNTIFS($U$2:$U701,$U701,$L$2:$L701,$L701)=1,1,0)))</f>
        <v>0</v>
      </c>
      <c r="AA7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1" s="106"/>
      <c r="AC701" s="51"/>
      <c r="AD701" s="106" t="s">
        <v>13</v>
      </c>
      <c r="AE701" s="38" t="s">
        <v>413</v>
      </c>
    </row>
    <row r="702" spans="1:31" ht="18" customHeight="1" x14ac:dyDescent="0.25">
      <c r="A7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2" s="79">
        <v>4</v>
      </c>
      <c r="C702" s="23">
        <v>44879</v>
      </c>
      <c r="D702" s="67">
        <f>IF(COUNTIF($G$2:$G702,$G702)=1,1,0)</f>
        <v>0</v>
      </c>
      <c r="E702" s="67" t="str">
        <f>IFERROR(VLOOKUP(База_КР_КК[[#This Row],[ИД штатной должности (S)]],'уровень защищенности'!$B$7:$F$1095,5,0),"не защищена")</f>
        <v>высокий</v>
      </c>
      <c r="F702" s="68">
        <v>500657</v>
      </c>
      <c r="G702" s="74" t="s">
        <v>2301</v>
      </c>
      <c r="H702" s="181">
        <f>INDEX('Списки данных'!$D$2:$D$1048576,MATCH(База_КР_КК[[#This Row],[Структурное подразделение]],'Списки данных'!$C$2:$C$1048576,0))</f>
        <v>22</v>
      </c>
      <c r="I702" s="80" t="s">
        <v>135</v>
      </c>
      <c r="J702" s="80" t="s">
        <v>202</v>
      </c>
      <c r="K702" s="80" t="s">
        <v>21</v>
      </c>
      <c r="L702" s="30" t="s">
        <v>194</v>
      </c>
      <c r="M702" s="68">
        <v>6</v>
      </c>
      <c r="N702" s="181" t="str">
        <f t="shared" si="11"/>
        <v>нет</v>
      </c>
      <c r="O702" s="23"/>
      <c r="P702" s="23"/>
      <c r="Q702" s="106"/>
      <c r="R702" s="37">
        <v>144</v>
      </c>
      <c r="S702" s="38" t="s">
        <v>556</v>
      </c>
      <c r="T702" s="37">
        <v>1242</v>
      </c>
      <c r="U702" s="38" t="s">
        <v>1646</v>
      </c>
      <c r="V702" s="69" t="s">
        <v>272</v>
      </c>
      <c r="W702" s="89" t="s">
        <v>135</v>
      </c>
      <c r="X702" s="106" t="s">
        <v>297</v>
      </c>
      <c r="Y702" s="107" t="s">
        <v>12</v>
      </c>
      <c r="Z702" s="67">
        <f>IF(База_КР_КК[[#This Row],[Таб.номер резервиста]]="-","-",IF(OR(База_КР_КК[[#This Row],[Уровень КК]]=2,База_КР_КК[[#This Row],[Уровень КК]]=3),IF(COUNTIFS($U$2:$U702,$U702,$F$2:$F702,$F702)=1,1,0),IF(COUNTIFS($U$2:$U702,$U702,$L$2:$L702,$L702)=1,1,0)))</f>
        <v>0</v>
      </c>
      <c r="AA7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2" s="106"/>
      <c r="AC702" s="51"/>
      <c r="AD702" s="106" t="s">
        <v>15</v>
      </c>
      <c r="AE702" s="33" t="s">
        <v>413</v>
      </c>
    </row>
    <row r="703" spans="1:31" ht="18" customHeight="1" x14ac:dyDescent="0.25">
      <c r="A7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3" s="79">
        <v>4</v>
      </c>
      <c r="C703" s="23">
        <v>44879</v>
      </c>
      <c r="D703" s="67">
        <f>IF(COUNTIF($G$2:$G703,$G703)=1,1,0)</f>
        <v>0</v>
      </c>
      <c r="E703" s="67" t="str">
        <f>IFERROR(VLOOKUP(База_КР_КК[[#This Row],[ИД штатной должности (S)]],'уровень защищенности'!$B$7:$F$1095,5,0),"не защищена")</f>
        <v>высокий</v>
      </c>
      <c r="F703" s="68">
        <v>500657</v>
      </c>
      <c r="G703" s="74" t="s">
        <v>2301</v>
      </c>
      <c r="H703" s="181">
        <f>INDEX('Списки данных'!$D$2:$D$1048576,MATCH(База_КР_КК[[#This Row],[Структурное подразделение]],'Списки данных'!$C$2:$C$1048576,0))</f>
        <v>22</v>
      </c>
      <c r="I703" s="80" t="s">
        <v>135</v>
      </c>
      <c r="J703" s="80" t="s">
        <v>202</v>
      </c>
      <c r="K703" s="80" t="s">
        <v>21</v>
      </c>
      <c r="L703" s="30" t="s">
        <v>194</v>
      </c>
      <c r="M703" s="68">
        <v>6</v>
      </c>
      <c r="N703" s="181" t="str">
        <f t="shared" si="11"/>
        <v>нет</v>
      </c>
      <c r="O703" s="23"/>
      <c r="P703" s="23"/>
      <c r="Q703" s="106"/>
      <c r="R703" s="37">
        <v>144</v>
      </c>
      <c r="S703" s="38" t="s">
        <v>556</v>
      </c>
      <c r="T703" s="37">
        <v>1243</v>
      </c>
      <c r="U703" s="38" t="s">
        <v>1581</v>
      </c>
      <c r="V703" s="69" t="s">
        <v>272</v>
      </c>
      <c r="W703" s="89" t="s">
        <v>135</v>
      </c>
      <c r="X703" s="106" t="s">
        <v>297</v>
      </c>
      <c r="Y703" s="107" t="s">
        <v>12</v>
      </c>
      <c r="Z703" s="67">
        <f>IF(База_КР_КК[[#This Row],[Таб.номер резервиста]]="-","-",IF(OR(База_КР_КК[[#This Row],[Уровень КК]]=2,База_КР_КК[[#This Row],[Уровень КК]]=3),IF(COUNTIFS($U$2:$U703,$U703,$F$2:$F703,$F703)=1,1,0),IF(COUNTIFS($U$2:$U703,$U703,$L$2:$L703,$L703)=1,1,0)))</f>
        <v>0</v>
      </c>
      <c r="AA7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3" s="106"/>
      <c r="AC703" s="51"/>
      <c r="AD703" s="106" t="s">
        <v>15</v>
      </c>
      <c r="AE703" s="33" t="s">
        <v>413</v>
      </c>
    </row>
    <row r="704" spans="1:31" ht="18" customHeight="1" x14ac:dyDescent="0.25">
      <c r="A7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4" s="79">
        <v>4</v>
      </c>
      <c r="C704" s="23">
        <v>43733</v>
      </c>
      <c r="D704" s="67">
        <f>IF(COUNTIF($G$2:$G704,$G704)=1,1,0)</f>
        <v>1</v>
      </c>
      <c r="E704" s="67" t="str">
        <f>IFERROR(VLOOKUP(База_КР_КК[[#This Row],[ИД штатной должности (S)]],'уровень защищенности'!$B$7:$F$1095,5,0),"не защищена")</f>
        <v>высокий</v>
      </c>
      <c r="F704" s="68">
        <v>500657</v>
      </c>
      <c r="G704" s="74" t="s">
        <v>2302</v>
      </c>
      <c r="H704" s="181">
        <f>INDEX('Списки данных'!$D$2:$D$1048576,MATCH(База_КР_КК[[#This Row],[Структурное подразделение]],'Списки данных'!$C$2:$C$1048576,0))</f>
        <v>22</v>
      </c>
      <c r="I704" s="80" t="s">
        <v>135</v>
      </c>
      <c r="J704" s="80" t="s">
        <v>202</v>
      </c>
      <c r="K704" s="80" t="s">
        <v>21</v>
      </c>
      <c r="L704" s="30" t="s">
        <v>194</v>
      </c>
      <c r="M704" s="68">
        <v>6</v>
      </c>
      <c r="N704" s="181" t="str">
        <f t="shared" si="11"/>
        <v>нет</v>
      </c>
      <c r="O704" s="23"/>
      <c r="P704" s="23"/>
      <c r="Q704" s="106"/>
      <c r="R704" s="37">
        <v>145</v>
      </c>
      <c r="S704" s="38" t="s">
        <v>557</v>
      </c>
      <c r="T704" s="37">
        <v>1240</v>
      </c>
      <c r="U704" s="39" t="s">
        <v>1644</v>
      </c>
      <c r="V704" s="89" t="s">
        <v>272</v>
      </c>
      <c r="W704" s="89" t="s">
        <v>169</v>
      </c>
      <c r="X704" s="106" t="s">
        <v>296</v>
      </c>
      <c r="Y704" s="107" t="s">
        <v>18</v>
      </c>
      <c r="Z704" s="67">
        <f>IF(База_КР_КК[[#This Row],[Таб.номер резервиста]]="-","-",IF(OR(База_КР_КК[[#This Row],[Уровень КК]]=2,База_КР_КК[[#This Row],[Уровень КК]]=3),IF(COUNTIFS($U$2:$U704,$U704,$F$2:$F704,$F704)=1,1,0),IF(COUNTIFS($U$2:$U704,$U704,$L$2:$L704,$L704)=1,1,0)))</f>
        <v>0</v>
      </c>
      <c r="AA7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4" s="106" t="s">
        <v>33</v>
      </c>
      <c r="AC704" s="51">
        <v>45026</v>
      </c>
      <c r="AD704" s="106" t="s">
        <v>13</v>
      </c>
      <c r="AE704" s="38" t="s">
        <v>413</v>
      </c>
    </row>
    <row r="705" spans="1:31" ht="18" customHeight="1" x14ac:dyDescent="0.25">
      <c r="A7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5" s="79">
        <v>4</v>
      </c>
      <c r="C705" s="23">
        <v>43733</v>
      </c>
      <c r="D705" s="67">
        <f>IF(COUNTIF($G$2:$G705,$G705)=1,1,0)</f>
        <v>0</v>
      </c>
      <c r="E705" s="67" t="str">
        <f>IFERROR(VLOOKUP(База_КР_КК[[#This Row],[ИД штатной должности (S)]],'уровень защищенности'!$B$7:$F$1095,5,0),"не защищена")</f>
        <v>высокий</v>
      </c>
      <c r="F705" s="68">
        <v>500657</v>
      </c>
      <c r="G705" s="74" t="s">
        <v>2302</v>
      </c>
      <c r="H705" s="181">
        <f>INDEX('Списки данных'!$D$2:$D$1048576,MATCH(База_КР_КК[[#This Row],[Структурное подразделение]],'Списки данных'!$C$2:$C$1048576,0))</f>
        <v>22</v>
      </c>
      <c r="I705" s="80" t="s">
        <v>135</v>
      </c>
      <c r="J705" s="80" t="s">
        <v>202</v>
      </c>
      <c r="K705" s="80" t="s">
        <v>21</v>
      </c>
      <c r="L705" s="30" t="s">
        <v>194</v>
      </c>
      <c r="M705" s="68">
        <v>6</v>
      </c>
      <c r="N705" s="181" t="str">
        <f t="shared" ref="N705:N768" si="12">IF(ISBLANK(O705),"нет","да")</f>
        <v>нет</v>
      </c>
      <c r="O705" s="23"/>
      <c r="P705" s="23"/>
      <c r="Q705" s="106"/>
      <c r="R705" s="37">
        <v>145</v>
      </c>
      <c r="S705" s="38" t="s">
        <v>557</v>
      </c>
      <c r="T705" s="37">
        <v>1241</v>
      </c>
      <c r="U705" s="39" t="s">
        <v>1645</v>
      </c>
      <c r="V705" s="89" t="s">
        <v>272</v>
      </c>
      <c r="W705" s="89" t="s">
        <v>135</v>
      </c>
      <c r="X705" s="106" t="s">
        <v>295</v>
      </c>
      <c r="Y705" s="107" t="s">
        <v>12</v>
      </c>
      <c r="Z705" s="67">
        <f>IF(База_КР_КК[[#This Row],[Таб.номер резервиста]]="-","-",IF(OR(База_КР_КК[[#This Row],[Уровень КК]]=2,База_КР_КК[[#This Row],[Уровень КК]]=3),IF(COUNTIFS($U$2:$U705,$U705,$F$2:$F705,$F705)=1,1,0),IF(COUNTIFS($U$2:$U705,$U705,$L$2:$L705,$L705)=1,1,0)))</f>
        <v>0</v>
      </c>
      <c r="AA7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5" s="106"/>
      <c r="AC705" s="51"/>
      <c r="AD705" s="106" t="s">
        <v>13</v>
      </c>
      <c r="AE705" s="38" t="s">
        <v>413</v>
      </c>
    </row>
    <row r="706" spans="1:31" ht="18" customHeight="1" x14ac:dyDescent="0.25">
      <c r="A7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6" s="79">
        <v>4</v>
      </c>
      <c r="C706" s="23">
        <v>44879</v>
      </c>
      <c r="D706" s="67">
        <f>IF(COUNTIF($G$2:$G706,$G706)=1,1,0)</f>
        <v>0</v>
      </c>
      <c r="E706" s="67" t="str">
        <f>IFERROR(VLOOKUP(База_КР_КК[[#This Row],[ИД штатной должности (S)]],'уровень защищенности'!$B$7:$F$1095,5,0),"не защищена")</f>
        <v>высокий</v>
      </c>
      <c r="F706" s="68">
        <v>500657</v>
      </c>
      <c r="G706" s="74" t="s">
        <v>2302</v>
      </c>
      <c r="H706" s="181">
        <f>INDEX('Списки данных'!$D$2:$D$1048576,MATCH(База_КР_КК[[#This Row],[Структурное подразделение]],'Списки данных'!$C$2:$C$1048576,0))</f>
        <v>22</v>
      </c>
      <c r="I706" s="80" t="s">
        <v>135</v>
      </c>
      <c r="J706" s="80" t="s">
        <v>202</v>
      </c>
      <c r="K706" s="80" t="s">
        <v>21</v>
      </c>
      <c r="L706" s="30" t="s">
        <v>194</v>
      </c>
      <c r="M706" s="68">
        <v>6</v>
      </c>
      <c r="N706" s="181" t="str">
        <f t="shared" si="12"/>
        <v>нет</v>
      </c>
      <c r="O706" s="23"/>
      <c r="P706" s="23"/>
      <c r="Q706" s="106"/>
      <c r="R706" s="37">
        <v>145</v>
      </c>
      <c r="S706" s="38" t="s">
        <v>557</v>
      </c>
      <c r="T706" s="37">
        <v>1242</v>
      </c>
      <c r="U706" s="38" t="s">
        <v>1646</v>
      </c>
      <c r="V706" s="69" t="s">
        <v>272</v>
      </c>
      <c r="W706" s="89" t="s">
        <v>135</v>
      </c>
      <c r="X706" s="106" t="s">
        <v>297</v>
      </c>
      <c r="Y706" s="107" t="s">
        <v>12</v>
      </c>
      <c r="Z706" s="67">
        <f>IF(База_КР_КК[[#This Row],[Таб.номер резервиста]]="-","-",IF(OR(База_КР_КК[[#This Row],[Уровень КК]]=2,База_КР_КК[[#This Row],[Уровень КК]]=3),IF(COUNTIFS($U$2:$U706,$U706,$F$2:$F706,$F706)=1,1,0),IF(COUNTIFS($U$2:$U706,$U706,$L$2:$L706,$L706)=1,1,0)))</f>
        <v>0</v>
      </c>
      <c r="AA7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6" s="106"/>
      <c r="AC706" s="51"/>
      <c r="AD706" s="106" t="s">
        <v>15</v>
      </c>
      <c r="AE706" s="33" t="s">
        <v>413</v>
      </c>
    </row>
    <row r="707" spans="1:31" ht="18" customHeight="1" x14ac:dyDescent="0.25">
      <c r="A7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7" s="79">
        <v>4</v>
      </c>
      <c r="C707" s="23">
        <v>44879</v>
      </c>
      <c r="D707" s="67">
        <f>IF(COUNTIF($G$2:$G707,$G707)=1,1,0)</f>
        <v>0</v>
      </c>
      <c r="E707" s="67" t="str">
        <f>IFERROR(VLOOKUP(База_КР_КК[[#This Row],[ИД штатной должности (S)]],'уровень защищенности'!$B$7:$F$1095,5,0),"не защищена")</f>
        <v>высокий</v>
      </c>
      <c r="F707" s="68">
        <v>500657</v>
      </c>
      <c r="G707" s="74" t="s">
        <v>2302</v>
      </c>
      <c r="H707" s="181">
        <f>INDEX('Списки данных'!$D$2:$D$1048576,MATCH(База_КР_КК[[#This Row],[Структурное подразделение]],'Списки данных'!$C$2:$C$1048576,0))</f>
        <v>22</v>
      </c>
      <c r="I707" s="80" t="s">
        <v>135</v>
      </c>
      <c r="J707" s="80" t="s">
        <v>202</v>
      </c>
      <c r="K707" s="80" t="s">
        <v>21</v>
      </c>
      <c r="L707" s="30" t="s">
        <v>194</v>
      </c>
      <c r="M707" s="68">
        <v>6</v>
      </c>
      <c r="N707" s="181" t="str">
        <f t="shared" si="12"/>
        <v>нет</v>
      </c>
      <c r="O707" s="23"/>
      <c r="P707" s="23"/>
      <c r="Q707" s="106"/>
      <c r="R707" s="37">
        <v>145</v>
      </c>
      <c r="S707" s="38" t="s">
        <v>557</v>
      </c>
      <c r="T707" s="37">
        <v>1243</v>
      </c>
      <c r="U707" s="38" t="s">
        <v>1581</v>
      </c>
      <c r="V707" s="69" t="s">
        <v>272</v>
      </c>
      <c r="W707" s="89" t="s">
        <v>135</v>
      </c>
      <c r="X707" s="106" t="s">
        <v>297</v>
      </c>
      <c r="Y707" s="107" t="s">
        <v>12</v>
      </c>
      <c r="Z707" s="67">
        <f>IF(База_КР_КК[[#This Row],[Таб.номер резервиста]]="-","-",IF(OR(База_КР_КК[[#This Row],[Уровень КК]]=2,База_КР_КК[[#This Row],[Уровень КК]]=3),IF(COUNTIFS($U$2:$U707,$U707,$F$2:$F707,$F707)=1,1,0),IF(COUNTIFS($U$2:$U707,$U707,$L$2:$L707,$L707)=1,1,0)))</f>
        <v>0</v>
      </c>
      <c r="AA7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7" s="106"/>
      <c r="AC707" s="51"/>
      <c r="AD707" s="106" t="s">
        <v>15</v>
      </c>
      <c r="AE707" s="33" t="s">
        <v>413</v>
      </c>
    </row>
    <row r="708" spans="1:31" ht="18" customHeight="1" x14ac:dyDescent="0.25">
      <c r="A7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8" s="79">
        <v>4</v>
      </c>
      <c r="C708" s="23">
        <v>43733</v>
      </c>
      <c r="D708" s="67">
        <f>IF(COUNTIF($G$2:$G708,$G708)=1,1,0)</f>
        <v>1</v>
      </c>
      <c r="E708" s="67" t="str">
        <f>IFERROR(VLOOKUP(База_КР_КК[[#This Row],[ИД штатной должности (S)]],'уровень защищенности'!$B$7:$F$1095,5,0),"не защищена")</f>
        <v>высокий</v>
      </c>
      <c r="F708" s="68">
        <v>500657</v>
      </c>
      <c r="G708" s="74" t="s">
        <v>2303</v>
      </c>
      <c r="H708" s="181">
        <f>INDEX('Списки данных'!$D$2:$D$1048576,MATCH(База_КР_КК[[#This Row],[Структурное подразделение]],'Списки данных'!$C$2:$C$1048576,0))</f>
        <v>22</v>
      </c>
      <c r="I708" s="80" t="s">
        <v>135</v>
      </c>
      <c r="J708" s="80" t="s">
        <v>202</v>
      </c>
      <c r="K708" s="80" t="s">
        <v>21</v>
      </c>
      <c r="L708" s="30" t="s">
        <v>194</v>
      </c>
      <c r="M708" s="68">
        <v>6</v>
      </c>
      <c r="N708" s="181" t="str">
        <f t="shared" si="12"/>
        <v>нет</v>
      </c>
      <c r="O708" s="23"/>
      <c r="P708" s="23"/>
      <c r="Q708" s="106"/>
      <c r="R708" s="37">
        <v>146</v>
      </c>
      <c r="S708" s="38" t="s">
        <v>558</v>
      </c>
      <c r="T708" s="37">
        <v>1240</v>
      </c>
      <c r="U708" s="39" t="s">
        <v>1644</v>
      </c>
      <c r="V708" s="89" t="s">
        <v>272</v>
      </c>
      <c r="W708" s="89" t="s">
        <v>169</v>
      </c>
      <c r="X708" s="106" t="s">
        <v>296</v>
      </c>
      <c r="Y708" s="107" t="s">
        <v>18</v>
      </c>
      <c r="Z708" s="67">
        <f>IF(База_КР_КК[[#This Row],[Таб.номер резервиста]]="-","-",IF(OR(База_КР_КК[[#This Row],[Уровень КК]]=2,База_КР_КК[[#This Row],[Уровень КК]]=3),IF(COUNTIFS($U$2:$U708,$U708,$F$2:$F708,$F708)=1,1,0),IF(COUNTIFS($U$2:$U708,$U708,$L$2:$L708,$L708)=1,1,0)))</f>
        <v>0</v>
      </c>
      <c r="AA7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8" s="106" t="s">
        <v>33</v>
      </c>
      <c r="AC708" s="51">
        <v>45026</v>
      </c>
      <c r="AD708" s="106" t="s">
        <v>13</v>
      </c>
      <c r="AE708" s="38" t="s">
        <v>413</v>
      </c>
    </row>
    <row r="709" spans="1:31" ht="18" customHeight="1" x14ac:dyDescent="0.25">
      <c r="A7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09" s="79">
        <v>4</v>
      </c>
      <c r="C709" s="23">
        <v>43733</v>
      </c>
      <c r="D709" s="67">
        <f>IF(COUNTIF($G$2:$G709,$G709)=1,1,0)</f>
        <v>0</v>
      </c>
      <c r="E709" s="67" t="str">
        <f>IFERROR(VLOOKUP(База_КР_КК[[#This Row],[ИД штатной должности (S)]],'уровень защищенности'!$B$7:$F$1095,5,0),"не защищена")</f>
        <v>высокий</v>
      </c>
      <c r="F709" s="68">
        <v>500657</v>
      </c>
      <c r="G709" s="74" t="s">
        <v>2303</v>
      </c>
      <c r="H709" s="181">
        <f>INDEX('Списки данных'!$D$2:$D$1048576,MATCH(База_КР_КК[[#This Row],[Структурное подразделение]],'Списки данных'!$C$2:$C$1048576,0))</f>
        <v>22</v>
      </c>
      <c r="I709" s="80" t="s">
        <v>135</v>
      </c>
      <c r="J709" s="80" t="s">
        <v>202</v>
      </c>
      <c r="K709" s="80" t="s">
        <v>21</v>
      </c>
      <c r="L709" s="30" t="s">
        <v>194</v>
      </c>
      <c r="M709" s="68">
        <v>6</v>
      </c>
      <c r="N709" s="181" t="str">
        <f t="shared" si="12"/>
        <v>нет</v>
      </c>
      <c r="O709" s="23"/>
      <c r="P709" s="23"/>
      <c r="Q709" s="106"/>
      <c r="R709" s="37">
        <v>146</v>
      </c>
      <c r="S709" s="38" t="s">
        <v>558</v>
      </c>
      <c r="T709" s="37">
        <v>1241</v>
      </c>
      <c r="U709" s="39" t="s">
        <v>1645</v>
      </c>
      <c r="V709" s="89" t="s">
        <v>272</v>
      </c>
      <c r="W709" s="89" t="s">
        <v>135</v>
      </c>
      <c r="X709" s="106" t="s">
        <v>295</v>
      </c>
      <c r="Y709" s="107" t="s">
        <v>12</v>
      </c>
      <c r="Z709" s="67">
        <f>IF(База_КР_КК[[#This Row],[Таб.номер резервиста]]="-","-",IF(OR(База_КР_КК[[#This Row],[Уровень КК]]=2,База_КР_КК[[#This Row],[Уровень КК]]=3),IF(COUNTIFS($U$2:$U709,$U709,$F$2:$F709,$F709)=1,1,0),IF(COUNTIFS($U$2:$U709,$U709,$L$2:$L709,$L709)=1,1,0)))</f>
        <v>0</v>
      </c>
      <c r="AA7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09" s="106"/>
      <c r="AC709" s="51"/>
      <c r="AD709" s="106" t="s">
        <v>13</v>
      </c>
      <c r="AE709" s="38" t="s">
        <v>413</v>
      </c>
    </row>
    <row r="710" spans="1:31" ht="18" customHeight="1" x14ac:dyDescent="0.25">
      <c r="A7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0" s="79">
        <v>4</v>
      </c>
      <c r="C710" s="23">
        <v>44879</v>
      </c>
      <c r="D710" s="67">
        <f>IF(COUNTIF($G$2:$G710,$G710)=1,1,0)</f>
        <v>0</v>
      </c>
      <c r="E710" s="67" t="str">
        <f>IFERROR(VLOOKUP(База_КР_КК[[#This Row],[ИД штатной должности (S)]],'уровень защищенности'!$B$7:$F$1095,5,0),"не защищена")</f>
        <v>высокий</v>
      </c>
      <c r="F710" s="68">
        <v>500657</v>
      </c>
      <c r="G710" s="74" t="s">
        <v>2303</v>
      </c>
      <c r="H710" s="181">
        <f>INDEX('Списки данных'!$D$2:$D$1048576,MATCH(База_КР_КК[[#This Row],[Структурное подразделение]],'Списки данных'!$C$2:$C$1048576,0))</f>
        <v>22</v>
      </c>
      <c r="I710" s="80" t="s">
        <v>135</v>
      </c>
      <c r="J710" s="80" t="s">
        <v>202</v>
      </c>
      <c r="K710" s="80" t="s">
        <v>21</v>
      </c>
      <c r="L710" s="30" t="s">
        <v>194</v>
      </c>
      <c r="M710" s="68">
        <v>6</v>
      </c>
      <c r="N710" s="181" t="str">
        <f t="shared" si="12"/>
        <v>нет</v>
      </c>
      <c r="O710" s="23"/>
      <c r="P710" s="23"/>
      <c r="Q710" s="106"/>
      <c r="R710" s="37">
        <v>146</v>
      </c>
      <c r="S710" s="38" t="s">
        <v>558</v>
      </c>
      <c r="T710" s="37">
        <v>1242</v>
      </c>
      <c r="U710" s="38" t="s">
        <v>1646</v>
      </c>
      <c r="V710" s="69" t="s">
        <v>272</v>
      </c>
      <c r="W710" s="89" t="s">
        <v>135</v>
      </c>
      <c r="X710" s="106" t="s">
        <v>297</v>
      </c>
      <c r="Y710" s="107" t="s">
        <v>12</v>
      </c>
      <c r="Z710" s="67">
        <f>IF(База_КР_КК[[#This Row],[Таб.номер резервиста]]="-","-",IF(OR(База_КР_КК[[#This Row],[Уровень КК]]=2,База_КР_КК[[#This Row],[Уровень КК]]=3),IF(COUNTIFS($U$2:$U710,$U710,$F$2:$F710,$F710)=1,1,0),IF(COUNTIFS($U$2:$U710,$U710,$L$2:$L710,$L710)=1,1,0)))</f>
        <v>0</v>
      </c>
      <c r="AA7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0" s="106"/>
      <c r="AC710" s="51"/>
      <c r="AD710" s="106" t="s">
        <v>15</v>
      </c>
      <c r="AE710" s="33" t="s">
        <v>413</v>
      </c>
    </row>
    <row r="711" spans="1:31" ht="18" customHeight="1" x14ac:dyDescent="0.25">
      <c r="A7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1" s="79">
        <v>4</v>
      </c>
      <c r="C711" s="23">
        <v>44879</v>
      </c>
      <c r="D711" s="67">
        <f>IF(COUNTIF($G$2:$G711,$G711)=1,1,0)</f>
        <v>0</v>
      </c>
      <c r="E711" s="67" t="str">
        <f>IFERROR(VLOOKUP(База_КР_КК[[#This Row],[ИД штатной должности (S)]],'уровень защищенности'!$B$7:$F$1095,5,0),"не защищена")</f>
        <v>высокий</v>
      </c>
      <c r="F711" s="68">
        <v>500657</v>
      </c>
      <c r="G711" s="74" t="s">
        <v>2303</v>
      </c>
      <c r="H711" s="181">
        <f>INDEX('Списки данных'!$D$2:$D$1048576,MATCH(База_КР_КК[[#This Row],[Структурное подразделение]],'Списки данных'!$C$2:$C$1048576,0))</f>
        <v>22</v>
      </c>
      <c r="I711" s="80" t="s">
        <v>135</v>
      </c>
      <c r="J711" s="80" t="s">
        <v>202</v>
      </c>
      <c r="K711" s="80" t="s">
        <v>21</v>
      </c>
      <c r="L711" s="30" t="s">
        <v>194</v>
      </c>
      <c r="M711" s="68">
        <v>6</v>
      </c>
      <c r="N711" s="181" t="str">
        <f t="shared" si="12"/>
        <v>нет</v>
      </c>
      <c r="O711" s="23"/>
      <c r="P711" s="23"/>
      <c r="Q711" s="106"/>
      <c r="R711" s="37">
        <v>146</v>
      </c>
      <c r="S711" s="38" t="s">
        <v>558</v>
      </c>
      <c r="T711" s="37">
        <v>1243</v>
      </c>
      <c r="U711" s="38" t="s">
        <v>1581</v>
      </c>
      <c r="V711" s="69" t="s">
        <v>272</v>
      </c>
      <c r="W711" s="89" t="s">
        <v>135</v>
      </c>
      <c r="X711" s="106" t="s">
        <v>297</v>
      </c>
      <c r="Y711" s="107" t="s">
        <v>12</v>
      </c>
      <c r="Z711" s="67">
        <f>IF(База_КР_КК[[#This Row],[Таб.номер резервиста]]="-","-",IF(OR(База_КР_КК[[#This Row],[Уровень КК]]=2,База_КР_КК[[#This Row],[Уровень КК]]=3),IF(COUNTIFS($U$2:$U711,$U711,$F$2:$F711,$F711)=1,1,0),IF(COUNTIFS($U$2:$U711,$U711,$L$2:$L711,$L711)=1,1,0)))</f>
        <v>0</v>
      </c>
      <c r="AA7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1" s="106"/>
      <c r="AC711" s="51"/>
      <c r="AD711" s="106" t="s">
        <v>15</v>
      </c>
      <c r="AE711" s="33" t="s">
        <v>413</v>
      </c>
    </row>
    <row r="712" spans="1:31" ht="18" customHeight="1" x14ac:dyDescent="0.25">
      <c r="A7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2" s="79">
        <v>4</v>
      </c>
      <c r="C712" s="23">
        <v>44103</v>
      </c>
      <c r="D712" s="67">
        <f>IF(COUNTIF($G$2:$G712,$G712)=1,1,0)</f>
        <v>1</v>
      </c>
      <c r="E712" s="67" t="str">
        <f>IFERROR(VLOOKUP(База_КР_КК[[#This Row],[ИД штатной должности (S)]],'уровень защищенности'!$B$7:$F$1095,5,0),"не защищена")</f>
        <v>высокий</v>
      </c>
      <c r="F712" s="68">
        <v>500669</v>
      </c>
      <c r="G712" s="74" t="s">
        <v>2304</v>
      </c>
      <c r="H712" s="181">
        <f>INDEX('Списки данных'!$D$2:$D$1048576,MATCH(База_КР_КК[[#This Row],[Структурное подразделение]],'Списки данных'!$C$2:$C$1048576,0))</f>
        <v>22</v>
      </c>
      <c r="I712" s="80" t="s">
        <v>135</v>
      </c>
      <c r="J712" s="80" t="s">
        <v>202</v>
      </c>
      <c r="K712" s="80" t="s">
        <v>203</v>
      </c>
      <c r="L712" s="30" t="s">
        <v>193</v>
      </c>
      <c r="M712" s="68">
        <v>6</v>
      </c>
      <c r="N712" s="181" t="str">
        <f t="shared" si="12"/>
        <v>нет</v>
      </c>
      <c r="O712" s="23"/>
      <c r="P712" s="23"/>
      <c r="Q712" s="106"/>
      <c r="R712" s="37">
        <v>147</v>
      </c>
      <c r="S712" s="38" t="s">
        <v>559</v>
      </c>
      <c r="T712" s="37">
        <v>146</v>
      </c>
      <c r="U712" s="39" t="s">
        <v>558</v>
      </c>
      <c r="V712" s="89" t="s">
        <v>194</v>
      </c>
      <c r="W712" s="89" t="s">
        <v>135</v>
      </c>
      <c r="X712" s="106" t="s">
        <v>295</v>
      </c>
      <c r="Y712" s="107" t="s">
        <v>12</v>
      </c>
      <c r="Z712" s="67">
        <f>IF(База_КР_КК[[#This Row],[Таб.номер резервиста]]="-","-",IF(OR(База_КР_КК[[#This Row],[Уровень КК]]=2,База_КР_КК[[#This Row],[Уровень КК]]=3),IF(COUNTIFS($U$2:$U712,$U712,$F$2:$F712,$F712)=1,1,0),IF(COUNTIFS($U$2:$U712,$U712,$L$2:$L712,$L712)=1,1,0)))</f>
        <v>1</v>
      </c>
      <c r="AA7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2" s="106"/>
      <c r="AC712" s="51"/>
      <c r="AD712" s="106" t="s">
        <v>17</v>
      </c>
      <c r="AE712" s="38" t="s">
        <v>413</v>
      </c>
    </row>
    <row r="713" spans="1:31" ht="18" customHeight="1" x14ac:dyDescent="0.25">
      <c r="A7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3" s="79">
        <v>4</v>
      </c>
      <c r="C713" s="23">
        <v>43733</v>
      </c>
      <c r="D713" s="67">
        <f>IF(COUNTIF($G$2:$G713,$G713)=1,1,0)</f>
        <v>0</v>
      </c>
      <c r="E713" s="67" t="str">
        <f>IFERROR(VLOOKUP(База_КР_КК[[#This Row],[ИД штатной должности (S)]],'уровень защищенности'!$B$7:$F$1095,5,0),"не защищена")</f>
        <v>высокий</v>
      </c>
      <c r="F713" s="68">
        <v>500669</v>
      </c>
      <c r="G713" s="74" t="s">
        <v>2304</v>
      </c>
      <c r="H713" s="181">
        <f>INDEX('Списки данных'!$D$2:$D$1048576,MATCH(База_КР_КК[[#This Row],[Структурное подразделение]],'Списки данных'!$C$2:$C$1048576,0))</f>
        <v>22</v>
      </c>
      <c r="I713" s="80" t="s">
        <v>135</v>
      </c>
      <c r="J713" s="80" t="s">
        <v>202</v>
      </c>
      <c r="K713" s="80" t="s">
        <v>203</v>
      </c>
      <c r="L713" s="30" t="s">
        <v>193</v>
      </c>
      <c r="M713" s="68">
        <v>6</v>
      </c>
      <c r="N713" s="181" t="str">
        <f t="shared" si="12"/>
        <v>нет</v>
      </c>
      <c r="O713" s="23"/>
      <c r="P713" s="23"/>
      <c r="Q713" s="106"/>
      <c r="R713" s="37">
        <v>147</v>
      </c>
      <c r="S713" s="38" t="s">
        <v>559</v>
      </c>
      <c r="T713" s="37">
        <v>144</v>
      </c>
      <c r="U713" s="39" t="s">
        <v>556</v>
      </c>
      <c r="V713" s="89" t="s">
        <v>194</v>
      </c>
      <c r="W713" s="89" t="s">
        <v>135</v>
      </c>
      <c r="X713" s="106" t="s">
        <v>296</v>
      </c>
      <c r="Y713" s="107" t="s">
        <v>18</v>
      </c>
      <c r="Z713" s="67">
        <f>IF(База_КР_КК[[#This Row],[Таб.номер резервиста]]="-","-",IF(OR(База_КР_КК[[#This Row],[Уровень КК]]=2,База_КР_КК[[#This Row],[Уровень КК]]=3),IF(COUNTIFS($U$2:$U713,$U713,$F$2:$F713,$F713)=1,1,0),IF(COUNTIFS($U$2:$U713,$U713,$L$2:$L713,$L713)=1,1,0)))</f>
        <v>1</v>
      </c>
      <c r="AA7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3" s="106" t="s">
        <v>42</v>
      </c>
      <c r="AC713" s="51">
        <v>44103</v>
      </c>
      <c r="AD713" s="106" t="s">
        <v>31</v>
      </c>
      <c r="AE713" s="38" t="s">
        <v>323</v>
      </c>
    </row>
    <row r="714" spans="1:31" ht="18" customHeight="1" x14ac:dyDescent="0.25">
      <c r="A7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4" s="79">
        <v>4</v>
      </c>
      <c r="C714" s="23">
        <v>43733</v>
      </c>
      <c r="D714" s="67">
        <f>IF(COUNTIF($G$2:$G714,$G714)=1,1,0)</f>
        <v>1</v>
      </c>
      <c r="E714" s="67" t="str">
        <f>IFERROR(VLOOKUP(База_КР_КК[[#This Row],[ИД штатной должности (S)]],'уровень защищенности'!$B$7:$F$1095,5,0),"не защищена")</f>
        <v>высокий</v>
      </c>
      <c r="F714" s="68">
        <v>500664</v>
      </c>
      <c r="G714" s="74" t="s">
        <v>2305</v>
      </c>
      <c r="H714" s="181">
        <f>INDEX('Списки данных'!$D$2:$D$1048576,MATCH(База_КР_КК[[#This Row],[Структурное подразделение]],'Списки данных'!$C$2:$C$1048576,0))</f>
        <v>22</v>
      </c>
      <c r="I714" s="80" t="s">
        <v>135</v>
      </c>
      <c r="J714" s="80" t="s">
        <v>202</v>
      </c>
      <c r="K714" s="80" t="s">
        <v>21</v>
      </c>
      <c r="L714" s="30" t="s">
        <v>198</v>
      </c>
      <c r="M714" s="68">
        <v>6</v>
      </c>
      <c r="N714" s="181" t="str">
        <f t="shared" si="12"/>
        <v>нет</v>
      </c>
      <c r="O714" s="23"/>
      <c r="P714" s="23"/>
      <c r="Q714" s="106"/>
      <c r="R714" s="37">
        <v>148</v>
      </c>
      <c r="S714" s="38" t="s">
        <v>560</v>
      </c>
      <c r="T714" s="37">
        <v>1244</v>
      </c>
      <c r="U714" s="39" t="s">
        <v>1647</v>
      </c>
      <c r="V714" s="89" t="s">
        <v>16</v>
      </c>
      <c r="W714" s="89" t="s">
        <v>135</v>
      </c>
      <c r="X714" s="106" t="s">
        <v>295</v>
      </c>
      <c r="Y714" s="107" t="s">
        <v>12</v>
      </c>
      <c r="Z714" s="67">
        <f>IF(База_КР_КК[[#This Row],[Таб.номер резервиста]]="-","-",IF(OR(База_КР_КК[[#This Row],[Уровень КК]]=2,База_КР_КК[[#This Row],[Уровень КК]]=3),IF(COUNTIFS($U$2:$U714,$U714,$F$2:$F714,$F714)=1,1,0),IF(COUNTIFS($U$2:$U714,$U714,$L$2:$L714,$L714)=1,1,0)))</f>
        <v>1</v>
      </c>
      <c r="AA7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4" s="106"/>
      <c r="AC714" s="51"/>
      <c r="AD714" s="106" t="s">
        <v>13</v>
      </c>
      <c r="AE714" s="38" t="s">
        <v>413</v>
      </c>
    </row>
    <row r="715" spans="1:31" ht="18" customHeight="1" x14ac:dyDescent="0.25">
      <c r="A7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5" s="79">
        <v>4</v>
      </c>
      <c r="C715" s="23">
        <v>43733</v>
      </c>
      <c r="D715" s="67">
        <f>IF(COUNTIF($G$2:$G715,$G715)=1,1,0)</f>
        <v>0</v>
      </c>
      <c r="E715" s="67" t="str">
        <f>IFERROR(VLOOKUP(База_КР_КК[[#This Row],[ИД штатной должности (S)]],'уровень защищенности'!$B$7:$F$1095,5,0),"не защищена")</f>
        <v>высокий</v>
      </c>
      <c r="F715" s="68">
        <v>500664</v>
      </c>
      <c r="G715" s="74" t="s">
        <v>2305</v>
      </c>
      <c r="H715" s="181">
        <f>INDEX('Списки данных'!$D$2:$D$1048576,MATCH(База_КР_КК[[#This Row],[Структурное подразделение]],'Списки данных'!$C$2:$C$1048576,0))</f>
        <v>22</v>
      </c>
      <c r="I715" s="80" t="s">
        <v>135</v>
      </c>
      <c r="J715" s="80" t="s">
        <v>202</v>
      </c>
      <c r="K715" s="80" t="s">
        <v>21</v>
      </c>
      <c r="L715" s="30" t="s">
        <v>198</v>
      </c>
      <c r="M715" s="68">
        <v>6</v>
      </c>
      <c r="N715" s="181" t="str">
        <f t="shared" si="12"/>
        <v>нет</v>
      </c>
      <c r="O715" s="23"/>
      <c r="P715" s="23"/>
      <c r="Q715" s="106"/>
      <c r="R715" s="37">
        <v>148</v>
      </c>
      <c r="S715" s="38" t="s">
        <v>560</v>
      </c>
      <c r="T715" s="37">
        <v>146</v>
      </c>
      <c r="U715" s="39" t="s">
        <v>558</v>
      </c>
      <c r="V715" s="89" t="s">
        <v>194</v>
      </c>
      <c r="W715" s="89" t="s">
        <v>135</v>
      </c>
      <c r="X715" s="106" t="s">
        <v>297</v>
      </c>
      <c r="Y715" s="107" t="s">
        <v>18</v>
      </c>
      <c r="Z715" s="67">
        <f>IF(База_КР_КК[[#This Row],[Таб.номер резервиста]]="-","-",IF(OR(База_КР_КК[[#This Row],[Уровень КК]]=2,База_КР_КК[[#This Row],[Уровень КК]]=3),IF(COUNTIFS($U$2:$U715,$U715,$F$2:$F715,$F715)=1,1,0),IF(COUNTIFS($U$2:$U715,$U715,$L$2:$L715,$L715)=1,1,0)))</f>
        <v>1</v>
      </c>
      <c r="AA7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5" s="106" t="s">
        <v>38</v>
      </c>
      <c r="AC715" s="51">
        <v>45244</v>
      </c>
      <c r="AD715" s="106" t="s">
        <v>31</v>
      </c>
      <c r="AE715" s="38" t="s">
        <v>413</v>
      </c>
    </row>
    <row r="716" spans="1:31" ht="18" customHeight="1" x14ac:dyDescent="0.25">
      <c r="A7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6" s="79">
        <v>4</v>
      </c>
      <c r="C716" s="23">
        <v>43733</v>
      </c>
      <c r="D716" s="67">
        <f>IF(COUNTIF($G$2:$G716,$G716)=1,1,0)</f>
        <v>1</v>
      </c>
      <c r="E716" s="67" t="str">
        <f>IFERROR(VLOOKUP(База_КР_КК[[#This Row],[ИД штатной должности (S)]],'уровень защищенности'!$B$7:$F$1095,5,0),"не защищена")</f>
        <v>высокий</v>
      </c>
      <c r="F716" s="68">
        <v>500665</v>
      </c>
      <c r="G716" s="74" t="s">
        <v>2306</v>
      </c>
      <c r="H716" s="181">
        <f>INDEX('Списки данных'!$D$2:$D$1048576,MATCH(База_КР_КК[[#This Row],[Структурное подразделение]],'Списки данных'!$C$2:$C$1048576,0))</f>
        <v>22</v>
      </c>
      <c r="I716" s="80" t="s">
        <v>135</v>
      </c>
      <c r="J716" s="80" t="s">
        <v>202</v>
      </c>
      <c r="K716" s="80" t="s">
        <v>21</v>
      </c>
      <c r="L716" s="30" t="s">
        <v>192</v>
      </c>
      <c r="M716" s="68">
        <v>7</v>
      </c>
      <c r="N716" s="181" t="str">
        <f t="shared" si="12"/>
        <v>нет</v>
      </c>
      <c r="O716" s="23"/>
      <c r="P716" s="23"/>
      <c r="Q716" s="106"/>
      <c r="R716" s="37">
        <v>149</v>
      </c>
      <c r="S716" s="38" t="s">
        <v>561</v>
      </c>
      <c r="T716" s="37">
        <v>1245</v>
      </c>
      <c r="U716" s="39" t="s">
        <v>1648</v>
      </c>
      <c r="V716" s="89" t="s">
        <v>16</v>
      </c>
      <c r="W716" s="89" t="s">
        <v>135</v>
      </c>
      <c r="X716" s="106" t="s">
        <v>295</v>
      </c>
      <c r="Y716" s="107" t="s">
        <v>12</v>
      </c>
      <c r="Z716" s="67">
        <f>IF(База_КР_КК[[#This Row],[Таб.номер резервиста]]="-","-",IF(OR(База_КР_КК[[#This Row],[Уровень КК]]=2,База_КР_КК[[#This Row],[Уровень КК]]=3),IF(COUNTIFS($U$2:$U716,$U716,$F$2:$F716,$F716)=1,1,0),IF(COUNTIFS($U$2:$U716,$U716,$L$2:$L716,$L716)=1,1,0)))</f>
        <v>1</v>
      </c>
      <c r="AA7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6" s="106"/>
      <c r="AC716" s="51"/>
      <c r="AD716" s="106" t="s">
        <v>13</v>
      </c>
      <c r="AE716" s="38" t="s">
        <v>413</v>
      </c>
    </row>
    <row r="717" spans="1:31" ht="18" customHeight="1" x14ac:dyDescent="0.25">
      <c r="A7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7" s="79">
        <v>4</v>
      </c>
      <c r="C717" s="23">
        <v>43733</v>
      </c>
      <c r="D717" s="67">
        <f>IF(COUNTIF($G$2:$G717,$G717)=1,1,0)</f>
        <v>0</v>
      </c>
      <c r="E717" s="67" t="str">
        <f>IFERROR(VLOOKUP(База_КР_КК[[#This Row],[ИД штатной должности (S)]],'уровень защищенности'!$B$7:$F$1095,5,0),"не защищена")</f>
        <v>высокий</v>
      </c>
      <c r="F717" s="68">
        <v>500665</v>
      </c>
      <c r="G717" s="74" t="s">
        <v>2306</v>
      </c>
      <c r="H717" s="181">
        <f>INDEX('Списки данных'!$D$2:$D$1048576,MATCH(База_КР_КК[[#This Row],[Структурное подразделение]],'Списки данных'!$C$2:$C$1048576,0))</f>
        <v>22</v>
      </c>
      <c r="I717" s="80" t="s">
        <v>135</v>
      </c>
      <c r="J717" s="80" t="s">
        <v>202</v>
      </c>
      <c r="K717" s="80" t="s">
        <v>21</v>
      </c>
      <c r="L717" s="30" t="s">
        <v>192</v>
      </c>
      <c r="M717" s="68">
        <v>7</v>
      </c>
      <c r="N717" s="181" t="str">
        <f t="shared" si="12"/>
        <v>нет</v>
      </c>
      <c r="O717" s="23"/>
      <c r="P717" s="23"/>
      <c r="Q717" s="106"/>
      <c r="R717" s="37">
        <v>149</v>
      </c>
      <c r="S717" s="38" t="s">
        <v>561</v>
      </c>
      <c r="T717" s="37">
        <v>1246</v>
      </c>
      <c r="U717" s="39" t="s">
        <v>1649</v>
      </c>
      <c r="V717" s="89" t="s">
        <v>16</v>
      </c>
      <c r="W717" s="89" t="s">
        <v>135</v>
      </c>
      <c r="X717" s="106" t="s">
        <v>297</v>
      </c>
      <c r="Y717" s="107" t="s">
        <v>12</v>
      </c>
      <c r="Z717" s="67">
        <f>IF(База_КР_КК[[#This Row],[Таб.номер резервиста]]="-","-",IF(OR(База_КР_КК[[#This Row],[Уровень КК]]=2,База_КР_КК[[#This Row],[Уровень КК]]=3),IF(COUNTIFS($U$2:$U717,$U717,$F$2:$F717,$F717)=1,1,0),IF(COUNTIFS($U$2:$U717,$U717,$L$2:$L717,$L717)=1,1,0)))</f>
        <v>1</v>
      </c>
      <c r="AA7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7" s="106"/>
      <c r="AC717" s="51"/>
      <c r="AD717" s="106" t="s">
        <v>13</v>
      </c>
      <c r="AE717" s="38" t="s">
        <v>413</v>
      </c>
    </row>
    <row r="718" spans="1:31" ht="18" customHeight="1" x14ac:dyDescent="0.25">
      <c r="A7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8" s="79">
        <v>4</v>
      </c>
      <c r="C718" s="23">
        <v>43733</v>
      </c>
      <c r="D718" s="67">
        <f>IF(COUNTIF($G$2:$G718,$G718)=1,1,0)</f>
        <v>1</v>
      </c>
      <c r="E718" s="67" t="str">
        <f>IFERROR(VLOOKUP(База_КР_КК[[#This Row],[ИД штатной должности (S)]],'уровень защищенности'!$B$7:$F$1095,5,0),"не защищена")</f>
        <v>высокий</v>
      </c>
      <c r="F718" s="68">
        <v>500648</v>
      </c>
      <c r="G718" s="74" t="s">
        <v>2307</v>
      </c>
      <c r="H718" s="181">
        <f>INDEX('Списки данных'!$D$2:$D$1048576,MATCH(База_КР_КК[[#This Row],[Структурное подразделение]],'Списки данных'!$C$2:$C$1048576,0))</f>
        <v>22</v>
      </c>
      <c r="I718" s="80" t="s">
        <v>135</v>
      </c>
      <c r="J718" s="80" t="s">
        <v>202</v>
      </c>
      <c r="K718" s="80" t="s">
        <v>21</v>
      </c>
      <c r="L718" s="30" t="s">
        <v>198</v>
      </c>
      <c r="M718" s="68">
        <v>6</v>
      </c>
      <c r="N718" s="181" t="str">
        <f t="shared" si="12"/>
        <v>нет</v>
      </c>
      <c r="O718" s="23"/>
      <c r="P718" s="23"/>
      <c r="Q718" s="106"/>
      <c r="R718" s="37">
        <v>150</v>
      </c>
      <c r="S718" s="38" t="s">
        <v>562</v>
      </c>
      <c r="T718" s="37">
        <v>152</v>
      </c>
      <c r="U718" s="39" t="s">
        <v>564</v>
      </c>
      <c r="V718" s="89" t="s">
        <v>192</v>
      </c>
      <c r="W718" s="89" t="s">
        <v>135</v>
      </c>
      <c r="X718" s="106" t="s">
        <v>295</v>
      </c>
      <c r="Y718" s="107" t="s">
        <v>12</v>
      </c>
      <c r="Z718" s="67">
        <f>IF(База_КР_КК[[#This Row],[Таб.номер резервиста]]="-","-",IF(OR(База_КР_КК[[#This Row],[Уровень КК]]=2,База_КР_КК[[#This Row],[Уровень КК]]=3),IF(COUNTIFS($U$2:$U718,$U718,$F$2:$F718,$F718)=1,1,0),IF(COUNTIFS($U$2:$U718,$U718,$L$2:$L718,$L718)=1,1,0)))</f>
        <v>1</v>
      </c>
      <c r="AA7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8" s="106"/>
      <c r="AC718" s="51"/>
      <c r="AD718" s="106" t="s">
        <v>13</v>
      </c>
      <c r="AE718" s="38" t="s">
        <v>413</v>
      </c>
    </row>
    <row r="719" spans="1:31" ht="18" customHeight="1" x14ac:dyDescent="0.25">
      <c r="A7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19" s="79">
        <v>4</v>
      </c>
      <c r="C719" s="23">
        <v>43733</v>
      </c>
      <c r="D719" s="67">
        <f>IF(COUNTIF($G$2:$G719,$G719)=1,1,0)</f>
        <v>1</v>
      </c>
      <c r="E719" s="67" t="str">
        <f>IFERROR(VLOOKUP(База_КР_КК[[#This Row],[ИД штатной должности (S)]],'уровень защищенности'!$B$7:$F$1095,5,0),"не защищена")</f>
        <v>высокий</v>
      </c>
      <c r="F719" s="68">
        <v>500649</v>
      </c>
      <c r="G719" s="74" t="s">
        <v>2308</v>
      </c>
      <c r="H719" s="181">
        <f>INDEX('Списки данных'!$D$2:$D$1048576,MATCH(База_КР_КК[[#This Row],[Структурное подразделение]],'Списки данных'!$C$2:$C$1048576,0))</f>
        <v>22</v>
      </c>
      <c r="I719" s="80" t="s">
        <v>135</v>
      </c>
      <c r="J719" s="80" t="s">
        <v>202</v>
      </c>
      <c r="K719" s="80" t="s">
        <v>21</v>
      </c>
      <c r="L719" s="30" t="s">
        <v>192</v>
      </c>
      <c r="M719" s="68">
        <v>7</v>
      </c>
      <c r="N719" s="181" t="str">
        <f t="shared" si="12"/>
        <v>нет</v>
      </c>
      <c r="O719" s="23"/>
      <c r="P719" s="23"/>
      <c r="Q719" s="106"/>
      <c r="R719" s="37">
        <v>151</v>
      </c>
      <c r="S719" s="38" t="s">
        <v>563</v>
      </c>
      <c r="T719" s="37">
        <v>1247</v>
      </c>
      <c r="U719" s="39" t="s">
        <v>1650</v>
      </c>
      <c r="V719" s="89" t="s">
        <v>272</v>
      </c>
      <c r="W719" s="89" t="s">
        <v>135</v>
      </c>
      <c r="X719" s="106" t="s">
        <v>295</v>
      </c>
      <c r="Y719" s="107" t="s">
        <v>12</v>
      </c>
      <c r="Z719" s="67">
        <f>IF(База_КР_КК[[#This Row],[Таб.номер резервиста]]="-","-",IF(OR(База_КР_КК[[#This Row],[Уровень КК]]=2,База_КР_КК[[#This Row],[Уровень КК]]=3),IF(COUNTIFS($U$2:$U719,$U719,$F$2:$F719,$F719)=1,1,0),IF(COUNTIFS($U$2:$U719,$U719,$L$2:$L719,$L719)=1,1,0)))</f>
        <v>1</v>
      </c>
      <c r="AA7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19" s="106"/>
      <c r="AC719" s="51"/>
      <c r="AD719" s="106" t="s">
        <v>13</v>
      </c>
      <c r="AE719" s="38" t="s">
        <v>413</v>
      </c>
    </row>
    <row r="720" spans="1:31" ht="18" customHeight="1" x14ac:dyDescent="0.25">
      <c r="A7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0" s="79">
        <v>4</v>
      </c>
      <c r="C720" s="23">
        <v>43733</v>
      </c>
      <c r="D720" s="67">
        <f>IF(COUNTIF($G$2:$G720,$G720)=1,1,0)</f>
        <v>1</v>
      </c>
      <c r="E720" s="67" t="str">
        <f>IFERROR(VLOOKUP(База_КР_КК[[#This Row],[ИД штатной должности (S)]],'уровень защищенности'!$B$7:$F$1095,5,0),"не защищена")</f>
        <v>средний</v>
      </c>
      <c r="F720" s="68">
        <v>500650</v>
      </c>
      <c r="G720" s="74" t="s">
        <v>2309</v>
      </c>
      <c r="H720" s="181">
        <f>INDEX('Списки данных'!$D$2:$D$1048576,MATCH(База_КР_КК[[#This Row],[Структурное подразделение]],'Списки данных'!$C$2:$C$1048576,0))</f>
        <v>22</v>
      </c>
      <c r="I720" s="80" t="s">
        <v>135</v>
      </c>
      <c r="J720" s="80" t="s">
        <v>202</v>
      </c>
      <c r="K720" s="80" t="s">
        <v>21</v>
      </c>
      <c r="L720" s="30" t="s">
        <v>191</v>
      </c>
      <c r="M720" s="68">
        <v>7</v>
      </c>
      <c r="N720" s="181" t="str">
        <f t="shared" si="12"/>
        <v>нет</v>
      </c>
      <c r="O720" s="23"/>
      <c r="P720" s="23"/>
      <c r="Q720" s="106"/>
      <c r="R720" s="37">
        <v>152</v>
      </c>
      <c r="S720" s="38" t="s">
        <v>564</v>
      </c>
      <c r="T720" s="37">
        <v>1248</v>
      </c>
      <c r="U720" s="39" t="s">
        <v>1651</v>
      </c>
      <c r="V720" s="89" t="s">
        <v>272</v>
      </c>
      <c r="W720" s="89" t="s">
        <v>135</v>
      </c>
      <c r="X720" s="106" t="s">
        <v>297</v>
      </c>
      <c r="Y720" s="107" t="s">
        <v>12</v>
      </c>
      <c r="Z720" s="67">
        <f>IF(База_КР_КК[[#This Row],[Таб.номер резервиста]]="-","-",IF(OR(База_КР_КК[[#This Row],[Уровень КК]]=2,База_КР_КК[[#This Row],[Уровень КК]]=3),IF(COUNTIFS($U$2:$U720,$U720,$F$2:$F720,$F720)=1,1,0),IF(COUNTIFS($U$2:$U720,$U720,$L$2:$L720,$L720)=1,1,0)))</f>
        <v>1</v>
      </c>
      <c r="AA7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0" s="106"/>
      <c r="AC720" s="51"/>
      <c r="AD720" s="106" t="s">
        <v>13</v>
      </c>
      <c r="AE720" s="38" t="s">
        <v>413</v>
      </c>
    </row>
    <row r="721" spans="1:31" ht="18" customHeight="1" x14ac:dyDescent="0.25">
      <c r="A7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1" s="79">
        <v>4</v>
      </c>
      <c r="C721" s="23">
        <v>44487</v>
      </c>
      <c r="D721" s="67">
        <f>IF(COUNTIF($G$2:$G721,$G721)=1,1,0)</f>
        <v>0</v>
      </c>
      <c r="E721" s="67" t="str">
        <f>IFERROR(VLOOKUP(База_КР_КК[[#This Row],[ИД штатной должности (S)]],'уровень защищенности'!$B$7:$F$1095,5,0),"не защищена")</f>
        <v>средний</v>
      </c>
      <c r="F721" s="68">
        <v>500650</v>
      </c>
      <c r="G721" s="74" t="s">
        <v>2309</v>
      </c>
      <c r="H721" s="181">
        <f>INDEX('Списки данных'!$D$2:$D$1048576,MATCH(База_КР_КК[[#This Row],[Структурное подразделение]],'Списки данных'!$C$2:$C$1048576,0))</f>
        <v>22</v>
      </c>
      <c r="I721" s="80" t="s">
        <v>135</v>
      </c>
      <c r="J721" s="80" t="s">
        <v>202</v>
      </c>
      <c r="K721" s="80" t="s">
        <v>21</v>
      </c>
      <c r="L721" s="30" t="s">
        <v>191</v>
      </c>
      <c r="M721" s="68">
        <v>7</v>
      </c>
      <c r="N721" s="181" t="str">
        <f t="shared" si="12"/>
        <v>нет</v>
      </c>
      <c r="O721" s="23"/>
      <c r="P721" s="23"/>
      <c r="Q721" s="106"/>
      <c r="R721" s="37">
        <v>152</v>
      </c>
      <c r="S721" s="38" t="s">
        <v>564</v>
      </c>
      <c r="T721" s="37">
        <v>1249</v>
      </c>
      <c r="U721" s="39" t="s">
        <v>1606</v>
      </c>
      <c r="V721" s="89" t="s">
        <v>272</v>
      </c>
      <c r="W721" s="89" t="s">
        <v>135</v>
      </c>
      <c r="X721" s="106" t="s">
        <v>296</v>
      </c>
      <c r="Y721" s="107" t="s">
        <v>12</v>
      </c>
      <c r="Z721" s="67">
        <f>IF(База_КР_КК[[#This Row],[Таб.номер резервиста]]="-","-",IF(OR(База_КР_КК[[#This Row],[Уровень КК]]=2,База_КР_КК[[#This Row],[Уровень КК]]=3),IF(COUNTIFS($U$2:$U721,$U721,$F$2:$F721,$F721)=1,1,0),IF(COUNTIFS($U$2:$U721,$U721,$L$2:$L721,$L721)=1,1,0)))</f>
        <v>0</v>
      </c>
      <c r="AA7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1" s="106"/>
      <c r="AC721" s="51"/>
      <c r="AD721" s="106" t="s">
        <v>13</v>
      </c>
      <c r="AE721" s="33" t="s">
        <v>413</v>
      </c>
    </row>
    <row r="722" spans="1:31" ht="18" customHeight="1" x14ac:dyDescent="0.25">
      <c r="A7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2" s="79">
        <v>4</v>
      </c>
      <c r="C722" s="23">
        <v>44879</v>
      </c>
      <c r="D722" s="67">
        <f>IF(COUNTIF($G$2:$G722,$G722)=1,1,0)</f>
        <v>0</v>
      </c>
      <c r="E722" s="67" t="str">
        <f>IFERROR(VLOOKUP(База_КР_КК[[#This Row],[ИД штатной должности (S)]],'уровень защищенности'!$B$7:$F$1095,5,0),"не защищена")</f>
        <v>средний</v>
      </c>
      <c r="F722" s="68">
        <v>500650</v>
      </c>
      <c r="G722" s="74" t="s">
        <v>2309</v>
      </c>
      <c r="H722" s="181">
        <f>INDEX('Списки данных'!$D$2:$D$1048576,MATCH(База_КР_КК[[#This Row],[Структурное подразделение]],'Списки данных'!$C$2:$C$1048576,0))</f>
        <v>22</v>
      </c>
      <c r="I722" s="80" t="s">
        <v>135</v>
      </c>
      <c r="J722" s="80" t="s">
        <v>202</v>
      </c>
      <c r="K722" s="80" t="s">
        <v>21</v>
      </c>
      <c r="L722" s="30" t="s">
        <v>191</v>
      </c>
      <c r="M722" s="68">
        <v>7</v>
      </c>
      <c r="N722" s="181" t="str">
        <f t="shared" si="12"/>
        <v>нет</v>
      </c>
      <c r="O722" s="23"/>
      <c r="P722" s="23"/>
      <c r="Q722" s="106"/>
      <c r="R722" s="37">
        <v>152</v>
      </c>
      <c r="S722" s="39" t="s">
        <v>564</v>
      </c>
      <c r="T722" s="37">
        <v>1250</v>
      </c>
      <c r="U722" s="38" t="s">
        <v>1652</v>
      </c>
      <c r="V722" s="69" t="s">
        <v>272</v>
      </c>
      <c r="W722" s="89" t="s">
        <v>135</v>
      </c>
      <c r="X722" s="106" t="s">
        <v>296</v>
      </c>
      <c r="Y722" s="107" t="s">
        <v>12</v>
      </c>
      <c r="Z722" s="67">
        <f>IF(База_КР_КК[[#This Row],[Таб.номер резервиста]]="-","-",IF(OR(База_КР_КК[[#This Row],[Уровень КК]]=2,База_КР_КК[[#This Row],[Уровень КК]]=3),IF(COUNTIFS($U$2:$U722,$U722,$F$2:$F722,$F722)=1,1,0),IF(COUNTIFS($U$2:$U722,$U722,$L$2:$L722,$L722)=1,1,0)))</f>
        <v>1</v>
      </c>
      <c r="AA7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2" s="106"/>
      <c r="AC722" s="51"/>
      <c r="AD722" s="106" t="s">
        <v>15</v>
      </c>
      <c r="AE722" s="33" t="s">
        <v>413</v>
      </c>
    </row>
    <row r="723" spans="1:31" ht="18" customHeight="1" x14ac:dyDescent="0.25">
      <c r="A7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3" s="79">
        <v>4</v>
      </c>
      <c r="C723" s="23">
        <v>43733</v>
      </c>
      <c r="D723" s="67">
        <f>IF(COUNTIF($G$2:$G723,$G723)=1,1,0)</f>
        <v>0</v>
      </c>
      <c r="E723" s="67" t="str">
        <f>IFERROR(VLOOKUP(База_КР_КК[[#This Row],[ИД штатной должности (S)]],'уровень защищенности'!$B$7:$F$1095,5,0),"не защищена")</f>
        <v>средний</v>
      </c>
      <c r="F723" s="68">
        <v>500650</v>
      </c>
      <c r="G723" s="74" t="s">
        <v>2309</v>
      </c>
      <c r="H723" s="181">
        <f>INDEX('Списки данных'!$D$2:$D$1048576,MATCH(База_КР_КК[[#This Row],[Структурное подразделение]],'Списки данных'!$C$2:$C$1048576,0))</f>
        <v>22</v>
      </c>
      <c r="I723" s="80" t="s">
        <v>135</v>
      </c>
      <c r="J723" s="80" t="s">
        <v>202</v>
      </c>
      <c r="K723" s="80" t="s">
        <v>21</v>
      </c>
      <c r="L723" s="30" t="s">
        <v>191</v>
      </c>
      <c r="M723" s="68">
        <v>7</v>
      </c>
      <c r="N723" s="181" t="str">
        <f t="shared" si="12"/>
        <v>нет</v>
      </c>
      <c r="O723" s="23"/>
      <c r="P723" s="23"/>
      <c r="Q723" s="106"/>
      <c r="R723" s="37">
        <v>152</v>
      </c>
      <c r="S723" s="38" t="s">
        <v>564</v>
      </c>
      <c r="T723" s="37">
        <v>154</v>
      </c>
      <c r="U723" s="39" t="s">
        <v>566</v>
      </c>
      <c r="V723" s="89" t="s">
        <v>272</v>
      </c>
      <c r="W723" s="89" t="s">
        <v>135</v>
      </c>
      <c r="X723" s="106" t="s">
        <v>295</v>
      </c>
      <c r="Y723" s="107" t="s">
        <v>14</v>
      </c>
      <c r="Z723" s="67">
        <f>IF(База_КР_КК[[#This Row],[Таб.номер резервиста]]="-","-",IF(OR(База_КР_КК[[#This Row],[Уровень КК]]=2,База_КР_КК[[#This Row],[Уровень КК]]=3),IF(COUNTIFS($U$2:$U723,$U723,$F$2:$F723,$F723)=1,1,0),IF(COUNTIFS($U$2:$U723,$U723,$L$2:$L723,$L723)=1,1,0)))</f>
        <v>1</v>
      </c>
      <c r="AA7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3" s="106" t="s">
        <v>24</v>
      </c>
      <c r="AC723" s="51">
        <v>44753</v>
      </c>
      <c r="AD723" s="106" t="s">
        <v>17</v>
      </c>
      <c r="AE723" s="38" t="s">
        <v>324</v>
      </c>
    </row>
    <row r="724" spans="1:31" ht="18" customHeight="1" x14ac:dyDescent="0.25">
      <c r="A7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4" s="79">
        <v>4</v>
      </c>
      <c r="C724" s="23">
        <v>43733</v>
      </c>
      <c r="D724" s="67">
        <f>IF(COUNTIF($G$2:$G724,$G724)=1,1,0)</f>
        <v>1</v>
      </c>
      <c r="E724" s="67" t="str">
        <f>IFERROR(VLOOKUP(База_КР_КК[[#This Row],[ИД штатной должности (S)]],'уровень защищенности'!$B$7:$F$1095,5,0),"не защищена")</f>
        <v>средний</v>
      </c>
      <c r="F724" s="68">
        <v>500650</v>
      </c>
      <c r="G724" s="74" t="s">
        <v>2310</v>
      </c>
      <c r="H724" s="181">
        <f>INDEX('Списки данных'!$D$2:$D$1048576,MATCH(База_КР_КК[[#This Row],[Структурное подразделение]],'Списки данных'!$C$2:$C$1048576,0))</f>
        <v>22</v>
      </c>
      <c r="I724" s="80" t="s">
        <v>135</v>
      </c>
      <c r="J724" s="80" t="s">
        <v>202</v>
      </c>
      <c r="K724" s="80" t="s">
        <v>21</v>
      </c>
      <c r="L724" s="30" t="s">
        <v>191</v>
      </c>
      <c r="M724" s="68">
        <v>7</v>
      </c>
      <c r="N724" s="181" t="str">
        <f t="shared" si="12"/>
        <v>нет</v>
      </c>
      <c r="O724" s="23"/>
      <c r="P724" s="23"/>
      <c r="Q724" s="106"/>
      <c r="R724" s="37">
        <v>153</v>
      </c>
      <c r="S724" s="38" t="s">
        <v>565</v>
      </c>
      <c r="T724" s="37">
        <v>1248</v>
      </c>
      <c r="U724" s="39" t="s">
        <v>1651</v>
      </c>
      <c r="V724" s="89" t="s">
        <v>272</v>
      </c>
      <c r="W724" s="89" t="s">
        <v>135</v>
      </c>
      <c r="X724" s="106" t="s">
        <v>297</v>
      </c>
      <c r="Y724" s="107" t="s">
        <v>12</v>
      </c>
      <c r="Z724" s="67">
        <f>IF(База_КР_КК[[#This Row],[Таб.номер резервиста]]="-","-",IF(OR(База_КР_КК[[#This Row],[Уровень КК]]=2,База_КР_КК[[#This Row],[Уровень КК]]=3),IF(COUNTIFS($U$2:$U724,$U724,$F$2:$F724,$F724)=1,1,0),IF(COUNTIFS($U$2:$U724,$U724,$L$2:$L724,$L724)=1,1,0)))</f>
        <v>0</v>
      </c>
      <c r="AA7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4" s="106"/>
      <c r="AC724" s="51"/>
      <c r="AD724" s="106" t="s">
        <v>13</v>
      </c>
      <c r="AE724" s="38" t="s">
        <v>413</v>
      </c>
    </row>
    <row r="725" spans="1:31" ht="18" customHeight="1" x14ac:dyDescent="0.25">
      <c r="A7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5" s="79">
        <v>4</v>
      </c>
      <c r="C725" s="23">
        <v>44487</v>
      </c>
      <c r="D725" s="67">
        <f>IF(COUNTIF($G$2:$G725,$G725)=1,1,0)</f>
        <v>0</v>
      </c>
      <c r="E725" s="67" t="str">
        <f>IFERROR(VLOOKUP(База_КР_КК[[#This Row],[ИД штатной должности (S)]],'уровень защищенности'!$B$7:$F$1095,5,0),"не защищена")</f>
        <v>средний</v>
      </c>
      <c r="F725" s="68">
        <v>500650</v>
      </c>
      <c r="G725" s="74" t="s">
        <v>2310</v>
      </c>
      <c r="H725" s="181">
        <f>INDEX('Списки данных'!$D$2:$D$1048576,MATCH(База_КР_КК[[#This Row],[Структурное подразделение]],'Списки данных'!$C$2:$C$1048576,0))</f>
        <v>22</v>
      </c>
      <c r="I725" s="80" t="s">
        <v>135</v>
      </c>
      <c r="J725" s="80" t="s">
        <v>202</v>
      </c>
      <c r="K725" s="80" t="s">
        <v>21</v>
      </c>
      <c r="L725" s="30" t="s">
        <v>191</v>
      </c>
      <c r="M725" s="68">
        <v>7</v>
      </c>
      <c r="N725" s="181" t="str">
        <f t="shared" si="12"/>
        <v>нет</v>
      </c>
      <c r="O725" s="23"/>
      <c r="P725" s="23"/>
      <c r="Q725" s="106"/>
      <c r="R725" s="37">
        <v>153</v>
      </c>
      <c r="S725" s="38" t="s">
        <v>565</v>
      </c>
      <c r="T725" s="37">
        <v>1249</v>
      </c>
      <c r="U725" s="39" t="s">
        <v>1606</v>
      </c>
      <c r="V725" s="89" t="s">
        <v>272</v>
      </c>
      <c r="W725" s="89" t="s">
        <v>135</v>
      </c>
      <c r="X725" s="106" t="s">
        <v>296</v>
      </c>
      <c r="Y725" s="107" t="s">
        <v>12</v>
      </c>
      <c r="Z725" s="67">
        <f>IF(База_КР_КК[[#This Row],[Таб.номер резервиста]]="-","-",IF(OR(База_КР_КК[[#This Row],[Уровень КК]]=2,База_КР_КК[[#This Row],[Уровень КК]]=3),IF(COUNTIFS($U$2:$U725,$U725,$F$2:$F725,$F725)=1,1,0),IF(COUNTIFS($U$2:$U725,$U725,$L$2:$L725,$L725)=1,1,0)))</f>
        <v>0</v>
      </c>
      <c r="AA7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5" s="106"/>
      <c r="AC725" s="51"/>
      <c r="AD725" s="106" t="s">
        <v>13</v>
      </c>
      <c r="AE725" s="33" t="s">
        <v>413</v>
      </c>
    </row>
    <row r="726" spans="1:31" ht="18" customHeight="1" x14ac:dyDescent="0.25">
      <c r="A7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6" s="79">
        <v>4</v>
      </c>
      <c r="C726" s="23">
        <v>44879</v>
      </c>
      <c r="D726" s="67">
        <f>IF(COUNTIF($G$2:$G726,$G726)=1,1,0)</f>
        <v>0</v>
      </c>
      <c r="E726" s="67" t="str">
        <f>IFERROR(VLOOKUP(База_КР_КК[[#This Row],[ИД штатной должности (S)]],'уровень защищенности'!$B$7:$F$1095,5,0),"не защищена")</f>
        <v>средний</v>
      </c>
      <c r="F726" s="68">
        <v>500650</v>
      </c>
      <c r="G726" s="74" t="s">
        <v>2310</v>
      </c>
      <c r="H726" s="181">
        <f>INDEX('Списки данных'!$D$2:$D$1048576,MATCH(База_КР_КК[[#This Row],[Структурное подразделение]],'Списки данных'!$C$2:$C$1048576,0))</f>
        <v>22</v>
      </c>
      <c r="I726" s="80" t="s">
        <v>135</v>
      </c>
      <c r="J726" s="80" t="s">
        <v>202</v>
      </c>
      <c r="K726" s="80" t="s">
        <v>21</v>
      </c>
      <c r="L726" s="30" t="s">
        <v>191</v>
      </c>
      <c r="M726" s="68">
        <v>7</v>
      </c>
      <c r="N726" s="181" t="str">
        <f t="shared" si="12"/>
        <v>нет</v>
      </c>
      <c r="O726" s="23"/>
      <c r="P726" s="23"/>
      <c r="Q726" s="106"/>
      <c r="R726" s="37">
        <v>153</v>
      </c>
      <c r="S726" s="39" t="s">
        <v>565</v>
      </c>
      <c r="T726" s="37">
        <v>1250</v>
      </c>
      <c r="U726" s="38" t="s">
        <v>1652</v>
      </c>
      <c r="V726" s="69" t="s">
        <v>272</v>
      </c>
      <c r="W726" s="89" t="s">
        <v>135</v>
      </c>
      <c r="X726" s="106" t="s">
        <v>296</v>
      </c>
      <c r="Y726" s="107" t="s">
        <v>12</v>
      </c>
      <c r="Z726" s="67">
        <f>IF(База_КР_КК[[#This Row],[Таб.номер резервиста]]="-","-",IF(OR(База_КР_КК[[#This Row],[Уровень КК]]=2,База_КР_КК[[#This Row],[Уровень КК]]=3),IF(COUNTIFS($U$2:$U726,$U726,$F$2:$F726,$F726)=1,1,0),IF(COUNTIFS($U$2:$U726,$U726,$L$2:$L726,$L726)=1,1,0)))</f>
        <v>0</v>
      </c>
      <c r="AA7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6" s="106"/>
      <c r="AC726" s="51"/>
      <c r="AD726" s="106" t="s">
        <v>15</v>
      </c>
      <c r="AE726" s="33" t="s">
        <v>413</v>
      </c>
    </row>
    <row r="727" spans="1:31" ht="18" customHeight="1" x14ac:dyDescent="0.25">
      <c r="A7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7" s="79">
        <v>4</v>
      </c>
      <c r="C727" s="23">
        <v>43733</v>
      </c>
      <c r="D727" s="67">
        <f>IF(COUNTIF($G$2:$G727,$G727)=1,1,0)</f>
        <v>0</v>
      </c>
      <c r="E727" s="67" t="str">
        <f>IFERROR(VLOOKUP(База_КР_КК[[#This Row],[ИД штатной должности (S)]],'уровень защищенности'!$B$7:$F$1095,5,0),"не защищена")</f>
        <v>средний</v>
      </c>
      <c r="F727" s="68">
        <v>500650</v>
      </c>
      <c r="G727" s="74" t="s">
        <v>2310</v>
      </c>
      <c r="H727" s="181">
        <f>INDEX('Списки данных'!$D$2:$D$1048576,MATCH(База_КР_КК[[#This Row],[Структурное подразделение]],'Списки данных'!$C$2:$C$1048576,0))</f>
        <v>22</v>
      </c>
      <c r="I727" s="80" t="s">
        <v>135</v>
      </c>
      <c r="J727" s="80" t="s">
        <v>202</v>
      </c>
      <c r="K727" s="80" t="s">
        <v>21</v>
      </c>
      <c r="L727" s="30" t="s">
        <v>191</v>
      </c>
      <c r="M727" s="68">
        <v>7</v>
      </c>
      <c r="N727" s="181" t="str">
        <f t="shared" si="12"/>
        <v>нет</v>
      </c>
      <c r="O727" s="23"/>
      <c r="P727" s="23"/>
      <c r="Q727" s="106"/>
      <c r="R727" s="37">
        <v>153</v>
      </c>
      <c r="S727" s="38" t="s">
        <v>565</v>
      </c>
      <c r="T727" s="37">
        <v>154</v>
      </c>
      <c r="U727" s="39" t="s">
        <v>566</v>
      </c>
      <c r="V727" s="89" t="s">
        <v>272</v>
      </c>
      <c r="W727" s="89" t="s">
        <v>135</v>
      </c>
      <c r="X727" s="106" t="s">
        <v>295</v>
      </c>
      <c r="Y727" s="107" t="s">
        <v>14</v>
      </c>
      <c r="Z727" s="67">
        <f>IF(База_КР_КК[[#This Row],[Таб.номер резервиста]]="-","-",IF(OR(База_КР_КК[[#This Row],[Уровень КК]]=2,База_КР_КК[[#This Row],[Уровень КК]]=3),IF(COUNTIFS($U$2:$U727,$U727,$F$2:$F727,$F727)=1,1,0),IF(COUNTIFS($U$2:$U727,$U727,$L$2:$L727,$L727)=1,1,0)))</f>
        <v>0</v>
      </c>
      <c r="AA7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7" s="106" t="s">
        <v>24</v>
      </c>
      <c r="AC727" s="51">
        <v>44753</v>
      </c>
      <c r="AD727" s="106" t="s">
        <v>17</v>
      </c>
      <c r="AE727" s="38" t="s">
        <v>324</v>
      </c>
    </row>
    <row r="728" spans="1:31" ht="18" customHeight="1" x14ac:dyDescent="0.25">
      <c r="A7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8" s="79">
        <v>4</v>
      </c>
      <c r="C728" s="23">
        <v>43733</v>
      </c>
      <c r="D728" s="67">
        <f>IF(COUNTIF($G$2:$G728,$G728)=1,1,0)</f>
        <v>1</v>
      </c>
      <c r="E728" s="67" t="str">
        <f>IFERROR(VLOOKUP(База_КР_КК[[#This Row],[ИД штатной должности (S)]],'уровень защищенности'!$B$7:$F$1095,5,0),"не защищена")</f>
        <v>средний</v>
      </c>
      <c r="F728" s="68">
        <v>500650</v>
      </c>
      <c r="G728" s="74" t="s">
        <v>2311</v>
      </c>
      <c r="H728" s="181">
        <f>INDEX('Списки данных'!$D$2:$D$1048576,MATCH(База_КР_КК[[#This Row],[Структурное подразделение]],'Списки данных'!$C$2:$C$1048576,0))</f>
        <v>22</v>
      </c>
      <c r="I728" s="80" t="s">
        <v>135</v>
      </c>
      <c r="J728" s="80" t="s">
        <v>202</v>
      </c>
      <c r="K728" s="80" t="s">
        <v>21</v>
      </c>
      <c r="L728" s="30" t="s">
        <v>191</v>
      </c>
      <c r="M728" s="68">
        <v>7</v>
      </c>
      <c r="N728" s="181" t="str">
        <f t="shared" si="12"/>
        <v>да</v>
      </c>
      <c r="O728" s="23">
        <v>44743</v>
      </c>
      <c r="P728" s="23">
        <v>44753</v>
      </c>
      <c r="Q728" s="106" t="s">
        <v>66</v>
      </c>
      <c r="R728" s="37">
        <v>154</v>
      </c>
      <c r="S728" s="38" t="s">
        <v>566</v>
      </c>
      <c r="T728" s="37">
        <v>1248</v>
      </c>
      <c r="U728" s="39" t="s">
        <v>1651</v>
      </c>
      <c r="V728" s="89" t="s">
        <v>272</v>
      </c>
      <c r="W728" s="89" t="s">
        <v>135</v>
      </c>
      <c r="X728" s="106" t="s">
        <v>297</v>
      </c>
      <c r="Y728" s="107" t="s">
        <v>12</v>
      </c>
      <c r="Z728" s="67">
        <f>IF(База_КР_КК[[#This Row],[Таб.номер резервиста]]="-","-",IF(OR(База_КР_КК[[#This Row],[Уровень КК]]=2,База_КР_КК[[#This Row],[Уровень КК]]=3),IF(COUNTIFS($U$2:$U728,$U728,$F$2:$F728,$F728)=1,1,0),IF(COUNTIFS($U$2:$U728,$U728,$L$2:$L728,$L728)=1,1,0)))</f>
        <v>0</v>
      </c>
      <c r="AA7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8" s="106"/>
      <c r="AC728" s="51"/>
      <c r="AD728" s="106" t="s">
        <v>13</v>
      </c>
      <c r="AE728" s="38" t="s">
        <v>413</v>
      </c>
    </row>
    <row r="729" spans="1:31" ht="18" customHeight="1" x14ac:dyDescent="0.25">
      <c r="A7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29" s="79">
        <v>4</v>
      </c>
      <c r="C729" s="23">
        <v>44487</v>
      </c>
      <c r="D729" s="67">
        <f>IF(COUNTIF($G$2:$G729,$G729)=1,1,0)</f>
        <v>0</v>
      </c>
      <c r="E729" s="67" t="str">
        <f>IFERROR(VLOOKUP(База_КР_КК[[#This Row],[ИД штатной должности (S)]],'уровень защищенности'!$B$7:$F$1095,5,0),"не защищена")</f>
        <v>средний</v>
      </c>
      <c r="F729" s="68">
        <v>500650</v>
      </c>
      <c r="G729" s="74" t="s">
        <v>2311</v>
      </c>
      <c r="H729" s="181">
        <f>INDEX('Списки данных'!$D$2:$D$1048576,MATCH(База_КР_КК[[#This Row],[Структурное подразделение]],'Списки данных'!$C$2:$C$1048576,0))</f>
        <v>22</v>
      </c>
      <c r="I729" s="80" t="s">
        <v>135</v>
      </c>
      <c r="J729" s="80" t="s">
        <v>202</v>
      </c>
      <c r="K729" s="80" t="s">
        <v>21</v>
      </c>
      <c r="L729" s="30" t="s">
        <v>191</v>
      </c>
      <c r="M729" s="68">
        <v>7</v>
      </c>
      <c r="N729" s="181" t="str">
        <f t="shared" si="12"/>
        <v>да</v>
      </c>
      <c r="O729" s="23">
        <v>44743</v>
      </c>
      <c r="P729" s="23">
        <v>44753</v>
      </c>
      <c r="Q729" s="106" t="s">
        <v>66</v>
      </c>
      <c r="R729" s="37">
        <v>154</v>
      </c>
      <c r="S729" s="39" t="s">
        <v>566</v>
      </c>
      <c r="T729" s="37">
        <v>1249</v>
      </c>
      <c r="U729" s="39" t="s">
        <v>1606</v>
      </c>
      <c r="V729" s="89" t="s">
        <v>272</v>
      </c>
      <c r="W729" s="89" t="s">
        <v>135</v>
      </c>
      <c r="X729" s="106" t="s">
        <v>296</v>
      </c>
      <c r="Y729" s="107" t="s">
        <v>12</v>
      </c>
      <c r="Z729" s="67">
        <f>IF(База_КР_КК[[#This Row],[Таб.номер резервиста]]="-","-",IF(OR(База_КР_КК[[#This Row],[Уровень КК]]=2,База_КР_КК[[#This Row],[Уровень КК]]=3),IF(COUNTIFS($U$2:$U729,$U729,$F$2:$F729,$F729)=1,1,0),IF(COUNTIFS($U$2:$U729,$U729,$L$2:$L729,$L729)=1,1,0)))</f>
        <v>0</v>
      </c>
      <c r="AA7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29" s="106"/>
      <c r="AC729" s="51"/>
      <c r="AD729" s="106" t="s">
        <v>13</v>
      </c>
      <c r="AE729" s="33" t="s">
        <v>413</v>
      </c>
    </row>
    <row r="730" spans="1:31" ht="18" customHeight="1" x14ac:dyDescent="0.25">
      <c r="A7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0" s="79">
        <v>4</v>
      </c>
      <c r="C730" s="23">
        <v>44879</v>
      </c>
      <c r="D730" s="67">
        <f>IF(COUNTIF($G$2:$G730,$G730)=1,1,0)</f>
        <v>0</v>
      </c>
      <c r="E730" s="67" t="str">
        <f>IFERROR(VLOOKUP(База_КР_КК[[#This Row],[ИД штатной должности (S)]],'уровень защищенности'!$B$7:$F$1095,5,0),"не защищена")</f>
        <v>средний</v>
      </c>
      <c r="F730" s="68">
        <v>500650</v>
      </c>
      <c r="G730" s="74" t="s">
        <v>2311</v>
      </c>
      <c r="H730" s="181">
        <f>INDEX('Списки данных'!$D$2:$D$1048576,MATCH(База_КР_КК[[#This Row],[Структурное подразделение]],'Списки данных'!$C$2:$C$1048576,0))</f>
        <v>22</v>
      </c>
      <c r="I730" s="80" t="s">
        <v>135</v>
      </c>
      <c r="J730" s="80" t="s">
        <v>202</v>
      </c>
      <c r="K730" s="80" t="s">
        <v>21</v>
      </c>
      <c r="L730" s="30" t="s">
        <v>191</v>
      </c>
      <c r="M730" s="68">
        <v>7</v>
      </c>
      <c r="N730" s="181" t="str">
        <f t="shared" si="12"/>
        <v>да</v>
      </c>
      <c r="O730" s="23">
        <v>44743</v>
      </c>
      <c r="P730" s="23">
        <v>44753</v>
      </c>
      <c r="Q730" s="106" t="s">
        <v>66</v>
      </c>
      <c r="R730" s="37">
        <v>154</v>
      </c>
      <c r="S730" s="39" t="s">
        <v>566</v>
      </c>
      <c r="T730" s="37">
        <v>1250</v>
      </c>
      <c r="U730" s="38" t="s">
        <v>1652</v>
      </c>
      <c r="V730" s="69" t="s">
        <v>272</v>
      </c>
      <c r="W730" s="89" t="s">
        <v>135</v>
      </c>
      <c r="X730" s="106" t="s">
        <v>296</v>
      </c>
      <c r="Y730" s="107" t="s">
        <v>12</v>
      </c>
      <c r="Z730" s="67">
        <f>IF(База_КР_КК[[#This Row],[Таб.номер резервиста]]="-","-",IF(OR(База_КР_КК[[#This Row],[Уровень КК]]=2,База_КР_КК[[#This Row],[Уровень КК]]=3),IF(COUNTIFS($U$2:$U730,$U730,$F$2:$F730,$F730)=1,1,0),IF(COUNTIFS($U$2:$U730,$U730,$L$2:$L730,$L730)=1,1,0)))</f>
        <v>0</v>
      </c>
      <c r="AA7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0" s="106"/>
      <c r="AC730" s="51"/>
      <c r="AD730" s="106" t="s">
        <v>15</v>
      </c>
      <c r="AE730" s="33" t="s">
        <v>413</v>
      </c>
    </row>
    <row r="731" spans="1:31" ht="18" customHeight="1" x14ac:dyDescent="0.25">
      <c r="A7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1" s="79">
        <v>4</v>
      </c>
      <c r="C731" s="23">
        <v>43733</v>
      </c>
      <c r="D731" s="67">
        <f>IF(COUNTIF($G$2:$G731,$G731)=1,1,0)</f>
        <v>0</v>
      </c>
      <c r="E731" s="67" t="str">
        <f>IFERROR(VLOOKUP(База_КР_КК[[#This Row],[ИД штатной должности (S)]],'уровень защищенности'!$B$7:$F$1095,5,0),"не защищена")</f>
        <v>средний</v>
      </c>
      <c r="F731" s="68">
        <v>500650</v>
      </c>
      <c r="G731" s="74" t="s">
        <v>2311</v>
      </c>
      <c r="H731" s="181">
        <f>INDEX('Списки данных'!$D$2:$D$1048576,MATCH(База_КР_КК[[#This Row],[Структурное подразделение]],'Списки данных'!$C$2:$C$1048576,0))</f>
        <v>22</v>
      </c>
      <c r="I731" s="80" t="s">
        <v>135</v>
      </c>
      <c r="J731" s="80" t="s">
        <v>202</v>
      </c>
      <c r="K731" s="80" t="s">
        <v>21</v>
      </c>
      <c r="L731" s="30" t="s">
        <v>191</v>
      </c>
      <c r="M731" s="68">
        <v>7</v>
      </c>
      <c r="N731" s="181" t="str">
        <f t="shared" si="12"/>
        <v>да</v>
      </c>
      <c r="O731" s="23">
        <v>44743</v>
      </c>
      <c r="P731" s="23">
        <v>44753</v>
      </c>
      <c r="Q731" s="106" t="s">
        <v>66</v>
      </c>
      <c r="R731" s="37">
        <v>154</v>
      </c>
      <c r="S731" s="38" t="s">
        <v>566</v>
      </c>
      <c r="T731" s="37">
        <v>154</v>
      </c>
      <c r="U731" s="39" t="s">
        <v>566</v>
      </c>
      <c r="V731" s="89" t="s">
        <v>272</v>
      </c>
      <c r="W731" s="89" t="s">
        <v>135</v>
      </c>
      <c r="X731" s="106" t="s">
        <v>295</v>
      </c>
      <c r="Y731" s="107" t="s">
        <v>14</v>
      </c>
      <c r="Z731" s="67">
        <f>IF(База_КР_КК[[#This Row],[Таб.номер резервиста]]="-","-",IF(OR(База_КР_КК[[#This Row],[Уровень КК]]=2,База_КР_КК[[#This Row],[Уровень КК]]=3),IF(COUNTIFS($U$2:$U731,$U731,$F$2:$F731,$F731)=1,1,0),IF(COUNTIFS($U$2:$U731,$U731,$L$2:$L731,$L731)=1,1,0)))</f>
        <v>0</v>
      </c>
      <c r="AA7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731" s="106" t="s">
        <v>24</v>
      </c>
      <c r="AC731" s="51">
        <v>44753</v>
      </c>
      <c r="AD731" s="106" t="s">
        <v>17</v>
      </c>
      <c r="AE731" s="38" t="s">
        <v>324</v>
      </c>
    </row>
    <row r="732" spans="1:31" ht="18" customHeight="1" x14ac:dyDescent="0.25">
      <c r="A7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2" s="79">
        <v>4</v>
      </c>
      <c r="C732" s="23">
        <v>43733</v>
      </c>
      <c r="D732" s="67">
        <f>IF(COUNTIF($G$2:$G732,$G732)=1,1,0)</f>
        <v>1</v>
      </c>
      <c r="E732" s="67" t="str">
        <f>IFERROR(VLOOKUP(База_КР_КК[[#This Row],[ИД штатной должности (S)]],'уровень защищенности'!$B$7:$F$1095,5,0),"не защищена")</f>
        <v>средний</v>
      </c>
      <c r="F732" s="68">
        <v>500650</v>
      </c>
      <c r="G732" s="74" t="s">
        <v>2312</v>
      </c>
      <c r="H732" s="181">
        <f>INDEX('Списки данных'!$D$2:$D$1048576,MATCH(База_КР_КК[[#This Row],[Структурное подразделение]],'Списки данных'!$C$2:$C$1048576,0))</f>
        <v>22</v>
      </c>
      <c r="I732" s="80" t="s">
        <v>135</v>
      </c>
      <c r="J732" s="80" t="s">
        <v>202</v>
      </c>
      <c r="K732" s="80" t="s">
        <v>21</v>
      </c>
      <c r="L732" s="30" t="s">
        <v>191</v>
      </c>
      <c r="M732" s="68">
        <v>7</v>
      </c>
      <c r="N732" s="181" t="str">
        <f t="shared" si="12"/>
        <v>нет</v>
      </c>
      <c r="O732" s="23"/>
      <c r="P732" s="23"/>
      <c r="Q732" s="106"/>
      <c r="R732" s="37">
        <v>155</v>
      </c>
      <c r="S732" s="38" t="s">
        <v>567</v>
      </c>
      <c r="T732" s="37">
        <v>1248</v>
      </c>
      <c r="U732" s="39" t="s">
        <v>1651</v>
      </c>
      <c r="V732" s="89" t="s">
        <v>272</v>
      </c>
      <c r="W732" s="89" t="s">
        <v>135</v>
      </c>
      <c r="X732" s="106" t="s">
        <v>297</v>
      </c>
      <c r="Y732" s="107" t="s">
        <v>12</v>
      </c>
      <c r="Z732" s="67">
        <f>IF(База_КР_КК[[#This Row],[Таб.номер резервиста]]="-","-",IF(OR(База_КР_КК[[#This Row],[Уровень КК]]=2,База_КР_КК[[#This Row],[Уровень КК]]=3),IF(COUNTIFS($U$2:$U732,$U732,$F$2:$F732,$F732)=1,1,0),IF(COUNTIFS($U$2:$U732,$U732,$L$2:$L732,$L732)=1,1,0)))</f>
        <v>0</v>
      </c>
      <c r="AA7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2" s="106"/>
      <c r="AC732" s="51"/>
      <c r="AD732" s="106" t="s">
        <v>13</v>
      </c>
      <c r="AE732" s="38" t="s">
        <v>413</v>
      </c>
    </row>
    <row r="733" spans="1:31" ht="18" customHeight="1" x14ac:dyDescent="0.25">
      <c r="A7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3" s="79">
        <v>4</v>
      </c>
      <c r="C733" s="23">
        <v>44487</v>
      </c>
      <c r="D733" s="67">
        <f>IF(COUNTIF($G$2:$G733,$G733)=1,1,0)</f>
        <v>0</v>
      </c>
      <c r="E733" s="67" t="str">
        <f>IFERROR(VLOOKUP(База_КР_КК[[#This Row],[ИД штатной должности (S)]],'уровень защищенности'!$B$7:$F$1095,5,0),"не защищена")</f>
        <v>средний</v>
      </c>
      <c r="F733" s="68">
        <v>500650</v>
      </c>
      <c r="G733" s="74" t="s">
        <v>2312</v>
      </c>
      <c r="H733" s="181">
        <f>INDEX('Списки данных'!$D$2:$D$1048576,MATCH(База_КР_КК[[#This Row],[Структурное подразделение]],'Списки данных'!$C$2:$C$1048576,0))</f>
        <v>22</v>
      </c>
      <c r="I733" s="80" t="s">
        <v>135</v>
      </c>
      <c r="J733" s="80" t="s">
        <v>202</v>
      </c>
      <c r="K733" s="80" t="s">
        <v>21</v>
      </c>
      <c r="L733" s="30" t="s">
        <v>191</v>
      </c>
      <c r="M733" s="68">
        <v>7</v>
      </c>
      <c r="N733" s="181" t="str">
        <f t="shared" si="12"/>
        <v>нет</v>
      </c>
      <c r="O733" s="23"/>
      <c r="P733" s="23"/>
      <c r="Q733" s="106"/>
      <c r="R733" s="37">
        <v>155</v>
      </c>
      <c r="S733" s="38" t="s">
        <v>567</v>
      </c>
      <c r="T733" s="37">
        <v>1249</v>
      </c>
      <c r="U733" s="39" t="s">
        <v>1606</v>
      </c>
      <c r="V733" s="89" t="s">
        <v>272</v>
      </c>
      <c r="W733" s="89" t="s">
        <v>135</v>
      </c>
      <c r="X733" s="106" t="s">
        <v>296</v>
      </c>
      <c r="Y733" s="107" t="s">
        <v>12</v>
      </c>
      <c r="Z733" s="67">
        <f>IF(База_КР_КК[[#This Row],[Таб.номер резервиста]]="-","-",IF(OR(База_КР_КК[[#This Row],[Уровень КК]]=2,База_КР_КК[[#This Row],[Уровень КК]]=3),IF(COUNTIFS($U$2:$U733,$U733,$F$2:$F733,$F733)=1,1,0),IF(COUNTIFS($U$2:$U733,$U733,$L$2:$L733,$L733)=1,1,0)))</f>
        <v>0</v>
      </c>
      <c r="AA7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3" s="106"/>
      <c r="AC733" s="51"/>
      <c r="AD733" s="106" t="s">
        <v>13</v>
      </c>
      <c r="AE733" s="33" t="s">
        <v>413</v>
      </c>
    </row>
    <row r="734" spans="1:31" ht="18" customHeight="1" x14ac:dyDescent="0.25">
      <c r="A7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4" s="79">
        <v>4</v>
      </c>
      <c r="C734" s="23">
        <v>44879</v>
      </c>
      <c r="D734" s="67">
        <f>IF(COUNTIF($G$2:$G734,$G734)=1,1,0)</f>
        <v>0</v>
      </c>
      <c r="E734" s="67" t="str">
        <f>IFERROR(VLOOKUP(База_КР_КК[[#This Row],[ИД штатной должности (S)]],'уровень защищенности'!$B$7:$F$1095,5,0),"не защищена")</f>
        <v>средний</v>
      </c>
      <c r="F734" s="68">
        <v>500650</v>
      </c>
      <c r="G734" s="74" t="s">
        <v>2312</v>
      </c>
      <c r="H734" s="181">
        <f>INDEX('Списки данных'!$D$2:$D$1048576,MATCH(База_КР_КК[[#This Row],[Структурное подразделение]],'Списки данных'!$C$2:$C$1048576,0))</f>
        <v>22</v>
      </c>
      <c r="I734" s="80" t="s">
        <v>135</v>
      </c>
      <c r="J734" s="80" t="s">
        <v>202</v>
      </c>
      <c r="K734" s="80" t="s">
        <v>21</v>
      </c>
      <c r="L734" s="30" t="s">
        <v>191</v>
      </c>
      <c r="M734" s="68">
        <v>7</v>
      </c>
      <c r="N734" s="181" t="str">
        <f t="shared" si="12"/>
        <v>нет</v>
      </c>
      <c r="O734" s="23"/>
      <c r="P734" s="23"/>
      <c r="Q734" s="106"/>
      <c r="R734" s="37">
        <v>155</v>
      </c>
      <c r="S734" s="39" t="s">
        <v>567</v>
      </c>
      <c r="T734" s="37">
        <v>1250</v>
      </c>
      <c r="U734" s="38" t="s">
        <v>1652</v>
      </c>
      <c r="V734" s="69" t="s">
        <v>272</v>
      </c>
      <c r="W734" s="89" t="s">
        <v>135</v>
      </c>
      <c r="X734" s="106" t="s">
        <v>296</v>
      </c>
      <c r="Y734" s="107" t="s">
        <v>12</v>
      </c>
      <c r="Z734" s="67">
        <f>IF(База_КР_КК[[#This Row],[Таб.номер резервиста]]="-","-",IF(OR(База_КР_КК[[#This Row],[Уровень КК]]=2,База_КР_КК[[#This Row],[Уровень КК]]=3),IF(COUNTIFS($U$2:$U734,$U734,$F$2:$F734,$F734)=1,1,0),IF(COUNTIFS($U$2:$U734,$U734,$L$2:$L734,$L734)=1,1,0)))</f>
        <v>0</v>
      </c>
      <c r="AA7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4" s="106"/>
      <c r="AC734" s="51"/>
      <c r="AD734" s="106" t="s">
        <v>15</v>
      </c>
      <c r="AE734" s="33" t="s">
        <v>413</v>
      </c>
    </row>
    <row r="735" spans="1:31" ht="18" customHeight="1" x14ac:dyDescent="0.25">
      <c r="A7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5" s="79">
        <v>4</v>
      </c>
      <c r="C735" s="23">
        <v>43733</v>
      </c>
      <c r="D735" s="67">
        <f>IF(COUNTIF($G$2:$G735,$G735)=1,1,0)</f>
        <v>0</v>
      </c>
      <c r="E735" s="67" t="str">
        <f>IFERROR(VLOOKUP(База_КР_КК[[#This Row],[ИД штатной должности (S)]],'уровень защищенности'!$B$7:$F$1095,5,0),"не защищена")</f>
        <v>средний</v>
      </c>
      <c r="F735" s="68">
        <v>500650</v>
      </c>
      <c r="G735" s="74" t="s">
        <v>2312</v>
      </c>
      <c r="H735" s="181">
        <f>INDEX('Списки данных'!$D$2:$D$1048576,MATCH(База_КР_КК[[#This Row],[Структурное подразделение]],'Списки данных'!$C$2:$C$1048576,0))</f>
        <v>22</v>
      </c>
      <c r="I735" s="80" t="s">
        <v>135</v>
      </c>
      <c r="J735" s="80" t="s">
        <v>202</v>
      </c>
      <c r="K735" s="80" t="s">
        <v>21</v>
      </c>
      <c r="L735" s="30" t="s">
        <v>191</v>
      </c>
      <c r="M735" s="68">
        <v>7</v>
      </c>
      <c r="N735" s="181" t="str">
        <f t="shared" si="12"/>
        <v>нет</v>
      </c>
      <c r="O735" s="23"/>
      <c r="P735" s="23"/>
      <c r="Q735" s="106"/>
      <c r="R735" s="37">
        <v>155</v>
      </c>
      <c r="S735" s="38" t="s">
        <v>567</v>
      </c>
      <c r="T735" s="37">
        <v>154</v>
      </c>
      <c r="U735" s="39" t="s">
        <v>566</v>
      </c>
      <c r="V735" s="89" t="s">
        <v>272</v>
      </c>
      <c r="W735" s="89" t="s">
        <v>135</v>
      </c>
      <c r="X735" s="106" t="s">
        <v>295</v>
      </c>
      <c r="Y735" s="107" t="s">
        <v>14</v>
      </c>
      <c r="Z735" s="67">
        <f>IF(База_КР_КК[[#This Row],[Таб.номер резервиста]]="-","-",IF(OR(База_КР_КК[[#This Row],[Уровень КК]]=2,База_КР_КК[[#This Row],[Уровень КК]]=3),IF(COUNTIFS($U$2:$U735,$U735,$F$2:$F735,$F735)=1,1,0),IF(COUNTIFS($U$2:$U735,$U735,$L$2:$L735,$L735)=1,1,0)))</f>
        <v>0</v>
      </c>
      <c r="AA7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5" s="106" t="s">
        <v>24</v>
      </c>
      <c r="AC735" s="51">
        <v>44753</v>
      </c>
      <c r="AD735" s="106" t="s">
        <v>17</v>
      </c>
      <c r="AE735" s="38" t="s">
        <v>324</v>
      </c>
    </row>
    <row r="736" spans="1:31" ht="18" customHeight="1" x14ac:dyDescent="0.25">
      <c r="A7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6" s="79">
        <v>4</v>
      </c>
      <c r="C736" s="23">
        <v>44879</v>
      </c>
      <c r="D736" s="67">
        <f>IF(COUNTIF($G$2:$G736,$G736)=1,1,0)</f>
        <v>1</v>
      </c>
      <c r="E736" s="67" t="str">
        <f>IFERROR(VLOOKUP(База_КР_КК[[#This Row],[ИД штатной должности (S)]],'уровень защищенности'!$B$7:$F$1095,5,0),"не защищена")</f>
        <v>высокий</v>
      </c>
      <c r="F736" s="68">
        <v>500645</v>
      </c>
      <c r="G736" s="74" t="s">
        <v>2313</v>
      </c>
      <c r="H736" s="181">
        <f>INDEX('Списки данных'!$D$2:$D$1048576,MATCH(База_КР_КК[[#This Row],[Структурное подразделение]],'Списки данных'!$C$2:$C$1048576,0))</f>
        <v>22</v>
      </c>
      <c r="I736" s="80" t="s">
        <v>135</v>
      </c>
      <c r="J736" s="81" t="s">
        <v>202</v>
      </c>
      <c r="K736" s="80" t="s">
        <v>203</v>
      </c>
      <c r="L736" s="30" t="s">
        <v>187</v>
      </c>
      <c r="M736" s="68">
        <v>6</v>
      </c>
      <c r="N736" s="181" t="str">
        <f t="shared" si="12"/>
        <v>нет</v>
      </c>
      <c r="O736" s="23"/>
      <c r="P736" s="23"/>
      <c r="Q736" s="106"/>
      <c r="R736" s="37">
        <v>156</v>
      </c>
      <c r="S736" s="39" t="s">
        <v>568</v>
      </c>
      <c r="T736" s="37">
        <v>168</v>
      </c>
      <c r="U736" s="38" t="s">
        <v>580</v>
      </c>
      <c r="V736" s="69" t="s">
        <v>192</v>
      </c>
      <c r="W736" s="89" t="s">
        <v>135</v>
      </c>
      <c r="X736" s="106" t="s">
        <v>295</v>
      </c>
      <c r="Y736" s="107" t="s">
        <v>12</v>
      </c>
      <c r="Z736" s="67">
        <f>IF(База_КР_КК[[#This Row],[Таб.номер резервиста]]="-","-",IF(OR(База_КР_КК[[#This Row],[Уровень КК]]=2,База_КР_КК[[#This Row],[Уровень КК]]=3),IF(COUNTIFS($U$2:$U736,$U736,$F$2:$F736,$F736)=1,1,0),IF(COUNTIFS($U$2:$U736,$U736,$L$2:$L736,$L736)=1,1,0)))</f>
        <v>1</v>
      </c>
      <c r="AA7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6" s="106"/>
      <c r="AC736" s="51"/>
      <c r="AD736" s="106" t="s">
        <v>15</v>
      </c>
      <c r="AE736" s="33" t="s">
        <v>413</v>
      </c>
    </row>
    <row r="737" spans="1:31" ht="18" customHeight="1" x14ac:dyDescent="0.25">
      <c r="A7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7" s="79">
        <v>4</v>
      </c>
      <c r="C737" s="23">
        <v>44879</v>
      </c>
      <c r="D737" s="67">
        <f>IF(COUNTIF($G$2:$G737,$G737)=1,1,0)</f>
        <v>1</v>
      </c>
      <c r="E737" s="67" t="str">
        <f>IFERROR(VLOOKUP(База_КР_КК[[#This Row],[ИД штатной должности (S)]],'уровень защищенности'!$B$7:$F$1095,5,0),"не защищена")</f>
        <v>высокий</v>
      </c>
      <c r="F737" s="68">
        <v>500646</v>
      </c>
      <c r="G737" s="74" t="s">
        <v>2314</v>
      </c>
      <c r="H737" s="181">
        <f>INDEX('Списки данных'!$D$2:$D$1048576,MATCH(База_КР_КК[[#This Row],[Структурное подразделение]],'Списки данных'!$C$2:$C$1048576,0))</f>
        <v>22</v>
      </c>
      <c r="I737" s="80" t="s">
        <v>135</v>
      </c>
      <c r="J737" s="81" t="s">
        <v>202</v>
      </c>
      <c r="K737" s="80" t="s">
        <v>21</v>
      </c>
      <c r="L737" s="30" t="s">
        <v>189</v>
      </c>
      <c r="M737" s="68">
        <v>6</v>
      </c>
      <c r="N737" s="181" t="str">
        <f t="shared" si="12"/>
        <v>нет</v>
      </c>
      <c r="O737" s="23"/>
      <c r="P737" s="23"/>
      <c r="Q737" s="106"/>
      <c r="R737" s="43">
        <v>157</v>
      </c>
      <c r="S737" s="39" t="s">
        <v>569</v>
      </c>
      <c r="T737" s="37">
        <v>160</v>
      </c>
      <c r="U737" s="38" t="s">
        <v>572</v>
      </c>
      <c r="V737" s="69" t="s">
        <v>192</v>
      </c>
      <c r="W737" s="89" t="s">
        <v>135</v>
      </c>
      <c r="X737" s="106" t="s">
        <v>295</v>
      </c>
      <c r="Y737" s="107" t="s">
        <v>12</v>
      </c>
      <c r="Z737" s="67">
        <f>IF(База_КР_КК[[#This Row],[Таб.номер резервиста]]="-","-",IF(OR(База_КР_КК[[#This Row],[Уровень КК]]=2,База_КР_КК[[#This Row],[Уровень КК]]=3),IF(COUNTIFS($U$2:$U737,$U737,$F$2:$F737,$F737)=1,1,0),IF(COUNTIFS($U$2:$U737,$U737,$L$2:$L737,$L737)=1,1,0)))</f>
        <v>1</v>
      </c>
      <c r="AA7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7" s="106"/>
      <c r="AC737" s="51"/>
      <c r="AD737" s="106" t="s">
        <v>15</v>
      </c>
      <c r="AE737" s="33" t="s">
        <v>413</v>
      </c>
    </row>
    <row r="738" spans="1:31" ht="18" customHeight="1" x14ac:dyDescent="0.25">
      <c r="A7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8" s="79">
        <v>4</v>
      </c>
      <c r="C738" s="23">
        <v>43733</v>
      </c>
      <c r="D738" s="67">
        <f>IF(COUNTIF($G$2:$G738,$G738)=1,1,0)</f>
        <v>1</v>
      </c>
      <c r="E738" s="67" t="str">
        <f>IFERROR(VLOOKUP(База_КР_КК[[#This Row],[ИД штатной должности (S)]],'уровень защищенности'!$B$7:$F$1095,5,0),"не защищена")</f>
        <v>высокий</v>
      </c>
      <c r="F738" s="68">
        <v>500663</v>
      </c>
      <c r="G738" s="74" t="s">
        <v>2315</v>
      </c>
      <c r="H738" s="181">
        <f>INDEX('Списки данных'!$D$2:$D$1048576,MATCH(База_КР_КК[[#This Row],[Структурное подразделение]],'Списки данных'!$C$2:$C$1048576,0))</f>
        <v>22</v>
      </c>
      <c r="I738" s="80" t="s">
        <v>135</v>
      </c>
      <c r="J738" s="80" t="s">
        <v>202</v>
      </c>
      <c r="K738" s="80" t="s">
        <v>203</v>
      </c>
      <c r="L738" s="30" t="s">
        <v>191</v>
      </c>
      <c r="M738" s="68">
        <v>6</v>
      </c>
      <c r="N738" s="181" t="str">
        <f t="shared" si="12"/>
        <v>да</v>
      </c>
      <c r="O738" s="23">
        <v>44820</v>
      </c>
      <c r="P738" s="23">
        <v>44841</v>
      </c>
      <c r="Q738" s="106" t="s">
        <v>66</v>
      </c>
      <c r="R738" s="37">
        <v>158</v>
      </c>
      <c r="S738" s="38" t="s">
        <v>570</v>
      </c>
      <c r="T738" s="37">
        <v>1251</v>
      </c>
      <c r="U738" s="39" t="s">
        <v>1653</v>
      </c>
      <c r="V738" s="89" t="s">
        <v>272</v>
      </c>
      <c r="W738" s="89" t="s">
        <v>135</v>
      </c>
      <c r="X738" s="106" t="s">
        <v>297</v>
      </c>
      <c r="Y738" s="107" t="s">
        <v>12</v>
      </c>
      <c r="Z738" s="67">
        <f>IF(База_КР_КК[[#This Row],[Таб.номер резервиста]]="-","-",IF(OR(База_КР_КК[[#This Row],[Уровень КК]]=2,База_КР_КК[[#This Row],[Уровень КК]]=3),IF(COUNTIFS($U$2:$U738,$U738,$F$2:$F738,$F738)=1,1,0),IF(COUNTIFS($U$2:$U738,$U738,$L$2:$L738,$L738)=1,1,0)))</f>
        <v>1</v>
      </c>
      <c r="AA7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8" s="106"/>
      <c r="AC738" s="51"/>
      <c r="AD738" s="106" t="s">
        <v>13</v>
      </c>
      <c r="AE738" s="38" t="s">
        <v>413</v>
      </c>
    </row>
    <row r="739" spans="1:31" ht="18" customHeight="1" x14ac:dyDescent="0.25">
      <c r="A7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39" s="79">
        <v>4</v>
      </c>
      <c r="C739" s="23">
        <v>43733</v>
      </c>
      <c r="D739" s="67">
        <f>IF(COUNTIF($G$2:$G739,$G739)=1,1,0)</f>
        <v>0</v>
      </c>
      <c r="E739" s="67" t="str">
        <f>IFERROR(VLOOKUP(База_КР_КК[[#This Row],[ИД штатной должности (S)]],'уровень защищенности'!$B$7:$F$1095,5,0),"не защищена")</f>
        <v>высокий</v>
      </c>
      <c r="F739" s="68">
        <v>500663</v>
      </c>
      <c r="G739" s="74" t="s">
        <v>2315</v>
      </c>
      <c r="H739" s="181">
        <f>INDEX('Списки данных'!$D$2:$D$1048576,MATCH(База_КР_КК[[#This Row],[Структурное подразделение]],'Списки данных'!$C$2:$C$1048576,0))</f>
        <v>22</v>
      </c>
      <c r="I739" s="80" t="s">
        <v>135</v>
      </c>
      <c r="J739" s="80" t="s">
        <v>202</v>
      </c>
      <c r="K739" s="80" t="s">
        <v>203</v>
      </c>
      <c r="L739" s="30" t="s">
        <v>191</v>
      </c>
      <c r="M739" s="68">
        <v>6</v>
      </c>
      <c r="N739" s="181" t="str">
        <f t="shared" si="12"/>
        <v>да</v>
      </c>
      <c r="O739" s="23">
        <v>44820</v>
      </c>
      <c r="P739" s="23">
        <v>44841</v>
      </c>
      <c r="Q739" s="106" t="s">
        <v>66</v>
      </c>
      <c r="R739" s="37">
        <v>158</v>
      </c>
      <c r="S739" s="38" t="s">
        <v>570</v>
      </c>
      <c r="T739" s="37">
        <v>1252</v>
      </c>
      <c r="U739" s="39" t="s">
        <v>1654</v>
      </c>
      <c r="V739" s="89" t="s">
        <v>272</v>
      </c>
      <c r="W739" s="89" t="s">
        <v>135</v>
      </c>
      <c r="X739" s="106" t="s">
        <v>295</v>
      </c>
      <c r="Y739" s="107" t="s">
        <v>12</v>
      </c>
      <c r="Z739" s="67">
        <f>IF(База_КР_КК[[#This Row],[Таб.номер резервиста]]="-","-",IF(OR(База_КР_КК[[#This Row],[Уровень КК]]=2,База_КР_КК[[#This Row],[Уровень КК]]=3),IF(COUNTIFS($U$2:$U739,$U739,$F$2:$F739,$F739)=1,1,0),IF(COUNTIFS($U$2:$U739,$U739,$L$2:$L739,$L739)=1,1,0)))</f>
        <v>1</v>
      </c>
      <c r="AA7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39" s="106"/>
      <c r="AC739" s="51"/>
      <c r="AD739" s="106" t="s">
        <v>13</v>
      </c>
      <c r="AE739" s="38" t="s">
        <v>413</v>
      </c>
    </row>
    <row r="740" spans="1:31" ht="18" customHeight="1" x14ac:dyDescent="0.25">
      <c r="A7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0" s="79">
        <v>4</v>
      </c>
      <c r="C740" s="23">
        <v>43733</v>
      </c>
      <c r="D740" s="67">
        <f>IF(COUNTIF($G$2:$G740,$G740)=1,1,0)</f>
        <v>0</v>
      </c>
      <c r="E740" s="67" t="str">
        <f>IFERROR(VLOOKUP(База_КР_КК[[#This Row],[ИД штатной должности (S)]],'уровень защищенности'!$B$7:$F$1095,5,0),"не защищена")</f>
        <v>высокий</v>
      </c>
      <c r="F740" s="68">
        <v>500663</v>
      </c>
      <c r="G740" s="74" t="s">
        <v>2315</v>
      </c>
      <c r="H740" s="181">
        <f>INDEX('Списки данных'!$D$2:$D$1048576,MATCH(База_КР_КК[[#This Row],[Структурное подразделение]],'Списки данных'!$C$2:$C$1048576,0))</f>
        <v>22</v>
      </c>
      <c r="I740" s="80" t="s">
        <v>135</v>
      </c>
      <c r="J740" s="80" t="s">
        <v>202</v>
      </c>
      <c r="K740" s="80" t="s">
        <v>203</v>
      </c>
      <c r="L740" s="30" t="s">
        <v>191</v>
      </c>
      <c r="M740" s="68">
        <v>6</v>
      </c>
      <c r="N740" s="181" t="str">
        <f t="shared" si="12"/>
        <v>да</v>
      </c>
      <c r="O740" s="23">
        <v>44820</v>
      </c>
      <c r="P740" s="23">
        <v>44841</v>
      </c>
      <c r="Q740" s="106" t="s">
        <v>66</v>
      </c>
      <c r="R740" s="37">
        <v>158</v>
      </c>
      <c r="S740" s="38" t="s">
        <v>570</v>
      </c>
      <c r="T740" s="37">
        <v>158</v>
      </c>
      <c r="U740" s="39" t="s">
        <v>570</v>
      </c>
      <c r="V740" s="89" t="s">
        <v>272</v>
      </c>
      <c r="W740" s="89" t="s">
        <v>135</v>
      </c>
      <c r="X740" s="106" t="s">
        <v>295</v>
      </c>
      <c r="Y740" s="107" t="s">
        <v>14</v>
      </c>
      <c r="Z740" s="67">
        <f>IF(База_КР_КК[[#This Row],[Таб.номер резервиста]]="-","-",IF(OR(База_КР_КК[[#This Row],[Уровень КК]]=2,База_КР_КК[[#This Row],[Уровень КК]]=3),IF(COUNTIFS($U$2:$U740,$U740,$F$2:$F740,$F740)=1,1,0),IF(COUNTIFS($U$2:$U740,$U740,$L$2:$L740,$L740)=1,1,0)))</f>
        <v>1</v>
      </c>
      <c r="AA7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740" s="106" t="s">
        <v>24</v>
      </c>
      <c r="AC740" s="51">
        <v>44841</v>
      </c>
      <c r="AD740" s="106" t="s">
        <v>13</v>
      </c>
      <c r="AE740" s="38" t="s">
        <v>323</v>
      </c>
    </row>
    <row r="741" spans="1:31" ht="18" customHeight="1" x14ac:dyDescent="0.25">
      <c r="A7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1" s="79">
        <v>4</v>
      </c>
      <c r="C741" s="23">
        <v>43733</v>
      </c>
      <c r="D741" s="67">
        <f>IF(COUNTIF($G$2:$G741,$G741)=1,1,0)</f>
        <v>0</v>
      </c>
      <c r="E741" s="67" t="str">
        <f>IFERROR(VLOOKUP(База_КР_КК[[#This Row],[ИД штатной должности (S)]],'уровень защищенности'!$B$7:$F$1095,5,0),"не защищена")</f>
        <v>высокий</v>
      </c>
      <c r="F741" s="68">
        <v>500663</v>
      </c>
      <c r="G741" s="74" t="s">
        <v>2315</v>
      </c>
      <c r="H741" s="181">
        <f>INDEX('Списки данных'!$D$2:$D$1048576,MATCH(База_КР_КК[[#This Row],[Структурное подразделение]],'Списки данных'!$C$2:$C$1048576,0))</f>
        <v>22</v>
      </c>
      <c r="I741" s="80" t="s">
        <v>135</v>
      </c>
      <c r="J741" s="80" t="s">
        <v>202</v>
      </c>
      <c r="K741" s="80" t="s">
        <v>203</v>
      </c>
      <c r="L741" s="30" t="s">
        <v>191</v>
      </c>
      <c r="M741" s="68">
        <v>6</v>
      </c>
      <c r="N741" s="181" t="str">
        <f t="shared" si="12"/>
        <v>да</v>
      </c>
      <c r="O741" s="23">
        <v>44820</v>
      </c>
      <c r="P741" s="23">
        <v>44841</v>
      </c>
      <c r="Q741" s="106" t="s">
        <v>66</v>
      </c>
      <c r="R741" s="37">
        <v>158</v>
      </c>
      <c r="S741" s="38" t="s">
        <v>570</v>
      </c>
      <c r="T741" s="37">
        <v>1253</v>
      </c>
      <c r="U741" s="39" t="s">
        <v>1655</v>
      </c>
      <c r="V741" s="89" t="s">
        <v>272</v>
      </c>
      <c r="W741" s="89" t="s">
        <v>135</v>
      </c>
      <c r="X741" s="106" t="s">
        <v>295</v>
      </c>
      <c r="Y741" s="107" t="s">
        <v>18</v>
      </c>
      <c r="Z741" s="67">
        <f>IF(База_КР_КК[[#This Row],[Таб.номер резервиста]]="-","-",IF(OR(База_КР_КК[[#This Row],[Уровень КК]]=2,База_КР_КК[[#This Row],[Уровень КК]]=3),IF(COUNTIFS($U$2:$U741,$U741,$F$2:$F741,$F741)=1,1,0),IF(COUNTIFS($U$2:$U741,$U741,$L$2:$L741,$L741)=1,1,0)))</f>
        <v>1</v>
      </c>
      <c r="AA7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1" s="106" t="s">
        <v>19</v>
      </c>
      <c r="AC741" s="51">
        <v>44183</v>
      </c>
      <c r="AD741" s="106" t="s">
        <v>17</v>
      </c>
      <c r="AE741" s="38" t="s">
        <v>323</v>
      </c>
    </row>
    <row r="742" spans="1:31" ht="18" customHeight="1" x14ac:dyDescent="0.25">
      <c r="A7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2" s="79">
        <v>4</v>
      </c>
      <c r="C742" s="23">
        <v>43733</v>
      </c>
      <c r="D742" s="67">
        <f>IF(COUNTIF($G$2:$G742,$G742)=1,1,0)</f>
        <v>1</v>
      </c>
      <c r="E742" s="67" t="str">
        <f>IFERROR(VLOOKUP(База_КР_КК[[#This Row],[ИД штатной должности (S)]],'уровень защищенности'!$B$7:$F$1095,5,0),"не защищена")</f>
        <v>высокий</v>
      </c>
      <c r="F742" s="68">
        <v>500663</v>
      </c>
      <c r="G742" s="74" t="s">
        <v>2316</v>
      </c>
      <c r="H742" s="181">
        <f>INDEX('Списки данных'!$D$2:$D$1048576,MATCH(База_КР_КК[[#This Row],[Структурное подразделение]],'Списки данных'!$C$2:$C$1048576,0))</f>
        <v>22</v>
      </c>
      <c r="I742" s="80" t="s">
        <v>135</v>
      </c>
      <c r="J742" s="80" t="s">
        <v>202</v>
      </c>
      <c r="K742" s="80" t="s">
        <v>203</v>
      </c>
      <c r="L742" s="30" t="s">
        <v>191</v>
      </c>
      <c r="M742" s="68">
        <v>6</v>
      </c>
      <c r="N742" s="181" t="str">
        <f t="shared" si="12"/>
        <v>нет</v>
      </c>
      <c r="O742" s="23"/>
      <c r="P742" s="23"/>
      <c r="Q742" s="106"/>
      <c r="R742" s="37">
        <v>159</v>
      </c>
      <c r="S742" s="38" t="s">
        <v>571</v>
      </c>
      <c r="T742" s="37">
        <v>1251</v>
      </c>
      <c r="U742" s="39" t="s">
        <v>1653</v>
      </c>
      <c r="V742" s="89" t="s">
        <v>272</v>
      </c>
      <c r="W742" s="89" t="s">
        <v>135</v>
      </c>
      <c r="X742" s="106" t="s">
        <v>297</v>
      </c>
      <c r="Y742" s="107" t="s">
        <v>12</v>
      </c>
      <c r="Z742" s="67">
        <f>IF(База_КР_КК[[#This Row],[Таб.номер резервиста]]="-","-",IF(OR(База_КР_КК[[#This Row],[Уровень КК]]=2,База_КР_КК[[#This Row],[Уровень КК]]=3),IF(COUNTIFS($U$2:$U742,$U742,$F$2:$F742,$F742)=1,1,0),IF(COUNTIFS($U$2:$U742,$U742,$L$2:$L742,$L742)=1,1,0)))</f>
        <v>0</v>
      </c>
      <c r="AA7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2" s="106"/>
      <c r="AC742" s="51"/>
      <c r="AD742" s="106" t="s">
        <v>13</v>
      </c>
      <c r="AE742" s="38" t="s">
        <v>413</v>
      </c>
    </row>
    <row r="743" spans="1:31" ht="18" customHeight="1" x14ac:dyDescent="0.25">
      <c r="A7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3" s="79">
        <v>4</v>
      </c>
      <c r="C743" s="23">
        <v>43733</v>
      </c>
      <c r="D743" s="67">
        <f>IF(COUNTIF($G$2:$G743,$G743)=1,1,0)</f>
        <v>0</v>
      </c>
      <c r="E743" s="67" t="str">
        <f>IFERROR(VLOOKUP(База_КР_КК[[#This Row],[ИД штатной должности (S)]],'уровень защищенности'!$B$7:$F$1095,5,0),"не защищена")</f>
        <v>высокий</v>
      </c>
      <c r="F743" s="68">
        <v>500663</v>
      </c>
      <c r="G743" s="74" t="s">
        <v>2316</v>
      </c>
      <c r="H743" s="181">
        <f>INDEX('Списки данных'!$D$2:$D$1048576,MATCH(База_КР_КК[[#This Row],[Структурное подразделение]],'Списки данных'!$C$2:$C$1048576,0))</f>
        <v>22</v>
      </c>
      <c r="I743" s="80" t="s">
        <v>135</v>
      </c>
      <c r="J743" s="80" t="s">
        <v>202</v>
      </c>
      <c r="K743" s="80" t="s">
        <v>203</v>
      </c>
      <c r="L743" s="30" t="s">
        <v>191</v>
      </c>
      <c r="M743" s="68">
        <v>6</v>
      </c>
      <c r="N743" s="181" t="str">
        <f t="shared" si="12"/>
        <v>нет</v>
      </c>
      <c r="O743" s="23"/>
      <c r="P743" s="23"/>
      <c r="Q743" s="106"/>
      <c r="R743" s="37">
        <v>159</v>
      </c>
      <c r="S743" s="38" t="s">
        <v>571</v>
      </c>
      <c r="T743" s="37">
        <v>1252</v>
      </c>
      <c r="U743" s="39" t="s">
        <v>1654</v>
      </c>
      <c r="V743" s="89" t="s">
        <v>272</v>
      </c>
      <c r="W743" s="89" t="s">
        <v>135</v>
      </c>
      <c r="X743" s="106" t="s">
        <v>295</v>
      </c>
      <c r="Y743" s="107" t="s">
        <v>12</v>
      </c>
      <c r="Z743" s="67">
        <f>IF(База_КР_КК[[#This Row],[Таб.номер резервиста]]="-","-",IF(OR(База_КР_КК[[#This Row],[Уровень КК]]=2,База_КР_КК[[#This Row],[Уровень КК]]=3),IF(COUNTIFS($U$2:$U743,$U743,$F$2:$F743,$F743)=1,1,0),IF(COUNTIFS($U$2:$U743,$U743,$L$2:$L743,$L743)=1,1,0)))</f>
        <v>0</v>
      </c>
      <c r="AA7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3" s="106"/>
      <c r="AC743" s="51"/>
      <c r="AD743" s="106" t="s">
        <v>13</v>
      </c>
      <c r="AE743" s="38" t="s">
        <v>413</v>
      </c>
    </row>
    <row r="744" spans="1:31" ht="18" customHeight="1" x14ac:dyDescent="0.25">
      <c r="A7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4" s="79">
        <v>4</v>
      </c>
      <c r="C744" s="23">
        <v>43733</v>
      </c>
      <c r="D744" s="67">
        <f>IF(COUNTIF($G$2:$G744,$G744)=1,1,0)</f>
        <v>0</v>
      </c>
      <c r="E744" s="67" t="str">
        <f>IFERROR(VLOOKUP(База_КР_КК[[#This Row],[ИД штатной должности (S)]],'уровень защищенности'!$B$7:$F$1095,5,0),"не защищена")</f>
        <v>высокий</v>
      </c>
      <c r="F744" s="68">
        <v>500663</v>
      </c>
      <c r="G744" s="74" t="s">
        <v>2316</v>
      </c>
      <c r="H744" s="181">
        <f>INDEX('Списки данных'!$D$2:$D$1048576,MATCH(База_КР_КК[[#This Row],[Структурное подразделение]],'Списки данных'!$C$2:$C$1048576,0))</f>
        <v>22</v>
      </c>
      <c r="I744" s="80" t="s">
        <v>135</v>
      </c>
      <c r="J744" s="80" t="s">
        <v>202</v>
      </c>
      <c r="K744" s="80" t="s">
        <v>203</v>
      </c>
      <c r="L744" s="30" t="s">
        <v>191</v>
      </c>
      <c r="M744" s="68">
        <v>6</v>
      </c>
      <c r="N744" s="181" t="str">
        <f t="shared" si="12"/>
        <v>нет</v>
      </c>
      <c r="O744" s="23"/>
      <c r="P744" s="23"/>
      <c r="Q744" s="106"/>
      <c r="R744" s="37">
        <v>159</v>
      </c>
      <c r="S744" s="38" t="s">
        <v>571</v>
      </c>
      <c r="T744" s="37">
        <v>158</v>
      </c>
      <c r="U744" s="39" t="s">
        <v>570</v>
      </c>
      <c r="V744" s="89" t="s">
        <v>272</v>
      </c>
      <c r="W744" s="89" t="s">
        <v>135</v>
      </c>
      <c r="X744" s="106" t="s">
        <v>295</v>
      </c>
      <c r="Y744" s="107" t="s">
        <v>18</v>
      </c>
      <c r="Z744" s="67">
        <f>IF(База_КР_КК[[#This Row],[Таб.номер резервиста]]="-","-",IF(OR(База_КР_КК[[#This Row],[Уровень КК]]=2,База_КР_КК[[#This Row],[Уровень КК]]=3),IF(COUNTIFS($U$2:$U744,$U744,$F$2:$F744,$F744)=1,1,0),IF(COUNTIFS($U$2:$U744,$U744,$L$2:$L744,$L744)=1,1,0)))</f>
        <v>0</v>
      </c>
      <c r="AA7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4" s="106" t="s">
        <v>24</v>
      </c>
      <c r="AC744" s="51">
        <v>44841</v>
      </c>
      <c r="AD744" s="106" t="s">
        <v>13</v>
      </c>
      <c r="AE744" s="38" t="s">
        <v>323</v>
      </c>
    </row>
    <row r="745" spans="1:31" ht="18" customHeight="1" x14ac:dyDescent="0.25">
      <c r="A7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5" s="79">
        <v>4</v>
      </c>
      <c r="C745" s="23">
        <v>43733</v>
      </c>
      <c r="D745" s="67">
        <f>IF(COUNTIF($G$2:$G745,$G745)=1,1,0)</f>
        <v>0</v>
      </c>
      <c r="E745" s="67" t="str">
        <f>IFERROR(VLOOKUP(База_КР_КК[[#This Row],[ИД штатной должности (S)]],'уровень защищенности'!$B$7:$F$1095,5,0),"не защищена")</f>
        <v>высокий</v>
      </c>
      <c r="F745" s="68">
        <v>500663</v>
      </c>
      <c r="G745" s="74" t="s">
        <v>2316</v>
      </c>
      <c r="H745" s="181">
        <f>INDEX('Списки данных'!$D$2:$D$1048576,MATCH(База_КР_КК[[#This Row],[Структурное подразделение]],'Списки данных'!$C$2:$C$1048576,0))</f>
        <v>22</v>
      </c>
      <c r="I745" s="80" t="s">
        <v>135</v>
      </c>
      <c r="J745" s="80" t="s">
        <v>202</v>
      </c>
      <c r="K745" s="80" t="s">
        <v>203</v>
      </c>
      <c r="L745" s="30" t="s">
        <v>191</v>
      </c>
      <c r="M745" s="68">
        <v>6</v>
      </c>
      <c r="N745" s="181" t="str">
        <f t="shared" si="12"/>
        <v>нет</v>
      </c>
      <c r="O745" s="23"/>
      <c r="P745" s="23"/>
      <c r="Q745" s="106"/>
      <c r="R745" s="37">
        <v>159</v>
      </c>
      <c r="S745" s="38" t="s">
        <v>571</v>
      </c>
      <c r="T745" s="37">
        <v>1253</v>
      </c>
      <c r="U745" s="39" t="s">
        <v>1655</v>
      </c>
      <c r="V745" s="89" t="s">
        <v>272</v>
      </c>
      <c r="W745" s="89" t="s">
        <v>135</v>
      </c>
      <c r="X745" s="106" t="s">
        <v>295</v>
      </c>
      <c r="Y745" s="107" t="s">
        <v>18</v>
      </c>
      <c r="Z745" s="67">
        <f>IF(База_КР_КК[[#This Row],[Таб.номер резервиста]]="-","-",IF(OR(База_КР_КК[[#This Row],[Уровень КК]]=2,База_КР_КК[[#This Row],[Уровень КК]]=3),IF(COUNTIFS($U$2:$U745,$U745,$F$2:$F745,$F745)=1,1,0),IF(COUNTIFS($U$2:$U745,$U745,$L$2:$L745,$L745)=1,1,0)))</f>
        <v>0</v>
      </c>
      <c r="AA7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5" s="106" t="s">
        <v>19</v>
      </c>
      <c r="AC745" s="51">
        <v>44183</v>
      </c>
      <c r="AD745" s="106" t="s">
        <v>17</v>
      </c>
      <c r="AE745" s="38" t="s">
        <v>323</v>
      </c>
    </row>
    <row r="746" spans="1:31" ht="18" customHeight="1" x14ac:dyDescent="0.25">
      <c r="A7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6" s="79">
        <v>4</v>
      </c>
      <c r="C746" s="23">
        <v>43733</v>
      </c>
      <c r="D746" s="67">
        <f>IF(COUNTIF($G$2:$G746,$G746)=1,1,0)</f>
        <v>1</v>
      </c>
      <c r="E746" s="67" t="str">
        <f>IFERROR(VLOOKUP(База_КР_КК[[#This Row],[ИД штатной должности (S)]],'уровень защищенности'!$B$7:$F$1095,5,0),"не защищена")</f>
        <v>высокий</v>
      </c>
      <c r="F746" s="68">
        <v>500663</v>
      </c>
      <c r="G746" s="74" t="s">
        <v>2317</v>
      </c>
      <c r="H746" s="181">
        <f>INDEX('Списки данных'!$D$2:$D$1048576,MATCH(База_КР_КК[[#This Row],[Структурное подразделение]],'Списки данных'!$C$2:$C$1048576,0))</f>
        <v>22</v>
      </c>
      <c r="I746" s="80" t="s">
        <v>135</v>
      </c>
      <c r="J746" s="80" t="s">
        <v>202</v>
      </c>
      <c r="K746" s="80" t="s">
        <v>203</v>
      </c>
      <c r="L746" s="30" t="s">
        <v>191</v>
      </c>
      <c r="M746" s="68">
        <v>6</v>
      </c>
      <c r="N746" s="181" t="str">
        <f t="shared" si="12"/>
        <v>нет</v>
      </c>
      <c r="O746" s="23"/>
      <c r="P746" s="23"/>
      <c r="Q746" s="106"/>
      <c r="R746" s="37">
        <v>160</v>
      </c>
      <c r="S746" s="38" t="s">
        <v>572</v>
      </c>
      <c r="T746" s="37">
        <v>1251</v>
      </c>
      <c r="U746" s="39" t="s">
        <v>1653</v>
      </c>
      <c r="V746" s="89" t="s">
        <v>272</v>
      </c>
      <c r="W746" s="89" t="s">
        <v>135</v>
      </c>
      <c r="X746" s="106" t="s">
        <v>297</v>
      </c>
      <c r="Y746" s="107" t="s">
        <v>12</v>
      </c>
      <c r="Z746" s="67">
        <f>IF(База_КР_КК[[#This Row],[Таб.номер резервиста]]="-","-",IF(OR(База_КР_КК[[#This Row],[Уровень КК]]=2,База_КР_КК[[#This Row],[Уровень КК]]=3),IF(COUNTIFS($U$2:$U746,$U746,$F$2:$F746,$F746)=1,1,0),IF(COUNTIFS($U$2:$U746,$U746,$L$2:$L746,$L746)=1,1,0)))</f>
        <v>0</v>
      </c>
      <c r="AA7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6" s="106"/>
      <c r="AC746" s="51"/>
      <c r="AD746" s="106" t="s">
        <v>13</v>
      </c>
      <c r="AE746" s="38" t="s">
        <v>413</v>
      </c>
    </row>
    <row r="747" spans="1:31" ht="18" customHeight="1" x14ac:dyDescent="0.25">
      <c r="A7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7" s="79">
        <v>4</v>
      </c>
      <c r="C747" s="23">
        <v>43733</v>
      </c>
      <c r="D747" s="67">
        <f>IF(COUNTIF($G$2:$G747,$G747)=1,1,0)</f>
        <v>0</v>
      </c>
      <c r="E747" s="67" t="str">
        <f>IFERROR(VLOOKUP(База_КР_КК[[#This Row],[ИД штатной должности (S)]],'уровень защищенности'!$B$7:$F$1095,5,0),"не защищена")</f>
        <v>высокий</v>
      </c>
      <c r="F747" s="68">
        <v>500663</v>
      </c>
      <c r="G747" s="74" t="s">
        <v>2317</v>
      </c>
      <c r="H747" s="181">
        <f>INDEX('Списки данных'!$D$2:$D$1048576,MATCH(База_КР_КК[[#This Row],[Структурное подразделение]],'Списки данных'!$C$2:$C$1048576,0))</f>
        <v>22</v>
      </c>
      <c r="I747" s="80" t="s">
        <v>135</v>
      </c>
      <c r="J747" s="80" t="s">
        <v>202</v>
      </c>
      <c r="K747" s="80" t="s">
        <v>203</v>
      </c>
      <c r="L747" s="30" t="s">
        <v>191</v>
      </c>
      <c r="M747" s="68">
        <v>6</v>
      </c>
      <c r="N747" s="181" t="str">
        <f t="shared" si="12"/>
        <v>нет</v>
      </c>
      <c r="O747" s="23"/>
      <c r="P747" s="23"/>
      <c r="Q747" s="106"/>
      <c r="R747" s="37">
        <v>160</v>
      </c>
      <c r="S747" s="38" t="s">
        <v>572</v>
      </c>
      <c r="T747" s="37">
        <v>1252</v>
      </c>
      <c r="U747" s="39" t="s">
        <v>1654</v>
      </c>
      <c r="V747" s="89" t="s">
        <v>272</v>
      </c>
      <c r="W747" s="89" t="s">
        <v>135</v>
      </c>
      <c r="X747" s="106" t="s">
        <v>295</v>
      </c>
      <c r="Y747" s="107" t="s">
        <v>12</v>
      </c>
      <c r="Z747" s="67">
        <f>IF(База_КР_КК[[#This Row],[Таб.номер резервиста]]="-","-",IF(OR(База_КР_КК[[#This Row],[Уровень КК]]=2,База_КР_КК[[#This Row],[Уровень КК]]=3),IF(COUNTIFS($U$2:$U747,$U747,$F$2:$F747,$F747)=1,1,0),IF(COUNTIFS($U$2:$U747,$U747,$L$2:$L747,$L747)=1,1,0)))</f>
        <v>0</v>
      </c>
      <c r="AA7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7" s="106"/>
      <c r="AC747" s="51"/>
      <c r="AD747" s="106" t="s">
        <v>13</v>
      </c>
      <c r="AE747" s="38" t="s">
        <v>413</v>
      </c>
    </row>
    <row r="748" spans="1:31" ht="18" customHeight="1" x14ac:dyDescent="0.25">
      <c r="A7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8" s="79">
        <v>4</v>
      </c>
      <c r="C748" s="23">
        <v>43733</v>
      </c>
      <c r="D748" s="67">
        <f>IF(COUNTIF($G$2:$G748,$G748)=1,1,0)</f>
        <v>0</v>
      </c>
      <c r="E748" s="67" t="str">
        <f>IFERROR(VLOOKUP(База_КР_КК[[#This Row],[ИД штатной должности (S)]],'уровень защищенности'!$B$7:$F$1095,5,0),"не защищена")</f>
        <v>высокий</v>
      </c>
      <c r="F748" s="68">
        <v>500663</v>
      </c>
      <c r="G748" s="74" t="s">
        <v>2317</v>
      </c>
      <c r="H748" s="181">
        <f>INDEX('Списки данных'!$D$2:$D$1048576,MATCH(База_КР_КК[[#This Row],[Структурное подразделение]],'Списки данных'!$C$2:$C$1048576,0))</f>
        <v>22</v>
      </c>
      <c r="I748" s="80" t="s">
        <v>135</v>
      </c>
      <c r="J748" s="80" t="s">
        <v>202</v>
      </c>
      <c r="K748" s="80" t="s">
        <v>203</v>
      </c>
      <c r="L748" s="30" t="s">
        <v>191</v>
      </c>
      <c r="M748" s="68">
        <v>6</v>
      </c>
      <c r="N748" s="181" t="str">
        <f t="shared" si="12"/>
        <v>нет</v>
      </c>
      <c r="O748" s="23"/>
      <c r="P748" s="23"/>
      <c r="Q748" s="106"/>
      <c r="R748" s="37">
        <v>160</v>
      </c>
      <c r="S748" s="38" t="s">
        <v>572</v>
      </c>
      <c r="T748" s="37">
        <v>158</v>
      </c>
      <c r="U748" s="39" t="s">
        <v>570</v>
      </c>
      <c r="V748" s="89" t="s">
        <v>272</v>
      </c>
      <c r="W748" s="89" t="s">
        <v>135</v>
      </c>
      <c r="X748" s="106" t="s">
        <v>295</v>
      </c>
      <c r="Y748" s="107" t="s">
        <v>18</v>
      </c>
      <c r="Z748" s="67">
        <f>IF(База_КР_КК[[#This Row],[Таб.номер резервиста]]="-","-",IF(OR(База_КР_КК[[#This Row],[Уровень КК]]=2,База_КР_КК[[#This Row],[Уровень КК]]=3),IF(COUNTIFS($U$2:$U748,$U748,$F$2:$F748,$F748)=1,1,0),IF(COUNTIFS($U$2:$U748,$U748,$L$2:$L748,$L748)=1,1,0)))</f>
        <v>0</v>
      </c>
      <c r="AA7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8" s="106" t="s">
        <v>24</v>
      </c>
      <c r="AC748" s="51">
        <v>44841</v>
      </c>
      <c r="AD748" s="106" t="s">
        <v>13</v>
      </c>
      <c r="AE748" s="38" t="s">
        <v>323</v>
      </c>
    </row>
    <row r="749" spans="1:31" ht="18" customHeight="1" x14ac:dyDescent="0.25">
      <c r="A7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49" s="79">
        <v>4</v>
      </c>
      <c r="C749" s="23">
        <v>43733</v>
      </c>
      <c r="D749" s="67">
        <f>IF(COUNTIF($G$2:$G749,$G749)=1,1,0)</f>
        <v>0</v>
      </c>
      <c r="E749" s="67" t="str">
        <f>IFERROR(VLOOKUP(База_КР_КК[[#This Row],[ИД штатной должности (S)]],'уровень защищенности'!$B$7:$F$1095,5,0),"не защищена")</f>
        <v>высокий</v>
      </c>
      <c r="F749" s="68">
        <v>500663</v>
      </c>
      <c r="G749" s="74" t="s">
        <v>2317</v>
      </c>
      <c r="H749" s="181">
        <f>INDEX('Списки данных'!$D$2:$D$1048576,MATCH(База_КР_КК[[#This Row],[Структурное подразделение]],'Списки данных'!$C$2:$C$1048576,0))</f>
        <v>22</v>
      </c>
      <c r="I749" s="80" t="s">
        <v>135</v>
      </c>
      <c r="J749" s="80" t="s">
        <v>202</v>
      </c>
      <c r="K749" s="80" t="s">
        <v>203</v>
      </c>
      <c r="L749" s="30" t="s">
        <v>191</v>
      </c>
      <c r="M749" s="68">
        <v>6</v>
      </c>
      <c r="N749" s="181" t="str">
        <f t="shared" si="12"/>
        <v>нет</v>
      </c>
      <c r="O749" s="23"/>
      <c r="P749" s="23"/>
      <c r="Q749" s="106"/>
      <c r="R749" s="37">
        <v>160</v>
      </c>
      <c r="S749" s="38" t="s">
        <v>572</v>
      </c>
      <c r="T749" s="37">
        <v>1253</v>
      </c>
      <c r="U749" s="39" t="s">
        <v>1655</v>
      </c>
      <c r="V749" s="89" t="s">
        <v>272</v>
      </c>
      <c r="W749" s="89" t="s">
        <v>135</v>
      </c>
      <c r="X749" s="106" t="s">
        <v>295</v>
      </c>
      <c r="Y749" s="107" t="s">
        <v>18</v>
      </c>
      <c r="Z749" s="67">
        <f>IF(База_КР_КК[[#This Row],[Таб.номер резервиста]]="-","-",IF(OR(База_КР_КК[[#This Row],[Уровень КК]]=2,База_КР_КК[[#This Row],[Уровень КК]]=3),IF(COUNTIFS($U$2:$U749,$U749,$F$2:$F749,$F749)=1,1,0),IF(COUNTIFS($U$2:$U749,$U749,$L$2:$L749,$L749)=1,1,0)))</f>
        <v>0</v>
      </c>
      <c r="AA7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49" s="106" t="s">
        <v>19</v>
      </c>
      <c r="AC749" s="51">
        <v>44183</v>
      </c>
      <c r="AD749" s="106" t="s">
        <v>17</v>
      </c>
      <c r="AE749" s="38" t="s">
        <v>323</v>
      </c>
    </row>
    <row r="750" spans="1:31" ht="18" customHeight="1" x14ac:dyDescent="0.25">
      <c r="A7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0" s="79">
        <v>4</v>
      </c>
      <c r="C750" s="23">
        <v>43733</v>
      </c>
      <c r="D750" s="67">
        <f>IF(COUNTIF($G$2:$G750,$G750)=1,1,0)</f>
        <v>1</v>
      </c>
      <c r="E750" s="67" t="str">
        <f>IFERROR(VLOOKUP(База_КР_КК[[#This Row],[ИД штатной должности (S)]],'уровень защищенности'!$B$7:$F$1095,5,0),"не защищена")</f>
        <v>высокий</v>
      </c>
      <c r="F750" s="68">
        <v>500663</v>
      </c>
      <c r="G750" s="74" t="s">
        <v>2318</v>
      </c>
      <c r="H750" s="181">
        <f>INDEX('Списки данных'!$D$2:$D$1048576,MATCH(База_КР_КК[[#This Row],[Структурное подразделение]],'Списки данных'!$C$2:$C$1048576,0))</f>
        <v>22</v>
      </c>
      <c r="I750" s="80" t="s">
        <v>135</v>
      </c>
      <c r="J750" s="80" t="s">
        <v>202</v>
      </c>
      <c r="K750" s="80" t="s">
        <v>203</v>
      </c>
      <c r="L750" s="30" t="s">
        <v>191</v>
      </c>
      <c r="M750" s="68">
        <v>6</v>
      </c>
      <c r="N750" s="181" t="str">
        <f t="shared" si="12"/>
        <v>нет</v>
      </c>
      <c r="O750" s="23"/>
      <c r="P750" s="23"/>
      <c r="Q750" s="106"/>
      <c r="R750" s="37">
        <v>161</v>
      </c>
      <c r="S750" s="38" t="s">
        <v>573</v>
      </c>
      <c r="T750" s="37">
        <v>1251</v>
      </c>
      <c r="U750" s="39" t="s">
        <v>1653</v>
      </c>
      <c r="V750" s="89" t="s">
        <v>272</v>
      </c>
      <c r="W750" s="89" t="s">
        <v>135</v>
      </c>
      <c r="X750" s="106" t="s">
        <v>297</v>
      </c>
      <c r="Y750" s="107" t="s">
        <v>12</v>
      </c>
      <c r="Z750" s="67">
        <f>IF(База_КР_КК[[#This Row],[Таб.номер резервиста]]="-","-",IF(OR(База_КР_КК[[#This Row],[Уровень КК]]=2,База_КР_КК[[#This Row],[Уровень КК]]=3),IF(COUNTIFS($U$2:$U750,$U750,$F$2:$F750,$F750)=1,1,0),IF(COUNTIFS($U$2:$U750,$U750,$L$2:$L750,$L750)=1,1,0)))</f>
        <v>0</v>
      </c>
      <c r="AA7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0" s="106"/>
      <c r="AC750" s="51"/>
      <c r="AD750" s="106" t="s">
        <v>13</v>
      </c>
      <c r="AE750" s="38" t="s">
        <v>413</v>
      </c>
    </row>
    <row r="751" spans="1:31" ht="18" customHeight="1" x14ac:dyDescent="0.25">
      <c r="A7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1" s="79">
        <v>4</v>
      </c>
      <c r="C751" s="23">
        <v>43733</v>
      </c>
      <c r="D751" s="67">
        <f>IF(COUNTIF($G$2:$G751,$G751)=1,1,0)</f>
        <v>0</v>
      </c>
      <c r="E751" s="67" t="str">
        <f>IFERROR(VLOOKUP(База_КР_КК[[#This Row],[ИД штатной должности (S)]],'уровень защищенности'!$B$7:$F$1095,5,0),"не защищена")</f>
        <v>высокий</v>
      </c>
      <c r="F751" s="68">
        <v>500663</v>
      </c>
      <c r="G751" s="74" t="s">
        <v>2318</v>
      </c>
      <c r="H751" s="181">
        <f>INDEX('Списки данных'!$D$2:$D$1048576,MATCH(База_КР_КК[[#This Row],[Структурное подразделение]],'Списки данных'!$C$2:$C$1048576,0))</f>
        <v>22</v>
      </c>
      <c r="I751" s="80" t="s">
        <v>135</v>
      </c>
      <c r="J751" s="80" t="s">
        <v>202</v>
      </c>
      <c r="K751" s="80" t="s">
        <v>203</v>
      </c>
      <c r="L751" s="30" t="s">
        <v>191</v>
      </c>
      <c r="M751" s="68">
        <v>6</v>
      </c>
      <c r="N751" s="181" t="str">
        <f t="shared" si="12"/>
        <v>нет</v>
      </c>
      <c r="O751" s="23"/>
      <c r="P751" s="23"/>
      <c r="Q751" s="106"/>
      <c r="R751" s="37">
        <v>161</v>
      </c>
      <c r="S751" s="38" t="s">
        <v>573</v>
      </c>
      <c r="T751" s="37">
        <v>1252</v>
      </c>
      <c r="U751" s="39" t="s">
        <v>1654</v>
      </c>
      <c r="V751" s="89" t="s">
        <v>272</v>
      </c>
      <c r="W751" s="89" t="s">
        <v>135</v>
      </c>
      <c r="X751" s="106" t="s">
        <v>295</v>
      </c>
      <c r="Y751" s="107" t="s">
        <v>12</v>
      </c>
      <c r="Z751" s="67">
        <f>IF(База_КР_КК[[#This Row],[Таб.номер резервиста]]="-","-",IF(OR(База_КР_КК[[#This Row],[Уровень КК]]=2,База_КР_КК[[#This Row],[Уровень КК]]=3),IF(COUNTIFS($U$2:$U751,$U751,$F$2:$F751,$F751)=1,1,0),IF(COUNTIFS($U$2:$U751,$U751,$L$2:$L751,$L751)=1,1,0)))</f>
        <v>0</v>
      </c>
      <c r="AA7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1" s="106"/>
      <c r="AC751" s="51"/>
      <c r="AD751" s="106" t="s">
        <v>13</v>
      </c>
      <c r="AE751" s="38" t="s">
        <v>413</v>
      </c>
    </row>
    <row r="752" spans="1:31" ht="18" customHeight="1" x14ac:dyDescent="0.25">
      <c r="A7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2" s="79">
        <v>4</v>
      </c>
      <c r="C752" s="23">
        <v>43733</v>
      </c>
      <c r="D752" s="67">
        <f>IF(COUNTIF($G$2:$G752,$G752)=1,1,0)</f>
        <v>0</v>
      </c>
      <c r="E752" s="67" t="str">
        <f>IFERROR(VLOOKUP(База_КР_КК[[#This Row],[ИД штатной должности (S)]],'уровень защищенности'!$B$7:$F$1095,5,0),"не защищена")</f>
        <v>высокий</v>
      </c>
      <c r="F752" s="68">
        <v>500663</v>
      </c>
      <c r="G752" s="74" t="s">
        <v>2318</v>
      </c>
      <c r="H752" s="181">
        <f>INDEX('Списки данных'!$D$2:$D$1048576,MATCH(База_КР_КК[[#This Row],[Структурное подразделение]],'Списки данных'!$C$2:$C$1048576,0))</f>
        <v>22</v>
      </c>
      <c r="I752" s="80" t="s">
        <v>135</v>
      </c>
      <c r="J752" s="80" t="s">
        <v>202</v>
      </c>
      <c r="K752" s="80" t="s">
        <v>203</v>
      </c>
      <c r="L752" s="30" t="s">
        <v>191</v>
      </c>
      <c r="M752" s="68">
        <v>6</v>
      </c>
      <c r="N752" s="181" t="str">
        <f t="shared" si="12"/>
        <v>нет</v>
      </c>
      <c r="O752" s="23"/>
      <c r="P752" s="23"/>
      <c r="Q752" s="106"/>
      <c r="R752" s="37">
        <v>161</v>
      </c>
      <c r="S752" s="38" t="s">
        <v>573</v>
      </c>
      <c r="T752" s="37">
        <v>158</v>
      </c>
      <c r="U752" s="39" t="s">
        <v>570</v>
      </c>
      <c r="V752" s="89" t="s">
        <v>272</v>
      </c>
      <c r="W752" s="89" t="s">
        <v>135</v>
      </c>
      <c r="X752" s="106" t="s">
        <v>295</v>
      </c>
      <c r="Y752" s="107" t="s">
        <v>18</v>
      </c>
      <c r="Z752" s="67">
        <f>IF(База_КР_КК[[#This Row],[Таб.номер резервиста]]="-","-",IF(OR(База_КР_КК[[#This Row],[Уровень КК]]=2,База_КР_КК[[#This Row],[Уровень КК]]=3),IF(COUNTIFS($U$2:$U752,$U752,$F$2:$F752,$F752)=1,1,0),IF(COUNTIFS($U$2:$U752,$U752,$L$2:$L752,$L752)=1,1,0)))</f>
        <v>0</v>
      </c>
      <c r="AA7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2" s="106" t="s">
        <v>24</v>
      </c>
      <c r="AC752" s="51">
        <v>44841</v>
      </c>
      <c r="AD752" s="106" t="s">
        <v>13</v>
      </c>
      <c r="AE752" s="38" t="s">
        <v>323</v>
      </c>
    </row>
    <row r="753" spans="1:31" ht="18" customHeight="1" x14ac:dyDescent="0.25">
      <c r="A7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3" s="79">
        <v>4</v>
      </c>
      <c r="C753" s="23">
        <v>43733</v>
      </c>
      <c r="D753" s="67">
        <f>IF(COUNTIF($G$2:$G753,$G753)=1,1,0)</f>
        <v>0</v>
      </c>
      <c r="E753" s="67" t="str">
        <f>IFERROR(VLOOKUP(База_КР_КК[[#This Row],[ИД штатной должности (S)]],'уровень защищенности'!$B$7:$F$1095,5,0),"не защищена")</f>
        <v>высокий</v>
      </c>
      <c r="F753" s="68">
        <v>500663</v>
      </c>
      <c r="G753" s="74" t="s">
        <v>2318</v>
      </c>
      <c r="H753" s="181">
        <f>INDEX('Списки данных'!$D$2:$D$1048576,MATCH(База_КР_КК[[#This Row],[Структурное подразделение]],'Списки данных'!$C$2:$C$1048576,0))</f>
        <v>22</v>
      </c>
      <c r="I753" s="80" t="s">
        <v>135</v>
      </c>
      <c r="J753" s="80" t="s">
        <v>202</v>
      </c>
      <c r="K753" s="80" t="s">
        <v>203</v>
      </c>
      <c r="L753" s="30" t="s">
        <v>191</v>
      </c>
      <c r="M753" s="68">
        <v>6</v>
      </c>
      <c r="N753" s="181" t="str">
        <f t="shared" si="12"/>
        <v>нет</v>
      </c>
      <c r="O753" s="23"/>
      <c r="P753" s="23"/>
      <c r="Q753" s="106"/>
      <c r="R753" s="37">
        <v>161</v>
      </c>
      <c r="S753" s="38" t="s">
        <v>573</v>
      </c>
      <c r="T753" s="37">
        <v>1253</v>
      </c>
      <c r="U753" s="39" t="s">
        <v>1655</v>
      </c>
      <c r="V753" s="89" t="s">
        <v>272</v>
      </c>
      <c r="W753" s="89" t="s">
        <v>135</v>
      </c>
      <c r="X753" s="106" t="s">
        <v>295</v>
      </c>
      <c r="Y753" s="107" t="s">
        <v>18</v>
      </c>
      <c r="Z753" s="67">
        <f>IF(База_КР_КК[[#This Row],[Таб.номер резервиста]]="-","-",IF(OR(База_КР_КК[[#This Row],[Уровень КК]]=2,База_КР_КК[[#This Row],[Уровень КК]]=3),IF(COUNTIFS($U$2:$U753,$U753,$F$2:$F753,$F753)=1,1,0),IF(COUNTIFS($U$2:$U753,$U753,$L$2:$L753,$L753)=1,1,0)))</f>
        <v>0</v>
      </c>
      <c r="AA7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3" s="106" t="s">
        <v>19</v>
      </c>
      <c r="AC753" s="51">
        <v>44183</v>
      </c>
      <c r="AD753" s="106" t="s">
        <v>17</v>
      </c>
      <c r="AE753" s="38" t="s">
        <v>323</v>
      </c>
    </row>
    <row r="754" spans="1:31" ht="18" customHeight="1" x14ac:dyDescent="0.25">
      <c r="A7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4" s="79">
        <v>4</v>
      </c>
      <c r="C754" s="23">
        <v>43733</v>
      </c>
      <c r="D754" s="67">
        <f>IF(COUNTIF($G$2:$G754,$G754)=1,1,0)</f>
        <v>1</v>
      </c>
      <c r="E754" s="67" t="str">
        <f>IFERROR(VLOOKUP(База_КР_КК[[#This Row],[ИД штатной должности (S)]],'уровень защищенности'!$B$7:$F$1095,5,0),"не защищена")</f>
        <v>высокий</v>
      </c>
      <c r="F754" s="68">
        <v>500671</v>
      </c>
      <c r="G754" s="74" t="s">
        <v>2319</v>
      </c>
      <c r="H754" s="181">
        <f>INDEX('Списки данных'!$D$2:$D$1048576,MATCH(База_КР_КК[[#This Row],[Структурное подразделение]],'Списки данных'!$C$2:$C$1048576,0))</f>
        <v>22</v>
      </c>
      <c r="I754" s="80" t="s">
        <v>135</v>
      </c>
      <c r="J754" s="80" t="s">
        <v>202</v>
      </c>
      <c r="K754" s="80" t="s">
        <v>203</v>
      </c>
      <c r="L754" s="30" t="s">
        <v>189</v>
      </c>
      <c r="M754" s="68">
        <v>6</v>
      </c>
      <c r="N754" s="181" t="str">
        <f t="shared" si="12"/>
        <v>нет</v>
      </c>
      <c r="O754" s="23"/>
      <c r="P754" s="23"/>
      <c r="Q754" s="106"/>
      <c r="R754" s="37">
        <v>162</v>
      </c>
      <c r="S754" s="38" t="s">
        <v>574</v>
      </c>
      <c r="T754" s="37">
        <v>160</v>
      </c>
      <c r="U754" s="39" t="s">
        <v>572</v>
      </c>
      <c r="V754" s="89" t="s">
        <v>192</v>
      </c>
      <c r="W754" s="89" t="s">
        <v>135</v>
      </c>
      <c r="X754" s="106" t="s">
        <v>295</v>
      </c>
      <c r="Y754" s="107" t="s">
        <v>12</v>
      </c>
      <c r="Z754" s="67">
        <f>IF(База_КР_КК[[#This Row],[Таб.номер резервиста]]="-","-",IF(OR(База_КР_КК[[#This Row],[Уровень КК]]=2,База_КР_КК[[#This Row],[Уровень КК]]=3),IF(COUNTIFS($U$2:$U754,$U754,$F$2:$F754,$F754)=1,1,0),IF(COUNTIFS($U$2:$U754,$U754,$L$2:$L754,$L754)=1,1,0)))</f>
        <v>0</v>
      </c>
      <c r="AA7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4" s="106"/>
      <c r="AC754" s="51"/>
      <c r="AD754" s="106" t="s">
        <v>13</v>
      </c>
      <c r="AE754" s="38" t="s">
        <v>413</v>
      </c>
    </row>
    <row r="755" spans="1:31" ht="18" customHeight="1" x14ac:dyDescent="0.25">
      <c r="A7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5" s="79">
        <v>4</v>
      </c>
      <c r="C755" s="23">
        <v>43733</v>
      </c>
      <c r="D755" s="67">
        <f>IF(COUNTIF($G$2:$G755,$G755)=1,1,0)</f>
        <v>0</v>
      </c>
      <c r="E755" s="67" t="str">
        <f>IFERROR(VLOOKUP(База_КР_КК[[#This Row],[ИД штатной должности (S)]],'уровень защищенности'!$B$7:$F$1095,5,0),"не защищена")</f>
        <v>высокий</v>
      </c>
      <c r="F755" s="68">
        <v>500671</v>
      </c>
      <c r="G755" s="74" t="s">
        <v>2319</v>
      </c>
      <c r="H755" s="181">
        <f>INDEX('Списки данных'!$D$2:$D$1048576,MATCH(База_КР_КК[[#This Row],[Структурное подразделение]],'Списки данных'!$C$2:$C$1048576,0))</f>
        <v>22</v>
      </c>
      <c r="I755" s="80" t="s">
        <v>135</v>
      </c>
      <c r="J755" s="80" t="s">
        <v>202</v>
      </c>
      <c r="K755" s="80" t="s">
        <v>203</v>
      </c>
      <c r="L755" s="30" t="s">
        <v>189</v>
      </c>
      <c r="M755" s="68">
        <v>6</v>
      </c>
      <c r="N755" s="181" t="str">
        <f t="shared" si="12"/>
        <v>нет</v>
      </c>
      <c r="O755" s="23"/>
      <c r="P755" s="23"/>
      <c r="Q755" s="106"/>
      <c r="R755" s="37">
        <v>162</v>
      </c>
      <c r="S755" s="38" t="s">
        <v>574</v>
      </c>
      <c r="T755" s="37">
        <v>1254</v>
      </c>
      <c r="U755" s="39" t="s">
        <v>1656</v>
      </c>
      <c r="V755" s="89" t="s">
        <v>192</v>
      </c>
      <c r="W755" s="89" t="s">
        <v>135</v>
      </c>
      <c r="X755" s="106" t="s">
        <v>295</v>
      </c>
      <c r="Y755" s="107" t="s">
        <v>18</v>
      </c>
      <c r="Z755" s="67">
        <f>IF(База_КР_КК[[#This Row],[Таб.номер резервиста]]="-","-",IF(OR(База_КР_КК[[#This Row],[Уровень КК]]=2,База_КР_КК[[#This Row],[Уровень КК]]=3),IF(COUNTIFS($U$2:$U755,$U755,$F$2:$F755,$F755)=1,1,0),IF(COUNTIFS($U$2:$U755,$U755,$L$2:$L755,$L755)=1,1,0)))</f>
        <v>1</v>
      </c>
      <c r="AA7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5" s="106" t="s">
        <v>19</v>
      </c>
      <c r="AC755" s="51">
        <v>44809</v>
      </c>
      <c r="AD755" s="106" t="s">
        <v>17</v>
      </c>
      <c r="AE755" s="38" t="s">
        <v>323</v>
      </c>
    </row>
    <row r="756" spans="1:31" ht="18" customHeight="1" x14ac:dyDescent="0.25">
      <c r="A7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6" s="79">
        <v>4</v>
      </c>
      <c r="C756" s="23">
        <v>43733</v>
      </c>
      <c r="D756" s="67">
        <f>IF(COUNTIF($G$2:$G756,$G756)=1,1,0)</f>
        <v>1</v>
      </c>
      <c r="E756" s="67" t="str">
        <f>IFERROR(VLOOKUP(База_КР_КК[[#This Row],[ИД штатной должности (S)]],'уровень защищенности'!$B$7:$F$1095,5,0),"не защищена")</f>
        <v>высокий</v>
      </c>
      <c r="F756" s="68">
        <v>500670</v>
      </c>
      <c r="G756" s="74" t="s">
        <v>2320</v>
      </c>
      <c r="H756" s="181">
        <f>INDEX('Списки данных'!$D$2:$D$1048576,MATCH(База_КР_КК[[#This Row],[Структурное подразделение]],'Списки данных'!$C$2:$C$1048576,0))</f>
        <v>22</v>
      </c>
      <c r="I756" s="80" t="s">
        <v>135</v>
      </c>
      <c r="J756" s="80" t="s">
        <v>202</v>
      </c>
      <c r="K756" s="80" t="s">
        <v>203</v>
      </c>
      <c r="L756" s="30" t="s">
        <v>189</v>
      </c>
      <c r="M756" s="68">
        <v>6</v>
      </c>
      <c r="N756" s="181" t="str">
        <f t="shared" si="12"/>
        <v>нет</v>
      </c>
      <c r="O756" s="23"/>
      <c r="P756" s="23"/>
      <c r="Q756" s="106"/>
      <c r="R756" s="37">
        <v>163</v>
      </c>
      <c r="S756" s="38" t="s">
        <v>575</v>
      </c>
      <c r="T756" s="37">
        <v>160</v>
      </c>
      <c r="U756" s="39" t="s">
        <v>572</v>
      </c>
      <c r="V756" s="89" t="s">
        <v>192</v>
      </c>
      <c r="W756" s="89" t="s">
        <v>135</v>
      </c>
      <c r="X756" s="106" t="s">
        <v>295</v>
      </c>
      <c r="Y756" s="107" t="s">
        <v>12</v>
      </c>
      <c r="Z756" s="67">
        <f>IF(База_КР_КК[[#This Row],[Таб.номер резервиста]]="-","-",IF(OR(База_КР_КК[[#This Row],[Уровень КК]]=2,База_КР_КК[[#This Row],[Уровень КК]]=3),IF(COUNTIFS($U$2:$U756,$U756,$F$2:$F756,$F756)=1,1,0),IF(COUNTIFS($U$2:$U756,$U756,$L$2:$L756,$L756)=1,1,0)))</f>
        <v>0</v>
      </c>
      <c r="AA7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6" s="106"/>
      <c r="AC756" s="51"/>
      <c r="AD756" s="106" t="s">
        <v>13</v>
      </c>
      <c r="AE756" s="38" t="s">
        <v>413</v>
      </c>
    </row>
    <row r="757" spans="1:31" ht="18" customHeight="1" x14ac:dyDescent="0.25">
      <c r="A7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7" s="79">
        <v>4</v>
      </c>
      <c r="C757" s="23">
        <v>43733</v>
      </c>
      <c r="D757" s="67">
        <f>IF(COUNTIF($G$2:$G757,$G757)=1,1,0)</f>
        <v>0</v>
      </c>
      <c r="E757" s="67" t="str">
        <f>IFERROR(VLOOKUP(База_КР_КК[[#This Row],[ИД штатной должности (S)]],'уровень защищенности'!$B$7:$F$1095,5,0),"не защищена")</f>
        <v>высокий</v>
      </c>
      <c r="F757" s="68">
        <v>500670</v>
      </c>
      <c r="G757" s="74" t="s">
        <v>2320</v>
      </c>
      <c r="H757" s="181">
        <f>INDEX('Списки данных'!$D$2:$D$1048576,MATCH(База_КР_КК[[#This Row],[Структурное подразделение]],'Списки данных'!$C$2:$C$1048576,0))</f>
        <v>22</v>
      </c>
      <c r="I757" s="80" t="s">
        <v>135</v>
      </c>
      <c r="J757" s="80" t="s">
        <v>202</v>
      </c>
      <c r="K757" s="80" t="s">
        <v>203</v>
      </c>
      <c r="L757" s="30" t="s">
        <v>189</v>
      </c>
      <c r="M757" s="68">
        <v>6</v>
      </c>
      <c r="N757" s="181" t="str">
        <f t="shared" si="12"/>
        <v>нет</v>
      </c>
      <c r="O757" s="23"/>
      <c r="P757" s="23"/>
      <c r="Q757" s="106"/>
      <c r="R757" s="37">
        <v>163</v>
      </c>
      <c r="S757" s="38" t="s">
        <v>575</v>
      </c>
      <c r="T757" s="37">
        <v>1254</v>
      </c>
      <c r="U757" s="39" t="s">
        <v>1656</v>
      </c>
      <c r="V757" s="89" t="s">
        <v>192</v>
      </c>
      <c r="W757" s="89" t="s">
        <v>135</v>
      </c>
      <c r="X757" s="106" t="s">
        <v>295</v>
      </c>
      <c r="Y757" s="107" t="s">
        <v>18</v>
      </c>
      <c r="Z757" s="67">
        <f>IF(База_КР_КК[[#This Row],[Таб.номер резервиста]]="-","-",IF(OR(База_КР_КК[[#This Row],[Уровень КК]]=2,База_КР_КК[[#This Row],[Уровень КК]]=3),IF(COUNTIFS($U$2:$U757,$U757,$F$2:$F757,$F757)=1,1,0),IF(COUNTIFS($U$2:$U757,$U757,$L$2:$L757,$L757)=1,1,0)))</f>
        <v>0</v>
      </c>
      <c r="AA7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7" s="106" t="s">
        <v>19</v>
      </c>
      <c r="AC757" s="51">
        <v>44809</v>
      </c>
      <c r="AD757" s="106" t="s">
        <v>17</v>
      </c>
      <c r="AE757" s="38" t="s">
        <v>323</v>
      </c>
    </row>
    <row r="758" spans="1:31" ht="18" customHeight="1" x14ac:dyDescent="0.25">
      <c r="A7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8" s="79">
        <v>4</v>
      </c>
      <c r="C758" s="23">
        <v>44487</v>
      </c>
      <c r="D758" s="67">
        <f>IF(COUNTIF($G$2:$G758,$G758)=1,1,0)</f>
        <v>1</v>
      </c>
      <c r="E758" s="67" t="str">
        <f>IFERROR(VLOOKUP(База_КР_КК[[#This Row],[ИД штатной должности (S)]],'уровень защищенности'!$B$7:$F$1095,5,0),"не защищена")</f>
        <v>средний</v>
      </c>
      <c r="F758" s="68">
        <v>500666</v>
      </c>
      <c r="G758" s="74" t="s">
        <v>2321</v>
      </c>
      <c r="H758" s="181">
        <f>INDEX('Списки данных'!$D$2:$D$1048576,MATCH(База_КР_КК[[#This Row],[Структурное подразделение]],'Списки данных'!$C$2:$C$1048576,0))</f>
        <v>22</v>
      </c>
      <c r="I758" s="80" t="s">
        <v>135</v>
      </c>
      <c r="J758" s="80" t="s">
        <v>202</v>
      </c>
      <c r="K758" s="80" t="s">
        <v>203</v>
      </c>
      <c r="L758" s="30" t="s">
        <v>192</v>
      </c>
      <c r="M758" s="68">
        <v>6</v>
      </c>
      <c r="N758" s="181" t="str">
        <f t="shared" si="12"/>
        <v>нет</v>
      </c>
      <c r="O758" s="23"/>
      <c r="P758" s="23"/>
      <c r="Q758" s="106"/>
      <c r="R758" s="37">
        <v>164</v>
      </c>
      <c r="S758" s="39" t="s">
        <v>576</v>
      </c>
      <c r="T758" s="37">
        <v>1255</v>
      </c>
      <c r="U758" s="39" t="s">
        <v>1657</v>
      </c>
      <c r="V758" s="89" t="s">
        <v>272</v>
      </c>
      <c r="W758" s="89" t="s">
        <v>135</v>
      </c>
      <c r="X758" s="106" t="s">
        <v>297</v>
      </c>
      <c r="Y758" s="107" t="s">
        <v>12</v>
      </c>
      <c r="Z758" s="67">
        <f>IF(База_КР_КК[[#This Row],[Таб.номер резервиста]]="-","-",IF(OR(База_КР_КК[[#This Row],[Уровень КК]]=2,База_КР_КК[[#This Row],[Уровень КК]]=3),IF(COUNTIFS($U$2:$U758,$U758,$F$2:$F758,$F758)=1,1,0),IF(COUNTIFS($U$2:$U758,$U758,$L$2:$L758,$L758)=1,1,0)))</f>
        <v>1</v>
      </c>
      <c r="AA7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8" s="106"/>
      <c r="AC758" s="51"/>
      <c r="AD758" s="106" t="s">
        <v>17</v>
      </c>
      <c r="AE758" s="33" t="s">
        <v>413</v>
      </c>
    </row>
    <row r="759" spans="1:31" ht="18" customHeight="1" x14ac:dyDescent="0.25">
      <c r="A7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59" s="79">
        <v>4</v>
      </c>
      <c r="C759" s="23">
        <v>43733</v>
      </c>
      <c r="D759" s="67">
        <f>IF(COUNTIF($G$2:$G759,$G759)=1,1,0)</f>
        <v>0</v>
      </c>
      <c r="E759" s="67" t="str">
        <f>IFERROR(VLOOKUP(База_КР_КК[[#This Row],[ИД штатной должности (S)]],'уровень защищенности'!$B$7:$F$1095,5,0),"не защищена")</f>
        <v>средний</v>
      </c>
      <c r="F759" s="68">
        <v>500666</v>
      </c>
      <c r="G759" s="74" t="s">
        <v>2321</v>
      </c>
      <c r="H759" s="181">
        <f>INDEX('Списки данных'!$D$2:$D$1048576,MATCH(База_КР_КК[[#This Row],[Структурное подразделение]],'Списки данных'!$C$2:$C$1048576,0))</f>
        <v>22</v>
      </c>
      <c r="I759" s="80" t="s">
        <v>135</v>
      </c>
      <c r="J759" s="80" t="s">
        <v>202</v>
      </c>
      <c r="K759" s="80" t="s">
        <v>203</v>
      </c>
      <c r="L759" s="30" t="s">
        <v>192</v>
      </c>
      <c r="M759" s="68">
        <v>6</v>
      </c>
      <c r="N759" s="181" t="str">
        <f t="shared" si="12"/>
        <v>нет</v>
      </c>
      <c r="O759" s="23"/>
      <c r="P759" s="23"/>
      <c r="Q759" s="106"/>
      <c r="R759" s="37">
        <v>164</v>
      </c>
      <c r="S759" s="38" t="s">
        <v>576</v>
      </c>
      <c r="T759" s="37">
        <v>1251</v>
      </c>
      <c r="U759" s="39" t="s">
        <v>1653</v>
      </c>
      <c r="V759" s="89" t="s">
        <v>272</v>
      </c>
      <c r="W759" s="89" t="s">
        <v>135</v>
      </c>
      <c r="X759" s="106" t="s">
        <v>297</v>
      </c>
      <c r="Y759" s="107" t="s">
        <v>18</v>
      </c>
      <c r="Z759" s="67">
        <f>IF(База_КР_КК[[#This Row],[Таб.номер резервиста]]="-","-",IF(OR(База_КР_КК[[#This Row],[Уровень КК]]=2,База_КР_КК[[#This Row],[Уровень КК]]=3),IF(COUNTIFS($U$2:$U759,$U759,$F$2:$F759,$F759)=1,1,0),IF(COUNTIFS($U$2:$U759,$U759,$L$2:$L759,$L759)=1,1,0)))</f>
        <v>1</v>
      </c>
      <c r="AA7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59" s="106" t="s">
        <v>38</v>
      </c>
      <c r="AC759" s="51">
        <v>44487</v>
      </c>
      <c r="AD759" s="106" t="s">
        <v>31</v>
      </c>
      <c r="AE759" s="38" t="s">
        <v>324</v>
      </c>
    </row>
    <row r="760" spans="1:31" ht="18" customHeight="1" x14ac:dyDescent="0.25">
      <c r="A7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0" s="79">
        <v>4</v>
      </c>
      <c r="C760" s="23">
        <v>43733</v>
      </c>
      <c r="D760" s="67">
        <f>IF(COUNTIF($G$2:$G760,$G760)=1,1,0)</f>
        <v>0</v>
      </c>
      <c r="E760" s="67" t="str">
        <f>IFERROR(VLOOKUP(База_КР_КК[[#This Row],[ИД штатной должности (S)]],'уровень защищенности'!$B$7:$F$1095,5,0),"не защищена")</f>
        <v>средний</v>
      </c>
      <c r="F760" s="68">
        <v>500666</v>
      </c>
      <c r="G760" s="74" t="s">
        <v>2321</v>
      </c>
      <c r="H760" s="181">
        <f>INDEX('Списки данных'!$D$2:$D$1048576,MATCH(База_КР_КК[[#This Row],[Структурное подразделение]],'Списки данных'!$C$2:$C$1048576,0))</f>
        <v>22</v>
      </c>
      <c r="I760" s="80" t="s">
        <v>135</v>
      </c>
      <c r="J760" s="80" t="s">
        <v>202</v>
      </c>
      <c r="K760" s="80" t="s">
        <v>203</v>
      </c>
      <c r="L760" s="30" t="s">
        <v>192</v>
      </c>
      <c r="M760" s="68">
        <v>6</v>
      </c>
      <c r="N760" s="181" t="str">
        <f t="shared" si="12"/>
        <v>нет</v>
      </c>
      <c r="O760" s="23"/>
      <c r="P760" s="23"/>
      <c r="Q760" s="106"/>
      <c r="R760" s="37">
        <v>164</v>
      </c>
      <c r="S760" s="38" t="s">
        <v>576</v>
      </c>
      <c r="T760" s="37">
        <v>158</v>
      </c>
      <c r="U760" s="39" t="s">
        <v>570</v>
      </c>
      <c r="V760" s="89" t="s">
        <v>272</v>
      </c>
      <c r="W760" s="89" t="s">
        <v>135</v>
      </c>
      <c r="X760" s="106" t="s">
        <v>295</v>
      </c>
      <c r="Y760" s="107" t="s">
        <v>18</v>
      </c>
      <c r="Z760" s="67">
        <f>IF(База_КР_КК[[#This Row],[Таб.номер резервиста]]="-","-",IF(OR(База_КР_КК[[#This Row],[Уровень КК]]=2,База_КР_КК[[#This Row],[Уровень КК]]=3),IF(COUNTIFS($U$2:$U760,$U760,$F$2:$F760,$F760)=1,1,0),IF(COUNTIFS($U$2:$U760,$U760,$L$2:$L760,$L760)=1,1,0)))</f>
        <v>1</v>
      </c>
      <c r="AA7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0" s="106" t="s">
        <v>38</v>
      </c>
      <c r="AC760" s="51">
        <v>44487</v>
      </c>
      <c r="AD760" s="106" t="s">
        <v>31</v>
      </c>
      <c r="AE760" s="38" t="s">
        <v>324</v>
      </c>
    </row>
    <row r="761" spans="1:31" ht="18" customHeight="1" x14ac:dyDescent="0.25">
      <c r="A7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1" s="79">
        <v>4</v>
      </c>
      <c r="C761" s="23">
        <v>43733</v>
      </c>
      <c r="D761" s="67">
        <f>IF(COUNTIF($G$2:$G761,$G761)=1,1,0)</f>
        <v>0</v>
      </c>
      <c r="E761" s="67" t="str">
        <f>IFERROR(VLOOKUP(База_КР_КК[[#This Row],[ИД штатной должности (S)]],'уровень защищенности'!$B$7:$F$1095,5,0),"не защищена")</f>
        <v>средний</v>
      </c>
      <c r="F761" s="68">
        <v>500666</v>
      </c>
      <c r="G761" s="74" t="s">
        <v>2321</v>
      </c>
      <c r="H761" s="181">
        <f>INDEX('Списки данных'!$D$2:$D$1048576,MATCH(База_КР_КК[[#This Row],[Структурное подразделение]],'Списки данных'!$C$2:$C$1048576,0))</f>
        <v>22</v>
      </c>
      <c r="I761" s="80" t="s">
        <v>135</v>
      </c>
      <c r="J761" s="80" t="s">
        <v>202</v>
      </c>
      <c r="K761" s="80" t="s">
        <v>203</v>
      </c>
      <c r="L761" s="30" t="s">
        <v>192</v>
      </c>
      <c r="M761" s="68">
        <v>6</v>
      </c>
      <c r="N761" s="181" t="str">
        <f t="shared" si="12"/>
        <v>нет</v>
      </c>
      <c r="O761" s="23"/>
      <c r="P761" s="23"/>
      <c r="Q761" s="106"/>
      <c r="R761" s="37">
        <v>164</v>
      </c>
      <c r="S761" s="38" t="s">
        <v>576</v>
      </c>
      <c r="T761" s="37">
        <v>1253</v>
      </c>
      <c r="U761" s="39" t="s">
        <v>1655</v>
      </c>
      <c r="V761" s="89" t="s">
        <v>272</v>
      </c>
      <c r="W761" s="89" t="s">
        <v>135</v>
      </c>
      <c r="X761" s="106" t="s">
        <v>295</v>
      </c>
      <c r="Y761" s="107" t="s">
        <v>18</v>
      </c>
      <c r="Z761" s="67">
        <f>IF(База_КР_КК[[#This Row],[Таб.номер резервиста]]="-","-",IF(OR(База_КР_КК[[#This Row],[Уровень КК]]=2,База_КР_КК[[#This Row],[Уровень КК]]=3),IF(COUNTIFS($U$2:$U761,$U761,$F$2:$F761,$F761)=1,1,0),IF(COUNTIFS($U$2:$U761,$U761,$L$2:$L761,$L761)=1,1,0)))</f>
        <v>1</v>
      </c>
      <c r="AA7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1" s="106" t="s">
        <v>19</v>
      </c>
      <c r="AC761" s="51">
        <v>44183</v>
      </c>
      <c r="AD761" s="106" t="s">
        <v>17</v>
      </c>
      <c r="AE761" s="38" t="s">
        <v>323</v>
      </c>
    </row>
    <row r="762" spans="1:31" ht="18" customHeight="1" x14ac:dyDescent="0.25">
      <c r="A7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2" s="79">
        <v>4</v>
      </c>
      <c r="C762" s="23">
        <v>43733</v>
      </c>
      <c r="D762" s="67">
        <f>IF(COUNTIF($G$2:$G762,$G762)=1,1,0)</f>
        <v>0</v>
      </c>
      <c r="E762" s="67" t="str">
        <f>IFERROR(VLOOKUP(База_КР_КК[[#This Row],[ИД штатной должности (S)]],'уровень защищенности'!$B$7:$F$1095,5,0),"не защищена")</f>
        <v>средний</v>
      </c>
      <c r="F762" s="68">
        <v>500666</v>
      </c>
      <c r="G762" s="74" t="s">
        <v>2321</v>
      </c>
      <c r="H762" s="181">
        <f>INDEX('Списки данных'!$D$2:$D$1048576,MATCH(База_КР_КК[[#This Row],[Структурное подразделение]],'Списки данных'!$C$2:$C$1048576,0))</f>
        <v>22</v>
      </c>
      <c r="I762" s="80" t="s">
        <v>135</v>
      </c>
      <c r="J762" s="80" t="s">
        <v>202</v>
      </c>
      <c r="K762" s="80" t="s">
        <v>203</v>
      </c>
      <c r="L762" s="30" t="s">
        <v>192</v>
      </c>
      <c r="M762" s="68">
        <v>6</v>
      </c>
      <c r="N762" s="181" t="str">
        <f t="shared" si="12"/>
        <v>нет</v>
      </c>
      <c r="O762" s="23"/>
      <c r="P762" s="23"/>
      <c r="Q762" s="106"/>
      <c r="R762" s="37">
        <v>164</v>
      </c>
      <c r="S762" s="38" t="s">
        <v>576</v>
      </c>
      <c r="T762" s="37">
        <v>1252</v>
      </c>
      <c r="U762" s="39" t="s">
        <v>1654</v>
      </c>
      <c r="V762" s="89" t="s">
        <v>272</v>
      </c>
      <c r="W762" s="89" t="s">
        <v>135</v>
      </c>
      <c r="X762" s="106" t="s">
        <v>295</v>
      </c>
      <c r="Y762" s="107" t="s">
        <v>18</v>
      </c>
      <c r="Z762" s="67">
        <f>IF(База_КР_КК[[#This Row],[Таб.номер резервиста]]="-","-",IF(OR(База_КР_КК[[#This Row],[Уровень КК]]=2,База_КР_КК[[#This Row],[Уровень КК]]=3),IF(COUNTIFS($U$2:$U762,$U762,$F$2:$F762,$F762)=1,1,0),IF(COUNTIFS($U$2:$U762,$U762,$L$2:$L762,$L762)=1,1,0)))</f>
        <v>1</v>
      </c>
      <c r="AA7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2" s="106" t="s">
        <v>38</v>
      </c>
      <c r="AC762" s="51">
        <v>44487</v>
      </c>
      <c r="AD762" s="106" t="s">
        <v>31</v>
      </c>
      <c r="AE762" s="38" t="s">
        <v>324</v>
      </c>
    </row>
    <row r="763" spans="1:31" ht="18" customHeight="1" x14ac:dyDescent="0.25">
      <c r="A7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3" s="79">
        <v>3</v>
      </c>
      <c r="C763" s="23">
        <v>43426</v>
      </c>
      <c r="D763" s="67">
        <f>IF(COUNTIF($G$2:$G763,$G763)=1,1,0)</f>
        <v>1</v>
      </c>
      <c r="E763" s="67" t="str">
        <f>IFERROR(VLOOKUP(База_КР_КК[[#This Row],[ИД штатной должности (S)]],'уровень защищенности'!$B$7:$F$1095,5,0),"не защищена")</f>
        <v>высокий</v>
      </c>
      <c r="F763" s="68">
        <v>500661</v>
      </c>
      <c r="G763" s="74" t="s">
        <v>2322</v>
      </c>
      <c r="H763" s="181">
        <f>INDEX('Списки данных'!$D$2:$D$1048576,MATCH(База_КР_КК[[#This Row],[Структурное подразделение]],'Списки данных'!$C$2:$C$1048576,0))</f>
        <v>22</v>
      </c>
      <c r="I763" s="80" t="s">
        <v>135</v>
      </c>
      <c r="J763" s="80" t="s">
        <v>202</v>
      </c>
      <c r="K763" s="80" t="s">
        <v>21</v>
      </c>
      <c r="L763" s="30" t="s">
        <v>183</v>
      </c>
      <c r="M763" s="68">
        <v>5</v>
      </c>
      <c r="N763" s="181" t="str">
        <f t="shared" si="12"/>
        <v>нет</v>
      </c>
      <c r="O763" s="23"/>
      <c r="P763" s="23"/>
      <c r="Q763" s="106"/>
      <c r="R763" s="37">
        <v>165</v>
      </c>
      <c r="S763" s="38" t="s">
        <v>577</v>
      </c>
      <c r="T763" s="37">
        <v>156</v>
      </c>
      <c r="U763" s="39" t="s">
        <v>568</v>
      </c>
      <c r="V763" s="89" t="s">
        <v>187</v>
      </c>
      <c r="W763" s="89" t="s">
        <v>135</v>
      </c>
      <c r="X763" s="106" t="s">
        <v>295</v>
      </c>
      <c r="Y763" s="107" t="s">
        <v>12</v>
      </c>
      <c r="Z763" s="67">
        <f>IF(База_КР_КК[[#This Row],[Таб.номер резервиста]]="-","-",IF(OR(База_КР_КК[[#This Row],[Уровень КК]]=2,База_КР_КК[[#This Row],[Уровень КК]]=3),IF(COUNTIFS($U$2:$U763,$U763,$F$2:$F763,$F763)=1,1,0),IF(COUNTIFS($U$2:$U763,$U763,$L$2:$L763,$L763)=1,1,0)))</f>
        <v>1</v>
      </c>
      <c r="AA7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3" s="106"/>
      <c r="AC763" s="51"/>
      <c r="AD763" s="106" t="s">
        <v>13</v>
      </c>
      <c r="AE763" s="38" t="s">
        <v>405</v>
      </c>
    </row>
    <row r="764" spans="1:31" ht="18" customHeight="1" x14ac:dyDescent="0.25">
      <c r="A7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4" s="79">
        <v>4</v>
      </c>
      <c r="C764" s="23">
        <v>43733</v>
      </c>
      <c r="D764" s="67">
        <f>IF(COUNTIF($G$2:$G764,$G764)=1,1,0)</f>
        <v>1</v>
      </c>
      <c r="E764" s="67" t="str">
        <f>IFERROR(VLOOKUP(База_КР_КК[[#This Row],[ИД штатной должности (S)]],'уровень защищенности'!$B$7:$F$1095,5,0),"не защищена")</f>
        <v>высокий</v>
      </c>
      <c r="F764" s="68">
        <v>500662</v>
      </c>
      <c r="G764" s="74" t="s">
        <v>2323</v>
      </c>
      <c r="H764" s="181">
        <f>INDEX('Списки данных'!$D$2:$D$1048576,MATCH(База_КР_КК[[#This Row],[Структурное подразделение]],'Списки данных'!$C$2:$C$1048576,0))</f>
        <v>22</v>
      </c>
      <c r="I764" s="80" t="s">
        <v>135</v>
      </c>
      <c r="J764" s="80" t="s">
        <v>202</v>
      </c>
      <c r="K764" s="80" t="s">
        <v>203</v>
      </c>
      <c r="L764" s="30" t="s">
        <v>191</v>
      </c>
      <c r="M764" s="68">
        <v>6</v>
      </c>
      <c r="N764" s="181" t="str">
        <f t="shared" si="12"/>
        <v>нет</v>
      </c>
      <c r="O764" s="23"/>
      <c r="P764" s="23"/>
      <c r="Q764" s="106"/>
      <c r="R764" s="37">
        <v>166</v>
      </c>
      <c r="S764" s="38" t="s">
        <v>578</v>
      </c>
      <c r="T764" s="37">
        <v>1256</v>
      </c>
      <c r="U764" s="39" t="s">
        <v>1658</v>
      </c>
      <c r="V764" s="89" t="s">
        <v>272</v>
      </c>
      <c r="W764" s="89" t="s">
        <v>135</v>
      </c>
      <c r="X764" s="106" t="s">
        <v>295</v>
      </c>
      <c r="Y764" s="107" t="s">
        <v>12</v>
      </c>
      <c r="Z764" s="67">
        <f>IF(База_КР_КК[[#This Row],[Таб.номер резервиста]]="-","-",IF(OR(База_КР_КК[[#This Row],[Уровень КК]]=2,База_КР_КК[[#This Row],[Уровень КК]]=3),IF(COUNTIFS($U$2:$U764,$U764,$F$2:$F764,$F764)=1,1,0),IF(COUNTIFS($U$2:$U764,$U764,$L$2:$L764,$L764)=1,1,0)))</f>
        <v>1</v>
      </c>
      <c r="AA7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4" s="106"/>
      <c r="AC764" s="51"/>
      <c r="AD764" s="106" t="s">
        <v>13</v>
      </c>
      <c r="AE764" s="38" t="s">
        <v>413</v>
      </c>
    </row>
    <row r="765" spans="1:31" ht="18" customHeight="1" x14ac:dyDescent="0.25">
      <c r="A7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5" s="79">
        <v>4</v>
      </c>
      <c r="C765" s="23">
        <v>43733</v>
      </c>
      <c r="D765" s="67">
        <f>IF(COUNTIF($G$2:$G765,$G765)=1,1,0)</f>
        <v>0</v>
      </c>
      <c r="E765" s="67" t="str">
        <f>IFERROR(VLOOKUP(База_КР_КК[[#This Row],[ИД штатной должности (S)]],'уровень защищенности'!$B$7:$F$1095,5,0),"не защищена")</f>
        <v>высокий</v>
      </c>
      <c r="F765" s="68">
        <v>500662</v>
      </c>
      <c r="G765" s="74" t="s">
        <v>2323</v>
      </c>
      <c r="H765" s="181">
        <f>INDEX('Списки данных'!$D$2:$D$1048576,MATCH(База_КР_КК[[#This Row],[Структурное подразделение]],'Списки данных'!$C$2:$C$1048576,0))</f>
        <v>22</v>
      </c>
      <c r="I765" s="80" t="s">
        <v>135</v>
      </c>
      <c r="J765" s="80" t="s">
        <v>202</v>
      </c>
      <c r="K765" s="80" t="s">
        <v>203</v>
      </c>
      <c r="L765" s="30" t="s">
        <v>191</v>
      </c>
      <c r="M765" s="68">
        <v>6</v>
      </c>
      <c r="N765" s="181" t="str">
        <f t="shared" si="12"/>
        <v>нет</v>
      </c>
      <c r="O765" s="23"/>
      <c r="P765" s="23"/>
      <c r="Q765" s="106"/>
      <c r="R765" s="37">
        <v>166</v>
      </c>
      <c r="S765" s="38" t="s">
        <v>578</v>
      </c>
      <c r="T765" s="37">
        <v>1257</v>
      </c>
      <c r="U765" s="39" t="s">
        <v>1659</v>
      </c>
      <c r="V765" s="89" t="s">
        <v>272</v>
      </c>
      <c r="W765" s="89" t="s">
        <v>135</v>
      </c>
      <c r="X765" s="106" t="s">
        <v>295</v>
      </c>
      <c r="Y765" s="107" t="s">
        <v>12</v>
      </c>
      <c r="Z765" s="67">
        <f>IF(База_КР_КК[[#This Row],[Таб.номер резервиста]]="-","-",IF(OR(База_КР_КК[[#This Row],[Уровень КК]]=2,База_КР_КК[[#This Row],[Уровень КК]]=3),IF(COUNTIFS($U$2:$U765,$U765,$F$2:$F765,$F765)=1,1,0),IF(COUNTIFS($U$2:$U765,$U765,$L$2:$L765,$L765)=1,1,0)))</f>
        <v>1</v>
      </c>
      <c r="AA7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5" s="106"/>
      <c r="AC765" s="51"/>
      <c r="AD765" s="106" t="s">
        <v>13</v>
      </c>
      <c r="AE765" s="38" t="s">
        <v>413</v>
      </c>
    </row>
    <row r="766" spans="1:31" ht="18" customHeight="1" x14ac:dyDescent="0.25">
      <c r="A7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6" s="79">
        <v>4</v>
      </c>
      <c r="C766" s="23">
        <v>43733</v>
      </c>
      <c r="D766" s="67">
        <f>IF(COUNTIF($G$2:$G766,$G766)=1,1,0)</f>
        <v>0</v>
      </c>
      <c r="E766" s="67" t="str">
        <f>IFERROR(VLOOKUP(База_КР_КК[[#This Row],[ИД штатной должности (S)]],'уровень защищенности'!$B$7:$F$1095,5,0),"не защищена")</f>
        <v>высокий</v>
      </c>
      <c r="F766" s="68">
        <v>500662</v>
      </c>
      <c r="G766" s="74" t="s">
        <v>2323</v>
      </c>
      <c r="H766" s="181">
        <f>INDEX('Списки данных'!$D$2:$D$1048576,MATCH(База_КР_КК[[#This Row],[Структурное подразделение]],'Списки данных'!$C$2:$C$1048576,0))</f>
        <v>22</v>
      </c>
      <c r="I766" s="80" t="s">
        <v>135</v>
      </c>
      <c r="J766" s="80" t="s">
        <v>202</v>
      </c>
      <c r="K766" s="80" t="s">
        <v>203</v>
      </c>
      <c r="L766" s="30" t="s">
        <v>191</v>
      </c>
      <c r="M766" s="68">
        <v>6</v>
      </c>
      <c r="N766" s="181" t="str">
        <f t="shared" si="12"/>
        <v>нет</v>
      </c>
      <c r="O766" s="23"/>
      <c r="P766" s="23"/>
      <c r="Q766" s="106"/>
      <c r="R766" s="37">
        <v>166</v>
      </c>
      <c r="S766" s="38" t="s">
        <v>578</v>
      </c>
      <c r="T766" s="37">
        <v>1258</v>
      </c>
      <c r="U766" s="39" t="s">
        <v>1660</v>
      </c>
      <c r="V766" s="89" t="s">
        <v>272</v>
      </c>
      <c r="W766" s="89" t="s">
        <v>135</v>
      </c>
      <c r="X766" s="106" t="s">
        <v>295</v>
      </c>
      <c r="Y766" s="107" t="s">
        <v>12</v>
      </c>
      <c r="Z766" s="67">
        <f>IF(База_КР_КК[[#This Row],[Таб.номер резервиста]]="-","-",IF(OR(База_КР_КК[[#This Row],[Уровень КК]]=2,База_КР_КК[[#This Row],[Уровень КК]]=3),IF(COUNTIFS($U$2:$U766,$U766,$F$2:$F766,$F766)=1,1,0),IF(COUNTIFS($U$2:$U766,$U766,$L$2:$L766,$L766)=1,1,0)))</f>
        <v>1</v>
      </c>
      <c r="AA7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6" s="106"/>
      <c r="AC766" s="51"/>
      <c r="AD766" s="106" t="s">
        <v>13</v>
      </c>
      <c r="AE766" s="38" t="s">
        <v>413</v>
      </c>
    </row>
    <row r="767" spans="1:31" ht="18" customHeight="1" x14ac:dyDescent="0.25">
      <c r="A7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7" s="79">
        <v>4</v>
      </c>
      <c r="C767" s="23">
        <v>43733</v>
      </c>
      <c r="D767" s="67">
        <f>IF(COUNTIF($G$2:$G767,$G767)=1,1,0)</f>
        <v>0</v>
      </c>
      <c r="E767" s="67" t="str">
        <f>IFERROR(VLOOKUP(База_КР_КК[[#This Row],[ИД штатной должности (S)]],'уровень защищенности'!$B$7:$F$1095,5,0),"не защищена")</f>
        <v>высокий</v>
      </c>
      <c r="F767" s="68">
        <v>500662</v>
      </c>
      <c r="G767" s="74" t="s">
        <v>2323</v>
      </c>
      <c r="H767" s="181">
        <f>INDEX('Списки данных'!$D$2:$D$1048576,MATCH(База_КР_КК[[#This Row],[Структурное подразделение]],'Списки данных'!$C$2:$C$1048576,0))</f>
        <v>22</v>
      </c>
      <c r="I767" s="80" t="s">
        <v>135</v>
      </c>
      <c r="J767" s="80" t="s">
        <v>202</v>
      </c>
      <c r="K767" s="80" t="s">
        <v>203</v>
      </c>
      <c r="L767" s="30" t="s">
        <v>191</v>
      </c>
      <c r="M767" s="68">
        <v>6</v>
      </c>
      <c r="N767" s="181" t="str">
        <f t="shared" si="12"/>
        <v>нет</v>
      </c>
      <c r="O767" s="23"/>
      <c r="P767" s="23"/>
      <c r="Q767" s="106"/>
      <c r="R767" s="37">
        <v>166</v>
      </c>
      <c r="S767" s="38" t="s">
        <v>578</v>
      </c>
      <c r="T767" s="37">
        <v>1259</v>
      </c>
      <c r="U767" s="39" t="s">
        <v>1661</v>
      </c>
      <c r="V767" s="89" t="s">
        <v>272</v>
      </c>
      <c r="W767" s="89" t="s">
        <v>135</v>
      </c>
      <c r="X767" s="106" t="s">
        <v>297</v>
      </c>
      <c r="Y767" s="107" t="s">
        <v>12</v>
      </c>
      <c r="Z767" s="67">
        <f>IF(База_КР_КК[[#This Row],[Таб.номер резервиста]]="-","-",IF(OR(База_КР_КК[[#This Row],[Уровень КК]]=2,База_КР_КК[[#This Row],[Уровень КК]]=3),IF(COUNTIFS($U$2:$U767,$U767,$F$2:$F767,$F767)=1,1,0),IF(COUNTIFS($U$2:$U767,$U767,$L$2:$L767,$L767)=1,1,0)))</f>
        <v>1</v>
      </c>
      <c r="AA7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7" s="106"/>
      <c r="AC767" s="51"/>
      <c r="AD767" s="106" t="s">
        <v>22</v>
      </c>
      <c r="AE767" s="38" t="s">
        <v>413</v>
      </c>
    </row>
    <row r="768" spans="1:31" ht="18" customHeight="1" x14ac:dyDescent="0.25">
      <c r="A7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8" s="79">
        <v>4</v>
      </c>
      <c r="C768" s="23">
        <v>43733</v>
      </c>
      <c r="D768" s="67">
        <f>IF(COUNTIF($G$2:$G768,$G768)=1,1,0)</f>
        <v>0</v>
      </c>
      <c r="E768" s="67" t="str">
        <f>IFERROR(VLOOKUP(База_КР_КК[[#This Row],[ИД штатной должности (S)]],'уровень защищенности'!$B$7:$F$1095,5,0),"не защищена")</f>
        <v>высокий</v>
      </c>
      <c r="F768" s="68">
        <v>500662</v>
      </c>
      <c r="G768" s="74" t="s">
        <v>2323</v>
      </c>
      <c r="H768" s="181">
        <f>INDEX('Списки данных'!$D$2:$D$1048576,MATCH(База_КР_КК[[#This Row],[Структурное подразделение]],'Списки данных'!$C$2:$C$1048576,0))</f>
        <v>22</v>
      </c>
      <c r="I768" s="80" t="s">
        <v>135</v>
      </c>
      <c r="J768" s="80" t="s">
        <v>202</v>
      </c>
      <c r="K768" s="80" t="s">
        <v>203</v>
      </c>
      <c r="L768" s="30" t="s">
        <v>191</v>
      </c>
      <c r="M768" s="68">
        <v>6</v>
      </c>
      <c r="N768" s="181" t="str">
        <f t="shared" si="12"/>
        <v>нет</v>
      </c>
      <c r="O768" s="23"/>
      <c r="P768" s="23"/>
      <c r="Q768" s="106"/>
      <c r="R768" s="37">
        <v>166</v>
      </c>
      <c r="S768" s="38" t="s">
        <v>578</v>
      </c>
      <c r="T768" s="37">
        <v>1260</v>
      </c>
      <c r="U768" s="39" t="s">
        <v>1662</v>
      </c>
      <c r="V768" s="89" t="s">
        <v>272</v>
      </c>
      <c r="W768" s="89" t="s">
        <v>135</v>
      </c>
      <c r="X768" s="106" t="s">
        <v>295</v>
      </c>
      <c r="Y768" s="107" t="s">
        <v>12</v>
      </c>
      <c r="Z768" s="67">
        <f>IF(База_КР_КК[[#This Row],[Таб.номер резервиста]]="-","-",IF(OR(База_КР_КК[[#This Row],[Уровень КК]]=2,База_КР_КК[[#This Row],[Уровень КК]]=3),IF(COUNTIFS($U$2:$U768,$U768,$F$2:$F768,$F768)=1,1,0),IF(COUNTIFS($U$2:$U768,$U768,$L$2:$L768,$L768)=1,1,0)))</f>
        <v>1</v>
      </c>
      <c r="AA7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8" s="106"/>
      <c r="AC768" s="51"/>
      <c r="AD768" s="106" t="s">
        <v>17</v>
      </c>
      <c r="AE768" s="38" t="s">
        <v>413</v>
      </c>
    </row>
    <row r="769" spans="1:31" ht="18" customHeight="1" x14ac:dyDescent="0.25">
      <c r="A7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69" s="79">
        <v>4</v>
      </c>
      <c r="C769" s="23">
        <v>43733</v>
      </c>
      <c r="D769" s="67">
        <f>IF(COUNTIF($G$2:$G769,$G769)=1,1,0)</f>
        <v>0</v>
      </c>
      <c r="E769" s="67" t="str">
        <f>IFERROR(VLOOKUP(База_КР_КК[[#This Row],[ИД штатной должности (S)]],'уровень защищенности'!$B$7:$F$1095,5,0),"не защищена")</f>
        <v>высокий</v>
      </c>
      <c r="F769" s="68">
        <v>500662</v>
      </c>
      <c r="G769" s="74" t="s">
        <v>2323</v>
      </c>
      <c r="H769" s="181">
        <f>INDEX('Списки данных'!$D$2:$D$1048576,MATCH(База_КР_КК[[#This Row],[Структурное подразделение]],'Списки данных'!$C$2:$C$1048576,0))</f>
        <v>22</v>
      </c>
      <c r="I769" s="80" t="s">
        <v>135</v>
      </c>
      <c r="J769" s="80" t="s">
        <v>202</v>
      </c>
      <c r="K769" s="80" t="s">
        <v>203</v>
      </c>
      <c r="L769" s="30" t="s">
        <v>191</v>
      </c>
      <c r="M769" s="68">
        <v>6</v>
      </c>
      <c r="N769" s="181" t="str">
        <f t="shared" ref="N769:N832" si="13">IF(ISBLANK(O769),"нет","да")</f>
        <v>нет</v>
      </c>
      <c r="O769" s="23"/>
      <c r="P769" s="23"/>
      <c r="Q769" s="106"/>
      <c r="R769" s="37">
        <v>166</v>
      </c>
      <c r="S769" s="38" t="s">
        <v>578</v>
      </c>
      <c r="T769" s="37">
        <v>1261</v>
      </c>
      <c r="U769" s="39" t="s">
        <v>1663</v>
      </c>
      <c r="V769" s="89" t="s">
        <v>272</v>
      </c>
      <c r="W769" s="89" t="s">
        <v>135</v>
      </c>
      <c r="X769" s="106" t="s">
        <v>297</v>
      </c>
      <c r="Y769" s="107" t="s">
        <v>12</v>
      </c>
      <c r="Z769" s="67">
        <f>IF(База_КР_КК[[#This Row],[Таб.номер резервиста]]="-","-",IF(OR(База_КР_КК[[#This Row],[Уровень КК]]=2,База_КР_КК[[#This Row],[Уровень КК]]=3),IF(COUNTIFS($U$2:$U769,$U769,$F$2:$F769,$F769)=1,1,0),IF(COUNTIFS($U$2:$U769,$U769,$L$2:$L769,$L769)=1,1,0)))</f>
        <v>1</v>
      </c>
      <c r="AA7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69" s="106"/>
      <c r="AC769" s="51"/>
      <c r="AD769" s="106" t="s">
        <v>13</v>
      </c>
      <c r="AE769" s="38" t="s">
        <v>413</v>
      </c>
    </row>
    <row r="770" spans="1:31" ht="18" customHeight="1" x14ac:dyDescent="0.25">
      <c r="A7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0" s="79">
        <v>4</v>
      </c>
      <c r="C770" s="23">
        <v>44487</v>
      </c>
      <c r="D770" s="67">
        <f>IF(COUNTIF($G$2:$G770,$G770)=1,1,0)</f>
        <v>0</v>
      </c>
      <c r="E770" s="67" t="str">
        <f>IFERROR(VLOOKUP(База_КР_КК[[#This Row],[ИД штатной должности (S)]],'уровень защищенности'!$B$7:$F$1095,5,0),"не защищена")</f>
        <v>высокий</v>
      </c>
      <c r="F770" s="68">
        <v>500662</v>
      </c>
      <c r="G770" s="74" t="s">
        <v>2323</v>
      </c>
      <c r="H770" s="181">
        <f>INDEX('Списки данных'!$D$2:$D$1048576,MATCH(База_КР_КК[[#This Row],[Структурное подразделение]],'Списки данных'!$C$2:$C$1048576,0))</f>
        <v>22</v>
      </c>
      <c r="I770" s="80" t="s">
        <v>135</v>
      </c>
      <c r="J770" s="80" t="s">
        <v>202</v>
      </c>
      <c r="K770" s="80" t="s">
        <v>203</v>
      </c>
      <c r="L770" s="30" t="s">
        <v>191</v>
      </c>
      <c r="M770" s="68">
        <v>6</v>
      </c>
      <c r="N770" s="181" t="str">
        <f t="shared" si="13"/>
        <v>нет</v>
      </c>
      <c r="O770" s="23"/>
      <c r="P770" s="23"/>
      <c r="Q770" s="106"/>
      <c r="R770" s="37">
        <v>166</v>
      </c>
      <c r="S770" s="38" t="s">
        <v>578</v>
      </c>
      <c r="T770" s="37">
        <v>1262</v>
      </c>
      <c r="U770" s="39" t="s">
        <v>1664</v>
      </c>
      <c r="V770" s="89" t="s">
        <v>272</v>
      </c>
      <c r="W770" s="89" t="s">
        <v>135</v>
      </c>
      <c r="X770" s="106" t="s">
        <v>297</v>
      </c>
      <c r="Y770" s="107" t="s">
        <v>12</v>
      </c>
      <c r="Z770" s="67">
        <f>IF(База_КР_КК[[#This Row],[Таб.номер резервиста]]="-","-",IF(OR(База_КР_КК[[#This Row],[Уровень КК]]=2,База_КР_КК[[#This Row],[Уровень КК]]=3),IF(COUNTIFS($U$2:$U770,$U770,$F$2:$F770,$F770)=1,1,0),IF(COUNTIFS($U$2:$U770,$U770,$L$2:$L770,$L770)=1,1,0)))</f>
        <v>1</v>
      </c>
      <c r="AA7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0" s="106"/>
      <c r="AC770" s="51"/>
      <c r="AD770" s="106" t="s">
        <v>17</v>
      </c>
      <c r="AE770" s="33" t="s">
        <v>413</v>
      </c>
    </row>
    <row r="771" spans="1:31" ht="18" customHeight="1" x14ac:dyDescent="0.25">
      <c r="A7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1" s="79">
        <v>4</v>
      </c>
      <c r="C771" s="23">
        <v>44487</v>
      </c>
      <c r="D771" s="67">
        <f>IF(COUNTIF($G$2:$G771,$G771)=1,1,0)</f>
        <v>0</v>
      </c>
      <c r="E771" s="67" t="str">
        <f>IFERROR(VLOOKUP(База_КР_КК[[#This Row],[ИД штатной должности (S)]],'уровень защищенности'!$B$7:$F$1095,5,0),"не защищена")</f>
        <v>высокий</v>
      </c>
      <c r="F771" s="68">
        <v>500662</v>
      </c>
      <c r="G771" s="74" t="s">
        <v>2323</v>
      </c>
      <c r="H771" s="181">
        <f>INDEX('Списки данных'!$D$2:$D$1048576,MATCH(База_КР_КК[[#This Row],[Структурное подразделение]],'Списки данных'!$C$2:$C$1048576,0))</f>
        <v>22</v>
      </c>
      <c r="I771" s="80" t="s">
        <v>135</v>
      </c>
      <c r="J771" s="80" t="s">
        <v>202</v>
      </c>
      <c r="K771" s="80" t="s">
        <v>203</v>
      </c>
      <c r="L771" s="30" t="s">
        <v>191</v>
      </c>
      <c r="M771" s="68">
        <v>6</v>
      </c>
      <c r="N771" s="181" t="str">
        <f t="shared" si="13"/>
        <v>нет</v>
      </c>
      <c r="O771" s="23"/>
      <c r="P771" s="23"/>
      <c r="Q771" s="106"/>
      <c r="R771" s="37">
        <v>166</v>
      </c>
      <c r="S771" s="38" t="s">
        <v>578</v>
      </c>
      <c r="T771" s="37">
        <v>1263</v>
      </c>
      <c r="U771" s="39" t="s">
        <v>1665</v>
      </c>
      <c r="V771" s="89" t="s">
        <v>272</v>
      </c>
      <c r="W771" s="89" t="s">
        <v>135</v>
      </c>
      <c r="X771" s="106" t="s">
        <v>295</v>
      </c>
      <c r="Y771" s="107" t="s">
        <v>12</v>
      </c>
      <c r="Z771" s="67">
        <f>IF(База_КР_КК[[#This Row],[Таб.номер резервиста]]="-","-",IF(OR(База_КР_КК[[#This Row],[Уровень КК]]=2,База_КР_КК[[#This Row],[Уровень КК]]=3),IF(COUNTIFS($U$2:$U771,$U771,$F$2:$F771,$F771)=1,1,0),IF(COUNTIFS($U$2:$U771,$U771,$L$2:$L771,$L771)=1,1,0)))</f>
        <v>1</v>
      </c>
      <c r="AA7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1" s="106"/>
      <c r="AC771" s="51"/>
      <c r="AD771" s="106" t="s">
        <v>17</v>
      </c>
      <c r="AE771" s="33" t="s">
        <v>413</v>
      </c>
    </row>
    <row r="772" spans="1:31" ht="18" customHeight="1" x14ac:dyDescent="0.25">
      <c r="A7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2" s="79">
        <v>4</v>
      </c>
      <c r="C772" s="23">
        <v>44879</v>
      </c>
      <c r="D772" s="67">
        <f>IF(COUNTIF($G$2:$G772,$G772)=1,1,0)</f>
        <v>0</v>
      </c>
      <c r="E772" s="67" t="str">
        <f>IFERROR(VLOOKUP(База_КР_КК[[#This Row],[ИД штатной должности (S)]],'уровень защищенности'!$B$7:$F$1095,5,0),"не защищена")</f>
        <v>высокий</v>
      </c>
      <c r="F772" s="68">
        <v>500662</v>
      </c>
      <c r="G772" s="74" t="s">
        <v>2323</v>
      </c>
      <c r="H772" s="181">
        <f>INDEX('Списки данных'!$D$2:$D$1048576,MATCH(База_КР_КК[[#This Row],[Структурное подразделение]],'Списки данных'!$C$2:$C$1048576,0))</f>
        <v>22</v>
      </c>
      <c r="I772" s="80" t="s">
        <v>135</v>
      </c>
      <c r="J772" s="80" t="s">
        <v>202</v>
      </c>
      <c r="K772" s="80" t="s">
        <v>203</v>
      </c>
      <c r="L772" s="30" t="s">
        <v>191</v>
      </c>
      <c r="M772" s="68">
        <v>6</v>
      </c>
      <c r="N772" s="181" t="str">
        <f t="shared" si="13"/>
        <v>нет</v>
      </c>
      <c r="O772" s="23"/>
      <c r="P772" s="23"/>
      <c r="Q772" s="106"/>
      <c r="R772" s="37">
        <v>166</v>
      </c>
      <c r="S772" s="39" t="s">
        <v>578</v>
      </c>
      <c r="T772" s="37">
        <v>1264</v>
      </c>
      <c r="U772" s="38" t="s">
        <v>1666</v>
      </c>
      <c r="V772" s="69" t="s">
        <v>272</v>
      </c>
      <c r="W772" s="89" t="s">
        <v>135</v>
      </c>
      <c r="X772" s="106" t="s">
        <v>296</v>
      </c>
      <c r="Y772" s="107" t="s">
        <v>12</v>
      </c>
      <c r="Z772" s="67">
        <f>IF(База_КР_КК[[#This Row],[Таб.номер резервиста]]="-","-",IF(OR(База_КР_КК[[#This Row],[Уровень КК]]=2,База_КР_КК[[#This Row],[Уровень КК]]=3),IF(COUNTIFS($U$2:$U772,$U772,$F$2:$F772,$F772)=1,1,0),IF(COUNTIFS($U$2:$U772,$U772,$L$2:$L772,$L772)=1,1,0)))</f>
        <v>1</v>
      </c>
      <c r="AA7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2" s="106"/>
      <c r="AC772" s="51"/>
      <c r="AD772" s="106" t="s">
        <v>15</v>
      </c>
      <c r="AE772" s="33" t="s">
        <v>413</v>
      </c>
    </row>
    <row r="773" spans="1:31" ht="18" customHeight="1" x14ac:dyDescent="0.25">
      <c r="A7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3" s="79">
        <v>4</v>
      </c>
      <c r="C773" s="23">
        <v>44879</v>
      </c>
      <c r="D773" s="67">
        <f>IF(COUNTIF($G$2:$G773,$G773)=1,1,0)</f>
        <v>0</v>
      </c>
      <c r="E773" s="67" t="str">
        <f>IFERROR(VLOOKUP(База_КР_КК[[#This Row],[ИД штатной должности (S)]],'уровень защищенности'!$B$7:$F$1095,5,0),"не защищена")</f>
        <v>высокий</v>
      </c>
      <c r="F773" s="68">
        <v>500662</v>
      </c>
      <c r="G773" s="74" t="s">
        <v>2323</v>
      </c>
      <c r="H773" s="181">
        <f>INDEX('Списки данных'!$D$2:$D$1048576,MATCH(База_КР_КК[[#This Row],[Структурное подразделение]],'Списки данных'!$C$2:$C$1048576,0))</f>
        <v>22</v>
      </c>
      <c r="I773" s="80" t="s">
        <v>135</v>
      </c>
      <c r="J773" s="80" t="s">
        <v>202</v>
      </c>
      <c r="K773" s="80" t="s">
        <v>203</v>
      </c>
      <c r="L773" s="30" t="s">
        <v>191</v>
      </c>
      <c r="M773" s="68">
        <v>6</v>
      </c>
      <c r="N773" s="181" t="str">
        <f t="shared" si="13"/>
        <v>нет</v>
      </c>
      <c r="O773" s="23"/>
      <c r="P773" s="23"/>
      <c r="Q773" s="106"/>
      <c r="R773" s="37">
        <v>166</v>
      </c>
      <c r="S773" s="39" t="s">
        <v>578</v>
      </c>
      <c r="T773" s="37">
        <v>1265</v>
      </c>
      <c r="U773" s="38" t="s">
        <v>1667</v>
      </c>
      <c r="V773" s="69" t="s">
        <v>272</v>
      </c>
      <c r="W773" s="89" t="s">
        <v>135</v>
      </c>
      <c r="X773" s="106" t="s">
        <v>296</v>
      </c>
      <c r="Y773" s="107" t="s">
        <v>12</v>
      </c>
      <c r="Z773" s="67">
        <f>IF(База_КР_КК[[#This Row],[Таб.номер резервиста]]="-","-",IF(OR(База_КР_КК[[#This Row],[Уровень КК]]=2,База_КР_КК[[#This Row],[Уровень КК]]=3),IF(COUNTIFS($U$2:$U773,$U773,$F$2:$F773,$F773)=1,1,0),IF(COUNTIFS($U$2:$U773,$U773,$L$2:$L773,$L773)=1,1,0)))</f>
        <v>1</v>
      </c>
      <c r="AA7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3" s="106"/>
      <c r="AC773" s="51"/>
      <c r="AD773" s="106" t="s">
        <v>15</v>
      </c>
      <c r="AE773" s="33" t="s">
        <v>413</v>
      </c>
    </row>
    <row r="774" spans="1:31" ht="18" customHeight="1" x14ac:dyDescent="0.25">
      <c r="A7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4" s="79">
        <v>4</v>
      </c>
      <c r="C774" s="23">
        <v>44879</v>
      </c>
      <c r="D774" s="67">
        <f>IF(COUNTIF($G$2:$G774,$G774)=1,1,0)</f>
        <v>0</v>
      </c>
      <c r="E774" s="67" t="str">
        <f>IFERROR(VLOOKUP(База_КР_КК[[#This Row],[ИД штатной должности (S)]],'уровень защищенности'!$B$7:$F$1095,5,0),"не защищена")</f>
        <v>высокий</v>
      </c>
      <c r="F774" s="68">
        <v>500662</v>
      </c>
      <c r="G774" s="74" t="s">
        <v>2323</v>
      </c>
      <c r="H774" s="181">
        <f>INDEX('Списки данных'!$D$2:$D$1048576,MATCH(База_КР_КК[[#This Row],[Структурное подразделение]],'Списки данных'!$C$2:$C$1048576,0))</f>
        <v>22</v>
      </c>
      <c r="I774" s="80" t="s">
        <v>135</v>
      </c>
      <c r="J774" s="80" t="s">
        <v>202</v>
      </c>
      <c r="K774" s="80" t="s">
        <v>203</v>
      </c>
      <c r="L774" s="30" t="s">
        <v>191</v>
      </c>
      <c r="M774" s="68">
        <v>6</v>
      </c>
      <c r="N774" s="181" t="str">
        <f t="shared" si="13"/>
        <v>нет</v>
      </c>
      <c r="O774" s="23"/>
      <c r="P774" s="23"/>
      <c r="Q774" s="106"/>
      <c r="R774" s="37">
        <v>166</v>
      </c>
      <c r="S774" s="39" t="s">
        <v>578</v>
      </c>
      <c r="T774" s="37">
        <v>1266</v>
      </c>
      <c r="U774" s="38" t="s">
        <v>1668</v>
      </c>
      <c r="V774" s="69" t="s">
        <v>272</v>
      </c>
      <c r="W774" s="89" t="s">
        <v>135</v>
      </c>
      <c r="X774" s="106" t="s">
        <v>296</v>
      </c>
      <c r="Y774" s="107" t="s">
        <v>12</v>
      </c>
      <c r="Z774" s="67">
        <f>IF(База_КР_КК[[#This Row],[Таб.номер резервиста]]="-","-",IF(OR(База_КР_КК[[#This Row],[Уровень КК]]=2,База_КР_КК[[#This Row],[Уровень КК]]=3),IF(COUNTIFS($U$2:$U774,$U774,$F$2:$F774,$F774)=1,1,0),IF(COUNTIFS($U$2:$U774,$U774,$L$2:$L774,$L774)=1,1,0)))</f>
        <v>1</v>
      </c>
      <c r="AA7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4" s="106"/>
      <c r="AC774" s="51"/>
      <c r="AD774" s="106" t="s">
        <v>15</v>
      </c>
      <c r="AE774" s="33" t="s">
        <v>413</v>
      </c>
    </row>
    <row r="775" spans="1:31" ht="18" customHeight="1" x14ac:dyDescent="0.25">
      <c r="A7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5" s="79">
        <v>4</v>
      </c>
      <c r="C775" s="23">
        <v>44487</v>
      </c>
      <c r="D775" s="67">
        <f>IF(COUNTIF($G$2:$G775,$G775)=1,1,0)</f>
        <v>0</v>
      </c>
      <c r="E775" s="67" t="str">
        <f>IFERROR(VLOOKUP(База_КР_КК[[#This Row],[ИД штатной должности (S)]],'уровень защищенности'!$B$7:$F$1095,5,0),"не защищена")</f>
        <v>высокий</v>
      </c>
      <c r="F775" s="68">
        <v>500662</v>
      </c>
      <c r="G775" s="74" t="s">
        <v>2323</v>
      </c>
      <c r="H775" s="181">
        <f>INDEX('Списки данных'!$D$2:$D$1048576,MATCH(База_КР_КК[[#This Row],[Структурное подразделение]],'Списки данных'!$C$2:$C$1048576,0))</f>
        <v>22</v>
      </c>
      <c r="I775" s="80" t="s">
        <v>135</v>
      </c>
      <c r="J775" s="80" t="s">
        <v>202</v>
      </c>
      <c r="K775" s="80" t="s">
        <v>203</v>
      </c>
      <c r="L775" s="30" t="s">
        <v>191</v>
      </c>
      <c r="M775" s="68">
        <v>6</v>
      </c>
      <c r="N775" s="181" t="str">
        <f t="shared" si="13"/>
        <v>нет</v>
      </c>
      <c r="O775" s="23"/>
      <c r="P775" s="23"/>
      <c r="Q775" s="106"/>
      <c r="R775" s="37">
        <v>166</v>
      </c>
      <c r="S775" s="38" t="s">
        <v>578</v>
      </c>
      <c r="T775" s="37">
        <v>171</v>
      </c>
      <c r="U775" s="39" t="s">
        <v>583</v>
      </c>
      <c r="V775" s="89" t="s">
        <v>192</v>
      </c>
      <c r="W775" s="89" t="s">
        <v>135</v>
      </c>
      <c r="X775" s="106" t="s">
        <v>295</v>
      </c>
      <c r="Y775" s="107" t="s">
        <v>14</v>
      </c>
      <c r="Z775" s="67">
        <f>IF(База_КР_КК[[#This Row],[Таб.номер резервиста]]="-","-",IF(OR(База_КР_КК[[#This Row],[Уровень КК]]=2,База_КР_КК[[#This Row],[Уровень КК]]=3),IF(COUNTIFS($U$2:$U775,$U775,$F$2:$F775,$F775)=1,1,0),IF(COUNTIFS($U$2:$U775,$U775,$L$2:$L775,$L775)=1,1,0)))</f>
        <v>1</v>
      </c>
      <c r="AA7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5" s="106" t="s">
        <v>24</v>
      </c>
      <c r="AC775" s="51">
        <v>44908</v>
      </c>
      <c r="AD775" s="106" t="s">
        <v>17</v>
      </c>
      <c r="AE775" s="33" t="s">
        <v>322</v>
      </c>
    </row>
    <row r="776" spans="1:31" ht="18" customHeight="1" x14ac:dyDescent="0.25">
      <c r="A7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6" s="79">
        <v>4</v>
      </c>
      <c r="C776" s="23">
        <v>43733</v>
      </c>
      <c r="D776" s="67">
        <f>IF(COUNTIF($G$2:$G776,$G776)=1,1,0)</f>
        <v>1</v>
      </c>
      <c r="E776" s="67" t="str">
        <f>IFERROR(VLOOKUP(База_КР_КК[[#This Row],[ИД штатной должности (S)]],'уровень защищенности'!$B$7:$F$1095,5,0),"не защищена")</f>
        <v>высокий</v>
      </c>
      <c r="F776" s="68">
        <v>500662</v>
      </c>
      <c r="G776" s="74" t="s">
        <v>2324</v>
      </c>
      <c r="H776" s="181">
        <f>INDEX('Списки данных'!$D$2:$D$1048576,MATCH(База_КР_КК[[#This Row],[Структурное подразделение]],'Списки данных'!$C$2:$C$1048576,0))</f>
        <v>22</v>
      </c>
      <c r="I776" s="80" t="s">
        <v>135</v>
      </c>
      <c r="J776" s="80" t="s">
        <v>202</v>
      </c>
      <c r="K776" s="80" t="s">
        <v>203</v>
      </c>
      <c r="L776" s="30" t="s">
        <v>191</v>
      </c>
      <c r="M776" s="68">
        <v>6</v>
      </c>
      <c r="N776" s="181" t="str">
        <f t="shared" si="13"/>
        <v>нет</v>
      </c>
      <c r="O776" s="23"/>
      <c r="P776" s="23"/>
      <c r="Q776" s="106"/>
      <c r="R776" s="37">
        <v>167</v>
      </c>
      <c r="S776" s="38" t="s">
        <v>579</v>
      </c>
      <c r="T776" s="37">
        <v>1256</v>
      </c>
      <c r="U776" s="39" t="s">
        <v>1658</v>
      </c>
      <c r="V776" s="89" t="s">
        <v>272</v>
      </c>
      <c r="W776" s="89" t="s">
        <v>135</v>
      </c>
      <c r="X776" s="106" t="s">
        <v>295</v>
      </c>
      <c r="Y776" s="107" t="s">
        <v>12</v>
      </c>
      <c r="Z776" s="67">
        <f>IF(База_КР_КК[[#This Row],[Таб.номер резервиста]]="-","-",IF(OR(База_КР_КК[[#This Row],[Уровень КК]]=2,База_КР_КК[[#This Row],[Уровень КК]]=3),IF(COUNTIFS($U$2:$U776,$U776,$F$2:$F776,$F776)=1,1,0),IF(COUNTIFS($U$2:$U776,$U776,$L$2:$L776,$L776)=1,1,0)))</f>
        <v>0</v>
      </c>
      <c r="AA7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6" s="106"/>
      <c r="AC776" s="51"/>
      <c r="AD776" s="106" t="s">
        <v>13</v>
      </c>
      <c r="AE776" s="38" t="s">
        <v>413</v>
      </c>
    </row>
    <row r="777" spans="1:31" ht="18" customHeight="1" x14ac:dyDescent="0.25">
      <c r="A7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7" s="79">
        <v>4</v>
      </c>
      <c r="C777" s="23">
        <v>43733</v>
      </c>
      <c r="D777" s="67">
        <f>IF(COUNTIF($G$2:$G777,$G777)=1,1,0)</f>
        <v>0</v>
      </c>
      <c r="E777" s="67" t="str">
        <f>IFERROR(VLOOKUP(База_КР_КК[[#This Row],[ИД штатной должности (S)]],'уровень защищенности'!$B$7:$F$1095,5,0),"не защищена")</f>
        <v>высокий</v>
      </c>
      <c r="F777" s="68">
        <v>500662</v>
      </c>
      <c r="G777" s="74" t="s">
        <v>2324</v>
      </c>
      <c r="H777" s="181">
        <f>INDEX('Списки данных'!$D$2:$D$1048576,MATCH(База_КР_КК[[#This Row],[Структурное подразделение]],'Списки данных'!$C$2:$C$1048576,0))</f>
        <v>22</v>
      </c>
      <c r="I777" s="80" t="s">
        <v>135</v>
      </c>
      <c r="J777" s="80" t="s">
        <v>202</v>
      </c>
      <c r="K777" s="80" t="s">
        <v>203</v>
      </c>
      <c r="L777" s="30" t="s">
        <v>191</v>
      </c>
      <c r="M777" s="68">
        <v>6</v>
      </c>
      <c r="N777" s="181" t="str">
        <f t="shared" si="13"/>
        <v>нет</v>
      </c>
      <c r="O777" s="23"/>
      <c r="P777" s="23"/>
      <c r="Q777" s="106"/>
      <c r="R777" s="37">
        <v>167</v>
      </c>
      <c r="S777" s="38" t="s">
        <v>579</v>
      </c>
      <c r="T777" s="37">
        <v>1257</v>
      </c>
      <c r="U777" s="39" t="s">
        <v>1659</v>
      </c>
      <c r="V777" s="89" t="s">
        <v>272</v>
      </c>
      <c r="W777" s="89" t="s">
        <v>135</v>
      </c>
      <c r="X777" s="106" t="s">
        <v>295</v>
      </c>
      <c r="Y777" s="107" t="s">
        <v>12</v>
      </c>
      <c r="Z777" s="67">
        <f>IF(База_КР_КК[[#This Row],[Таб.номер резервиста]]="-","-",IF(OR(База_КР_КК[[#This Row],[Уровень КК]]=2,База_КР_КК[[#This Row],[Уровень КК]]=3),IF(COUNTIFS($U$2:$U777,$U777,$F$2:$F777,$F777)=1,1,0),IF(COUNTIFS($U$2:$U777,$U777,$L$2:$L777,$L777)=1,1,0)))</f>
        <v>0</v>
      </c>
      <c r="AA7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7" s="106"/>
      <c r="AC777" s="51"/>
      <c r="AD777" s="106" t="s">
        <v>13</v>
      </c>
      <c r="AE777" s="38" t="s">
        <v>413</v>
      </c>
    </row>
    <row r="778" spans="1:31" ht="18" customHeight="1" x14ac:dyDescent="0.25">
      <c r="A7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8" s="79">
        <v>4</v>
      </c>
      <c r="C778" s="23">
        <v>43733</v>
      </c>
      <c r="D778" s="67">
        <f>IF(COUNTIF($G$2:$G778,$G778)=1,1,0)</f>
        <v>0</v>
      </c>
      <c r="E778" s="67" t="str">
        <f>IFERROR(VLOOKUP(База_КР_КК[[#This Row],[ИД штатной должности (S)]],'уровень защищенности'!$B$7:$F$1095,5,0),"не защищена")</f>
        <v>высокий</v>
      </c>
      <c r="F778" s="68">
        <v>500662</v>
      </c>
      <c r="G778" s="74" t="s">
        <v>2324</v>
      </c>
      <c r="H778" s="181">
        <f>INDEX('Списки данных'!$D$2:$D$1048576,MATCH(База_КР_КК[[#This Row],[Структурное подразделение]],'Списки данных'!$C$2:$C$1048576,0))</f>
        <v>22</v>
      </c>
      <c r="I778" s="80" t="s">
        <v>135</v>
      </c>
      <c r="J778" s="80" t="s">
        <v>202</v>
      </c>
      <c r="K778" s="80" t="s">
        <v>203</v>
      </c>
      <c r="L778" s="30" t="s">
        <v>191</v>
      </c>
      <c r="M778" s="68">
        <v>6</v>
      </c>
      <c r="N778" s="181" t="str">
        <f t="shared" si="13"/>
        <v>нет</v>
      </c>
      <c r="O778" s="23"/>
      <c r="P778" s="23"/>
      <c r="Q778" s="106"/>
      <c r="R778" s="37">
        <v>167</v>
      </c>
      <c r="S778" s="38" t="s">
        <v>579</v>
      </c>
      <c r="T778" s="37">
        <v>1258</v>
      </c>
      <c r="U778" s="39" t="s">
        <v>1660</v>
      </c>
      <c r="V778" s="89" t="s">
        <v>272</v>
      </c>
      <c r="W778" s="89" t="s">
        <v>135</v>
      </c>
      <c r="X778" s="106" t="s">
        <v>295</v>
      </c>
      <c r="Y778" s="107" t="s">
        <v>12</v>
      </c>
      <c r="Z778" s="67">
        <f>IF(База_КР_КК[[#This Row],[Таб.номер резервиста]]="-","-",IF(OR(База_КР_КК[[#This Row],[Уровень КК]]=2,База_КР_КК[[#This Row],[Уровень КК]]=3),IF(COUNTIFS($U$2:$U778,$U778,$F$2:$F778,$F778)=1,1,0),IF(COUNTIFS($U$2:$U778,$U778,$L$2:$L778,$L778)=1,1,0)))</f>
        <v>0</v>
      </c>
      <c r="AA7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8" s="106"/>
      <c r="AC778" s="51"/>
      <c r="AD778" s="106" t="s">
        <v>13</v>
      </c>
      <c r="AE778" s="38" t="s">
        <v>413</v>
      </c>
    </row>
    <row r="779" spans="1:31" ht="18" customHeight="1" x14ac:dyDescent="0.25">
      <c r="A7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79" s="79">
        <v>4</v>
      </c>
      <c r="C779" s="23">
        <v>43733</v>
      </c>
      <c r="D779" s="67">
        <f>IF(COUNTIF($G$2:$G779,$G779)=1,1,0)</f>
        <v>0</v>
      </c>
      <c r="E779" s="67" t="str">
        <f>IFERROR(VLOOKUP(База_КР_КК[[#This Row],[ИД штатной должности (S)]],'уровень защищенности'!$B$7:$F$1095,5,0),"не защищена")</f>
        <v>высокий</v>
      </c>
      <c r="F779" s="68">
        <v>500662</v>
      </c>
      <c r="G779" s="74" t="s">
        <v>2324</v>
      </c>
      <c r="H779" s="181">
        <f>INDEX('Списки данных'!$D$2:$D$1048576,MATCH(База_КР_КК[[#This Row],[Структурное подразделение]],'Списки данных'!$C$2:$C$1048576,0))</f>
        <v>22</v>
      </c>
      <c r="I779" s="80" t="s">
        <v>135</v>
      </c>
      <c r="J779" s="80" t="s">
        <v>202</v>
      </c>
      <c r="K779" s="80" t="s">
        <v>203</v>
      </c>
      <c r="L779" s="30" t="s">
        <v>191</v>
      </c>
      <c r="M779" s="68">
        <v>6</v>
      </c>
      <c r="N779" s="181" t="str">
        <f t="shared" si="13"/>
        <v>нет</v>
      </c>
      <c r="O779" s="23"/>
      <c r="P779" s="23"/>
      <c r="Q779" s="106"/>
      <c r="R779" s="37">
        <v>167</v>
      </c>
      <c r="S779" s="38" t="s">
        <v>579</v>
      </c>
      <c r="T779" s="37">
        <v>1259</v>
      </c>
      <c r="U779" s="39" t="s">
        <v>1661</v>
      </c>
      <c r="V779" s="89" t="s">
        <v>272</v>
      </c>
      <c r="W779" s="89" t="s">
        <v>135</v>
      </c>
      <c r="X779" s="106" t="s">
        <v>297</v>
      </c>
      <c r="Y779" s="107" t="s">
        <v>12</v>
      </c>
      <c r="Z779" s="67">
        <f>IF(База_КР_КК[[#This Row],[Таб.номер резервиста]]="-","-",IF(OR(База_КР_КК[[#This Row],[Уровень КК]]=2,База_КР_КК[[#This Row],[Уровень КК]]=3),IF(COUNTIFS($U$2:$U779,$U779,$F$2:$F779,$F779)=1,1,0),IF(COUNTIFS($U$2:$U779,$U779,$L$2:$L779,$L779)=1,1,0)))</f>
        <v>0</v>
      </c>
      <c r="AA7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79" s="106"/>
      <c r="AC779" s="51"/>
      <c r="AD779" s="106" t="s">
        <v>22</v>
      </c>
      <c r="AE779" s="38" t="s">
        <v>413</v>
      </c>
    </row>
    <row r="780" spans="1:31" ht="18" customHeight="1" x14ac:dyDescent="0.25">
      <c r="A7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0" s="79">
        <v>4</v>
      </c>
      <c r="C780" s="23">
        <v>43733</v>
      </c>
      <c r="D780" s="67">
        <f>IF(COUNTIF($G$2:$G780,$G780)=1,1,0)</f>
        <v>0</v>
      </c>
      <c r="E780" s="67" t="str">
        <f>IFERROR(VLOOKUP(База_КР_КК[[#This Row],[ИД штатной должности (S)]],'уровень защищенности'!$B$7:$F$1095,5,0),"не защищена")</f>
        <v>высокий</v>
      </c>
      <c r="F780" s="68">
        <v>500662</v>
      </c>
      <c r="G780" s="74" t="s">
        <v>2324</v>
      </c>
      <c r="H780" s="181">
        <f>INDEX('Списки данных'!$D$2:$D$1048576,MATCH(База_КР_КК[[#This Row],[Структурное подразделение]],'Списки данных'!$C$2:$C$1048576,0))</f>
        <v>22</v>
      </c>
      <c r="I780" s="80" t="s">
        <v>135</v>
      </c>
      <c r="J780" s="80" t="s">
        <v>202</v>
      </c>
      <c r="K780" s="80" t="s">
        <v>203</v>
      </c>
      <c r="L780" s="30" t="s">
        <v>191</v>
      </c>
      <c r="M780" s="68">
        <v>6</v>
      </c>
      <c r="N780" s="181" t="str">
        <f t="shared" si="13"/>
        <v>нет</v>
      </c>
      <c r="O780" s="23"/>
      <c r="P780" s="23"/>
      <c r="Q780" s="106"/>
      <c r="R780" s="37">
        <v>167</v>
      </c>
      <c r="S780" s="38" t="s">
        <v>579</v>
      </c>
      <c r="T780" s="37">
        <v>1260</v>
      </c>
      <c r="U780" s="39" t="s">
        <v>1662</v>
      </c>
      <c r="V780" s="89" t="s">
        <v>272</v>
      </c>
      <c r="W780" s="89" t="s">
        <v>135</v>
      </c>
      <c r="X780" s="106" t="s">
        <v>295</v>
      </c>
      <c r="Y780" s="107" t="s">
        <v>12</v>
      </c>
      <c r="Z780" s="67">
        <f>IF(База_КР_КК[[#This Row],[Таб.номер резервиста]]="-","-",IF(OR(База_КР_КК[[#This Row],[Уровень КК]]=2,База_КР_КК[[#This Row],[Уровень КК]]=3),IF(COUNTIFS($U$2:$U780,$U780,$F$2:$F780,$F780)=1,1,0),IF(COUNTIFS($U$2:$U780,$U780,$L$2:$L780,$L780)=1,1,0)))</f>
        <v>0</v>
      </c>
      <c r="AA7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0" s="106"/>
      <c r="AC780" s="51"/>
      <c r="AD780" s="106" t="s">
        <v>17</v>
      </c>
      <c r="AE780" s="38" t="s">
        <v>413</v>
      </c>
    </row>
    <row r="781" spans="1:31" ht="18" customHeight="1" x14ac:dyDescent="0.25">
      <c r="A7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1" s="79">
        <v>4</v>
      </c>
      <c r="C781" s="23">
        <v>43733</v>
      </c>
      <c r="D781" s="67">
        <f>IF(COUNTIF($G$2:$G781,$G781)=1,1,0)</f>
        <v>0</v>
      </c>
      <c r="E781" s="67" t="str">
        <f>IFERROR(VLOOKUP(База_КР_КК[[#This Row],[ИД штатной должности (S)]],'уровень защищенности'!$B$7:$F$1095,5,0),"не защищена")</f>
        <v>высокий</v>
      </c>
      <c r="F781" s="68">
        <v>500662</v>
      </c>
      <c r="G781" s="74" t="s">
        <v>2324</v>
      </c>
      <c r="H781" s="181">
        <f>INDEX('Списки данных'!$D$2:$D$1048576,MATCH(База_КР_КК[[#This Row],[Структурное подразделение]],'Списки данных'!$C$2:$C$1048576,0))</f>
        <v>22</v>
      </c>
      <c r="I781" s="80" t="s">
        <v>135</v>
      </c>
      <c r="J781" s="80" t="s">
        <v>202</v>
      </c>
      <c r="K781" s="80" t="s">
        <v>203</v>
      </c>
      <c r="L781" s="30" t="s">
        <v>191</v>
      </c>
      <c r="M781" s="68">
        <v>6</v>
      </c>
      <c r="N781" s="181" t="str">
        <f t="shared" si="13"/>
        <v>нет</v>
      </c>
      <c r="O781" s="23"/>
      <c r="P781" s="23"/>
      <c r="Q781" s="106"/>
      <c r="R781" s="37">
        <v>167</v>
      </c>
      <c r="S781" s="38" t="s">
        <v>579</v>
      </c>
      <c r="T781" s="37">
        <v>1261</v>
      </c>
      <c r="U781" s="39" t="s">
        <v>1663</v>
      </c>
      <c r="V781" s="89" t="s">
        <v>272</v>
      </c>
      <c r="W781" s="89" t="s">
        <v>135</v>
      </c>
      <c r="X781" s="106" t="s">
        <v>297</v>
      </c>
      <c r="Y781" s="107" t="s">
        <v>12</v>
      </c>
      <c r="Z781" s="67">
        <f>IF(База_КР_КК[[#This Row],[Таб.номер резервиста]]="-","-",IF(OR(База_КР_КК[[#This Row],[Уровень КК]]=2,База_КР_КК[[#This Row],[Уровень КК]]=3),IF(COUNTIFS($U$2:$U781,$U781,$F$2:$F781,$F781)=1,1,0),IF(COUNTIFS($U$2:$U781,$U781,$L$2:$L781,$L781)=1,1,0)))</f>
        <v>0</v>
      </c>
      <c r="AA7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1" s="106"/>
      <c r="AC781" s="51"/>
      <c r="AD781" s="106" t="s">
        <v>13</v>
      </c>
      <c r="AE781" s="38" t="s">
        <v>413</v>
      </c>
    </row>
    <row r="782" spans="1:31" ht="18" customHeight="1" x14ac:dyDescent="0.25">
      <c r="A7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2" s="79">
        <v>4</v>
      </c>
      <c r="C782" s="23">
        <v>44487</v>
      </c>
      <c r="D782" s="67">
        <f>IF(COUNTIF($G$2:$G782,$G782)=1,1,0)</f>
        <v>0</v>
      </c>
      <c r="E782" s="67" t="str">
        <f>IFERROR(VLOOKUP(База_КР_КК[[#This Row],[ИД штатной должности (S)]],'уровень защищенности'!$B$7:$F$1095,5,0),"не защищена")</f>
        <v>высокий</v>
      </c>
      <c r="F782" s="68">
        <v>500662</v>
      </c>
      <c r="G782" s="74" t="s">
        <v>2324</v>
      </c>
      <c r="H782" s="181">
        <f>INDEX('Списки данных'!$D$2:$D$1048576,MATCH(База_КР_КК[[#This Row],[Структурное подразделение]],'Списки данных'!$C$2:$C$1048576,0))</f>
        <v>22</v>
      </c>
      <c r="I782" s="80" t="s">
        <v>135</v>
      </c>
      <c r="J782" s="80" t="s">
        <v>202</v>
      </c>
      <c r="K782" s="80" t="s">
        <v>203</v>
      </c>
      <c r="L782" s="30" t="s">
        <v>191</v>
      </c>
      <c r="M782" s="68">
        <v>6</v>
      </c>
      <c r="N782" s="181" t="str">
        <f t="shared" si="13"/>
        <v>нет</v>
      </c>
      <c r="O782" s="23"/>
      <c r="P782" s="23"/>
      <c r="Q782" s="106"/>
      <c r="R782" s="37">
        <v>167</v>
      </c>
      <c r="S782" s="38" t="s">
        <v>579</v>
      </c>
      <c r="T782" s="37">
        <v>1262</v>
      </c>
      <c r="U782" s="39" t="s">
        <v>1664</v>
      </c>
      <c r="V782" s="89" t="s">
        <v>272</v>
      </c>
      <c r="W782" s="89" t="s">
        <v>135</v>
      </c>
      <c r="X782" s="106" t="s">
        <v>297</v>
      </c>
      <c r="Y782" s="107" t="s">
        <v>12</v>
      </c>
      <c r="Z782" s="67">
        <f>IF(База_КР_КК[[#This Row],[Таб.номер резервиста]]="-","-",IF(OR(База_КР_КК[[#This Row],[Уровень КК]]=2,База_КР_КК[[#This Row],[Уровень КК]]=3),IF(COUNTIFS($U$2:$U782,$U782,$F$2:$F782,$F782)=1,1,0),IF(COUNTIFS($U$2:$U782,$U782,$L$2:$L782,$L782)=1,1,0)))</f>
        <v>0</v>
      </c>
      <c r="AA7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2" s="106"/>
      <c r="AC782" s="51"/>
      <c r="AD782" s="106" t="s">
        <v>17</v>
      </c>
      <c r="AE782" s="33" t="s">
        <v>413</v>
      </c>
    </row>
    <row r="783" spans="1:31" ht="18" customHeight="1" x14ac:dyDescent="0.25">
      <c r="A7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3" s="79">
        <v>4</v>
      </c>
      <c r="C783" s="23">
        <v>44487</v>
      </c>
      <c r="D783" s="67">
        <f>IF(COUNTIF($G$2:$G783,$G783)=1,1,0)</f>
        <v>0</v>
      </c>
      <c r="E783" s="67" t="str">
        <f>IFERROR(VLOOKUP(База_КР_КК[[#This Row],[ИД штатной должности (S)]],'уровень защищенности'!$B$7:$F$1095,5,0),"не защищена")</f>
        <v>высокий</v>
      </c>
      <c r="F783" s="68">
        <v>500662</v>
      </c>
      <c r="G783" s="74" t="s">
        <v>2324</v>
      </c>
      <c r="H783" s="181">
        <f>INDEX('Списки данных'!$D$2:$D$1048576,MATCH(База_КР_КК[[#This Row],[Структурное подразделение]],'Списки данных'!$C$2:$C$1048576,0))</f>
        <v>22</v>
      </c>
      <c r="I783" s="80" t="s">
        <v>135</v>
      </c>
      <c r="J783" s="80" t="s">
        <v>202</v>
      </c>
      <c r="K783" s="80" t="s">
        <v>203</v>
      </c>
      <c r="L783" s="30" t="s">
        <v>191</v>
      </c>
      <c r="M783" s="68">
        <v>6</v>
      </c>
      <c r="N783" s="181" t="str">
        <f t="shared" si="13"/>
        <v>нет</v>
      </c>
      <c r="O783" s="23"/>
      <c r="P783" s="23"/>
      <c r="Q783" s="106"/>
      <c r="R783" s="37">
        <v>167</v>
      </c>
      <c r="S783" s="38" t="s">
        <v>579</v>
      </c>
      <c r="T783" s="37">
        <v>1263</v>
      </c>
      <c r="U783" s="39" t="s">
        <v>1665</v>
      </c>
      <c r="V783" s="89" t="s">
        <v>272</v>
      </c>
      <c r="W783" s="89" t="s">
        <v>135</v>
      </c>
      <c r="X783" s="106" t="s">
        <v>295</v>
      </c>
      <c r="Y783" s="107" t="s">
        <v>12</v>
      </c>
      <c r="Z783" s="67">
        <f>IF(База_КР_КК[[#This Row],[Таб.номер резервиста]]="-","-",IF(OR(База_КР_КК[[#This Row],[Уровень КК]]=2,База_КР_КК[[#This Row],[Уровень КК]]=3),IF(COUNTIFS($U$2:$U783,$U783,$F$2:$F783,$F783)=1,1,0),IF(COUNTIFS($U$2:$U783,$U783,$L$2:$L783,$L783)=1,1,0)))</f>
        <v>0</v>
      </c>
      <c r="AA7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3" s="106"/>
      <c r="AC783" s="51"/>
      <c r="AD783" s="106" t="s">
        <v>17</v>
      </c>
      <c r="AE783" s="33" t="s">
        <v>413</v>
      </c>
    </row>
    <row r="784" spans="1:31" ht="18" customHeight="1" x14ac:dyDescent="0.25">
      <c r="A7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4" s="79">
        <v>4</v>
      </c>
      <c r="C784" s="23">
        <v>44879</v>
      </c>
      <c r="D784" s="67">
        <f>IF(COUNTIF($G$2:$G784,$G784)=1,1,0)</f>
        <v>0</v>
      </c>
      <c r="E784" s="67" t="str">
        <f>IFERROR(VLOOKUP(База_КР_КК[[#This Row],[ИД штатной должности (S)]],'уровень защищенности'!$B$7:$F$1095,5,0),"не защищена")</f>
        <v>высокий</v>
      </c>
      <c r="F784" s="68">
        <v>500662</v>
      </c>
      <c r="G784" s="74" t="s">
        <v>2324</v>
      </c>
      <c r="H784" s="181">
        <f>INDEX('Списки данных'!$D$2:$D$1048576,MATCH(База_КР_КК[[#This Row],[Структурное подразделение]],'Списки данных'!$C$2:$C$1048576,0))</f>
        <v>22</v>
      </c>
      <c r="I784" s="80" t="s">
        <v>135</v>
      </c>
      <c r="J784" s="80" t="s">
        <v>202</v>
      </c>
      <c r="K784" s="80" t="s">
        <v>203</v>
      </c>
      <c r="L784" s="30" t="s">
        <v>191</v>
      </c>
      <c r="M784" s="68">
        <v>6</v>
      </c>
      <c r="N784" s="181" t="str">
        <f t="shared" si="13"/>
        <v>нет</v>
      </c>
      <c r="O784" s="23"/>
      <c r="P784" s="23"/>
      <c r="Q784" s="106"/>
      <c r="R784" s="37">
        <v>167</v>
      </c>
      <c r="S784" s="39" t="s">
        <v>579</v>
      </c>
      <c r="T784" s="37">
        <v>1264</v>
      </c>
      <c r="U784" s="38" t="s">
        <v>1666</v>
      </c>
      <c r="V784" s="69" t="s">
        <v>272</v>
      </c>
      <c r="W784" s="89" t="s">
        <v>135</v>
      </c>
      <c r="X784" s="106" t="s">
        <v>296</v>
      </c>
      <c r="Y784" s="107" t="s">
        <v>12</v>
      </c>
      <c r="Z784" s="67">
        <f>IF(База_КР_КК[[#This Row],[Таб.номер резервиста]]="-","-",IF(OR(База_КР_КК[[#This Row],[Уровень КК]]=2,База_КР_КК[[#This Row],[Уровень КК]]=3),IF(COUNTIFS($U$2:$U784,$U784,$F$2:$F784,$F784)=1,1,0),IF(COUNTIFS($U$2:$U784,$U784,$L$2:$L784,$L784)=1,1,0)))</f>
        <v>0</v>
      </c>
      <c r="AA7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4" s="106"/>
      <c r="AC784" s="51"/>
      <c r="AD784" s="106" t="s">
        <v>15</v>
      </c>
      <c r="AE784" s="33" t="s">
        <v>413</v>
      </c>
    </row>
    <row r="785" spans="1:31" ht="18" customHeight="1" x14ac:dyDescent="0.25">
      <c r="A7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5" s="79">
        <v>4</v>
      </c>
      <c r="C785" s="23">
        <v>44879</v>
      </c>
      <c r="D785" s="67">
        <f>IF(COUNTIF($G$2:$G785,$G785)=1,1,0)</f>
        <v>0</v>
      </c>
      <c r="E785" s="67" t="str">
        <f>IFERROR(VLOOKUP(База_КР_КК[[#This Row],[ИД штатной должности (S)]],'уровень защищенности'!$B$7:$F$1095,5,0),"не защищена")</f>
        <v>высокий</v>
      </c>
      <c r="F785" s="68">
        <v>500662</v>
      </c>
      <c r="G785" s="74" t="s">
        <v>2324</v>
      </c>
      <c r="H785" s="181">
        <f>INDEX('Списки данных'!$D$2:$D$1048576,MATCH(База_КР_КК[[#This Row],[Структурное подразделение]],'Списки данных'!$C$2:$C$1048576,0))</f>
        <v>22</v>
      </c>
      <c r="I785" s="80" t="s">
        <v>135</v>
      </c>
      <c r="J785" s="80" t="s">
        <v>202</v>
      </c>
      <c r="K785" s="80" t="s">
        <v>203</v>
      </c>
      <c r="L785" s="30" t="s">
        <v>191</v>
      </c>
      <c r="M785" s="68">
        <v>6</v>
      </c>
      <c r="N785" s="181" t="str">
        <f t="shared" si="13"/>
        <v>нет</v>
      </c>
      <c r="O785" s="23"/>
      <c r="P785" s="23"/>
      <c r="Q785" s="106"/>
      <c r="R785" s="37">
        <v>167</v>
      </c>
      <c r="S785" s="39" t="s">
        <v>579</v>
      </c>
      <c r="T785" s="37">
        <v>1265</v>
      </c>
      <c r="U785" s="38" t="s">
        <v>1667</v>
      </c>
      <c r="V785" s="69" t="s">
        <v>272</v>
      </c>
      <c r="W785" s="89" t="s">
        <v>135</v>
      </c>
      <c r="X785" s="106" t="s">
        <v>296</v>
      </c>
      <c r="Y785" s="107" t="s">
        <v>12</v>
      </c>
      <c r="Z785" s="67">
        <f>IF(База_КР_КК[[#This Row],[Таб.номер резервиста]]="-","-",IF(OR(База_КР_КК[[#This Row],[Уровень КК]]=2,База_КР_КК[[#This Row],[Уровень КК]]=3),IF(COUNTIFS($U$2:$U785,$U785,$F$2:$F785,$F785)=1,1,0),IF(COUNTIFS($U$2:$U785,$U785,$L$2:$L785,$L785)=1,1,0)))</f>
        <v>0</v>
      </c>
      <c r="AA7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5" s="106"/>
      <c r="AC785" s="51"/>
      <c r="AD785" s="106" t="s">
        <v>15</v>
      </c>
      <c r="AE785" s="33" t="s">
        <v>413</v>
      </c>
    </row>
    <row r="786" spans="1:31" ht="18" customHeight="1" x14ac:dyDescent="0.25">
      <c r="A7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6" s="79">
        <v>4</v>
      </c>
      <c r="C786" s="23">
        <v>44879</v>
      </c>
      <c r="D786" s="67">
        <f>IF(COUNTIF($G$2:$G786,$G786)=1,1,0)</f>
        <v>0</v>
      </c>
      <c r="E786" s="67" t="str">
        <f>IFERROR(VLOOKUP(База_КР_КК[[#This Row],[ИД штатной должности (S)]],'уровень защищенности'!$B$7:$F$1095,5,0),"не защищена")</f>
        <v>высокий</v>
      </c>
      <c r="F786" s="68">
        <v>500662</v>
      </c>
      <c r="G786" s="74" t="s">
        <v>2324</v>
      </c>
      <c r="H786" s="181">
        <f>INDEX('Списки данных'!$D$2:$D$1048576,MATCH(База_КР_КК[[#This Row],[Структурное подразделение]],'Списки данных'!$C$2:$C$1048576,0))</f>
        <v>22</v>
      </c>
      <c r="I786" s="80" t="s">
        <v>135</v>
      </c>
      <c r="J786" s="80" t="s">
        <v>202</v>
      </c>
      <c r="K786" s="80" t="s">
        <v>203</v>
      </c>
      <c r="L786" s="30" t="s">
        <v>191</v>
      </c>
      <c r="M786" s="68">
        <v>6</v>
      </c>
      <c r="N786" s="181" t="str">
        <f t="shared" si="13"/>
        <v>нет</v>
      </c>
      <c r="O786" s="23"/>
      <c r="P786" s="23"/>
      <c r="Q786" s="106"/>
      <c r="R786" s="37">
        <v>167</v>
      </c>
      <c r="S786" s="39" t="s">
        <v>579</v>
      </c>
      <c r="T786" s="37">
        <v>1266</v>
      </c>
      <c r="U786" s="38" t="s">
        <v>1668</v>
      </c>
      <c r="V786" s="69" t="s">
        <v>272</v>
      </c>
      <c r="W786" s="89" t="s">
        <v>135</v>
      </c>
      <c r="X786" s="106" t="s">
        <v>296</v>
      </c>
      <c r="Y786" s="107" t="s">
        <v>12</v>
      </c>
      <c r="Z786" s="67">
        <f>IF(База_КР_КК[[#This Row],[Таб.номер резервиста]]="-","-",IF(OR(База_КР_КК[[#This Row],[Уровень КК]]=2,База_КР_КК[[#This Row],[Уровень КК]]=3),IF(COUNTIFS($U$2:$U786,$U786,$F$2:$F786,$F786)=1,1,0),IF(COUNTIFS($U$2:$U786,$U786,$L$2:$L786,$L786)=1,1,0)))</f>
        <v>0</v>
      </c>
      <c r="AA7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6" s="106"/>
      <c r="AC786" s="51"/>
      <c r="AD786" s="106" t="s">
        <v>15</v>
      </c>
      <c r="AE786" s="33" t="s">
        <v>413</v>
      </c>
    </row>
    <row r="787" spans="1:31" ht="18" customHeight="1" x14ac:dyDescent="0.25">
      <c r="A7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7" s="79">
        <v>4</v>
      </c>
      <c r="C787" s="23">
        <v>44487</v>
      </c>
      <c r="D787" s="67">
        <f>IF(COUNTIF($G$2:$G787,$G787)=1,1,0)</f>
        <v>0</v>
      </c>
      <c r="E787" s="67" t="str">
        <f>IFERROR(VLOOKUP(База_КР_КК[[#This Row],[ИД штатной должности (S)]],'уровень защищенности'!$B$7:$F$1095,5,0),"не защищена")</f>
        <v>высокий</v>
      </c>
      <c r="F787" s="68">
        <v>500662</v>
      </c>
      <c r="G787" s="74" t="s">
        <v>2324</v>
      </c>
      <c r="H787" s="181">
        <f>INDEX('Списки данных'!$D$2:$D$1048576,MATCH(База_КР_КК[[#This Row],[Структурное подразделение]],'Списки данных'!$C$2:$C$1048576,0))</f>
        <v>22</v>
      </c>
      <c r="I787" s="80" t="s">
        <v>135</v>
      </c>
      <c r="J787" s="80" t="s">
        <v>202</v>
      </c>
      <c r="K787" s="80" t="s">
        <v>203</v>
      </c>
      <c r="L787" s="30" t="s">
        <v>191</v>
      </c>
      <c r="M787" s="68">
        <v>6</v>
      </c>
      <c r="N787" s="181" t="str">
        <f t="shared" si="13"/>
        <v>нет</v>
      </c>
      <c r="O787" s="23"/>
      <c r="P787" s="23"/>
      <c r="Q787" s="106"/>
      <c r="R787" s="37">
        <v>167</v>
      </c>
      <c r="S787" s="38" t="s">
        <v>579</v>
      </c>
      <c r="T787" s="37">
        <v>171</v>
      </c>
      <c r="U787" s="39" t="s">
        <v>583</v>
      </c>
      <c r="V787" s="89" t="s">
        <v>192</v>
      </c>
      <c r="W787" s="89" t="s">
        <v>135</v>
      </c>
      <c r="X787" s="106" t="s">
        <v>295</v>
      </c>
      <c r="Y787" s="107" t="s">
        <v>14</v>
      </c>
      <c r="Z787" s="67">
        <f>IF(База_КР_КК[[#This Row],[Таб.номер резервиста]]="-","-",IF(OR(База_КР_КК[[#This Row],[Уровень КК]]=2,База_КР_КК[[#This Row],[Уровень КК]]=3),IF(COUNTIFS($U$2:$U787,$U787,$F$2:$F787,$F787)=1,1,0),IF(COUNTIFS($U$2:$U787,$U787,$L$2:$L787,$L787)=1,1,0)))</f>
        <v>0</v>
      </c>
      <c r="AA7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7" s="106" t="s">
        <v>24</v>
      </c>
      <c r="AC787" s="51">
        <v>44908</v>
      </c>
      <c r="AD787" s="106" t="s">
        <v>17</v>
      </c>
      <c r="AE787" s="33" t="s">
        <v>322</v>
      </c>
    </row>
    <row r="788" spans="1:31" ht="18" customHeight="1" x14ac:dyDescent="0.25">
      <c r="A7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8" s="79">
        <v>4</v>
      </c>
      <c r="C788" s="23">
        <v>43733</v>
      </c>
      <c r="D788" s="67">
        <f>IF(COUNTIF($G$2:$G788,$G788)=1,1,0)</f>
        <v>1</v>
      </c>
      <c r="E788" s="67" t="str">
        <f>IFERROR(VLOOKUP(База_КР_КК[[#This Row],[ИД штатной должности (S)]],'уровень защищенности'!$B$7:$F$1095,5,0),"не защищена")</f>
        <v>высокий</v>
      </c>
      <c r="F788" s="68">
        <v>500662</v>
      </c>
      <c r="G788" s="74" t="s">
        <v>2325</v>
      </c>
      <c r="H788" s="181">
        <f>INDEX('Списки данных'!$D$2:$D$1048576,MATCH(База_КР_КК[[#This Row],[Структурное подразделение]],'Списки данных'!$C$2:$C$1048576,0))</f>
        <v>22</v>
      </c>
      <c r="I788" s="80" t="s">
        <v>135</v>
      </c>
      <c r="J788" s="80" t="s">
        <v>202</v>
      </c>
      <c r="K788" s="80" t="s">
        <v>203</v>
      </c>
      <c r="L788" s="30" t="s">
        <v>191</v>
      </c>
      <c r="M788" s="68">
        <v>6</v>
      </c>
      <c r="N788" s="181" t="str">
        <f t="shared" si="13"/>
        <v>нет</v>
      </c>
      <c r="O788" s="23"/>
      <c r="P788" s="23"/>
      <c r="Q788" s="106"/>
      <c r="R788" s="37">
        <v>168</v>
      </c>
      <c r="S788" s="38" t="s">
        <v>580</v>
      </c>
      <c r="T788" s="37">
        <v>1256</v>
      </c>
      <c r="U788" s="39" t="s">
        <v>1658</v>
      </c>
      <c r="V788" s="89" t="s">
        <v>272</v>
      </c>
      <c r="W788" s="89" t="s">
        <v>135</v>
      </c>
      <c r="X788" s="106" t="s">
        <v>295</v>
      </c>
      <c r="Y788" s="107" t="s">
        <v>12</v>
      </c>
      <c r="Z788" s="67">
        <f>IF(База_КР_КК[[#This Row],[Таб.номер резервиста]]="-","-",IF(OR(База_КР_КК[[#This Row],[Уровень КК]]=2,База_КР_КК[[#This Row],[Уровень КК]]=3),IF(COUNTIFS($U$2:$U788,$U788,$F$2:$F788,$F788)=1,1,0),IF(COUNTIFS($U$2:$U788,$U788,$L$2:$L788,$L788)=1,1,0)))</f>
        <v>0</v>
      </c>
      <c r="AA7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8" s="106"/>
      <c r="AC788" s="51"/>
      <c r="AD788" s="106" t="s">
        <v>13</v>
      </c>
      <c r="AE788" s="38" t="s">
        <v>413</v>
      </c>
    </row>
    <row r="789" spans="1:31" ht="18" customHeight="1" x14ac:dyDescent="0.25">
      <c r="A7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89" s="79">
        <v>4</v>
      </c>
      <c r="C789" s="23">
        <v>43733</v>
      </c>
      <c r="D789" s="67">
        <f>IF(COUNTIF($G$2:$G789,$G789)=1,1,0)</f>
        <v>0</v>
      </c>
      <c r="E789" s="67" t="str">
        <f>IFERROR(VLOOKUP(База_КР_КК[[#This Row],[ИД штатной должности (S)]],'уровень защищенности'!$B$7:$F$1095,5,0),"не защищена")</f>
        <v>высокий</v>
      </c>
      <c r="F789" s="68">
        <v>500662</v>
      </c>
      <c r="G789" s="74" t="s">
        <v>2325</v>
      </c>
      <c r="H789" s="181">
        <f>INDEX('Списки данных'!$D$2:$D$1048576,MATCH(База_КР_КК[[#This Row],[Структурное подразделение]],'Списки данных'!$C$2:$C$1048576,0))</f>
        <v>22</v>
      </c>
      <c r="I789" s="80" t="s">
        <v>135</v>
      </c>
      <c r="J789" s="80" t="s">
        <v>202</v>
      </c>
      <c r="K789" s="80" t="s">
        <v>203</v>
      </c>
      <c r="L789" s="30" t="s">
        <v>191</v>
      </c>
      <c r="M789" s="68">
        <v>6</v>
      </c>
      <c r="N789" s="181" t="str">
        <f t="shared" si="13"/>
        <v>нет</v>
      </c>
      <c r="O789" s="23"/>
      <c r="P789" s="23"/>
      <c r="Q789" s="106"/>
      <c r="R789" s="37">
        <v>168</v>
      </c>
      <c r="S789" s="38" t="s">
        <v>580</v>
      </c>
      <c r="T789" s="37">
        <v>1257</v>
      </c>
      <c r="U789" s="39" t="s">
        <v>1659</v>
      </c>
      <c r="V789" s="89" t="s">
        <v>272</v>
      </c>
      <c r="W789" s="89" t="s">
        <v>135</v>
      </c>
      <c r="X789" s="106" t="s">
        <v>295</v>
      </c>
      <c r="Y789" s="107" t="s">
        <v>12</v>
      </c>
      <c r="Z789" s="67">
        <f>IF(База_КР_КК[[#This Row],[Таб.номер резервиста]]="-","-",IF(OR(База_КР_КК[[#This Row],[Уровень КК]]=2,База_КР_КК[[#This Row],[Уровень КК]]=3),IF(COUNTIFS($U$2:$U789,$U789,$F$2:$F789,$F789)=1,1,0),IF(COUNTIFS($U$2:$U789,$U789,$L$2:$L789,$L789)=1,1,0)))</f>
        <v>0</v>
      </c>
      <c r="AA7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89" s="106"/>
      <c r="AC789" s="51"/>
      <c r="AD789" s="106" t="s">
        <v>13</v>
      </c>
      <c r="AE789" s="38" t="s">
        <v>413</v>
      </c>
    </row>
    <row r="790" spans="1:31" ht="18" customHeight="1" x14ac:dyDescent="0.25">
      <c r="A7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0" s="79">
        <v>4</v>
      </c>
      <c r="C790" s="23">
        <v>43733</v>
      </c>
      <c r="D790" s="67">
        <f>IF(COUNTIF($G$2:$G790,$G790)=1,1,0)</f>
        <v>0</v>
      </c>
      <c r="E790" s="67" t="str">
        <f>IFERROR(VLOOKUP(База_КР_КК[[#This Row],[ИД штатной должности (S)]],'уровень защищенности'!$B$7:$F$1095,5,0),"не защищена")</f>
        <v>высокий</v>
      </c>
      <c r="F790" s="68">
        <v>500662</v>
      </c>
      <c r="G790" s="74" t="s">
        <v>2325</v>
      </c>
      <c r="H790" s="181">
        <f>INDEX('Списки данных'!$D$2:$D$1048576,MATCH(База_КР_КК[[#This Row],[Структурное подразделение]],'Списки данных'!$C$2:$C$1048576,0))</f>
        <v>22</v>
      </c>
      <c r="I790" s="80" t="s">
        <v>135</v>
      </c>
      <c r="J790" s="80" t="s">
        <v>202</v>
      </c>
      <c r="K790" s="80" t="s">
        <v>203</v>
      </c>
      <c r="L790" s="30" t="s">
        <v>191</v>
      </c>
      <c r="M790" s="68">
        <v>6</v>
      </c>
      <c r="N790" s="181" t="str">
        <f t="shared" si="13"/>
        <v>нет</v>
      </c>
      <c r="O790" s="23"/>
      <c r="P790" s="23"/>
      <c r="Q790" s="106"/>
      <c r="R790" s="37">
        <v>168</v>
      </c>
      <c r="S790" s="38" t="s">
        <v>580</v>
      </c>
      <c r="T790" s="37">
        <v>1258</v>
      </c>
      <c r="U790" s="39" t="s">
        <v>1660</v>
      </c>
      <c r="V790" s="89" t="s">
        <v>272</v>
      </c>
      <c r="W790" s="89" t="s">
        <v>135</v>
      </c>
      <c r="X790" s="106" t="s">
        <v>295</v>
      </c>
      <c r="Y790" s="107" t="s">
        <v>12</v>
      </c>
      <c r="Z790" s="67">
        <f>IF(База_КР_КК[[#This Row],[Таб.номер резервиста]]="-","-",IF(OR(База_КР_КК[[#This Row],[Уровень КК]]=2,База_КР_КК[[#This Row],[Уровень КК]]=3),IF(COUNTIFS($U$2:$U790,$U790,$F$2:$F790,$F790)=1,1,0),IF(COUNTIFS($U$2:$U790,$U790,$L$2:$L790,$L790)=1,1,0)))</f>
        <v>0</v>
      </c>
      <c r="AA7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0" s="106"/>
      <c r="AC790" s="51"/>
      <c r="AD790" s="106" t="s">
        <v>13</v>
      </c>
      <c r="AE790" s="38" t="s">
        <v>413</v>
      </c>
    </row>
    <row r="791" spans="1:31" ht="18" customHeight="1" x14ac:dyDescent="0.25">
      <c r="A7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1" s="79">
        <v>4</v>
      </c>
      <c r="C791" s="23">
        <v>43733</v>
      </c>
      <c r="D791" s="67">
        <f>IF(COUNTIF($G$2:$G791,$G791)=1,1,0)</f>
        <v>0</v>
      </c>
      <c r="E791" s="67" t="str">
        <f>IFERROR(VLOOKUP(База_КР_КК[[#This Row],[ИД штатной должности (S)]],'уровень защищенности'!$B$7:$F$1095,5,0),"не защищена")</f>
        <v>высокий</v>
      </c>
      <c r="F791" s="68">
        <v>500662</v>
      </c>
      <c r="G791" s="74" t="s">
        <v>2325</v>
      </c>
      <c r="H791" s="181">
        <f>INDEX('Списки данных'!$D$2:$D$1048576,MATCH(База_КР_КК[[#This Row],[Структурное подразделение]],'Списки данных'!$C$2:$C$1048576,0))</f>
        <v>22</v>
      </c>
      <c r="I791" s="80" t="s">
        <v>135</v>
      </c>
      <c r="J791" s="80" t="s">
        <v>202</v>
      </c>
      <c r="K791" s="80" t="s">
        <v>203</v>
      </c>
      <c r="L791" s="30" t="s">
        <v>191</v>
      </c>
      <c r="M791" s="68">
        <v>6</v>
      </c>
      <c r="N791" s="181" t="str">
        <f t="shared" si="13"/>
        <v>нет</v>
      </c>
      <c r="O791" s="23"/>
      <c r="P791" s="23"/>
      <c r="Q791" s="106"/>
      <c r="R791" s="37">
        <v>168</v>
      </c>
      <c r="S791" s="38" t="s">
        <v>580</v>
      </c>
      <c r="T791" s="37">
        <v>1259</v>
      </c>
      <c r="U791" s="39" t="s">
        <v>1661</v>
      </c>
      <c r="V791" s="89" t="s">
        <v>272</v>
      </c>
      <c r="W791" s="89" t="s">
        <v>135</v>
      </c>
      <c r="X791" s="106" t="s">
        <v>297</v>
      </c>
      <c r="Y791" s="107" t="s">
        <v>12</v>
      </c>
      <c r="Z791" s="67">
        <f>IF(База_КР_КК[[#This Row],[Таб.номер резервиста]]="-","-",IF(OR(База_КР_КК[[#This Row],[Уровень КК]]=2,База_КР_КК[[#This Row],[Уровень КК]]=3),IF(COUNTIFS($U$2:$U791,$U791,$F$2:$F791,$F791)=1,1,0),IF(COUNTIFS($U$2:$U791,$U791,$L$2:$L791,$L791)=1,1,0)))</f>
        <v>0</v>
      </c>
      <c r="AA7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1" s="106"/>
      <c r="AC791" s="51"/>
      <c r="AD791" s="106" t="s">
        <v>22</v>
      </c>
      <c r="AE791" s="38" t="s">
        <v>413</v>
      </c>
    </row>
    <row r="792" spans="1:31" ht="18" customHeight="1" x14ac:dyDescent="0.25">
      <c r="A7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2" s="79">
        <v>4</v>
      </c>
      <c r="C792" s="23">
        <v>43733</v>
      </c>
      <c r="D792" s="67">
        <f>IF(COUNTIF($G$2:$G792,$G792)=1,1,0)</f>
        <v>0</v>
      </c>
      <c r="E792" s="67" t="str">
        <f>IFERROR(VLOOKUP(База_КР_КК[[#This Row],[ИД штатной должности (S)]],'уровень защищенности'!$B$7:$F$1095,5,0),"не защищена")</f>
        <v>высокий</v>
      </c>
      <c r="F792" s="68">
        <v>500662</v>
      </c>
      <c r="G792" s="74" t="s">
        <v>2325</v>
      </c>
      <c r="H792" s="181">
        <f>INDEX('Списки данных'!$D$2:$D$1048576,MATCH(База_КР_КК[[#This Row],[Структурное подразделение]],'Списки данных'!$C$2:$C$1048576,0))</f>
        <v>22</v>
      </c>
      <c r="I792" s="80" t="s">
        <v>135</v>
      </c>
      <c r="J792" s="80" t="s">
        <v>202</v>
      </c>
      <c r="K792" s="80" t="s">
        <v>203</v>
      </c>
      <c r="L792" s="30" t="s">
        <v>191</v>
      </c>
      <c r="M792" s="68">
        <v>6</v>
      </c>
      <c r="N792" s="181" t="str">
        <f t="shared" si="13"/>
        <v>нет</v>
      </c>
      <c r="O792" s="23"/>
      <c r="P792" s="23"/>
      <c r="Q792" s="106"/>
      <c r="R792" s="37">
        <v>168</v>
      </c>
      <c r="S792" s="38" t="s">
        <v>580</v>
      </c>
      <c r="T792" s="37">
        <v>1260</v>
      </c>
      <c r="U792" s="39" t="s">
        <v>1662</v>
      </c>
      <c r="V792" s="89" t="s">
        <v>272</v>
      </c>
      <c r="W792" s="89" t="s">
        <v>135</v>
      </c>
      <c r="X792" s="106" t="s">
        <v>295</v>
      </c>
      <c r="Y792" s="107" t="s">
        <v>12</v>
      </c>
      <c r="Z792" s="67">
        <f>IF(База_КР_КК[[#This Row],[Таб.номер резервиста]]="-","-",IF(OR(База_КР_КК[[#This Row],[Уровень КК]]=2,База_КР_КК[[#This Row],[Уровень КК]]=3),IF(COUNTIFS($U$2:$U792,$U792,$F$2:$F792,$F792)=1,1,0),IF(COUNTIFS($U$2:$U792,$U792,$L$2:$L792,$L792)=1,1,0)))</f>
        <v>0</v>
      </c>
      <c r="AA7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2" s="106"/>
      <c r="AC792" s="51"/>
      <c r="AD792" s="106" t="s">
        <v>17</v>
      </c>
      <c r="AE792" s="38" t="s">
        <v>413</v>
      </c>
    </row>
    <row r="793" spans="1:31" ht="18" customHeight="1" x14ac:dyDescent="0.25">
      <c r="A7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3" s="79">
        <v>4</v>
      </c>
      <c r="C793" s="23">
        <v>43733</v>
      </c>
      <c r="D793" s="67">
        <f>IF(COUNTIF($G$2:$G793,$G793)=1,1,0)</f>
        <v>0</v>
      </c>
      <c r="E793" s="67" t="str">
        <f>IFERROR(VLOOKUP(База_КР_КК[[#This Row],[ИД штатной должности (S)]],'уровень защищенности'!$B$7:$F$1095,5,0),"не защищена")</f>
        <v>высокий</v>
      </c>
      <c r="F793" s="68">
        <v>500662</v>
      </c>
      <c r="G793" s="74" t="s">
        <v>2325</v>
      </c>
      <c r="H793" s="181">
        <f>INDEX('Списки данных'!$D$2:$D$1048576,MATCH(База_КР_КК[[#This Row],[Структурное подразделение]],'Списки данных'!$C$2:$C$1048576,0))</f>
        <v>22</v>
      </c>
      <c r="I793" s="80" t="s">
        <v>135</v>
      </c>
      <c r="J793" s="80" t="s">
        <v>202</v>
      </c>
      <c r="K793" s="80" t="s">
        <v>203</v>
      </c>
      <c r="L793" s="30" t="s">
        <v>191</v>
      </c>
      <c r="M793" s="68">
        <v>6</v>
      </c>
      <c r="N793" s="181" t="str">
        <f t="shared" si="13"/>
        <v>нет</v>
      </c>
      <c r="O793" s="23"/>
      <c r="P793" s="23"/>
      <c r="Q793" s="106"/>
      <c r="R793" s="37">
        <v>168</v>
      </c>
      <c r="S793" s="38" t="s">
        <v>580</v>
      </c>
      <c r="T793" s="37">
        <v>1261</v>
      </c>
      <c r="U793" s="39" t="s">
        <v>1663</v>
      </c>
      <c r="V793" s="89" t="s">
        <v>272</v>
      </c>
      <c r="W793" s="89" t="s">
        <v>135</v>
      </c>
      <c r="X793" s="106" t="s">
        <v>297</v>
      </c>
      <c r="Y793" s="107" t="s">
        <v>12</v>
      </c>
      <c r="Z793" s="67">
        <f>IF(База_КР_КК[[#This Row],[Таб.номер резервиста]]="-","-",IF(OR(База_КР_КК[[#This Row],[Уровень КК]]=2,База_КР_КК[[#This Row],[Уровень КК]]=3),IF(COUNTIFS($U$2:$U793,$U793,$F$2:$F793,$F793)=1,1,0),IF(COUNTIFS($U$2:$U793,$U793,$L$2:$L793,$L793)=1,1,0)))</f>
        <v>0</v>
      </c>
      <c r="AA7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3" s="106"/>
      <c r="AC793" s="51"/>
      <c r="AD793" s="106" t="s">
        <v>13</v>
      </c>
      <c r="AE793" s="38" t="s">
        <v>413</v>
      </c>
    </row>
    <row r="794" spans="1:31" ht="18" customHeight="1" x14ac:dyDescent="0.25">
      <c r="A7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4" s="79">
        <v>4</v>
      </c>
      <c r="C794" s="23">
        <v>44487</v>
      </c>
      <c r="D794" s="67">
        <f>IF(COUNTIF($G$2:$G794,$G794)=1,1,0)</f>
        <v>0</v>
      </c>
      <c r="E794" s="67" t="str">
        <f>IFERROR(VLOOKUP(База_КР_КК[[#This Row],[ИД штатной должности (S)]],'уровень защищенности'!$B$7:$F$1095,5,0),"не защищена")</f>
        <v>высокий</v>
      </c>
      <c r="F794" s="68">
        <v>500662</v>
      </c>
      <c r="G794" s="74" t="s">
        <v>2325</v>
      </c>
      <c r="H794" s="181">
        <f>INDEX('Списки данных'!$D$2:$D$1048576,MATCH(База_КР_КК[[#This Row],[Структурное подразделение]],'Списки данных'!$C$2:$C$1048576,0))</f>
        <v>22</v>
      </c>
      <c r="I794" s="80" t="s">
        <v>135</v>
      </c>
      <c r="J794" s="80" t="s">
        <v>202</v>
      </c>
      <c r="K794" s="80" t="s">
        <v>203</v>
      </c>
      <c r="L794" s="30" t="s">
        <v>191</v>
      </c>
      <c r="M794" s="68">
        <v>6</v>
      </c>
      <c r="N794" s="181" t="str">
        <f t="shared" si="13"/>
        <v>нет</v>
      </c>
      <c r="O794" s="23"/>
      <c r="P794" s="23"/>
      <c r="Q794" s="106"/>
      <c r="R794" s="37">
        <v>168</v>
      </c>
      <c r="S794" s="38" t="s">
        <v>580</v>
      </c>
      <c r="T794" s="37">
        <v>1262</v>
      </c>
      <c r="U794" s="39" t="s">
        <v>1664</v>
      </c>
      <c r="V794" s="89" t="s">
        <v>272</v>
      </c>
      <c r="W794" s="89" t="s">
        <v>135</v>
      </c>
      <c r="X794" s="106" t="s">
        <v>297</v>
      </c>
      <c r="Y794" s="107" t="s">
        <v>12</v>
      </c>
      <c r="Z794" s="67">
        <f>IF(База_КР_КК[[#This Row],[Таб.номер резервиста]]="-","-",IF(OR(База_КР_КК[[#This Row],[Уровень КК]]=2,База_КР_КК[[#This Row],[Уровень КК]]=3),IF(COUNTIFS($U$2:$U794,$U794,$F$2:$F794,$F794)=1,1,0),IF(COUNTIFS($U$2:$U794,$U794,$L$2:$L794,$L794)=1,1,0)))</f>
        <v>0</v>
      </c>
      <c r="AA7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4" s="106"/>
      <c r="AC794" s="51"/>
      <c r="AD794" s="106" t="s">
        <v>17</v>
      </c>
      <c r="AE794" s="33" t="s">
        <v>413</v>
      </c>
    </row>
    <row r="795" spans="1:31" ht="18" customHeight="1" x14ac:dyDescent="0.25">
      <c r="A7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5" s="79">
        <v>4</v>
      </c>
      <c r="C795" s="23">
        <v>44487</v>
      </c>
      <c r="D795" s="67">
        <f>IF(COUNTIF($G$2:$G795,$G795)=1,1,0)</f>
        <v>0</v>
      </c>
      <c r="E795" s="67" t="str">
        <f>IFERROR(VLOOKUP(База_КР_КК[[#This Row],[ИД штатной должности (S)]],'уровень защищенности'!$B$7:$F$1095,5,0),"не защищена")</f>
        <v>высокий</v>
      </c>
      <c r="F795" s="68">
        <v>500662</v>
      </c>
      <c r="G795" s="74" t="s">
        <v>2325</v>
      </c>
      <c r="H795" s="181">
        <f>INDEX('Списки данных'!$D$2:$D$1048576,MATCH(База_КР_КК[[#This Row],[Структурное подразделение]],'Списки данных'!$C$2:$C$1048576,0))</f>
        <v>22</v>
      </c>
      <c r="I795" s="80" t="s">
        <v>135</v>
      </c>
      <c r="J795" s="80" t="s">
        <v>202</v>
      </c>
      <c r="K795" s="80" t="s">
        <v>203</v>
      </c>
      <c r="L795" s="30" t="s">
        <v>191</v>
      </c>
      <c r="M795" s="68">
        <v>6</v>
      </c>
      <c r="N795" s="181" t="str">
        <f t="shared" si="13"/>
        <v>нет</v>
      </c>
      <c r="O795" s="23"/>
      <c r="P795" s="23"/>
      <c r="Q795" s="106"/>
      <c r="R795" s="37">
        <v>168</v>
      </c>
      <c r="S795" s="38" t="s">
        <v>580</v>
      </c>
      <c r="T795" s="37">
        <v>1263</v>
      </c>
      <c r="U795" s="39" t="s">
        <v>1665</v>
      </c>
      <c r="V795" s="89" t="s">
        <v>272</v>
      </c>
      <c r="W795" s="89" t="s">
        <v>135</v>
      </c>
      <c r="X795" s="106" t="s">
        <v>295</v>
      </c>
      <c r="Y795" s="107" t="s">
        <v>12</v>
      </c>
      <c r="Z795" s="67">
        <f>IF(База_КР_КК[[#This Row],[Таб.номер резервиста]]="-","-",IF(OR(База_КР_КК[[#This Row],[Уровень КК]]=2,База_КР_КК[[#This Row],[Уровень КК]]=3),IF(COUNTIFS($U$2:$U795,$U795,$F$2:$F795,$F795)=1,1,0),IF(COUNTIFS($U$2:$U795,$U795,$L$2:$L795,$L795)=1,1,0)))</f>
        <v>0</v>
      </c>
      <c r="AA7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5" s="106"/>
      <c r="AC795" s="51"/>
      <c r="AD795" s="106" t="s">
        <v>17</v>
      </c>
      <c r="AE795" s="33" t="s">
        <v>413</v>
      </c>
    </row>
    <row r="796" spans="1:31" ht="18" customHeight="1" x14ac:dyDescent="0.25">
      <c r="A7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6" s="79">
        <v>4</v>
      </c>
      <c r="C796" s="23">
        <v>44879</v>
      </c>
      <c r="D796" s="67">
        <f>IF(COUNTIF($G$2:$G796,$G796)=1,1,0)</f>
        <v>0</v>
      </c>
      <c r="E796" s="67" t="str">
        <f>IFERROR(VLOOKUP(База_КР_КК[[#This Row],[ИД штатной должности (S)]],'уровень защищенности'!$B$7:$F$1095,5,0),"не защищена")</f>
        <v>высокий</v>
      </c>
      <c r="F796" s="68">
        <v>500662</v>
      </c>
      <c r="G796" s="74" t="s">
        <v>2325</v>
      </c>
      <c r="H796" s="181">
        <f>INDEX('Списки данных'!$D$2:$D$1048576,MATCH(База_КР_КК[[#This Row],[Структурное подразделение]],'Списки данных'!$C$2:$C$1048576,0))</f>
        <v>22</v>
      </c>
      <c r="I796" s="80" t="s">
        <v>135</v>
      </c>
      <c r="J796" s="80" t="s">
        <v>202</v>
      </c>
      <c r="K796" s="80" t="s">
        <v>203</v>
      </c>
      <c r="L796" s="30" t="s">
        <v>191</v>
      </c>
      <c r="M796" s="68">
        <v>6</v>
      </c>
      <c r="N796" s="181" t="str">
        <f t="shared" si="13"/>
        <v>нет</v>
      </c>
      <c r="O796" s="23"/>
      <c r="P796" s="23"/>
      <c r="Q796" s="106"/>
      <c r="R796" s="37">
        <v>168</v>
      </c>
      <c r="S796" s="39" t="s">
        <v>580</v>
      </c>
      <c r="T796" s="37">
        <v>1264</v>
      </c>
      <c r="U796" s="38" t="s">
        <v>1666</v>
      </c>
      <c r="V796" s="69" t="s">
        <v>272</v>
      </c>
      <c r="W796" s="89" t="s">
        <v>135</v>
      </c>
      <c r="X796" s="106" t="s">
        <v>296</v>
      </c>
      <c r="Y796" s="107" t="s">
        <v>12</v>
      </c>
      <c r="Z796" s="67">
        <f>IF(База_КР_КК[[#This Row],[Таб.номер резервиста]]="-","-",IF(OR(База_КР_КК[[#This Row],[Уровень КК]]=2,База_КР_КК[[#This Row],[Уровень КК]]=3),IF(COUNTIFS($U$2:$U796,$U796,$F$2:$F796,$F796)=1,1,0),IF(COUNTIFS($U$2:$U796,$U796,$L$2:$L796,$L796)=1,1,0)))</f>
        <v>0</v>
      </c>
      <c r="AA7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6" s="106"/>
      <c r="AC796" s="51"/>
      <c r="AD796" s="106" t="s">
        <v>15</v>
      </c>
      <c r="AE796" s="33" t="s">
        <v>413</v>
      </c>
    </row>
    <row r="797" spans="1:31" ht="18" customHeight="1" x14ac:dyDescent="0.25">
      <c r="A7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7" s="79">
        <v>4</v>
      </c>
      <c r="C797" s="23">
        <v>44879</v>
      </c>
      <c r="D797" s="67">
        <f>IF(COUNTIF($G$2:$G797,$G797)=1,1,0)</f>
        <v>0</v>
      </c>
      <c r="E797" s="67" t="str">
        <f>IFERROR(VLOOKUP(База_КР_КК[[#This Row],[ИД штатной должности (S)]],'уровень защищенности'!$B$7:$F$1095,5,0),"не защищена")</f>
        <v>высокий</v>
      </c>
      <c r="F797" s="68">
        <v>500662</v>
      </c>
      <c r="G797" s="74" t="s">
        <v>2325</v>
      </c>
      <c r="H797" s="181">
        <f>INDEX('Списки данных'!$D$2:$D$1048576,MATCH(База_КР_КК[[#This Row],[Структурное подразделение]],'Списки данных'!$C$2:$C$1048576,0))</f>
        <v>22</v>
      </c>
      <c r="I797" s="80" t="s">
        <v>135</v>
      </c>
      <c r="J797" s="80" t="s">
        <v>202</v>
      </c>
      <c r="K797" s="80" t="s">
        <v>203</v>
      </c>
      <c r="L797" s="30" t="s">
        <v>191</v>
      </c>
      <c r="M797" s="68">
        <v>6</v>
      </c>
      <c r="N797" s="181" t="str">
        <f t="shared" si="13"/>
        <v>нет</v>
      </c>
      <c r="O797" s="23"/>
      <c r="P797" s="23"/>
      <c r="Q797" s="106"/>
      <c r="R797" s="37">
        <v>168</v>
      </c>
      <c r="S797" s="39" t="s">
        <v>580</v>
      </c>
      <c r="T797" s="37">
        <v>1265</v>
      </c>
      <c r="U797" s="38" t="s">
        <v>1667</v>
      </c>
      <c r="V797" s="69" t="s">
        <v>272</v>
      </c>
      <c r="W797" s="89" t="s">
        <v>135</v>
      </c>
      <c r="X797" s="106" t="s">
        <v>296</v>
      </c>
      <c r="Y797" s="107" t="s">
        <v>12</v>
      </c>
      <c r="Z797" s="67">
        <f>IF(База_КР_КК[[#This Row],[Таб.номер резервиста]]="-","-",IF(OR(База_КР_КК[[#This Row],[Уровень КК]]=2,База_КР_КК[[#This Row],[Уровень КК]]=3),IF(COUNTIFS($U$2:$U797,$U797,$F$2:$F797,$F797)=1,1,0),IF(COUNTIFS($U$2:$U797,$U797,$L$2:$L797,$L797)=1,1,0)))</f>
        <v>0</v>
      </c>
      <c r="AA7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7" s="106"/>
      <c r="AC797" s="51"/>
      <c r="AD797" s="106" t="s">
        <v>15</v>
      </c>
      <c r="AE797" s="33" t="s">
        <v>413</v>
      </c>
    </row>
    <row r="798" spans="1:31" ht="18" customHeight="1" x14ac:dyDescent="0.25">
      <c r="A7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8" s="79">
        <v>4</v>
      </c>
      <c r="C798" s="23">
        <v>44879</v>
      </c>
      <c r="D798" s="67">
        <f>IF(COUNTIF($G$2:$G798,$G798)=1,1,0)</f>
        <v>0</v>
      </c>
      <c r="E798" s="67" t="str">
        <f>IFERROR(VLOOKUP(База_КР_КК[[#This Row],[ИД штатной должности (S)]],'уровень защищенности'!$B$7:$F$1095,5,0),"не защищена")</f>
        <v>высокий</v>
      </c>
      <c r="F798" s="68">
        <v>500662</v>
      </c>
      <c r="G798" s="74" t="s">
        <v>2325</v>
      </c>
      <c r="H798" s="181">
        <f>INDEX('Списки данных'!$D$2:$D$1048576,MATCH(База_КР_КК[[#This Row],[Структурное подразделение]],'Списки данных'!$C$2:$C$1048576,0))</f>
        <v>22</v>
      </c>
      <c r="I798" s="80" t="s">
        <v>135</v>
      </c>
      <c r="J798" s="80" t="s">
        <v>202</v>
      </c>
      <c r="K798" s="80" t="s">
        <v>203</v>
      </c>
      <c r="L798" s="30" t="s">
        <v>191</v>
      </c>
      <c r="M798" s="68">
        <v>6</v>
      </c>
      <c r="N798" s="181" t="str">
        <f t="shared" si="13"/>
        <v>нет</v>
      </c>
      <c r="O798" s="23"/>
      <c r="P798" s="23"/>
      <c r="Q798" s="106"/>
      <c r="R798" s="37">
        <v>168</v>
      </c>
      <c r="S798" s="39" t="s">
        <v>580</v>
      </c>
      <c r="T798" s="37">
        <v>1266</v>
      </c>
      <c r="U798" s="38" t="s">
        <v>1668</v>
      </c>
      <c r="V798" s="69" t="s">
        <v>272</v>
      </c>
      <c r="W798" s="89" t="s">
        <v>135</v>
      </c>
      <c r="X798" s="106" t="s">
        <v>296</v>
      </c>
      <c r="Y798" s="107" t="s">
        <v>12</v>
      </c>
      <c r="Z798" s="67">
        <f>IF(База_КР_КК[[#This Row],[Таб.номер резервиста]]="-","-",IF(OR(База_КР_КК[[#This Row],[Уровень КК]]=2,База_КР_КК[[#This Row],[Уровень КК]]=3),IF(COUNTIFS($U$2:$U798,$U798,$F$2:$F798,$F798)=1,1,0),IF(COUNTIFS($U$2:$U798,$U798,$L$2:$L798,$L798)=1,1,0)))</f>
        <v>0</v>
      </c>
      <c r="AA7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8" s="106"/>
      <c r="AC798" s="51"/>
      <c r="AD798" s="106" t="s">
        <v>15</v>
      </c>
      <c r="AE798" s="33" t="s">
        <v>413</v>
      </c>
    </row>
    <row r="799" spans="1:31" ht="18" customHeight="1" x14ac:dyDescent="0.25">
      <c r="A7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799" s="79">
        <v>4</v>
      </c>
      <c r="C799" s="23">
        <v>44487</v>
      </c>
      <c r="D799" s="67">
        <f>IF(COUNTIF($G$2:$G799,$G799)=1,1,0)</f>
        <v>0</v>
      </c>
      <c r="E799" s="67" t="str">
        <f>IFERROR(VLOOKUP(База_КР_КК[[#This Row],[ИД штатной должности (S)]],'уровень защищенности'!$B$7:$F$1095,5,0),"не защищена")</f>
        <v>высокий</v>
      </c>
      <c r="F799" s="68">
        <v>500662</v>
      </c>
      <c r="G799" s="74" t="s">
        <v>2325</v>
      </c>
      <c r="H799" s="181">
        <f>INDEX('Списки данных'!$D$2:$D$1048576,MATCH(База_КР_КК[[#This Row],[Структурное подразделение]],'Списки данных'!$C$2:$C$1048576,0))</f>
        <v>22</v>
      </c>
      <c r="I799" s="80" t="s">
        <v>135</v>
      </c>
      <c r="J799" s="80" t="s">
        <v>202</v>
      </c>
      <c r="K799" s="80" t="s">
        <v>203</v>
      </c>
      <c r="L799" s="30" t="s">
        <v>191</v>
      </c>
      <c r="M799" s="68">
        <v>6</v>
      </c>
      <c r="N799" s="181" t="str">
        <f t="shared" si="13"/>
        <v>нет</v>
      </c>
      <c r="O799" s="23"/>
      <c r="P799" s="23"/>
      <c r="Q799" s="106"/>
      <c r="R799" s="37">
        <v>168</v>
      </c>
      <c r="S799" s="38" t="s">
        <v>580</v>
      </c>
      <c r="T799" s="37">
        <v>171</v>
      </c>
      <c r="U799" s="39" t="s">
        <v>583</v>
      </c>
      <c r="V799" s="89" t="s">
        <v>192</v>
      </c>
      <c r="W799" s="89" t="s">
        <v>135</v>
      </c>
      <c r="X799" s="106" t="s">
        <v>295</v>
      </c>
      <c r="Y799" s="107" t="s">
        <v>14</v>
      </c>
      <c r="Z799" s="67">
        <f>IF(База_КР_КК[[#This Row],[Таб.номер резервиста]]="-","-",IF(OR(База_КР_КК[[#This Row],[Уровень КК]]=2,База_КР_КК[[#This Row],[Уровень КК]]=3),IF(COUNTIFS($U$2:$U799,$U799,$F$2:$F799,$F799)=1,1,0),IF(COUNTIFS($U$2:$U799,$U799,$L$2:$L799,$L799)=1,1,0)))</f>
        <v>0</v>
      </c>
      <c r="AA7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799" s="106" t="s">
        <v>24</v>
      </c>
      <c r="AC799" s="51">
        <v>44908</v>
      </c>
      <c r="AD799" s="106" t="s">
        <v>17</v>
      </c>
      <c r="AE799" s="33" t="s">
        <v>322</v>
      </c>
    </row>
    <row r="800" spans="1:31" ht="18" customHeight="1" x14ac:dyDescent="0.25">
      <c r="A8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0" s="79">
        <v>4</v>
      </c>
      <c r="C800" s="23">
        <v>43733</v>
      </c>
      <c r="D800" s="67">
        <f>IF(COUNTIF($G$2:$G800,$G800)=1,1,0)</f>
        <v>1</v>
      </c>
      <c r="E800" s="67" t="str">
        <f>IFERROR(VLOOKUP(База_КР_КК[[#This Row],[ИД штатной должности (S)]],'уровень защищенности'!$B$7:$F$1095,5,0),"не защищена")</f>
        <v>высокий</v>
      </c>
      <c r="F800" s="68">
        <v>500662</v>
      </c>
      <c r="G800" s="74" t="s">
        <v>2326</v>
      </c>
      <c r="H800" s="181">
        <f>INDEX('Списки данных'!$D$2:$D$1048576,MATCH(База_КР_КК[[#This Row],[Структурное подразделение]],'Списки данных'!$C$2:$C$1048576,0))</f>
        <v>22</v>
      </c>
      <c r="I800" s="80" t="s">
        <v>135</v>
      </c>
      <c r="J800" s="80" t="s">
        <v>202</v>
      </c>
      <c r="K800" s="80" t="s">
        <v>203</v>
      </c>
      <c r="L800" s="30" t="s">
        <v>191</v>
      </c>
      <c r="M800" s="68">
        <v>6</v>
      </c>
      <c r="N800" s="181" t="str">
        <f t="shared" si="13"/>
        <v>нет</v>
      </c>
      <c r="O800" s="23"/>
      <c r="P800" s="23"/>
      <c r="Q800" s="106"/>
      <c r="R800" s="37">
        <v>169</v>
      </c>
      <c r="S800" s="38" t="s">
        <v>581</v>
      </c>
      <c r="T800" s="37">
        <v>1256</v>
      </c>
      <c r="U800" s="39" t="s">
        <v>1658</v>
      </c>
      <c r="V800" s="89" t="s">
        <v>272</v>
      </c>
      <c r="W800" s="89" t="s">
        <v>135</v>
      </c>
      <c r="X800" s="106" t="s">
        <v>295</v>
      </c>
      <c r="Y800" s="107" t="s">
        <v>12</v>
      </c>
      <c r="Z800" s="67">
        <f>IF(База_КР_КК[[#This Row],[Таб.номер резервиста]]="-","-",IF(OR(База_КР_КК[[#This Row],[Уровень КК]]=2,База_КР_КК[[#This Row],[Уровень КК]]=3),IF(COUNTIFS($U$2:$U800,$U800,$F$2:$F800,$F800)=1,1,0),IF(COUNTIFS($U$2:$U800,$U800,$L$2:$L800,$L800)=1,1,0)))</f>
        <v>0</v>
      </c>
      <c r="AA8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0" s="106"/>
      <c r="AC800" s="51"/>
      <c r="AD800" s="106" t="s">
        <v>13</v>
      </c>
      <c r="AE800" s="38" t="s">
        <v>413</v>
      </c>
    </row>
    <row r="801" spans="1:31" ht="18" customHeight="1" x14ac:dyDescent="0.25">
      <c r="A8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1" s="79">
        <v>4</v>
      </c>
      <c r="C801" s="23">
        <v>43733</v>
      </c>
      <c r="D801" s="67">
        <f>IF(COUNTIF($G$2:$G801,$G801)=1,1,0)</f>
        <v>0</v>
      </c>
      <c r="E801" s="67" t="str">
        <f>IFERROR(VLOOKUP(База_КР_КК[[#This Row],[ИД штатной должности (S)]],'уровень защищенности'!$B$7:$F$1095,5,0),"не защищена")</f>
        <v>высокий</v>
      </c>
      <c r="F801" s="68">
        <v>500662</v>
      </c>
      <c r="G801" s="74" t="s">
        <v>2326</v>
      </c>
      <c r="H801" s="181">
        <f>INDEX('Списки данных'!$D$2:$D$1048576,MATCH(База_КР_КК[[#This Row],[Структурное подразделение]],'Списки данных'!$C$2:$C$1048576,0))</f>
        <v>22</v>
      </c>
      <c r="I801" s="80" t="s">
        <v>135</v>
      </c>
      <c r="J801" s="80" t="s">
        <v>202</v>
      </c>
      <c r="K801" s="80" t="s">
        <v>203</v>
      </c>
      <c r="L801" s="30" t="s">
        <v>191</v>
      </c>
      <c r="M801" s="68">
        <v>6</v>
      </c>
      <c r="N801" s="181" t="str">
        <f t="shared" si="13"/>
        <v>нет</v>
      </c>
      <c r="O801" s="23"/>
      <c r="P801" s="23"/>
      <c r="Q801" s="106"/>
      <c r="R801" s="37">
        <v>169</v>
      </c>
      <c r="S801" s="38" t="s">
        <v>581</v>
      </c>
      <c r="T801" s="37">
        <v>1257</v>
      </c>
      <c r="U801" s="39" t="s">
        <v>1659</v>
      </c>
      <c r="V801" s="89" t="s">
        <v>272</v>
      </c>
      <c r="W801" s="89" t="s">
        <v>135</v>
      </c>
      <c r="X801" s="106" t="s">
        <v>295</v>
      </c>
      <c r="Y801" s="107" t="s">
        <v>12</v>
      </c>
      <c r="Z801" s="67">
        <f>IF(База_КР_КК[[#This Row],[Таб.номер резервиста]]="-","-",IF(OR(База_КР_КК[[#This Row],[Уровень КК]]=2,База_КР_КК[[#This Row],[Уровень КК]]=3),IF(COUNTIFS($U$2:$U801,$U801,$F$2:$F801,$F801)=1,1,0),IF(COUNTIFS($U$2:$U801,$U801,$L$2:$L801,$L801)=1,1,0)))</f>
        <v>0</v>
      </c>
      <c r="AA8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1" s="106"/>
      <c r="AC801" s="51"/>
      <c r="AD801" s="106" t="s">
        <v>13</v>
      </c>
      <c r="AE801" s="38" t="s">
        <v>413</v>
      </c>
    </row>
    <row r="802" spans="1:31" ht="18" customHeight="1" x14ac:dyDescent="0.25">
      <c r="A8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2" s="79">
        <v>4</v>
      </c>
      <c r="C802" s="23">
        <v>43733</v>
      </c>
      <c r="D802" s="67">
        <f>IF(COUNTIF($G$2:$G802,$G802)=1,1,0)</f>
        <v>0</v>
      </c>
      <c r="E802" s="67" t="str">
        <f>IFERROR(VLOOKUP(База_КР_КК[[#This Row],[ИД штатной должности (S)]],'уровень защищенности'!$B$7:$F$1095,5,0),"не защищена")</f>
        <v>высокий</v>
      </c>
      <c r="F802" s="68">
        <v>500662</v>
      </c>
      <c r="G802" s="74" t="s">
        <v>2326</v>
      </c>
      <c r="H802" s="181">
        <f>INDEX('Списки данных'!$D$2:$D$1048576,MATCH(База_КР_КК[[#This Row],[Структурное подразделение]],'Списки данных'!$C$2:$C$1048576,0))</f>
        <v>22</v>
      </c>
      <c r="I802" s="80" t="s">
        <v>135</v>
      </c>
      <c r="J802" s="80" t="s">
        <v>202</v>
      </c>
      <c r="K802" s="80" t="s">
        <v>203</v>
      </c>
      <c r="L802" s="30" t="s">
        <v>191</v>
      </c>
      <c r="M802" s="68">
        <v>6</v>
      </c>
      <c r="N802" s="181" t="str">
        <f t="shared" si="13"/>
        <v>нет</v>
      </c>
      <c r="O802" s="23"/>
      <c r="P802" s="23"/>
      <c r="Q802" s="106"/>
      <c r="R802" s="37">
        <v>169</v>
      </c>
      <c r="S802" s="38" t="s">
        <v>581</v>
      </c>
      <c r="T802" s="37">
        <v>1258</v>
      </c>
      <c r="U802" s="39" t="s">
        <v>1660</v>
      </c>
      <c r="V802" s="89" t="s">
        <v>272</v>
      </c>
      <c r="W802" s="89" t="s">
        <v>135</v>
      </c>
      <c r="X802" s="106" t="s">
        <v>295</v>
      </c>
      <c r="Y802" s="107" t="s">
        <v>12</v>
      </c>
      <c r="Z802" s="67">
        <f>IF(База_КР_КК[[#This Row],[Таб.номер резервиста]]="-","-",IF(OR(База_КР_КК[[#This Row],[Уровень КК]]=2,База_КР_КК[[#This Row],[Уровень КК]]=3),IF(COUNTIFS($U$2:$U802,$U802,$F$2:$F802,$F802)=1,1,0),IF(COUNTIFS($U$2:$U802,$U802,$L$2:$L802,$L802)=1,1,0)))</f>
        <v>0</v>
      </c>
      <c r="AA8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2" s="106"/>
      <c r="AC802" s="51"/>
      <c r="AD802" s="106" t="s">
        <v>13</v>
      </c>
      <c r="AE802" s="38" t="s">
        <v>413</v>
      </c>
    </row>
    <row r="803" spans="1:31" ht="18" customHeight="1" x14ac:dyDescent="0.25">
      <c r="A8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3" s="79">
        <v>4</v>
      </c>
      <c r="C803" s="23">
        <v>43733</v>
      </c>
      <c r="D803" s="67">
        <f>IF(COUNTIF($G$2:$G803,$G803)=1,1,0)</f>
        <v>0</v>
      </c>
      <c r="E803" s="67" t="str">
        <f>IFERROR(VLOOKUP(База_КР_КК[[#This Row],[ИД штатной должности (S)]],'уровень защищенности'!$B$7:$F$1095,5,0),"не защищена")</f>
        <v>высокий</v>
      </c>
      <c r="F803" s="68">
        <v>500662</v>
      </c>
      <c r="G803" s="74" t="s">
        <v>2326</v>
      </c>
      <c r="H803" s="181">
        <f>INDEX('Списки данных'!$D$2:$D$1048576,MATCH(База_КР_КК[[#This Row],[Структурное подразделение]],'Списки данных'!$C$2:$C$1048576,0))</f>
        <v>22</v>
      </c>
      <c r="I803" s="80" t="s">
        <v>135</v>
      </c>
      <c r="J803" s="80" t="s">
        <v>202</v>
      </c>
      <c r="K803" s="80" t="s">
        <v>203</v>
      </c>
      <c r="L803" s="30" t="s">
        <v>191</v>
      </c>
      <c r="M803" s="68">
        <v>6</v>
      </c>
      <c r="N803" s="181" t="str">
        <f t="shared" si="13"/>
        <v>нет</v>
      </c>
      <c r="O803" s="23"/>
      <c r="P803" s="23"/>
      <c r="Q803" s="106"/>
      <c r="R803" s="37">
        <v>169</v>
      </c>
      <c r="S803" s="38" t="s">
        <v>581</v>
      </c>
      <c r="T803" s="37">
        <v>1259</v>
      </c>
      <c r="U803" s="39" t="s">
        <v>1661</v>
      </c>
      <c r="V803" s="88" t="s">
        <v>272</v>
      </c>
      <c r="W803" s="89" t="s">
        <v>135</v>
      </c>
      <c r="X803" s="106" t="s">
        <v>297</v>
      </c>
      <c r="Y803" s="107" t="s">
        <v>12</v>
      </c>
      <c r="Z803" s="67">
        <f>IF(База_КР_КК[[#This Row],[Таб.номер резервиста]]="-","-",IF(OR(База_КР_КК[[#This Row],[Уровень КК]]=2,База_КР_КК[[#This Row],[Уровень КК]]=3),IF(COUNTIFS($U$2:$U803,$U803,$F$2:$F803,$F803)=1,1,0),IF(COUNTIFS($U$2:$U803,$U803,$L$2:$L803,$L803)=1,1,0)))</f>
        <v>0</v>
      </c>
      <c r="AA8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3" s="106"/>
      <c r="AC803" s="51"/>
      <c r="AD803" s="106" t="s">
        <v>22</v>
      </c>
      <c r="AE803" s="38" t="s">
        <v>413</v>
      </c>
    </row>
    <row r="804" spans="1:31" ht="18" customHeight="1" x14ac:dyDescent="0.25">
      <c r="A8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4" s="79">
        <v>4</v>
      </c>
      <c r="C804" s="23">
        <v>43733</v>
      </c>
      <c r="D804" s="67">
        <f>IF(COUNTIF($G$2:$G804,$G804)=1,1,0)</f>
        <v>0</v>
      </c>
      <c r="E804" s="67" t="str">
        <f>IFERROR(VLOOKUP(База_КР_КК[[#This Row],[ИД штатной должности (S)]],'уровень защищенности'!$B$7:$F$1095,5,0),"не защищена")</f>
        <v>высокий</v>
      </c>
      <c r="F804" s="68">
        <v>500662</v>
      </c>
      <c r="G804" s="74" t="s">
        <v>2326</v>
      </c>
      <c r="H804" s="181">
        <f>INDEX('Списки данных'!$D$2:$D$1048576,MATCH(База_КР_КК[[#This Row],[Структурное подразделение]],'Списки данных'!$C$2:$C$1048576,0))</f>
        <v>22</v>
      </c>
      <c r="I804" s="80" t="s">
        <v>135</v>
      </c>
      <c r="J804" s="80" t="s">
        <v>202</v>
      </c>
      <c r="K804" s="80" t="s">
        <v>203</v>
      </c>
      <c r="L804" s="30" t="s">
        <v>191</v>
      </c>
      <c r="M804" s="68">
        <v>6</v>
      </c>
      <c r="N804" s="181" t="str">
        <f t="shared" si="13"/>
        <v>нет</v>
      </c>
      <c r="O804" s="23"/>
      <c r="P804" s="23"/>
      <c r="Q804" s="106"/>
      <c r="R804" s="37">
        <v>169</v>
      </c>
      <c r="S804" s="38" t="s">
        <v>581</v>
      </c>
      <c r="T804" s="37">
        <v>1260</v>
      </c>
      <c r="U804" s="39" t="s">
        <v>1662</v>
      </c>
      <c r="V804" s="89" t="s">
        <v>272</v>
      </c>
      <c r="W804" s="89" t="s">
        <v>135</v>
      </c>
      <c r="X804" s="106" t="s">
        <v>295</v>
      </c>
      <c r="Y804" s="107" t="s">
        <v>12</v>
      </c>
      <c r="Z804" s="67">
        <f>IF(База_КР_КК[[#This Row],[Таб.номер резервиста]]="-","-",IF(OR(База_КР_КК[[#This Row],[Уровень КК]]=2,База_КР_КК[[#This Row],[Уровень КК]]=3),IF(COUNTIFS($U$2:$U804,$U804,$F$2:$F804,$F804)=1,1,0),IF(COUNTIFS($U$2:$U804,$U804,$L$2:$L804,$L804)=1,1,0)))</f>
        <v>0</v>
      </c>
      <c r="AA8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4" s="106"/>
      <c r="AC804" s="51"/>
      <c r="AD804" s="106" t="s">
        <v>17</v>
      </c>
      <c r="AE804" s="38" t="s">
        <v>413</v>
      </c>
    </row>
    <row r="805" spans="1:31" ht="18" customHeight="1" x14ac:dyDescent="0.25">
      <c r="A8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5" s="79">
        <v>4</v>
      </c>
      <c r="C805" s="23">
        <v>43733</v>
      </c>
      <c r="D805" s="67">
        <f>IF(COUNTIF($G$2:$G805,$G805)=1,1,0)</f>
        <v>0</v>
      </c>
      <c r="E805" s="67" t="str">
        <f>IFERROR(VLOOKUP(База_КР_КК[[#This Row],[ИД штатной должности (S)]],'уровень защищенности'!$B$7:$F$1095,5,0),"не защищена")</f>
        <v>высокий</v>
      </c>
      <c r="F805" s="68">
        <v>500662</v>
      </c>
      <c r="G805" s="74" t="s">
        <v>2326</v>
      </c>
      <c r="H805" s="181">
        <f>INDEX('Списки данных'!$D$2:$D$1048576,MATCH(База_КР_КК[[#This Row],[Структурное подразделение]],'Списки данных'!$C$2:$C$1048576,0))</f>
        <v>22</v>
      </c>
      <c r="I805" s="80" t="s">
        <v>135</v>
      </c>
      <c r="J805" s="80" t="s">
        <v>202</v>
      </c>
      <c r="K805" s="80" t="s">
        <v>203</v>
      </c>
      <c r="L805" s="30" t="s">
        <v>191</v>
      </c>
      <c r="M805" s="68">
        <v>6</v>
      </c>
      <c r="N805" s="181" t="str">
        <f t="shared" si="13"/>
        <v>нет</v>
      </c>
      <c r="O805" s="23"/>
      <c r="P805" s="23"/>
      <c r="Q805" s="106"/>
      <c r="R805" s="37">
        <v>169</v>
      </c>
      <c r="S805" s="38" t="s">
        <v>581</v>
      </c>
      <c r="T805" s="37">
        <v>1261</v>
      </c>
      <c r="U805" s="39" t="s">
        <v>1663</v>
      </c>
      <c r="V805" s="89" t="s">
        <v>272</v>
      </c>
      <c r="W805" s="89" t="s">
        <v>135</v>
      </c>
      <c r="X805" s="106" t="s">
        <v>297</v>
      </c>
      <c r="Y805" s="107" t="s">
        <v>12</v>
      </c>
      <c r="Z805" s="67">
        <f>IF(База_КР_КК[[#This Row],[Таб.номер резервиста]]="-","-",IF(OR(База_КР_КК[[#This Row],[Уровень КК]]=2,База_КР_КК[[#This Row],[Уровень КК]]=3),IF(COUNTIFS($U$2:$U805,$U805,$F$2:$F805,$F805)=1,1,0),IF(COUNTIFS($U$2:$U805,$U805,$L$2:$L805,$L805)=1,1,0)))</f>
        <v>0</v>
      </c>
      <c r="AA8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5" s="106"/>
      <c r="AC805" s="51"/>
      <c r="AD805" s="106" t="s">
        <v>13</v>
      </c>
      <c r="AE805" s="38" t="s">
        <v>413</v>
      </c>
    </row>
    <row r="806" spans="1:31" ht="18" customHeight="1" x14ac:dyDescent="0.25">
      <c r="A8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6" s="79">
        <v>4</v>
      </c>
      <c r="C806" s="23">
        <v>44487</v>
      </c>
      <c r="D806" s="67">
        <f>IF(COUNTIF($G$2:$G806,$G806)=1,1,0)</f>
        <v>0</v>
      </c>
      <c r="E806" s="67" t="str">
        <f>IFERROR(VLOOKUP(База_КР_КК[[#This Row],[ИД штатной должности (S)]],'уровень защищенности'!$B$7:$F$1095,5,0),"не защищена")</f>
        <v>высокий</v>
      </c>
      <c r="F806" s="68">
        <v>500662</v>
      </c>
      <c r="G806" s="74" t="s">
        <v>2326</v>
      </c>
      <c r="H806" s="181">
        <f>INDEX('Списки данных'!$D$2:$D$1048576,MATCH(База_КР_КК[[#This Row],[Структурное подразделение]],'Списки данных'!$C$2:$C$1048576,0))</f>
        <v>22</v>
      </c>
      <c r="I806" s="80" t="s">
        <v>135</v>
      </c>
      <c r="J806" s="80" t="s">
        <v>202</v>
      </c>
      <c r="K806" s="80" t="s">
        <v>203</v>
      </c>
      <c r="L806" s="30" t="s">
        <v>191</v>
      </c>
      <c r="M806" s="68">
        <v>6</v>
      </c>
      <c r="N806" s="181" t="str">
        <f t="shared" si="13"/>
        <v>нет</v>
      </c>
      <c r="O806" s="23"/>
      <c r="P806" s="23"/>
      <c r="Q806" s="106"/>
      <c r="R806" s="37">
        <v>169</v>
      </c>
      <c r="S806" s="38" t="s">
        <v>581</v>
      </c>
      <c r="T806" s="37">
        <v>1262</v>
      </c>
      <c r="U806" s="39" t="s">
        <v>1664</v>
      </c>
      <c r="V806" s="89" t="s">
        <v>272</v>
      </c>
      <c r="W806" s="89" t="s">
        <v>135</v>
      </c>
      <c r="X806" s="106" t="s">
        <v>297</v>
      </c>
      <c r="Y806" s="107" t="s">
        <v>12</v>
      </c>
      <c r="Z806" s="67">
        <f>IF(База_КР_КК[[#This Row],[Таб.номер резервиста]]="-","-",IF(OR(База_КР_КК[[#This Row],[Уровень КК]]=2,База_КР_КК[[#This Row],[Уровень КК]]=3),IF(COUNTIFS($U$2:$U806,$U806,$F$2:$F806,$F806)=1,1,0),IF(COUNTIFS($U$2:$U806,$U806,$L$2:$L806,$L806)=1,1,0)))</f>
        <v>0</v>
      </c>
      <c r="AA8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6" s="106"/>
      <c r="AC806" s="51"/>
      <c r="AD806" s="106" t="s">
        <v>17</v>
      </c>
      <c r="AE806" s="33" t="s">
        <v>413</v>
      </c>
    </row>
    <row r="807" spans="1:31" ht="18" customHeight="1" x14ac:dyDescent="0.25">
      <c r="A8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7" s="79">
        <v>4</v>
      </c>
      <c r="C807" s="23">
        <v>44487</v>
      </c>
      <c r="D807" s="67">
        <f>IF(COUNTIF($G$2:$G807,$G807)=1,1,0)</f>
        <v>0</v>
      </c>
      <c r="E807" s="67" t="str">
        <f>IFERROR(VLOOKUP(База_КР_КК[[#This Row],[ИД штатной должности (S)]],'уровень защищенности'!$B$7:$F$1095,5,0),"не защищена")</f>
        <v>высокий</v>
      </c>
      <c r="F807" s="68">
        <v>500662</v>
      </c>
      <c r="G807" s="74" t="s">
        <v>2326</v>
      </c>
      <c r="H807" s="181">
        <f>INDEX('Списки данных'!$D$2:$D$1048576,MATCH(База_КР_КК[[#This Row],[Структурное подразделение]],'Списки данных'!$C$2:$C$1048576,0))</f>
        <v>22</v>
      </c>
      <c r="I807" s="80" t="s">
        <v>135</v>
      </c>
      <c r="J807" s="80" t="s">
        <v>202</v>
      </c>
      <c r="K807" s="80" t="s">
        <v>203</v>
      </c>
      <c r="L807" s="30" t="s">
        <v>191</v>
      </c>
      <c r="M807" s="68">
        <v>6</v>
      </c>
      <c r="N807" s="181" t="str">
        <f t="shared" si="13"/>
        <v>нет</v>
      </c>
      <c r="O807" s="23"/>
      <c r="P807" s="23"/>
      <c r="Q807" s="106"/>
      <c r="R807" s="37">
        <v>169</v>
      </c>
      <c r="S807" s="38" t="s">
        <v>581</v>
      </c>
      <c r="T807" s="37">
        <v>1263</v>
      </c>
      <c r="U807" s="39" t="s">
        <v>1665</v>
      </c>
      <c r="V807" s="89" t="s">
        <v>272</v>
      </c>
      <c r="W807" s="89" t="s">
        <v>135</v>
      </c>
      <c r="X807" s="106" t="s">
        <v>295</v>
      </c>
      <c r="Y807" s="107" t="s">
        <v>12</v>
      </c>
      <c r="Z807" s="67">
        <f>IF(База_КР_КК[[#This Row],[Таб.номер резервиста]]="-","-",IF(OR(База_КР_КК[[#This Row],[Уровень КК]]=2,База_КР_КК[[#This Row],[Уровень КК]]=3),IF(COUNTIFS($U$2:$U807,$U807,$F$2:$F807,$F807)=1,1,0),IF(COUNTIFS($U$2:$U807,$U807,$L$2:$L807,$L807)=1,1,0)))</f>
        <v>0</v>
      </c>
      <c r="AA8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7" s="106"/>
      <c r="AC807" s="51"/>
      <c r="AD807" s="106" t="s">
        <v>17</v>
      </c>
      <c r="AE807" s="33" t="s">
        <v>413</v>
      </c>
    </row>
    <row r="808" spans="1:31" ht="18" customHeight="1" x14ac:dyDescent="0.25">
      <c r="A8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8" s="79">
        <v>4</v>
      </c>
      <c r="C808" s="23">
        <v>44879</v>
      </c>
      <c r="D808" s="67">
        <f>IF(COUNTIF($G$2:$G808,$G808)=1,1,0)</f>
        <v>0</v>
      </c>
      <c r="E808" s="67" t="str">
        <f>IFERROR(VLOOKUP(База_КР_КК[[#This Row],[ИД штатной должности (S)]],'уровень защищенности'!$B$7:$F$1095,5,0),"не защищена")</f>
        <v>высокий</v>
      </c>
      <c r="F808" s="68">
        <v>500662</v>
      </c>
      <c r="G808" s="74" t="s">
        <v>2326</v>
      </c>
      <c r="H808" s="181">
        <f>INDEX('Списки данных'!$D$2:$D$1048576,MATCH(База_КР_КК[[#This Row],[Структурное подразделение]],'Списки данных'!$C$2:$C$1048576,0))</f>
        <v>22</v>
      </c>
      <c r="I808" s="80" t="s">
        <v>135</v>
      </c>
      <c r="J808" s="80" t="s">
        <v>202</v>
      </c>
      <c r="K808" s="80" t="s">
        <v>203</v>
      </c>
      <c r="L808" s="30" t="s">
        <v>191</v>
      </c>
      <c r="M808" s="68">
        <v>6</v>
      </c>
      <c r="N808" s="181" t="str">
        <f t="shared" si="13"/>
        <v>нет</v>
      </c>
      <c r="O808" s="23"/>
      <c r="P808" s="23"/>
      <c r="Q808" s="106"/>
      <c r="R808" s="37">
        <v>169</v>
      </c>
      <c r="S808" s="39" t="s">
        <v>581</v>
      </c>
      <c r="T808" s="37">
        <v>1264</v>
      </c>
      <c r="U808" s="38" t="s">
        <v>1666</v>
      </c>
      <c r="V808" s="69" t="s">
        <v>272</v>
      </c>
      <c r="W808" s="89" t="s">
        <v>135</v>
      </c>
      <c r="X808" s="106" t="s">
        <v>296</v>
      </c>
      <c r="Y808" s="107" t="s">
        <v>12</v>
      </c>
      <c r="Z808" s="67">
        <f>IF(База_КР_КК[[#This Row],[Таб.номер резервиста]]="-","-",IF(OR(База_КР_КК[[#This Row],[Уровень КК]]=2,База_КР_КК[[#This Row],[Уровень КК]]=3),IF(COUNTIFS($U$2:$U808,$U808,$F$2:$F808,$F808)=1,1,0),IF(COUNTIFS($U$2:$U808,$U808,$L$2:$L808,$L808)=1,1,0)))</f>
        <v>0</v>
      </c>
      <c r="AA8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8" s="106"/>
      <c r="AC808" s="51"/>
      <c r="AD808" s="106" t="s">
        <v>15</v>
      </c>
      <c r="AE808" s="33" t="s">
        <v>413</v>
      </c>
    </row>
    <row r="809" spans="1:31" ht="18" customHeight="1" x14ac:dyDescent="0.25">
      <c r="A8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09" s="79">
        <v>4</v>
      </c>
      <c r="C809" s="23">
        <v>44879</v>
      </c>
      <c r="D809" s="67">
        <f>IF(COUNTIF($G$2:$G809,$G809)=1,1,0)</f>
        <v>0</v>
      </c>
      <c r="E809" s="67" t="str">
        <f>IFERROR(VLOOKUP(База_КР_КК[[#This Row],[ИД штатной должности (S)]],'уровень защищенности'!$B$7:$F$1095,5,0),"не защищена")</f>
        <v>высокий</v>
      </c>
      <c r="F809" s="68">
        <v>500662</v>
      </c>
      <c r="G809" s="74" t="s">
        <v>2326</v>
      </c>
      <c r="H809" s="181">
        <f>INDEX('Списки данных'!$D$2:$D$1048576,MATCH(База_КР_КК[[#This Row],[Структурное подразделение]],'Списки данных'!$C$2:$C$1048576,0))</f>
        <v>22</v>
      </c>
      <c r="I809" s="80" t="s">
        <v>135</v>
      </c>
      <c r="J809" s="80" t="s">
        <v>202</v>
      </c>
      <c r="K809" s="80" t="s">
        <v>203</v>
      </c>
      <c r="L809" s="30" t="s">
        <v>191</v>
      </c>
      <c r="M809" s="68">
        <v>6</v>
      </c>
      <c r="N809" s="181" t="str">
        <f t="shared" si="13"/>
        <v>нет</v>
      </c>
      <c r="O809" s="23"/>
      <c r="P809" s="23"/>
      <c r="Q809" s="106"/>
      <c r="R809" s="37">
        <v>169</v>
      </c>
      <c r="S809" s="39" t="s">
        <v>581</v>
      </c>
      <c r="T809" s="37">
        <v>1265</v>
      </c>
      <c r="U809" s="38" t="s">
        <v>1667</v>
      </c>
      <c r="V809" s="93" t="s">
        <v>272</v>
      </c>
      <c r="W809" s="89" t="s">
        <v>135</v>
      </c>
      <c r="X809" s="106" t="s">
        <v>296</v>
      </c>
      <c r="Y809" s="107" t="s">
        <v>12</v>
      </c>
      <c r="Z809" s="67">
        <f>IF(База_КР_КК[[#This Row],[Таб.номер резервиста]]="-","-",IF(OR(База_КР_КК[[#This Row],[Уровень КК]]=2,База_КР_КК[[#This Row],[Уровень КК]]=3),IF(COUNTIFS($U$2:$U809,$U809,$F$2:$F809,$F809)=1,1,0),IF(COUNTIFS($U$2:$U809,$U809,$L$2:$L809,$L809)=1,1,0)))</f>
        <v>0</v>
      </c>
      <c r="AA8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09" s="106"/>
      <c r="AC809" s="51"/>
      <c r="AD809" s="106" t="s">
        <v>15</v>
      </c>
      <c r="AE809" s="33" t="s">
        <v>413</v>
      </c>
    </row>
    <row r="810" spans="1:31" ht="18" customHeight="1" x14ac:dyDescent="0.25">
      <c r="A8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0" s="79">
        <v>4</v>
      </c>
      <c r="C810" s="23">
        <v>44879</v>
      </c>
      <c r="D810" s="67">
        <f>IF(COUNTIF($G$2:$G810,$G810)=1,1,0)</f>
        <v>0</v>
      </c>
      <c r="E810" s="67" t="str">
        <f>IFERROR(VLOOKUP(База_КР_КК[[#This Row],[ИД штатной должности (S)]],'уровень защищенности'!$B$7:$F$1095,5,0),"не защищена")</f>
        <v>высокий</v>
      </c>
      <c r="F810" s="68">
        <v>500662</v>
      </c>
      <c r="G810" s="74" t="s">
        <v>2326</v>
      </c>
      <c r="H810" s="181">
        <f>INDEX('Списки данных'!$D$2:$D$1048576,MATCH(База_КР_КК[[#This Row],[Структурное подразделение]],'Списки данных'!$C$2:$C$1048576,0))</f>
        <v>22</v>
      </c>
      <c r="I810" s="80" t="s">
        <v>135</v>
      </c>
      <c r="J810" s="80" t="s">
        <v>202</v>
      </c>
      <c r="K810" s="80" t="s">
        <v>203</v>
      </c>
      <c r="L810" s="30" t="s">
        <v>191</v>
      </c>
      <c r="M810" s="68">
        <v>6</v>
      </c>
      <c r="N810" s="181" t="str">
        <f t="shared" si="13"/>
        <v>нет</v>
      </c>
      <c r="O810" s="23"/>
      <c r="P810" s="23"/>
      <c r="Q810" s="106"/>
      <c r="R810" s="37">
        <v>169</v>
      </c>
      <c r="S810" s="39" t="s">
        <v>581</v>
      </c>
      <c r="T810" s="37">
        <v>1266</v>
      </c>
      <c r="U810" s="38" t="s">
        <v>1668</v>
      </c>
      <c r="V810" s="69" t="s">
        <v>272</v>
      </c>
      <c r="W810" s="89" t="s">
        <v>135</v>
      </c>
      <c r="X810" s="106" t="s">
        <v>296</v>
      </c>
      <c r="Y810" s="107" t="s">
        <v>12</v>
      </c>
      <c r="Z810" s="67">
        <f>IF(База_КР_КК[[#This Row],[Таб.номер резервиста]]="-","-",IF(OR(База_КР_КК[[#This Row],[Уровень КК]]=2,База_КР_КК[[#This Row],[Уровень КК]]=3),IF(COUNTIFS($U$2:$U810,$U810,$F$2:$F810,$F810)=1,1,0),IF(COUNTIFS($U$2:$U810,$U810,$L$2:$L810,$L810)=1,1,0)))</f>
        <v>0</v>
      </c>
      <c r="AA8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0" s="106"/>
      <c r="AC810" s="51"/>
      <c r="AD810" s="106" t="s">
        <v>15</v>
      </c>
      <c r="AE810" s="33" t="s">
        <v>413</v>
      </c>
    </row>
    <row r="811" spans="1:31" ht="18" customHeight="1" x14ac:dyDescent="0.25">
      <c r="A8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1" s="79">
        <v>4</v>
      </c>
      <c r="C811" s="23">
        <v>44487</v>
      </c>
      <c r="D811" s="67">
        <f>IF(COUNTIF($G$2:$G811,$G811)=1,1,0)</f>
        <v>0</v>
      </c>
      <c r="E811" s="67" t="str">
        <f>IFERROR(VLOOKUP(База_КР_КК[[#This Row],[ИД штатной должности (S)]],'уровень защищенности'!$B$7:$F$1095,5,0),"не защищена")</f>
        <v>высокий</v>
      </c>
      <c r="F811" s="68">
        <v>500662</v>
      </c>
      <c r="G811" s="74" t="s">
        <v>2326</v>
      </c>
      <c r="H811" s="181">
        <f>INDEX('Списки данных'!$D$2:$D$1048576,MATCH(База_КР_КК[[#This Row],[Структурное подразделение]],'Списки данных'!$C$2:$C$1048576,0))</f>
        <v>22</v>
      </c>
      <c r="I811" s="80" t="s">
        <v>135</v>
      </c>
      <c r="J811" s="80" t="s">
        <v>202</v>
      </c>
      <c r="K811" s="80" t="s">
        <v>203</v>
      </c>
      <c r="L811" s="30" t="s">
        <v>191</v>
      </c>
      <c r="M811" s="68">
        <v>6</v>
      </c>
      <c r="N811" s="181" t="str">
        <f t="shared" si="13"/>
        <v>нет</v>
      </c>
      <c r="O811" s="23"/>
      <c r="P811" s="23"/>
      <c r="Q811" s="106"/>
      <c r="R811" s="37">
        <v>169</v>
      </c>
      <c r="S811" s="38" t="s">
        <v>581</v>
      </c>
      <c r="T811" s="37">
        <v>171</v>
      </c>
      <c r="U811" s="39" t="s">
        <v>583</v>
      </c>
      <c r="V811" s="89" t="s">
        <v>192</v>
      </c>
      <c r="W811" s="89" t="s">
        <v>135</v>
      </c>
      <c r="X811" s="106" t="s">
        <v>295</v>
      </c>
      <c r="Y811" s="107" t="s">
        <v>14</v>
      </c>
      <c r="Z811" s="67">
        <f>IF(База_КР_КК[[#This Row],[Таб.номер резервиста]]="-","-",IF(OR(База_КР_КК[[#This Row],[Уровень КК]]=2,База_КР_КК[[#This Row],[Уровень КК]]=3),IF(COUNTIFS($U$2:$U811,$U811,$F$2:$F811,$F811)=1,1,0),IF(COUNTIFS($U$2:$U811,$U811,$L$2:$L811,$L811)=1,1,0)))</f>
        <v>0</v>
      </c>
      <c r="AA8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1" s="106" t="s">
        <v>24</v>
      </c>
      <c r="AC811" s="51">
        <v>44908</v>
      </c>
      <c r="AD811" s="106" t="s">
        <v>17</v>
      </c>
      <c r="AE811" s="33" t="s">
        <v>322</v>
      </c>
    </row>
    <row r="812" spans="1:31" ht="18" customHeight="1" x14ac:dyDescent="0.25">
      <c r="A8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2" s="79">
        <v>4</v>
      </c>
      <c r="C812" s="23">
        <v>43733</v>
      </c>
      <c r="D812" s="67">
        <f>IF(COUNTIF($G$2:$G812,$G812)=1,1,0)</f>
        <v>1</v>
      </c>
      <c r="E812" s="67" t="str">
        <f>IFERROR(VLOOKUP(База_КР_КК[[#This Row],[ИД штатной должности (S)]],'уровень защищенности'!$B$7:$F$1095,5,0),"не защищена")</f>
        <v>высокий</v>
      </c>
      <c r="F812" s="68">
        <v>500662</v>
      </c>
      <c r="G812" s="74" t="s">
        <v>2327</v>
      </c>
      <c r="H812" s="181">
        <f>INDEX('Списки данных'!$D$2:$D$1048576,MATCH(База_КР_КК[[#This Row],[Структурное подразделение]],'Списки данных'!$C$2:$C$1048576,0))</f>
        <v>22</v>
      </c>
      <c r="I812" s="80" t="s">
        <v>135</v>
      </c>
      <c r="J812" s="80" t="s">
        <v>202</v>
      </c>
      <c r="K812" s="80" t="s">
        <v>203</v>
      </c>
      <c r="L812" s="30" t="s">
        <v>191</v>
      </c>
      <c r="M812" s="68">
        <v>6</v>
      </c>
      <c r="N812" s="181" t="str">
        <f t="shared" si="13"/>
        <v>да</v>
      </c>
      <c r="O812" s="23">
        <v>44389</v>
      </c>
      <c r="P812" s="23">
        <v>44407</v>
      </c>
      <c r="Q812" s="106" t="s">
        <v>66</v>
      </c>
      <c r="R812" s="37">
        <v>170</v>
      </c>
      <c r="S812" s="39" t="s">
        <v>582</v>
      </c>
      <c r="T812" s="37">
        <v>1256</v>
      </c>
      <c r="U812" s="39" t="s">
        <v>1658</v>
      </c>
      <c r="V812" s="89" t="s">
        <v>272</v>
      </c>
      <c r="W812" s="89" t="s">
        <v>135</v>
      </c>
      <c r="X812" s="106" t="s">
        <v>295</v>
      </c>
      <c r="Y812" s="107" t="s">
        <v>12</v>
      </c>
      <c r="Z812" s="67">
        <f>IF(База_КР_КК[[#This Row],[Таб.номер резервиста]]="-","-",IF(OR(База_КР_КК[[#This Row],[Уровень КК]]=2,База_КР_КК[[#This Row],[Уровень КК]]=3),IF(COUNTIFS($U$2:$U812,$U812,$F$2:$F812,$F812)=1,1,0),IF(COUNTIFS($U$2:$U812,$U812,$L$2:$L812,$L812)=1,1,0)))</f>
        <v>0</v>
      </c>
      <c r="AA8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2" s="106"/>
      <c r="AC812" s="51"/>
      <c r="AD812" s="106" t="s">
        <v>13</v>
      </c>
      <c r="AE812" s="38" t="s">
        <v>413</v>
      </c>
    </row>
    <row r="813" spans="1:31" ht="18" customHeight="1" x14ac:dyDescent="0.25">
      <c r="A8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3" s="79">
        <v>4</v>
      </c>
      <c r="C813" s="23">
        <v>43733</v>
      </c>
      <c r="D813" s="67">
        <f>IF(COUNTIF($G$2:$G813,$G813)=1,1,0)</f>
        <v>0</v>
      </c>
      <c r="E813" s="67" t="str">
        <f>IFERROR(VLOOKUP(База_КР_КК[[#This Row],[ИД штатной должности (S)]],'уровень защищенности'!$B$7:$F$1095,5,0),"не защищена")</f>
        <v>высокий</v>
      </c>
      <c r="F813" s="68">
        <v>500662</v>
      </c>
      <c r="G813" s="74" t="s">
        <v>2327</v>
      </c>
      <c r="H813" s="181">
        <f>INDEX('Списки данных'!$D$2:$D$1048576,MATCH(База_КР_КК[[#This Row],[Структурное подразделение]],'Списки данных'!$C$2:$C$1048576,0))</f>
        <v>22</v>
      </c>
      <c r="I813" s="80" t="s">
        <v>135</v>
      </c>
      <c r="J813" s="80" t="s">
        <v>202</v>
      </c>
      <c r="K813" s="80" t="s">
        <v>203</v>
      </c>
      <c r="L813" s="30" t="s">
        <v>191</v>
      </c>
      <c r="M813" s="68">
        <v>6</v>
      </c>
      <c r="N813" s="181" t="str">
        <f t="shared" si="13"/>
        <v>да</v>
      </c>
      <c r="O813" s="23">
        <v>44389</v>
      </c>
      <c r="P813" s="23">
        <v>44407</v>
      </c>
      <c r="Q813" s="106" t="s">
        <v>66</v>
      </c>
      <c r="R813" s="37">
        <v>170</v>
      </c>
      <c r="S813" s="39" t="s">
        <v>582</v>
      </c>
      <c r="T813" s="37">
        <v>1257</v>
      </c>
      <c r="U813" s="39" t="s">
        <v>1659</v>
      </c>
      <c r="V813" s="89" t="s">
        <v>272</v>
      </c>
      <c r="W813" s="89" t="s">
        <v>135</v>
      </c>
      <c r="X813" s="106" t="s">
        <v>295</v>
      </c>
      <c r="Y813" s="107" t="s">
        <v>12</v>
      </c>
      <c r="Z813" s="67">
        <f>IF(База_КР_КК[[#This Row],[Таб.номер резервиста]]="-","-",IF(OR(База_КР_КК[[#This Row],[Уровень КК]]=2,База_КР_КК[[#This Row],[Уровень КК]]=3),IF(COUNTIFS($U$2:$U813,$U813,$F$2:$F813,$F813)=1,1,0),IF(COUNTIFS($U$2:$U813,$U813,$L$2:$L813,$L813)=1,1,0)))</f>
        <v>0</v>
      </c>
      <c r="AA8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3" s="106"/>
      <c r="AC813" s="51"/>
      <c r="AD813" s="106" t="s">
        <v>13</v>
      </c>
      <c r="AE813" s="38" t="s">
        <v>413</v>
      </c>
    </row>
    <row r="814" spans="1:31" ht="18" customHeight="1" x14ac:dyDescent="0.25">
      <c r="A8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4" s="79">
        <v>4</v>
      </c>
      <c r="C814" s="23">
        <v>43733</v>
      </c>
      <c r="D814" s="67">
        <f>IF(COUNTIF($G$2:$G814,$G814)=1,1,0)</f>
        <v>0</v>
      </c>
      <c r="E814" s="67" t="str">
        <f>IFERROR(VLOOKUP(База_КР_КК[[#This Row],[ИД штатной должности (S)]],'уровень защищенности'!$B$7:$F$1095,5,0),"не защищена")</f>
        <v>высокий</v>
      </c>
      <c r="F814" s="68">
        <v>500662</v>
      </c>
      <c r="G814" s="74" t="s">
        <v>2327</v>
      </c>
      <c r="H814" s="181">
        <f>INDEX('Списки данных'!$D$2:$D$1048576,MATCH(База_КР_КК[[#This Row],[Структурное подразделение]],'Списки данных'!$C$2:$C$1048576,0))</f>
        <v>22</v>
      </c>
      <c r="I814" s="80" t="s">
        <v>135</v>
      </c>
      <c r="J814" s="80" t="s">
        <v>202</v>
      </c>
      <c r="K814" s="80" t="s">
        <v>203</v>
      </c>
      <c r="L814" s="30" t="s">
        <v>191</v>
      </c>
      <c r="M814" s="68">
        <v>6</v>
      </c>
      <c r="N814" s="181" t="str">
        <f t="shared" si="13"/>
        <v>да</v>
      </c>
      <c r="O814" s="23">
        <v>44389</v>
      </c>
      <c r="P814" s="23">
        <v>44407</v>
      </c>
      <c r="Q814" s="106" t="s">
        <v>66</v>
      </c>
      <c r="R814" s="37">
        <v>170</v>
      </c>
      <c r="S814" s="39" t="s">
        <v>582</v>
      </c>
      <c r="T814" s="37">
        <v>1258</v>
      </c>
      <c r="U814" s="39" t="s">
        <v>1660</v>
      </c>
      <c r="V814" s="89" t="s">
        <v>272</v>
      </c>
      <c r="W814" s="89" t="s">
        <v>135</v>
      </c>
      <c r="X814" s="106" t="s">
        <v>295</v>
      </c>
      <c r="Y814" s="107" t="s">
        <v>12</v>
      </c>
      <c r="Z814" s="67">
        <f>IF(База_КР_КК[[#This Row],[Таб.номер резервиста]]="-","-",IF(OR(База_КР_КК[[#This Row],[Уровень КК]]=2,База_КР_КК[[#This Row],[Уровень КК]]=3),IF(COUNTIFS($U$2:$U814,$U814,$F$2:$F814,$F814)=1,1,0),IF(COUNTIFS($U$2:$U814,$U814,$L$2:$L814,$L814)=1,1,0)))</f>
        <v>0</v>
      </c>
      <c r="AA8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4" s="106"/>
      <c r="AC814" s="51"/>
      <c r="AD814" s="106" t="s">
        <v>13</v>
      </c>
      <c r="AE814" s="38" t="s">
        <v>413</v>
      </c>
    </row>
    <row r="815" spans="1:31" ht="18" customHeight="1" x14ac:dyDescent="0.25">
      <c r="A8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5" s="79">
        <v>4</v>
      </c>
      <c r="C815" s="23">
        <v>43733</v>
      </c>
      <c r="D815" s="67">
        <f>IF(COUNTIF($G$2:$G815,$G815)=1,1,0)</f>
        <v>0</v>
      </c>
      <c r="E815" s="67" t="str">
        <f>IFERROR(VLOOKUP(База_КР_КК[[#This Row],[ИД штатной должности (S)]],'уровень защищенности'!$B$7:$F$1095,5,0),"не защищена")</f>
        <v>высокий</v>
      </c>
      <c r="F815" s="68">
        <v>500662</v>
      </c>
      <c r="G815" s="74" t="s">
        <v>2327</v>
      </c>
      <c r="H815" s="181">
        <f>INDEX('Списки данных'!$D$2:$D$1048576,MATCH(База_КР_КК[[#This Row],[Структурное подразделение]],'Списки данных'!$C$2:$C$1048576,0))</f>
        <v>22</v>
      </c>
      <c r="I815" s="80" t="s">
        <v>135</v>
      </c>
      <c r="J815" s="80" t="s">
        <v>202</v>
      </c>
      <c r="K815" s="80" t="s">
        <v>203</v>
      </c>
      <c r="L815" s="30" t="s">
        <v>191</v>
      </c>
      <c r="M815" s="68">
        <v>6</v>
      </c>
      <c r="N815" s="181" t="str">
        <f t="shared" si="13"/>
        <v>да</v>
      </c>
      <c r="O815" s="23">
        <v>44389</v>
      </c>
      <c r="P815" s="23">
        <v>44407</v>
      </c>
      <c r="Q815" s="106" t="s">
        <v>66</v>
      </c>
      <c r="R815" s="37">
        <v>170</v>
      </c>
      <c r="S815" s="39" t="s">
        <v>582</v>
      </c>
      <c r="T815" s="37">
        <v>1259</v>
      </c>
      <c r="U815" s="39" t="s">
        <v>1661</v>
      </c>
      <c r="V815" s="88" t="s">
        <v>272</v>
      </c>
      <c r="W815" s="89" t="s">
        <v>135</v>
      </c>
      <c r="X815" s="106" t="s">
        <v>297</v>
      </c>
      <c r="Y815" s="107" t="s">
        <v>12</v>
      </c>
      <c r="Z815" s="67">
        <f>IF(База_КР_КК[[#This Row],[Таб.номер резервиста]]="-","-",IF(OR(База_КР_КК[[#This Row],[Уровень КК]]=2,База_КР_КК[[#This Row],[Уровень КК]]=3),IF(COUNTIFS($U$2:$U815,$U815,$F$2:$F815,$F815)=1,1,0),IF(COUNTIFS($U$2:$U815,$U815,$L$2:$L815,$L815)=1,1,0)))</f>
        <v>0</v>
      </c>
      <c r="AA8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5" s="106"/>
      <c r="AC815" s="51"/>
      <c r="AD815" s="106" t="s">
        <v>22</v>
      </c>
      <c r="AE815" s="38" t="s">
        <v>413</v>
      </c>
    </row>
    <row r="816" spans="1:31" ht="18" customHeight="1" x14ac:dyDescent="0.25">
      <c r="A8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6" s="79">
        <v>4</v>
      </c>
      <c r="C816" s="23">
        <v>43733</v>
      </c>
      <c r="D816" s="67">
        <f>IF(COUNTIF($G$2:$G816,$G816)=1,1,0)</f>
        <v>0</v>
      </c>
      <c r="E816" s="67" t="str">
        <f>IFERROR(VLOOKUP(База_КР_КК[[#This Row],[ИД штатной должности (S)]],'уровень защищенности'!$B$7:$F$1095,5,0),"не защищена")</f>
        <v>высокий</v>
      </c>
      <c r="F816" s="68">
        <v>500662</v>
      </c>
      <c r="G816" s="74" t="s">
        <v>2327</v>
      </c>
      <c r="H816" s="181">
        <f>INDEX('Списки данных'!$D$2:$D$1048576,MATCH(База_КР_КК[[#This Row],[Структурное подразделение]],'Списки данных'!$C$2:$C$1048576,0))</f>
        <v>22</v>
      </c>
      <c r="I816" s="80" t="s">
        <v>135</v>
      </c>
      <c r="J816" s="80" t="s">
        <v>202</v>
      </c>
      <c r="K816" s="80" t="s">
        <v>203</v>
      </c>
      <c r="L816" s="30" t="s">
        <v>191</v>
      </c>
      <c r="M816" s="68">
        <v>6</v>
      </c>
      <c r="N816" s="181" t="str">
        <f t="shared" si="13"/>
        <v>да</v>
      </c>
      <c r="O816" s="23">
        <v>44389</v>
      </c>
      <c r="P816" s="23">
        <v>44407</v>
      </c>
      <c r="Q816" s="106" t="s">
        <v>66</v>
      </c>
      <c r="R816" s="37">
        <v>170</v>
      </c>
      <c r="S816" s="38" t="s">
        <v>582</v>
      </c>
      <c r="T816" s="37">
        <v>1260</v>
      </c>
      <c r="U816" s="39" t="s">
        <v>1662</v>
      </c>
      <c r="V816" s="89" t="s">
        <v>272</v>
      </c>
      <c r="W816" s="89" t="s">
        <v>135</v>
      </c>
      <c r="X816" s="106" t="s">
        <v>295</v>
      </c>
      <c r="Y816" s="107" t="s">
        <v>12</v>
      </c>
      <c r="Z816" s="67">
        <f>IF(База_КР_КК[[#This Row],[Таб.номер резервиста]]="-","-",IF(OR(База_КР_КК[[#This Row],[Уровень КК]]=2,База_КР_КК[[#This Row],[Уровень КК]]=3),IF(COUNTIFS($U$2:$U816,$U816,$F$2:$F816,$F816)=1,1,0),IF(COUNTIFS($U$2:$U816,$U816,$L$2:$L816,$L816)=1,1,0)))</f>
        <v>0</v>
      </c>
      <c r="AA8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6" s="106"/>
      <c r="AC816" s="51"/>
      <c r="AD816" s="106" t="s">
        <v>17</v>
      </c>
      <c r="AE816" s="38" t="s">
        <v>413</v>
      </c>
    </row>
    <row r="817" spans="1:31" ht="18" customHeight="1" x14ac:dyDescent="0.25">
      <c r="A8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7" s="79">
        <v>4</v>
      </c>
      <c r="C817" s="23">
        <v>43733</v>
      </c>
      <c r="D817" s="67">
        <f>IF(COUNTIF($G$2:$G817,$G817)=1,1,0)</f>
        <v>0</v>
      </c>
      <c r="E817" s="67" t="str">
        <f>IFERROR(VLOOKUP(База_КР_КК[[#This Row],[ИД штатной должности (S)]],'уровень защищенности'!$B$7:$F$1095,5,0),"не защищена")</f>
        <v>высокий</v>
      </c>
      <c r="F817" s="68">
        <v>500662</v>
      </c>
      <c r="G817" s="74" t="s">
        <v>2327</v>
      </c>
      <c r="H817" s="181">
        <f>INDEX('Списки данных'!$D$2:$D$1048576,MATCH(База_КР_КК[[#This Row],[Структурное подразделение]],'Списки данных'!$C$2:$C$1048576,0))</f>
        <v>22</v>
      </c>
      <c r="I817" s="80" t="s">
        <v>135</v>
      </c>
      <c r="J817" s="80" t="s">
        <v>202</v>
      </c>
      <c r="K817" s="80" t="s">
        <v>203</v>
      </c>
      <c r="L817" s="30" t="s">
        <v>191</v>
      </c>
      <c r="M817" s="68">
        <v>6</v>
      </c>
      <c r="N817" s="181" t="str">
        <f t="shared" si="13"/>
        <v>да</v>
      </c>
      <c r="O817" s="23">
        <v>44389</v>
      </c>
      <c r="P817" s="23">
        <v>44407</v>
      </c>
      <c r="Q817" s="106" t="s">
        <v>66</v>
      </c>
      <c r="R817" s="37">
        <v>170</v>
      </c>
      <c r="S817" s="38" t="s">
        <v>582</v>
      </c>
      <c r="T817" s="37">
        <v>1261</v>
      </c>
      <c r="U817" s="39" t="s">
        <v>1663</v>
      </c>
      <c r="V817" s="89" t="s">
        <v>272</v>
      </c>
      <c r="W817" s="89" t="s">
        <v>135</v>
      </c>
      <c r="X817" s="106" t="s">
        <v>297</v>
      </c>
      <c r="Y817" s="107" t="s">
        <v>12</v>
      </c>
      <c r="Z817" s="67">
        <f>IF(База_КР_КК[[#This Row],[Таб.номер резервиста]]="-","-",IF(OR(База_КР_КК[[#This Row],[Уровень КК]]=2,База_КР_КК[[#This Row],[Уровень КК]]=3),IF(COUNTIFS($U$2:$U817,$U817,$F$2:$F817,$F817)=1,1,0),IF(COUNTIFS($U$2:$U817,$U817,$L$2:$L817,$L817)=1,1,0)))</f>
        <v>0</v>
      </c>
      <c r="AA8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7" s="106"/>
      <c r="AC817" s="51"/>
      <c r="AD817" s="106" t="s">
        <v>13</v>
      </c>
      <c r="AE817" s="38" t="s">
        <v>413</v>
      </c>
    </row>
    <row r="818" spans="1:31" ht="18" customHeight="1" x14ac:dyDescent="0.25">
      <c r="A8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8" s="79">
        <v>4</v>
      </c>
      <c r="C818" s="23">
        <v>44487</v>
      </c>
      <c r="D818" s="67">
        <f>IF(COUNTIF($G$2:$G818,$G818)=1,1,0)</f>
        <v>0</v>
      </c>
      <c r="E818" s="67" t="str">
        <f>IFERROR(VLOOKUP(База_КР_КК[[#This Row],[ИД штатной должности (S)]],'уровень защищенности'!$B$7:$F$1095,5,0),"не защищена")</f>
        <v>высокий</v>
      </c>
      <c r="F818" s="68">
        <v>500662</v>
      </c>
      <c r="G818" s="74" t="s">
        <v>2327</v>
      </c>
      <c r="H818" s="181">
        <f>INDEX('Списки данных'!$D$2:$D$1048576,MATCH(База_КР_КК[[#This Row],[Структурное подразделение]],'Списки данных'!$C$2:$C$1048576,0))</f>
        <v>22</v>
      </c>
      <c r="I818" s="80" t="s">
        <v>135</v>
      </c>
      <c r="J818" s="80" t="s">
        <v>202</v>
      </c>
      <c r="K818" s="80" t="s">
        <v>203</v>
      </c>
      <c r="L818" s="30" t="s">
        <v>191</v>
      </c>
      <c r="M818" s="68">
        <v>6</v>
      </c>
      <c r="N818" s="181" t="str">
        <f t="shared" si="13"/>
        <v>да</v>
      </c>
      <c r="O818" s="23">
        <v>44389</v>
      </c>
      <c r="P818" s="23">
        <v>44407</v>
      </c>
      <c r="Q818" s="106" t="s">
        <v>66</v>
      </c>
      <c r="R818" s="37">
        <v>170</v>
      </c>
      <c r="S818" s="39" t="s">
        <v>582</v>
      </c>
      <c r="T818" s="37">
        <v>1262</v>
      </c>
      <c r="U818" s="39" t="s">
        <v>1664</v>
      </c>
      <c r="V818" s="89" t="s">
        <v>272</v>
      </c>
      <c r="W818" s="89" t="s">
        <v>135</v>
      </c>
      <c r="X818" s="106" t="s">
        <v>297</v>
      </c>
      <c r="Y818" s="107" t="s">
        <v>12</v>
      </c>
      <c r="Z818" s="67">
        <f>IF(База_КР_КК[[#This Row],[Таб.номер резервиста]]="-","-",IF(OR(База_КР_КК[[#This Row],[Уровень КК]]=2,База_КР_КК[[#This Row],[Уровень КК]]=3),IF(COUNTIFS($U$2:$U818,$U818,$F$2:$F818,$F818)=1,1,0),IF(COUNTIFS($U$2:$U818,$U818,$L$2:$L818,$L818)=1,1,0)))</f>
        <v>0</v>
      </c>
      <c r="AA8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8" s="106"/>
      <c r="AC818" s="51"/>
      <c r="AD818" s="106" t="s">
        <v>17</v>
      </c>
      <c r="AE818" s="33" t="s">
        <v>413</v>
      </c>
    </row>
    <row r="819" spans="1:31" ht="18" customHeight="1" x14ac:dyDescent="0.25">
      <c r="A8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19" s="79">
        <v>4</v>
      </c>
      <c r="C819" s="23">
        <v>44487</v>
      </c>
      <c r="D819" s="67">
        <f>IF(COUNTIF($G$2:$G819,$G819)=1,1,0)</f>
        <v>0</v>
      </c>
      <c r="E819" s="67" t="str">
        <f>IFERROR(VLOOKUP(База_КР_КК[[#This Row],[ИД штатной должности (S)]],'уровень защищенности'!$B$7:$F$1095,5,0),"не защищена")</f>
        <v>высокий</v>
      </c>
      <c r="F819" s="68">
        <v>500662</v>
      </c>
      <c r="G819" s="74" t="s">
        <v>2327</v>
      </c>
      <c r="H819" s="181">
        <f>INDEX('Списки данных'!$D$2:$D$1048576,MATCH(База_КР_КК[[#This Row],[Структурное подразделение]],'Списки данных'!$C$2:$C$1048576,0))</f>
        <v>22</v>
      </c>
      <c r="I819" s="80" t="s">
        <v>135</v>
      </c>
      <c r="J819" s="80" t="s">
        <v>202</v>
      </c>
      <c r="K819" s="80" t="s">
        <v>203</v>
      </c>
      <c r="L819" s="30" t="s">
        <v>191</v>
      </c>
      <c r="M819" s="68">
        <v>6</v>
      </c>
      <c r="N819" s="181" t="str">
        <f t="shared" si="13"/>
        <v>да</v>
      </c>
      <c r="O819" s="23">
        <v>44389</v>
      </c>
      <c r="P819" s="23">
        <v>44407</v>
      </c>
      <c r="Q819" s="106" t="s">
        <v>66</v>
      </c>
      <c r="R819" s="37">
        <v>170</v>
      </c>
      <c r="S819" s="39" t="s">
        <v>582</v>
      </c>
      <c r="T819" s="37">
        <v>1263</v>
      </c>
      <c r="U819" s="39" t="s">
        <v>1665</v>
      </c>
      <c r="V819" s="89" t="s">
        <v>272</v>
      </c>
      <c r="W819" s="89" t="s">
        <v>135</v>
      </c>
      <c r="X819" s="106" t="s">
        <v>295</v>
      </c>
      <c r="Y819" s="107" t="s">
        <v>12</v>
      </c>
      <c r="Z819" s="67">
        <f>IF(База_КР_КК[[#This Row],[Таб.номер резервиста]]="-","-",IF(OR(База_КР_КК[[#This Row],[Уровень КК]]=2,База_КР_КК[[#This Row],[Уровень КК]]=3),IF(COUNTIFS($U$2:$U819,$U819,$F$2:$F819,$F819)=1,1,0),IF(COUNTIFS($U$2:$U819,$U819,$L$2:$L819,$L819)=1,1,0)))</f>
        <v>0</v>
      </c>
      <c r="AA8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19" s="106"/>
      <c r="AC819" s="51"/>
      <c r="AD819" s="106" t="s">
        <v>17</v>
      </c>
      <c r="AE819" s="33" t="s">
        <v>413</v>
      </c>
    </row>
    <row r="820" spans="1:31" ht="18" customHeight="1" x14ac:dyDescent="0.25">
      <c r="A8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0" s="79">
        <v>4</v>
      </c>
      <c r="C820" s="23">
        <v>44879</v>
      </c>
      <c r="D820" s="67">
        <f>IF(COUNTIF($G$2:$G820,$G820)=1,1,0)</f>
        <v>0</v>
      </c>
      <c r="E820" s="67" t="str">
        <f>IFERROR(VLOOKUP(База_КР_КК[[#This Row],[ИД штатной должности (S)]],'уровень защищенности'!$B$7:$F$1095,5,0),"не защищена")</f>
        <v>высокий</v>
      </c>
      <c r="F820" s="68">
        <v>500662</v>
      </c>
      <c r="G820" s="74" t="s">
        <v>2327</v>
      </c>
      <c r="H820" s="181">
        <f>INDEX('Списки данных'!$D$2:$D$1048576,MATCH(База_КР_КК[[#This Row],[Структурное подразделение]],'Списки данных'!$C$2:$C$1048576,0))</f>
        <v>22</v>
      </c>
      <c r="I820" s="80" t="s">
        <v>135</v>
      </c>
      <c r="J820" s="80" t="s">
        <v>202</v>
      </c>
      <c r="K820" s="80" t="s">
        <v>203</v>
      </c>
      <c r="L820" s="30" t="s">
        <v>191</v>
      </c>
      <c r="M820" s="68">
        <v>6</v>
      </c>
      <c r="N820" s="181" t="str">
        <f t="shared" si="13"/>
        <v>да</v>
      </c>
      <c r="O820" s="23">
        <v>44389</v>
      </c>
      <c r="P820" s="23">
        <v>44407</v>
      </c>
      <c r="Q820" s="106" t="s">
        <v>66</v>
      </c>
      <c r="R820" s="37">
        <v>170</v>
      </c>
      <c r="S820" s="39" t="s">
        <v>582</v>
      </c>
      <c r="T820" s="37">
        <v>1264</v>
      </c>
      <c r="U820" s="38" t="s">
        <v>1666</v>
      </c>
      <c r="V820" s="69" t="s">
        <v>272</v>
      </c>
      <c r="W820" s="89" t="s">
        <v>135</v>
      </c>
      <c r="X820" s="106" t="s">
        <v>296</v>
      </c>
      <c r="Y820" s="107" t="s">
        <v>12</v>
      </c>
      <c r="Z820" s="67">
        <f>IF(База_КР_КК[[#This Row],[Таб.номер резервиста]]="-","-",IF(OR(База_КР_КК[[#This Row],[Уровень КК]]=2,База_КР_КК[[#This Row],[Уровень КК]]=3),IF(COUNTIFS($U$2:$U820,$U820,$F$2:$F820,$F820)=1,1,0),IF(COUNTIFS($U$2:$U820,$U820,$L$2:$L820,$L820)=1,1,0)))</f>
        <v>0</v>
      </c>
      <c r="AA8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0" s="106"/>
      <c r="AC820" s="51"/>
      <c r="AD820" s="106" t="s">
        <v>15</v>
      </c>
      <c r="AE820" s="33" t="s">
        <v>413</v>
      </c>
    </row>
    <row r="821" spans="1:31" ht="18" customHeight="1" x14ac:dyDescent="0.25">
      <c r="A8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1" s="79">
        <v>4</v>
      </c>
      <c r="C821" s="23">
        <v>44879</v>
      </c>
      <c r="D821" s="67">
        <f>IF(COUNTIF($G$2:$G821,$G821)=1,1,0)</f>
        <v>0</v>
      </c>
      <c r="E821" s="67" t="str">
        <f>IFERROR(VLOOKUP(База_КР_КК[[#This Row],[ИД штатной должности (S)]],'уровень защищенности'!$B$7:$F$1095,5,0),"не защищена")</f>
        <v>высокий</v>
      </c>
      <c r="F821" s="68">
        <v>500662</v>
      </c>
      <c r="G821" s="74" t="s">
        <v>2327</v>
      </c>
      <c r="H821" s="181">
        <f>INDEX('Списки данных'!$D$2:$D$1048576,MATCH(База_КР_КК[[#This Row],[Структурное подразделение]],'Списки данных'!$C$2:$C$1048576,0))</f>
        <v>22</v>
      </c>
      <c r="I821" s="80" t="s">
        <v>135</v>
      </c>
      <c r="J821" s="80" t="s">
        <v>202</v>
      </c>
      <c r="K821" s="80" t="s">
        <v>203</v>
      </c>
      <c r="L821" s="30" t="s">
        <v>191</v>
      </c>
      <c r="M821" s="68">
        <v>6</v>
      </c>
      <c r="N821" s="181" t="str">
        <f t="shared" si="13"/>
        <v>да</v>
      </c>
      <c r="O821" s="23">
        <v>44389</v>
      </c>
      <c r="P821" s="23">
        <v>44407</v>
      </c>
      <c r="Q821" s="106" t="s">
        <v>66</v>
      </c>
      <c r="R821" s="37">
        <v>170</v>
      </c>
      <c r="S821" s="39" t="s">
        <v>582</v>
      </c>
      <c r="T821" s="37">
        <v>1265</v>
      </c>
      <c r="U821" s="38" t="s">
        <v>1667</v>
      </c>
      <c r="V821" s="93" t="s">
        <v>272</v>
      </c>
      <c r="W821" s="89" t="s">
        <v>135</v>
      </c>
      <c r="X821" s="106" t="s">
        <v>296</v>
      </c>
      <c r="Y821" s="107" t="s">
        <v>12</v>
      </c>
      <c r="Z821" s="67">
        <f>IF(База_КР_КК[[#This Row],[Таб.номер резервиста]]="-","-",IF(OR(База_КР_КК[[#This Row],[Уровень КК]]=2,База_КР_КК[[#This Row],[Уровень КК]]=3),IF(COUNTIFS($U$2:$U821,$U821,$F$2:$F821,$F821)=1,1,0),IF(COUNTIFS($U$2:$U821,$U821,$L$2:$L821,$L821)=1,1,0)))</f>
        <v>0</v>
      </c>
      <c r="AA8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1" s="106"/>
      <c r="AC821" s="51"/>
      <c r="AD821" s="106" t="s">
        <v>15</v>
      </c>
      <c r="AE821" s="33" t="s">
        <v>413</v>
      </c>
    </row>
    <row r="822" spans="1:31" ht="18" customHeight="1" x14ac:dyDescent="0.25">
      <c r="A8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2" s="79">
        <v>4</v>
      </c>
      <c r="C822" s="23">
        <v>44879</v>
      </c>
      <c r="D822" s="67">
        <f>IF(COUNTIF($G$2:$G822,$G822)=1,1,0)</f>
        <v>0</v>
      </c>
      <c r="E822" s="67" t="str">
        <f>IFERROR(VLOOKUP(База_КР_КК[[#This Row],[ИД штатной должности (S)]],'уровень защищенности'!$B$7:$F$1095,5,0),"не защищена")</f>
        <v>высокий</v>
      </c>
      <c r="F822" s="68">
        <v>500662</v>
      </c>
      <c r="G822" s="74" t="s">
        <v>2327</v>
      </c>
      <c r="H822" s="181">
        <f>INDEX('Списки данных'!$D$2:$D$1048576,MATCH(База_КР_КК[[#This Row],[Структурное подразделение]],'Списки данных'!$C$2:$C$1048576,0))</f>
        <v>22</v>
      </c>
      <c r="I822" s="80" t="s">
        <v>135</v>
      </c>
      <c r="J822" s="80" t="s">
        <v>202</v>
      </c>
      <c r="K822" s="80" t="s">
        <v>203</v>
      </c>
      <c r="L822" s="30" t="s">
        <v>191</v>
      </c>
      <c r="M822" s="68">
        <v>6</v>
      </c>
      <c r="N822" s="181" t="str">
        <f t="shared" si="13"/>
        <v>да</v>
      </c>
      <c r="O822" s="23">
        <v>44389</v>
      </c>
      <c r="P822" s="23">
        <v>44407</v>
      </c>
      <c r="Q822" s="106" t="s">
        <v>66</v>
      </c>
      <c r="R822" s="37">
        <v>170</v>
      </c>
      <c r="S822" s="39" t="s">
        <v>582</v>
      </c>
      <c r="T822" s="37">
        <v>1266</v>
      </c>
      <c r="U822" s="38" t="s">
        <v>1668</v>
      </c>
      <c r="V822" s="69" t="s">
        <v>272</v>
      </c>
      <c r="W822" s="89" t="s">
        <v>135</v>
      </c>
      <c r="X822" s="106" t="s">
        <v>296</v>
      </c>
      <c r="Y822" s="107" t="s">
        <v>12</v>
      </c>
      <c r="Z822" s="67">
        <f>IF(База_КР_КК[[#This Row],[Таб.номер резервиста]]="-","-",IF(OR(База_КР_КК[[#This Row],[Уровень КК]]=2,База_КР_КК[[#This Row],[Уровень КК]]=3),IF(COUNTIFS($U$2:$U822,$U822,$F$2:$F822,$F822)=1,1,0),IF(COUNTIFS($U$2:$U822,$U822,$L$2:$L822,$L822)=1,1,0)))</f>
        <v>0</v>
      </c>
      <c r="AA8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2" s="106"/>
      <c r="AC822" s="51"/>
      <c r="AD822" s="106" t="s">
        <v>15</v>
      </c>
      <c r="AE822" s="33" t="s">
        <v>413</v>
      </c>
    </row>
    <row r="823" spans="1:31" ht="18" customHeight="1" x14ac:dyDescent="0.25">
      <c r="A8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3" s="79">
        <v>4</v>
      </c>
      <c r="C823" s="23">
        <v>43733</v>
      </c>
      <c r="D823" s="67">
        <f>IF(COUNTIF($G$2:$G823,$G823)=1,1,0)</f>
        <v>0</v>
      </c>
      <c r="E823" s="67" t="str">
        <f>IFERROR(VLOOKUP(База_КР_КК[[#This Row],[ИД штатной должности (S)]],'уровень защищенности'!$B$7:$F$1095,5,0),"не защищена")</f>
        <v>высокий</v>
      </c>
      <c r="F823" s="68">
        <v>500662</v>
      </c>
      <c r="G823" s="74" t="s">
        <v>2327</v>
      </c>
      <c r="H823" s="181">
        <f>INDEX('Списки данных'!$D$2:$D$1048576,MATCH(База_КР_КК[[#This Row],[Структурное подразделение]],'Списки данных'!$C$2:$C$1048576,0))</f>
        <v>22</v>
      </c>
      <c r="I823" s="80" t="s">
        <v>135</v>
      </c>
      <c r="J823" s="80" t="s">
        <v>202</v>
      </c>
      <c r="K823" s="80" t="s">
        <v>203</v>
      </c>
      <c r="L823" s="30" t="s">
        <v>191</v>
      </c>
      <c r="M823" s="68">
        <v>6</v>
      </c>
      <c r="N823" s="181" t="str">
        <f t="shared" si="13"/>
        <v>да</v>
      </c>
      <c r="O823" s="23">
        <v>44389</v>
      </c>
      <c r="P823" s="23">
        <v>44407</v>
      </c>
      <c r="Q823" s="106" t="s">
        <v>66</v>
      </c>
      <c r="R823" s="37">
        <v>170</v>
      </c>
      <c r="S823" s="38" t="s">
        <v>582</v>
      </c>
      <c r="T823" s="37">
        <v>170</v>
      </c>
      <c r="U823" s="39" t="s">
        <v>582</v>
      </c>
      <c r="V823" s="89" t="s">
        <v>272</v>
      </c>
      <c r="W823" s="89" t="s">
        <v>135</v>
      </c>
      <c r="X823" s="106" t="s">
        <v>295</v>
      </c>
      <c r="Y823" s="107" t="s">
        <v>14</v>
      </c>
      <c r="Z823" s="67">
        <f>IF(База_КР_КК[[#This Row],[Таб.номер резервиста]]="-","-",IF(OR(База_КР_КК[[#This Row],[Уровень КК]]=2,База_КР_КК[[#This Row],[Уровень КК]]=3),IF(COUNTIFS($U$2:$U823,$U823,$F$2:$F823,$F823)=1,1,0),IF(COUNTIFS($U$2:$U823,$U823,$L$2:$L823,$L823)=1,1,0)))</f>
        <v>1</v>
      </c>
      <c r="AA8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823" s="106" t="s">
        <v>24</v>
      </c>
      <c r="AC823" s="51">
        <v>44407</v>
      </c>
      <c r="AD823" s="106" t="s">
        <v>13</v>
      </c>
      <c r="AE823" s="38" t="s">
        <v>323</v>
      </c>
    </row>
    <row r="824" spans="1:31" ht="18" customHeight="1" x14ac:dyDescent="0.25">
      <c r="A8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4" s="79">
        <v>4</v>
      </c>
      <c r="C824" s="23">
        <v>44487</v>
      </c>
      <c r="D824" s="67">
        <f>IF(COUNTIF($G$2:$G824,$G824)=1,1,0)</f>
        <v>0</v>
      </c>
      <c r="E824" s="67" t="str">
        <f>IFERROR(VLOOKUP(База_КР_КК[[#This Row],[ИД штатной должности (S)]],'уровень защищенности'!$B$7:$F$1095,5,0),"не защищена")</f>
        <v>высокий</v>
      </c>
      <c r="F824" s="68">
        <v>500662</v>
      </c>
      <c r="G824" s="74" t="s">
        <v>2327</v>
      </c>
      <c r="H824" s="181">
        <f>INDEX('Списки данных'!$D$2:$D$1048576,MATCH(База_КР_КК[[#This Row],[Структурное подразделение]],'Списки данных'!$C$2:$C$1048576,0))</f>
        <v>22</v>
      </c>
      <c r="I824" s="80" t="s">
        <v>135</v>
      </c>
      <c r="J824" s="80" t="s">
        <v>202</v>
      </c>
      <c r="K824" s="80" t="s">
        <v>203</v>
      </c>
      <c r="L824" s="30" t="s">
        <v>191</v>
      </c>
      <c r="M824" s="68">
        <v>6</v>
      </c>
      <c r="N824" s="181" t="str">
        <f t="shared" si="13"/>
        <v>да</v>
      </c>
      <c r="O824" s="23">
        <v>44389</v>
      </c>
      <c r="P824" s="23">
        <v>44407</v>
      </c>
      <c r="Q824" s="106" t="s">
        <v>66</v>
      </c>
      <c r="R824" s="37">
        <v>170</v>
      </c>
      <c r="S824" s="39" t="s">
        <v>582</v>
      </c>
      <c r="T824" s="37">
        <v>171</v>
      </c>
      <c r="U824" s="39" t="s">
        <v>583</v>
      </c>
      <c r="V824" s="89" t="s">
        <v>192</v>
      </c>
      <c r="W824" s="89" t="s">
        <v>135</v>
      </c>
      <c r="X824" s="106" t="s">
        <v>295</v>
      </c>
      <c r="Y824" s="107" t="s">
        <v>14</v>
      </c>
      <c r="Z824" s="67">
        <f>IF(База_КР_КК[[#This Row],[Таб.номер резервиста]]="-","-",IF(OR(База_КР_КК[[#This Row],[Уровень КК]]=2,База_КР_КК[[#This Row],[Уровень КК]]=3),IF(COUNTIFS($U$2:$U824,$U824,$F$2:$F824,$F824)=1,1,0),IF(COUNTIFS($U$2:$U824,$U824,$L$2:$L824,$L824)=1,1,0)))</f>
        <v>0</v>
      </c>
      <c r="AA8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4" s="106" t="s">
        <v>24</v>
      </c>
      <c r="AC824" s="51">
        <v>44908</v>
      </c>
      <c r="AD824" s="106" t="s">
        <v>17</v>
      </c>
      <c r="AE824" s="33" t="s">
        <v>322</v>
      </c>
    </row>
    <row r="825" spans="1:31" ht="18" customHeight="1" x14ac:dyDescent="0.25">
      <c r="A8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5" s="79">
        <v>4</v>
      </c>
      <c r="C825" s="23">
        <v>43733</v>
      </c>
      <c r="D825" s="67">
        <f>IF(COUNTIF($G$2:$G825,$G825)=1,1,0)</f>
        <v>1</v>
      </c>
      <c r="E825" s="67" t="str">
        <f>IFERROR(VLOOKUP(База_КР_КК[[#This Row],[ИД штатной должности (S)]],'уровень защищенности'!$B$7:$F$1095,5,0),"не защищена")</f>
        <v>высокий</v>
      </c>
      <c r="F825" s="68">
        <v>500662</v>
      </c>
      <c r="G825" s="74" t="s">
        <v>2328</v>
      </c>
      <c r="H825" s="181">
        <f>INDEX('Списки данных'!$D$2:$D$1048576,MATCH(База_КР_КК[[#This Row],[Структурное подразделение]],'Списки данных'!$C$2:$C$1048576,0))</f>
        <v>22</v>
      </c>
      <c r="I825" s="80" t="s">
        <v>135</v>
      </c>
      <c r="J825" s="80" t="s">
        <v>202</v>
      </c>
      <c r="K825" s="80" t="s">
        <v>203</v>
      </c>
      <c r="L825" s="30" t="s">
        <v>191</v>
      </c>
      <c r="M825" s="68">
        <v>6</v>
      </c>
      <c r="N825" s="181" t="str">
        <f t="shared" si="13"/>
        <v>да</v>
      </c>
      <c r="O825" s="23">
        <v>44789</v>
      </c>
      <c r="P825" s="23">
        <v>44908</v>
      </c>
      <c r="Q825" s="106" t="s">
        <v>66</v>
      </c>
      <c r="R825" s="37">
        <v>171</v>
      </c>
      <c r="S825" s="39" t="s">
        <v>583</v>
      </c>
      <c r="T825" s="37">
        <v>1256</v>
      </c>
      <c r="U825" s="39" t="s">
        <v>1658</v>
      </c>
      <c r="V825" s="88" t="s">
        <v>272</v>
      </c>
      <c r="W825" s="89" t="s">
        <v>135</v>
      </c>
      <c r="X825" s="106" t="s">
        <v>295</v>
      </c>
      <c r="Y825" s="107" t="s">
        <v>12</v>
      </c>
      <c r="Z825" s="67">
        <f>IF(База_КР_КК[[#This Row],[Таб.номер резервиста]]="-","-",IF(OR(База_КР_КК[[#This Row],[Уровень КК]]=2,База_КР_КК[[#This Row],[Уровень КК]]=3),IF(COUNTIFS($U$2:$U825,$U825,$F$2:$F825,$F825)=1,1,0),IF(COUNTIFS($U$2:$U825,$U825,$L$2:$L825,$L825)=1,1,0)))</f>
        <v>0</v>
      </c>
      <c r="AA8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5" s="106"/>
      <c r="AC825" s="51"/>
      <c r="AD825" s="106" t="s">
        <v>13</v>
      </c>
      <c r="AE825" s="38" t="s">
        <v>413</v>
      </c>
    </row>
    <row r="826" spans="1:31" ht="18" customHeight="1" x14ac:dyDescent="0.25">
      <c r="A8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6" s="79">
        <v>4</v>
      </c>
      <c r="C826" s="23">
        <v>43733</v>
      </c>
      <c r="D826" s="67">
        <f>IF(COUNTIF($G$2:$G826,$G826)=1,1,0)</f>
        <v>0</v>
      </c>
      <c r="E826" s="67" t="str">
        <f>IFERROR(VLOOKUP(База_КР_КК[[#This Row],[ИД штатной должности (S)]],'уровень защищенности'!$B$7:$F$1095,5,0),"не защищена")</f>
        <v>высокий</v>
      </c>
      <c r="F826" s="68">
        <v>500662</v>
      </c>
      <c r="G826" s="74" t="s">
        <v>2328</v>
      </c>
      <c r="H826" s="181">
        <f>INDEX('Списки данных'!$D$2:$D$1048576,MATCH(База_КР_КК[[#This Row],[Структурное подразделение]],'Списки данных'!$C$2:$C$1048576,0))</f>
        <v>22</v>
      </c>
      <c r="I826" s="80" t="s">
        <v>135</v>
      </c>
      <c r="J826" s="80" t="s">
        <v>202</v>
      </c>
      <c r="K826" s="80" t="s">
        <v>203</v>
      </c>
      <c r="L826" s="30" t="s">
        <v>191</v>
      </c>
      <c r="M826" s="68">
        <v>6</v>
      </c>
      <c r="N826" s="181" t="str">
        <f t="shared" si="13"/>
        <v>да</v>
      </c>
      <c r="O826" s="23">
        <v>44789</v>
      </c>
      <c r="P826" s="23">
        <v>44908</v>
      </c>
      <c r="Q826" s="106" t="s">
        <v>66</v>
      </c>
      <c r="R826" s="37">
        <v>171</v>
      </c>
      <c r="S826" s="39" t="s">
        <v>583</v>
      </c>
      <c r="T826" s="37">
        <v>1257</v>
      </c>
      <c r="U826" s="39" t="s">
        <v>1659</v>
      </c>
      <c r="V826" s="89" t="s">
        <v>272</v>
      </c>
      <c r="W826" s="89" t="s">
        <v>135</v>
      </c>
      <c r="X826" s="106" t="s">
        <v>295</v>
      </c>
      <c r="Y826" s="107" t="s">
        <v>12</v>
      </c>
      <c r="Z826" s="67">
        <f>IF(База_КР_КК[[#This Row],[Таб.номер резервиста]]="-","-",IF(OR(База_КР_КК[[#This Row],[Уровень КК]]=2,База_КР_КК[[#This Row],[Уровень КК]]=3),IF(COUNTIFS($U$2:$U826,$U826,$F$2:$F826,$F826)=1,1,0),IF(COUNTIFS($U$2:$U826,$U826,$L$2:$L826,$L826)=1,1,0)))</f>
        <v>0</v>
      </c>
      <c r="AA8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6" s="106"/>
      <c r="AC826" s="51"/>
      <c r="AD826" s="106" t="s">
        <v>13</v>
      </c>
      <c r="AE826" s="38" t="s">
        <v>413</v>
      </c>
    </row>
    <row r="827" spans="1:31" ht="18" customHeight="1" x14ac:dyDescent="0.25">
      <c r="A8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7" s="79">
        <v>4</v>
      </c>
      <c r="C827" s="23">
        <v>43733</v>
      </c>
      <c r="D827" s="67">
        <f>IF(COUNTIF($G$2:$G827,$G827)=1,1,0)</f>
        <v>0</v>
      </c>
      <c r="E827" s="67" t="str">
        <f>IFERROR(VLOOKUP(База_КР_КК[[#This Row],[ИД штатной должности (S)]],'уровень защищенности'!$B$7:$F$1095,5,0),"не защищена")</f>
        <v>высокий</v>
      </c>
      <c r="F827" s="68">
        <v>500662</v>
      </c>
      <c r="G827" s="74" t="s">
        <v>2328</v>
      </c>
      <c r="H827" s="181">
        <f>INDEX('Списки данных'!$D$2:$D$1048576,MATCH(База_КР_КК[[#This Row],[Структурное подразделение]],'Списки данных'!$C$2:$C$1048576,0))</f>
        <v>22</v>
      </c>
      <c r="I827" s="80" t="s">
        <v>135</v>
      </c>
      <c r="J827" s="80" t="s">
        <v>202</v>
      </c>
      <c r="K827" s="80" t="s">
        <v>203</v>
      </c>
      <c r="L827" s="30" t="s">
        <v>191</v>
      </c>
      <c r="M827" s="68">
        <v>6</v>
      </c>
      <c r="N827" s="181" t="str">
        <f t="shared" si="13"/>
        <v>да</v>
      </c>
      <c r="O827" s="23">
        <v>44789</v>
      </c>
      <c r="P827" s="23">
        <v>44908</v>
      </c>
      <c r="Q827" s="106" t="s">
        <v>66</v>
      </c>
      <c r="R827" s="37">
        <v>171</v>
      </c>
      <c r="S827" s="39" t="s">
        <v>583</v>
      </c>
      <c r="T827" s="37">
        <v>1258</v>
      </c>
      <c r="U827" s="39" t="s">
        <v>1660</v>
      </c>
      <c r="V827" s="89" t="s">
        <v>272</v>
      </c>
      <c r="W827" s="89" t="s">
        <v>135</v>
      </c>
      <c r="X827" s="106" t="s">
        <v>295</v>
      </c>
      <c r="Y827" s="107" t="s">
        <v>12</v>
      </c>
      <c r="Z827" s="67">
        <f>IF(База_КР_КК[[#This Row],[Таб.номер резервиста]]="-","-",IF(OR(База_КР_КК[[#This Row],[Уровень КК]]=2,База_КР_КК[[#This Row],[Уровень КК]]=3),IF(COUNTIFS($U$2:$U827,$U827,$F$2:$F827,$F827)=1,1,0),IF(COUNTIFS($U$2:$U827,$U827,$L$2:$L827,$L827)=1,1,0)))</f>
        <v>0</v>
      </c>
      <c r="AA8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7" s="106"/>
      <c r="AC827" s="51"/>
      <c r="AD827" s="106" t="s">
        <v>13</v>
      </c>
      <c r="AE827" s="38" t="s">
        <v>413</v>
      </c>
    </row>
    <row r="828" spans="1:31" ht="18" customHeight="1" x14ac:dyDescent="0.25">
      <c r="A8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8" s="79">
        <v>4</v>
      </c>
      <c r="C828" s="23">
        <v>43733</v>
      </c>
      <c r="D828" s="67">
        <f>IF(COUNTIF($G$2:$G828,$G828)=1,1,0)</f>
        <v>0</v>
      </c>
      <c r="E828" s="67" t="str">
        <f>IFERROR(VLOOKUP(База_КР_КК[[#This Row],[ИД штатной должности (S)]],'уровень защищенности'!$B$7:$F$1095,5,0),"не защищена")</f>
        <v>высокий</v>
      </c>
      <c r="F828" s="68">
        <v>500662</v>
      </c>
      <c r="G828" s="74" t="s">
        <v>2328</v>
      </c>
      <c r="H828" s="181">
        <f>INDEX('Списки данных'!$D$2:$D$1048576,MATCH(База_КР_КК[[#This Row],[Структурное подразделение]],'Списки данных'!$C$2:$C$1048576,0))</f>
        <v>22</v>
      </c>
      <c r="I828" s="80" t="s">
        <v>135</v>
      </c>
      <c r="J828" s="80" t="s">
        <v>202</v>
      </c>
      <c r="K828" s="80" t="s">
        <v>203</v>
      </c>
      <c r="L828" s="30" t="s">
        <v>191</v>
      </c>
      <c r="M828" s="68">
        <v>6</v>
      </c>
      <c r="N828" s="181" t="str">
        <f t="shared" si="13"/>
        <v>да</v>
      </c>
      <c r="O828" s="23">
        <v>44789</v>
      </c>
      <c r="P828" s="23">
        <v>44908</v>
      </c>
      <c r="Q828" s="106" t="s">
        <v>66</v>
      </c>
      <c r="R828" s="37">
        <v>171</v>
      </c>
      <c r="S828" s="39" t="s">
        <v>583</v>
      </c>
      <c r="T828" s="37">
        <v>1259</v>
      </c>
      <c r="U828" s="39" t="s">
        <v>1661</v>
      </c>
      <c r="V828" s="89" t="s">
        <v>272</v>
      </c>
      <c r="W828" s="89" t="s">
        <v>135</v>
      </c>
      <c r="X828" s="106" t="s">
        <v>297</v>
      </c>
      <c r="Y828" s="107" t="s">
        <v>12</v>
      </c>
      <c r="Z828" s="67">
        <f>IF(База_КР_КК[[#This Row],[Таб.номер резервиста]]="-","-",IF(OR(База_КР_КК[[#This Row],[Уровень КК]]=2,База_КР_КК[[#This Row],[Уровень КК]]=3),IF(COUNTIFS($U$2:$U828,$U828,$F$2:$F828,$F828)=1,1,0),IF(COUNTIFS($U$2:$U828,$U828,$L$2:$L828,$L828)=1,1,0)))</f>
        <v>0</v>
      </c>
      <c r="AA8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8" s="106"/>
      <c r="AC828" s="51"/>
      <c r="AD828" s="106" t="s">
        <v>22</v>
      </c>
      <c r="AE828" s="38" t="s">
        <v>413</v>
      </c>
    </row>
    <row r="829" spans="1:31" ht="18" customHeight="1" x14ac:dyDescent="0.25">
      <c r="A8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29" s="79">
        <v>4</v>
      </c>
      <c r="C829" s="23">
        <v>43733</v>
      </c>
      <c r="D829" s="67">
        <f>IF(COUNTIF($G$2:$G829,$G829)=1,1,0)</f>
        <v>0</v>
      </c>
      <c r="E829" s="67" t="str">
        <f>IFERROR(VLOOKUP(База_КР_КК[[#This Row],[ИД штатной должности (S)]],'уровень защищенности'!$B$7:$F$1095,5,0),"не защищена")</f>
        <v>высокий</v>
      </c>
      <c r="F829" s="68">
        <v>500662</v>
      </c>
      <c r="G829" s="74" t="s">
        <v>2328</v>
      </c>
      <c r="H829" s="181">
        <f>INDEX('Списки данных'!$D$2:$D$1048576,MATCH(База_КР_КК[[#This Row],[Структурное подразделение]],'Списки данных'!$C$2:$C$1048576,0))</f>
        <v>22</v>
      </c>
      <c r="I829" s="80" t="s">
        <v>135</v>
      </c>
      <c r="J829" s="80" t="s">
        <v>202</v>
      </c>
      <c r="K829" s="80" t="s">
        <v>203</v>
      </c>
      <c r="L829" s="30" t="s">
        <v>191</v>
      </c>
      <c r="M829" s="68">
        <v>6</v>
      </c>
      <c r="N829" s="181" t="str">
        <f t="shared" si="13"/>
        <v>да</v>
      </c>
      <c r="O829" s="23">
        <v>44789</v>
      </c>
      <c r="P829" s="23">
        <v>44908</v>
      </c>
      <c r="Q829" s="106" t="s">
        <v>66</v>
      </c>
      <c r="R829" s="37">
        <v>171</v>
      </c>
      <c r="S829" s="39" t="s">
        <v>583</v>
      </c>
      <c r="T829" s="37">
        <v>1260</v>
      </c>
      <c r="U829" s="39" t="s">
        <v>1662</v>
      </c>
      <c r="V829" s="89" t="s">
        <v>272</v>
      </c>
      <c r="W829" s="89" t="s">
        <v>135</v>
      </c>
      <c r="X829" s="106" t="s">
        <v>295</v>
      </c>
      <c r="Y829" s="107" t="s">
        <v>12</v>
      </c>
      <c r="Z829" s="67">
        <f>IF(База_КР_КК[[#This Row],[Таб.номер резервиста]]="-","-",IF(OR(База_КР_КК[[#This Row],[Уровень КК]]=2,База_КР_КК[[#This Row],[Уровень КК]]=3),IF(COUNTIFS($U$2:$U829,$U829,$F$2:$F829,$F829)=1,1,0),IF(COUNTIFS($U$2:$U829,$U829,$L$2:$L829,$L829)=1,1,0)))</f>
        <v>0</v>
      </c>
      <c r="AA8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29" s="106"/>
      <c r="AC829" s="51"/>
      <c r="AD829" s="106" t="s">
        <v>17</v>
      </c>
      <c r="AE829" s="38" t="s">
        <v>413</v>
      </c>
    </row>
    <row r="830" spans="1:31" ht="18" customHeight="1" x14ac:dyDescent="0.25">
      <c r="A8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0" s="79">
        <v>4</v>
      </c>
      <c r="C830" s="23">
        <v>43733</v>
      </c>
      <c r="D830" s="67">
        <f>IF(COUNTIF($G$2:$G830,$G830)=1,1,0)</f>
        <v>0</v>
      </c>
      <c r="E830" s="67" t="str">
        <f>IFERROR(VLOOKUP(База_КР_КК[[#This Row],[ИД штатной должности (S)]],'уровень защищенности'!$B$7:$F$1095,5,0),"не защищена")</f>
        <v>высокий</v>
      </c>
      <c r="F830" s="68">
        <v>500662</v>
      </c>
      <c r="G830" s="74" t="s">
        <v>2328</v>
      </c>
      <c r="H830" s="181">
        <f>INDEX('Списки данных'!$D$2:$D$1048576,MATCH(База_КР_КК[[#This Row],[Структурное подразделение]],'Списки данных'!$C$2:$C$1048576,0))</f>
        <v>22</v>
      </c>
      <c r="I830" s="80" t="s">
        <v>135</v>
      </c>
      <c r="J830" s="80" t="s">
        <v>202</v>
      </c>
      <c r="K830" s="80" t="s">
        <v>203</v>
      </c>
      <c r="L830" s="30" t="s">
        <v>191</v>
      </c>
      <c r="M830" s="68">
        <v>6</v>
      </c>
      <c r="N830" s="181" t="str">
        <f t="shared" si="13"/>
        <v>да</v>
      </c>
      <c r="O830" s="23">
        <v>44789</v>
      </c>
      <c r="P830" s="23">
        <v>44908</v>
      </c>
      <c r="Q830" s="106" t="s">
        <v>66</v>
      </c>
      <c r="R830" s="37">
        <v>171</v>
      </c>
      <c r="S830" s="39" t="s">
        <v>583</v>
      </c>
      <c r="T830" s="37">
        <v>1261</v>
      </c>
      <c r="U830" s="39" t="s">
        <v>1663</v>
      </c>
      <c r="V830" s="89" t="s">
        <v>272</v>
      </c>
      <c r="W830" s="89" t="s">
        <v>135</v>
      </c>
      <c r="X830" s="106" t="s">
        <v>297</v>
      </c>
      <c r="Y830" s="107" t="s">
        <v>12</v>
      </c>
      <c r="Z830" s="67">
        <f>IF(База_КР_КК[[#This Row],[Таб.номер резервиста]]="-","-",IF(OR(База_КР_КК[[#This Row],[Уровень КК]]=2,База_КР_КК[[#This Row],[Уровень КК]]=3),IF(COUNTIFS($U$2:$U830,$U830,$F$2:$F830,$F830)=1,1,0),IF(COUNTIFS($U$2:$U830,$U830,$L$2:$L830,$L830)=1,1,0)))</f>
        <v>0</v>
      </c>
      <c r="AA8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30" s="106"/>
      <c r="AC830" s="51"/>
      <c r="AD830" s="106" t="s">
        <v>13</v>
      </c>
      <c r="AE830" s="38" t="s">
        <v>413</v>
      </c>
    </row>
    <row r="831" spans="1:31" ht="18" customHeight="1" x14ac:dyDescent="0.25">
      <c r="A8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1" s="79">
        <v>4</v>
      </c>
      <c r="C831" s="23">
        <v>44487</v>
      </c>
      <c r="D831" s="67">
        <f>IF(COUNTIF($G$2:$G831,$G831)=1,1,0)</f>
        <v>0</v>
      </c>
      <c r="E831" s="67" t="str">
        <f>IFERROR(VLOOKUP(База_КР_КК[[#This Row],[ИД штатной должности (S)]],'уровень защищенности'!$B$7:$F$1095,5,0),"не защищена")</f>
        <v>высокий</v>
      </c>
      <c r="F831" s="68">
        <v>500662</v>
      </c>
      <c r="G831" s="74" t="s">
        <v>2328</v>
      </c>
      <c r="H831" s="181">
        <f>INDEX('Списки данных'!$D$2:$D$1048576,MATCH(База_КР_КК[[#This Row],[Структурное подразделение]],'Списки данных'!$C$2:$C$1048576,0))</f>
        <v>22</v>
      </c>
      <c r="I831" s="80" t="s">
        <v>135</v>
      </c>
      <c r="J831" s="80" t="s">
        <v>202</v>
      </c>
      <c r="K831" s="80" t="s">
        <v>203</v>
      </c>
      <c r="L831" s="30" t="s">
        <v>191</v>
      </c>
      <c r="M831" s="68">
        <v>6</v>
      </c>
      <c r="N831" s="181" t="str">
        <f t="shared" si="13"/>
        <v>да</v>
      </c>
      <c r="O831" s="23">
        <v>44789</v>
      </c>
      <c r="P831" s="23">
        <v>44908</v>
      </c>
      <c r="Q831" s="106" t="s">
        <v>66</v>
      </c>
      <c r="R831" s="37">
        <v>171</v>
      </c>
      <c r="S831" s="39" t="s">
        <v>583</v>
      </c>
      <c r="T831" s="37">
        <v>1262</v>
      </c>
      <c r="U831" s="39" t="s">
        <v>1664</v>
      </c>
      <c r="V831" s="89" t="s">
        <v>272</v>
      </c>
      <c r="W831" s="89" t="s">
        <v>135</v>
      </c>
      <c r="X831" s="106" t="s">
        <v>297</v>
      </c>
      <c r="Y831" s="107" t="s">
        <v>12</v>
      </c>
      <c r="Z831" s="67">
        <f>IF(База_КР_КК[[#This Row],[Таб.номер резервиста]]="-","-",IF(OR(База_КР_КК[[#This Row],[Уровень КК]]=2,База_КР_КК[[#This Row],[Уровень КК]]=3),IF(COUNTIFS($U$2:$U831,$U831,$F$2:$F831,$F831)=1,1,0),IF(COUNTIFS($U$2:$U831,$U831,$L$2:$L831,$L831)=1,1,0)))</f>
        <v>0</v>
      </c>
      <c r="AA8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31" s="106"/>
      <c r="AC831" s="51"/>
      <c r="AD831" s="106" t="s">
        <v>17</v>
      </c>
      <c r="AE831" s="33" t="s">
        <v>413</v>
      </c>
    </row>
    <row r="832" spans="1:31" ht="18" customHeight="1" x14ac:dyDescent="0.25">
      <c r="A8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2" s="79">
        <v>4</v>
      </c>
      <c r="C832" s="23">
        <v>44487</v>
      </c>
      <c r="D832" s="67">
        <f>IF(COUNTIF($G$2:$G832,$G832)=1,1,0)</f>
        <v>0</v>
      </c>
      <c r="E832" s="67" t="str">
        <f>IFERROR(VLOOKUP(База_КР_КК[[#This Row],[ИД штатной должности (S)]],'уровень защищенности'!$B$7:$F$1095,5,0),"не защищена")</f>
        <v>высокий</v>
      </c>
      <c r="F832" s="68">
        <v>500662</v>
      </c>
      <c r="G832" s="74" t="s">
        <v>2328</v>
      </c>
      <c r="H832" s="181">
        <f>INDEX('Списки данных'!$D$2:$D$1048576,MATCH(База_КР_КК[[#This Row],[Структурное подразделение]],'Списки данных'!$C$2:$C$1048576,0))</f>
        <v>22</v>
      </c>
      <c r="I832" s="80" t="s">
        <v>135</v>
      </c>
      <c r="J832" s="80" t="s">
        <v>202</v>
      </c>
      <c r="K832" s="80" t="s">
        <v>203</v>
      </c>
      <c r="L832" s="30" t="s">
        <v>191</v>
      </c>
      <c r="M832" s="68">
        <v>6</v>
      </c>
      <c r="N832" s="181" t="str">
        <f t="shared" si="13"/>
        <v>да</v>
      </c>
      <c r="O832" s="23">
        <v>44789</v>
      </c>
      <c r="P832" s="23">
        <v>44908</v>
      </c>
      <c r="Q832" s="106" t="s">
        <v>66</v>
      </c>
      <c r="R832" s="37">
        <v>171</v>
      </c>
      <c r="S832" s="39" t="s">
        <v>583</v>
      </c>
      <c r="T832" s="37">
        <v>1263</v>
      </c>
      <c r="U832" s="39" t="s">
        <v>1665</v>
      </c>
      <c r="V832" s="89" t="s">
        <v>272</v>
      </c>
      <c r="W832" s="89" t="s">
        <v>135</v>
      </c>
      <c r="X832" s="106" t="s">
        <v>295</v>
      </c>
      <c r="Y832" s="107" t="s">
        <v>12</v>
      </c>
      <c r="Z832" s="67">
        <f>IF(База_КР_КК[[#This Row],[Таб.номер резервиста]]="-","-",IF(OR(База_КР_КК[[#This Row],[Уровень КК]]=2,База_КР_КК[[#This Row],[Уровень КК]]=3),IF(COUNTIFS($U$2:$U832,$U832,$F$2:$F832,$F832)=1,1,0),IF(COUNTIFS($U$2:$U832,$U832,$L$2:$L832,$L832)=1,1,0)))</f>
        <v>0</v>
      </c>
      <c r="AA8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32" s="106"/>
      <c r="AC832" s="51"/>
      <c r="AD832" s="106" t="s">
        <v>17</v>
      </c>
      <c r="AE832" s="33" t="s">
        <v>413</v>
      </c>
    </row>
    <row r="833" spans="1:31" ht="18" customHeight="1" x14ac:dyDescent="0.25">
      <c r="A8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3" s="79">
        <v>4</v>
      </c>
      <c r="C833" s="23">
        <v>44879</v>
      </c>
      <c r="D833" s="67">
        <f>IF(COUNTIF($G$2:$G833,$G833)=1,1,0)</f>
        <v>0</v>
      </c>
      <c r="E833" s="67" t="str">
        <f>IFERROR(VLOOKUP(База_КР_КК[[#This Row],[ИД штатной должности (S)]],'уровень защищенности'!$B$7:$F$1095,5,0),"не защищена")</f>
        <v>высокий</v>
      </c>
      <c r="F833" s="68">
        <v>500662</v>
      </c>
      <c r="G833" s="74" t="s">
        <v>2328</v>
      </c>
      <c r="H833" s="181">
        <f>INDEX('Списки данных'!$D$2:$D$1048576,MATCH(База_КР_КК[[#This Row],[Структурное подразделение]],'Списки данных'!$C$2:$C$1048576,0))</f>
        <v>22</v>
      </c>
      <c r="I833" s="80" t="s">
        <v>135</v>
      </c>
      <c r="J833" s="80" t="s">
        <v>202</v>
      </c>
      <c r="K833" s="80" t="s">
        <v>203</v>
      </c>
      <c r="L833" s="30" t="s">
        <v>191</v>
      </c>
      <c r="M833" s="68">
        <v>6</v>
      </c>
      <c r="N833" s="181" t="str">
        <f t="shared" ref="N833:N896" si="14">IF(ISBLANK(O833),"нет","да")</f>
        <v>да</v>
      </c>
      <c r="O833" s="23">
        <v>44789</v>
      </c>
      <c r="P833" s="23">
        <v>44908</v>
      </c>
      <c r="Q833" s="106" t="s">
        <v>66</v>
      </c>
      <c r="R833" s="37">
        <v>171</v>
      </c>
      <c r="S833" s="39" t="s">
        <v>583</v>
      </c>
      <c r="T833" s="37">
        <v>1264</v>
      </c>
      <c r="U833" s="38" t="s">
        <v>1666</v>
      </c>
      <c r="V833" s="69" t="s">
        <v>272</v>
      </c>
      <c r="W833" s="89" t="s">
        <v>135</v>
      </c>
      <c r="X833" s="106" t="s">
        <v>296</v>
      </c>
      <c r="Y833" s="107" t="s">
        <v>12</v>
      </c>
      <c r="Z833" s="67">
        <f>IF(База_КР_КК[[#This Row],[Таб.номер резервиста]]="-","-",IF(OR(База_КР_КК[[#This Row],[Уровень КК]]=2,База_КР_КК[[#This Row],[Уровень КК]]=3),IF(COUNTIFS($U$2:$U833,$U833,$F$2:$F833,$F833)=1,1,0),IF(COUNTIFS($U$2:$U833,$U833,$L$2:$L833,$L833)=1,1,0)))</f>
        <v>0</v>
      </c>
      <c r="AA8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33" s="106"/>
      <c r="AC833" s="51"/>
      <c r="AD833" s="106" t="s">
        <v>15</v>
      </c>
      <c r="AE833" s="33" t="s">
        <v>413</v>
      </c>
    </row>
    <row r="834" spans="1:31" ht="18" customHeight="1" x14ac:dyDescent="0.25">
      <c r="A8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4" s="79">
        <v>4</v>
      </c>
      <c r="C834" s="23">
        <v>44879</v>
      </c>
      <c r="D834" s="67">
        <f>IF(COUNTIF($G$2:$G834,$G834)=1,1,0)</f>
        <v>0</v>
      </c>
      <c r="E834" s="67" t="str">
        <f>IFERROR(VLOOKUP(База_КР_КК[[#This Row],[ИД штатной должности (S)]],'уровень защищенности'!$B$7:$F$1095,5,0),"не защищена")</f>
        <v>высокий</v>
      </c>
      <c r="F834" s="68">
        <v>500662</v>
      </c>
      <c r="G834" s="74" t="s">
        <v>2328</v>
      </c>
      <c r="H834" s="181">
        <f>INDEX('Списки данных'!$D$2:$D$1048576,MATCH(База_КР_КК[[#This Row],[Структурное подразделение]],'Списки данных'!$C$2:$C$1048576,0))</f>
        <v>22</v>
      </c>
      <c r="I834" s="80" t="s">
        <v>135</v>
      </c>
      <c r="J834" s="80" t="s">
        <v>202</v>
      </c>
      <c r="K834" s="80" t="s">
        <v>203</v>
      </c>
      <c r="L834" s="30" t="s">
        <v>191</v>
      </c>
      <c r="M834" s="68">
        <v>6</v>
      </c>
      <c r="N834" s="181" t="str">
        <f t="shared" si="14"/>
        <v>да</v>
      </c>
      <c r="O834" s="23">
        <v>44789</v>
      </c>
      <c r="P834" s="23">
        <v>44908</v>
      </c>
      <c r="Q834" s="106" t="s">
        <v>66</v>
      </c>
      <c r="R834" s="37">
        <v>171</v>
      </c>
      <c r="S834" s="39" t="s">
        <v>583</v>
      </c>
      <c r="T834" s="37">
        <v>1265</v>
      </c>
      <c r="U834" s="38" t="s">
        <v>1667</v>
      </c>
      <c r="V834" s="69" t="s">
        <v>272</v>
      </c>
      <c r="W834" s="89" t="s">
        <v>135</v>
      </c>
      <c r="X834" s="106" t="s">
        <v>296</v>
      </c>
      <c r="Y834" s="107" t="s">
        <v>12</v>
      </c>
      <c r="Z834" s="67">
        <f>IF(База_КР_КК[[#This Row],[Таб.номер резервиста]]="-","-",IF(OR(База_КР_КК[[#This Row],[Уровень КК]]=2,База_КР_КК[[#This Row],[Уровень КК]]=3),IF(COUNTIFS($U$2:$U834,$U834,$F$2:$F834,$F834)=1,1,0),IF(COUNTIFS($U$2:$U834,$U834,$L$2:$L834,$L834)=1,1,0)))</f>
        <v>0</v>
      </c>
      <c r="AA8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34" s="106"/>
      <c r="AC834" s="51"/>
      <c r="AD834" s="106" t="s">
        <v>15</v>
      </c>
      <c r="AE834" s="33" t="s">
        <v>413</v>
      </c>
    </row>
    <row r="835" spans="1:31" ht="18" customHeight="1" x14ac:dyDescent="0.25">
      <c r="A8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5" s="79">
        <v>4</v>
      </c>
      <c r="C835" s="23">
        <v>44879</v>
      </c>
      <c r="D835" s="67">
        <f>IF(COUNTIF($G$2:$G835,$G835)=1,1,0)</f>
        <v>0</v>
      </c>
      <c r="E835" s="67" t="str">
        <f>IFERROR(VLOOKUP(База_КР_КК[[#This Row],[ИД штатной должности (S)]],'уровень защищенности'!$B$7:$F$1095,5,0),"не защищена")</f>
        <v>высокий</v>
      </c>
      <c r="F835" s="68">
        <v>500662</v>
      </c>
      <c r="G835" s="74" t="s">
        <v>2328</v>
      </c>
      <c r="H835" s="181">
        <f>INDEX('Списки данных'!$D$2:$D$1048576,MATCH(База_КР_КК[[#This Row],[Структурное подразделение]],'Списки данных'!$C$2:$C$1048576,0))</f>
        <v>22</v>
      </c>
      <c r="I835" s="80" t="s">
        <v>135</v>
      </c>
      <c r="J835" s="80" t="s">
        <v>202</v>
      </c>
      <c r="K835" s="80" t="s">
        <v>203</v>
      </c>
      <c r="L835" s="30" t="s">
        <v>191</v>
      </c>
      <c r="M835" s="68">
        <v>6</v>
      </c>
      <c r="N835" s="181" t="str">
        <f t="shared" si="14"/>
        <v>да</v>
      </c>
      <c r="O835" s="23">
        <v>44789</v>
      </c>
      <c r="P835" s="23">
        <v>44908</v>
      </c>
      <c r="Q835" s="106" t="s">
        <v>66</v>
      </c>
      <c r="R835" s="37">
        <v>171</v>
      </c>
      <c r="S835" s="39" t="s">
        <v>583</v>
      </c>
      <c r="T835" s="37">
        <v>1266</v>
      </c>
      <c r="U835" s="38" t="s">
        <v>1668</v>
      </c>
      <c r="V835" s="69" t="s">
        <v>272</v>
      </c>
      <c r="W835" s="89" t="s">
        <v>135</v>
      </c>
      <c r="X835" s="106" t="s">
        <v>296</v>
      </c>
      <c r="Y835" s="107" t="s">
        <v>12</v>
      </c>
      <c r="Z835" s="67">
        <f>IF(База_КР_КК[[#This Row],[Таб.номер резервиста]]="-","-",IF(OR(База_КР_КК[[#This Row],[Уровень КК]]=2,База_КР_КК[[#This Row],[Уровень КК]]=3),IF(COUNTIFS($U$2:$U835,$U835,$F$2:$F835,$F835)=1,1,0),IF(COUNTIFS($U$2:$U835,$U835,$L$2:$L835,$L835)=1,1,0)))</f>
        <v>0</v>
      </c>
      <c r="AA8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35" s="106"/>
      <c r="AC835" s="51"/>
      <c r="AD835" s="106" t="s">
        <v>15</v>
      </c>
      <c r="AE835" s="33" t="s">
        <v>413</v>
      </c>
    </row>
    <row r="836" spans="1:31" ht="18" customHeight="1" x14ac:dyDescent="0.25">
      <c r="A8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6" s="79">
        <v>4</v>
      </c>
      <c r="C836" s="23">
        <v>44487</v>
      </c>
      <c r="D836" s="67">
        <f>IF(COUNTIF($G$2:$G836,$G836)=1,1,0)</f>
        <v>0</v>
      </c>
      <c r="E836" s="67" t="str">
        <f>IFERROR(VLOOKUP(База_КР_КК[[#This Row],[ИД штатной должности (S)]],'уровень защищенности'!$B$7:$F$1095,5,0),"не защищена")</f>
        <v>высокий</v>
      </c>
      <c r="F836" s="68">
        <v>500662</v>
      </c>
      <c r="G836" s="74" t="s">
        <v>2328</v>
      </c>
      <c r="H836" s="181">
        <f>INDEX('Списки данных'!$D$2:$D$1048576,MATCH(База_КР_КК[[#This Row],[Структурное подразделение]],'Списки данных'!$C$2:$C$1048576,0))</f>
        <v>22</v>
      </c>
      <c r="I836" s="80" t="s">
        <v>135</v>
      </c>
      <c r="J836" s="80" t="s">
        <v>202</v>
      </c>
      <c r="K836" s="80" t="s">
        <v>203</v>
      </c>
      <c r="L836" s="30" t="s">
        <v>191</v>
      </c>
      <c r="M836" s="68">
        <v>6</v>
      </c>
      <c r="N836" s="181" t="str">
        <f t="shared" si="14"/>
        <v>да</v>
      </c>
      <c r="O836" s="23">
        <v>44789</v>
      </c>
      <c r="P836" s="23">
        <v>44908</v>
      </c>
      <c r="Q836" s="106" t="s">
        <v>66</v>
      </c>
      <c r="R836" s="37">
        <v>171</v>
      </c>
      <c r="S836" s="39" t="s">
        <v>583</v>
      </c>
      <c r="T836" s="37">
        <v>171</v>
      </c>
      <c r="U836" s="39" t="s">
        <v>583</v>
      </c>
      <c r="V836" s="89" t="s">
        <v>192</v>
      </c>
      <c r="W836" s="89" t="s">
        <v>135</v>
      </c>
      <c r="X836" s="106" t="s">
        <v>295</v>
      </c>
      <c r="Y836" s="107" t="s">
        <v>14</v>
      </c>
      <c r="Z836" s="67">
        <f>IF(База_КР_КК[[#This Row],[Таб.номер резервиста]]="-","-",IF(OR(База_КР_КК[[#This Row],[Уровень КК]]=2,База_КР_КК[[#This Row],[Уровень КК]]=3),IF(COUNTIFS($U$2:$U836,$U836,$F$2:$F836,$F836)=1,1,0),IF(COUNTIFS($U$2:$U836,$U836,$L$2:$L836,$L836)=1,1,0)))</f>
        <v>0</v>
      </c>
      <c r="AA8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836" s="106" t="s">
        <v>24</v>
      </c>
      <c r="AC836" s="51">
        <v>44908</v>
      </c>
      <c r="AD836" s="106" t="s">
        <v>17</v>
      </c>
      <c r="AE836" s="33" t="s">
        <v>322</v>
      </c>
    </row>
    <row r="837" spans="1:31" ht="18" customHeight="1" x14ac:dyDescent="0.25">
      <c r="A8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7" s="79">
        <v>4</v>
      </c>
      <c r="C837" s="23">
        <v>43733</v>
      </c>
      <c r="D837" s="67">
        <f>IF(COUNTIF($G$2:$G837,$G837)=1,1,0)</f>
        <v>1</v>
      </c>
      <c r="E837" s="67" t="str">
        <f>IFERROR(VLOOKUP(База_КР_КК[[#This Row],[ИД штатной должности (S)]],'уровень защищенности'!$B$7:$F$1095,5,0),"не защищена")</f>
        <v>высокий</v>
      </c>
      <c r="F837" s="68">
        <v>500662</v>
      </c>
      <c r="G837" s="74" t="s">
        <v>2329</v>
      </c>
      <c r="H837" s="181">
        <f>INDEX('Списки данных'!$D$2:$D$1048576,MATCH(База_КР_КК[[#This Row],[Структурное подразделение]],'Списки данных'!$C$2:$C$1048576,0))</f>
        <v>22</v>
      </c>
      <c r="I837" s="80" t="s">
        <v>135</v>
      </c>
      <c r="J837" s="80" t="s">
        <v>202</v>
      </c>
      <c r="K837" s="80" t="s">
        <v>203</v>
      </c>
      <c r="L837" s="30" t="s">
        <v>191</v>
      </c>
      <c r="M837" s="68">
        <v>6</v>
      </c>
      <c r="N837" s="181" t="str">
        <f t="shared" si="14"/>
        <v>нет</v>
      </c>
      <c r="O837" s="23"/>
      <c r="P837" s="23"/>
      <c r="Q837" s="106"/>
      <c r="R837" s="37">
        <v>172</v>
      </c>
      <c r="S837" s="38" t="s">
        <v>584</v>
      </c>
      <c r="T837" s="37">
        <v>1256</v>
      </c>
      <c r="U837" s="39" t="s">
        <v>1658</v>
      </c>
      <c r="V837" s="89" t="s">
        <v>272</v>
      </c>
      <c r="W837" s="89" t="s">
        <v>135</v>
      </c>
      <c r="X837" s="106" t="s">
        <v>295</v>
      </c>
      <c r="Y837" s="107" t="s">
        <v>12</v>
      </c>
      <c r="Z837" s="67">
        <f>IF(База_КР_КК[[#This Row],[Таб.номер резервиста]]="-","-",IF(OR(База_КР_КК[[#This Row],[Уровень КК]]=2,База_КР_КК[[#This Row],[Уровень КК]]=3),IF(COUNTIFS($U$2:$U837,$U837,$F$2:$F837,$F837)=1,1,0),IF(COUNTIFS($U$2:$U837,$U837,$L$2:$L837,$L837)=1,1,0)))</f>
        <v>0</v>
      </c>
      <c r="AA8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37" s="106"/>
      <c r="AC837" s="51"/>
      <c r="AD837" s="106" t="s">
        <v>13</v>
      </c>
      <c r="AE837" s="38" t="s">
        <v>413</v>
      </c>
    </row>
    <row r="838" spans="1:31" ht="18" customHeight="1" x14ac:dyDescent="0.25">
      <c r="A8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8" s="79">
        <v>4</v>
      </c>
      <c r="C838" s="23">
        <v>43733</v>
      </c>
      <c r="D838" s="67">
        <f>IF(COUNTIF($G$2:$G838,$G838)=1,1,0)</f>
        <v>0</v>
      </c>
      <c r="E838" s="67" t="str">
        <f>IFERROR(VLOOKUP(База_КР_КК[[#This Row],[ИД штатной должности (S)]],'уровень защищенности'!$B$7:$F$1095,5,0),"не защищена")</f>
        <v>высокий</v>
      </c>
      <c r="F838" s="68">
        <v>500662</v>
      </c>
      <c r="G838" s="74" t="s">
        <v>2329</v>
      </c>
      <c r="H838" s="181">
        <f>INDEX('Списки данных'!$D$2:$D$1048576,MATCH(База_КР_КК[[#This Row],[Структурное подразделение]],'Списки данных'!$C$2:$C$1048576,0))</f>
        <v>22</v>
      </c>
      <c r="I838" s="80" t="s">
        <v>135</v>
      </c>
      <c r="J838" s="80" t="s">
        <v>202</v>
      </c>
      <c r="K838" s="80" t="s">
        <v>203</v>
      </c>
      <c r="L838" s="30" t="s">
        <v>191</v>
      </c>
      <c r="M838" s="68">
        <v>6</v>
      </c>
      <c r="N838" s="181" t="str">
        <f t="shared" si="14"/>
        <v>нет</v>
      </c>
      <c r="O838" s="23"/>
      <c r="P838" s="23"/>
      <c r="Q838" s="106"/>
      <c r="R838" s="37">
        <v>172</v>
      </c>
      <c r="S838" s="38" t="s">
        <v>584</v>
      </c>
      <c r="T838" s="37">
        <v>1257</v>
      </c>
      <c r="U838" s="39" t="s">
        <v>1659</v>
      </c>
      <c r="V838" s="89" t="s">
        <v>272</v>
      </c>
      <c r="W838" s="89" t="s">
        <v>135</v>
      </c>
      <c r="X838" s="106" t="s">
        <v>295</v>
      </c>
      <c r="Y838" s="107" t="s">
        <v>12</v>
      </c>
      <c r="Z838" s="67">
        <f>IF(База_КР_КК[[#This Row],[Таб.номер резервиста]]="-","-",IF(OR(База_КР_КК[[#This Row],[Уровень КК]]=2,База_КР_КК[[#This Row],[Уровень КК]]=3),IF(COUNTIFS($U$2:$U838,$U838,$F$2:$F838,$F838)=1,1,0),IF(COUNTIFS($U$2:$U838,$U838,$L$2:$L838,$L838)=1,1,0)))</f>
        <v>0</v>
      </c>
      <c r="AA8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38" s="106"/>
      <c r="AC838" s="51"/>
      <c r="AD838" s="106" t="s">
        <v>13</v>
      </c>
      <c r="AE838" s="38" t="s">
        <v>413</v>
      </c>
    </row>
    <row r="839" spans="1:31" ht="18" customHeight="1" x14ac:dyDescent="0.25">
      <c r="A8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39" s="79">
        <v>4</v>
      </c>
      <c r="C839" s="23">
        <v>43733</v>
      </c>
      <c r="D839" s="67">
        <f>IF(COUNTIF($G$2:$G839,$G839)=1,1,0)</f>
        <v>0</v>
      </c>
      <c r="E839" s="67" t="str">
        <f>IFERROR(VLOOKUP(База_КР_КК[[#This Row],[ИД штатной должности (S)]],'уровень защищенности'!$B$7:$F$1095,5,0),"не защищена")</f>
        <v>высокий</v>
      </c>
      <c r="F839" s="68">
        <v>500662</v>
      </c>
      <c r="G839" s="74" t="s">
        <v>2329</v>
      </c>
      <c r="H839" s="181">
        <f>INDEX('Списки данных'!$D$2:$D$1048576,MATCH(База_КР_КК[[#This Row],[Структурное подразделение]],'Списки данных'!$C$2:$C$1048576,0))</f>
        <v>22</v>
      </c>
      <c r="I839" s="80" t="s">
        <v>135</v>
      </c>
      <c r="J839" s="80" t="s">
        <v>202</v>
      </c>
      <c r="K839" s="80" t="s">
        <v>203</v>
      </c>
      <c r="L839" s="30" t="s">
        <v>191</v>
      </c>
      <c r="M839" s="68">
        <v>6</v>
      </c>
      <c r="N839" s="181" t="str">
        <f t="shared" si="14"/>
        <v>нет</v>
      </c>
      <c r="O839" s="23"/>
      <c r="P839" s="23"/>
      <c r="Q839" s="106"/>
      <c r="R839" s="37">
        <v>172</v>
      </c>
      <c r="S839" s="38" t="s">
        <v>584</v>
      </c>
      <c r="T839" s="37">
        <v>1258</v>
      </c>
      <c r="U839" s="39" t="s">
        <v>1660</v>
      </c>
      <c r="V839" s="89" t="s">
        <v>272</v>
      </c>
      <c r="W839" s="89" t="s">
        <v>135</v>
      </c>
      <c r="X839" s="106" t="s">
        <v>295</v>
      </c>
      <c r="Y839" s="107" t="s">
        <v>12</v>
      </c>
      <c r="Z839" s="67">
        <f>IF(База_КР_КК[[#This Row],[Таб.номер резервиста]]="-","-",IF(OR(База_КР_КК[[#This Row],[Уровень КК]]=2,База_КР_КК[[#This Row],[Уровень КК]]=3),IF(COUNTIFS($U$2:$U839,$U839,$F$2:$F839,$F839)=1,1,0),IF(COUNTIFS($U$2:$U839,$U839,$L$2:$L839,$L839)=1,1,0)))</f>
        <v>0</v>
      </c>
      <c r="AA8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39" s="106"/>
      <c r="AC839" s="51"/>
      <c r="AD839" s="106" t="s">
        <v>13</v>
      </c>
      <c r="AE839" s="38" t="s">
        <v>413</v>
      </c>
    </row>
    <row r="840" spans="1:31" ht="18" customHeight="1" x14ac:dyDescent="0.25">
      <c r="A8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0" s="79">
        <v>4</v>
      </c>
      <c r="C840" s="23">
        <v>43733</v>
      </c>
      <c r="D840" s="67">
        <f>IF(COUNTIF($G$2:$G840,$G840)=1,1,0)</f>
        <v>0</v>
      </c>
      <c r="E840" s="67" t="str">
        <f>IFERROR(VLOOKUP(База_КР_КК[[#This Row],[ИД штатной должности (S)]],'уровень защищенности'!$B$7:$F$1095,5,0),"не защищена")</f>
        <v>высокий</v>
      </c>
      <c r="F840" s="68">
        <v>500662</v>
      </c>
      <c r="G840" s="74" t="s">
        <v>2329</v>
      </c>
      <c r="H840" s="181">
        <f>INDEX('Списки данных'!$D$2:$D$1048576,MATCH(База_КР_КК[[#This Row],[Структурное подразделение]],'Списки данных'!$C$2:$C$1048576,0))</f>
        <v>22</v>
      </c>
      <c r="I840" s="80" t="s">
        <v>135</v>
      </c>
      <c r="J840" s="80" t="s">
        <v>202</v>
      </c>
      <c r="K840" s="80" t="s">
        <v>203</v>
      </c>
      <c r="L840" s="30" t="s">
        <v>191</v>
      </c>
      <c r="M840" s="68">
        <v>6</v>
      </c>
      <c r="N840" s="181" t="str">
        <f t="shared" si="14"/>
        <v>нет</v>
      </c>
      <c r="O840" s="23"/>
      <c r="P840" s="23"/>
      <c r="Q840" s="106"/>
      <c r="R840" s="37">
        <v>172</v>
      </c>
      <c r="S840" s="38" t="s">
        <v>584</v>
      </c>
      <c r="T840" s="37">
        <v>1259</v>
      </c>
      <c r="U840" s="39" t="s">
        <v>1661</v>
      </c>
      <c r="V840" s="89" t="s">
        <v>272</v>
      </c>
      <c r="W840" s="89" t="s">
        <v>135</v>
      </c>
      <c r="X840" s="106" t="s">
        <v>297</v>
      </c>
      <c r="Y840" s="107" t="s">
        <v>12</v>
      </c>
      <c r="Z840" s="67">
        <f>IF(База_КР_КК[[#This Row],[Таб.номер резервиста]]="-","-",IF(OR(База_КР_КК[[#This Row],[Уровень КК]]=2,База_КР_КК[[#This Row],[Уровень КК]]=3),IF(COUNTIFS($U$2:$U840,$U840,$F$2:$F840,$F840)=1,1,0),IF(COUNTIFS($U$2:$U840,$U840,$L$2:$L840,$L840)=1,1,0)))</f>
        <v>0</v>
      </c>
      <c r="AA8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0" s="106"/>
      <c r="AC840" s="51"/>
      <c r="AD840" s="106" t="s">
        <v>22</v>
      </c>
      <c r="AE840" s="38" t="s">
        <v>413</v>
      </c>
    </row>
    <row r="841" spans="1:31" ht="18" customHeight="1" x14ac:dyDescent="0.25">
      <c r="A8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1" s="79">
        <v>4</v>
      </c>
      <c r="C841" s="23">
        <v>43733</v>
      </c>
      <c r="D841" s="67">
        <f>IF(COUNTIF($G$2:$G841,$G841)=1,1,0)</f>
        <v>0</v>
      </c>
      <c r="E841" s="67" t="str">
        <f>IFERROR(VLOOKUP(База_КР_КК[[#This Row],[ИД штатной должности (S)]],'уровень защищенности'!$B$7:$F$1095,5,0),"не защищена")</f>
        <v>высокий</v>
      </c>
      <c r="F841" s="68">
        <v>500662</v>
      </c>
      <c r="G841" s="74" t="s">
        <v>2329</v>
      </c>
      <c r="H841" s="181">
        <f>INDEX('Списки данных'!$D$2:$D$1048576,MATCH(База_КР_КК[[#This Row],[Структурное подразделение]],'Списки данных'!$C$2:$C$1048576,0))</f>
        <v>22</v>
      </c>
      <c r="I841" s="80" t="s">
        <v>135</v>
      </c>
      <c r="J841" s="80" t="s">
        <v>202</v>
      </c>
      <c r="K841" s="80" t="s">
        <v>203</v>
      </c>
      <c r="L841" s="30" t="s">
        <v>191</v>
      </c>
      <c r="M841" s="68">
        <v>6</v>
      </c>
      <c r="N841" s="181" t="str">
        <f t="shared" si="14"/>
        <v>нет</v>
      </c>
      <c r="O841" s="23"/>
      <c r="P841" s="23"/>
      <c r="Q841" s="106"/>
      <c r="R841" s="37">
        <v>172</v>
      </c>
      <c r="S841" s="38" t="s">
        <v>584</v>
      </c>
      <c r="T841" s="37">
        <v>1260</v>
      </c>
      <c r="U841" s="39" t="s">
        <v>1662</v>
      </c>
      <c r="V841" s="89" t="s">
        <v>272</v>
      </c>
      <c r="W841" s="89" t="s">
        <v>135</v>
      </c>
      <c r="X841" s="106" t="s">
        <v>295</v>
      </c>
      <c r="Y841" s="107" t="s">
        <v>12</v>
      </c>
      <c r="Z841" s="67">
        <f>IF(База_КР_КК[[#This Row],[Таб.номер резервиста]]="-","-",IF(OR(База_КР_КК[[#This Row],[Уровень КК]]=2,База_КР_КК[[#This Row],[Уровень КК]]=3),IF(COUNTIFS($U$2:$U841,$U841,$F$2:$F841,$F841)=1,1,0),IF(COUNTIFS($U$2:$U841,$U841,$L$2:$L841,$L841)=1,1,0)))</f>
        <v>0</v>
      </c>
      <c r="AA8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1" s="106"/>
      <c r="AC841" s="51"/>
      <c r="AD841" s="106" t="s">
        <v>17</v>
      </c>
      <c r="AE841" s="38" t="s">
        <v>413</v>
      </c>
    </row>
    <row r="842" spans="1:31" ht="18" customHeight="1" x14ac:dyDescent="0.25">
      <c r="A8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2" s="79">
        <v>4</v>
      </c>
      <c r="C842" s="23">
        <v>43733</v>
      </c>
      <c r="D842" s="67">
        <f>IF(COUNTIF($G$2:$G842,$G842)=1,1,0)</f>
        <v>0</v>
      </c>
      <c r="E842" s="67" t="str">
        <f>IFERROR(VLOOKUP(База_КР_КК[[#This Row],[ИД штатной должности (S)]],'уровень защищенности'!$B$7:$F$1095,5,0),"не защищена")</f>
        <v>высокий</v>
      </c>
      <c r="F842" s="68">
        <v>500662</v>
      </c>
      <c r="G842" s="74" t="s">
        <v>2329</v>
      </c>
      <c r="H842" s="181">
        <f>INDEX('Списки данных'!$D$2:$D$1048576,MATCH(База_КР_КК[[#This Row],[Структурное подразделение]],'Списки данных'!$C$2:$C$1048576,0))</f>
        <v>22</v>
      </c>
      <c r="I842" s="80" t="s">
        <v>135</v>
      </c>
      <c r="J842" s="80" t="s">
        <v>202</v>
      </c>
      <c r="K842" s="80" t="s">
        <v>203</v>
      </c>
      <c r="L842" s="30" t="s">
        <v>191</v>
      </c>
      <c r="M842" s="68">
        <v>6</v>
      </c>
      <c r="N842" s="181" t="str">
        <f t="shared" si="14"/>
        <v>нет</v>
      </c>
      <c r="O842" s="23"/>
      <c r="P842" s="23"/>
      <c r="Q842" s="106"/>
      <c r="R842" s="37">
        <v>172</v>
      </c>
      <c r="S842" s="38" t="s">
        <v>584</v>
      </c>
      <c r="T842" s="37">
        <v>1261</v>
      </c>
      <c r="U842" s="39" t="s">
        <v>1663</v>
      </c>
      <c r="V842" s="89" t="s">
        <v>272</v>
      </c>
      <c r="W842" s="89" t="s">
        <v>135</v>
      </c>
      <c r="X842" s="106" t="s">
        <v>297</v>
      </c>
      <c r="Y842" s="107" t="s">
        <v>12</v>
      </c>
      <c r="Z842" s="67">
        <f>IF(База_КР_КК[[#This Row],[Таб.номер резервиста]]="-","-",IF(OR(База_КР_КК[[#This Row],[Уровень КК]]=2,База_КР_КК[[#This Row],[Уровень КК]]=3),IF(COUNTIFS($U$2:$U842,$U842,$F$2:$F842,$F842)=1,1,0),IF(COUNTIFS($U$2:$U842,$U842,$L$2:$L842,$L842)=1,1,0)))</f>
        <v>0</v>
      </c>
      <c r="AA8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2" s="106"/>
      <c r="AC842" s="51"/>
      <c r="AD842" s="106" t="s">
        <v>13</v>
      </c>
      <c r="AE842" s="38" t="s">
        <v>413</v>
      </c>
    </row>
    <row r="843" spans="1:31" ht="18" customHeight="1" x14ac:dyDescent="0.25">
      <c r="A8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3" s="79">
        <v>4</v>
      </c>
      <c r="C843" s="23">
        <v>44487</v>
      </c>
      <c r="D843" s="67">
        <f>IF(COUNTIF($G$2:$G843,$G843)=1,1,0)</f>
        <v>0</v>
      </c>
      <c r="E843" s="67" t="str">
        <f>IFERROR(VLOOKUP(База_КР_КК[[#This Row],[ИД штатной должности (S)]],'уровень защищенности'!$B$7:$F$1095,5,0),"не защищена")</f>
        <v>высокий</v>
      </c>
      <c r="F843" s="68">
        <v>500662</v>
      </c>
      <c r="G843" s="74" t="s">
        <v>2329</v>
      </c>
      <c r="H843" s="181">
        <f>INDEX('Списки данных'!$D$2:$D$1048576,MATCH(База_КР_КК[[#This Row],[Структурное подразделение]],'Списки данных'!$C$2:$C$1048576,0))</f>
        <v>22</v>
      </c>
      <c r="I843" s="80" t="s">
        <v>135</v>
      </c>
      <c r="J843" s="80" t="s">
        <v>202</v>
      </c>
      <c r="K843" s="80" t="s">
        <v>203</v>
      </c>
      <c r="L843" s="30" t="s">
        <v>191</v>
      </c>
      <c r="M843" s="68">
        <v>6</v>
      </c>
      <c r="N843" s="181" t="str">
        <f t="shared" si="14"/>
        <v>нет</v>
      </c>
      <c r="O843" s="23"/>
      <c r="P843" s="23"/>
      <c r="Q843" s="106"/>
      <c r="R843" s="37">
        <v>172</v>
      </c>
      <c r="S843" s="38" t="s">
        <v>584</v>
      </c>
      <c r="T843" s="37">
        <v>1262</v>
      </c>
      <c r="U843" s="39" t="s">
        <v>1664</v>
      </c>
      <c r="V843" s="89" t="s">
        <v>272</v>
      </c>
      <c r="W843" s="89" t="s">
        <v>135</v>
      </c>
      <c r="X843" s="106" t="s">
        <v>297</v>
      </c>
      <c r="Y843" s="107" t="s">
        <v>12</v>
      </c>
      <c r="Z843" s="67">
        <f>IF(База_КР_КК[[#This Row],[Таб.номер резервиста]]="-","-",IF(OR(База_КР_КК[[#This Row],[Уровень КК]]=2,База_КР_КК[[#This Row],[Уровень КК]]=3),IF(COUNTIFS($U$2:$U843,$U843,$F$2:$F843,$F843)=1,1,0),IF(COUNTIFS($U$2:$U843,$U843,$L$2:$L843,$L843)=1,1,0)))</f>
        <v>0</v>
      </c>
      <c r="AA8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3" s="106"/>
      <c r="AC843" s="51"/>
      <c r="AD843" s="106" t="s">
        <v>17</v>
      </c>
      <c r="AE843" s="33" t="s">
        <v>413</v>
      </c>
    </row>
    <row r="844" spans="1:31" ht="18" customHeight="1" x14ac:dyDescent="0.25">
      <c r="A8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4" s="79">
        <v>4</v>
      </c>
      <c r="C844" s="23">
        <v>44487</v>
      </c>
      <c r="D844" s="67">
        <f>IF(COUNTIF($G$2:$G844,$G844)=1,1,0)</f>
        <v>0</v>
      </c>
      <c r="E844" s="67" t="str">
        <f>IFERROR(VLOOKUP(База_КР_КК[[#This Row],[ИД штатной должности (S)]],'уровень защищенности'!$B$7:$F$1095,5,0),"не защищена")</f>
        <v>высокий</v>
      </c>
      <c r="F844" s="68">
        <v>500662</v>
      </c>
      <c r="G844" s="74" t="s">
        <v>2329</v>
      </c>
      <c r="H844" s="181">
        <f>INDEX('Списки данных'!$D$2:$D$1048576,MATCH(База_КР_КК[[#This Row],[Структурное подразделение]],'Списки данных'!$C$2:$C$1048576,0))</f>
        <v>22</v>
      </c>
      <c r="I844" s="80" t="s">
        <v>135</v>
      </c>
      <c r="J844" s="80" t="s">
        <v>202</v>
      </c>
      <c r="K844" s="80" t="s">
        <v>203</v>
      </c>
      <c r="L844" s="30" t="s">
        <v>191</v>
      </c>
      <c r="M844" s="68">
        <v>6</v>
      </c>
      <c r="N844" s="181" t="str">
        <f t="shared" si="14"/>
        <v>нет</v>
      </c>
      <c r="O844" s="23"/>
      <c r="P844" s="23"/>
      <c r="Q844" s="106"/>
      <c r="R844" s="37">
        <v>172</v>
      </c>
      <c r="S844" s="38" t="s">
        <v>584</v>
      </c>
      <c r="T844" s="37">
        <v>1263</v>
      </c>
      <c r="U844" s="39" t="s">
        <v>1665</v>
      </c>
      <c r="V844" s="89" t="s">
        <v>272</v>
      </c>
      <c r="W844" s="89" t="s">
        <v>135</v>
      </c>
      <c r="X844" s="106" t="s">
        <v>295</v>
      </c>
      <c r="Y844" s="107" t="s">
        <v>12</v>
      </c>
      <c r="Z844" s="67">
        <f>IF(База_КР_КК[[#This Row],[Таб.номер резервиста]]="-","-",IF(OR(База_КР_КК[[#This Row],[Уровень КК]]=2,База_КР_КК[[#This Row],[Уровень КК]]=3),IF(COUNTIFS($U$2:$U844,$U844,$F$2:$F844,$F844)=1,1,0),IF(COUNTIFS($U$2:$U844,$U844,$L$2:$L844,$L844)=1,1,0)))</f>
        <v>0</v>
      </c>
      <c r="AA8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4" s="106"/>
      <c r="AC844" s="51"/>
      <c r="AD844" s="106" t="s">
        <v>17</v>
      </c>
      <c r="AE844" s="33" t="s">
        <v>413</v>
      </c>
    </row>
    <row r="845" spans="1:31" ht="18" customHeight="1" x14ac:dyDescent="0.25">
      <c r="A8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5" s="79">
        <v>4</v>
      </c>
      <c r="C845" s="23">
        <v>44879</v>
      </c>
      <c r="D845" s="67">
        <f>IF(COUNTIF($G$2:$G845,$G845)=1,1,0)</f>
        <v>0</v>
      </c>
      <c r="E845" s="67" t="str">
        <f>IFERROR(VLOOKUP(База_КР_КК[[#This Row],[ИД штатной должности (S)]],'уровень защищенности'!$B$7:$F$1095,5,0),"не защищена")</f>
        <v>высокий</v>
      </c>
      <c r="F845" s="68">
        <v>500662</v>
      </c>
      <c r="G845" s="74" t="s">
        <v>2329</v>
      </c>
      <c r="H845" s="181">
        <f>INDEX('Списки данных'!$D$2:$D$1048576,MATCH(База_КР_КК[[#This Row],[Структурное подразделение]],'Списки данных'!$C$2:$C$1048576,0))</f>
        <v>22</v>
      </c>
      <c r="I845" s="80" t="s">
        <v>135</v>
      </c>
      <c r="J845" s="80" t="s">
        <v>202</v>
      </c>
      <c r="K845" s="80" t="s">
        <v>203</v>
      </c>
      <c r="L845" s="30" t="s">
        <v>191</v>
      </c>
      <c r="M845" s="68">
        <v>6</v>
      </c>
      <c r="N845" s="181" t="str">
        <f t="shared" si="14"/>
        <v>нет</v>
      </c>
      <c r="O845" s="23"/>
      <c r="P845" s="23"/>
      <c r="Q845" s="106"/>
      <c r="R845" s="37">
        <v>172</v>
      </c>
      <c r="S845" s="39" t="s">
        <v>584</v>
      </c>
      <c r="T845" s="37">
        <v>1264</v>
      </c>
      <c r="U845" s="38" t="s">
        <v>1666</v>
      </c>
      <c r="V845" s="69" t="s">
        <v>272</v>
      </c>
      <c r="W845" s="89" t="s">
        <v>135</v>
      </c>
      <c r="X845" s="106" t="s">
        <v>296</v>
      </c>
      <c r="Y845" s="107" t="s">
        <v>12</v>
      </c>
      <c r="Z845" s="67">
        <f>IF(База_КР_КК[[#This Row],[Таб.номер резервиста]]="-","-",IF(OR(База_КР_КК[[#This Row],[Уровень КК]]=2,База_КР_КК[[#This Row],[Уровень КК]]=3),IF(COUNTIFS($U$2:$U845,$U845,$F$2:$F845,$F845)=1,1,0),IF(COUNTIFS($U$2:$U845,$U845,$L$2:$L845,$L845)=1,1,0)))</f>
        <v>0</v>
      </c>
      <c r="AA8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5" s="106"/>
      <c r="AC845" s="51"/>
      <c r="AD845" s="106" t="s">
        <v>15</v>
      </c>
      <c r="AE845" s="33" t="s">
        <v>413</v>
      </c>
    </row>
    <row r="846" spans="1:31" ht="18" customHeight="1" x14ac:dyDescent="0.25">
      <c r="A8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6" s="79">
        <v>4</v>
      </c>
      <c r="C846" s="23">
        <v>44879</v>
      </c>
      <c r="D846" s="67">
        <f>IF(COUNTIF($G$2:$G846,$G846)=1,1,0)</f>
        <v>0</v>
      </c>
      <c r="E846" s="67" t="str">
        <f>IFERROR(VLOOKUP(База_КР_КК[[#This Row],[ИД штатной должности (S)]],'уровень защищенности'!$B$7:$F$1095,5,0),"не защищена")</f>
        <v>высокий</v>
      </c>
      <c r="F846" s="68">
        <v>500662</v>
      </c>
      <c r="G846" s="74" t="s">
        <v>2329</v>
      </c>
      <c r="H846" s="181">
        <f>INDEX('Списки данных'!$D$2:$D$1048576,MATCH(База_КР_КК[[#This Row],[Структурное подразделение]],'Списки данных'!$C$2:$C$1048576,0))</f>
        <v>22</v>
      </c>
      <c r="I846" s="80" t="s">
        <v>135</v>
      </c>
      <c r="J846" s="80" t="s">
        <v>202</v>
      </c>
      <c r="K846" s="80" t="s">
        <v>203</v>
      </c>
      <c r="L846" s="30" t="s">
        <v>191</v>
      </c>
      <c r="M846" s="68">
        <v>6</v>
      </c>
      <c r="N846" s="181" t="str">
        <f t="shared" si="14"/>
        <v>нет</v>
      </c>
      <c r="O846" s="23"/>
      <c r="P846" s="23"/>
      <c r="Q846" s="106"/>
      <c r="R846" s="37">
        <v>172</v>
      </c>
      <c r="S846" s="39" t="s">
        <v>584</v>
      </c>
      <c r="T846" s="37">
        <v>1265</v>
      </c>
      <c r="U846" s="38" t="s">
        <v>1667</v>
      </c>
      <c r="V846" s="69" t="s">
        <v>272</v>
      </c>
      <c r="W846" s="89" t="s">
        <v>135</v>
      </c>
      <c r="X846" s="106" t="s">
        <v>296</v>
      </c>
      <c r="Y846" s="107" t="s">
        <v>12</v>
      </c>
      <c r="Z846" s="67">
        <f>IF(База_КР_КК[[#This Row],[Таб.номер резервиста]]="-","-",IF(OR(База_КР_КК[[#This Row],[Уровень КК]]=2,База_КР_КК[[#This Row],[Уровень КК]]=3),IF(COUNTIFS($U$2:$U846,$U846,$F$2:$F846,$F846)=1,1,0),IF(COUNTIFS($U$2:$U846,$U846,$L$2:$L846,$L846)=1,1,0)))</f>
        <v>0</v>
      </c>
      <c r="AA8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6" s="106"/>
      <c r="AC846" s="51"/>
      <c r="AD846" s="106" t="s">
        <v>15</v>
      </c>
      <c r="AE846" s="33" t="s">
        <v>413</v>
      </c>
    </row>
    <row r="847" spans="1:31" ht="18" customHeight="1" x14ac:dyDescent="0.25">
      <c r="A8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7" s="79">
        <v>4</v>
      </c>
      <c r="C847" s="23">
        <v>44879</v>
      </c>
      <c r="D847" s="67">
        <f>IF(COUNTIF($G$2:$G847,$G847)=1,1,0)</f>
        <v>0</v>
      </c>
      <c r="E847" s="67" t="str">
        <f>IFERROR(VLOOKUP(База_КР_КК[[#This Row],[ИД штатной должности (S)]],'уровень защищенности'!$B$7:$F$1095,5,0),"не защищена")</f>
        <v>высокий</v>
      </c>
      <c r="F847" s="68">
        <v>500662</v>
      </c>
      <c r="G847" s="74" t="s">
        <v>2329</v>
      </c>
      <c r="H847" s="181">
        <f>INDEX('Списки данных'!$D$2:$D$1048576,MATCH(База_КР_КК[[#This Row],[Структурное подразделение]],'Списки данных'!$C$2:$C$1048576,0))</f>
        <v>22</v>
      </c>
      <c r="I847" s="80" t="s">
        <v>135</v>
      </c>
      <c r="J847" s="80" t="s">
        <v>202</v>
      </c>
      <c r="K847" s="80" t="s">
        <v>203</v>
      </c>
      <c r="L847" s="30" t="s">
        <v>191</v>
      </c>
      <c r="M847" s="68">
        <v>6</v>
      </c>
      <c r="N847" s="181" t="str">
        <f t="shared" si="14"/>
        <v>нет</v>
      </c>
      <c r="O847" s="23"/>
      <c r="P847" s="23"/>
      <c r="Q847" s="106"/>
      <c r="R847" s="37">
        <v>172</v>
      </c>
      <c r="S847" s="39" t="s">
        <v>584</v>
      </c>
      <c r="T847" s="37">
        <v>1266</v>
      </c>
      <c r="U847" s="38" t="s">
        <v>1668</v>
      </c>
      <c r="V847" s="69" t="s">
        <v>272</v>
      </c>
      <c r="W847" s="89" t="s">
        <v>135</v>
      </c>
      <c r="X847" s="106" t="s">
        <v>296</v>
      </c>
      <c r="Y847" s="107" t="s">
        <v>12</v>
      </c>
      <c r="Z847" s="67">
        <f>IF(База_КР_КК[[#This Row],[Таб.номер резервиста]]="-","-",IF(OR(База_КР_КК[[#This Row],[Уровень КК]]=2,База_КР_КК[[#This Row],[Уровень КК]]=3),IF(COUNTIFS($U$2:$U847,$U847,$F$2:$F847,$F847)=1,1,0),IF(COUNTIFS($U$2:$U847,$U847,$L$2:$L847,$L847)=1,1,0)))</f>
        <v>0</v>
      </c>
      <c r="AA8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7" s="106"/>
      <c r="AC847" s="51"/>
      <c r="AD847" s="106" t="s">
        <v>15</v>
      </c>
      <c r="AE847" s="33" t="s">
        <v>413</v>
      </c>
    </row>
    <row r="848" spans="1:31" ht="18" customHeight="1" x14ac:dyDescent="0.25">
      <c r="A8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8" s="79">
        <v>4</v>
      </c>
      <c r="C848" s="23">
        <v>44487</v>
      </c>
      <c r="D848" s="67">
        <f>IF(COUNTIF($G$2:$G848,$G848)=1,1,0)</f>
        <v>0</v>
      </c>
      <c r="E848" s="67" t="str">
        <f>IFERROR(VLOOKUP(База_КР_КК[[#This Row],[ИД штатной должности (S)]],'уровень защищенности'!$B$7:$F$1095,5,0),"не защищена")</f>
        <v>высокий</v>
      </c>
      <c r="F848" s="68">
        <v>500662</v>
      </c>
      <c r="G848" s="74" t="s">
        <v>2329</v>
      </c>
      <c r="H848" s="181">
        <f>INDEX('Списки данных'!$D$2:$D$1048576,MATCH(База_КР_КК[[#This Row],[Структурное подразделение]],'Списки данных'!$C$2:$C$1048576,0))</f>
        <v>22</v>
      </c>
      <c r="I848" s="80" t="s">
        <v>135</v>
      </c>
      <c r="J848" s="80" t="s">
        <v>202</v>
      </c>
      <c r="K848" s="80" t="s">
        <v>203</v>
      </c>
      <c r="L848" s="30" t="s">
        <v>191</v>
      </c>
      <c r="M848" s="68">
        <v>6</v>
      </c>
      <c r="N848" s="181" t="str">
        <f t="shared" si="14"/>
        <v>нет</v>
      </c>
      <c r="O848" s="23"/>
      <c r="P848" s="23"/>
      <c r="Q848" s="106"/>
      <c r="R848" s="37">
        <v>172</v>
      </c>
      <c r="S848" s="38" t="s">
        <v>584</v>
      </c>
      <c r="T848" s="37">
        <v>171</v>
      </c>
      <c r="U848" s="39" t="s">
        <v>583</v>
      </c>
      <c r="V848" s="89" t="s">
        <v>192</v>
      </c>
      <c r="W848" s="89" t="s">
        <v>135</v>
      </c>
      <c r="X848" s="106" t="s">
        <v>295</v>
      </c>
      <c r="Y848" s="107" t="s">
        <v>14</v>
      </c>
      <c r="Z848" s="67">
        <f>IF(База_КР_КК[[#This Row],[Таб.номер резервиста]]="-","-",IF(OR(База_КР_КК[[#This Row],[Уровень КК]]=2,База_КР_КК[[#This Row],[Уровень КК]]=3),IF(COUNTIFS($U$2:$U848,$U848,$F$2:$F848,$F848)=1,1,0),IF(COUNTIFS($U$2:$U848,$U848,$L$2:$L848,$L848)=1,1,0)))</f>
        <v>0</v>
      </c>
      <c r="AA8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8" s="106" t="s">
        <v>24</v>
      </c>
      <c r="AC848" s="51">
        <v>44908</v>
      </c>
      <c r="AD848" s="106" t="s">
        <v>17</v>
      </c>
      <c r="AE848" s="33" t="s">
        <v>322</v>
      </c>
    </row>
    <row r="849" spans="1:31" ht="18" customHeight="1" x14ac:dyDescent="0.25">
      <c r="A8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49" s="79">
        <v>4</v>
      </c>
      <c r="C849" s="23">
        <v>43733</v>
      </c>
      <c r="D849" s="67">
        <f>IF(COUNTIF($G$2:$G849,$G849)=1,1,0)</f>
        <v>1</v>
      </c>
      <c r="E849" s="67" t="str">
        <f>IFERROR(VLOOKUP(База_КР_КК[[#This Row],[ИД штатной должности (S)]],'уровень защищенности'!$B$7:$F$1095,5,0),"не защищена")</f>
        <v>высокий</v>
      </c>
      <c r="F849" s="68">
        <v>500662</v>
      </c>
      <c r="G849" s="74" t="s">
        <v>2330</v>
      </c>
      <c r="H849" s="181">
        <f>INDEX('Списки данных'!$D$2:$D$1048576,MATCH(База_КР_КК[[#This Row],[Структурное подразделение]],'Списки данных'!$C$2:$C$1048576,0))</f>
        <v>22</v>
      </c>
      <c r="I849" s="80" t="s">
        <v>135</v>
      </c>
      <c r="J849" s="80" t="s">
        <v>202</v>
      </c>
      <c r="K849" s="80" t="s">
        <v>203</v>
      </c>
      <c r="L849" s="30" t="s">
        <v>191</v>
      </c>
      <c r="M849" s="68">
        <v>6</v>
      </c>
      <c r="N849" s="181" t="str">
        <f t="shared" si="14"/>
        <v>нет</v>
      </c>
      <c r="O849" s="23"/>
      <c r="P849" s="23"/>
      <c r="Q849" s="106"/>
      <c r="R849" s="37">
        <v>173</v>
      </c>
      <c r="S849" s="38" t="s">
        <v>585</v>
      </c>
      <c r="T849" s="37">
        <v>1256</v>
      </c>
      <c r="U849" s="39" t="s">
        <v>1658</v>
      </c>
      <c r="V849" s="89" t="s">
        <v>272</v>
      </c>
      <c r="W849" s="89" t="s">
        <v>135</v>
      </c>
      <c r="X849" s="106" t="s">
        <v>295</v>
      </c>
      <c r="Y849" s="107" t="s">
        <v>12</v>
      </c>
      <c r="Z849" s="67">
        <f>IF(База_КР_КК[[#This Row],[Таб.номер резервиста]]="-","-",IF(OR(База_КР_КК[[#This Row],[Уровень КК]]=2,База_КР_КК[[#This Row],[Уровень КК]]=3),IF(COUNTIFS($U$2:$U849,$U849,$F$2:$F849,$F849)=1,1,0),IF(COUNTIFS($U$2:$U849,$U849,$L$2:$L849,$L849)=1,1,0)))</f>
        <v>0</v>
      </c>
      <c r="AA8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49" s="106"/>
      <c r="AC849" s="51"/>
      <c r="AD849" s="106" t="s">
        <v>13</v>
      </c>
      <c r="AE849" s="38" t="s">
        <v>413</v>
      </c>
    </row>
    <row r="850" spans="1:31" ht="18" customHeight="1" x14ac:dyDescent="0.25">
      <c r="A8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0" s="79">
        <v>4</v>
      </c>
      <c r="C850" s="23">
        <v>43733</v>
      </c>
      <c r="D850" s="67">
        <f>IF(COUNTIF($G$2:$G850,$G850)=1,1,0)</f>
        <v>0</v>
      </c>
      <c r="E850" s="67" t="str">
        <f>IFERROR(VLOOKUP(База_КР_КК[[#This Row],[ИД штатной должности (S)]],'уровень защищенности'!$B$7:$F$1095,5,0),"не защищена")</f>
        <v>высокий</v>
      </c>
      <c r="F850" s="68">
        <v>500662</v>
      </c>
      <c r="G850" s="74" t="s">
        <v>2330</v>
      </c>
      <c r="H850" s="181">
        <f>INDEX('Списки данных'!$D$2:$D$1048576,MATCH(База_КР_КК[[#This Row],[Структурное подразделение]],'Списки данных'!$C$2:$C$1048576,0))</f>
        <v>22</v>
      </c>
      <c r="I850" s="80" t="s">
        <v>135</v>
      </c>
      <c r="J850" s="80" t="s">
        <v>202</v>
      </c>
      <c r="K850" s="80" t="s">
        <v>203</v>
      </c>
      <c r="L850" s="30" t="s">
        <v>191</v>
      </c>
      <c r="M850" s="68">
        <v>6</v>
      </c>
      <c r="N850" s="181" t="str">
        <f t="shared" si="14"/>
        <v>нет</v>
      </c>
      <c r="O850" s="23"/>
      <c r="P850" s="23"/>
      <c r="Q850" s="106"/>
      <c r="R850" s="37">
        <v>173</v>
      </c>
      <c r="S850" s="38" t="s">
        <v>585</v>
      </c>
      <c r="T850" s="37">
        <v>1257</v>
      </c>
      <c r="U850" s="39" t="s">
        <v>1659</v>
      </c>
      <c r="V850" s="89" t="s">
        <v>272</v>
      </c>
      <c r="W850" s="89" t="s">
        <v>135</v>
      </c>
      <c r="X850" s="106" t="s">
        <v>295</v>
      </c>
      <c r="Y850" s="107" t="s">
        <v>12</v>
      </c>
      <c r="Z850" s="67">
        <f>IF(База_КР_КК[[#This Row],[Таб.номер резервиста]]="-","-",IF(OR(База_КР_КК[[#This Row],[Уровень КК]]=2,База_КР_КК[[#This Row],[Уровень КК]]=3),IF(COUNTIFS($U$2:$U850,$U850,$F$2:$F850,$F850)=1,1,0),IF(COUNTIFS($U$2:$U850,$U850,$L$2:$L850,$L850)=1,1,0)))</f>
        <v>0</v>
      </c>
      <c r="AA8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0" s="106"/>
      <c r="AC850" s="51"/>
      <c r="AD850" s="106" t="s">
        <v>13</v>
      </c>
      <c r="AE850" s="38" t="s">
        <v>413</v>
      </c>
    </row>
    <row r="851" spans="1:31" ht="18" customHeight="1" x14ac:dyDescent="0.25">
      <c r="A8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1" s="79">
        <v>4</v>
      </c>
      <c r="C851" s="23">
        <v>43733</v>
      </c>
      <c r="D851" s="67">
        <f>IF(COUNTIF($G$2:$G851,$G851)=1,1,0)</f>
        <v>0</v>
      </c>
      <c r="E851" s="67" t="str">
        <f>IFERROR(VLOOKUP(База_КР_КК[[#This Row],[ИД штатной должности (S)]],'уровень защищенности'!$B$7:$F$1095,5,0),"не защищена")</f>
        <v>высокий</v>
      </c>
      <c r="F851" s="68">
        <v>500662</v>
      </c>
      <c r="G851" s="74" t="s">
        <v>2330</v>
      </c>
      <c r="H851" s="181">
        <f>INDEX('Списки данных'!$D$2:$D$1048576,MATCH(База_КР_КК[[#This Row],[Структурное подразделение]],'Списки данных'!$C$2:$C$1048576,0))</f>
        <v>22</v>
      </c>
      <c r="I851" s="80" t="s">
        <v>135</v>
      </c>
      <c r="J851" s="80" t="s">
        <v>202</v>
      </c>
      <c r="K851" s="80" t="s">
        <v>203</v>
      </c>
      <c r="L851" s="30" t="s">
        <v>191</v>
      </c>
      <c r="M851" s="68">
        <v>6</v>
      </c>
      <c r="N851" s="181" t="str">
        <f t="shared" si="14"/>
        <v>нет</v>
      </c>
      <c r="O851" s="23"/>
      <c r="P851" s="23"/>
      <c r="Q851" s="106"/>
      <c r="R851" s="37">
        <v>173</v>
      </c>
      <c r="S851" s="38" t="s">
        <v>585</v>
      </c>
      <c r="T851" s="37">
        <v>1258</v>
      </c>
      <c r="U851" s="39" t="s">
        <v>1660</v>
      </c>
      <c r="V851" s="89" t="s">
        <v>272</v>
      </c>
      <c r="W851" s="89" t="s">
        <v>135</v>
      </c>
      <c r="X851" s="106" t="s">
        <v>295</v>
      </c>
      <c r="Y851" s="107" t="s">
        <v>12</v>
      </c>
      <c r="Z851" s="67">
        <f>IF(База_КР_КК[[#This Row],[Таб.номер резервиста]]="-","-",IF(OR(База_КР_КК[[#This Row],[Уровень КК]]=2,База_КР_КК[[#This Row],[Уровень КК]]=3),IF(COUNTIFS($U$2:$U851,$U851,$F$2:$F851,$F851)=1,1,0),IF(COUNTIFS($U$2:$U851,$U851,$L$2:$L851,$L851)=1,1,0)))</f>
        <v>0</v>
      </c>
      <c r="AA8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1" s="106"/>
      <c r="AC851" s="51"/>
      <c r="AD851" s="106" t="s">
        <v>13</v>
      </c>
      <c r="AE851" s="38" t="s">
        <v>413</v>
      </c>
    </row>
    <row r="852" spans="1:31" ht="18" customHeight="1" x14ac:dyDescent="0.25">
      <c r="A8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2" s="79">
        <v>4</v>
      </c>
      <c r="C852" s="23">
        <v>43733</v>
      </c>
      <c r="D852" s="67">
        <f>IF(COUNTIF($G$2:$G852,$G852)=1,1,0)</f>
        <v>0</v>
      </c>
      <c r="E852" s="67" t="str">
        <f>IFERROR(VLOOKUP(База_КР_КК[[#This Row],[ИД штатной должности (S)]],'уровень защищенности'!$B$7:$F$1095,5,0),"не защищена")</f>
        <v>высокий</v>
      </c>
      <c r="F852" s="68">
        <v>500662</v>
      </c>
      <c r="G852" s="74" t="s">
        <v>2330</v>
      </c>
      <c r="H852" s="181">
        <f>INDEX('Списки данных'!$D$2:$D$1048576,MATCH(База_КР_КК[[#This Row],[Структурное подразделение]],'Списки данных'!$C$2:$C$1048576,0))</f>
        <v>22</v>
      </c>
      <c r="I852" s="80" t="s">
        <v>135</v>
      </c>
      <c r="J852" s="80" t="s">
        <v>202</v>
      </c>
      <c r="K852" s="80" t="s">
        <v>203</v>
      </c>
      <c r="L852" s="30" t="s">
        <v>191</v>
      </c>
      <c r="M852" s="68">
        <v>6</v>
      </c>
      <c r="N852" s="181" t="str">
        <f t="shared" si="14"/>
        <v>нет</v>
      </c>
      <c r="O852" s="23"/>
      <c r="P852" s="23"/>
      <c r="Q852" s="106"/>
      <c r="R852" s="37">
        <v>173</v>
      </c>
      <c r="S852" s="38" t="s">
        <v>585</v>
      </c>
      <c r="T852" s="37">
        <v>1259</v>
      </c>
      <c r="U852" s="39" t="s">
        <v>1661</v>
      </c>
      <c r="V852" s="89" t="s">
        <v>272</v>
      </c>
      <c r="W852" s="89" t="s">
        <v>135</v>
      </c>
      <c r="X852" s="106" t="s">
        <v>297</v>
      </c>
      <c r="Y852" s="107" t="s">
        <v>12</v>
      </c>
      <c r="Z852" s="67">
        <f>IF(База_КР_КК[[#This Row],[Таб.номер резервиста]]="-","-",IF(OR(База_КР_КК[[#This Row],[Уровень КК]]=2,База_КР_КК[[#This Row],[Уровень КК]]=3),IF(COUNTIFS($U$2:$U852,$U852,$F$2:$F852,$F852)=1,1,0),IF(COUNTIFS($U$2:$U852,$U852,$L$2:$L852,$L852)=1,1,0)))</f>
        <v>0</v>
      </c>
      <c r="AA8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2" s="106"/>
      <c r="AC852" s="51"/>
      <c r="AD852" s="106" t="s">
        <v>22</v>
      </c>
      <c r="AE852" s="38" t="s">
        <v>413</v>
      </c>
    </row>
    <row r="853" spans="1:31" ht="18" customHeight="1" x14ac:dyDescent="0.25">
      <c r="A8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3" s="79">
        <v>4</v>
      </c>
      <c r="C853" s="23">
        <v>43733</v>
      </c>
      <c r="D853" s="67">
        <f>IF(COUNTIF($G$2:$G853,$G853)=1,1,0)</f>
        <v>0</v>
      </c>
      <c r="E853" s="67" t="str">
        <f>IFERROR(VLOOKUP(База_КР_КК[[#This Row],[ИД штатной должности (S)]],'уровень защищенности'!$B$7:$F$1095,5,0),"не защищена")</f>
        <v>высокий</v>
      </c>
      <c r="F853" s="68">
        <v>500662</v>
      </c>
      <c r="G853" s="74" t="s">
        <v>2330</v>
      </c>
      <c r="H853" s="181">
        <f>INDEX('Списки данных'!$D$2:$D$1048576,MATCH(База_КР_КК[[#This Row],[Структурное подразделение]],'Списки данных'!$C$2:$C$1048576,0))</f>
        <v>22</v>
      </c>
      <c r="I853" s="80" t="s">
        <v>135</v>
      </c>
      <c r="J853" s="80" t="s">
        <v>202</v>
      </c>
      <c r="K853" s="80" t="s">
        <v>203</v>
      </c>
      <c r="L853" s="30" t="s">
        <v>191</v>
      </c>
      <c r="M853" s="68">
        <v>6</v>
      </c>
      <c r="N853" s="181" t="str">
        <f t="shared" si="14"/>
        <v>нет</v>
      </c>
      <c r="O853" s="23"/>
      <c r="P853" s="23"/>
      <c r="Q853" s="106"/>
      <c r="R853" s="37">
        <v>173</v>
      </c>
      <c r="S853" s="38" t="s">
        <v>585</v>
      </c>
      <c r="T853" s="37">
        <v>1261</v>
      </c>
      <c r="U853" s="39" t="s">
        <v>1663</v>
      </c>
      <c r="V853" s="89" t="s">
        <v>272</v>
      </c>
      <c r="W853" s="89" t="s">
        <v>135</v>
      </c>
      <c r="X853" s="106" t="s">
        <v>297</v>
      </c>
      <c r="Y853" s="107" t="s">
        <v>12</v>
      </c>
      <c r="Z853" s="67">
        <f>IF(База_КР_КК[[#This Row],[Таб.номер резервиста]]="-","-",IF(OR(База_КР_КК[[#This Row],[Уровень КК]]=2,База_КР_КК[[#This Row],[Уровень КК]]=3),IF(COUNTIFS($U$2:$U853,$U853,$F$2:$F853,$F853)=1,1,0),IF(COUNTIFS($U$2:$U853,$U853,$L$2:$L853,$L853)=1,1,0)))</f>
        <v>0</v>
      </c>
      <c r="AA8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3" s="106"/>
      <c r="AC853" s="51"/>
      <c r="AD853" s="106" t="s">
        <v>13</v>
      </c>
      <c r="AE853" s="38" t="s">
        <v>413</v>
      </c>
    </row>
    <row r="854" spans="1:31" ht="18" customHeight="1" x14ac:dyDescent="0.25">
      <c r="A8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4" s="79">
        <v>4</v>
      </c>
      <c r="C854" s="23">
        <v>43733</v>
      </c>
      <c r="D854" s="67">
        <f>IF(COUNTIF($G$2:$G854,$G854)=1,1,0)</f>
        <v>0</v>
      </c>
      <c r="E854" s="67" t="str">
        <f>IFERROR(VLOOKUP(База_КР_КК[[#This Row],[ИД штатной должности (S)]],'уровень защищенности'!$B$7:$F$1095,5,0),"не защищена")</f>
        <v>высокий</v>
      </c>
      <c r="F854" s="68">
        <v>500662</v>
      </c>
      <c r="G854" s="74" t="s">
        <v>2330</v>
      </c>
      <c r="H854" s="181">
        <f>INDEX('Списки данных'!$D$2:$D$1048576,MATCH(База_КР_КК[[#This Row],[Структурное подразделение]],'Списки данных'!$C$2:$C$1048576,0))</f>
        <v>22</v>
      </c>
      <c r="I854" s="80" t="s">
        <v>135</v>
      </c>
      <c r="J854" s="80" t="s">
        <v>202</v>
      </c>
      <c r="K854" s="80" t="s">
        <v>203</v>
      </c>
      <c r="L854" s="30" t="s">
        <v>191</v>
      </c>
      <c r="M854" s="68">
        <v>6</v>
      </c>
      <c r="N854" s="181" t="str">
        <f t="shared" si="14"/>
        <v>нет</v>
      </c>
      <c r="O854" s="23"/>
      <c r="P854" s="23"/>
      <c r="Q854" s="106"/>
      <c r="R854" s="37">
        <v>173</v>
      </c>
      <c r="S854" s="38" t="s">
        <v>585</v>
      </c>
      <c r="T854" s="37">
        <v>1260</v>
      </c>
      <c r="U854" s="39" t="s">
        <v>1662</v>
      </c>
      <c r="V854" s="89" t="s">
        <v>272</v>
      </c>
      <c r="W854" s="89" t="s">
        <v>135</v>
      </c>
      <c r="X854" s="106" t="s">
        <v>295</v>
      </c>
      <c r="Y854" s="107" t="s">
        <v>12</v>
      </c>
      <c r="Z854" s="67">
        <f>IF(База_КР_КК[[#This Row],[Таб.номер резервиста]]="-","-",IF(OR(База_КР_КК[[#This Row],[Уровень КК]]=2,База_КР_КК[[#This Row],[Уровень КК]]=3),IF(COUNTIFS($U$2:$U854,$U854,$F$2:$F854,$F854)=1,1,0),IF(COUNTIFS($U$2:$U854,$U854,$L$2:$L854,$L854)=1,1,0)))</f>
        <v>0</v>
      </c>
      <c r="AA8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4" s="106"/>
      <c r="AC854" s="51"/>
      <c r="AD854" s="106" t="s">
        <v>17</v>
      </c>
      <c r="AE854" s="38" t="s">
        <v>413</v>
      </c>
    </row>
    <row r="855" spans="1:31" ht="18" customHeight="1" x14ac:dyDescent="0.25">
      <c r="A8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5" s="79">
        <v>4</v>
      </c>
      <c r="C855" s="23">
        <v>44487</v>
      </c>
      <c r="D855" s="67">
        <f>IF(COUNTIF($G$2:$G855,$G855)=1,1,0)</f>
        <v>0</v>
      </c>
      <c r="E855" s="67" t="str">
        <f>IFERROR(VLOOKUP(База_КР_КК[[#This Row],[ИД штатной должности (S)]],'уровень защищенности'!$B$7:$F$1095,5,0),"не защищена")</f>
        <v>высокий</v>
      </c>
      <c r="F855" s="68">
        <v>500662</v>
      </c>
      <c r="G855" s="74" t="s">
        <v>2330</v>
      </c>
      <c r="H855" s="181">
        <f>INDEX('Списки данных'!$D$2:$D$1048576,MATCH(База_КР_КК[[#This Row],[Структурное подразделение]],'Списки данных'!$C$2:$C$1048576,0))</f>
        <v>22</v>
      </c>
      <c r="I855" s="80" t="s">
        <v>135</v>
      </c>
      <c r="J855" s="80" t="s">
        <v>202</v>
      </c>
      <c r="K855" s="80" t="s">
        <v>203</v>
      </c>
      <c r="L855" s="30" t="s">
        <v>191</v>
      </c>
      <c r="M855" s="68">
        <v>6</v>
      </c>
      <c r="N855" s="181" t="str">
        <f t="shared" si="14"/>
        <v>нет</v>
      </c>
      <c r="O855" s="23"/>
      <c r="P855" s="23"/>
      <c r="Q855" s="106"/>
      <c r="R855" s="37">
        <v>173</v>
      </c>
      <c r="S855" s="38" t="s">
        <v>585</v>
      </c>
      <c r="T855" s="37">
        <v>1262</v>
      </c>
      <c r="U855" s="39" t="s">
        <v>1664</v>
      </c>
      <c r="V855" s="89" t="s">
        <v>272</v>
      </c>
      <c r="W855" s="89" t="s">
        <v>135</v>
      </c>
      <c r="X855" s="106" t="s">
        <v>297</v>
      </c>
      <c r="Y855" s="107" t="s">
        <v>12</v>
      </c>
      <c r="Z855" s="67">
        <f>IF(База_КР_КК[[#This Row],[Таб.номер резервиста]]="-","-",IF(OR(База_КР_КК[[#This Row],[Уровень КК]]=2,База_КР_КК[[#This Row],[Уровень КК]]=3),IF(COUNTIFS($U$2:$U855,$U855,$F$2:$F855,$F855)=1,1,0),IF(COUNTIFS($U$2:$U855,$U855,$L$2:$L855,$L855)=1,1,0)))</f>
        <v>0</v>
      </c>
      <c r="AA8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5" s="106"/>
      <c r="AC855" s="51"/>
      <c r="AD855" s="106" t="s">
        <v>17</v>
      </c>
      <c r="AE855" s="33" t="s">
        <v>413</v>
      </c>
    </row>
    <row r="856" spans="1:31" ht="18" customHeight="1" x14ac:dyDescent="0.25">
      <c r="A8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6" s="79">
        <v>4</v>
      </c>
      <c r="C856" s="23">
        <v>44487</v>
      </c>
      <c r="D856" s="67">
        <f>IF(COUNTIF($G$2:$G856,$G856)=1,1,0)</f>
        <v>0</v>
      </c>
      <c r="E856" s="67" t="str">
        <f>IFERROR(VLOOKUP(База_КР_КК[[#This Row],[ИД штатной должности (S)]],'уровень защищенности'!$B$7:$F$1095,5,0),"не защищена")</f>
        <v>высокий</v>
      </c>
      <c r="F856" s="68">
        <v>500662</v>
      </c>
      <c r="G856" s="74" t="s">
        <v>2330</v>
      </c>
      <c r="H856" s="181">
        <f>INDEX('Списки данных'!$D$2:$D$1048576,MATCH(База_КР_КК[[#This Row],[Структурное подразделение]],'Списки данных'!$C$2:$C$1048576,0))</f>
        <v>22</v>
      </c>
      <c r="I856" s="80" t="s">
        <v>135</v>
      </c>
      <c r="J856" s="80" t="s">
        <v>202</v>
      </c>
      <c r="K856" s="80" t="s">
        <v>203</v>
      </c>
      <c r="L856" s="30" t="s">
        <v>191</v>
      </c>
      <c r="M856" s="68">
        <v>6</v>
      </c>
      <c r="N856" s="181" t="str">
        <f t="shared" si="14"/>
        <v>нет</v>
      </c>
      <c r="O856" s="23"/>
      <c r="P856" s="23"/>
      <c r="Q856" s="106"/>
      <c r="R856" s="37">
        <v>173</v>
      </c>
      <c r="S856" s="38" t="s">
        <v>585</v>
      </c>
      <c r="T856" s="37">
        <v>1263</v>
      </c>
      <c r="U856" s="39" t="s">
        <v>1665</v>
      </c>
      <c r="V856" s="89" t="s">
        <v>272</v>
      </c>
      <c r="W856" s="89" t="s">
        <v>135</v>
      </c>
      <c r="X856" s="106" t="s">
        <v>295</v>
      </c>
      <c r="Y856" s="107" t="s">
        <v>12</v>
      </c>
      <c r="Z856" s="67">
        <f>IF(База_КР_КК[[#This Row],[Таб.номер резервиста]]="-","-",IF(OR(База_КР_КК[[#This Row],[Уровень КК]]=2,База_КР_КК[[#This Row],[Уровень КК]]=3),IF(COUNTIFS($U$2:$U856,$U856,$F$2:$F856,$F856)=1,1,0),IF(COUNTIFS($U$2:$U856,$U856,$L$2:$L856,$L856)=1,1,0)))</f>
        <v>0</v>
      </c>
      <c r="AA8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6" s="106"/>
      <c r="AC856" s="51"/>
      <c r="AD856" s="106" t="s">
        <v>17</v>
      </c>
      <c r="AE856" s="33" t="s">
        <v>413</v>
      </c>
    </row>
    <row r="857" spans="1:31" ht="18" customHeight="1" x14ac:dyDescent="0.25">
      <c r="A8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7" s="79">
        <v>4</v>
      </c>
      <c r="C857" s="23">
        <v>44879</v>
      </c>
      <c r="D857" s="67">
        <f>IF(COUNTIF($G$2:$G857,$G857)=1,1,0)</f>
        <v>0</v>
      </c>
      <c r="E857" s="67" t="str">
        <f>IFERROR(VLOOKUP(База_КР_КК[[#This Row],[ИД штатной должности (S)]],'уровень защищенности'!$B$7:$F$1095,5,0),"не защищена")</f>
        <v>высокий</v>
      </c>
      <c r="F857" s="68">
        <v>500662</v>
      </c>
      <c r="G857" s="74" t="s">
        <v>2330</v>
      </c>
      <c r="H857" s="181">
        <f>INDEX('Списки данных'!$D$2:$D$1048576,MATCH(База_КР_КК[[#This Row],[Структурное подразделение]],'Списки данных'!$C$2:$C$1048576,0))</f>
        <v>22</v>
      </c>
      <c r="I857" s="80" t="s">
        <v>135</v>
      </c>
      <c r="J857" s="80" t="s">
        <v>202</v>
      </c>
      <c r="K857" s="80" t="s">
        <v>203</v>
      </c>
      <c r="L857" s="30" t="s">
        <v>191</v>
      </c>
      <c r="M857" s="68">
        <v>6</v>
      </c>
      <c r="N857" s="181" t="str">
        <f t="shared" si="14"/>
        <v>нет</v>
      </c>
      <c r="O857" s="23"/>
      <c r="P857" s="23"/>
      <c r="Q857" s="106"/>
      <c r="R857" s="37">
        <v>173</v>
      </c>
      <c r="S857" s="39" t="s">
        <v>585</v>
      </c>
      <c r="T857" s="37">
        <v>1264</v>
      </c>
      <c r="U857" s="38" t="s">
        <v>1666</v>
      </c>
      <c r="V857" s="69" t="s">
        <v>272</v>
      </c>
      <c r="W857" s="89" t="s">
        <v>135</v>
      </c>
      <c r="X857" s="106" t="s">
        <v>296</v>
      </c>
      <c r="Y857" s="107" t="s">
        <v>12</v>
      </c>
      <c r="Z857" s="67">
        <f>IF(База_КР_КК[[#This Row],[Таб.номер резервиста]]="-","-",IF(OR(База_КР_КК[[#This Row],[Уровень КК]]=2,База_КР_КК[[#This Row],[Уровень КК]]=3),IF(COUNTIFS($U$2:$U857,$U857,$F$2:$F857,$F857)=1,1,0),IF(COUNTIFS($U$2:$U857,$U857,$L$2:$L857,$L857)=1,1,0)))</f>
        <v>0</v>
      </c>
      <c r="AA8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7" s="106"/>
      <c r="AC857" s="51"/>
      <c r="AD857" s="106" t="s">
        <v>15</v>
      </c>
      <c r="AE857" s="33" t="s">
        <v>413</v>
      </c>
    </row>
    <row r="858" spans="1:31" ht="18" customHeight="1" x14ac:dyDescent="0.25">
      <c r="A8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8" s="79">
        <v>4</v>
      </c>
      <c r="C858" s="23">
        <v>44879</v>
      </c>
      <c r="D858" s="67">
        <f>IF(COUNTIF($G$2:$G858,$G858)=1,1,0)</f>
        <v>0</v>
      </c>
      <c r="E858" s="67" t="str">
        <f>IFERROR(VLOOKUP(База_КР_КК[[#This Row],[ИД штатной должности (S)]],'уровень защищенности'!$B$7:$F$1095,5,0),"не защищена")</f>
        <v>высокий</v>
      </c>
      <c r="F858" s="68">
        <v>500662</v>
      </c>
      <c r="G858" s="74" t="s">
        <v>2330</v>
      </c>
      <c r="H858" s="181">
        <f>INDEX('Списки данных'!$D$2:$D$1048576,MATCH(База_КР_КК[[#This Row],[Структурное подразделение]],'Списки данных'!$C$2:$C$1048576,0))</f>
        <v>22</v>
      </c>
      <c r="I858" s="80" t="s">
        <v>135</v>
      </c>
      <c r="J858" s="80" t="s">
        <v>202</v>
      </c>
      <c r="K858" s="80" t="s">
        <v>203</v>
      </c>
      <c r="L858" s="30" t="s">
        <v>191</v>
      </c>
      <c r="M858" s="68">
        <v>6</v>
      </c>
      <c r="N858" s="181" t="str">
        <f t="shared" si="14"/>
        <v>нет</v>
      </c>
      <c r="O858" s="23"/>
      <c r="P858" s="23"/>
      <c r="Q858" s="106"/>
      <c r="R858" s="37">
        <v>173</v>
      </c>
      <c r="S858" s="39" t="s">
        <v>585</v>
      </c>
      <c r="T858" s="37">
        <v>1265</v>
      </c>
      <c r="U858" s="38" t="s">
        <v>1667</v>
      </c>
      <c r="V858" s="69" t="s">
        <v>272</v>
      </c>
      <c r="W858" s="89" t="s">
        <v>135</v>
      </c>
      <c r="X858" s="106" t="s">
        <v>296</v>
      </c>
      <c r="Y858" s="107" t="s">
        <v>12</v>
      </c>
      <c r="Z858" s="67">
        <f>IF(База_КР_КК[[#This Row],[Таб.номер резервиста]]="-","-",IF(OR(База_КР_КК[[#This Row],[Уровень КК]]=2,База_КР_КК[[#This Row],[Уровень КК]]=3),IF(COUNTIFS($U$2:$U858,$U858,$F$2:$F858,$F858)=1,1,0),IF(COUNTIFS($U$2:$U858,$U858,$L$2:$L858,$L858)=1,1,0)))</f>
        <v>0</v>
      </c>
      <c r="AA8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8" s="106"/>
      <c r="AC858" s="51"/>
      <c r="AD858" s="106" t="s">
        <v>15</v>
      </c>
      <c r="AE858" s="33" t="s">
        <v>413</v>
      </c>
    </row>
    <row r="859" spans="1:31" ht="18" customHeight="1" x14ac:dyDescent="0.25">
      <c r="A8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59" s="79">
        <v>4</v>
      </c>
      <c r="C859" s="23">
        <v>44879</v>
      </c>
      <c r="D859" s="67">
        <f>IF(COUNTIF($G$2:$G859,$G859)=1,1,0)</f>
        <v>0</v>
      </c>
      <c r="E859" s="67" t="str">
        <f>IFERROR(VLOOKUP(База_КР_КК[[#This Row],[ИД штатной должности (S)]],'уровень защищенности'!$B$7:$F$1095,5,0),"не защищена")</f>
        <v>высокий</v>
      </c>
      <c r="F859" s="68">
        <v>500662</v>
      </c>
      <c r="G859" s="74" t="s">
        <v>2330</v>
      </c>
      <c r="H859" s="181">
        <f>INDEX('Списки данных'!$D$2:$D$1048576,MATCH(База_КР_КК[[#This Row],[Структурное подразделение]],'Списки данных'!$C$2:$C$1048576,0))</f>
        <v>22</v>
      </c>
      <c r="I859" s="80" t="s">
        <v>135</v>
      </c>
      <c r="J859" s="80" t="s">
        <v>202</v>
      </c>
      <c r="K859" s="80" t="s">
        <v>203</v>
      </c>
      <c r="L859" s="30" t="s">
        <v>191</v>
      </c>
      <c r="M859" s="68">
        <v>6</v>
      </c>
      <c r="N859" s="181" t="str">
        <f t="shared" si="14"/>
        <v>нет</v>
      </c>
      <c r="O859" s="23"/>
      <c r="P859" s="23"/>
      <c r="Q859" s="106"/>
      <c r="R859" s="37">
        <v>173</v>
      </c>
      <c r="S859" s="39" t="s">
        <v>585</v>
      </c>
      <c r="T859" s="37">
        <v>1266</v>
      </c>
      <c r="U859" s="38" t="s">
        <v>1668</v>
      </c>
      <c r="V859" s="69" t="s">
        <v>272</v>
      </c>
      <c r="W859" s="89" t="s">
        <v>135</v>
      </c>
      <c r="X859" s="106" t="s">
        <v>296</v>
      </c>
      <c r="Y859" s="107" t="s">
        <v>12</v>
      </c>
      <c r="Z859" s="67">
        <f>IF(База_КР_КК[[#This Row],[Таб.номер резервиста]]="-","-",IF(OR(База_КР_КК[[#This Row],[Уровень КК]]=2,База_КР_КК[[#This Row],[Уровень КК]]=3),IF(COUNTIFS($U$2:$U859,$U859,$F$2:$F859,$F859)=1,1,0),IF(COUNTIFS($U$2:$U859,$U859,$L$2:$L859,$L859)=1,1,0)))</f>
        <v>0</v>
      </c>
      <c r="AA8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59" s="106"/>
      <c r="AC859" s="51"/>
      <c r="AD859" s="106" t="s">
        <v>15</v>
      </c>
      <c r="AE859" s="33" t="s">
        <v>413</v>
      </c>
    </row>
    <row r="860" spans="1:31" ht="18" customHeight="1" x14ac:dyDescent="0.25">
      <c r="A8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0" s="79">
        <v>4</v>
      </c>
      <c r="C860" s="23">
        <v>44487</v>
      </c>
      <c r="D860" s="67">
        <f>IF(COUNTIF($G$2:$G860,$G860)=1,1,0)</f>
        <v>0</v>
      </c>
      <c r="E860" s="67" t="str">
        <f>IFERROR(VLOOKUP(База_КР_КК[[#This Row],[ИД штатной должности (S)]],'уровень защищенности'!$B$7:$F$1095,5,0),"не защищена")</f>
        <v>высокий</v>
      </c>
      <c r="F860" s="68">
        <v>500662</v>
      </c>
      <c r="G860" s="74" t="s">
        <v>2330</v>
      </c>
      <c r="H860" s="181">
        <f>INDEX('Списки данных'!$D$2:$D$1048576,MATCH(База_КР_КК[[#This Row],[Структурное подразделение]],'Списки данных'!$C$2:$C$1048576,0))</f>
        <v>22</v>
      </c>
      <c r="I860" s="80" t="s">
        <v>135</v>
      </c>
      <c r="J860" s="80" t="s">
        <v>202</v>
      </c>
      <c r="K860" s="80" t="s">
        <v>203</v>
      </c>
      <c r="L860" s="30" t="s">
        <v>191</v>
      </c>
      <c r="M860" s="68">
        <v>6</v>
      </c>
      <c r="N860" s="181" t="str">
        <f t="shared" si="14"/>
        <v>нет</v>
      </c>
      <c r="O860" s="23"/>
      <c r="P860" s="23"/>
      <c r="Q860" s="106"/>
      <c r="R860" s="37">
        <v>173</v>
      </c>
      <c r="S860" s="38" t="s">
        <v>585</v>
      </c>
      <c r="T860" s="37">
        <v>171</v>
      </c>
      <c r="U860" s="39" t="s">
        <v>583</v>
      </c>
      <c r="V860" s="89" t="s">
        <v>192</v>
      </c>
      <c r="W860" s="89" t="s">
        <v>135</v>
      </c>
      <c r="X860" s="106" t="s">
        <v>295</v>
      </c>
      <c r="Y860" s="107" t="s">
        <v>14</v>
      </c>
      <c r="Z860" s="67">
        <f>IF(База_КР_КК[[#This Row],[Таб.номер резервиста]]="-","-",IF(OR(База_КР_КК[[#This Row],[Уровень КК]]=2,База_КР_КК[[#This Row],[Уровень КК]]=3),IF(COUNTIFS($U$2:$U860,$U860,$F$2:$F860,$F860)=1,1,0),IF(COUNTIFS($U$2:$U860,$U860,$L$2:$L860,$L860)=1,1,0)))</f>
        <v>0</v>
      </c>
      <c r="AA8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0" s="106" t="s">
        <v>24</v>
      </c>
      <c r="AC860" s="51">
        <v>44908</v>
      </c>
      <c r="AD860" s="106" t="s">
        <v>17</v>
      </c>
      <c r="AE860" s="33" t="s">
        <v>322</v>
      </c>
    </row>
    <row r="861" spans="1:31" ht="18" customHeight="1" x14ac:dyDescent="0.25">
      <c r="A8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1" s="79">
        <v>4</v>
      </c>
      <c r="C861" s="23">
        <v>43733</v>
      </c>
      <c r="D861" s="67">
        <f>IF(COUNTIF($G$2:$G861,$G861)=1,1,0)</f>
        <v>1</v>
      </c>
      <c r="E861" s="67" t="str">
        <f>IFERROR(VLOOKUP(База_КР_КК[[#This Row],[ИД штатной должности (S)]],'уровень защищенности'!$B$7:$F$1095,5,0),"не защищена")</f>
        <v>высокий</v>
      </c>
      <c r="F861" s="68">
        <v>500672</v>
      </c>
      <c r="G861" s="74" t="s">
        <v>2331</v>
      </c>
      <c r="H861" s="181">
        <f>INDEX('Списки данных'!$D$2:$D$1048576,MATCH(База_КР_КК[[#This Row],[Структурное подразделение]],'Списки данных'!$C$2:$C$1048576,0))</f>
        <v>22</v>
      </c>
      <c r="I861" s="80" t="s">
        <v>135</v>
      </c>
      <c r="J861" s="80" t="s">
        <v>202</v>
      </c>
      <c r="K861" s="80" t="s">
        <v>203</v>
      </c>
      <c r="L861" s="30" t="s">
        <v>189</v>
      </c>
      <c r="M861" s="68">
        <v>6</v>
      </c>
      <c r="N861" s="181" t="str">
        <f t="shared" si="14"/>
        <v>да</v>
      </c>
      <c r="O861" s="23">
        <v>44358</v>
      </c>
      <c r="P861" s="23">
        <v>44389</v>
      </c>
      <c r="Q861" s="106" t="s">
        <v>66</v>
      </c>
      <c r="R861" s="37">
        <v>174</v>
      </c>
      <c r="S861" s="38" t="s">
        <v>586</v>
      </c>
      <c r="T861" s="37">
        <v>168</v>
      </c>
      <c r="U861" s="39" t="s">
        <v>580</v>
      </c>
      <c r="V861" s="89" t="s">
        <v>192</v>
      </c>
      <c r="W861" s="89" t="s">
        <v>135</v>
      </c>
      <c r="X861" s="106" t="s">
        <v>295</v>
      </c>
      <c r="Y861" s="107" t="s">
        <v>12</v>
      </c>
      <c r="Z861" s="67">
        <f>IF(База_КР_КК[[#This Row],[Таб.номер резервиста]]="-","-",IF(OR(База_КР_КК[[#This Row],[Уровень КК]]=2,База_КР_КК[[#This Row],[Уровень КК]]=3),IF(COUNTIFS($U$2:$U861,$U861,$F$2:$F861,$F861)=1,1,0),IF(COUNTIFS($U$2:$U861,$U861,$L$2:$L861,$L861)=1,1,0)))</f>
        <v>1</v>
      </c>
      <c r="AA8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1" s="106"/>
      <c r="AC861" s="51"/>
      <c r="AD861" s="106" t="s">
        <v>13</v>
      </c>
      <c r="AE861" s="38" t="s">
        <v>413</v>
      </c>
    </row>
    <row r="862" spans="1:31" ht="18" customHeight="1" x14ac:dyDescent="0.25">
      <c r="A8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2" s="79">
        <v>4</v>
      </c>
      <c r="C862" s="23">
        <v>44879</v>
      </c>
      <c r="D862" s="67">
        <f>IF(COUNTIF($G$2:$G862,$G862)=1,1,0)</f>
        <v>0</v>
      </c>
      <c r="E862" s="67" t="str">
        <f>IFERROR(VLOOKUP(База_КР_КК[[#This Row],[ИД штатной должности (S)]],'уровень защищенности'!$B$7:$F$1095,5,0),"не защищена")</f>
        <v>высокий</v>
      </c>
      <c r="F862" s="68">
        <v>500672</v>
      </c>
      <c r="G862" s="74" t="s">
        <v>2331</v>
      </c>
      <c r="H862" s="181">
        <f>INDEX('Списки данных'!$D$2:$D$1048576,MATCH(База_КР_КК[[#This Row],[Структурное подразделение]],'Списки данных'!$C$2:$C$1048576,0))</f>
        <v>22</v>
      </c>
      <c r="I862" s="80" t="s">
        <v>135</v>
      </c>
      <c r="J862" s="80" t="s">
        <v>202</v>
      </c>
      <c r="K862" s="80" t="s">
        <v>203</v>
      </c>
      <c r="L862" s="30" t="s">
        <v>189</v>
      </c>
      <c r="M862" s="68">
        <v>6</v>
      </c>
      <c r="N862" s="181" t="str">
        <f t="shared" si="14"/>
        <v>да</v>
      </c>
      <c r="O862" s="23">
        <v>44358</v>
      </c>
      <c r="P862" s="23">
        <v>44389</v>
      </c>
      <c r="Q862" s="106" t="s">
        <v>66</v>
      </c>
      <c r="R862" s="37">
        <v>174</v>
      </c>
      <c r="S862" s="39" t="s">
        <v>586</v>
      </c>
      <c r="T862" s="37">
        <v>167</v>
      </c>
      <c r="U862" s="38" t="s">
        <v>579</v>
      </c>
      <c r="V862" s="69" t="s">
        <v>192</v>
      </c>
      <c r="W862" s="89" t="s">
        <v>135</v>
      </c>
      <c r="X862" s="106" t="s">
        <v>295</v>
      </c>
      <c r="Y862" s="107" t="s">
        <v>12</v>
      </c>
      <c r="Z862" s="67">
        <f>IF(База_КР_КК[[#This Row],[Таб.номер резервиста]]="-","-",IF(OR(База_КР_КК[[#This Row],[Уровень КК]]=2,База_КР_КК[[#This Row],[Уровень КК]]=3),IF(COUNTIFS($U$2:$U862,$U862,$F$2:$F862,$F862)=1,1,0),IF(COUNTIFS($U$2:$U862,$U862,$L$2:$L862,$L862)=1,1,0)))</f>
        <v>1</v>
      </c>
      <c r="AA8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2" s="106"/>
      <c r="AC862" s="51"/>
      <c r="AD862" s="106" t="s">
        <v>15</v>
      </c>
      <c r="AE862" s="33" t="s">
        <v>413</v>
      </c>
    </row>
    <row r="863" spans="1:31" ht="18" customHeight="1" x14ac:dyDescent="0.25">
      <c r="A8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3" s="79">
        <v>4</v>
      </c>
      <c r="C863" s="23">
        <v>44879</v>
      </c>
      <c r="D863" s="67">
        <f>IF(COUNTIF($G$2:$G863,$G863)=1,1,0)</f>
        <v>0</v>
      </c>
      <c r="E863" s="67" t="str">
        <f>IFERROR(VLOOKUP(База_КР_КК[[#This Row],[ИД штатной должности (S)]],'уровень защищенности'!$B$7:$F$1095,5,0),"не защищена")</f>
        <v>высокий</v>
      </c>
      <c r="F863" s="68">
        <v>500672</v>
      </c>
      <c r="G863" s="74" t="s">
        <v>2331</v>
      </c>
      <c r="H863" s="181">
        <f>INDEX('Списки данных'!$D$2:$D$1048576,MATCH(База_КР_КК[[#This Row],[Структурное подразделение]],'Списки данных'!$C$2:$C$1048576,0))</f>
        <v>22</v>
      </c>
      <c r="I863" s="80" t="s">
        <v>135</v>
      </c>
      <c r="J863" s="80" t="s">
        <v>202</v>
      </c>
      <c r="K863" s="80" t="s">
        <v>203</v>
      </c>
      <c r="L863" s="30" t="s">
        <v>189</v>
      </c>
      <c r="M863" s="68">
        <v>6</v>
      </c>
      <c r="N863" s="181" t="str">
        <f t="shared" si="14"/>
        <v>да</v>
      </c>
      <c r="O863" s="23">
        <v>44358</v>
      </c>
      <c r="P863" s="23">
        <v>44389</v>
      </c>
      <c r="Q863" s="106" t="s">
        <v>66</v>
      </c>
      <c r="R863" s="37">
        <v>174</v>
      </c>
      <c r="S863" s="39" t="s">
        <v>586</v>
      </c>
      <c r="T863" s="37">
        <v>172</v>
      </c>
      <c r="U863" s="38" t="s">
        <v>584</v>
      </c>
      <c r="V863" s="69" t="s">
        <v>192</v>
      </c>
      <c r="W863" s="89" t="s">
        <v>135</v>
      </c>
      <c r="X863" s="106" t="s">
        <v>297</v>
      </c>
      <c r="Y863" s="107" t="s">
        <v>12</v>
      </c>
      <c r="Z863" s="67">
        <f>IF(База_КР_КК[[#This Row],[Таб.номер резервиста]]="-","-",IF(OR(База_КР_КК[[#This Row],[Уровень КК]]=2,База_КР_КК[[#This Row],[Уровень КК]]=3),IF(COUNTIFS($U$2:$U863,$U863,$F$2:$F863,$F863)=1,1,0),IF(COUNTIFS($U$2:$U863,$U863,$L$2:$L863,$L863)=1,1,0)))</f>
        <v>1</v>
      </c>
      <c r="AA8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3" s="106"/>
      <c r="AC863" s="51"/>
      <c r="AD863" s="106" t="s">
        <v>15</v>
      </c>
      <c r="AE863" s="33" t="s">
        <v>413</v>
      </c>
    </row>
    <row r="864" spans="1:31" ht="18" customHeight="1" x14ac:dyDescent="0.25">
      <c r="A8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4" s="79">
        <v>4</v>
      </c>
      <c r="C864" s="23">
        <v>43733</v>
      </c>
      <c r="D864" s="67">
        <f>IF(COUNTIF($G$2:$G864,$G864)=1,1,0)</f>
        <v>0</v>
      </c>
      <c r="E864" s="67" t="str">
        <f>IFERROR(VLOOKUP(База_КР_КК[[#This Row],[ИД штатной должности (S)]],'уровень защищенности'!$B$7:$F$1095,5,0),"не защищена")</f>
        <v>высокий</v>
      </c>
      <c r="F864" s="68">
        <v>500672</v>
      </c>
      <c r="G864" s="74" t="s">
        <v>2331</v>
      </c>
      <c r="H864" s="181">
        <f>INDEX('Списки данных'!$D$2:$D$1048576,MATCH(База_КР_КК[[#This Row],[Структурное подразделение]],'Списки данных'!$C$2:$C$1048576,0))</f>
        <v>22</v>
      </c>
      <c r="I864" s="80" t="s">
        <v>135</v>
      </c>
      <c r="J864" s="80" t="s">
        <v>202</v>
      </c>
      <c r="K864" s="80" t="s">
        <v>203</v>
      </c>
      <c r="L864" s="30" t="s">
        <v>189</v>
      </c>
      <c r="M864" s="68">
        <v>6</v>
      </c>
      <c r="N864" s="181" t="str">
        <f t="shared" si="14"/>
        <v>да</v>
      </c>
      <c r="O864" s="23">
        <v>44358</v>
      </c>
      <c r="P864" s="23">
        <v>44389</v>
      </c>
      <c r="Q864" s="106" t="s">
        <v>66</v>
      </c>
      <c r="R864" s="37">
        <v>174</v>
      </c>
      <c r="S864" s="38" t="s">
        <v>586</v>
      </c>
      <c r="T864" s="37">
        <v>174</v>
      </c>
      <c r="U864" s="39" t="s">
        <v>586</v>
      </c>
      <c r="V864" s="89" t="s">
        <v>192</v>
      </c>
      <c r="W864" s="89" t="s">
        <v>135</v>
      </c>
      <c r="X864" s="106" t="s">
        <v>295</v>
      </c>
      <c r="Y864" s="107" t="s">
        <v>14</v>
      </c>
      <c r="Z864" s="67">
        <f>IF(База_КР_КК[[#This Row],[Таб.номер резервиста]]="-","-",IF(OR(База_КР_КК[[#This Row],[Уровень КК]]=2,База_КР_КК[[#This Row],[Уровень КК]]=3),IF(COUNTIFS($U$2:$U864,$U864,$F$2:$F864,$F864)=1,1,0),IF(COUNTIFS($U$2:$U864,$U864,$L$2:$L864,$L864)=1,1,0)))</f>
        <v>1</v>
      </c>
      <c r="AA8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864" s="106" t="s">
        <v>24</v>
      </c>
      <c r="AC864" s="51">
        <v>44389</v>
      </c>
      <c r="AD864" s="106" t="s">
        <v>13</v>
      </c>
      <c r="AE864" s="38" t="s">
        <v>323</v>
      </c>
    </row>
    <row r="865" spans="1:31" ht="18" customHeight="1" x14ac:dyDescent="0.25">
      <c r="A8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5" s="79">
        <v>4</v>
      </c>
      <c r="C865" s="23">
        <v>43733</v>
      </c>
      <c r="D865" s="67">
        <f>IF(COUNTIF($G$2:$G865,$G865)=1,1,0)</f>
        <v>1</v>
      </c>
      <c r="E865" s="67" t="str">
        <f>IFERROR(VLOOKUP(База_КР_КК[[#This Row],[ИД штатной должности (S)]],'уровень защищенности'!$B$7:$F$1095,5,0),"не защищена")</f>
        <v>высокий</v>
      </c>
      <c r="F865" s="68">
        <v>500673</v>
      </c>
      <c r="G865" s="74" t="s">
        <v>2332</v>
      </c>
      <c r="H865" s="181">
        <f>INDEX('Списки данных'!$D$2:$D$1048576,MATCH(База_КР_КК[[#This Row],[Структурное подразделение]],'Списки данных'!$C$2:$C$1048576,0))</f>
        <v>22</v>
      </c>
      <c r="I865" s="80" t="s">
        <v>135</v>
      </c>
      <c r="J865" s="80" t="s">
        <v>202</v>
      </c>
      <c r="K865" s="80" t="s">
        <v>203</v>
      </c>
      <c r="L865" s="30" t="s">
        <v>189</v>
      </c>
      <c r="M865" s="68">
        <v>6</v>
      </c>
      <c r="N865" s="181" t="str">
        <f t="shared" si="14"/>
        <v>нет</v>
      </c>
      <c r="O865" s="23"/>
      <c r="P865" s="23"/>
      <c r="Q865" s="106"/>
      <c r="R865" s="37">
        <v>175</v>
      </c>
      <c r="S865" s="38" t="s">
        <v>587</v>
      </c>
      <c r="T865" s="37">
        <v>168</v>
      </c>
      <c r="U865" s="39" t="s">
        <v>580</v>
      </c>
      <c r="V865" s="89" t="s">
        <v>192</v>
      </c>
      <c r="W865" s="89" t="s">
        <v>135</v>
      </c>
      <c r="X865" s="106" t="s">
        <v>295</v>
      </c>
      <c r="Y865" s="107" t="s">
        <v>12</v>
      </c>
      <c r="Z865" s="67">
        <f>IF(База_КР_КК[[#This Row],[Таб.номер резервиста]]="-","-",IF(OR(База_КР_КК[[#This Row],[Уровень КК]]=2,База_КР_КК[[#This Row],[Уровень КК]]=3),IF(COUNTIFS($U$2:$U865,$U865,$F$2:$F865,$F865)=1,1,0),IF(COUNTIFS($U$2:$U865,$U865,$L$2:$L865,$L865)=1,1,0)))</f>
        <v>0</v>
      </c>
      <c r="AA8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5" s="106"/>
      <c r="AC865" s="51"/>
      <c r="AD865" s="106" t="s">
        <v>13</v>
      </c>
      <c r="AE865" s="38" t="s">
        <v>413</v>
      </c>
    </row>
    <row r="866" spans="1:31" ht="18" customHeight="1" x14ac:dyDescent="0.25">
      <c r="A8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6" s="79">
        <v>4</v>
      </c>
      <c r="C866" s="23">
        <v>44879</v>
      </c>
      <c r="D866" s="67">
        <f>IF(COUNTIF($G$2:$G866,$G866)=1,1,0)</f>
        <v>0</v>
      </c>
      <c r="E866" s="67" t="str">
        <f>IFERROR(VLOOKUP(База_КР_КК[[#This Row],[ИД штатной должности (S)]],'уровень защищенности'!$B$7:$F$1095,5,0),"не защищена")</f>
        <v>высокий</v>
      </c>
      <c r="F866" s="68">
        <v>500673</v>
      </c>
      <c r="G866" s="74" t="s">
        <v>2332</v>
      </c>
      <c r="H866" s="181">
        <f>INDEX('Списки данных'!$D$2:$D$1048576,MATCH(База_КР_КК[[#This Row],[Структурное подразделение]],'Списки данных'!$C$2:$C$1048576,0))</f>
        <v>22</v>
      </c>
      <c r="I866" s="80" t="s">
        <v>135</v>
      </c>
      <c r="J866" s="80" t="s">
        <v>202</v>
      </c>
      <c r="K866" s="80" t="s">
        <v>203</v>
      </c>
      <c r="L866" s="30" t="s">
        <v>189</v>
      </c>
      <c r="M866" s="68">
        <v>6</v>
      </c>
      <c r="N866" s="181" t="str">
        <f t="shared" si="14"/>
        <v>нет</v>
      </c>
      <c r="O866" s="23"/>
      <c r="P866" s="23"/>
      <c r="Q866" s="106"/>
      <c r="R866" s="37">
        <v>175</v>
      </c>
      <c r="S866" s="39" t="s">
        <v>587</v>
      </c>
      <c r="T866" s="37">
        <v>167</v>
      </c>
      <c r="U866" s="38" t="s">
        <v>579</v>
      </c>
      <c r="V866" s="69" t="s">
        <v>192</v>
      </c>
      <c r="W866" s="89" t="s">
        <v>135</v>
      </c>
      <c r="X866" s="106" t="s">
        <v>295</v>
      </c>
      <c r="Y866" s="107" t="s">
        <v>12</v>
      </c>
      <c r="Z866" s="67">
        <f>IF(База_КР_КК[[#This Row],[Таб.номер резервиста]]="-","-",IF(OR(База_КР_КК[[#This Row],[Уровень КК]]=2,База_КР_КК[[#This Row],[Уровень КК]]=3),IF(COUNTIFS($U$2:$U866,$U866,$F$2:$F866,$F866)=1,1,0),IF(COUNTIFS($U$2:$U866,$U866,$L$2:$L866,$L866)=1,1,0)))</f>
        <v>0</v>
      </c>
      <c r="AA8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6" s="106"/>
      <c r="AC866" s="51"/>
      <c r="AD866" s="106" t="s">
        <v>15</v>
      </c>
      <c r="AE866" s="33" t="s">
        <v>413</v>
      </c>
    </row>
    <row r="867" spans="1:31" ht="18" customHeight="1" x14ac:dyDescent="0.25">
      <c r="A8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7" s="79">
        <v>4</v>
      </c>
      <c r="C867" s="23">
        <v>44879</v>
      </c>
      <c r="D867" s="67">
        <f>IF(COUNTIF($G$2:$G867,$G867)=1,1,0)</f>
        <v>0</v>
      </c>
      <c r="E867" s="67" t="str">
        <f>IFERROR(VLOOKUP(База_КР_КК[[#This Row],[ИД штатной должности (S)]],'уровень защищенности'!$B$7:$F$1095,5,0),"не защищена")</f>
        <v>высокий</v>
      </c>
      <c r="F867" s="68">
        <v>500673</v>
      </c>
      <c r="G867" s="74" t="s">
        <v>2332</v>
      </c>
      <c r="H867" s="181">
        <f>INDEX('Списки данных'!$D$2:$D$1048576,MATCH(База_КР_КК[[#This Row],[Структурное подразделение]],'Списки данных'!$C$2:$C$1048576,0))</f>
        <v>22</v>
      </c>
      <c r="I867" s="80" t="s">
        <v>135</v>
      </c>
      <c r="J867" s="80" t="s">
        <v>202</v>
      </c>
      <c r="K867" s="80" t="s">
        <v>203</v>
      </c>
      <c r="L867" s="30" t="s">
        <v>189</v>
      </c>
      <c r="M867" s="68">
        <v>6</v>
      </c>
      <c r="N867" s="181" t="str">
        <f t="shared" si="14"/>
        <v>нет</v>
      </c>
      <c r="O867" s="23"/>
      <c r="P867" s="23"/>
      <c r="Q867" s="106"/>
      <c r="R867" s="37">
        <v>175</v>
      </c>
      <c r="S867" s="39" t="s">
        <v>587</v>
      </c>
      <c r="T867" s="37">
        <v>172</v>
      </c>
      <c r="U867" s="38" t="s">
        <v>584</v>
      </c>
      <c r="V867" s="69" t="s">
        <v>192</v>
      </c>
      <c r="W867" s="89" t="s">
        <v>135</v>
      </c>
      <c r="X867" s="106" t="s">
        <v>297</v>
      </c>
      <c r="Y867" s="107" t="s">
        <v>12</v>
      </c>
      <c r="Z867" s="67">
        <f>IF(База_КР_КК[[#This Row],[Таб.номер резервиста]]="-","-",IF(OR(База_КР_КК[[#This Row],[Уровень КК]]=2,База_КР_КК[[#This Row],[Уровень КК]]=3),IF(COUNTIFS($U$2:$U867,$U867,$F$2:$F867,$F867)=1,1,0),IF(COUNTIFS($U$2:$U867,$U867,$L$2:$L867,$L867)=1,1,0)))</f>
        <v>0</v>
      </c>
      <c r="AA8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7" s="106"/>
      <c r="AC867" s="51"/>
      <c r="AD867" s="106" t="s">
        <v>15</v>
      </c>
      <c r="AE867" s="33" t="s">
        <v>413</v>
      </c>
    </row>
    <row r="868" spans="1:31" ht="18" customHeight="1" x14ac:dyDescent="0.25">
      <c r="A8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8" s="79">
        <v>4</v>
      </c>
      <c r="C868" s="23">
        <v>43733</v>
      </c>
      <c r="D868" s="67">
        <f>IF(COUNTIF($G$2:$G868,$G868)=1,1,0)</f>
        <v>0</v>
      </c>
      <c r="E868" s="67" t="str">
        <f>IFERROR(VLOOKUP(База_КР_КК[[#This Row],[ИД штатной должности (S)]],'уровень защищенности'!$B$7:$F$1095,5,0),"не защищена")</f>
        <v>высокий</v>
      </c>
      <c r="F868" s="68">
        <v>500673</v>
      </c>
      <c r="G868" s="74" t="s">
        <v>2332</v>
      </c>
      <c r="H868" s="181">
        <f>INDEX('Списки данных'!$D$2:$D$1048576,MATCH(База_КР_КК[[#This Row],[Структурное подразделение]],'Списки данных'!$C$2:$C$1048576,0))</f>
        <v>22</v>
      </c>
      <c r="I868" s="80" t="s">
        <v>135</v>
      </c>
      <c r="J868" s="80" t="s">
        <v>202</v>
      </c>
      <c r="K868" s="80" t="s">
        <v>203</v>
      </c>
      <c r="L868" s="30" t="s">
        <v>189</v>
      </c>
      <c r="M868" s="68">
        <v>6</v>
      </c>
      <c r="N868" s="181" t="str">
        <f t="shared" si="14"/>
        <v>нет</v>
      </c>
      <c r="O868" s="23"/>
      <c r="P868" s="23"/>
      <c r="Q868" s="106"/>
      <c r="R868" s="37">
        <v>175</v>
      </c>
      <c r="S868" s="38" t="s">
        <v>587</v>
      </c>
      <c r="T868" s="37">
        <v>174</v>
      </c>
      <c r="U868" s="39" t="s">
        <v>586</v>
      </c>
      <c r="V868" s="89" t="s">
        <v>192</v>
      </c>
      <c r="W868" s="89" t="s">
        <v>135</v>
      </c>
      <c r="X868" s="106" t="s">
        <v>295</v>
      </c>
      <c r="Y868" s="107" t="s">
        <v>18</v>
      </c>
      <c r="Z868" s="67">
        <f>IF(База_КР_КК[[#This Row],[Таб.номер резервиста]]="-","-",IF(OR(База_КР_КК[[#This Row],[Уровень КК]]=2,База_КР_КК[[#This Row],[Уровень КК]]=3),IF(COUNTIFS($U$2:$U868,$U868,$F$2:$F868,$F868)=1,1,0),IF(COUNTIFS($U$2:$U868,$U868,$L$2:$L868,$L868)=1,1,0)))</f>
        <v>0</v>
      </c>
      <c r="AA8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8" s="106" t="s">
        <v>37</v>
      </c>
      <c r="AC868" s="51">
        <v>44389</v>
      </c>
      <c r="AD868" s="106" t="s">
        <v>13</v>
      </c>
      <c r="AE868" s="38" t="s">
        <v>323</v>
      </c>
    </row>
    <row r="869" spans="1:31" ht="18" customHeight="1" x14ac:dyDescent="0.25">
      <c r="A8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69" s="79">
        <v>4</v>
      </c>
      <c r="C869" s="23">
        <v>43733</v>
      </c>
      <c r="D869" s="67">
        <f>IF(COUNTIF($G$2:$G869,$G869)=1,1,0)</f>
        <v>1</v>
      </c>
      <c r="E869" s="67" t="str">
        <f>IFERROR(VLOOKUP(База_КР_КК[[#This Row],[ИД штатной должности (S)]],'уровень защищенности'!$B$7:$F$1095,5,0),"не защищена")</f>
        <v>высокий</v>
      </c>
      <c r="F869" s="68">
        <v>500676</v>
      </c>
      <c r="G869" s="74" t="s">
        <v>2333</v>
      </c>
      <c r="H869" s="181">
        <f>INDEX('Списки данных'!$D$2:$D$1048576,MATCH(База_КР_КК[[#This Row],[Структурное подразделение]],'Списки данных'!$C$2:$C$1048576,0))</f>
        <v>22</v>
      </c>
      <c r="I869" s="80" t="s">
        <v>135</v>
      </c>
      <c r="J869" s="80" t="s">
        <v>202</v>
      </c>
      <c r="K869" s="80" t="s">
        <v>203</v>
      </c>
      <c r="L869" s="30" t="s">
        <v>189</v>
      </c>
      <c r="M869" s="68">
        <v>6</v>
      </c>
      <c r="N869" s="181" t="str">
        <f t="shared" si="14"/>
        <v>да</v>
      </c>
      <c r="O869" s="23">
        <v>45017</v>
      </c>
      <c r="P869" s="23"/>
      <c r="Q869" s="106"/>
      <c r="R869" s="37" t="s">
        <v>23</v>
      </c>
      <c r="S869" s="37" t="s">
        <v>23</v>
      </c>
      <c r="T869" s="37">
        <v>177</v>
      </c>
      <c r="U869" s="39" t="s">
        <v>589</v>
      </c>
      <c r="V869" s="89" t="s">
        <v>192</v>
      </c>
      <c r="W869" s="89" t="s">
        <v>135</v>
      </c>
      <c r="X869" s="106" t="s">
        <v>295</v>
      </c>
      <c r="Y869" s="107" t="s">
        <v>12</v>
      </c>
      <c r="Z869" s="67">
        <f>IF(База_КР_КК[[#This Row],[Таб.номер резервиста]]="-","-",IF(OR(База_КР_КК[[#This Row],[Уровень КК]]=2,База_КР_КК[[#This Row],[Уровень КК]]=3),IF(COUNTIFS($U$2:$U869,$U869,$F$2:$F869,$F869)=1,1,0),IF(COUNTIFS($U$2:$U869,$U869,$L$2:$L869,$L869)=1,1,0)))</f>
        <v>1</v>
      </c>
      <c r="AA8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69" s="106"/>
      <c r="AC869" s="51"/>
      <c r="AD869" s="106" t="s">
        <v>13</v>
      </c>
      <c r="AE869" s="38" t="s">
        <v>413</v>
      </c>
    </row>
    <row r="870" spans="1:31" ht="18" customHeight="1" x14ac:dyDescent="0.25">
      <c r="A8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0" s="79">
        <v>4</v>
      </c>
      <c r="C870" s="23">
        <v>44879</v>
      </c>
      <c r="D870" s="67">
        <f>IF(COUNTIF($G$2:$G870,$G870)=1,1,0)</f>
        <v>0</v>
      </c>
      <c r="E870" s="67" t="str">
        <f>IFERROR(VLOOKUP(База_КР_КК[[#This Row],[ИД штатной должности (S)]],'уровень защищенности'!$B$7:$F$1095,5,0),"не защищена")</f>
        <v>высокий</v>
      </c>
      <c r="F870" s="68">
        <v>500676</v>
      </c>
      <c r="G870" s="74" t="s">
        <v>2333</v>
      </c>
      <c r="H870" s="181">
        <f>INDEX('Списки данных'!$D$2:$D$1048576,MATCH(База_КР_КК[[#This Row],[Структурное подразделение]],'Списки данных'!$C$2:$C$1048576,0))</f>
        <v>22</v>
      </c>
      <c r="I870" s="80" t="s">
        <v>135</v>
      </c>
      <c r="J870" s="80" t="s">
        <v>202</v>
      </c>
      <c r="K870" s="80" t="s">
        <v>203</v>
      </c>
      <c r="L870" s="30" t="s">
        <v>189</v>
      </c>
      <c r="M870" s="68">
        <v>6</v>
      </c>
      <c r="N870" s="181" t="str">
        <f t="shared" si="14"/>
        <v>да</v>
      </c>
      <c r="O870" s="23">
        <v>45017</v>
      </c>
      <c r="P870" s="23"/>
      <c r="Q870" s="106"/>
      <c r="R870" s="37" t="s">
        <v>23</v>
      </c>
      <c r="S870" s="37" t="s">
        <v>23</v>
      </c>
      <c r="T870" s="37">
        <v>1258</v>
      </c>
      <c r="U870" s="38" t="s">
        <v>1660</v>
      </c>
      <c r="V870" s="69" t="s">
        <v>272</v>
      </c>
      <c r="W870" s="89" t="s">
        <v>135</v>
      </c>
      <c r="X870" s="106" t="s">
        <v>296</v>
      </c>
      <c r="Y870" s="107" t="s">
        <v>12</v>
      </c>
      <c r="Z870" s="67">
        <f>IF(База_КР_КК[[#This Row],[Таб.номер резервиста]]="-","-",IF(OR(База_КР_КК[[#This Row],[Уровень КК]]=2,База_КР_КК[[#This Row],[Уровень КК]]=3),IF(COUNTIFS($U$2:$U870,$U870,$F$2:$F870,$F870)=1,1,0),IF(COUNTIFS($U$2:$U870,$U870,$L$2:$L870,$L870)=1,1,0)))</f>
        <v>1</v>
      </c>
      <c r="AA8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0" s="106"/>
      <c r="AC870" s="51"/>
      <c r="AD870" s="106" t="s">
        <v>15</v>
      </c>
      <c r="AE870" s="33" t="s">
        <v>413</v>
      </c>
    </row>
    <row r="871" spans="1:31" ht="18" customHeight="1" x14ac:dyDescent="0.25">
      <c r="A8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1" s="79">
        <v>4</v>
      </c>
      <c r="C871" s="23">
        <v>44879</v>
      </c>
      <c r="D871" s="67">
        <f>IF(COUNTIF($G$2:$G871,$G871)=1,1,0)</f>
        <v>0</v>
      </c>
      <c r="E871" s="67" t="str">
        <f>IFERROR(VLOOKUP(База_КР_КК[[#This Row],[ИД штатной должности (S)]],'уровень защищенности'!$B$7:$F$1095,5,0),"не защищена")</f>
        <v>высокий</v>
      </c>
      <c r="F871" s="68">
        <v>500676</v>
      </c>
      <c r="G871" s="74" t="s">
        <v>2333</v>
      </c>
      <c r="H871" s="181">
        <f>INDEX('Списки данных'!$D$2:$D$1048576,MATCH(База_КР_КК[[#This Row],[Структурное подразделение]],'Списки данных'!$C$2:$C$1048576,0))</f>
        <v>22</v>
      </c>
      <c r="I871" s="80" t="s">
        <v>135</v>
      </c>
      <c r="J871" s="80" t="s">
        <v>202</v>
      </c>
      <c r="K871" s="80" t="s">
        <v>203</v>
      </c>
      <c r="L871" s="30" t="s">
        <v>189</v>
      </c>
      <c r="M871" s="68">
        <v>6</v>
      </c>
      <c r="N871" s="181" t="str">
        <f t="shared" si="14"/>
        <v>да</v>
      </c>
      <c r="O871" s="23">
        <v>45017</v>
      </c>
      <c r="P871" s="23"/>
      <c r="Q871" s="106"/>
      <c r="R871" s="37" t="s">
        <v>23</v>
      </c>
      <c r="S871" s="37" t="s">
        <v>23</v>
      </c>
      <c r="T871" s="37">
        <v>1260</v>
      </c>
      <c r="U871" s="38" t="s">
        <v>1662</v>
      </c>
      <c r="V871" s="69" t="s">
        <v>272</v>
      </c>
      <c r="W871" s="89" t="s">
        <v>135</v>
      </c>
      <c r="X871" s="106" t="s">
        <v>296</v>
      </c>
      <c r="Y871" s="107" t="s">
        <v>12</v>
      </c>
      <c r="Z871" s="67">
        <f>IF(База_КР_КК[[#This Row],[Таб.номер резервиста]]="-","-",IF(OR(База_КР_КК[[#This Row],[Уровень КК]]=2,База_КР_КК[[#This Row],[Уровень КК]]=3),IF(COUNTIFS($U$2:$U871,$U871,$F$2:$F871,$F871)=1,1,0),IF(COUNTIFS($U$2:$U871,$U871,$L$2:$L871,$L871)=1,1,0)))</f>
        <v>1</v>
      </c>
      <c r="AA8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1" s="106"/>
      <c r="AC871" s="51"/>
      <c r="AD871" s="106" t="s">
        <v>15</v>
      </c>
      <c r="AE871" s="33" t="s">
        <v>413</v>
      </c>
    </row>
    <row r="872" spans="1:31" ht="18" customHeight="1" x14ac:dyDescent="0.25">
      <c r="A8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2" s="79">
        <v>4</v>
      </c>
      <c r="C872" s="23">
        <v>43733</v>
      </c>
      <c r="D872" s="67">
        <f>IF(COUNTIF($G$2:$G872,$G872)=1,1,0)</f>
        <v>1</v>
      </c>
      <c r="E872" s="67" t="str">
        <f>IFERROR(VLOOKUP(База_КР_КК[[#This Row],[ИД штатной должности (S)]],'уровень защищенности'!$B$7:$F$1095,5,0),"не защищена")</f>
        <v>высокий</v>
      </c>
      <c r="F872" s="68">
        <v>500677</v>
      </c>
      <c r="G872" s="74" t="s">
        <v>2334</v>
      </c>
      <c r="H872" s="181">
        <f>INDEX('Списки данных'!$D$2:$D$1048576,MATCH(База_КР_КК[[#This Row],[Структурное подразделение]],'Списки данных'!$C$2:$C$1048576,0))</f>
        <v>22</v>
      </c>
      <c r="I872" s="80" t="s">
        <v>135</v>
      </c>
      <c r="J872" s="80" t="s">
        <v>202</v>
      </c>
      <c r="K872" s="80" t="s">
        <v>203</v>
      </c>
      <c r="L872" s="30" t="s">
        <v>192</v>
      </c>
      <c r="M872" s="68">
        <v>6</v>
      </c>
      <c r="N872" s="181" t="str">
        <f t="shared" si="14"/>
        <v>да</v>
      </c>
      <c r="O872" s="23">
        <v>45108</v>
      </c>
      <c r="P872" s="23"/>
      <c r="Q872" s="106"/>
      <c r="R872" s="37" t="s">
        <v>23</v>
      </c>
      <c r="S872" s="38" t="s">
        <v>23</v>
      </c>
      <c r="T872" s="37">
        <v>1267</v>
      </c>
      <c r="U872" s="39" t="s">
        <v>1669</v>
      </c>
      <c r="V872" s="89" t="s">
        <v>272</v>
      </c>
      <c r="W872" s="89" t="s">
        <v>135</v>
      </c>
      <c r="X872" s="106" t="s">
        <v>295</v>
      </c>
      <c r="Y872" s="107" t="s">
        <v>12</v>
      </c>
      <c r="Z872" s="67">
        <f>IF(База_КР_КК[[#This Row],[Таб.номер резервиста]]="-","-",IF(OR(База_КР_КК[[#This Row],[Уровень КК]]=2,База_КР_КК[[#This Row],[Уровень КК]]=3),IF(COUNTIFS($U$2:$U872,$U872,$F$2:$F872,$F872)=1,1,0),IF(COUNTIFS($U$2:$U872,$U872,$L$2:$L872,$L872)=1,1,0)))</f>
        <v>1</v>
      </c>
      <c r="AA8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2" s="106"/>
      <c r="AC872" s="51"/>
      <c r="AD872" s="106" t="s">
        <v>13</v>
      </c>
      <c r="AE872" s="38" t="s">
        <v>413</v>
      </c>
    </row>
    <row r="873" spans="1:31" ht="18" customHeight="1" x14ac:dyDescent="0.25">
      <c r="A8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3" s="79">
        <v>4</v>
      </c>
      <c r="C873" s="23">
        <v>44487</v>
      </c>
      <c r="D873" s="67">
        <f>IF(COUNTIF($G$2:$G873,$G873)=1,1,0)</f>
        <v>0</v>
      </c>
      <c r="E873" s="67" t="str">
        <f>IFERROR(VLOOKUP(База_КР_КК[[#This Row],[ИД штатной должности (S)]],'уровень защищенности'!$B$7:$F$1095,5,0),"не защищена")</f>
        <v>высокий</v>
      </c>
      <c r="F873" s="68">
        <v>500677</v>
      </c>
      <c r="G873" s="74" t="s">
        <v>2334</v>
      </c>
      <c r="H873" s="181">
        <f>INDEX('Списки данных'!$D$2:$D$1048576,MATCH(База_КР_КК[[#This Row],[Структурное подразделение]],'Списки данных'!$C$2:$C$1048576,0))</f>
        <v>22</v>
      </c>
      <c r="I873" s="80" t="s">
        <v>135</v>
      </c>
      <c r="J873" s="80" t="s">
        <v>202</v>
      </c>
      <c r="K873" s="80" t="s">
        <v>203</v>
      </c>
      <c r="L873" s="30" t="s">
        <v>192</v>
      </c>
      <c r="M873" s="68">
        <v>6</v>
      </c>
      <c r="N873" s="181" t="str">
        <f t="shared" si="14"/>
        <v>да</v>
      </c>
      <c r="O873" s="23">
        <v>45108</v>
      </c>
      <c r="P873" s="23"/>
      <c r="Q873" s="106"/>
      <c r="R873" s="37" t="s">
        <v>23</v>
      </c>
      <c r="S873" s="38" t="s">
        <v>23</v>
      </c>
      <c r="T873" s="37">
        <v>1268</v>
      </c>
      <c r="U873" s="39" t="s">
        <v>1670</v>
      </c>
      <c r="V873" s="89" t="s">
        <v>272</v>
      </c>
      <c r="W873" s="89" t="s">
        <v>135</v>
      </c>
      <c r="X873" s="106" t="s">
        <v>296</v>
      </c>
      <c r="Y873" s="107" t="s">
        <v>12</v>
      </c>
      <c r="Z873" s="67">
        <f>IF(База_КР_КК[[#This Row],[Таб.номер резервиста]]="-","-",IF(OR(База_КР_КК[[#This Row],[Уровень КК]]=2,База_КР_КК[[#This Row],[Уровень КК]]=3),IF(COUNTIFS($U$2:$U873,$U873,$F$2:$F873,$F873)=1,1,0),IF(COUNTIFS($U$2:$U873,$U873,$L$2:$L873,$L873)=1,1,0)))</f>
        <v>1</v>
      </c>
      <c r="AA8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3" s="106"/>
      <c r="AC873" s="51"/>
      <c r="AD873" s="106" t="s">
        <v>13</v>
      </c>
      <c r="AE873" s="33" t="s">
        <v>413</v>
      </c>
    </row>
    <row r="874" spans="1:31" ht="18" customHeight="1" x14ac:dyDescent="0.25">
      <c r="A8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4" s="79">
        <v>4</v>
      </c>
      <c r="C874" s="23">
        <v>44879</v>
      </c>
      <c r="D874" s="67">
        <f>IF(COUNTIF($G$2:$G874,$G874)=1,1,0)</f>
        <v>0</v>
      </c>
      <c r="E874" s="67" t="str">
        <f>IFERROR(VLOOKUP(База_КР_КК[[#This Row],[ИД штатной должности (S)]],'уровень защищенности'!$B$7:$F$1095,5,0),"не защищена")</f>
        <v>высокий</v>
      </c>
      <c r="F874" s="68">
        <v>500677</v>
      </c>
      <c r="G874" s="74" t="s">
        <v>2334</v>
      </c>
      <c r="H874" s="181">
        <f>INDEX('Списки данных'!$D$2:$D$1048576,MATCH(База_КР_КК[[#This Row],[Структурное подразделение]],'Списки данных'!$C$2:$C$1048576,0))</f>
        <v>22</v>
      </c>
      <c r="I874" s="80" t="s">
        <v>135</v>
      </c>
      <c r="J874" s="80" t="s">
        <v>202</v>
      </c>
      <c r="K874" s="80" t="s">
        <v>203</v>
      </c>
      <c r="L874" s="30" t="s">
        <v>192</v>
      </c>
      <c r="M874" s="68">
        <v>6</v>
      </c>
      <c r="N874" s="181" t="str">
        <f t="shared" si="14"/>
        <v>да</v>
      </c>
      <c r="O874" s="23">
        <v>45108</v>
      </c>
      <c r="P874" s="23"/>
      <c r="Q874" s="106"/>
      <c r="R874" s="37" t="s">
        <v>23</v>
      </c>
      <c r="S874" s="39" t="s">
        <v>23</v>
      </c>
      <c r="T874" s="37">
        <v>1258</v>
      </c>
      <c r="U874" s="38" t="s">
        <v>1660</v>
      </c>
      <c r="V874" s="69" t="s">
        <v>272</v>
      </c>
      <c r="W874" s="89" t="s">
        <v>135</v>
      </c>
      <c r="X874" s="106" t="s">
        <v>297</v>
      </c>
      <c r="Y874" s="107" t="s">
        <v>12</v>
      </c>
      <c r="Z874" s="67">
        <f>IF(База_КР_КК[[#This Row],[Таб.номер резервиста]]="-","-",IF(OR(База_КР_КК[[#This Row],[Уровень КК]]=2,База_КР_КК[[#This Row],[Уровень КК]]=3),IF(COUNTIFS($U$2:$U874,$U874,$F$2:$F874,$F874)=1,1,0),IF(COUNTIFS($U$2:$U874,$U874,$L$2:$L874,$L874)=1,1,0)))</f>
        <v>1</v>
      </c>
      <c r="AA8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4" s="106"/>
      <c r="AC874" s="51"/>
      <c r="AD874" s="106" t="s">
        <v>15</v>
      </c>
      <c r="AE874" s="33" t="s">
        <v>413</v>
      </c>
    </row>
    <row r="875" spans="1:31" ht="18" customHeight="1" x14ac:dyDescent="0.25">
      <c r="A8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5" s="79">
        <v>4</v>
      </c>
      <c r="C875" s="23">
        <v>44879</v>
      </c>
      <c r="D875" s="67">
        <f>IF(COUNTIF($G$2:$G875,$G875)=1,1,0)</f>
        <v>0</v>
      </c>
      <c r="E875" s="67" t="str">
        <f>IFERROR(VLOOKUP(База_КР_КК[[#This Row],[ИД штатной должности (S)]],'уровень защищенности'!$B$7:$F$1095,5,0),"не защищена")</f>
        <v>высокий</v>
      </c>
      <c r="F875" s="68">
        <v>500677</v>
      </c>
      <c r="G875" s="74" t="s">
        <v>2334</v>
      </c>
      <c r="H875" s="181">
        <f>INDEX('Списки данных'!$D$2:$D$1048576,MATCH(База_КР_КК[[#This Row],[Структурное подразделение]],'Списки данных'!$C$2:$C$1048576,0))</f>
        <v>22</v>
      </c>
      <c r="I875" s="80" t="s">
        <v>135</v>
      </c>
      <c r="J875" s="80" t="s">
        <v>202</v>
      </c>
      <c r="K875" s="80" t="s">
        <v>203</v>
      </c>
      <c r="L875" s="30" t="s">
        <v>192</v>
      </c>
      <c r="M875" s="68">
        <v>6</v>
      </c>
      <c r="N875" s="181" t="str">
        <f t="shared" si="14"/>
        <v>да</v>
      </c>
      <c r="O875" s="23">
        <v>45108</v>
      </c>
      <c r="P875" s="23"/>
      <c r="Q875" s="106"/>
      <c r="R875" s="37" t="s">
        <v>23</v>
      </c>
      <c r="S875" s="39" t="s">
        <v>23</v>
      </c>
      <c r="T875" s="37">
        <v>1260</v>
      </c>
      <c r="U875" s="38" t="s">
        <v>1662</v>
      </c>
      <c r="V875" s="69" t="s">
        <v>272</v>
      </c>
      <c r="W875" s="89" t="s">
        <v>135</v>
      </c>
      <c r="X875" s="106" t="s">
        <v>297</v>
      </c>
      <c r="Y875" s="107" t="s">
        <v>12</v>
      </c>
      <c r="Z875" s="67">
        <f>IF(База_КР_КК[[#This Row],[Таб.номер резервиста]]="-","-",IF(OR(База_КР_КК[[#This Row],[Уровень КК]]=2,База_КР_КК[[#This Row],[Уровень КК]]=3),IF(COUNTIFS($U$2:$U875,$U875,$F$2:$F875,$F875)=1,1,0),IF(COUNTIFS($U$2:$U875,$U875,$L$2:$L875,$L875)=1,1,0)))</f>
        <v>1</v>
      </c>
      <c r="AA8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5" s="106"/>
      <c r="AC875" s="51"/>
      <c r="AD875" s="106" t="s">
        <v>15</v>
      </c>
      <c r="AE875" s="33" t="s">
        <v>413</v>
      </c>
    </row>
    <row r="876" spans="1:31" ht="18" customHeight="1" x14ac:dyDescent="0.25">
      <c r="A8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6" s="79">
        <v>4</v>
      </c>
      <c r="C876" s="23">
        <v>43733</v>
      </c>
      <c r="D876" s="67">
        <f>IF(COUNTIF($G$2:$G876,$G876)=1,1,0)</f>
        <v>0</v>
      </c>
      <c r="E876" s="67" t="str">
        <f>IFERROR(VLOOKUP(База_КР_КК[[#This Row],[ИД штатной должности (S)]],'уровень защищенности'!$B$7:$F$1095,5,0),"не защищена")</f>
        <v>высокий</v>
      </c>
      <c r="F876" s="68">
        <v>500677</v>
      </c>
      <c r="G876" s="74" t="s">
        <v>2334</v>
      </c>
      <c r="H876" s="181">
        <f>INDEX('Списки данных'!$D$2:$D$1048576,MATCH(База_КР_КК[[#This Row],[Структурное подразделение]],'Списки данных'!$C$2:$C$1048576,0))</f>
        <v>22</v>
      </c>
      <c r="I876" s="80" t="s">
        <v>135</v>
      </c>
      <c r="J876" s="80" t="s">
        <v>202</v>
      </c>
      <c r="K876" s="80" t="s">
        <v>203</v>
      </c>
      <c r="L876" s="30" t="s">
        <v>192</v>
      </c>
      <c r="M876" s="68">
        <v>6</v>
      </c>
      <c r="N876" s="181" t="str">
        <f t="shared" si="14"/>
        <v>да</v>
      </c>
      <c r="O876" s="23">
        <v>45108</v>
      </c>
      <c r="P876" s="23"/>
      <c r="Q876" s="106"/>
      <c r="R876" s="37" t="s">
        <v>23</v>
      </c>
      <c r="S876" s="38" t="s">
        <v>23</v>
      </c>
      <c r="T876" s="37">
        <v>176</v>
      </c>
      <c r="U876" s="39" t="s">
        <v>588</v>
      </c>
      <c r="V876" s="89" t="s">
        <v>272</v>
      </c>
      <c r="W876" s="89" t="s">
        <v>135</v>
      </c>
      <c r="X876" s="106" t="s">
        <v>297</v>
      </c>
      <c r="Y876" s="107" t="s">
        <v>18</v>
      </c>
      <c r="Z876" s="67">
        <f>IF(База_КР_КК[[#This Row],[Таб.номер резервиста]]="-","-",IF(OR(База_КР_КК[[#This Row],[Уровень КК]]=2,База_КР_КК[[#This Row],[Уровень КК]]=3),IF(COUNTIFS($U$2:$U876,$U876,$F$2:$F876,$F876)=1,1,0),IF(COUNTIFS($U$2:$U876,$U876,$L$2:$L876,$L876)=1,1,0)))</f>
        <v>1</v>
      </c>
      <c r="AA8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6" s="106" t="s">
        <v>24</v>
      </c>
      <c r="AC876" s="51">
        <v>44288</v>
      </c>
      <c r="AD876" s="106" t="s">
        <v>17</v>
      </c>
      <c r="AE876" s="38" t="s">
        <v>323</v>
      </c>
    </row>
    <row r="877" spans="1:31" ht="18" customHeight="1" x14ac:dyDescent="0.25">
      <c r="A8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7" s="79">
        <v>4</v>
      </c>
      <c r="C877" s="23">
        <v>43733</v>
      </c>
      <c r="D877" s="67">
        <f>IF(COUNTIF($G$2:$G877,$G877)=1,1,0)</f>
        <v>1</v>
      </c>
      <c r="E877" s="67" t="str">
        <f>IFERROR(VLOOKUP(База_КР_КК[[#This Row],[ИД штатной должности (S)]],'уровень защищенности'!$B$7:$F$1095,5,0),"не защищена")</f>
        <v>высокий</v>
      </c>
      <c r="F877" s="68">
        <v>500678</v>
      </c>
      <c r="G877" s="74" t="s">
        <v>2335</v>
      </c>
      <c r="H877" s="181">
        <f>INDEX('Списки данных'!$D$2:$D$1048576,MATCH(База_КР_КК[[#This Row],[Структурное подразделение]],'Списки данных'!$C$2:$C$1048576,0))</f>
        <v>22</v>
      </c>
      <c r="I877" s="80" t="s">
        <v>135</v>
      </c>
      <c r="J877" s="80" t="s">
        <v>202</v>
      </c>
      <c r="K877" s="80" t="s">
        <v>203</v>
      </c>
      <c r="L877" s="30" t="s">
        <v>192</v>
      </c>
      <c r="M877" s="68">
        <v>6</v>
      </c>
      <c r="N877" s="181" t="str">
        <f t="shared" si="14"/>
        <v>да</v>
      </c>
      <c r="O877" s="23">
        <v>44288</v>
      </c>
      <c r="P877" s="23">
        <v>44288</v>
      </c>
      <c r="Q877" s="106" t="s">
        <v>66</v>
      </c>
      <c r="R877" s="37">
        <v>176</v>
      </c>
      <c r="S877" s="39" t="s">
        <v>588</v>
      </c>
      <c r="T877" s="37">
        <v>1267</v>
      </c>
      <c r="U877" s="39" t="s">
        <v>1669</v>
      </c>
      <c r="V877" s="89" t="s">
        <v>272</v>
      </c>
      <c r="W877" s="89" t="s">
        <v>135</v>
      </c>
      <c r="X877" s="106" t="s">
        <v>295</v>
      </c>
      <c r="Y877" s="107" t="s">
        <v>12</v>
      </c>
      <c r="Z877" s="67">
        <f>IF(База_КР_КК[[#This Row],[Таб.номер резервиста]]="-","-",IF(OR(База_КР_КК[[#This Row],[Уровень КК]]=2,База_КР_КК[[#This Row],[Уровень КК]]=3),IF(COUNTIFS($U$2:$U877,$U877,$F$2:$F877,$F877)=1,1,0),IF(COUNTIFS($U$2:$U877,$U877,$L$2:$L877,$L877)=1,1,0)))</f>
        <v>0</v>
      </c>
      <c r="AA8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7" s="106"/>
      <c r="AC877" s="51"/>
      <c r="AD877" s="106" t="s">
        <v>13</v>
      </c>
      <c r="AE877" s="38" t="s">
        <v>413</v>
      </c>
    </row>
    <row r="878" spans="1:31" ht="18" customHeight="1" x14ac:dyDescent="0.25">
      <c r="A8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8" s="79">
        <v>4</v>
      </c>
      <c r="C878" s="23">
        <v>44487</v>
      </c>
      <c r="D878" s="67">
        <f>IF(COUNTIF($G$2:$G878,$G878)=1,1,0)</f>
        <v>0</v>
      </c>
      <c r="E878" s="67" t="str">
        <f>IFERROR(VLOOKUP(База_КР_КК[[#This Row],[ИД штатной должности (S)]],'уровень защищенности'!$B$7:$F$1095,5,0),"не защищена")</f>
        <v>высокий</v>
      </c>
      <c r="F878" s="68">
        <v>500678</v>
      </c>
      <c r="G878" s="74" t="s">
        <v>2335</v>
      </c>
      <c r="H878" s="181">
        <f>INDEX('Списки данных'!$D$2:$D$1048576,MATCH(База_КР_КК[[#This Row],[Структурное подразделение]],'Списки данных'!$C$2:$C$1048576,0))</f>
        <v>22</v>
      </c>
      <c r="I878" s="80" t="s">
        <v>135</v>
      </c>
      <c r="J878" s="80" t="s">
        <v>202</v>
      </c>
      <c r="K878" s="80" t="s">
        <v>203</v>
      </c>
      <c r="L878" s="30" t="s">
        <v>192</v>
      </c>
      <c r="M878" s="68">
        <v>6</v>
      </c>
      <c r="N878" s="181" t="str">
        <f t="shared" si="14"/>
        <v>да</v>
      </c>
      <c r="O878" s="23">
        <v>44288</v>
      </c>
      <c r="P878" s="23">
        <v>44288</v>
      </c>
      <c r="Q878" s="106" t="s">
        <v>66</v>
      </c>
      <c r="R878" s="37">
        <v>176</v>
      </c>
      <c r="S878" s="39" t="s">
        <v>588</v>
      </c>
      <c r="T878" s="37">
        <v>1268</v>
      </c>
      <c r="U878" s="39" t="s">
        <v>1670</v>
      </c>
      <c r="V878" s="89" t="s">
        <v>272</v>
      </c>
      <c r="W878" s="89" t="s">
        <v>135</v>
      </c>
      <c r="X878" s="106" t="s">
        <v>296</v>
      </c>
      <c r="Y878" s="107" t="s">
        <v>12</v>
      </c>
      <c r="Z878" s="67">
        <f>IF(База_КР_КК[[#This Row],[Таб.номер резервиста]]="-","-",IF(OR(База_КР_КК[[#This Row],[Уровень КК]]=2,База_КР_КК[[#This Row],[Уровень КК]]=3),IF(COUNTIFS($U$2:$U878,$U878,$F$2:$F878,$F878)=1,1,0),IF(COUNTIFS($U$2:$U878,$U878,$L$2:$L878,$L878)=1,1,0)))</f>
        <v>0</v>
      </c>
      <c r="AA8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8" s="106"/>
      <c r="AC878" s="51"/>
      <c r="AD878" s="106" t="s">
        <v>13</v>
      </c>
      <c r="AE878" s="33" t="s">
        <v>413</v>
      </c>
    </row>
    <row r="879" spans="1:31" ht="18" customHeight="1" x14ac:dyDescent="0.25">
      <c r="A8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79" s="79">
        <v>4</v>
      </c>
      <c r="C879" s="23">
        <v>44879</v>
      </c>
      <c r="D879" s="67">
        <f>IF(COUNTIF($G$2:$G879,$G879)=1,1,0)</f>
        <v>0</v>
      </c>
      <c r="E879" s="67" t="str">
        <f>IFERROR(VLOOKUP(База_КР_КК[[#This Row],[ИД штатной должности (S)]],'уровень защищенности'!$B$7:$F$1095,5,0),"не защищена")</f>
        <v>высокий</v>
      </c>
      <c r="F879" s="68">
        <v>500678</v>
      </c>
      <c r="G879" s="74" t="s">
        <v>2335</v>
      </c>
      <c r="H879" s="181">
        <f>INDEX('Списки данных'!$D$2:$D$1048576,MATCH(База_КР_КК[[#This Row],[Структурное подразделение]],'Списки данных'!$C$2:$C$1048576,0))</f>
        <v>22</v>
      </c>
      <c r="I879" s="80" t="s">
        <v>135</v>
      </c>
      <c r="J879" s="80" t="s">
        <v>202</v>
      </c>
      <c r="K879" s="80" t="s">
        <v>203</v>
      </c>
      <c r="L879" s="30" t="s">
        <v>192</v>
      </c>
      <c r="M879" s="68">
        <v>6</v>
      </c>
      <c r="N879" s="181" t="str">
        <f t="shared" si="14"/>
        <v>да</v>
      </c>
      <c r="O879" s="23">
        <v>44288</v>
      </c>
      <c r="P879" s="23">
        <v>44288</v>
      </c>
      <c r="Q879" s="106" t="s">
        <v>66</v>
      </c>
      <c r="R879" s="37">
        <v>176</v>
      </c>
      <c r="S879" s="39" t="s">
        <v>588</v>
      </c>
      <c r="T879" s="37">
        <v>1258</v>
      </c>
      <c r="U879" s="38" t="s">
        <v>1660</v>
      </c>
      <c r="V879" s="69" t="s">
        <v>272</v>
      </c>
      <c r="W879" s="89" t="s">
        <v>135</v>
      </c>
      <c r="X879" s="106" t="s">
        <v>297</v>
      </c>
      <c r="Y879" s="107" t="s">
        <v>12</v>
      </c>
      <c r="Z879" s="67">
        <f>IF(База_КР_КК[[#This Row],[Таб.номер резервиста]]="-","-",IF(OR(База_КР_КК[[#This Row],[Уровень КК]]=2,База_КР_КК[[#This Row],[Уровень КК]]=3),IF(COUNTIFS($U$2:$U879,$U879,$F$2:$F879,$F879)=1,1,0),IF(COUNTIFS($U$2:$U879,$U879,$L$2:$L879,$L879)=1,1,0)))</f>
        <v>0</v>
      </c>
      <c r="AA8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79" s="106"/>
      <c r="AC879" s="51"/>
      <c r="AD879" s="106" t="s">
        <v>15</v>
      </c>
      <c r="AE879" s="33" t="s">
        <v>413</v>
      </c>
    </row>
    <row r="880" spans="1:31" ht="18" customHeight="1" x14ac:dyDescent="0.25">
      <c r="A8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0" s="79">
        <v>4</v>
      </c>
      <c r="C880" s="23">
        <v>44879</v>
      </c>
      <c r="D880" s="67">
        <f>IF(COUNTIF($G$2:$G880,$G880)=1,1,0)</f>
        <v>0</v>
      </c>
      <c r="E880" s="67" t="str">
        <f>IFERROR(VLOOKUP(База_КР_КК[[#This Row],[ИД штатной должности (S)]],'уровень защищенности'!$B$7:$F$1095,5,0),"не защищена")</f>
        <v>высокий</v>
      </c>
      <c r="F880" s="68">
        <v>500678</v>
      </c>
      <c r="G880" s="74" t="s">
        <v>2335</v>
      </c>
      <c r="H880" s="181">
        <f>INDEX('Списки данных'!$D$2:$D$1048576,MATCH(База_КР_КК[[#This Row],[Структурное подразделение]],'Списки данных'!$C$2:$C$1048576,0))</f>
        <v>22</v>
      </c>
      <c r="I880" s="80" t="s">
        <v>135</v>
      </c>
      <c r="J880" s="80" t="s">
        <v>202</v>
      </c>
      <c r="K880" s="80" t="s">
        <v>203</v>
      </c>
      <c r="L880" s="30" t="s">
        <v>192</v>
      </c>
      <c r="M880" s="68">
        <v>6</v>
      </c>
      <c r="N880" s="181" t="str">
        <f t="shared" si="14"/>
        <v>да</v>
      </c>
      <c r="O880" s="23">
        <v>44288</v>
      </c>
      <c r="P880" s="23">
        <v>44288</v>
      </c>
      <c r="Q880" s="106" t="s">
        <v>66</v>
      </c>
      <c r="R880" s="37">
        <v>176</v>
      </c>
      <c r="S880" s="39" t="s">
        <v>588</v>
      </c>
      <c r="T880" s="37">
        <v>1260</v>
      </c>
      <c r="U880" s="38" t="s">
        <v>1662</v>
      </c>
      <c r="V880" s="69" t="s">
        <v>272</v>
      </c>
      <c r="W880" s="89" t="s">
        <v>135</v>
      </c>
      <c r="X880" s="106" t="s">
        <v>297</v>
      </c>
      <c r="Y880" s="107" t="s">
        <v>12</v>
      </c>
      <c r="Z880" s="67">
        <f>IF(База_КР_КК[[#This Row],[Таб.номер резервиста]]="-","-",IF(OR(База_КР_КК[[#This Row],[Уровень КК]]=2,База_КР_КК[[#This Row],[Уровень КК]]=3),IF(COUNTIFS($U$2:$U880,$U880,$F$2:$F880,$F880)=1,1,0),IF(COUNTIFS($U$2:$U880,$U880,$L$2:$L880,$L880)=1,1,0)))</f>
        <v>0</v>
      </c>
      <c r="AA8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0" s="106"/>
      <c r="AC880" s="51"/>
      <c r="AD880" s="106" t="s">
        <v>15</v>
      </c>
      <c r="AE880" s="33" t="s">
        <v>413</v>
      </c>
    </row>
    <row r="881" spans="1:31" ht="18" customHeight="1" x14ac:dyDescent="0.25">
      <c r="A8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1" s="79">
        <v>4</v>
      </c>
      <c r="C881" s="23">
        <v>43733</v>
      </c>
      <c r="D881" s="67">
        <f>IF(COUNTIF($G$2:$G881,$G881)=1,1,0)</f>
        <v>0</v>
      </c>
      <c r="E881" s="67" t="str">
        <f>IFERROR(VLOOKUP(База_КР_КК[[#This Row],[ИД штатной должности (S)]],'уровень защищенности'!$B$7:$F$1095,5,0),"не защищена")</f>
        <v>высокий</v>
      </c>
      <c r="F881" s="68">
        <v>500678</v>
      </c>
      <c r="G881" s="74" t="s">
        <v>2335</v>
      </c>
      <c r="H881" s="181">
        <f>INDEX('Списки данных'!$D$2:$D$1048576,MATCH(База_КР_КК[[#This Row],[Структурное подразделение]],'Списки данных'!$C$2:$C$1048576,0))</f>
        <v>22</v>
      </c>
      <c r="I881" s="80" t="s">
        <v>135</v>
      </c>
      <c r="J881" s="80" t="s">
        <v>202</v>
      </c>
      <c r="K881" s="80" t="s">
        <v>203</v>
      </c>
      <c r="L881" s="30" t="s">
        <v>192</v>
      </c>
      <c r="M881" s="68">
        <v>6</v>
      </c>
      <c r="N881" s="181" t="str">
        <f t="shared" si="14"/>
        <v>да</v>
      </c>
      <c r="O881" s="23">
        <v>44288</v>
      </c>
      <c r="P881" s="23">
        <v>44288</v>
      </c>
      <c r="Q881" s="106" t="s">
        <v>66</v>
      </c>
      <c r="R881" s="37">
        <v>176</v>
      </c>
      <c r="S881" s="39" t="s">
        <v>588</v>
      </c>
      <c r="T881" s="37">
        <v>176</v>
      </c>
      <c r="U881" s="39" t="s">
        <v>588</v>
      </c>
      <c r="V881" s="89" t="s">
        <v>272</v>
      </c>
      <c r="W881" s="89" t="s">
        <v>135</v>
      </c>
      <c r="X881" s="106" t="s">
        <v>297</v>
      </c>
      <c r="Y881" s="107" t="s">
        <v>14</v>
      </c>
      <c r="Z881" s="67">
        <f>IF(База_КР_КК[[#This Row],[Таб.номер резервиста]]="-","-",IF(OR(База_КР_КК[[#This Row],[Уровень КК]]=2,База_КР_КК[[#This Row],[Уровень КК]]=3),IF(COUNTIFS($U$2:$U881,$U881,$F$2:$F881,$F881)=1,1,0),IF(COUNTIFS($U$2:$U881,$U881,$L$2:$L881,$L881)=1,1,0)))</f>
        <v>0</v>
      </c>
      <c r="AA8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881" s="106" t="s">
        <v>24</v>
      </c>
      <c r="AC881" s="51">
        <v>44288</v>
      </c>
      <c r="AD881" s="106" t="s">
        <v>17</v>
      </c>
      <c r="AE881" s="38" t="s">
        <v>323</v>
      </c>
    </row>
    <row r="882" spans="1:31" ht="18" customHeight="1" x14ac:dyDescent="0.25">
      <c r="A8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2" s="79">
        <v>4</v>
      </c>
      <c r="C882" s="23">
        <v>43733</v>
      </c>
      <c r="D882" s="67">
        <f>IF(COUNTIF($G$2:$G882,$G882)=1,1,0)</f>
        <v>1</v>
      </c>
      <c r="E882" s="67" t="str">
        <f>IFERROR(VLOOKUP(База_КР_КК[[#This Row],[ИД штатной должности (S)]],'уровень защищенности'!$B$7:$F$1095,5,0),"не защищена")</f>
        <v>не защищена</v>
      </c>
      <c r="F882" s="68">
        <v>500660</v>
      </c>
      <c r="G882" s="74" t="s">
        <v>2336</v>
      </c>
      <c r="H882" s="181">
        <f>INDEX('Списки данных'!$D$2:$D$1048576,MATCH(База_КР_КК[[#This Row],[Структурное подразделение]],'Списки данных'!$C$2:$C$1048576,0))</f>
        <v>22</v>
      </c>
      <c r="I882" s="80" t="s">
        <v>135</v>
      </c>
      <c r="J882" s="80" t="s">
        <v>202</v>
      </c>
      <c r="K882" s="80" t="s">
        <v>203</v>
      </c>
      <c r="L882" s="30" t="s">
        <v>192</v>
      </c>
      <c r="M882" s="68">
        <v>6</v>
      </c>
      <c r="N882" s="181" t="str">
        <f t="shared" si="14"/>
        <v>нет</v>
      </c>
      <c r="O882" s="23"/>
      <c r="P882" s="23"/>
      <c r="Q882" s="106"/>
      <c r="R882" s="37">
        <v>177</v>
      </c>
      <c r="S882" s="38" t="s">
        <v>589</v>
      </c>
      <c r="T882" s="37">
        <v>170</v>
      </c>
      <c r="U882" s="39" t="s">
        <v>582</v>
      </c>
      <c r="V882" s="89" t="s">
        <v>272</v>
      </c>
      <c r="W882" s="89" t="s">
        <v>135</v>
      </c>
      <c r="X882" s="106" t="s">
        <v>295</v>
      </c>
      <c r="Y882" s="107" t="s">
        <v>14</v>
      </c>
      <c r="Z882" s="67">
        <f>IF(База_КР_КК[[#This Row],[Таб.номер резервиста]]="-","-",IF(OR(База_КР_КК[[#This Row],[Уровень КК]]=2,База_КР_КК[[#This Row],[Уровень КК]]=3),IF(COUNTIFS($U$2:$U882,$U882,$F$2:$F882,$F882)=1,1,0),IF(COUNTIFS($U$2:$U882,$U882,$L$2:$L882,$L882)=1,1,0)))</f>
        <v>1</v>
      </c>
      <c r="AA8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2" s="106" t="s">
        <v>37</v>
      </c>
      <c r="AC882" s="51">
        <v>44407</v>
      </c>
      <c r="AD882" s="106" t="s">
        <v>13</v>
      </c>
      <c r="AE882" s="38" t="s">
        <v>323</v>
      </c>
    </row>
    <row r="883" spans="1:31" ht="18" customHeight="1" x14ac:dyDescent="0.25">
      <c r="A8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3" s="79">
        <v>4</v>
      </c>
      <c r="C883" s="23">
        <v>43733</v>
      </c>
      <c r="D883" s="67">
        <f>IF(COUNTIF($G$2:$G883,$G883)=1,1,0)</f>
        <v>0</v>
      </c>
      <c r="E883" s="67" t="str">
        <f>IFERROR(VLOOKUP(База_КР_КК[[#This Row],[ИД штатной должности (S)]],'уровень защищенности'!$B$7:$F$1095,5,0),"не защищена")</f>
        <v>не защищена</v>
      </c>
      <c r="F883" s="68">
        <v>500660</v>
      </c>
      <c r="G883" s="74" t="s">
        <v>2336</v>
      </c>
      <c r="H883" s="181">
        <f>INDEX('Списки данных'!$D$2:$D$1048576,MATCH(База_КР_КК[[#This Row],[Структурное подразделение]],'Списки данных'!$C$2:$C$1048576,0))</f>
        <v>22</v>
      </c>
      <c r="I883" s="80" t="s">
        <v>135</v>
      </c>
      <c r="J883" s="80" t="s">
        <v>202</v>
      </c>
      <c r="K883" s="80" t="s">
        <v>203</v>
      </c>
      <c r="L883" s="30" t="s">
        <v>192</v>
      </c>
      <c r="M883" s="68">
        <v>6</v>
      </c>
      <c r="N883" s="181" t="str">
        <f t="shared" si="14"/>
        <v>нет</v>
      </c>
      <c r="O883" s="23"/>
      <c r="P883" s="23"/>
      <c r="Q883" s="106"/>
      <c r="R883" s="37">
        <v>177</v>
      </c>
      <c r="S883" s="38" t="s">
        <v>589</v>
      </c>
      <c r="T883" s="37">
        <v>1269</v>
      </c>
      <c r="U883" s="39" t="s">
        <v>1671</v>
      </c>
      <c r="V883" s="89" t="s">
        <v>16</v>
      </c>
      <c r="W883" s="89" t="s">
        <v>277</v>
      </c>
      <c r="X883" s="106" t="s">
        <v>295</v>
      </c>
      <c r="Y883" s="107" t="s">
        <v>18</v>
      </c>
      <c r="Z883" s="67">
        <f>IF(База_КР_КК[[#This Row],[Таб.номер резервиста]]="-","-",IF(OR(База_КР_КК[[#This Row],[Уровень КК]]=2,База_КР_КК[[#This Row],[Уровень КК]]=3),IF(COUNTIFS($U$2:$U883,$U883,$F$2:$F883,$F883)=1,1,0),IF(COUNTIFS($U$2:$U883,$U883,$L$2:$L883,$L883)=1,1,0)))</f>
        <v>1</v>
      </c>
      <c r="AA8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3" s="106" t="s">
        <v>33</v>
      </c>
      <c r="AC883" s="51">
        <v>45016</v>
      </c>
      <c r="AD883" s="106" t="s">
        <v>13</v>
      </c>
      <c r="AE883" s="38" t="s">
        <v>413</v>
      </c>
    </row>
    <row r="884" spans="1:31" ht="18" customHeight="1" x14ac:dyDescent="0.25">
      <c r="A8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4" s="79">
        <v>4</v>
      </c>
      <c r="C884" s="23">
        <v>44487</v>
      </c>
      <c r="D884" s="67">
        <f>IF(COUNTIF($G$2:$G884,$G884)=1,1,0)</f>
        <v>1</v>
      </c>
      <c r="E884" s="67" t="str">
        <f>IFERROR(VLOOKUP(База_КР_КК[[#This Row],[ИД штатной должности (S)]],'уровень защищенности'!$B$7:$F$1095,5,0),"не защищена")</f>
        <v>высокий</v>
      </c>
      <c r="F884" s="68">
        <v>500674</v>
      </c>
      <c r="G884" s="74" t="s">
        <v>2337</v>
      </c>
      <c r="H884" s="181">
        <f>INDEX('Списки данных'!$D$2:$D$1048576,MATCH(База_КР_КК[[#This Row],[Структурное подразделение]],'Списки данных'!$C$2:$C$1048576,0))</f>
        <v>22</v>
      </c>
      <c r="I884" s="80" t="s">
        <v>135</v>
      </c>
      <c r="J884" s="80" t="s">
        <v>202</v>
      </c>
      <c r="K884" s="80" t="s">
        <v>203</v>
      </c>
      <c r="L884" s="30" t="s">
        <v>189</v>
      </c>
      <c r="M884" s="68">
        <v>6</v>
      </c>
      <c r="N884" s="181" t="str">
        <f t="shared" si="14"/>
        <v>нет</v>
      </c>
      <c r="O884" s="23"/>
      <c r="P884" s="23"/>
      <c r="Q884" s="106"/>
      <c r="R884" s="37">
        <v>178</v>
      </c>
      <c r="S884" s="38" t="s">
        <v>590</v>
      </c>
      <c r="T884" s="37">
        <v>1270</v>
      </c>
      <c r="U884" s="39" t="s">
        <v>1672</v>
      </c>
      <c r="V884" s="89" t="s">
        <v>272</v>
      </c>
      <c r="W884" s="89" t="s">
        <v>135</v>
      </c>
      <c r="X884" s="106" t="s">
        <v>295</v>
      </c>
      <c r="Y884" s="107" t="s">
        <v>12</v>
      </c>
      <c r="Z884" s="67">
        <f>IF(База_КР_КК[[#This Row],[Таб.номер резервиста]]="-","-",IF(OR(База_КР_КК[[#This Row],[Уровень КК]]=2,База_КР_КК[[#This Row],[Уровень КК]]=3),IF(COUNTIFS($U$2:$U884,$U884,$F$2:$F884,$F884)=1,1,0),IF(COUNTIFS($U$2:$U884,$U884,$L$2:$L884,$L884)=1,1,0)))</f>
        <v>1</v>
      </c>
      <c r="AA8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4" s="106"/>
      <c r="AC884" s="51"/>
      <c r="AD884" s="106" t="s">
        <v>17</v>
      </c>
      <c r="AE884" s="33" t="s">
        <v>413</v>
      </c>
    </row>
    <row r="885" spans="1:31" ht="18" customHeight="1" x14ac:dyDescent="0.25">
      <c r="A8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5" s="79">
        <v>4</v>
      </c>
      <c r="C885" s="23">
        <v>44487</v>
      </c>
      <c r="D885" s="67">
        <f>IF(COUNTIF($G$2:$G885,$G885)=1,1,0)</f>
        <v>0</v>
      </c>
      <c r="E885" s="67" t="str">
        <f>IFERROR(VLOOKUP(База_КР_КК[[#This Row],[ИД штатной должности (S)]],'уровень защищенности'!$B$7:$F$1095,5,0),"не защищена")</f>
        <v>высокий</v>
      </c>
      <c r="F885" s="68">
        <v>500674</v>
      </c>
      <c r="G885" s="74" t="s">
        <v>2337</v>
      </c>
      <c r="H885" s="181">
        <f>INDEX('Списки данных'!$D$2:$D$1048576,MATCH(База_КР_КК[[#This Row],[Структурное подразделение]],'Списки данных'!$C$2:$C$1048576,0))</f>
        <v>22</v>
      </c>
      <c r="I885" s="80" t="s">
        <v>135</v>
      </c>
      <c r="J885" s="80" t="s">
        <v>202</v>
      </c>
      <c r="K885" s="80" t="s">
        <v>203</v>
      </c>
      <c r="L885" s="30" t="s">
        <v>189</v>
      </c>
      <c r="M885" s="68">
        <v>6</v>
      </c>
      <c r="N885" s="181" t="str">
        <f t="shared" si="14"/>
        <v>нет</v>
      </c>
      <c r="O885" s="23"/>
      <c r="P885" s="23"/>
      <c r="Q885" s="106"/>
      <c r="R885" s="37">
        <v>178</v>
      </c>
      <c r="S885" s="38" t="s">
        <v>590</v>
      </c>
      <c r="T885" s="37">
        <v>182</v>
      </c>
      <c r="U885" s="39" t="s">
        <v>594</v>
      </c>
      <c r="V885" s="89" t="s">
        <v>192</v>
      </c>
      <c r="W885" s="89" t="s">
        <v>135</v>
      </c>
      <c r="X885" s="106" t="s">
        <v>297</v>
      </c>
      <c r="Y885" s="107" t="s">
        <v>12</v>
      </c>
      <c r="Z885" s="67">
        <f>IF(База_КР_КК[[#This Row],[Таб.номер резервиста]]="-","-",IF(OR(База_КР_КК[[#This Row],[Уровень КК]]=2,База_КР_КК[[#This Row],[Уровень КК]]=3),IF(COUNTIFS($U$2:$U885,$U885,$F$2:$F885,$F885)=1,1,0),IF(COUNTIFS($U$2:$U885,$U885,$L$2:$L885,$L885)=1,1,0)))</f>
        <v>1</v>
      </c>
      <c r="AA8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5" s="106"/>
      <c r="AC885" s="51"/>
      <c r="AD885" s="106" t="s">
        <v>13</v>
      </c>
      <c r="AE885" s="33" t="s">
        <v>413</v>
      </c>
    </row>
    <row r="886" spans="1:31" ht="18" customHeight="1" x14ac:dyDescent="0.25">
      <c r="A8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6" s="79">
        <v>4</v>
      </c>
      <c r="C886" s="23">
        <v>43733</v>
      </c>
      <c r="D886" s="67">
        <f>IF(COUNTIF($G$2:$G886,$G886)=1,1,0)</f>
        <v>0</v>
      </c>
      <c r="E886" s="67" t="str">
        <f>IFERROR(VLOOKUP(База_КР_КК[[#This Row],[ИД штатной должности (S)]],'уровень защищенности'!$B$7:$F$1095,5,0),"не защищена")</f>
        <v>высокий</v>
      </c>
      <c r="F886" s="68">
        <v>500674</v>
      </c>
      <c r="G886" s="74" t="s">
        <v>2337</v>
      </c>
      <c r="H886" s="181">
        <f>INDEX('Списки данных'!$D$2:$D$1048576,MATCH(База_КР_КК[[#This Row],[Структурное подразделение]],'Списки данных'!$C$2:$C$1048576,0))</f>
        <v>22</v>
      </c>
      <c r="I886" s="80" t="s">
        <v>135</v>
      </c>
      <c r="J886" s="80" t="s">
        <v>202</v>
      </c>
      <c r="K886" s="80" t="s">
        <v>203</v>
      </c>
      <c r="L886" s="30" t="s">
        <v>189</v>
      </c>
      <c r="M886" s="68">
        <v>6</v>
      </c>
      <c r="N886" s="181" t="str">
        <f t="shared" si="14"/>
        <v>нет</v>
      </c>
      <c r="O886" s="23"/>
      <c r="P886" s="23"/>
      <c r="Q886" s="106"/>
      <c r="R886" s="37">
        <v>178</v>
      </c>
      <c r="S886" s="38" t="s">
        <v>590</v>
      </c>
      <c r="T886" s="37">
        <v>1271</v>
      </c>
      <c r="U886" s="39" t="s">
        <v>1673</v>
      </c>
      <c r="V886" s="89" t="s">
        <v>272</v>
      </c>
      <c r="W886" s="89" t="s">
        <v>135</v>
      </c>
      <c r="X886" s="106" t="s">
        <v>295</v>
      </c>
      <c r="Y886" s="107" t="s">
        <v>18</v>
      </c>
      <c r="Z886" s="67">
        <f>IF(База_КР_КК[[#This Row],[Таб.номер резервиста]]="-","-",IF(OR(База_КР_КК[[#This Row],[Уровень КК]]=2,База_КР_КК[[#This Row],[Уровень КК]]=3),IF(COUNTIFS($U$2:$U886,$U886,$F$2:$F886,$F886)=1,1,0),IF(COUNTIFS($U$2:$U886,$U886,$L$2:$L886,$L886)=1,1,0)))</f>
        <v>1</v>
      </c>
      <c r="AA8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6" s="106" t="s">
        <v>19</v>
      </c>
      <c r="AC886" s="51">
        <v>44606</v>
      </c>
      <c r="AD886" s="106" t="s">
        <v>13</v>
      </c>
      <c r="AE886" s="38" t="s">
        <v>323</v>
      </c>
    </row>
    <row r="887" spans="1:31" ht="18" customHeight="1" x14ac:dyDescent="0.25">
      <c r="A8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7" s="79">
        <v>4</v>
      </c>
      <c r="C887" s="23">
        <v>43733</v>
      </c>
      <c r="D887" s="67">
        <f>IF(COUNTIF($G$2:$G887,$G887)=1,1,0)</f>
        <v>1</v>
      </c>
      <c r="E887" s="67" t="str">
        <f>IFERROR(VLOOKUP(База_КР_КК[[#This Row],[ИД штатной должности (S)]],'уровень защищенности'!$B$7:$F$1095,5,0),"не защищена")</f>
        <v>высокий</v>
      </c>
      <c r="F887" s="68">
        <v>500675</v>
      </c>
      <c r="G887" s="74" t="s">
        <v>2338</v>
      </c>
      <c r="H887" s="181">
        <f>INDEX('Списки данных'!$D$2:$D$1048576,MATCH(База_КР_КК[[#This Row],[Структурное подразделение]],'Списки данных'!$C$2:$C$1048576,0))</f>
        <v>22</v>
      </c>
      <c r="I887" s="80" t="s">
        <v>135</v>
      </c>
      <c r="J887" s="80" t="s">
        <v>202</v>
      </c>
      <c r="K887" s="80" t="s">
        <v>203</v>
      </c>
      <c r="L887" s="30" t="s">
        <v>191</v>
      </c>
      <c r="M887" s="68">
        <v>6</v>
      </c>
      <c r="N887" s="181" t="str">
        <f t="shared" si="14"/>
        <v>нет</v>
      </c>
      <c r="O887" s="23"/>
      <c r="P887" s="23"/>
      <c r="Q887" s="106"/>
      <c r="R887" s="37">
        <v>179</v>
      </c>
      <c r="S887" s="38" t="s">
        <v>591</v>
      </c>
      <c r="T887" s="37">
        <v>1270</v>
      </c>
      <c r="U887" s="39" t="s">
        <v>1672</v>
      </c>
      <c r="V887" s="89" t="s">
        <v>272</v>
      </c>
      <c r="W887" s="89" t="s">
        <v>135</v>
      </c>
      <c r="X887" s="106" t="s">
        <v>295</v>
      </c>
      <c r="Y887" s="107" t="s">
        <v>12</v>
      </c>
      <c r="Z887" s="67">
        <f>IF(База_КР_КК[[#This Row],[Таб.номер резервиста]]="-","-",IF(OR(База_КР_КК[[#This Row],[Уровень КК]]=2,База_КР_КК[[#This Row],[Уровень КК]]=3),IF(COUNTIFS($U$2:$U887,$U887,$F$2:$F887,$F887)=1,1,0),IF(COUNTIFS($U$2:$U887,$U887,$L$2:$L887,$L887)=1,1,0)))</f>
        <v>1</v>
      </c>
      <c r="AA8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7" s="106"/>
      <c r="AC887" s="51"/>
      <c r="AD887" s="106" t="s">
        <v>13</v>
      </c>
      <c r="AE887" s="38" t="s">
        <v>413</v>
      </c>
    </row>
    <row r="888" spans="1:31" ht="18" customHeight="1" x14ac:dyDescent="0.25">
      <c r="A8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8" s="79">
        <v>4</v>
      </c>
      <c r="C888" s="23">
        <v>43733</v>
      </c>
      <c r="D888" s="67">
        <f>IF(COUNTIF($G$2:$G888,$G888)=1,1,0)</f>
        <v>0</v>
      </c>
      <c r="E888" s="67" t="str">
        <f>IFERROR(VLOOKUP(База_КР_КК[[#This Row],[ИД штатной должности (S)]],'уровень защищенности'!$B$7:$F$1095,5,0),"не защищена")</f>
        <v>высокий</v>
      </c>
      <c r="F888" s="68">
        <v>500675</v>
      </c>
      <c r="G888" s="74" t="s">
        <v>2338</v>
      </c>
      <c r="H888" s="181">
        <f>INDEX('Списки данных'!$D$2:$D$1048576,MATCH(База_КР_КК[[#This Row],[Структурное подразделение]],'Списки данных'!$C$2:$C$1048576,0))</f>
        <v>22</v>
      </c>
      <c r="I888" s="80" t="s">
        <v>135</v>
      </c>
      <c r="J888" s="80" t="s">
        <v>202</v>
      </c>
      <c r="K888" s="80" t="s">
        <v>203</v>
      </c>
      <c r="L888" s="30" t="s">
        <v>191</v>
      </c>
      <c r="M888" s="68">
        <v>6</v>
      </c>
      <c r="N888" s="181" t="str">
        <f t="shared" si="14"/>
        <v>нет</v>
      </c>
      <c r="O888" s="23"/>
      <c r="P888" s="23"/>
      <c r="Q888" s="106"/>
      <c r="R888" s="37">
        <v>179</v>
      </c>
      <c r="S888" s="38" t="s">
        <v>591</v>
      </c>
      <c r="T888" s="37">
        <v>181</v>
      </c>
      <c r="U888" s="39" t="s">
        <v>593</v>
      </c>
      <c r="V888" s="89" t="s">
        <v>272</v>
      </c>
      <c r="W888" s="89" t="s">
        <v>135</v>
      </c>
      <c r="X888" s="106" t="s">
        <v>295</v>
      </c>
      <c r="Y888" s="107" t="s">
        <v>18</v>
      </c>
      <c r="Z888" s="67">
        <f>IF(База_КР_КК[[#This Row],[Таб.номер резервиста]]="-","-",IF(OR(База_КР_КК[[#This Row],[Уровень КК]]=2,База_КР_КК[[#This Row],[Уровень КК]]=3),IF(COUNTIFS($U$2:$U888,$U888,$F$2:$F888,$F888)=1,1,0),IF(COUNTIFS($U$2:$U888,$U888,$L$2:$L888,$L888)=1,1,0)))</f>
        <v>1</v>
      </c>
      <c r="AA8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8" s="106" t="s">
        <v>24</v>
      </c>
      <c r="AC888" s="51">
        <v>45078</v>
      </c>
      <c r="AD888" s="106" t="s">
        <v>17</v>
      </c>
      <c r="AE888" s="38" t="s">
        <v>413</v>
      </c>
    </row>
    <row r="889" spans="1:31" ht="18" customHeight="1" x14ac:dyDescent="0.25">
      <c r="A8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89" s="79">
        <v>4</v>
      </c>
      <c r="C889" s="23">
        <v>43733</v>
      </c>
      <c r="D889" s="67">
        <f>IF(COUNTIF($G$2:$G889,$G889)=1,1,0)</f>
        <v>0</v>
      </c>
      <c r="E889" s="67" t="str">
        <f>IFERROR(VLOOKUP(База_КР_КК[[#This Row],[ИД штатной должности (S)]],'уровень защищенности'!$B$7:$F$1095,5,0),"не защищена")</f>
        <v>высокий</v>
      </c>
      <c r="F889" s="68">
        <v>500675</v>
      </c>
      <c r="G889" s="74" t="s">
        <v>2338</v>
      </c>
      <c r="H889" s="181">
        <f>INDEX('Списки данных'!$D$2:$D$1048576,MATCH(База_КР_КК[[#This Row],[Структурное подразделение]],'Списки данных'!$C$2:$C$1048576,0))</f>
        <v>22</v>
      </c>
      <c r="I889" s="80" t="s">
        <v>135</v>
      </c>
      <c r="J889" s="80" t="s">
        <v>202</v>
      </c>
      <c r="K889" s="80" t="s">
        <v>203</v>
      </c>
      <c r="L889" s="30" t="s">
        <v>191</v>
      </c>
      <c r="M889" s="68">
        <v>6</v>
      </c>
      <c r="N889" s="181" t="str">
        <f t="shared" si="14"/>
        <v>нет</v>
      </c>
      <c r="O889" s="23"/>
      <c r="P889" s="23"/>
      <c r="Q889" s="106"/>
      <c r="R889" s="37">
        <v>179</v>
      </c>
      <c r="S889" s="38" t="s">
        <v>591</v>
      </c>
      <c r="T889" s="37">
        <v>1272</v>
      </c>
      <c r="U889" s="39" t="s">
        <v>1674</v>
      </c>
      <c r="V889" s="89" t="s">
        <v>272</v>
      </c>
      <c r="W889" s="89" t="s">
        <v>135</v>
      </c>
      <c r="X889" s="106" t="s">
        <v>297</v>
      </c>
      <c r="Y889" s="107" t="s">
        <v>12</v>
      </c>
      <c r="Z889" s="67">
        <f>IF(База_КР_КК[[#This Row],[Таб.номер резервиста]]="-","-",IF(OR(База_КР_КК[[#This Row],[Уровень КК]]=2,База_КР_КК[[#This Row],[Уровень КК]]=3),IF(COUNTIFS($U$2:$U889,$U889,$F$2:$F889,$F889)=1,1,0),IF(COUNTIFS($U$2:$U889,$U889,$L$2:$L889,$L889)=1,1,0)))</f>
        <v>1</v>
      </c>
      <c r="AA8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89" s="106"/>
      <c r="AC889" s="51"/>
      <c r="AD889" s="106" t="s">
        <v>22</v>
      </c>
      <c r="AE889" s="38" t="s">
        <v>413</v>
      </c>
    </row>
    <row r="890" spans="1:31" ht="18" customHeight="1" x14ac:dyDescent="0.25">
      <c r="A8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0" s="79">
        <v>4</v>
      </c>
      <c r="C890" s="23">
        <v>44879</v>
      </c>
      <c r="D890" s="67">
        <f>IF(COUNTIF($G$2:$G890,$G890)=1,1,0)</f>
        <v>0</v>
      </c>
      <c r="E890" s="67" t="str">
        <f>IFERROR(VLOOKUP(База_КР_КК[[#This Row],[ИД штатной должности (S)]],'уровень защищенности'!$B$7:$F$1095,5,0),"не защищена")</f>
        <v>высокий</v>
      </c>
      <c r="F890" s="68">
        <v>500675</v>
      </c>
      <c r="G890" s="74" t="s">
        <v>2338</v>
      </c>
      <c r="H890" s="181">
        <f>INDEX('Списки данных'!$D$2:$D$1048576,MATCH(База_КР_КК[[#This Row],[Структурное подразделение]],'Списки данных'!$C$2:$C$1048576,0))</f>
        <v>22</v>
      </c>
      <c r="I890" s="80" t="s">
        <v>135</v>
      </c>
      <c r="J890" s="80" t="s">
        <v>202</v>
      </c>
      <c r="K890" s="80" t="s">
        <v>203</v>
      </c>
      <c r="L890" s="30" t="s">
        <v>191</v>
      </c>
      <c r="M890" s="68">
        <v>6</v>
      </c>
      <c r="N890" s="181" t="str">
        <f t="shared" si="14"/>
        <v>нет</v>
      </c>
      <c r="O890" s="23"/>
      <c r="P890" s="23"/>
      <c r="Q890" s="106"/>
      <c r="R890" s="37">
        <v>179</v>
      </c>
      <c r="S890" s="39" t="s">
        <v>591</v>
      </c>
      <c r="T890" s="37">
        <v>1266</v>
      </c>
      <c r="U890" s="38" t="s">
        <v>1668</v>
      </c>
      <c r="V890" s="69" t="s">
        <v>272</v>
      </c>
      <c r="W890" s="89" t="s">
        <v>135</v>
      </c>
      <c r="X890" s="106" t="s">
        <v>296</v>
      </c>
      <c r="Y890" s="107" t="s">
        <v>12</v>
      </c>
      <c r="Z890" s="67">
        <f>IF(База_КР_КК[[#This Row],[Таб.номер резервиста]]="-","-",IF(OR(База_КР_КК[[#This Row],[Уровень КК]]=2,База_КР_КК[[#This Row],[Уровень КК]]=3),IF(COUNTIFS($U$2:$U890,$U890,$F$2:$F890,$F890)=1,1,0),IF(COUNTIFS($U$2:$U890,$U890,$L$2:$L890,$L890)=1,1,0)))</f>
        <v>0</v>
      </c>
      <c r="AA8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0" s="106"/>
      <c r="AC890" s="51"/>
      <c r="AD890" s="106" t="s">
        <v>15</v>
      </c>
      <c r="AE890" s="33" t="s">
        <v>413</v>
      </c>
    </row>
    <row r="891" spans="1:31" ht="18" customHeight="1" x14ac:dyDescent="0.25">
      <c r="A8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1" s="79">
        <v>4</v>
      </c>
      <c r="C891" s="23">
        <v>44879</v>
      </c>
      <c r="D891" s="67">
        <f>IF(COUNTIF($G$2:$G891,$G891)=1,1,0)</f>
        <v>0</v>
      </c>
      <c r="E891" s="67" t="str">
        <f>IFERROR(VLOOKUP(База_КР_КК[[#This Row],[ИД штатной должности (S)]],'уровень защищенности'!$B$7:$F$1095,5,0),"не защищена")</f>
        <v>высокий</v>
      </c>
      <c r="F891" s="68">
        <v>500675</v>
      </c>
      <c r="G891" s="74" t="s">
        <v>2338</v>
      </c>
      <c r="H891" s="181">
        <f>INDEX('Списки данных'!$D$2:$D$1048576,MATCH(База_КР_КК[[#This Row],[Структурное подразделение]],'Списки данных'!$C$2:$C$1048576,0))</f>
        <v>22</v>
      </c>
      <c r="I891" s="80" t="s">
        <v>135</v>
      </c>
      <c r="J891" s="80" t="s">
        <v>202</v>
      </c>
      <c r="K891" s="80" t="s">
        <v>203</v>
      </c>
      <c r="L891" s="30" t="s">
        <v>191</v>
      </c>
      <c r="M891" s="68">
        <v>6</v>
      </c>
      <c r="N891" s="181" t="str">
        <f t="shared" si="14"/>
        <v>нет</v>
      </c>
      <c r="O891" s="23"/>
      <c r="P891" s="23"/>
      <c r="Q891" s="106"/>
      <c r="R891" s="37">
        <v>179</v>
      </c>
      <c r="S891" s="39" t="s">
        <v>591</v>
      </c>
      <c r="T891" s="37">
        <v>1273</v>
      </c>
      <c r="U891" s="38" t="s">
        <v>1675</v>
      </c>
      <c r="V891" s="69" t="s">
        <v>272</v>
      </c>
      <c r="W891" s="89" t="s">
        <v>135</v>
      </c>
      <c r="X891" s="106" t="s">
        <v>296</v>
      </c>
      <c r="Y891" s="107" t="s">
        <v>12</v>
      </c>
      <c r="Z891" s="67">
        <f>IF(База_КР_КК[[#This Row],[Таб.номер резервиста]]="-","-",IF(OR(База_КР_КК[[#This Row],[Уровень КК]]=2,База_КР_КК[[#This Row],[Уровень КК]]=3),IF(COUNTIFS($U$2:$U891,$U891,$F$2:$F891,$F891)=1,1,0),IF(COUNTIFS($U$2:$U891,$U891,$L$2:$L891,$L891)=1,1,0)))</f>
        <v>1</v>
      </c>
      <c r="AA8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1" s="106"/>
      <c r="AC891" s="51"/>
      <c r="AD891" s="106" t="s">
        <v>15</v>
      </c>
      <c r="AE891" s="33" t="s">
        <v>413</v>
      </c>
    </row>
    <row r="892" spans="1:31" ht="18" customHeight="1" x14ac:dyDescent="0.25">
      <c r="A8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2" s="79">
        <v>4</v>
      </c>
      <c r="C892" s="23">
        <v>43733</v>
      </c>
      <c r="D892" s="67">
        <f>IF(COUNTIF($G$2:$G892,$G892)=1,1,0)</f>
        <v>1</v>
      </c>
      <c r="E892" s="67" t="str">
        <f>IFERROR(VLOOKUP(База_КР_КК[[#This Row],[ИД штатной должности (S)]],'уровень защищенности'!$B$7:$F$1095,5,0),"не защищена")</f>
        <v>высокий</v>
      </c>
      <c r="F892" s="68">
        <v>500675</v>
      </c>
      <c r="G892" s="74" t="s">
        <v>2339</v>
      </c>
      <c r="H892" s="181">
        <f>INDEX('Списки данных'!$D$2:$D$1048576,MATCH(База_КР_КК[[#This Row],[Структурное подразделение]],'Списки данных'!$C$2:$C$1048576,0))</f>
        <v>22</v>
      </c>
      <c r="I892" s="80" t="s">
        <v>135</v>
      </c>
      <c r="J892" s="80" t="s">
        <v>202</v>
      </c>
      <c r="K892" s="80" t="s">
        <v>203</v>
      </c>
      <c r="L892" s="30" t="s">
        <v>191</v>
      </c>
      <c r="M892" s="68">
        <v>6</v>
      </c>
      <c r="N892" s="181" t="str">
        <f t="shared" si="14"/>
        <v>нет</v>
      </c>
      <c r="O892" s="23"/>
      <c r="P892" s="23"/>
      <c r="Q892" s="106"/>
      <c r="R892" s="37">
        <v>180</v>
      </c>
      <c r="S892" s="38" t="s">
        <v>592</v>
      </c>
      <c r="T892" s="37">
        <v>1270</v>
      </c>
      <c r="U892" s="39" t="s">
        <v>1672</v>
      </c>
      <c r="V892" s="89" t="s">
        <v>272</v>
      </c>
      <c r="W892" s="89" t="s">
        <v>135</v>
      </c>
      <c r="X892" s="106" t="s">
        <v>295</v>
      </c>
      <c r="Y892" s="107" t="s">
        <v>12</v>
      </c>
      <c r="Z892" s="67">
        <f>IF(База_КР_КК[[#This Row],[Таб.номер резервиста]]="-","-",IF(OR(База_КР_КК[[#This Row],[Уровень КК]]=2,База_КР_КК[[#This Row],[Уровень КК]]=3),IF(COUNTIFS($U$2:$U892,$U892,$F$2:$F892,$F892)=1,1,0),IF(COUNTIFS($U$2:$U892,$U892,$L$2:$L892,$L892)=1,1,0)))</f>
        <v>0</v>
      </c>
      <c r="AA8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2" s="106"/>
      <c r="AC892" s="51"/>
      <c r="AD892" s="106" t="s">
        <v>13</v>
      </c>
      <c r="AE892" s="38" t="s">
        <v>413</v>
      </c>
    </row>
    <row r="893" spans="1:31" ht="18" customHeight="1" x14ac:dyDescent="0.25">
      <c r="A8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3" s="79">
        <v>4</v>
      </c>
      <c r="C893" s="23">
        <v>43733</v>
      </c>
      <c r="D893" s="67">
        <f>IF(COUNTIF($G$2:$G893,$G893)=1,1,0)</f>
        <v>0</v>
      </c>
      <c r="E893" s="67" t="str">
        <f>IFERROR(VLOOKUP(База_КР_КК[[#This Row],[ИД штатной должности (S)]],'уровень защищенности'!$B$7:$F$1095,5,0),"не защищена")</f>
        <v>высокий</v>
      </c>
      <c r="F893" s="68">
        <v>500675</v>
      </c>
      <c r="G893" s="74" t="s">
        <v>2339</v>
      </c>
      <c r="H893" s="181">
        <f>INDEX('Списки данных'!$D$2:$D$1048576,MATCH(База_КР_КК[[#This Row],[Структурное подразделение]],'Списки данных'!$C$2:$C$1048576,0))</f>
        <v>22</v>
      </c>
      <c r="I893" s="80" t="s">
        <v>135</v>
      </c>
      <c r="J893" s="80" t="s">
        <v>202</v>
      </c>
      <c r="K893" s="80" t="s">
        <v>203</v>
      </c>
      <c r="L893" s="30" t="s">
        <v>191</v>
      </c>
      <c r="M893" s="68">
        <v>6</v>
      </c>
      <c r="N893" s="181" t="str">
        <f t="shared" si="14"/>
        <v>нет</v>
      </c>
      <c r="O893" s="23"/>
      <c r="P893" s="23"/>
      <c r="Q893" s="106"/>
      <c r="R893" s="37">
        <v>180</v>
      </c>
      <c r="S893" s="38" t="s">
        <v>592</v>
      </c>
      <c r="T893" s="37">
        <v>181</v>
      </c>
      <c r="U893" s="39" t="s">
        <v>593</v>
      </c>
      <c r="V893" s="89" t="s">
        <v>272</v>
      </c>
      <c r="W893" s="89" t="s">
        <v>135</v>
      </c>
      <c r="X893" s="106" t="s">
        <v>295</v>
      </c>
      <c r="Y893" s="107" t="s">
        <v>18</v>
      </c>
      <c r="Z893" s="67">
        <f>IF(База_КР_КК[[#This Row],[Таб.номер резервиста]]="-","-",IF(OR(База_КР_КК[[#This Row],[Уровень КК]]=2,База_КР_КК[[#This Row],[Уровень КК]]=3),IF(COUNTIFS($U$2:$U893,$U893,$F$2:$F893,$F893)=1,1,0),IF(COUNTIFS($U$2:$U893,$U893,$L$2:$L893,$L893)=1,1,0)))</f>
        <v>0</v>
      </c>
      <c r="AA8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3" s="106" t="s">
        <v>24</v>
      </c>
      <c r="AC893" s="51">
        <v>45078</v>
      </c>
      <c r="AD893" s="106" t="s">
        <v>17</v>
      </c>
      <c r="AE893" s="38" t="s">
        <v>413</v>
      </c>
    </row>
    <row r="894" spans="1:31" ht="18" customHeight="1" x14ac:dyDescent="0.25">
      <c r="A8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4" s="79">
        <v>4</v>
      </c>
      <c r="C894" s="23">
        <v>43733</v>
      </c>
      <c r="D894" s="67">
        <f>IF(COUNTIF($G$2:$G894,$G894)=1,1,0)</f>
        <v>0</v>
      </c>
      <c r="E894" s="67" t="str">
        <f>IFERROR(VLOOKUP(База_КР_КК[[#This Row],[ИД штатной должности (S)]],'уровень защищенности'!$B$7:$F$1095,5,0),"не защищена")</f>
        <v>высокий</v>
      </c>
      <c r="F894" s="68">
        <v>500675</v>
      </c>
      <c r="G894" s="74" t="s">
        <v>2339</v>
      </c>
      <c r="H894" s="181">
        <f>INDEX('Списки данных'!$D$2:$D$1048576,MATCH(База_КР_КК[[#This Row],[Структурное подразделение]],'Списки данных'!$C$2:$C$1048576,0))</f>
        <v>22</v>
      </c>
      <c r="I894" s="80" t="s">
        <v>135</v>
      </c>
      <c r="J894" s="80" t="s">
        <v>202</v>
      </c>
      <c r="K894" s="80" t="s">
        <v>203</v>
      </c>
      <c r="L894" s="30" t="s">
        <v>191</v>
      </c>
      <c r="M894" s="68">
        <v>6</v>
      </c>
      <c r="N894" s="181" t="str">
        <f t="shared" si="14"/>
        <v>нет</v>
      </c>
      <c r="O894" s="23"/>
      <c r="P894" s="23"/>
      <c r="Q894" s="106"/>
      <c r="R894" s="37">
        <v>180</v>
      </c>
      <c r="S894" s="38" t="s">
        <v>592</v>
      </c>
      <c r="T894" s="37">
        <v>1272</v>
      </c>
      <c r="U894" s="39" t="s">
        <v>1674</v>
      </c>
      <c r="V894" s="89" t="s">
        <v>272</v>
      </c>
      <c r="W894" s="89" t="s">
        <v>135</v>
      </c>
      <c r="X894" s="106" t="s">
        <v>297</v>
      </c>
      <c r="Y894" s="107" t="s">
        <v>12</v>
      </c>
      <c r="Z894" s="67">
        <f>IF(База_КР_КК[[#This Row],[Таб.номер резервиста]]="-","-",IF(OR(База_КР_КК[[#This Row],[Уровень КК]]=2,База_КР_КК[[#This Row],[Уровень КК]]=3),IF(COUNTIFS($U$2:$U894,$U894,$F$2:$F894,$F894)=1,1,0),IF(COUNTIFS($U$2:$U894,$U894,$L$2:$L894,$L894)=1,1,0)))</f>
        <v>0</v>
      </c>
      <c r="AA8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4" s="106"/>
      <c r="AC894" s="51"/>
      <c r="AD894" s="106" t="s">
        <v>22</v>
      </c>
      <c r="AE894" s="38" t="s">
        <v>413</v>
      </c>
    </row>
    <row r="895" spans="1:31" ht="18" customHeight="1" x14ac:dyDescent="0.25">
      <c r="A8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5" s="79">
        <v>4</v>
      </c>
      <c r="C895" s="23">
        <v>44879</v>
      </c>
      <c r="D895" s="67">
        <f>IF(COUNTIF($G$2:$G895,$G895)=1,1,0)</f>
        <v>0</v>
      </c>
      <c r="E895" s="67" t="str">
        <f>IFERROR(VLOOKUP(База_КР_КК[[#This Row],[ИД штатной должности (S)]],'уровень защищенности'!$B$7:$F$1095,5,0),"не защищена")</f>
        <v>высокий</v>
      </c>
      <c r="F895" s="68">
        <v>500675</v>
      </c>
      <c r="G895" s="74" t="s">
        <v>2339</v>
      </c>
      <c r="H895" s="181">
        <f>INDEX('Списки данных'!$D$2:$D$1048576,MATCH(База_КР_КК[[#This Row],[Структурное подразделение]],'Списки данных'!$C$2:$C$1048576,0))</f>
        <v>22</v>
      </c>
      <c r="I895" s="80" t="s">
        <v>135</v>
      </c>
      <c r="J895" s="80" t="s">
        <v>202</v>
      </c>
      <c r="K895" s="80" t="s">
        <v>203</v>
      </c>
      <c r="L895" s="30" t="s">
        <v>191</v>
      </c>
      <c r="M895" s="68">
        <v>6</v>
      </c>
      <c r="N895" s="181" t="str">
        <f t="shared" si="14"/>
        <v>нет</v>
      </c>
      <c r="O895" s="23"/>
      <c r="P895" s="23"/>
      <c r="Q895" s="106"/>
      <c r="R895" s="37">
        <v>180</v>
      </c>
      <c r="S895" s="39" t="s">
        <v>592</v>
      </c>
      <c r="T895" s="37">
        <v>1266</v>
      </c>
      <c r="U895" s="38" t="s">
        <v>1668</v>
      </c>
      <c r="V895" s="69" t="s">
        <v>272</v>
      </c>
      <c r="W895" s="89" t="s">
        <v>135</v>
      </c>
      <c r="X895" s="106" t="s">
        <v>296</v>
      </c>
      <c r="Y895" s="107" t="s">
        <v>12</v>
      </c>
      <c r="Z895" s="67">
        <f>IF(База_КР_КК[[#This Row],[Таб.номер резервиста]]="-","-",IF(OR(База_КР_КК[[#This Row],[Уровень КК]]=2,База_КР_КК[[#This Row],[Уровень КК]]=3),IF(COUNTIFS($U$2:$U895,$U895,$F$2:$F895,$F895)=1,1,0),IF(COUNTIFS($U$2:$U895,$U895,$L$2:$L895,$L895)=1,1,0)))</f>
        <v>0</v>
      </c>
      <c r="AA8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5" s="106"/>
      <c r="AC895" s="51"/>
      <c r="AD895" s="106" t="s">
        <v>15</v>
      </c>
      <c r="AE895" s="33" t="s">
        <v>413</v>
      </c>
    </row>
    <row r="896" spans="1:31" ht="18" customHeight="1" x14ac:dyDescent="0.25">
      <c r="A8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6" s="79">
        <v>4</v>
      </c>
      <c r="C896" s="23">
        <v>44879</v>
      </c>
      <c r="D896" s="67">
        <f>IF(COUNTIF($G$2:$G896,$G896)=1,1,0)</f>
        <v>0</v>
      </c>
      <c r="E896" s="67" t="str">
        <f>IFERROR(VLOOKUP(База_КР_КК[[#This Row],[ИД штатной должности (S)]],'уровень защищенности'!$B$7:$F$1095,5,0),"не защищена")</f>
        <v>высокий</v>
      </c>
      <c r="F896" s="68">
        <v>500675</v>
      </c>
      <c r="G896" s="74" t="s">
        <v>2339</v>
      </c>
      <c r="H896" s="181">
        <f>INDEX('Списки данных'!$D$2:$D$1048576,MATCH(База_КР_КК[[#This Row],[Структурное подразделение]],'Списки данных'!$C$2:$C$1048576,0))</f>
        <v>22</v>
      </c>
      <c r="I896" s="80" t="s">
        <v>135</v>
      </c>
      <c r="J896" s="80" t="s">
        <v>202</v>
      </c>
      <c r="K896" s="80" t="s">
        <v>203</v>
      </c>
      <c r="L896" s="30" t="s">
        <v>191</v>
      </c>
      <c r="M896" s="68">
        <v>6</v>
      </c>
      <c r="N896" s="181" t="str">
        <f t="shared" si="14"/>
        <v>нет</v>
      </c>
      <c r="O896" s="23"/>
      <c r="P896" s="23"/>
      <c r="Q896" s="106"/>
      <c r="R896" s="37">
        <v>180</v>
      </c>
      <c r="S896" s="39" t="s">
        <v>592</v>
      </c>
      <c r="T896" s="37">
        <v>1273</v>
      </c>
      <c r="U896" s="38" t="s">
        <v>1675</v>
      </c>
      <c r="V896" s="69" t="s">
        <v>272</v>
      </c>
      <c r="W896" s="89" t="s">
        <v>135</v>
      </c>
      <c r="X896" s="106" t="s">
        <v>296</v>
      </c>
      <c r="Y896" s="107" t="s">
        <v>12</v>
      </c>
      <c r="Z896" s="67">
        <f>IF(База_КР_КК[[#This Row],[Таб.номер резервиста]]="-","-",IF(OR(База_КР_КК[[#This Row],[Уровень КК]]=2,База_КР_КК[[#This Row],[Уровень КК]]=3),IF(COUNTIFS($U$2:$U896,$U896,$F$2:$F896,$F896)=1,1,0),IF(COUNTIFS($U$2:$U896,$U896,$L$2:$L896,$L896)=1,1,0)))</f>
        <v>0</v>
      </c>
      <c r="AA8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6" s="106"/>
      <c r="AC896" s="51"/>
      <c r="AD896" s="106" t="s">
        <v>15</v>
      </c>
      <c r="AE896" s="33" t="s">
        <v>413</v>
      </c>
    </row>
    <row r="897" spans="1:31" ht="18" customHeight="1" x14ac:dyDescent="0.25">
      <c r="A8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7" s="79">
        <v>4</v>
      </c>
      <c r="C897" s="23">
        <v>43733</v>
      </c>
      <c r="D897" s="67">
        <f>IF(COUNTIF($G$2:$G897,$G897)=1,1,0)</f>
        <v>1</v>
      </c>
      <c r="E897" s="67" t="str">
        <f>IFERROR(VLOOKUP(База_КР_КК[[#This Row],[ИД штатной должности (S)]],'уровень защищенности'!$B$7:$F$1095,5,0),"не защищена")</f>
        <v>высокий</v>
      </c>
      <c r="F897" s="68">
        <v>500675</v>
      </c>
      <c r="G897" s="74" t="s">
        <v>2340</v>
      </c>
      <c r="H897" s="181">
        <f>INDEX('Списки данных'!$D$2:$D$1048576,MATCH(База_КР_КК[[#This Row],[Структурное подразделение]],'Списки данных'!$C$2:$C$1048576,0))</f>
        <v>22</v>
      </c>
      <c r="I897" s="80" t="s">
        <v>135</v>
      </c>
      <c r="J897" s="80" t="s">
        <v>202</v>
      </c>
      <c r="K897" s="80" t="s">
        <v>203</v>
      </c>
      <c r="L897" s="30" t="s">
        <v>191</v>
      </c>
      <c r="M897" s="68">
        <v>6</v>
      </c>
      <c r="N897" s="181" t="str">
        <f t="shared" ref="N897:N960" si="15">IF(ISBLANK(O897),"нет","да")</f>
        <v>да</v>
      </c>
      <c r="O897" s="23">
        <v>45050</v>
      </c>
      <c r="P897" s="23">
        <v>45078</v>
      </c>
      <c r="Q897" s="106" t="s">
        <v>66</v>
      </c>
      <c r="R897" s="37" t="s">
        <v>23</v>
      </c>
      <c r="S897" s="39" t="s">
        <v>23</v>
      </c>
      <c r="T897" s="37">
        <v>1270</v>
      </c>
      <c r="U897" s="39" t="s">
        <v>1672</v>
      </c>
      <c r="V897" s="89" t="s">
        <v>272</v>
      </c>
      <c r="W897" s="89" t="s">
        <v>135</v>
      </c>
      <c r="X897" s="106" t="s">
        <v>295</v>
      </c>
      <c r="Y897" s="107" t="s">
        <v>12</v>
      </c>
      <c r="Z897" s="67">
        <f>IF(База_КР_КК[[#This Row],[Таб.номер резервиста]]="-","-",IF(OR(База_КР_КК[[#This Row],[Уровень КК]]=2,База_КР_КК[[#This Row],[Уровень КК]]=3),IF(COUNTIFS($U$2:$U897,$U897,$F$2:$F897,$F897)=1,1,0),IF(COUNTIFS($U$2:$U897,$U897,$L$2:$L897,$L897)=1,1,0)))</f>
        <v>0</v>
      </c>
      <c r="AA8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7" s="106"/>
      <c r="AC897" s="51"/>
      <c r="AD897" s="106" t="s">
        <v>13</v>
      </c>
      <c r="AE897" s="38" t="s">
        <v>413</v>
      </c>
    </row>
    <row r="898" spans="1:31" ht="18" customHeight="1" x14ac:dyDescent="0.25">
      <c r="A8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8" s="79">
        <v>4</v>
      </c>
      <c r="C898" s="23">
        <v>43733</v>
      </c>
      <c r="D898" s="67">
        <f>IF(COUNTIF($G$2:$G898,$G898)=1,1,0)</f>
        <v>0</v>
      </c>
      <c r="E898" s="67" t="str">
        <f>IFERROR(VLOOKUP(База_КР_КК[[#This Row],[ИД штатной должности (S)]],'уровень защищенности'!$B$7:$F$1095,5,0),"не защищена")</f>
        <v>высокий</v>
      </c>
      <c r="F898" s="68">
        <v>500675</v>
      </c>
      <c r="G898" s="74" t="s">
        <v>2340</v>
      </c>
      <c r="H898" s="181">
        <f>INDEX('Списки данных'!$D$2:$D$1048576,MATCH(База_КР_КК[[#This Row],[Структурное подразделение]],'Списки данных'!$C$2:$C$1048576,0))</f>
        <v>22</v>
      </c>
      <c r="I898" s="80" t="s">
        <v>135</v>
      </c>
      <c r="J898" s="80" t="s">
        <v>202</v>
      </c>
      <c r="K898" s="80" t="s">
        <v>203</v>
      </c>
      <c r="L898" s="30" t="s">
        <v>191</v>
      </c>
      <c r="M898" s="68">
        <v>6</v>
      </c>
      <c r="N898" s="181" t="str">
        <f t="shared" si="15"/>
        <v>да</v>
      </c>
      <c r="O898" s="23">
        <v>45050</v>
      </c>
      <c r="P898" s="23">
        <v>45078</v>
      </c>
      <c r="Q898" s="106" t="s">
        <v>66</v>
      </c>
      <c r="R898" s="37">
        <v>181</v>
      </c>
      <c r="S898" s="39" t="s">
        <v>593</v>
      </c>
      <c r="T898" s="37">
        <v>181</v>
      </c>
      <c r="U898" s="39" t="s">
        <v>593</v>
      </c>
      <c r="V898" s="89" t="s">
        <v>272</v>
      </c>
      <c r="W898" s="89" t="s">
        <v>135</v>
      </c>
      <c r="X898" s="106" t="s">
        <v>295</v>
      </c>
      <c r="Y898" s="107" t="s">
        <v>14</v>
      </c>
      <c r="Z898" s="67">
        <f>IF(База_КР_КК[[#This Row],[Таб.номер резервиста]]="-","-",IF(OR(База_КР_КК[[#This Row],[Уровень КК]]=2,База_КР_КК[[#This Row],[Уровень КК]]=3),IF(COUNTIFS($U$2:$U898,$U898,$F$2:$F898,$F898)=1,1,0),IF(COUNTIFS($U$2:$U898,$U898,$L$2:$L898,$L898)=1,1,0)))</f>
        <v>0</v>
      </c>
      <c r="AA8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898" s="106" t="s">
        <v>24</v>
      </c>
      <c r="AC898" s="51">
        <v>45078</v>
      </c>
      <c r="AD898" s="106" t="s">
        <v>17</v>
      </c>
      <c r="AE898" s="38" t="s">
        <v>413</v>
      </c>
    </row>
    <row r="899" spans="1:31" ht="18" customHeight="1" x14ac:dyDescent="0.25">
      <c r="A8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899" s="79">
        <v>4</v>
      </c>
      <c r="C899" s="23">
        <v>43733</v>
      </c>
      <c r="D899" s="67">
        <f>IF(COUNTIF($G$2:$G899,$G899)=1,1,0)</f>
        <v>0</v>
      </c>
      <c r="E899" s="67" t="str">
        <f>IFERROR(VLOOKUP(База_КР_КК[[#This Row],[ИД штатной должности (S)]],'уровень защищенности'!$B$7:$F$1095,5,0),"не защищена")</f>
        <v>высокий</v>
      </c>
      <c r="F899" s="68">
        <v>500675</v>
      </c>
      <c r="G899" s="74" t="s">
        <v>2340</v>
      </c>
      <c r="H899" s="181">
        <f>INDEX('Списки данных'!$D$2:$D$1048576,MATCH(База_КР_КК[[#This Row],[Структурное подразделение]],'Списки данных'!$C$2:$C$1048576,0))</f>
        <v>22</v>
      </c>
      <c r="I899" s="80" t="s">
        <v>135</v>
      </c>
      <c r="J899" s="80" t="s">
        <v>202</v>
      </c>
      <c r="K899" s="80" t="s">
        <v>203</v>
      </c>
      <c r="L899" s="30" t="s">
        <v>191</v>
      </c>
      <c r="M899" s="68">
        <v>6</v>
      </c>
      <c r="N899" s="181" t="str">
        <f t="shared" si="15"/>
        <v>да</v>
      </c>
      <c r="O899" s="23">
        <v>45050</v>
      </c>
      <c r="P899" s="23">
        <v>45078</v>
      </c>
      <c r="Q899" s="106" t="s">
        <v>66</v>
      </c>
      <c r="R899" s="37" t="s">
        <v>23</v>
      </c>
      <c r="S899" s="39" t="s">
        <v>23</v>
      </c>
      <c r="T899" s="37">
        <v>1272</v>
      </c>
      <c r="U899" s="39" t="s">
        <v>1674</v>
      </c>
      <c r="V899" s="89" t="s">
        <v>272</v>
      </c>
      <c r="W899" s="89" t="s">
        <v>135</v>
      </c>
      <c r="X899" s="106" t="s">
        <v>297</v>
      </c>
      <c r="Y899" s="107" t="s">
        <v>12</v>
      </c>
      <c r="Z899" s="67">
        <f>IF(База_КР_КК[[#This Row],[Таб.номер резервиста]]="-","-",IF(OR(База_КР_КК[[#This Row],[Уровень КК]]=2,База_КР_КК[[#This Row],[Уровень КК]]=3),IF(COUNTIFS($U$2:$U899,$U899,$F$2:$F899,$F899)=1,1,0),IF(COUNTIFS($U$2:$U899,$U899,$L$2:$L899,$L899)=1,1,0)))</f>
        <v>0</v>
      </c>
      <c r="AA8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899" s="106"/>
      <c r="AC899" s="51"/>
      <c r="AD899" s="106" t="s">
        <v>22</v>
      </c>
      <c r="AE899" s="38" t="s">
        <v>413</v>
      </c>
    </row>
    <row r="900" spans="1:31" ht="18" customHeight="1" x14ac:dyDescent="0.25">
      <c r="A9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0" s="79">
        <v>4</v>
      </c>
      <c r="C900" s="23">
        <v>44879</v>
      </c>
      <c r="D900" s="67">
        <f>IF(COUNTIF($G$2:$G900,$G900)=1,1,0)</f>
        <v>0</v>
      </c>
      <c r="E900" s="67" t="str">
        <f>IFERROR(VLOOKUP(База_КР_КК[[#This Row],[ИД штатной должности (S)]],'уровень защищенности'!$B$7:$F$1095,5,0),"не защищена")</f>
        <v>высокий</v>
      </c>
      <c r="F900" s="68">
        <v>500675</v>
      </c>
      <c r="G900" s="74" t="s">
        <v>2340</v>
      </c>
      <c r="H900" s="181">
        <f>INDEX('Списки данных'!$D$2:$D$1048576,MATCH(База_КР_КК[[#This Row],[Структурное подразделение]],'Списки данных'!$C$2:$C$1048576,0))</f>
        <v>22</v>
      </c>
      <c r="I900" s="80" t="s">
        <v>135</v>
      </c>
      <c r="J900" s="80" t="s">
        <v>202</v>
      </c>
      <c r="K900" s="80" t="s">
        <v>203</v>
      </c>
      <c r="L900" s="30" t="s">
        <v>191</v>
      </c>
      <c r="M900" s="68">
        <v>6</v>
      </c>
      <c r="N900" s="181" t="str">
        <f t="shared" si="15"/>
        <v>да</v>
      </c>
      <c r="O900" s="23">
        <v>45050</v>
      </c>
      <c r="P900" s="23">
        <v>45078</v>
      </c>
      <c r="Q900" s="106" t="s">
        <v>66</v>
      </c>
      <c r="R900" s="37" t="s">
        <v>23</v>
      </c>
      <c r="S900" s="39" t="s">
        <v>23</v>
      </c>
      <c r="T900" s="37">
        <v>1266</v>
      </c>
      <c r="U900" s="38" t="s">
        <v>1668</v>
      </c>
      <c r="V900" s="69" t="s">
        <v>272</v>
      </c>
      <c r="W900" s="89" t="s">
        <v>135</v>
      </c>
      <c r="X900" s="106" t="s">
        <v>296</v>
      </c>
      <c r="Y900" s="107" t="s">
        <v>12</v>
      </c>
      <c r="Z900" s="67">
        <f>IF(База_КР_КК[[#This Row],[Таб.номер резервиста]]="-","-",IF(OR(База_КР_КК[[#This Row],[Уровень КК]]=2,База_КР_КК[[#This Row],[Уровень КК]]=3),IF(COUNTIFS($U$2:$U900,$U900,$F$2:$F900,$F900)=1,1,0),IF(COUNTIFS($U$2:$U900,$U900,$L$2:$L900,$L900)=1,1,0)))</f>
        <v>0</v>
      </c>
      <c r="AA9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0" s="106"/>
      <c r="AC900" s="51"/>
      <c r="AD900" s="106" t="s">
        <v>15</v>
      </c>
      <c r="AE900" s="33" t="s">
        <v>413</v>
      </c>
    </row>
    <row r="901" spans="1:31" ht="18" customHeight="1" x14ac:dyDescent="0.25">
      <c r="A9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1" s="79">
        <v>4</v>
      </c>
      <c r="C901" s="23">
        <v>44879</v>
      </c>
      <c r="D901" s="67">
        <f>IF(COUNTIF($G$2:$G901,$G901)=1,1,0)</f>
        <v>0</v>
      </c>
      <c r="E901" s="67" t="str">
        <f>IFERROR(VLOOKUP(База_КР_КК[[#This Row],[ИД штатной должности (S)]],'уровень защищенности'!$B$7:$F$1095,5,0),"не защищена")</f>
        <v>высокий</v>
      </c>
      <c r="F901" s="68">
        <v>500675</v>
      </c>
      <c r="G901" s="74" t="s">
        <v>2340</v>
      </c>
      <c r="H901" s="181">
        <f>INDEX('Списки данных'!$D$2:$D$1048576,MATCH(База_КР_КК[[#This Row],[Структурное подразделение]],'Списки данных'!$C$2:$C$1048576,0))</f>
        <v>22</v>
      </c>
      <c r="I901" s="80" t="s">
        <v>135</v>
      </c>
      <c r="J901" s="80" t="s">
        <v>202</v>
      </c>
      <c r="K901" s="80" t="s">
        <v>203</v>
      </c>
      <c r="L901" s="30" t="s">
        <v>191</v>
      </c>
      <c r="M901" s="68">
        <v>6</v>
      </c>
      <c r="N901" s="181" t="str">
        <f t="shared" si="15"/>
        <v>да</v>
      </c>
      <c r="O901" s="23">
        <v>45050</v>
      </c>
      <c r="P901" s="23">
        <v>45078</v>
      </c>
      <c r="Q901" s="106" t="s">
        <v>66</v>
      </c>
      <c r="R901" s="37" t="s">
        <v>23</v>
      </c>
      <c r="S901" s="39" t="s">
        <v>23</v>
      </c>
      <c r="T901" s="37">
        <v>1273</v>
      </c>
      <c r="U901" s="38" t="s">
        <v>1675</v>
      </c>
      <c r="V901" s="69" t="s">
        <v>272</v>
      </c>
      <c r="W901" s="89" t="s">
        <v>135</v>
      </c>
      <c r="X901" s="106" t="s">
        <v>296</v>
      </c>
      <c r="Y901" s="107" t="s">
        <v>12</v>
      </c>
      <c r="Z901" s="67">
        <f>IF(База_КР_КК[[#This Row],[Таб.номер резервиста]]="-","-",IF(OR(База_КР_КК[[#This Row],[Уровень КК]]=2,База_КР_КК[[#This Row],[Уровень КК]]=3),IF(COUNTIFS($U$2:$U901,$U901,$F$2:$F901,$F901)=1,1,0),IF(COUNTIFS($U$2:$U901,$U901,$L$2:$L901,$L901)=1,1,0)))</f>
        <v>0</v>
      </c>
      <c r="AA9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1" s="106"/>
      <c r="AC901" s="51"/>
      <c r="AD901" s="106" t="s">
        <v>15</v>
      </c>
      <c r="AE901" s="33" t="s">
        <v>413</v>
      </c>
    </row>
    <row r="902" spans="1:31" ht="18" customHeight="1" x14ac:dyDescent="0.25">
      <c r="A9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2" s="79">
        <v>4</v>
      </c>
      <c r="C902" s="23">
        <v>43733</v>
      </c>
      <c r="D902" s="67">
        <f>IF(COUNTIF($G$2:$G902,$G902)=1,1,0)</f>
        <v>1</v>
      </c>
      <c r="E902" s="67" t="str">
        <f>IFERROR(VLOOKUP(База_КР_КК[[#This Row],[ИД штатной должности (S)]],'уровень защищенности'!$B$7:$F$1095,5,0),"не защищена")</f>
        <v>высокий</v>
      </c>
      <c r="F902" s="68">
        <v>500675</v>
      </c>
      <c r="G902" s="74" t="s">
        <v>2341</v>
      </c>
      <c r="H902" s="181">
        <f>INDEX('Списки данных'!$D$2:$D$1048576,MATCH(База_КР_КК[[#This Row],[Структурное подразделение]],'Списки данных'!$C$2:$C$1048576,0))</f>
        <v>22</v>
      </c>
      <c r="I902" s="80" t="s">
        <v>135</v>
      </c>
      <c r="J902" s="80" t="s">
        <v>202</v>
      </c>
      <c r="K902" s="80" t="s">
        <v>203</v>
      </c>
      <c r="L902" s="30" t="s">
        <v>191</v>
      </c>
      <c r="M902" s="68">
        <v>6</v>
      </c>
      <c r="N902" s="181" t="str">
        <f t="shared" si="15"/>
        <v>нет</v>
      </c>
      <c r="O902" s="23"/>
      <c r="P902" s="23"/>
      <c r="Q902" s="106"/>
      <c r="R902" s="37">
        <v>182</v>
      </c>
      <c r="S902" s="38" t="s">
        <v>594</v>
      </c>
      <c r="T902" s="37">
        <v>1270</v>
      </c>
      <c r="U902" s="39" t="s">
        <v>1672</v>
      </c>
      <c r="V902" s="89" t="s">
        <v>272</v>
      </c>
      <c r="W902" s="89" t="s">
        <v>135</v>
      </c>
      <c r="X902" s="106" t="s">
        <v>295</v>
      </c>
      <c r="Y902" s="107" t="s">
        <v>12</v>
      </c>
      <c r="Z902" s="67">
        <f>IF(База_КР_КК[[#This Row],[Таб.номер резервиста]]="-","-",IF(OR(База_КР_КК[[#This Row],[Уровень КК]]=2,База_КР_КК[[#This Row],[Уровень КК]]=3),IF(COUNTIFS($U$2:$U902,$U902,$F$2:$F902,$F902)=1,1,0),IF(COUNTIFS($U$2:$U902,$U902,$L$2:$L902,$L902)=1,1,0)))</f>
        <v>0</v>
      </c>
      <c r="AA9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2" s="106"/>
      <c r="AC902" s="51"/>
      <c r="AD902" s="106" t="s">
        <v>13</v>
      </c>
      <c r="AE902" s="38" t="s">
        <v>413</v>
      </c>
    </row>
    <row r="903" spans="1:31" ht="18" customHeight="1" x14ac:dyDescent="0.25">
      <c r="A9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3" s="79">
        <v>4</v>
      </c>
      <c r="C903" s="23">
        <v>43733</v>
      </c>
      <c r="D903" s="67">
        <f>IF(COUNTIF($G$2:$G903,$G903)=1,1,0)</f>
        <v>0</v>
      </c>
      <c r="E903" s="67" t="str">
        <f>IFERROR(VLOOKUP(База_КР_КК[[#This Row],[ИД штатной должности (S)]],'уровень защищенности'!$B$7:$F$1095,5,0),"не защищена")</f>
        <v>высокий</v>
      </c>
      <c r="F903" s="68">
        <v>500675</v>
      </c>
      <c r="G903" s="74" t="s">
        <v>2341</v>
      </c>
      <c r="H903" s="181">
        <f>INDEX('Списки данных'!$D$2:$D$1048576,MATCH(База_КР_КК[[#This Row],[Структурное подразделение]],'Списки данных'!$C$2:$C$1048576,0))</f>
        <v>22</v>
      </c>
      <c r="I903" s="80" t="s">
        <v>135</v>
      </c>
      <c r="J903" s="80" t="s">
        <v>202</v>
      </c>
      <c r="K903" s="80" t="s">
        <v>203</v>
      </c>
      <c r="L903" s="30" t="s">
        <v>191</v>
      </c>
      <c r="M903" s="68">
        <v>6</v>
      </c>
      <c r="N903" s="181" t="str">
        <f t="shared" si="15"/>
        <v>нет</v>
      </c>
      <c r="O903" s="23"/>
      <c r="P903" s="23"/>
      <c r="Q903" s="106"/>
      <c r="R903" s="37">
        <v>182</v>
      </c>
      <c r="S903" s="38" t="s">
        <v>594</v>
      </c>
      <c r="T903" s="37">
        <v>181</v>
      </c>
      <c r="U903" s="39" t="s">
        <v>593</v>
      </c>
      <c r="V903" s="89" t="s">
        <v>272</v>
      </c>
      <c r="W903" s="89" t="s">
        <v>135</v>
      </c>
      <c r="X903" s="106" t="s">
        <v>295</v>
      </c>
      <c r="Y903" s="107" t="s">
        <v>18</v>
      </c>
      <c r="Z903" s="67">
        <f>IF(База_КР_КК[[#This Row],[Таб.номер резервиста]]="-","-",IF(OR(База_КР_КК[[#This Row],[Уровень КК]]=2,База_КР_КК[[#This Row],[Уровень КК]]=3),IF(COUNTIFS($U$2:$U903,$U903,$F$2:$F903,$F903)=1,1,0),IF(COUNTIFS($U$2:$U903,$U903,$L$2:$L903,$L903)=1,1,0)))</f>
        <v>0</v>
      </c>
      <c r="AA9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3" s="106" t="s">
        <v>24</v>
      </c>
      <c r="AC903" s="51">
        <v>45078</v>
      </c>
      <c r="AD903" s="106" t="s">
        <v>17</v>
      </c>
      <c r="AE903" s="38" t="s">
        <v>413</v>
      </c>
    </row>
    <row r="904" spans="1:31" ht="18" customHeight="1" x14ac:dyDescent="0.25">
      <c r="A9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4" s="79">
        <v>4</v>
      </c>
      <c r="C904" s="23">
        <v>43733</v>
      </c>
      <c r="D904" s="67">
        <f>IF(COUNTIF($G$2:$G904,$G904)=1,1,0)</f>
        <v>0</v>
      </c>
      <c r="E904" s="67" t="str">
        <f>IFERROR(VLOOKUP(База_КР_КК[[#This Row],[ИД штатной должности (S)]],'уровень защищенности'!$B$7:$F$1095,5,0),"не защищена")</f>
        <v>высокий</v>
      </c>
      <c r="F904" s="68">
        <v>500675</v>
      </c>
      <c r="G904" s="74" t="s">
        <v>2341</v>
      </c>
      <c r="H904" s="181">
        <f>INDEX('Списки данных'!$D$2:$D$1048576,MATCH(База_КР_КК[[#This Row],[Структурное подразделение]],'Списки данных'!$C$2:$C$1048576,0))</f>
        <v>22</v>
      </c>
      <c r="I904" s="80" t="s">
        <v>135</v>
      </c>
      <c r="J904" s="80" t="s">
        <v>202</v>
      </c>
      <c r="K904" s="80" t="s">
        <v>203</v>
      </c>
      <c r="L904" s="30" t="s">
        <v>191</v>
      </c>
      <c r="M904" s="68">
        <v>6</v>
      </c>
      <c r="N904" s="181" t="str">
        <f t="shared" si="15"/>
        <v>нет</v>
      </c>
      <c r="O904" s="23"/>
      <c r="P904" s="23"/>
      <c r="Q904" s="106"/>
      <c r="R904" s="37">
        <v>182</v>
      </c>
      <c r="S904" s="38" t="s">
        <v>594</v>
      </c>
      <c r="T904" s="37">
        <v>1272</v>
      </c>
      <c r="U904" s="39" t="s">
        <v>1674</v>
      </c>
      <c r="V904" s="89" t="s">
        <v>272</v>
      </c>
      <c r="W904" s="89" t="s">
        <v>135</v>
      </c>
      <c r="X904" s="106" t="s">
        <v>297</v>
      </c>
      <c r="Y904" s="107" t="s">
        <v>12</v>
      </c>
      <c r="Z904" s="67">
        <f>IF(База_КР_КК[[#This Row],[Таб.номер резервиста]]="-","-",IF(OR(База_КР_КК[[#This Row],[Уровень КК]]=2,База_КР_КК[[#This Row],[Уровень КК]]=3),IF(COUNTIFS($U$2:$U904,$U904,$F$2:$F904,$F904)=1,1,0),IF(COUNTIFS($U$2:$U904,$U904,$L$2:$L904,$L904)=1,1,0)))</f>
        <v>0</v>
      </c>
      <c r="AA9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4" s="106"/>
      <c r="AC904" s="51"/>
      <c r="AD904" s="106" t="s">
        <v>22</v>
      </c>
      <c r="AE904" s="38" t="s">
        <v>413</v>
      </c>
    </row>
    <row r="905" spans="1:31" ht="18" customHeight="1" x14ac:dyDescent="0.25">
      <c r="A9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5" s="79">
        <v>4</v>
      </c>
      <c r="C905" s="23">
        <v>44879</v>
      </c>
      <c r="D905" s="67">
        <f>IF(COUNTIF($G$2:$G905,$G905)=1,1,0)</f>
        <v>0</v>
      </c>
      <c r="E905" s="67" t="str">
        <f>IFERROR(VLOOKUP(База_КР_КК[[#This Row],[ИД штатной должности (S)]],'уровень защищенности'!$B$7:$F$1095,5,0),"не защищена")</f>
        <v>высокий</v>
      </c>
      <c r="F905" s="68">
        <v>500675</v>
      </c>
      <c r="G905" s="74" t="s">
        <v>2341</v>
      </c>
      <c r="H905" s="181">
        <f>INDEX('Списки данных'!$D$2:$D$1048576,MATCH(База_КР_КК[[#This Row],[Структурное подразделение]],'Списки данных'!$C$2:$C$1048576,0))</f>
        <v>22</v>
      </c>
      <c r="I905" s="80" t="s">
        <v>135</v>
      </c>
      <c r="J905" s="80" t="s">
        <v>202</v>
      </c>
      <c r="K905" s="80" t="s">
        <v>203</v>
      </c>
      <c r="L905" s="30" t="s">
        <v>191</v>
      </c>
      <c r="M905" s="68">
        <v>6</v>
      </c>
      <c r="N905" s="181" t="str">
        <f t="shared" si="15"/>
        <v>нет</v>
      </c>
      <c r="O905" s="23"/>
      <c r="P905" s="23"/>
      <c r="Q905" s="106"/>
      <c r="R905" s="37">
        <v>182</v>
      </c>
      <c r="S905" s="39" t="s">
        <v>594</v>
      </c>
      <c r="T905" s="37">
        <v>1266</v>
      </c>
      <c r="U905" s="38" t="s">
        <v>1668</v>
      </c>
      <c r="V905" s="69" t="s">
        <v>272</v>
      </c>
      <c r="W905" s="89" t="s">
        <v>135</v>
      </c>
      <c r="X905" s="106" t="s">
        <v>296</v>
      </c>
      <c r="Y905" s="107" t="s">
        <v>12</v>
      </c>
      <c r="Z905" s="67">
        <f>IF(База_КР_КК[[#This Row],[Таб.номер резервиста]]="-","-",IF(OR(База_КР_КК[[#This Row],[Уровень КК]]=2,База_КР_КК[[#This Row],[Уровень КК]]=3),IF(COUNTIFS($U$2:$U905,$U905,$F$2:$F905,$F905)=1,1,0),IF(COUNTIFS($U$2:$U905,$U905,$L$2:$L905,$L905)=1,1,0)))</f>
        <v>0</v>
      </c>
      <c r="AA9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5" s="106"/>
      <c r="AC905" s="51"/>
      <c r="AD905" s="106" t="s">
        <v>15</v>
      </c>
      <c r="AE905" s="33" t="s">
        <v>413</v>
      </c>
    </row>
    <row r="906" spans="1:31" ht="18" customHeight="1" x14ac:dyDescent="0.25">
      <c r="A9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6" s="79">
        <v>4</v>
      </c>
      <c r="C906" s="23">
        <v>44879</v>
      </c>
      <c r="D906" s="67">
        <f>IF(COUNTIF($G$2:$G906,$G906)=1,1,0)</f>
        <v>0</v>
      </c>
      <c r="E906" s="67" t="str">
        <f>IFERROR(VLOOKUP(База_КР_КК[[#This Row],[ИД штатной должности (S)]],'уровень защищенности'!$B$7:$F$1095,5,0),"не защищена")</f>
        <v>высокий</v>
      </c>
      <c r="F906" s="68">
        <v>500675</v>
      </c>
      <c r="G906" s="74" t="s">
        <v>2341</v>
      </c>
      <c r="H906" s="181">
        <f>INDEX('Списки данных'!$D$2:$D$1048576,MATCH(База_КР_КК[[#This Row],[Структурное подразделение]],'Списки данных'!$C$2:$C$1048576,0))</f>
        <v>22</v>
      </c>
      <c r="I906" s="80" t="s">
        <v>135</v>
      </c>
      <c r="J906" s="80" t="s">
        <v>202</v>
      </c>
      <c r="K906" s="80" t="s">
        <v>203</v>
      </c>
      <c r="L906" s="30" t="s">
        <v>191</v>
      </c>
      <c r="M906" s="68">
        <v>6</v>
      </c>
      <c r="N906" s="181" t="str">
        <f t="shared" si="15"/>
        <v>нет</v>
      </c>
      <c r="O906" s="23"/>
      <c r="P906" s="23"/>
      <c r="Q906" s="106"/>
      <c r="R906" s="37">
        <v>182</v>
      </c>
      <c r="S906" s="39" t="s">
        <v>594</v>
      </c>
      <c r="T906" s="37">
        <v>1273</v>
      </c>
      <c r="U906" s="38" t="s">
        <v>1675</v>
      </c>
      <c r="V906" s="69" t="s">
        <v>272</v>
      </c>
      <c r="W906" s="89" t="s">
        <v>135</v>
      </c>
      <c r="X906" s="106" t="s">
        <v>296</v>
      </c>
      <c r="Y906" s="107" t="s">
        <v>12</v>
      </c>
      <c r="Z906" s="67">
        <f>IF(База_КР_КК[[#This Row],[Таб.номер резервиста]]="-","-",IF(OR(База_КР_КК[[#This Row],[Уровень КК]]=2,База_КР_КК[[#This Row],[Уровень КК]]=3),IF(COUNTIFS($U$2:$U906,$U906,$F$2:$F906,$F906)=1,1,0),IF(COUNTIFS($U$2:$U906,$U906,$L$2:$L906,$L906)=1,1,0)))</f>
        <v>0</v>
      </c>
      <c r="AA9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6" s="106"/>
      <c r="AC906" s="51"/>
      <c r="AD906" s="106" t="s">
        <v>15</v>
      </c>
      <c r="AE906" s="33" t="s">
        <v>413</v>
      </c>
    </row>
    <row r="907" spans="1:31" ht="18" customHeight="1" x14ac:dyDescent="0.25">
      <c r="A9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7" s="79">
        <v>4</v>
      </c>
      <c r="C907" s="23">
        <v>44879</v>
      </c>
      <c r="D907" s="67">
        <f>IF(COUNTIF($G$2:$G907,$G907)=1,1,0)</f>
        <v>1</v>
      </c>
      <c r="E907" s="67" t="str">
        <f>IFERROR(VLOOKUP(База_КР_КК[[#This Row],[ИД штатной должности (S)]],'уровень защищенности'!$B$7:$F$1095,5,0),"не защищена")</f>
        <v>высокий</v>
      </c>
      <c r="F907" s="68">
        <v>500679</v>
      </c>
      <c r="G907" s="74" t="s">
        <v>2342</v>
      </c>
      <c r="H907" s="181">
        <f>INDEX('Списки данных'!$D$2:$D$1048576,MATCH(База_КР_КК[[#This Row],[Структурное подразделение]],'Списки данных'!$C$2:$C$1048576,0))</f>
        <v>22</v>
      </c>
      <c r="I907" s="80" t="s">
        <v>135</v>
      </c>
      <c r="J907" s="81" t="s">
        <v>202</v>
      </c>
      <c r="K907" s="81" t="s">
        <v>203</v>
      </c>
      <c r="L907" s="30" t="s">
        <v>189</v>
      </c>
      <c r="M907" s="68">
        <v>7</v>
      </c>
      <c r="N907" s="181" t="str">
        <f t="shared" si="15"/>
        <v>нет</v>
      </c>
      <c r="O907" s="23"/>
      <c r="P907" s="23"/>
      <c r="Q907" s="106"/>
      <c r="R907" s="37">
        <v>183</v>
      </c>
      <c r="S907" s="39" t="s">
        <v>595</v>
      </c>
      <c r="T907" s="37">
        <v>1274</v>
      </c>
      <c r="U907" s="38" t="s">
        <v>1676</v>
      </c>
      <c r="V907" s="69" t="s">
        <v>272</v>
      </c>
      <c r="W907" s="89" t="s">
        <v>135</v>
      </c>
      <c r="X907" s="106" t="s">
        <v>295</v>
      </c>
      <c r="Y907" s="107" t="s">
        <v>12</v>
      </c>
      <c r="Z907" s="67">
        <f>IF(База_КР_КК[[#This Row],[Таб.номер резервиста]]="-","-",IF(OR(База_КР_КК[[#This Row],[Уровень КК]]=2,База_КР_КК[[#This Row],[Уровень КК]]=3),IF(COUNTIFS($U$2:$U907,$U907,$F$2:$F907,$F907)=1,1,0),IF(COUNTIFS($U$2:$U907,$U907,$L$2:$L907,$L907)=1,1,0)))</f>
        <v>1</v>
      </c>
      <c r="AA9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7" s="106"/>
      <c r="AC907" s="51"/>
      <c r="AD907" s="106" t="s">
        <v>15</v>
      </c>
      <c r="AE907" s="33" t="s">
        <v>413</v>
      </c>
    </row>
    <row r="908" spans="1:31" ht="18" customHeight="1" x14ac:dyDescent="0.25">
      <c r="A9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8" s="79">
        <v>4</v>
      </c>
      <c r="C908" s="23">
        <v>44879</v>
      </c>
      <c r="D908" s="67">
        <f>IF(COUNTIF($G$2:$G908,$G908)=1,1,0)</f>
        <v>0</v>
      </c>
      <c r="E908" s="67" t="str">
        <f>IFERROR(VLOOKUP(База_КР_КК[[#This Row],[ИД штатной должности (S)]],'уровень защищенности'!$B$7:$F$1095,5,0),"не защищена")</f>
        <v>высокий</v>
      </c>
      <c r="F908" s="68">
        <v>500679</v>
      </c>
      <c r="G908" s="74" t="s">
        <v>2342</v>
      </c>
      <c r="H908" s="181">
        <f>INDEX('Списки данных'!$D$2:$D$1048576,MATCH(База_КР_КК[[#This Row],[Структурное подразделение]],'Списки данных'!$C$2:$C$1048576,0))</f>
        <v>22</v>
      </c>
      <c r="I908" s="80" t="s">
        <v>135</v>
      </c>
      <c r="J908" s="81" t="s">
        <v>202</v>
      </c>
      <c r="K908" s="81" t="s">
        <v>203</v>
      </c>
      <c r="L908" s="30" t="s">
        <v>189</v>
      </c>
      <c r="M908" s="68">
        <v>7</v>
      </c>
      <c r="N908" s="181" t="str">
        <f t="shared" si="15"/>
        <v>нет</v>
      </c>
      <c r="O908" s="23"/>
      <c r="P908" s="23"/>
      <c r="Q908" s="106"/>
      <c r="R908" s="37">
        <v>183</v>
      </c>
      <c r="S908" s="39" t="s">
        <v>595</v>
      </c>
      <c r="T908" s="37">
        <v>181</v>
      </c>
      <c r="U908" s="38" t="s">
        <v>593</v>
      </c>
      <c r="V908" s="69" t="s">
        <v>191</v>
      </c>
      <c r="W908" s="89" t="s">
        <v>135</v>
      </c>
      <c r="X908" s="106" t="s">
        <v>297</v>
      </c>
      <c r="Y908" s="107" t="s">
        <v>12</v>
      </c>
      <c r="Z908" s="67">
        <f>IF(База_КР_КК[[#This Row],[Таб.номер резервиста]]="-","-",IF(OR(База_КР_КК[[#This Row],[Уровень КК]]=2,База_КР_КК[[#This Row],[Уровень КК]]=3),IF(COUNTIFS($U$2:$U908,$U908,$F$2:$F908,$F908)=1,1,0),IF(COUNTIFS($U$2:$U908,$U908,$L$2:$L908,$L908)=1,1,0)))</f>
        <v>1</v>
      </c>
      <c r="AA9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8" s="106"/>
      <c r="AC908" s="51"/>
      <c r="AD908" s="106" t="s">
        <v>15</v>
      </c>
      <c r="AE908" s="33" t="s">
        <v>413</v>
      </c>
    </row>
    <row r="909" spans="1:31" ht="18" customHeight="1" x14ac:dyDescent="0.25">
      <c r="A9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09" s="79">
        <v>3</v>
      </c>
      <c r="C909" s="23">
        <v>43426</v>
      </c>
      <c r="D909" s="67">
        <f>IF(COUNTIF($G$2:$G909,$G909)=1,1,0)</f>
        <v>1</v>
      </c>
      <c r="E909" s="67" t="str">
        <f>IFERROR(VLOOKUP(База_КР_КК[[#This Row],[ИД штатной должности (S)]],'уровень защищенности'!$B$7:$F$1095,5,0),"не защищена")</f>
        <v>высокий</v>
      </c>
      <c r="F909" s="68">
        <v>500659</v>
      </c>
      <c r="G909" s="74" t="s">
        <v>2343</v>
      </c>
      <c r="H909" s="181">
        <f>INDEX('Списки данных'!$D$2:$D$1048576,MATCH(База_КР_КК[[#This Row],[Структурное подразделение]],'Списки данных'!$C$2:$C$1048576,0))</f>
        <v>22</v>
      </c>
      <c r="I909" s="80" t="s">
        <v>135</v>
      </c>
      <c r="J909" s="80" t="s">
        <v>202</v>
      </c>
      <c r="K909" s="80" t="s">
        <v>21</v>
      </c>
      <c r="L909" s="30" t="s">
        <v>183</v>
      </c>
      <c r="M909" s="68">
        <v>5</v>
      </c>
      <c r="N909" s="181" t="str">
        <f t="shared" si="15"/>
        <v>нет</v>
      </c>
      <c r="O909" s="23"/>
      <c r="P909" s="23"/>
      <c r="Q909" s="106"/>
      <c r="R909" s="37">
        <v>184</v>
      </c>
      <c r="S909" s="38" t="s">
        <v>596</v>
      </c>
      <c r="T909" s="37">
        <v>185</v>
      </c>
      <c r="U909" s="39" t="s">
        <v>597</v>
      </c>
      <c r="V909" s="89" t="s">
        <v>189</v>
      </c>
      <c r="W909" s="89" t="s">
        <v>135</v>
      </c>
      <c r="X909" s="106" t="s">
        <v>295</v>
      </c>
      <c r="Y909" s="107" t="s">
        <v>12</v>
      </c>
      <c r="Z909" s="67">
        <f>IF(База_КР_КК[[#This Row],[Таб.номер резервиста]]="-","-",IF(OR(База_КР_КК[[#This Row],[Уровень КК]]=2,База_КР_КК[[#This Row],[Уровень КК]]=3),IF(COUNTIFS($U$2:$U909,$U909,$F$2:$F909,$F909)=1,1,0),IF(COUNTIFS($U$2:$U909,$U909,$L$2:$L909,$L909)=1,1,0)))</f>
        <v>1</v>
      </c>
      <c r="AA9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09" s="106"/>
      <c r="AC909" s="51"/>
      <c r="AD909" s="106" t="s">
        <v>13</v>
      </c>
      <c r="AE909" s="38" t="s">
        <v>405</v>
      </c>
    </row>
    <row r="910" spans="1:31" ht="18" customHeight="1" x14ac:dyDescent="0.25">
      <c r="A9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0" s="79">
        <v>3</v>
      </c>
      <c r="C910" s="23">
        <v>44739</v>
      </c>
      <c r="D910" s="67">
        <f>IF(COUNTIF($G$2:$G910,$G910)=1,1,0)</f>
        <v>0</v>
      </c>
      <c r="E910" s="67" t="str">
        <f>IFERROR(VLOOKUP(База_КР_КК[[#This Row],[ИД штатной должности (S)]],'уровень защищенности'!$B$7:$F$1095,5,0),"не защищена")</f>
        <v>высокий</v>
      </c>
      <c r="F910" s="68">
        <v>500659</v>
      </c>
      <c r="G910" s="74" t="s">
        <v>2343</v>
      </c>
      <c r="H910" s="181">
        <f>INDEX('Списки данных'!$D$2:$D$1048576,MATCH(База_КР_КК[[#This Row],[Структурное подразделение]],'Списки данных'!$C$2:$C$1048576,0))</f>
        <v>22</v>
      </c>
      <c r="I910" s="80" t="s">
        <v>135</v>
      </c>
      <c r="J910" s="80" t="s">
        <v>202</v>
      </c>
      <c r="K910" s="80" t="s">
        <v>21</v>
      </c>
      <c r="L910" s="30" t="s">
        <v>183</v>
      </c>
      <c r="M910" s="68">
        <v>5</v>
      </c>
      <c r="N910" s="181" t="str">
        <f t="shared" si="15"/>
        <v>нет</v>
      </c>
      <c r="O910" s="23"/>
      <c r="P910" s="23"/>
      <c r="Q910" s="106"/>
      <c r="R910" s="37">
        <v>184</v>
      </c>
      <c r="S910" s="39" t="s">
        <v>596</v>
      </c>
      <c r="T910" s="37">
        <v>194</v>
      </c>
      <c r="U910" s="38" t="s">
        <v>606</v>
      </c>
      <c r="V910" s="89" t="s">
        <v>189</v>
      </c>
      <c r="W910" s="89" t="s">
        <v>135</v>
      </c>
      <c r="X910" s="106" t="s">
        <v>296</v>
      </c>
      <c r="Y910" s="107" t="s">
        <v>12</v>
      </c>
      <c r="Z910" s="67">
        <f>IF(База_КР_КК[[#This Row],[Таб.номер резервиста]]="-","-",IF(OR(База_КР_КК[[#This Row],[Уровень КК]]=2,База_КР_КК[[#This Row],[Уровень КК]]=3),IF(COUNTIFS($U$2:$U910,$U910,$F$2:$F910,$F910)=1,1,0),IF(COUNTIFS($U$2:$U910,$U910,$L$2:$L910,$L910)=1,1,0)))</f>
        <v>1</v>
      </c>
      <c r="AA9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0" s="106"/>
      <c r="AC910" s="51"/>
      <c r="AD910" s="106" t="s">
        <v>15</v>
      </c>
      <c r="AE910" s="38" t="s">
        <v>405</v>
      </c>
    </row>
    <row r="911" spans="1:31" ht="18" customHeight="1" x14ac:dyDescent="0.25">
      <c r="A9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1" s="79">
        <v>4</v>
      </c>
      <c r="C911" s="23">
        <v>43733</v>
      </c>
      <c r="D911" s="67">
        <f>IF(COUNTIF($G$2:$G911,$G911)=1,1,0)</f>
        <v>1</v>
      </c>
      <c r="E911" s="67" t="str">
        <f>IFERROR(VLOOKUP(База_КР_КК[[#This Row],[ИД штатной должности (S)]],'уровень защищенности'!$B$7:$F$1095,5,0),"не защищена")</f>
        <v>высокий</v>
      </c>
      <c r="F911" s="68">
        <v>500651</v>
      </c>
      <c r="G911" s="74" t="s">
        <v>2344</v>
      </c>
      <c r="H911" s="181">
        <f>INDEX('Списки данных'!$D$2:$D$1048576,MATCH(База_КР_КК[[#This Row],[Структурное подразделение]],'Списки данных'!$C$2:$C$1048576,0))</f>
        <v>22</v>
      </c>
      <c r="I911" s="80" t="s">
        <v>135</v>
      </c>
      <c r="J911" s="80" t="s">
        <v>202</v>
      </c>
      <c r="K911" s="80" t="s">
        <v>203</v>
      </c>
      <c r="L911" s="30" t="s">
        <v>189</v>
      </c>
      <c r="M911" s="68">
        <v>6</v>
      </c>
      <c r="N911" s="181" t="str">
        <f t="shared" si="15"/>
        <v>нет</v>
      </c>
      <c r="O911" s="23"/>
      <c r="P911" s="23"/>
      <c r="Q911" s="106"/>
      <c r="R911" s="37">
        <v>185</v>
      </c>
      <c r="S911" s="38" t="s">
        <v>597</v>
      </c>
      <c r="T911" s="37">
        <v>198</v>
      </c>
      <c r="U911" s="39" t="s">
        <v>610</v>
      </c>
      <c r="V911" s="89" t="s">
        <v>192</v>
      </c>
      <c r="W911" s="89" t="s">
        <v>135</v>
      </c>
      <c r="X911" s="106" t="s">
        <v>295</v>
      </c>
      <c r="Y911" s="107" t="s">
        <v>12</v>
      </c>
      <c r="Z911" s="67">
        <f>IF(База_КР_КК[[#This Row],[Таб.номер резервиста]]="-","-",IF(OR(База_КР_КК[[#This Row],[Уровень КК]]=2,База_КР_КК[[#This Row],[Уровень КК]]=3),IF(COUNTIFS($U$2:$U911,$U911,$F$2:$F911,$F911)=1,1,0),IF(COUNTIFS($U$2:$U911,$U911,$L$2:$L911,$L911)=1,1,0)))</f>
        <v>1</v>
      </c>
      <c r="AA9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1" s="106"/>
      <c r="AC911" s="51"/>
      <c r="AD911" s="106" t="s">
        <v>13</v>
      </c>
      <c r="AE911" s="38" t="s">
        <v>413</v>
      </c>
    </row>
    <row r="912" spans="1:31" ht="18" customHeight="1" x14ac:dyDescent="0.25">
      <c r="A9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2" s="79">
        <v>4</v>
      </c>
      <c r="C912" s="23">
        <v>43733</v>
      </c>
      <c r="D912" s="67">
        <f>IF(COUNTIF($G$2:$G912,$G912)=1,1,0)</f>
        <v>0</v>
      </c>
      <c r="E912" s="67" t="str">
        <f>IFERROR(VLOOKUP(База_КР_КК[[#This Row],[ИД штатной должности (S)]],'уровень защищенности'!$B$7:$F$1095,5,0),"не защищена")</f>
        <v>высокий</v>
      </c>
      <c r="F912" s="68">
        <v>500651</v>
      </c>
      <c r="G912" s="74" t="s">
        <v>2344</v>
      </c>
      <c r="H912" s="181">
        <f>INDEX('Списки данных'!$D$2:$D$1048576,MATCH(База_КР_КК[[#This Row],[Структурное подразделение]],'Списки данных'!$C$2:$C$1048576,0))</f>
        <v>22</v>
      </c>
      <c r="I912" s="80" t="s">
        <v>135</v>
      </c>
      <c r="J912" s="80" t="s">
        <v>202</v>
      </c>
      <c r="K912" s="80" t="s">
        <v>203</v>
      </c>
      <c r="L912" s="30" t="s">
        <v>189</v>
      </c>
      <c r="M912" s="68">
        <v>6</v>
      </c>
      <c r="N912" s="181" t="str">
        <f t="shared" si="15"/>
        <v>нет</v>
      </c>
      <c r="O912" s="23"/>
      <c r="P912" s="23"/>
      <c r="Q912" s="106"/>
      <c r="R912" s="37">
        <v>185</v>
      </c>
      <c r="S912" s="38" t="s">
        <v>597</v>
      </c>
      <c r="T912" s="37">
        <v>1275</v>
      </c>
      <c r="U912" s="39" t="s">
        <v>1677</v>
      </c>
      <c r="V912" s="89" t="s">
        <v>272</v>
      </c>
      <c r="W912" s="89" t="s">
        <v>135</v>
      </c>
      <c r="X912" s="106" t="s">
        <v>295</v>
      </c>
      <c r="Y912" s="107" t="s">
        <v>12</v>
      </c>
      <c r="Z912" s="67">
        <f>IF(База_КР_КК[[#This Row],[Таб.номер резервиста]]="-","-",IF(OR(База_КР_КК[[#This Row],[Уровень КК]]=2,База_КР_КК[[#This Row],[Уровень КК]]=3),IF(COUNTIFS($U$2:$U912,$U912,$F$2:$F912,$F912)=1,1,0),IF(COUNTIFS($U$2:$U912,$U912,$L$2:$L912,$L912)=1,1,0)))</f>
        <v>1</v>
      </c>
      <c r="AA9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2" s="106"/>
      <c r="AC912" s="51"/>
      <c r="AD912" s="106" t="s">
        <v>13</v>
      </c>
      <c r="AE912" s="38" t="s">
        <v>413</v>
      </c>
    </row>
    <row r="913" spans="1:31" ht="18" customHeight="1" x14ac:dyDescent="0.25">
      <c r="A9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3" s="79">
        <v>4</v>
      </c>
      <c r="C913" s="23">
        <v>43733</v>
      </c>
      <c r="D913" s="67">
        <f>IF(COUNTIF($G$2:$G913,$G913)=1,1,0)</f>
        <v>1</v>
      </c>
      <c r="E913" s="67" t="str">
        <f>IFERROR(VLOOKUP(База_КР_КК[[#This Row],[ИД штатной должности (S)]],'уровень защищенности'!$B$7:$F$1095,5,0),"не защищена")</f>
        <v>высокий</v>
      </c>
      <c r="F913" s="68">
        <v>500652</v>
      </c>
      <c r="G913" s="74" t="s">
        <v>2345</v>
      </c>
      <c r="H913" s="181">
        <f>INDEX('Списки данных'!$D$2:$D$1048576,MATCH(База_КР_КК[[#This Row],[Структурное подразделение]],'Списки данных'!$C$2:$C$1048576,0))</f>
        <v>22</v>
      </c>
      <c r="I913" s="80" t="s">
        <v>135</v>
      </c>
      <c r="J913" s="80" t="s">
        <v>202</v>
      </c>
      <c r="K913" s="80" t="s">
        <v>203</v>
      </c>
      <c r="L913" s="30" t="s">
        <v>191</v>
      </c>
      <c r="M913" s="68">
        <v>7</v>
      </c>
      <c r="N913" s="181" t="str">
        <f t="shared" si="15"/>
        <v>нет</v>
      </c>
      <c r="O913" s="23"/>
      <c r="P913" s="23"/>
      <c r="Q913" s="106"/>
      <c r="R913" s="37">
        <v>186</v>
      </c>
      <c r="S913" s="38" t="s">
        <v>598</v>
      </c>
      <c r="T913" s="37">
        <v>1275</v>
      </c>
      <c r="U913" s="39" t="s">
        <v>1677</v>
      </c>
      <c r="V913" s="89" t="s">
        <v>272</v>
      </c>
      <c r="W913" s="89" t="s">
        <v>135</v>
      </c>
      <c r="X913" s="106" t="s">
        <v>295</v>
      </c>
      <c r="Y913" s="107" t="s">
        <v>12</v>
      </c>
      <c r="Z913" s="67">
        <f>IF(База_КР_КК[[#This Row],[Таб.номер резервиста]]="-","-",IF(OR(База_КР_КК[[#This Row],[Уровень КК]]=2,База_КР_КК[[#This Row],[Уровень КК]]=3),IF(COUNTIFS($U$2:$U913,$U913,$F$2:$F913,$F913)=1,1,0),IF(COUNTIFS($U$2:$U913,$U913,$L$2:$L913,$L913)=1,1,0)))</f>
        <v>1</v>
      </c>
      <c r="AA9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3" s="106"/>
      <c r="AC913" s="51"/>
      <c r="AD913" s="106" t="s">
        <v>13</v>
      </c>
      <c r="AE913" s="38" t="s">
        <v>413</v>
      </c>
    </row>
    <row r="914" spans="1:31" ht="18" customHeight="1" x14ac:dyDescent="0.25">
      <c r="A9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4" s="79">
        <v>4</v>
      </c>
      <c r="C914" s="23">
        <v>43733</v>
      </c>
      <c r="D914" s="67">
        <f>IF(COUNTIF($G$2:$G914,$G914)=1,1,0)</f>
        <v>0</v>
      </c>
      <c r="E914" s="67" t="str">
        <f>IFERROR(VLOOKUP(База_КР_КК[[#This Row],[ИД штатной должности (S)]],'уровень защищенности'!$B$7:$F$1095,5,0),"не защищена")</f>
        <v>высокий</v>
      </c>
      <c r="F914" s="68">
        <v>500652</v>
      </c>
      <c r="G914" s="74" t="s">
        <v>2345</v>
      </c>
      <c r="H914" s="181">
        <f>INDEX('Списки данных'!$D$2:$D$1048576,MATCH(База_КР_КК[[#This Row],[Структурное подразделение]],'Списки данных'!$C$2:$C$1048576,0))</f>
        <v>22</v>
      </c>
      <c r="I914" s="80" t="s">
        <v>135</v>
      </c>
      <c r="J914" s="80" t="s">
        <v>202</v>
      </c>
      <c r="K914" s="80" t="s">
        <v>203</v>
      </c>
      <c r="L914" s="30" t="s">
        <v>191</v>
      </c>
      <c r="M914" s="68">
        <v>7</v>
      </c>
      <c r="N914" s="181" t="str">
        <f t="shared" si="15"/>
        <v>нет</v>
      </c>
      <c r="O914" s="23"/>
      <c r="P914" s="23"/>
      <c r="Q914" s="106"/>
      <c r="R914" s="37">
        <v>186</v>
      </c>
      <c r="S914" s="38" t="s">
        <v>598</v>
      </c>
      <c r="T914" s="37">
        <v>1276</v>
      </c>
      <c r="U914" s="39" t="s">
        <v>1678</v>
      </c>
      <c r="V914" s="89" t="s">
        <v>272</v>
      </c>
      <c r="W914" s="89" t="s">
        <v>135</v>
      </c>
      <c r="X914" s="106" t="s">
        <v>295</v>
      </c>
      <c r="Y914" s="107" t="s">
        <v>12</v>
      </c>
      <c r="Z914" s="67">
        <f>IF(База_КР_КК[[#This Row],[Таб.номер резервиста]]="-","-",IF(OR(База_КР_КК[[#This Row],[Уровень КК]]=2,База_КР_КК[[#This Row],[Уровень КК]]=3),IF(COUNTIFS($U$2:$U914,$U914,$F$2:$F914,$F914)=1,1,0),IF(COUNTIFS($U$2:$U914,$U914,$L$2:$L914,$L914)=1,1,0)))</f>
        <v>1</v>
      </c>
      <c r="AA9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4" s="106"/>
      <c r="AC914" s="51"/>
      <c r="AD914" s="106" t="s">
        <v>13</v>
      </c>
      <c r="AE914" s="38" t="s">
        <v>413</v>
      </c>
    </row>
    <row r="915" spans="1:31" ht="18" customHeight="1" x14ac:dyDescent="0.25">
      <c r="A9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5" s="79">
        <v>4</v>
      </c>
      <c r="C915" s="23">
        <v>43733</v>
      </c>
      <c r="D915" s="67">
        <f>IF(COUNTIF($G$2:$G915,$G915)=1,1,0)</f>
        <v>0</v>
      </c>
      <c r="E915" s="67" t="str">
        <f>IFERROR(VLOOKUP(База_КР_КК[[#This Row],[ИД штатной должности (S)]],'уровень защищенности'!$B$7:$F$1095,5,0),"не защищена")</f>
        <v>высокий</v>
      </c>
      <c r="F915" s="68">
        <v>500652</v>
      </c>
      <c r="G915" s="74" t="s">
        <v>2345</v>
      </c>
      <c r="H915" s="181">
        <f>INDEX('Списки данных'!$D$2:$D$1048576,MATCH(База_КР_КК[[#This Row],[Структурное подразделение]],'Списки данных'!$C$2:$C$1048576,0))</f>
        <v>22</v>
      </c>
      <c r="I915" s="80" t="s">
        <v>135</v>
      </c>
      <c r="J915" s="80" t="s">
        <v>202</v>
      </c>
      <c r="K915" s="80" t="s">
        <v>203</v>
      </c>
      <c r="L915" s="30" t="s">
        <v>191</v>
      </c>
      <c r="M915" s="68">
        <v>7</v>
      </c>
      <c r="N915" s="181" t="str">
        <f t="shared" si="15"/>
        <v>нет</v>
      </c>
      <c r="O915" s="23"/>
      <c r="P915" s="23"/>
      <c r="Q915" s="106"/>
      <c r="R915" s="37">
        <v>186</v>
      </c>
      <c r="S915" s="38" t="s">
        <v>598</v>
      </c>
      <c r="T915" s="37">
        <v>1277</v>
      </c>
      <c r="U915" s="39" t="s">
        <v>1679</v>
      </c>
      <c r="V915" s="89" t="s">
        <v>272</v>
      </c>
      <c r="W915" s="89" t="s">
        <v>135</v>
      </c>
      <c r="X915" s="106" t="s">
        <v>295</v>
      </c>
      <c r="Y915" s="107" t="s">
        <v>12</v>
      </c>
      <c r="Z915" s="67">
        <f>IF(База_КР_КК[[#This Row],[Таб.номер резервиста]]="-","-",IF(OR(База_КР_КК[[#This Row],[Уровень КК]]=2,База_КР_КК[[#This Row],[Уровень КК]]=3),IF(COUNTIFS($U$2:$U915,$U915,$F$2:$F915,$F915)=1,1,0),IF(COUNTIFS($U$2:$U915,$U915,$L$2:$L915,$L915)=1,1,0)))</f>
        <v>1</v>
      </c>
      <c r="AA9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5" s="106"/>
      <c r="AC915" s="51"/>
      <c r="AD915" s="106" t="s">
        <v>13</v>
      </c>
      <c r="AE915" s="38" t="s">
        <v>413</v>
      </c>
    </row>
    <row r="916" spans="1:31" ht="18" customHeight="1" x14ac:dyDescent="0.25">
      <c r="A9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6" s="79">
        <v>4</v>
      </c>
      <c r="C916" s="23">
        <v>44879</v>
      </c>
      <c r="D916" s="67">
        <f>IF(COUNTIF($G$2:$G916,$G916)=1,1,0)</f>
        <v>0</v>
      </c>
      <c r="E916" s="67" t="str">
        <f>IFERROR(VLOOKUP(База_КР_КК[[#This Row],[ИД штатной должности (S)]],'уровень защищенности'!$B$7:$F$1095,5,0),"не защищена")</f>
        <v>высокий</v>
      </c>
      <c r="F916" s="68">
        <v>500652</v>
      </c>
      <c r="G916" s="74" t="s">
        <v>2345</v>
      </c>
      <c r="H916" s="181">
        <f>INDEX('Списки данных'!$D$2:$D$1048576,MATCH(База_КР_КК[[#This Row],[Структурное подразделение]],'Списки данных'!$C$2:$C$1048576,0))</f>
        <v>22</v>
      </c>
      <c r="I916" s="80" t="s">
        <v>135</v>
      </c>
      <c r="J916" s="80" t="s">
        <v>202</v>
      </c>
      <c r="K916" s="80" t="s">
        <v>203</v>
      </c>
      <c r="L916" s="30" t="s">
        <v>191</v>
      </c>
      <c r="M916" s="68">
        <v>7</v>
      </c>
      <c r="N916" s="181" t="str">
        <f t="shared" si="15"/>
        <v>нет</v>
      </c>
      <c r="O916" s="23"/>
      <c r="P916" s="23"/>
      <c r="Q916" s="106"/>
      <c r="R916" s="37">
        <v>186</v>
      </c>
      <c r="S916" s="38" t="s">
        <v>598</v>
      </c>
      <c r="T916" s="37">
        <v>1278</v>
      </c>
      <c r="U916" s="38" t="s">
        <v>1680</v>
      </c>
      <c r="V916" s="69" t="s">
        <v>272</v>
      </c>
      <c r="W916" s="89" t="s">
        <v>135</v>
      </c>
      <c r="X916" s="106" t="s">
        <v>296</v>
      </c>
      <c r="Y916" s="107" t="s">
        <v>12</v>
      </c>
      <c r="Z916" s="67">
        <f>IF(База_КР_КК[[#This Row],[Таб.номер резервиста]]="-","-",IF(OR(База_КР_КК[[#This Row],[Уровень КК]]=2,База_КР_КК[[#This Row],[Уровень КК]]=3),IF(COUNTIFS($U$2:$U916,$U916,$F$2:$F916,$F916)=1,1,0),IF(COUNTIFS($U$2:$U916,$U916,$L$2:$L916,$L916)=1,1,0)))</f>
        <v>1</v>
      </c>
      <c r="AA9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6" s="106"/>
      <c r="AC916" s="51"/>
      <c r="AD916" s="106" t="s">
        <v>15</v>
      </c>
      <c r="AE916" s="33" t="s">
        <v>413</v>
      </c>
    </row>
    <row r="917" spans="1:31" ht="18" customHeight="1" x14ac:dyDescent="0.25">
      <c r="A9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7" s="79">
        <v>4</v>
      </c>
      <c r="C917" s="23">
        <v>44879</v>
      </c>
      <c r="D917" s="67">
        <f>IF(COUNTIF($G$2:$G917,$G917)=1,1,0)</f>
        <v>0</v>
      </c>
      <c r="E917" s="67" t="str">
        <f>IFERROR(VLOOKUP(База_КР_КК[[#This Row],[ИД штатной должности (S)]],'уровень защищенности'!$B$7:$F$1095,5,0),"не защищена")</f>
        <v>высокий</v>
      </c>
      <c r="F917" s="68">
        <v>500652</v>
      </c>
      <c r="G917" s="74" t="s">
        <v>2345</v>
      </c>
      <c r="H917" s="181">
        <f>INDEX('Списки данных'!$D$2:$D$1048576,MATCH(База_КР_КК[[#This Row],[Структурное подразделение]],'Списки данных'!$C$2:$C$1048576,0))</f>
        <v>22</v>
      </c>
      <c r="I917" s="80" t="s">
        <v>135</v>
      </c>
      <c r="J917" s="80" t="s">
        <v>202</v>
      </c>
      <c r="K917" s="80" t="s">
        <v>203</v>
      </c>
      <c r="L917" s="30" t="s">
        <v>191</v>
      </c>
      <c r="M917" s="68">
        <v>7</v>
      </c>
      <c r="N917" s="181" t="str">
        <f t="shared" si="15"/>
        <v>нет</v>
      </c>
      <c r="O917" s="23"/>
      <c r="P917" s="23"/>
      <c r="Q917" s="106"/>
      <c r="R917" s="37">
        <v>186</v>
      </c>
      <c r="S917" s="38" t="s">
        <v>598</v>
      </c>
      <c r="T917" s="37">
        <v>1279</v>
      </c>
      <c r="U917" s="38" t="s">
        <v>1681</v>
      </c>
      <c r="V917" s="69" t="s">
        <v>272</v>
      </c>
      <c r="W917" s="89" t="s">
        <v>135</v>
      </c>
      <c r="X917" s="106" t="s">
        <v>296</v>
      </c>
      <c r="Y917" s="107" t="s">
        <v>12</v>
      </c>
      <c r="Z917" s="67">
        <f>IF(База_КР_КК[[#This Row],[Таб.номер резервиста]]="-","-",IF(OR(База_КР_КК[[#This Row],[Уровень КК]]=2,База_КР_КК[[#This Row],[Уровень КК]]=3),IF(COUNTIFS($U$2:$U917,$U917,$F$2:$F917,$F917)=1,1,0),IF(COUNTIFS($U$2:$U917,$U917,$L$2:$L917,$L917)=1,1,0)))</f>
        <v>1</v>
      </c>
      <c r="AA9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7" s="106"/>
      <c r="AC917" s="51"/>
      <c r="AD917" s="106" t="s">
        <v>15</v>
      </c>
      <c r="AE917" s="33" t="s">
        <v>413</v>
      </c>
    </row>
    <row r="918" spans="1:31" ht="18" customHeight="1" x14ac:dyDescent="0.25">
      <c r="A9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8" s="79">
        <v>4</v>
      </c>
      <c r="C918" s="23">
        <v>44879</v>
      </c>
      <c r="D918" s="67">
        <f>IF(COUNTIF($G$2:$G918,$G918)=1,1,0)</f>
        <v>0</v>
      </c>
      <c r="E918" s="67" t="str">
        <f>IFERROR(VLOOKUP(База_КР_КК[[#This Row],[ИД штатной должности (S)]],'уровень защищенности'!$B$7:$F$1095,5,0),"не защищена")</f>
        <v>высокий</v>
      </c>
      <c r="F918" s="68">
        <v>500652</v>
      </c>
      <c r="G918" s="74" t="s">
        <v>2345</v>
      </c>
      <c r="H918" s="181">
        <f>INDEX('Списки данных'!$D$2:$D$1048576,MATCH(База_КР_КК[[#This Row],[Структурное подразделение]],'Списки данных'!$C$2:$C$1048576,0))</f>
        <v>22</v>
      </c>
      <c r="I918" s="80" t="s">
        <v>135</v>
      </c>
      <c r="J918" s="80" t="s">
        <v>202</v>
      </c>
      <c r="K918" s="80" t="s">
        <v>203</v>
      </c>
      <c r="L918" s="30" t="s">
        <v>191</v>
      </c>
      <c r="M918" s="68">
        <v>7</v>
      </c>
      <c r="N918" s="181" t="str">
        <f t="shared" si="15"/>
        <v>нет</v>
      </c>
      <c r="O918" s="23"/>
      <c r="P918" s="23"/>
      <c r="Q918" s="106"/>
      <c r="R918" s="37">
        <v>186</v>
      </c>
      <c r="S918" s="38" t="s">
        <v>598</v>
      </c>
      <c r="T918" s="37">
        <v>1280</v>
      </c>
      <c r="U918" s="38" t="s">
        <v>1682</v>
      </c>
      <c r="V918" s="69" t="s">
        <v>272</v>
      </c>
      <c r="W918" s="89" t="s">
        <v>135</v>
      </c>
      <c r="X918" s="106" t="s">
        <v>296</v>
      </c>
      <c r="Y918" s="107" t="s">
        <v>12</v>
      </c>
      <c r="Z918" s="67">
        <f>IF(База_КР_КК[[#This Row],[Таб.номер резервиста]]="-","-",IF(OR(База_КР_КК[[#This Row],[Уровень КК]]=2,База_КР_КК[[#This Row],[Уровень КК]]=3),IF(COUNTIFS($U$2:$U918,$U918,$F$2:$F918,$F918)=1,1,0),IF(COUNTIFS($U$2:$U918,$U918,$L$2:$L918,$L918)=1,1,0)))</f>
        <v>1</v>
      </c>
      <c r="AA9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8" s="106"/>
      <c r="AC918" s="51"/>
      <c r="AD918" s="106" t="s">
        <v>15</v>
      </c>
      <c r="AE918" s="33" t="s">
        <v>413</v>
      </c>
    </row>
    <row r="919" spans="1:31" ht="18" customHeight="1" x14ac:dyDescent="0.25">
      <c r="A9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19" s="79">
        <v>4</v>
      </c>
      <c r="C919" s="23">
        <v>44879</v>
      </c>
      <c r="D919" s="67">
        <f>IF(COUNTIF($G$2:$G919,$G919)=1,1,0)</f>
        <v>0</v>
      </c>
      <c r="E919" s="67" t="str">
        <f>IFERROR(VLOOKUP(База_КР_КК[[#This Row],[ИД штатной должности (S)]],'уровень защищенности'!$B$7:$F$1095,5,0),"не защищена")</f>
        <v>высокий</v>
      </c>
      <c r="F919" s="68">
        <v>500652</v>
      </c>
      <c r="G919" s="74" t="s">
        <v>2345</v>
      </c>
      <c r="H919" s="181">
        <f>INDEX('Списки данных'!$D$2:$D$1048576,MATCH(База_КР_КК[[#This Row],[Структурное подразделение]],'Списки данных'!$C$2:$C$1048576,0))</f>
        <v>22</v>
      </c>
      <c r="I919" s="80" t="s">
        <v>135</v>
      </c>
      <c r="J919" s="80" t="s">
        <v>202</v>
      </c>
      <c r="K919" s="80" t="s">
        <v>203</v>
      </c>
      <c r="L919" s="30" t="s">
        <v>191</v>
      </c>
      <c r="M919" s="68">
        <v>7</v>
      </c>
      <c r="N919" s="181" t="str">
        <f t="shared" si="15"/>
        <v>нет</v>
      </c>
      <c r="O919" s="23"/>
      <c r="P919" s="23"/>
      <c r="Q919" s="106"/>
      <c r="R919" s="37">
        <v>186</v>
      </c>
      <c r="S919" s="38" t="s">
        <v>598</v>
      </c>
      <c r="T919" s="37">
        <v>1241</v>
      </c>
      <c r="U919" s="38" t="s">
        <v>1645</v>
      </c>
      <c r="V919" s="69" t="s">
        <v>272</v>
      </c>
      <c r="W919" s="89" t="s">
        <v>135</v>
      </c>
      <c r="X919" s="106" t="s">
        <v>295</v>
      </c>
      <c r="Y919" s="107" t="s">
        <v>12</v>
      </c>
      <c r="Z919" s="67">
        <f>IF(База_КР_КК[[#This Row],[Таб.номер резервиста]]="-","-",IF(OR(База_КР_КК[[#This Row],[Уровень КК]]=2,База_КР_КК[[#This Row],[Уровень КК]]=3),IF(COUNTIFS($U$2:$U919,$U919,$F$2:$F919,$F919)=1,1,0),IF(COUNTIFS($U$2:$U919,$U919,$L$2:$L919,$L919)=1,1,0)))</f>
        <v>1</v>
      </c>
      <c r="AA9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19" s="106"/>
      <c r="AC919" s="51"/>
      <c r="AD919" s="106" t="s">
        <v>15</v>
      </c>
      <c r="AE919" s="33" t="s">
        <v>413</v>
      </c>
    </row>
    <row r="920" spans="1:31" ht="18" customHeight="1" x14ac:dyDescent="0.25">
      <c r="A9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0" s="79">
        <v>4</v>
      </c>
      <c r="C920" s="23">
        <v>44046</v>
      </c>
      <c r="D920" s="67">
        <f>IF(COUNTIF($G$2:$G920,$G920)=1,1,0)</f>
        <v>0</v>
      </c>
      <c r="E920" s="67" t="str">
        <f>IFERROR(VLOOKUP(База_КР_КК[[#This Row],[ИД штатной должности (S)]],'уровень защищенности'!$B$7:$F$1095,5,0),"не защищена")</f>
        <v>высокий</v>
      </c>
      <c r="F920" s="68">
        <v>500652</v>
      </c>
      <c r="G920" s="74" t="s">
        <v>2345</v>
      </c>
      <c r="H920" s="181">
        <f>INDEX('Списки данных'!$D$2:$D$1048576,MATCH(База_КР_КК[[#This Row],[Структурное подразделение]],'Списки данных'!$C$2:$C$1048576,0))</f>
        <v>22</v>
      </c>
      <c r="I920" s="80" t="s">
        <v>135</v>
      </c>
      <c r="J920" s="80" t="s">
        <v>202</v>
      </c>
      <c r="K920" s="80" t="s">
        <v>203</v>
      </c>
      <c r="L920" s="30" t="s">
        <v>191</v>
      </c>
      <c r="M920" s="68">
        <v>7</v>
      </c>
      <c r="N920" s="181" t="str">
        <f t="shared" si="15"/>
        <v>нет</v>
      </c>
      <c r="O920" s="23"/>
      <c r="P920" s="23"/>
      <c r="Q920" s="106"/>
      <c r="R920" s="37">
        <v>186</v>
      </c>
      <c r="S920" s="38" t="s">
        <v>598</v>
      </c>
      <c r="T920" s="37">
        <v>258</v>
      </c>
      <c r="U920" s="39" t="s">
        <v>670</v>
      </c>
      <c r="V920" s="89" t="s">
        <v>192</v>
      </c>
      <c r="W920" s="89" t="s">
        <v>176</v>
      </c>
      <c r="X920" s="106" t="s">
        <v>295</v>
      </c>
      <c r="Y920" s="107" t="s">
        <v>18</v>
      </c>
      <c r="Z920" s="67">
        <f>IF(База_КР_КК[[#This Row],[Таб.номер резервиста]]="-","-",IF(OR(База_КР_КК[[#This Row],[Уровень КК]]=2,База_КР_КК[[#This Row],[Уровень КК]]=3),IF(COUNTIFS($U$2:$U920,$U920,$F$2:$F920,$F920)=1,1,0),IF(COUNTIFS($U$2:$U920,$U920,$L$2:$L920,$L920)=1,1,0)))</f>
        <v>1</v>
      </c>
      <c r="AA9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0" s="106" t="s">
        <v>33</v>
      </c>
      <c r="AC920" s="51">
        <v>44046</v>
      </c>
      <c r="AD920" s="106" t="s">
        <v>15</v>
      </c>
      <c r="AE920" s="38" t="s">
        <v>325</v>
      </c>
    </row>
    <row r="921" spans="1:31" ht="18" customHeight="1" x14ac:dyDescent="0.25">
      <c r="A9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1" s="79">
        <v>4</v>
      </c>
      <c r="C921" s="23">
        <v>43733</v>
      </c>
      <c r="D921" s="67">
        <f>IF(COUNTIF($G$2:$G921,$G921)=1,1,0)</f>
        <v>0</v>
      </c>
      <c r="E921" s="67" t="str">
        <f>IFERROR(VLOOKUP(База_КР_КК[[#This Row],[ИД штатной должности (S)]],'уровень защищенности'!$B$7:$F$1095,5,0),"не защищена")</f>
        <v>высокий</v>
      </c>
      <c r="F921" s="68">
        <v>500652</v>
      </c>
      <c r="G921" s="74" t="s">
        <v>2345</v>
      </c>
      <c r="H921" s="181">
        <f>INDEX('Списки данных'!$D$2:$D$1048576,MATCH(База_КР_КК[[#This Row],[Структурное подразделение]],'Списки данных'!$C$2:$C$1048576,0))</f>
        <v>22</v>
      </c>
      <c r="I921" s="80" t="s">
        <v>135</v>
      </c>
      <c r="J921" s="80" t="s">
        <v>202</v>
      </c>
      <c r="K921" s="80" t="s">
        <v>203</v>
      </c>
      <c r="L921" s="30" t="s">
        <v>191</v>
      </c>
      <c r="M921" s="68">
        <v>7</v>
      </c>
      <c r="N921" s="181" t="str">
        <f t="shared" si="15"/>
        <v>нет</v>
      </c>
      <c r="O921" s="23"/>
      <c r="P921" s="23"/>
      <c r="Q921" s="106"/>
      <c r="R921" s="37">
        <v>186</v>
      </c>
      <c r="S921" s="38" t="s">
        <v>598</v>
      </c>
      <c r="T921" s="37">
        <v>1281</v>
      </c>
      <c r="U921" s="39" t="s">
        <v>1683</v>
      </c>
      <c r="V921" s="89" t="s">
        <v>272</v>
      </c>
      <c r="W921" s="89" t="s">
        <v>135</v>
      </c>
      <c r="X921" s="106" t="s">
        <v>295</v>
      </c>
      <c r="Y921" s="107" t="s">
        <v>18</v>
      </c>
      <c r="Z921" s="67">
        <f>IF(База_КР_КК[[#This Row],[Таб.номер резервиста]]="-","-",IF(OR(База_КР_КК[[#This Row],[Уровень КК]]=2,База_КР_КК[[#This Row],[Уровень КК]]=3),IF(COUNTIFS($U$2:$U921,$U921,$F$2:$F921,$F921)=1,1,0),IF(COUNTIFS($U$2:$U921,$U921,$L$2:$L921,$L921)=1,1,0)))</f>
        <v>1</v>
      </c>
      <c r="AA9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1" s="106" t="s">
        <v>19</v>
      </c>
      <c r="AC921" s="51">
        <v>44840</v>
      </c>
      <c r="AD921" s="106" t="s">
        <v>17</v>
      </c>
      <c r="AE921" s="38" t="s">
        <v>324</v>
      </c>
    </row>
    <row r="922" spans="1:31" ht="18" customHeight="1" x14ac:dyDescent="0.25">
      <c r="A9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2" s="79">
        <v>4</v>
      </c>
      <c r="C922" s="23">
        <v>43733</v>
      </c>
      <c r="D922" s="67">
        <f>IF(COUNTIF($G$2:$G922,$G922)=1,1,0)</f>
        <v>0</v>
      </c>
      <c r="E922" s="67" t="str">
        <f>IFERROR(VLOOKUP(База_КР_КК[[#This Row],[ИД штатной должности (S)]],'уровень защищенности'!$B$7:$F$1095,5,0),"не защищена")</f>
        <v>высокий</v>
      </c>
      <c r="F922" s="68">
        <v>500652</v>
      </c>
      <c r="G922" s="74" t="s">
        <v>2345</v>
      </c>
      <c r="H922" s="181">
        <f>INDEX('Списки данных'!$D$2:$D$1048576,MATCH(База_КР_КК[[#This Row],[Структурное подразделение]],'Списки данных'!$C$2:$C$1048576,0))</f>
        <v>22</v>
      </c>
      <c r="I922" s="80" t="s">
        <v>135</v>
      </c>
      <c r="J922" s="80" t="s">
        <v>202</v>
      </c>
      <c r="K922" s="80" t="s">
        <v>203</v>
      </c>
      <c r="L922" s="30" t="s">
        <v>191</v>
      </c>
      <c r="M922" s="68">
        <v>7</v>
      </c>
      <c r="N922" s="181" t="str">
        <f t="shared" si="15"/>
        <v>нет</v>
      </c>
      <c r="O922" s="23"/>
      <c r="P922" s="23"/>
      <c r="Q922" s="106"/>
      <c r="R922" s="37">
        <v>186</v>
      </c>
      <c r="S922" s="38" t="s">
        <v>598</v>
      </c>
      <c r="T922" s="37">
        <v>1282</v>
      </c>
      <c r="U922" s="39" t="s">
        <v>1684</v>
      </c>
      <c r="V922" s="89" t="s">
        <v>272</v>
      </c>
      <c r="W922" s="89" t="s">
        <v>135</v>
      </c>
      <c r="X922" s="106" t="s">
        <v>297</v>
      </c>
      <c r="Y922" s="107" t="s">
        <v>18</v>
      </c>
      <c r="Z922" s="67">
        <f>IF(База_КР_КК[[#This Row],[Таб.номер резервиста]]="-","-",IF(OR(База_КР_КК[[#This Row],[Уровень КК]]=2,База_КР_КК[[#This Row],[Уровень КК]]=3),IF(COUNTIFS($U$2:$U922,$U922,$F$2:$F922,$F922)=1,1,0),IF(COUNTIFS($U$2:$U922,$U922,$L$2:$L922,$L922)=1,1,0)))</f>
        <v>1</v>
      </c>
      <c r="AA9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2" s="106" t="s">
        <v>20</v>
      </c>
      <c r="AC922" s="51">
        <v>44279</v>
      </c>
      <c r="AD922" s="106" t="s">
        <v>13</v>
      </c>
      <c r="AE922" s="38" t="s">
        <v>323</v>
      </c>
    </row>
    <row r="923" spans="1:31" ht="18" customHeight="1" x14ac:dyDescent="0.25">
      <c r="A9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3" s="79">
        <v>4</v>
      </c>
      <c r="C923" s="23">
        <v>44487</v>
      </c>
      <c r="D923" s="67">
        <f>IF(COUNTIF($G$2:$G923,$G923)=1,1,0)</f>
        <v>0</v>
      </c>
      <c r="E923" s="67" t="str">
        <f>IFERROR(VLOOKUP(База_КР_КК[[#This Row],[ИД штатной должности (S)]],'уровень защищенности'!$B$7:$F$1095,5,0),"не защищена")</f>
        <v>высокий</v>
      </c>
      <c r="F923" s="68">
        <v>500652</v>
      </c>
      <c r="G923" s="74" t="s">
        <v>2345</v>
      </c>
      <c r="H923" s="181">
        <f>INDEX('Списки данных'!$D$2:$D$1048576,MATCH(База_КР_КК[[#This Row],[Структурное подразделение]],'Списки данных'!$C$2:$C$1048576,0))</f>
        <v>22</v>
      </c>
      <c r="I923" s="80" t="s">
        <v>135</v>
      </c>
      <c r="J923" s="80" t="s">
        <v>202</v>
      </c>
      <c r="K923" s="80" t="s">
        <v>203</v>
      </c>
      <c r="L923" s="30" t="s">
        <v>191</v>
      </c>
      <c r="M923" s="68">
        <v>7</v>
      </c>
      <c r="N923" s="181" t="str">
        <f t="shared" si="15"/>
        <v>нет</v>
      </c>
      <c r="O923" s="23"/>
      <c r="P923" s="23"/>
      <c r="Q923" s="106"/>
      <c r="R923" s="37">
        <v>186</v>
      </c>
      <c r="S923" s="39" t="s">
        <v>598</v>
      </c>
      <c r="T923" s="37">
        <v>1283</v>
      </c>
      <c r="U923" s="39" t="s">
        <v>1685</v>
      </c>
      <c r="V923" s="89" t="s">
        <v>192</v>
      </c>
      <c r="W923" s="89" t="s">
        <v>135</v>
      </c>
      <c r="X923" s="106" t="s">
        <v>297</v>
      </c>
      <c r="Y923" s="107" t="s">
        <v>18</v>
      </c>
      <c r="Z923" s="67">
        <f>IF(База_КР_КК[[#This Row],[Таб.номер резервиста]]="-","-",IF(OR(База_КР_КК[[#This Row],[Уровень КК]]=2,База_КР_КК[[#This Row],[Уровень КК]]=3),IF(COUNTIFS($U$2:$U923,$U923,$F$2:$F923,$F923)=1,1,0),IF(COUNTIFS($U$2:$U923,$U923,$L$2:$L923,$L923)=1,1,0)))</f>
        <v>1</v>
      </c>
      <c r="AA9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3" s="106" t="s">
        <v>19</v>
      </c>
      <c r="AC923" s="51">
        <v>44950</v>
      </c>
      <c r="AD923" s="106" t="s">
        <v>13</v>
      </c>
      <c r="AE923" s="33" t="s">
        <v>413</v>
      </c>
    </row>
    <row r="924" spans="1:31" ht="18" customHeight="1" x14ac:dyDescent="0.25">
      <c r="A9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4" s="79">
        <v>4</v>
      </c>
      <c r="C924" s="23">
        <v>43733</v>
      </c>
      <c r="D924" s="67">
        <f>IF(COUNTIF($G$2:$G924,$G924)=1,1,0)</f>
        <v>1</v>
      </c>
      <c r="E924" s="67" t="str">
        <f>IFERROR(VLOOKUP(База_КР_КК[[#This Row],[ИД штатной должности (S)]],'уровень защищенности'!$B$7:$F$1095,5,0),"не защищена")</f>
        <v>высокий</v>
      </c>
      <c r="F924" s="68">
        <v>500652</v>
      </c>
      <c r="G924" s="74" t="s">
        <v>2346</v>
      </c>
      <c r="H924" s="181">
        <f>INDEX('Списки данных'!$D$2:$D$1048576,MATCH(База_КР_КК[[#This Row],[Структурное подразделение]],'Списки данных'!$C$2:$C$1048576,0))</f>
        <v>22</v>
      </c>
      <c r="I924" s="80" t="s">
        <v>135</v>
      </c>
      <c r="J924" s="80" t="s">
        <v>202</v>
      </c>
      <c r="K924" s="80" t="s">
        <v>203</v>
      </c>
      <c r="L924" s="30" t="s">
        <v>191</v>
      </c>
      <c r="M924" s="68">
        <v>7</v>
      </c>
      <c r="N924" s="181" t="str">
        <f t="shared" si="15"/>
        <v>нет</v>
      </c>
      <c r="O924" s="23"/>
      <c r="P924" s="23"/>
      <c r="Q924" s="106"/>
      <c r="R924" s="37">
        <v>187</v>
      </c>
      <c r="S924" s="38" t="s">
        <v>599</v>
      </c>
      <c r="T924" s="37">
        <v>1276</v>
      </c>
      <c r="U924" s="39" t="s">
        <v>1678</v>
      </c>
      <c r="V924" s="89" t="s">
        <v>272</v>
      </c>
      <c r="W924" s="89" t="s">
        <v>135</v>
      </c>
      <c r="X924" s="106" t="s">
        <v>295</v>
      </c>
      <c r="Y924" s="107" t="s">
        <v>12</v>
      </c>
      <c r="Z924" s="67">
        <f>IF(База_КР_КК[[#This Row],[Таб.номер резервиста]]="-","-",IF(OR(База_КР_КК[[#This Row],[Уровень КК]]=2,База_КР_КК[[#This Row],[Уровень КК]]=3),IF(COUNTIFS($U$2:$U924,$U924,$F$2:$F924,$F924)=1,1,0),IF(COUNTIFS($U$2:$U924,$U924,$L$2:$L924,$L924)=1,1,0)))</f>
        <v>0</v>
      </c>
      <c r="AA9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4" s="106"/>
      <c r="AC924" s="51"/>
      <c r="AD924" s="106" t="s">
        <v>13</v>
      </c>
      <c r="AE924" s="38" t="s">
        <v>413</v>
      </c>
    </row>
    <row r="925" spans="1:31" ht="18" customHeight="1" x14ac:dyDescent="0.25">
      <c r="A9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5" s="79">
        <v>4</v>
      </c>
      <c r="C925" s="23">
        <v>43733</v>
      </c>
      <c r="D925" s="67">
        <f>IF(COUNTIF($G$2:$G925,$G925)=1,1,0)</f>
        <v>0</v>
      </c>
      <c r="E925" s="67" t="str">
        <f>IFERROR(VLOOKUP(База_КР_КК[[#This Row],[ИД штатной должности (S)]],'уровень защищенности'!$B$7:$F$1095,5,0),"не защищена")</f>
        <v>высокий</v>
      </c>
      <c r="F925" s="68">
        <v>500652</v>
      </c>
      <c r="G925" s="74" t="s">
        <v>2346</v>
      </c>
      <c r="H925" s="181">
        <f>INDEX('Списки данных'!$D$2:$D$1048576,MATCH(База_КР_КК[[#This Row],[Структурное подразделение]],'Списки данных'!$C$2:$C$1048576,0))</f>
        <v>22</v>
      </c>
      <c r="I925" s="80" t="s">
        <v>135</v>
      </c>
      <c r="J925" s="80" t="s">
        <v>202</v>
      </c>
      <c r="K925" s="80" t="s">
        <v>203</v>
      </c>
      <c r="L925" s="30" t="s">
        <v>191</v>
      </c>
      <c r="M925" s="68">
        <v>7</v>
      </c>
      <c r="N925" s="181" t="str">
        <f t="shared" si="15"/>
        <v>нет</v>
      </c>
      <c r="O925" s="23"/>
      <c r="P925" s="23"/>
      <c r="Q925" s="106"/>
      <c r="R925" s="37">
        <v>187</v>
      </c>
      <c r="S925" s="38" t="s">
        <v>599</v>
      </c>
      <c r="T925" s="37">
        <v>1275</v>
      </c>
      <c r="U925" s="39" t="s">
        <v>1677</v>
      </c>
      <c r="V925" s="89" t="s">
        <v>272</v>
      </c>
      <c r="W925" s="89" t="s">
        <v>135</v>
      </c>
      <c r="X925" s="106" t="s">
        <v>295</v>
      </c>
      <c r="Y925" s="107" t="s">
        <v>12</v>
      </c>
      <c r="Z925" s="67">
        <f>IF(База_КР_КК[[#This Row],[Таб.номер резервиста]]="-","-",IF(OR(База_КР_КК[[#This Row],[Уровень КК]]=2,База_КР_КК[[#This Row],[Уровень КК]]=3),IF(COUNTIFS($U$2:$U925,$U925,$F$2:$F925,$F925)=1,1,0),IF(COUNTIFS($U$2:$U925,$U925,$L$2:$L925,$L925)=1,1,0)))</f>
        <v>0</v>
      </c>
      <c r="AA9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5" s="106"/>
      <c r="AC925" s="51"/>
      <c r="AD925" s="106" t="s">
        <v>13</v>
      </c>
      <c r="AE925" s="38" t="s">
        <v>413</v>
      </c>
    </row>
    <row r="926" spans="1:31" ht="18" customHeight="1" x14ac:dyDescent="0.25">
      <c r="A9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6" s="79">
        <v>4</v>
      </c>
      <c r="C926" s="23">
        <v>43733</v>
      </c>
      <c r="D926" s="67">
        <f>IF(COUNTIF($G$2:$G926,$G926)=1,1,0)</f>
        <v>0</v>
      </c>
      <c r="E926" s="67" t="str">
        <f>IFERROR(VLOOKUP(База_КР_КК[[#This Row],[ИД штатной должности (S)]],'уровень защищенности'!$B$7:$F$1095,5,0),"не защищена")</f>
        <v>высокий</v>
      </c>
      <c r="F926" s="68">
        <v>500652</v>
      </c>
      <c r="G926" s="74" t="s">
        <v>2346</v>
      </c>
      <c r="H926" s="181">
        <f>INDEX('Списки данных'!$D$2:$D$1048576,MATCH(База_КР_КК[[#This Row],[Структурное подразделение]],'Списки данных'!$C$2:$C$1048576,0))</f>
        <v>22</v>
      </c>
      <c r="I926" s="80" t="s">
        <v>135</v>
      </c>
      <c r="J926" s="80" t="s">
        <v>202</v>
      </c>
      <c r="K926" s="80" t="s">
        <v>203</v>
      </c>
      <c r="L926" s="30" t="s">
        <v>191</v>
      </c>
      <c r="M926" s="68">
        <v>7</v>
      </c>
      <c r="N926" s="181" t="str">
        <f t="shared" si="15"/>
        <v>нет</v>
      </c>
      <c r="O926" s="23"/>
      <c r="P926" s="23"/>
      <c r="Q926" s="106"/>
      <c r="R926" s="37">
        <v>187</v>
      </c>
      <c r="S926" s="38" t="s">
        <v>599</v>
      </c>
      <c r="T926" s="37">
        <v>1277</v>
      </c>
      <c r="U926" s="39" t="s">
        <v>1679</v>
      </c>
      <c r="V926" s="89" t="s">
        <v>272</v>
      </c>
      <c r="W926" s="89" t="s">
        <v>135</v>
      </c>
      <c r="X926" s="106" t="s">
        <v>295</v>
      </c>
      <c r="Y926" s="107" t="s">
        <v>12</v>
      </c>
      <c r="Z926" s="67">
        <f>IF(База_КР_КК[[#This Row],[Таб.номер резервиста]]="-","-",IF(OR(База_КР_КК[[#This Row],[Уровень КК]]=2,База_КР_КК[[#This Row],[Уровень КК]]=3),IF(COUNTIFS($U$2:$U926,$U926,$F$2:$F926,$F926)=1,1,0),IF(COUNTIFS($U$2:$U926,$U926,$L$2:$L926,$L926)=1,1,0)))</f>
        <v>0</v>
      </c>
      <c r="AA9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6" s="106"/>
      <c r="AC926" s="51"/>
      <c r="AD926" s="106" t="s">
        <v>13</v>
      </c>
      <c r="AE926" s="38" t="s">
        <v>413</v>
      </c>
    </row>
    <row r="927" spans="1:31" ht="18" customHeight="1" x14ac:dyDescent="0.25">
      <c r="A9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7" s="79">
        <v>4</v>
      </c>
      <c r="C927" s="23">
        <v>44879</v>
      </c>
      <c r="D927" s="67">
        <f>IF(COUNTIF($G$2:$G927,$G927)=1,1,0)</f>
        <v>0</v>
      </c>
      <c r="E927" s="67" t="str">
        <f>IFERROR(VLOOKUP(База_КР_КК[[#This Row],[ИД штатной должности (S)]],'уровень защищенности'!$B$7:$F$1095,5,0),"не защищена")</f>
        <v>высокий</v>
      </c>
      <c r="F927" s="68">
        <v>500652</v>
      </c>
      <c r="G927" s="74" t="s">
        <v>2346</v>
      </c>
      <c r="H927" s="181">
        <f>INDEX('Списки данных'!$D$2:$D$1048576,MATCH(База_КР_КК[[#This Row],[Структурное подразделение]],'Списки данных'!$C$2:$C$1048576,0))</f>
        <v>22</v>
      </c>
      <c r="I927" s="80" t="s">
        <v>135</v>
      </c>
      <c r="J927" s="80" t="s">
        <v>202</v>
      </c>
      <c r="K927" s="80" t="s">
        <v>203</v>
      </c>
      <c r="L927" s="30" t="s">
        <v>191</v>
      </c>
      <c r="M927" s="68">
        <v>7</v>
      </c>
      <c r="N927" s="181" t="str">
        <f t="shared" si="15"/>
        <v>нет</v>
      </c>
      <c r="O927" s="23"/>
      <c r="P927" s="23"/>
      <c r="Q927" s="106"/>
      <c r="R927" s="37">
        <v>187</v>
      </c>
      <c r="S927" s="39" t="s">
        <v>599</v>
      </c>
      <c r="T927" s="37">
        <v>1278</v>
      </c>
      <c r="U927" s="38" t="s">
        <v>1680</v>
      </c>
      <c r="V927" s="69" t="s">
        <v>272</v>
      </c>
      <c r="W927" s="89" t="s">
        <v>135</v>
      </c>
      <c r="X927" s="106" t="s">
        <v>296</v>
      </c>
      <c r="Y927" s="107" t="s">
        <v>12</v>
      </c>
      <c r="Z927" s="67">
        <f>IF(База_КР_КК[[#This Row],[Таб.номер резервиста]]="-","-",IF(OR(База_КР_КК[[#This Row],[Уровень КК]]=2,База_КР_КК[[#This Row],[Уровень КК]]=3),IF(COUNTIFS($U$2:$U927,$U927,$F$2:$F927,$F927)=1,1,0),IF(COUNTIFS($U$2:$U927,$U927,$L$2:$L927,$L927)=1,1,0)))</f>
        <v>0</v>
      </c>
      <c r="AA9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7" s="106"/>
      <c r="AC927" s="51"/>
      <c r="AD927" s="106" t="s">
        <v>15</v>
      </c>
      <c r="AE927" s="33" t="s">
        <v>413</v>
      </c>
    </row>
    <row r="928" spans="1:31" ht="18" customHeight="1" x14ac:dyDescent="0.25">
      <c r="A9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8" s="79">
        <v>4</v>
      </c>
      <c r="C928" s="23">
        <v>44879</v>
      </c>
      <c r="D928" s="67">
        <f>IF(COUNTIF($G$2:$G928,$G928)=1,1,0)</f>
        <v>0</v>
      </c>
      <c r="E928" s="67" t="str">
        <f>IFERROR(VLOOKUP(База_КР_КК[[#This Row],[ИД штатной должности (S)]],'уровень защищенности'!$B$7:$F$1095,5,0),"не защищена")</f>
        <v>высокий</v>
      </c>
      <c r="F928" s="68">
        <v>500652</v>
      </c>
      <c r="G928" s="74" t="s">
        <v>2346</v>
      </c>
      <c r="H928" s="181">
        <f>INDEX('Списки данных'!$D$2:$D$1048576,MATCH(База_КР_КК[[#This Row],[Структурное подразделение]],'Списки данных'!$C$2:$C$1048576,0))</f>
        <v>22</v>
      </c>
      <c r="I928" s="80" t="s">
        <v>135</v>
      </c>
      <c r="J928" s="80" t="s">
        <v>202</v>
      </c>
      <c r="K928" s="80" t="s">
        <v>203</v>
      </c>
      <c r="L928" s="30" t="s">
        <v>191</v>
      </c>
      <c r="M928" s="68">
        <v>7</v>
      </c>
      <c r="N928" s="181" t="str">
        <f t="shared" si="15"/>
        <v>нет</v>
      </c>
      <c r="O928" s="23"/>
      <c r="P928" s="23"/>
      <c r="Q928" s="106"/>
      <c r="R928" s="37">
        <v>187</v>
      </c>
      <c r="S928" s="38" t="s">
        <v>599</v>
      </c>
      <c r="T928" s="37">
        <v>1279</v>
      </c>
      <c r="U928" s="38" t="s">
        <v>1681</v>
      </c>
      <c r="V928" s="69" t="s">
        <v>272</v>
      </c>
      <c r="W928" s="89" t="s">
        <v>135</v>
      </c>
      <c r="X928" s="106" t="s">
        <v>296</v>
      </c>
      <c r="Y928" s="107" t="s">
        <v>12</v>
      </c>
      <c r="Z928" s="67">
        <f>IF(База_КР_КК[[#This Row],[Таб.номер резервиста]]="-","-",IF(OR(База_КР_КК[[#This Row],[Уровень КК]]=2,База_КР_КК[[#This Row],[Уровень КК]]=3),IF(COUNTIFS($U$2:$U928,$U928,$F$2:$F928,$F928)=1,1,0),IF(COUNTIFS($U$2:$U928,$U928,$L$2:$L928,$L928)=1,1,0)))</f>
        <v>0</v>
      </c>
      <c r="AA9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8" s="106"/>
      <c r="AC928" s="51"/>
      <c r="AD928" s="106" t="s">
        <v>15</v>
      </c>
      <c r="AE928" s="33" t="s">
        <v>413</v>
      </c>
    </row>
    <row r="929" spans="1:31" ht="18" customHeight="1" x14ac:dyDescent="0.25">
      <c r="A9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29" s="79">
        <v>4</v>
      </c>
      <c r="C929" s="23">
        <v>44879</v>
      </c>
      <c r="D929" s="67">
        <f>IF(COUNTIF($G$2:$G929,$G929)=1,1,0)</f>
        <v>0</v>
      </c>
      <c r="E929" s="67" t="str">
        <f>IFERROR(VLOOKUP(База_КР_КК[[#This Row],[ИД штатной должности (S)]],'уровень защищенности'!$B$7:$F$1095,5,0),"не защищена")</f>
        <v>высокий</v>
      </c>
      <c r="F929" s="68">
        <v>500652</v>
      </c>
      <c r="G929" s="74" t="s">
        <v>2346</v>
      </c>
      <c r="H929" s="181">
        <f>INDEX('Списки данных'!$D$2:$D$1048576,MATCH(База_КР_КК[[#This Row],[Структурное подразделение]],'Списки данных'!$C$2:$C$1048576,0))</f>
        <v>22</v>
      </c>
      <c r="I929" s="80" t="s">
        <v>135</v>
      </c>
      <c r="J929" s="80" t="s">
        <v>202</v>
      </c>
      <c r="K929" s="80" t="s">
        <v>203</v>
      </c>
      <c r="L929" s="30" t="s">
        <v>191</v>
      </c>
      <c r="M929" s="68">
        <v>7</v>
      </c>
      <c r="N929" s="181" t="str">
        <f t="shared" si="15"/>
        <v>нет</v>
      </c>
      <c r="O929" s="23"/>
      <c r="P929" s="23"/>
      <c r="Q929" s="106"/>
      <c r="R929" s="37">
        <v>187</v>
      </c>
      <c r="S929" s="38" t="s">
        <v>599</v>
      </c>
      <c r="T929" s="37">
        <v>1280</v>
      </c>
      <c r="U929" s="38" t="s">
        <v>1682</v>
      </c>
      <c r="V929" s="69" t="s">
        <v>272</v>
      </c>
      <c r="W929" s="89" t="s">
        <v>135</v>
      </c>
      <c r="X929" s="106" t="s">
        <v>296</v>
      </c>
      <c r="Y929" s="107" t="s">
        <v>12</v>
      </c>
      <c r="Z929" s="67">
        <f>IF(База_КР_КК[[#This Row],[Таб.номер резервиста]]="-","-",IF(OR(База_КР_КК[[#This Row],[Уровень КК]]=2,База_КР_КК[[#This Row],[Уровень КК]]=3),IF(COUNTIFS($U$2:$U929,$U929,$F$2:$F929,$F929)=1,1,0),IF(COUNTIFS($U$2:$U929,$U929,$L$2:$L929,$L929)=1,1,0)))</f>
        <v>0</v>
      </c>
      <c r="AA9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29" s="106"/>
      <c r="AC929" s="51"/>
      <c r="AD929" s="106" t="s">
        <v>15</v>
      </c>
      <c r="AE929" s="33" t="s">
        <v>413</v>
      </c>
    </row>
    <row r="930" spans="1:31" ht="18" customHeight="1" x14ac:dyDescent="0.25">
      <c r="A9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0" s="79">
        <v>4</v>
      </c>
      <c r="C930" s="23">
        <v>44879</v>
      </c>
      <c r="D930" s="67">
        <f>IF(COUNTIF($G$2:$G930,$G930)=1,1,0)</f>
        <v>0</v>
      </c>
      <c r="E930" s="67" t="str">
        <f>IFERROR(VLOOKUP(База_КР_КК[[#This Row],[ИД штатной должности (S)]],'уровень защищенности'!$B$7:$F$1095,5,0),"не защищена")</f>
        <v>высокий</v>
      </c>
      <c r="F930" s="68">
        <v>500652</v>
      </c>
      <c r="G930" s="74" t="s">
        <v>2346</v>
      </c>
      <c r="H930" s="181">
        <f>INDEX('Списки данных'!$D$2:$D$1048576,MATCH(База_КР_КК[[#This Row],[Структурное подразделение]],'Списки данных'!$C$2:$C$1048576,0))</f>
        <v>22</v>
      </c>
      <c r="I930" s="80" t="s">
        <v>135</v>
      </c>
      <c r="J930" s="80" t="s">
        <v>202</v>
      </c>
      <c r="K930" s="80" t="s">
        <v>203</v>
      </c>
      <c r="L930" s="30" t="s">
        <v>191</v>
      </c>
      <c r="M930" s="68">
        <v>7</v>
      </c>
      <c r="N930" s="181" t="str">
        <f t="shared" si="15"/>
        <v>нет</v>
      </c>
      <c r="O930" s="23"/>
      <c r="P930" s="23"/>
      <c r="Q930" s="106"/>
      <c r="R930" s="37">
        <v>187</v>
      </c>
      <c r="S930" s="38" t="s">
        <v>599</v>
      </c>
      <c r="T930" s="37">
        <v>1241</v>
      </c>
      <c r="U930" s="38" t="s">
        <v>1645</v>
      </c>
      <c r="V930" s="69" t="s">
        <v>272</v>
      </c>
      <c r="W930" s="89" t="s">
        <v>135</v>
      </c>
      <c r="X930" s="106" t="s">
        <v>295</v>
      </c>
      <c r="Y930" s="107" t="s">
        <v>12</v>
      </c>
      <c r="Z930" s="67">
        <f>IF(База_КР_КК[[#This Row],[Таб.номер резервиста]]="-","-",IF(OR(База_КР_КК[[#This Row],[Уровень КК]]=2,База_КР_КК[[#This Row],[Уровень КК]]=3),IF(COUNTIFS($U$2:$U930,$U930,$F$2:$F930,$F930)=1,1,0),IF(COUNTIFS($U$2:$U930,$U930,$L$2:$L930,$L930)=1,1,0)))</f>
        <v>0</v>
      </c>
      <c r="AA9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0" s="106"/>
      <c r="AC930" s="51"/>
      <c r="AD930" s="106" t="s">
        <v>15</v>
      </c>
      <c r="AE930" s="33" t="s">
        <v>413</v>
      </c>
    </row>
    <row r="931" spans="1:31" ht="18" customHeight="1" x14ac:dyDescent="0.25">
      <c r="A9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1" s="79">
        <v>4</v>
      </c>
      <c r="C931" s="23">
        <v>43733</v>
      </c>
      <c r="D931" s="67">
        <f>IF(COUNTIF($G$2:$G931,$G931)=1,1,0)</f>
        <v>0</v>
      </c>
      <c r="E931" s="67" t="str">
        <f>IFERROR(VLOOKUP(База_КР_КК[[#This Row],[ИД штатной должности (S)]],'уровень защищенности'!$B$7:$F$1095,5,0),"не защищена")</f>
        <v>высокий</v>
      </c>
      <c r="F931" s="68">
        <v>500652</v>
      </c>
      <c r="G931" s="74" t="s">
        <v>2346</v>
      </c>
      <c r="H931" s="181">
        <f>INDEX('Списки данных'!$D$2:$D$1048576,MATCH(База_КР_КК[[#This Row],[Структурное подразделение]],'Списки данных'!$C$2:$C$1048576,0))</f>
        <v>22</v>
      </c>
      <c r="I931" s="80" t="s">
        <v>135</v>
      </c>
      <c r="J931" s="80" t="s">
        <v>202</v>
      </c>
      <c r="K931" s="80" t="s">
        <v>203</v>
      </c>
      <c r="L931" s="30" t="s">
        <v>191</v>
      </c>
      <c r="M931" s="68">
        <v>7</v>
      </c>
      <c r="N931" s="181" t="str">
        <f t="shared" si="15"/>
        <v>нет</v>
      </c>
      <c r="O931" s="23"/>
      <c r="P931" s="23"/>
      <c r="Q931" s="106"/>
      <c r="R931" s="37">
        <v>187</v>
      </c>
      <c r="S931" s="38" t="s">
        <v>599</v>
      </c>
      <c r="T931" s="37">
        <v>1281</v>
      </c>
      <c r="U931" s="39" t="s">
        <v>1683</v>
      </c>
      <c r="V931" s="89" t="s">
        <v>272</v>
      </c>
      <c r="W931" s="89" t="s">
        <v>135</v>
      </c>
      <c r="X931" s="106" t="s">
        <v>295</v>
      </c>
      <c r="Y931" s="107" t="s">
        <v>18</v>
      </c>
      <c r="Z931" s="67">
        <f>IF(База_КР_КК[[#This Row],[Таб.номер резервиста]]="-","-",IF(OR(База_КР_КК[[#This Row],[Уровень КК]]=2,База_КР_КК[[#This Row],[Уровень КК]]=3),IF(COUNTIFS($U$2:$U931,$U931,$F$2:$F931,$F931)=1,1,0),IF(COUNTIFS($U$2:$U931,$U931,$L$2:$L931,$L931)=1,1,0)))</f>
        <v>0</v>
      </c>
      <c r="AA9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1" s="106" t="s">
        <v>19</v>
      </c>
      <c r="AC931" s="51">
        <v>44840</v>
      </c>
      <c r="AD931" s="106" t="s">
        <v>17</v>
      </c>
      <c r="AE931" s="38" t="s">
        <v>324</v>
      </c>
    </row>
    <row r="932" spans="1:31" ht="18" customHeight="1" x14ac:dyDescent="0.25">
      <c r="A9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2" s="79">
        <v>4</v>
      </c>
      <c r="C932" s="23">
        <v>43733</v>
      </c>
      <c r="D932" s="67">
        <f>IF(COUNTIF($G$2:$G932,$G932)=1,1,0)</f>
        <v>0</v>
      </c>
      <c r="E932" s="67" t="str">
        <f>IFERROR(VLOOKUP(База_КР_КК[[#This Row],[ИД штатной должности (S)]],'уровень защищенности'!$B$7:$F$1095,5,0),"не защищена")</f>
        <v>высокий</v>
      </c>
      <c r="F932" s="68">
        <v>500652</v>
      </c>
      <c r="G932" s="74" t="s">
        <v>2346</v>
      </c>
      <c r="H932" s="181">
        <f>INDEX('Списки данных'!$D$2:$D$1048576,MATCH(База_КР_КК[[#This Row],[Структурное подразделение]],'Списки данных'!$C$2:$C$1048576,0))</f>
        <v>22</v>
      </c>
      <c r="I932" s="80" t="s">
        <v>135</v>
      </c>
      <c r="J932" s="80" t="s">
        <v>202</v>
      </c>
      <c r="K932" s="80" t="s">
        <v>203</v>
      </c>
      <c r="L932" s="30" t="s">
        <v>191</v>
      </c>
      <c r="M932" s="68">
        <v>7</v>
      </c>
      <c r="N932" s="181" t="str">
        <f t="shared" si="15"/>
        <v>нет</v>
      </c>
      <c r="O932" s="23"/>
      <c r="P932" s="23"/>
      <c r="Q932" s="106"/>
      <c r="R932" s="37">
        <v>187</v>
      </c>
      <c r="S932" s="38" t="s">
        <v>599</v>
      </c>
      <c r="T932" s="37">
        <v>1282</v>
      </c>
      <c r="U932" s="39" t="s">
        <v>1684</v>
      </c>
      <c r="V932" s="89" t="s">
        <v>272</v>
      </c>
      <c r="W932" s="89" t="s">
        <v>135</v>
      </c>
      <c r="X932" s="106" t="s">
        <v>297</v>
      </c>
      <c r="Y932" s="107" t="s">
        <v>18</v>
      </c>
      <c r="Z932" s="67">
        <f>IF(База_КР_КК[[#This Row],[Таб.номер резервиста]]="-","-",IF(OR(База_КР_КК[[#This Row],[Уровень КК]]=2,База_КР_КК[[#This Row],[Уровень КК]]=3),IF(COUNTIFS($U$2:$U932,$U932,$F$2:$F932,$F932)=1,1,0),IF(COUNTIFS($U$2:$U932,$U932,$L$2:$L932,$L932)=1,1,0)))</f>
        <v>0</v>
      </c>
      <c r="AA9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2" s="106" t="s">
        <v>20</v>
      </c>
      <c r="AC932" s="51">
        <v>44279</v>
      </c>
      <c r="AD932" s="106" t="s">
        <v>13</v>
      </c>
      <c r="AE932" s="38" t="s">
        <v>323</v>
      </c>
    </row>
    <row r="933" spans="1:31" ht="18" customHeight="1" x14ac:dyDescent="0.25">
      <c r="A9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3" s="79">
        <v>4</v>
      </c>
      <c r="C933" s="23">
        <v>44046</v>
      </c>
      <c r="D933" s="67">
        <f>IF(COUNTIF($G$2:$G933,$G933)=1,1,0)</f>
        <v>0</v>
      </c>
      <c r="E933" s="67" t="str">
        <f>IFERROR(VLOOKUP(База_КР_КК[[#This Row],[ИД штатной должности (S)]],'уровень защищенности'!$B$7:$F$1095,5,0),"не защищена")</f>
        <v>высокий</v>
      </c>
      <c r="F933" s="68">
        <v>500652</v>
      </c>
      <c r="G933" s="74" t="s">
        <v>2346</v>
      </c>
      <c r="H933" s="181">
        <f>INDEX('Списки данных'!$D$2:$D$1048576,MATCH(База_КР_КК[[#This Row],[Структурное подразделение]],'Списки данных'!$C$2:$C$1048576,0))</f>
        <v>22</v>
      </c>
      <c r="I933" s="80" t="s">
        <v>135</v>
      </c>
      <c r="J933" s="80" t="s">
        <v>202</v>
      </c>
      <c r="K933" s="80" t="s">
        <v>203</v>
      </c>
      <c r="L933" s="30" t="s">
        <v>191</v>
      </c>
      <c r="M933" s="68">
        <v>7</v>
      </c>
      <c r="N933" s="181" t="str">
        <f t="shared" si="15"/>
        <v>нет</v>
      </c>
      <c r="O933" s="23"/>
      <c r="P933" s="23"/>
      <c r="Q933" s="106"/>
      <c r="R933" s="37">
        <v>187</v>
      </c>
      <c r="S933" s="38" t="s">
        <v>599</v>
      </c>
      <c r="T933" s="37">
        <v>258</v>
      </c>
      <c r="U933" s="39" t="s">
        <v>670</v>
      </c>
      <c r="V933" s="89" t="s">
        <v>192</v>
      </c>
      <c r="W933" s="89" t="s">
        <v>176</v>
      </c>
      <c r="X933" s="106" t="s">
        <v>295</v>
      </c>
      <c r="Y933" s="107" t="s">
        <v>18</v>
      </c>
      <c r="Z933" s="67">
        <f>IF(База_КР_КК[[#This Row],[Таб.номер резервиста]]="-","-",IF(OR(База_КР_КК[[#This Row],[Уровень КК]]=2,База_КР_КК[[#This Row],[Уровень КК]]=3),IF(COUNTIFS($U$2:$U933,$U933,$F$2:$F933,$F933)=1,1,0),IF(COUNTIFS($U$2:$U933,$U933,$L$2:$L933,$L933)=1,1,0)))</f>
        <v>0</v>
      </c>
      <c r="AA9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3" s="106" t="s">
        <v>33</v>
      </c>
      <c r="AC933" s="51">
        <v>44046</v>
      </c>
      <c r="AD933" s="106" t="s">
        <v>15</v>
      </c>
      <c r="AE933" s="38" t="s">
        <v>325</v>
      </c>
    </row>
    <row r="934" spans="1:31" ht="18" customHeight="1" x14ac:dyDescent="0.25">
      <c r="A9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4" s="79">
        <v>4</v>
      </c>
      <c r="C934" s="23">
        <v>44487</v>
      </c>
      <c r="D934" s="67">
        <f>IF(COUNTIF($G$2:$G934,$G934)=1,1,0)</f>
        <v>0</v>
      </c>
      <c r="E934" s="67" t="str">
        <f>IFERROR(VLOOKUP(База_КР_КК[[#This Row],[ИД штатной должности (S)]],'уровень защищенности'!$B$7:$F$1095,5,0),"не защищена")</f>
        <v>высокий</v>
      </c>
      <c r="F934" s="68">
        <v>500652</v>
      </c>
      <c r="G934" s="74" t="s">
        <v>2346</v>
      </c>
      <c r="H934" s="181">
        <f>INDEX('Списки данных'!$D$2:$D$1048576,MATCH(База_КР_КК[[#This Row],[Структурное подразделение]],'Списки данных'!$C$2:$C$1048576,0))</f>
        <v>22</v>
      </c>
      <c r="I934" s="80" t="s">
        <v>135</v>
      </c>
      <c r="J934" s="80" t="s">
        <v>202</v>
      </c>
      <c r="K934" s="80" t="s">
        <v>203</v>
      </c>
      <c r="L934" s="30" t="s">
        <v>191</v>
      </c>
      <c r="M934" s="68">
        <v>7</v>
      </c>
      <c r="N934" s="181" t="str">
        <f t="shared" si="15"/>
        <v>нет</v>
      </c>
      <c r="O934" s="23"/>
      <c r="P934" s="23"/>
      <c r="Q934" s="106"/>
      <c r="R934" s="37">
        <v>187</v>
      </c>
      <c r="S934" s="39" t="s">
        <v>599</v>
      </c>
      <c r="T934" s="37">
        <v>1283</v>
      </c>
      <c r="U934" s="39" t="s">
        <v>1685</v>
      </c>
      <c r="V934" s="89" t="s">
        <v>192</v>
      </c>
      <c r="W934" s="89" t="s">
        <v>135</v>
      </c>
      <c r="X934" s="106" t="s">
        <v>297</v>
      </c>
      <c r="Y934" s="107" t="s">
        <v>18</v>
      </c>
      <c r="Z934" s="67">
        <f>IF(База_КР_КК[[#This Row],[Таб.номер резервиста]]="-","-",IF(OR(База_КР_КК[[#This Row],[Уровень КК]]=2,База_КР_КК[[#This Row],[Уровень КК]]=3),IF(COUNTIFS($U$2:$U934,$U934,$F$2:$F934,$F934)=1,1,0),IF(COUNTIFS($U$2:$U934,$U934,$L$2:$L934,$L934)=1,1,0)))</f>
        <v>0</v>
      </c>
      <c r="AA9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4" s="106" t="s">
        <v>19</v>
      </c>
      <c r="AC934" s="51">
        <v>44950</v>
      </c>
      <c r="AD934" s="106" t="s">
        <v>13</v>
      </c>
      <c r="AE934" s="33" t="s">
        <v>413</v>
      </c>
    </row>
    <row r="935" spans="1:31" ht="18" customHeight="1" x14ac:dyDescent="0.25">
      <c r="A9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5" s="79">
        <v>4</v>
      </c>
      <c r="C935" s="23">
        <v>43733</v>
      </c>
      <c r="D935" s="67">
        <f>IF(COUNTIF($G$2:$G935,$G935)=1,1,0)</f>
        <v>1</v>
      </c>
      <c r="E935" s="67" t="str">
        <f>IFERROR(VLOOKUP(База_КР_КК[[#This Row],[ИД штатной должности (S)]],'уровень защищенности'!$B$7:$F$1095,5,0),"не защищена")</f>
        <v>высокий</v>
      </c>
      <c r="F935" s="68">
        <v>500652</v>
      </c>
      <c r="G935" s="74" t="s">
        <v>2347</v>
      </c>
      <c r="H935" s="181">
        <f>INDEX('Списки данных'!$D$2:$D$1048576,MATCH(База_КР_КК[[#This Row],[Структурное подразделение]],'Списки данных'!$C$2:$C$1048576,0))</f>
        <v>22</v>
      </c>
      <c r="I935" s="80" t="s">
        <v>135</v>
      </c>
      <c r="J935" s="80" t="s">
        <v>202</v>
      </c>
      <c r="K935" s="80" t="s">
        <v>203</v>
      </c>
      <c r="L935" s="30" t="s">
        <v>191</v>
      </c>
      <c r="M935" s="68">
        <v>7</v>
      </c>
      <c r="N935" s="181" t="str">
        <f t="shared" si="15"/>
        <v>нет</v>
      </c>
      <c r="O935" s="23"/>
      <c r="P935" s="23"/>
      <c r="Q935" s="106"/>
      <c r="R935" s="37">
        <v>188</v>
      </c>
      <c r="S935" s="38" t="s">
        <v>600</v>
      </c>
      <c r="T935" s="37">
        <v>1276</v>
      </c>
      <c r="U935" s="39" t="s">
        <v>1678</v>
      </c>
      <c r="V935" s="89" t="s">
        <v>272</v>
      </c>
      <c r="W935" s="89" t="s">
        <v>135</v>
      </c>
      <c r="X935" s="106" t="s">
        <v>295</v>
      </c>
      <c r="Y935" s="107" t="s">
        <v>12</v>
      </c>
      <c r="Z935" s="67">
        <f>IF(База_КР_КК[[#This Row],[Таб.номер резервиста]]="-","-",IF(OR(База_КР_КК[[#This Row],[Уровень КК]]=2,База_КР_КК[[#This Row],[Уровень КК]]=3),IF(COUNTIFS($U$2:$U935,$U935,$F$2:$F935,$F935)=1,1,0),IF(COUNTIFS($U$2:$U935,$U935,$L$2:$L935,$L935)=1,1,0)))</f>
        <v>0</v>
      </c>
      <c r="AA9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5" s="106"/>
      <c r="AC935" s="51"/>
      <c r="AD935" s="106" t="s">
        <v>13</v>
      </c>
      <c r="AE935" s="38" t="s">
        <v>413</v>
      </c>
    </row>
    <row r="936" spans="1:31" ht="18" customHeight="1" x14ac:dyDescent="0.25">
      <c r="A9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6" s="79">
        <v>4</v>
      </c>
      <c r="C936" s="23">
        <v>43733</v>
      </c>
      <c r="D936" s="67">
        <f>IF(COUNTIF($G$2:$G936,$G936)=1,1,0)</f>
        <v>0</v>
      </c>
      <c r="E936" s="67" t="str">
        <f>IFERROR(VLOOKUP(База_КР_КК[[#This Row],[ИД штатной должности (S)]],'уровень защищенности'!$B$7:$F$1095,5,0),"не защищена")</f>
        <v>высокий</v>
      </c>
      <c r="F936" s="68">
        <v>500652</v>
      </c>
      <c r="G936" s="74" t="s">
        <v>2347</v>
      </c>
      <c r="H936" s="181">
        <f>INDEX('Списки данных'!$D$2:$D$1048576,MATCH(База_КР_КК[[#This Row],[Структурное подразделение]],'Списки данных'!$C$2:$C$1048576,0))</f>
        <v>22</v>
      </c>
      <c r="I936" s="80" t="s">
        <v>135</v>
      </c>
      <c r="J936" s="80" t="s">
        <v>202</v>
      </c>
      <c r="K936" s="80" t="s">
        <v>203</v>
      </c>
      <c r="L936" s="30" t="s">
        <v>191</v>
      </c>
      <c r="M936" s="68">
        <v>7</v>
      </c>
      <c r="N936" s="181" t="str">
        <f t="shared" si="15"/>
        <v>нет</v>
      </c>
      <c r="O936" s="23"/>
      <c r="P936" s="23"/>
      <c r="Q936" s="106"/>
      <c r="R936" s="37">
        <v>188</v>
      </c>
      <c r="S936" s="38" t="s">
        <v>600</v>
      </c>
      <c r="T936" s="37">
        <v>1275</v>
      </c>
      <c r="U936" s="39" t="s">
        <v>1677</v>
      </c>
      <c r="V936" s="89" t="s">
        <v>272</v>
      </c>
      <c r="W936" s="89" t="s">
        <v>135</v>
      </c>
      <c r="X936" s="106" t="s">
        <v>295</v>
      </c>
      <c r="Y936" s="107" t="s">
        <v>12</v>
      </c>
      <c r="Z936" s="67">
        <f>IF(База_КР_КК[[#This Row],[Таб.номер резервиста]]="-","-",IF(OR(База_КР_КК[[#This Row],[Уровень КК]]=2,База_КР_КК[[#This Row],[Уровень КК]]=3),IF(COUNTIFS($U$2:$U936,$U936,$F$2:$F936,$F936)=1,1,0),IF(COUNTIFS($U$2:$U936,$U936,$L$2:$L936,$L936)=1,1,0)))</f>
        <v>0</v>
      </c>
      <c r="AA9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6" s="106"/>
      <c r="AC936" s="51"/>
      <c r="AD936" s="106" t="s">
        <v>13</v>
      </c>
      <c r="AE936" s="38" t="s">
        <v>413</v>
      </c>
    </row>
    <row r="937" spans="1:31" ht="18" customHeight="1" x14ac:dyDescent="0.25">
      <c r="A9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7" s="79">
        <v>4</v>
      </c>
      <c r="C937" s="23">
        <v>43733</v>
      </c>
      <c r="D937" s="67">
        <f>IF(COUNTIF($G$2:$G937,$G937)=1,1,0)</f>
        <v>0</v>
      </c>
      <c r="E937" s="67" t="str">
        <f>IFERROR(VLOOKUP(База_КР_КК[[#This Row],[ИД штатной должности (S)]],'уровень защищенности'!$B$7:$F$1095,5,0),"не защищена")</f>
        <v>высокий</v>
      </c>
      <c r="F937" s="68">
        <v>500652</v>
      </c>
      <c r="G937" s="74" t="s">
        <v>2347</v>
      </c>
      <c r="H937" s="181">
        <f>INDEX('Списки данных'!$D$2:$D$1048576,MATCH(База_КР_КК[[#This Row],[Структурное подразделение]],'Списки данных'!$C$2:$C$1048576,0))</f>
        <v>22</v>
      </c>
      <c r="I937" s="80" t="s">
        <v>135</v>
      </c>
      <c r="J937" s="80" t="s">
        <v>202</v>
      </c>
      <c r="K937" s="80" t="s">
        <v>203</v>
      </c>
      <c r="L937" s="30" t="s">
        <v>191</v>
      </c>
      <c r="M937" s="68">
        <v>7</v>
      </c>
      <c r="N937" s="181" t="str">
        <f t="shared" si="15"/>
        <v>нет</v>
      </c>
      <c r="O937" s="23"/>
      <c r="P937" s="23"/>
      <c r="Q937" s="106"/>
      <c r="R937" s="37">
        <v>188</v>
      </c>
      <c r="S937" s="38" t="s">
        <v>600</v>
      </c>
      <c r="T937" s="37">
        <v>1277</v>
      </c>
      <c r="U937" s="39" t="s">
        <v>1679</v>
      </c>
      <c r="V937" s="89" t="s">
        <v>272</v>
      </c>
      <c r="W937" s="89" t="s">
        <v>135</v>
      </c>
      <c r="X937" s="106" t="s">
        <v>295</v>
      </c>
      <c r="Y937" s="107" t="s">
        <v>12</v>
      </c>
      <c r="Z937" s="67">
        <f>IF(База_КР_КК[[#This Row],[Таб.номер резервиста]]="-","-",IF(OR(База_КР_КК[[#This Row],[Уровень КК]]=2,База_КР_КК[[#This Row],[Уровень КК]]=3),IF(COUNTIFS($U$2:$U937,$U937,$F$2:$F937,$F937)=1,1,0),IF(COUNTIFS($U$2:$U937,$U937,$L$2:$L937,$L937)=1,1,0)))</f>
        <v>0</v>
      </c>
      <c r="AA9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7" s="106"/>
      <c r="AC937" s="51"/>
      <c r="AD937" s="106" t="s">
        <v>13</v>
      </c>
      <c r="AE937" s="38" t="s">
        <v>413</v>
      </c>
    </row>
    <row r="938" spans="1:31" ht="18" customHeight="1" x14ac:dyDescent="0.25">
      <c r="A9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8" s="79">
        <v>4</v>
      </c>
      <c r="C938" s="23">
        <v>44879</v>
      </c>
      <c r="D938" s="67">
        <f>IF(COUNTIF($G$2:$G938,$G938)=1,1,0)</f>
        <v>0</v>
      </c>
      <c r="E938" s="67" t="str">
        <f>IFERROR(VLOOKUP(База_КР_КК[[#This Row],[ИД штатной должности (S)]],'уровень защищенности'!$B$7:$F$1095,5,0),"не защищена")</f>
        <v>высокий</v>
      </c>
      <c r="F938" s="68">
        <v>500652</v>
      </c>
      <c r="G938" s="74" t="s">
        <v>2347</v>
      </c>
      <c r="H938" s="181">
        <f>INDEX('Списки данных'!$D$2:$D$1048576,MATCH(База_КР_КК[[#This Row],[Структурное подразделение]],'Списки данных'!$C$2:$C$1048576,0))</f>
        <v>22</v>
      </c>
      <c r="I938" s="80" t="s">
        <v>135</v>
      </c>
      <c r="J938" s="80" t="s">
        <v>202</v>
      </c>
      <c r="K938" s="80" t="s">
        <v>203</v>
      </c>
      <c r="L938" s="30" t="s">
        <v>191</v>
      </c>
      <c r="M938" s="68">
        <v>7</v>
      </c>
      <c r="N938" s="181" t="str">
        <f t="shared" si="15"/>
        <v>нет</v>
      </c>
      <c r="O938" s="23"/>
      <c r="P938" s="23"/>
      <c r="Q938" s="106"/>
      <c r="R938" s="37">
        <v>188</v>
      </c>
      <c r="S938" s="38" t="s">
        <v>600</v>
      </c>
      <c r="T938" s="37">
        <v>1278</v>
      </c>
      <c r="U938" s="38" t="s">
        <v>1680</v>
      </c>
      <c r="V938" s="69" t="s">
        <v>272</v>
      </c>
      <c r="W938" s="89" t="s">
        <v>135</v>
      </c>
      <c r="X938" s="106" t="s">
        <v>296</v>
      </c>
      <c r="Y938" s="107" t="s">
        <v>12</v>
      </c>
      <c r="Z938" s="67">
        <f>IF(База_КР_КК[[#This Row],[Таб.номер резервиста]]="-","-",IF(OR(База_КР_КК[[#This Row],[Уровень КК]]=2,База_КР_КК[[#This Row],[Уровень КК]]=3),IF(COUNTIFS($U$2:$U938,$U938,$F$2:$F938,$F938)=1,1,0),IF(COUNTIFS($U$2:$U938,$U938,$L$2:$L938,$L938)=1,1,0)))</f>
        <v>0</v>
      </c>
      <c r="AA9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8" s="106"/>
      <c r="AC938" s="51"/>
      <c r="AD938" s="106" t="s">
        <v>15</v>
      </c>
      <c r="AE938" s="33" t="s">
        <v>413</v>
      </c>
    </row>
    <row r="939" spans="1:31" ht="18" customHeight="1" x14ac:dyDescent="0.25">
      <c r="A9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39" s="79">
        <v>4</v>
      </c>
      <c r="C939" s="23">
        <v>44879</v>
      </c>
      <c r="D939" s="67">
        <f>IF(COUNTIF($G$2:$G939,$G939)=1,1,0)</f>
        <v>0</v>
      </c>
      <c r="E939" s="67" t="str">
        <f>IFERROR(VLOOKUP(База_КР_КК[[#This Row],[ИД штатной должности (S)]],'уровень защищенности'!$B$7:$F$1095,5,0),"не защищена")</f>
        <v>высокий</v>
      </c>
      <c r="F939" s="68">
        <v>500652</v>
      </c>
      <c r="G939" s="74" t="s">
        <v>2347</v>
      </c>
      <c r="H939" s="181">
        <f>INDEX('Списки данных'!$D$2:$D$1048576,MATCH(База_КР_КК[[#This Row],[Структурное подразделение]],'Списки данных'!$C$2:$C$1048576,0))</f>
        <v>22</v>
      </c>
      <c r="I939" s="80" t="s">
        <v>135</v>
      </c>
      <c r="J939" s="80" t="s">
        <v>202</v>
      </c>
      <c r="K939" s="80" t="s">
        <v>203</v>
      </c>
      <c r="L939" s="30" t="s">
        <v>191</v>
      </c>
      <c r="M939" s="68">
        <v>7</v>
      </c>
      <c r="N939" s="181" t="str">
        <f t="shared" si="15"/>
        <v>нет</v>
      </c>
      <c r="O939" s="23"/>
      <c r="P939" s="23"/>
      <c r="Q939" s="106"/>
      <c r="R939" s="37">
        <v>188</v>
      </c>
      <c r="S939" s="38" t="s">
        <v>600</v>
      </c>
      <c r="T939" s="37">
        <v>1279</v>
      </c>
      <c r="U939" s="38" t="s">
        <v>1681</v>
      </c>
      <c r="V939" s="69" t="s">
        <v>272</v>
      </c>
      <c r="W939" s="89" t="s">
        <v>135</v>
      </c>
      <c r="X939" s="106" t="s">
        <v>296</v>
      </c>
      <c r="Y939" s="107" t="s">
        <v>12</v>
      </c>
      <c r="Z939" s="67">
        <f>IF(База_КР_КК[[#This Row],[Таб.номер резервиста]]="-","-",IF(OR(База_КР_КК[[#This Row],[Уровень КК]]=2,База_КР_КК[[#This Row],[Уровень КК]]=3),IF(COUNTIFS($U$2:$U939,$U939,$F$2:$F939,$F939)=1,1,0),IF(COUNTIFS($U$2:$U939,$U939,$L$2:$L939,$L939)=1,1,0)))</f>
        <v>0</v>
      </c>
      <c r="AA9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39" s="106"/>
      <c r="AC939" s="51"/>
      <c r="AD939" s="106" t="s">
        <v>15</v>
      </c>
      <c r="AE939" s="33" t="s">
        <v>413</v>
      </c>
    </row>
    <row r="940" spans="1:31" ht="18" customHeight="1" x14ac:dyDescent="0.25">
      <c r="A9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0" s="79">
        <v>4</v>
      </c>
      <c r="C940" s="23">
        <v>44879</v>
      </c>
      <c r="D940" s="67">
        <f>IF(COUNTIF($G$2:$G940,$G940)=1,1,0)</f>
        <v>0</v>
      </c>
      <c r="E940" s="67" t="str">
        <f>IFERROR(VLOOKUP(База_КР_КК[[#This Row],[ИД штатной должности (S)]],'уровень защищенности'!$B$7:$F$1095,5,0),"не защищена")</f>
        <v>высокий</v>
      </c>
      <c r="F940" s="68">
        <v>500652</v>
      </c>
      <c r="G940" s="74" t="s">
        <v>2347</v>
      </c>
      <c r="H940" s="181">
        <f>INDEX('Списки данных'!$D$2:$D$1048576,MATCH(База_КР_КК[[#This Row],[Структурное подразделение]],'Списки данных'!$C$2:$C$1048576,0))</f>
        <v>22</v>
      </c>
      <c r="I940" s="80" t="s">
        <v>135</v>
      </c>
      <c r="J940" s="80" t="s">
        <v>202</v>
      </c>
      <c r="K940" s="80" t="s">
        <v>203</v>
      </c>
      <c r="L940" s="30" t="s">
        <v>191</v>
      </c>
      <c r="M940" s="68">
        <v>7</v>
      </c>
      <c r="N940" s="181" t="str">
        <f t="shared" si="15"/>
        <v>нет</v>
      </c>
      <c r="O940" s="23"/>
      <c r="P940" s="23"/>
      <c r="Q940" s="106"/>
      <c r="R940" s="37">
        <v>188</v>
      </c>
      <c r="S940" s="38" t="s">
        <v>600</v>
      </c>
      <c r="T940" s="37">
        <v>1280</v>
      </c>
      <c r="U940" s="38" t="s">
        <v>1682</v>
      </c>
      <c r="V940" s="69" t="s">
        <v>272</v>
      </c>
      <c r="W940" s="89" t="s">
        <v>135</v>
      </c>
      <c r="X940" s="106" t="s">
        <v>296</v>
      </c>
      <c r="Y940" s="107" t="s">
        <v>12</v>
      </c>
      <c r="Z940" s="67">
        <f>IF(База_КР_КК[[#This Row],[Таб.номер резервиста]]="-","-",IF(OR(База_КР_КК[[#This Row],[Уровень КК]]=2,База_КР_КК[[#This Row],[Уровень КК]]=3),IF(COUNTIFS($U$2:$U940,$U940,$F$2:$F940,$F940)=1,1,0),IF(COUNTIFS($U$2:$U940,$U940,$L$2:$L940,$L940)=1,1,0)))</f>
        <v>0</v>
      </c>
      <c r="AA9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0" s="106"/>
      <c r="AC940" s="51"/>
      <c r="AD940" s="106" t="s">
        <v>15</v>
      </c>
      <c r="AE940" s="33" t="s">
        <v>413</v>
      </c>
    </row>
    <row r="941" spans="1:31" ht="18" customHeight="1" x14ac:dyDescent="0.25">
      <c r="A9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1" s="79">
        <v>4</v>
      </c>
      <c r="C941" s="23">
        <v>44879</v>
      </c>
      <c r="D941" s="67">
        <f>IF(COUNTIF($G$2:$G941,$G941)=1,1,0)</f>
        <v>0</v>
      </c>
      <c r="E941" s="67" t="str">
        <f>IFERROR(VLOOKUP(База_КР_КК[[#This Row],[ИД штатной должности (S)]],'уровень защищенности'!$B$7:$F$1095,5,0),"не защищена")</f>
        <v>высокий</v>
      </c>
      <c r="F941" s="68">
        <v>500652</v>
      </c>
      <c r="G941" s="74" t="s">
        <v>2347</v>
      </c>
      <c r="H941" s="181">
        <f>INDEX('Списки данных'!$D$2:$D$1048576,MATCH(База_КР_КК[[#This Row],[Структурное подразделение]],'Списки данных'!$C$2:$C$1048576,0))</f>
        <v>22</v>
      </c>
      <c r="I941" s="80" t="s">
        <v>135</v>
      </c>
      <c r="J941" s="80" t="s">
        <v>202</v>
      </c>
      <c r="K941" s="80" t="s">
        <v>203</v>
      </c>
      <c r="L941" s="30" t="s">
        <v>191</v>
      </c>
      <c r="M941" s="68">
        <v>7</v>
      </c>
      <c r="N941" s="181" t="str">
        <f t="shared" si="15"/>
        <v>нет</v>
      </c>
      <c r="O941" s="23"/>
      <c r="P941" s="23"/>
      <c r="Q941" s="106"/>
      <c r="R941" s="37">
        <v>188</v>
      </c>
      <c r="S941" s="38" t="s">
        <v>600</v>
      </c>
      <c r="T941" s="37">
        <v>1241</v>
      </c>
      <c r="U941" s="38" t="s">
        <v>1645</v>
      </c>
      <c r="V941" s="69" t="s">
        <v>272</v>
      </c>
      <c r="W941" s="89" t="s">
        <v>135</v>
      </c>
      <c r="X941" s="106" t="s">
        <v>295</v>
      </c>
      <c r="Y941" s="107" t="s">
        <v>12</v>
      </c>
      <c r="Z941" s="67">
        <f>IF(База_КР_КК[[#This Row],[Таб.номер резервиста]]="-","-",IF(OR(База_КР_КК[[#This Row],[Уровень КК]]=2,База_КР_КК[[#This Row],[Уровень КК]]=3),IF(COUNTIFS($U$2:$U941,$U941,$F$2:$F941,$F941)=1,1,0),IF(COUNTIFS($U$2:$U941,$U941,$L$2:$L941,$L941)=1,1,0)))</f>
        <v>0</v>
      </c>
      <c r="AA9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1" s="106"/>
      <c r="AC941" s="51"/>
      <c r="AD941" s="106" t="s">
        <v>15</v>
      </c>
      <c r="AE941" s="33" t="s">
        <v>413</v>
      </c>
    </row>
    <row r="942" spans="1:31" ht="18" customHeight="1" x14ac:dyDescent="0.25">
      <c r="A9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2" s="79">
        <v>4</v>
      </c>
      <c r="C942" s="23">
        <v>43733</v>
      </c>
      <c r="D942" s="67">
        <f>IF(COUNTIF($G$2:$G942,$G942)=1,1,0)</f>
        <v>0</v>
      </c>
      <c r="E942" s="67" t="str">
        <f>IFERROR(VLOOKUP(База_КР_КК[[#This Row],[ИД штатной должности (S)]],'уровень защищенности'!$B$7:$F$1095,5,0),"не защищена")</f>
        <v>высокий</v>
      </c>
      <c r="F942" s="68">
        <v>500652</v>
      </c>
      <c r="G942" s="74" t="s">
        <v>2347</v>
      </c>
      <c r="H942" s="181">
        <f>INDEX('Списки данных'!$D$2:$D$1048576,MATCH(База_КР_КК[[#This Row],[Структурное подразделение]],'Списки данных'!$C$2:$C$1048576,0))</f>
        <v>22</v>
      </c>
      <c r="I942" s="80" t="s">
        <v>135</v>
      </c>
      <c r="J942" s="80" t="s">
        <v>202</v>
      </c>
      <c r="K942" s="80" t="s">
        <v>203</v>
      </c>
      <c r="L942" s="30" t="s">
        <v>191</v>
      </c>
      <c r="M942" s="68">
        <v>7</v>
      </c>
      <c r="N942" s="181" t="str">
        <f t="shared" si="15"/>
        <v>нет</v>
      </c>
      <c r="O942" s="23"/>
      <c r="P942" s="23"/>
      <c r="Q942" s="106"/>
      <c r="R942" s="37">
        <v>188</v>
      </c>
      <c r="S942" s="38" t="s">
        <v>600</v>
      </c>
      <c r="T942" s="37">
        <v>1281</v>
      </c>
      <c r="U942" s="39" t="s">
        <v>1683</v>
      </c>
      <c r="V942" s="89" t="s">
        <v>272</v>
      </c>
      <c r="W942" s="89" t="s">
        <v>135</v>
      </c>
      <c r="X942" s="106" t="s">
        <v>295</v>
      </c>
      <c r="Y942" s="107" t="s">
        <v>18</v>
      </c>
      <c r="Z942" s="67">
        <f>IF(База_КР_КК[[#This Row],[Таб.номер резервиста]]="-","-",IF(OR(База_КР_КК[[#This Row],[Уровень КК]]=2,База_КР_КК[[#This Row],[Уровень КК]]=3),IF(COUNTIFS($U$2:$U942,$U942,$F$2:$F942,$F942)=1,1,0),IF(COUNTIFS($U$2:$U942,$U942,$L$2:$L942,$L942)=1,1,0)))</f>
        <v>0</v>
      </c>
      <c r="AA9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2" s="106" t="s">
        <v>19</v>
      </c>
      <c r="AC942" s="51">
        <v>44840</v>
      </c>
      <c r="AD942" s="106" t="s">
        <v>17</v>
      </c>
      <c r="AE942" s="38" t="s">
        <v>324</v>
      </c>
    </row>
    <row r="943" spans="1:31" ht="18" customHeight="1" x14ac:dyDescent="0.25">
      <c r="A9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3" s="79">
        <v>4</v>
      </c>
      <c r="C943" s="23">
        <v>43733</v>
      </c>
      <c r="D943" s="67">
        <f>IF(COUNTIF($G$2:$G943,$G943)=1,1,0)</f>
        <v>0</v>
      </c>
      <c r="E943" s="67" t="str">
        <f>IFERROR(VLOOKUP(База_КР_КК[[#This Row],[ИД штатной должности (S)]],'уровень защищенности'!$B$7:$F$1095,5,0),"не защищена")</f>
        <v>высокий</v>
      </c>
      <c r="F943" s="68">
        <v>500652</v>
      </c>
      <c r="G943" s="74" t="s">
        <v>2347</v>
      </c>
      <c r="H943" s="181">
        <f>INDEX('Списки данных'!$D$2:$D$1048576,MATCH(База_КР_КК[[#This Row],[Структурное подразделение]],'Списки данных'!$C$2:$C$1048576,0))</f>
        <v>22</v>
      </c>
      <c r="I943" s="80" t="s">
        <v>135</v>
      </c>
      <c r="J943" s="80" t="s">
        <v>202</v>
      </c>
      <c r="K943" s="80" t="s">
        <v>203</v>
      </c>
      <c r="L943" s="30" t="s">
        <v>191</v>
      </c>
      <c r="M943" s="68">
        <v>7</v>
      </c>
      <c r="N943" s="181" t="str">
        <f t="shared" si="15"/>
        <v>нет</v>
      </c>
      <c r="O943" s="23"/>
      <c r="P943" s="23"/>
      <c r="Q943" s="106"/>
      <c r="R943" s="37">
        <v>188</v>
      </c>
      <c r="S943" s="38" t="s">
        <v>600</v>
      </c>
      <c r="T943" s="37">
        <v>1282</v>
      </c>
      <c r="U943" s="39" t="s">
        <v>1684</v>
      </c>
      <c r="V943" s="89" t="s">
        <v>272</v>
      </c>
      <c r="W943" s="89" t="s">
        <v>135</v>
      </c>
      <c r="X943" s="106" t="s">
        <v>297</v>
      </c>
      <c r="Y943" s="107" t="s">
        <v>18</v>
      </c>
      <c r="Z943" s="67">
        <f>IF(База_КР_КК[[#This Row],[Таб.номер резервиста]]="-","-",IF(OR(База_КР_КК[[#This Row],[Уровень КК]]=2,База_КР_КК[[#This Row],[Уровень КК]]=3),IF(COUNTIFS($U$2:$U943,$U943,$F$2:$F943,$F943)=1,1,0),IF(COUNTIFS($U$2:$U943,$U943,$L$2:$L943,$L943)=1,1,0)))</f>
        <v>0</v>
      </c>
      <c r="AA9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3" s="106" t="s">
        <v>20</v>
      </c>
      <c r="AC943" s="51">
        <v>44279</v>
      </c>
      <c r="AD943" s="106" t="s">
        <v>13</v>
      </c>
      <c r="AE943" s="38" t="s">
        <v>323</v>
      </c>
    </row>
    <row r="944" spans="1:31" ht="18" customHeight="1" x14ac:dyDescent="0.25">
      <c r="A9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4" s="79">
        <v>4</v>
      </c>
      <c r="C944" s="23">
        <v>44046</v>
      </c>
      <c r="D944" s="67">
        <f>IF(COUNTIF($G$2:$G944,$G944)=1,1,0)</f>
        <v>0</v>
      </c>
      <c r="E944" s="67" t="str">
        <f>IFERROR(VLOOKUP(База_КР_КК[[#This Row],[ИД штатной должности (S)]],'уровень защищенности'!$B$7:$F$1095,5,0),"не защищена")</f>
        <v>высокий</v>
      </c>
      <c r="F944" s="68">
        <v>500652</v>
      </c>
      <c r="G944" s="74" t="s">
        <v>2347</v>
      </c>
      <c r="H944" s="181">
        <f>INDEX('Списки данных'!$D$2:$D$1048576,MATCH(База_КР_КК[[#This Row],[Структурное подразделение]],'Списки данных'!$C$2:$C$1048576,0))</f>
        <v>22</v>
      </c>
      <c r="I944" s="80" t="s">
        <v>135</v>
      </c>
      <c r="J944" s="80" t="s">
        <v>202</v>
      </c>
      <c r="K944" s="80" t="s">
        <v>203</v>
      </c>
      <c r="L944" s="30" t="s">
        <v>191</v>
      </c>
      <c r="M944" s="68">
        <v>7</v>
      </c>
      <c r="N944" s="181" t="str">
        <f t="shared" si="15"/>
        <v>нет</v>
      </c>
      <c r="O944" s="23"/>
      <c r="P944" s="23"/>
      <c r="Q944" s="106"/>
      <c r="R944" s="37">
        <v>188</v>
      </c>
      <c r="S944" s="38" t="s">
        <v>600</v>
      </c>
      <c r="T944" s="37">
        <v>258</v>
      </c>
      <c r="U944" s="39" t="s">
        <v>670</v>
      </c>
      <c r="V944" s="89" t="s">
        <v>192</v>
      </c>
      <c r="W944" s="89" t="s">
        <v>176</v>
      </c>
      <c r="X944" s="106" t="s">
        <v>295</v>
      </c>
      <c r="Y944" s="107" t="s">
        <v>18</v>
      </c>
      <c r="Z944" s="67">
        <f>IF(База_КР_КК[[#This Row],[Таб.номер резервиста]]="-","-",IF(OR(База_КР_КК[[#This Row],[Уровень КК]]=2,База_КР_КК[[#This Row],[Уровень КК]]=3),IF(COUNTIFS($U$2:$U944,$U944,$F$2:$F944,$F944)=1,1,0),IF(COUNTIFS($U$2:$U944,$U944,$L$2:$L944,$L944)=1,1,0)))</f>
        <v>0</v>
      </c>
      <c r="AA9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4" s="106" t="s">
        <v>33</v>
      </c>
      <c r="AC944" s="51">
        <v>44046</v>
      </c>
      <c r="AD944" s="106" t="s">
        <v>15</v>
      </c>
      <c r="AE944" s="38" t="s">
        <v>325</v>
      </c>
    </row>
    <row r="945" spans="1:31" ht="18" customHeight="1" x14ac:dyDescent="0.25">
      <c r="A9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5" s="79">
        <v>4</v>
      </c>
      <c r="C945" s="23">
        <v>44487</v>
      </c>
      <c r="D945" s="67">
        <f>IF(COUNTIF($G$2:$G945,$G945)=1,1,0)</f>
        <v>0</v>
      </c>
      <c r="E945" s="67" t="str">
        <f>IFERROR(VLOOKUP(База_КР_КК[[#This Row],[ИД штатной должности (S)]],'уровень защищенности'!$B$7:$F$1095,5,0),"не защищена")</f>
        <v>высокий</v>
      </c>
      <c r="F945" s="68">
        <v>500652</v>
      </c>
      <c r="G945" s="74" t="s">
        <v>2347</v>
      </c>
      <c r="H945" s="181">
        <f>INDEX('Списки данных'!$D$2:$D$1048576,MATCH(База_КР_КК[[#This Row],[Структурное подразделение]],'Списки данных'!$C$2:$C$1048576,0))</f>
        <v>22</v>
      </c>
      <c r="I945" s="80" t="s">
        <v>135</v>
      </c>
      <c r="J945" s="80" t="s">
        <v>202</v>
      </c>
      <c r="K945" s="80" t="s">
        <v>203</v>
      </c>
      <c r="L945" s="30" t="s">
        <v>191</v>
      </c>
      <c r="M945" s="68">
        <v>7</v>
      </c>
      <c r="N945" s="181" t="str">
        <f t="shared" si="15"/>
        <v>нет</v>
      </c>
      <c r="O945" s="23"/>
      <c r="P945" s="23"/>
      <c r="Q945" s="106"/>
      <c r="R945" s="37">
        <v>188</v>
      </c>
      <c r="S945" s="39" t="s">
        <v>600</v>
      </c>
      <c r="T945" s="37">
        <v>1283</v>
      </c>
      <c r="U945" s="39" t="s">
        <v>1685</v>
      </c>
      <c r="V945" s="89" t="s">
        <v>192</v>
      </c>
      <c r="W945" s="89" t="s">
        <v>135</v>
      </c>
      <c r="X945" s="106" t="s">
        <v>297</v>
      </c>
      <c r="Y945" s="107" t="s">
        <v>18</v>
      </c>
      <c r="Z945" s="67">
        <f>IF(База_КР_КК[[#This Row],[Таб.номер резервиста]]="-","-",IF(OR(База_КР_КК[[#This Row],[Уровень КК]]=2,База_КР_КК[[#This Row],[Уровень КК]]=3),IF(COUNTIFS($U$2:$U945,$U945,$F$2:$F945,$F945)=1,1,0),IF(COUNTIFS($U$2:$U945,$U945,$L$2:$L945,$L945)=1,1,0)))</f>
        <v>0</v>
      </c>
      <c r="AA9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5" s="106" t="s">
        <v>19</v>
      </c>
      <c r="AC945" s="51">
        <v>44950</v>
      </c>
      <c r="AD945" s="106" t="s">
        <v>13</v>
      </c>
      <c r="AE945" s="33" t="s">
        <v>413</v>
      </c>
    </row>
    <row r="946" spans="1:31" ht="18" customHeight="1" x14ac:dyDescent="0.25">
      <c r="A9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6" s="79">
        <v>4</v>
      </c>
      <c r="C946" s="23">
        <v>43733</v>
      </c>
      <c r="D946" s="67">
        <f>IF(COUNTIF($G$2:$G946,$G946)=1,1,0)</f>
        <v>1</v>
      </c>
      <c r="E946" s="67" t="str">
        <f>IFERROR(VLOOKUP(База_КР_КК[[#This Row],[ИД штатной должности (S)]],'уровень защищенности'!$B$7:$F$1095,5,0),"не защищена")</f>
        <v>высокий</v>
      </c>
      <c r="F946" s="68">
        <v>500652</v>
      </c>
      <c r="G946" s="74" t="s">
        <v>2348</v>
      </c>
      <c r="H946" s="181">
        <f>INDEX('Списки данных'!$D$2:$D$1048576,MATCH(База_КР_КК[[#This Row],[Структурное подразделение]],'Списки данных'!$C$2:$C$1048576,0))</f>
        <v>22</v>
      </c>
      <c r="I946" s="80" t="s">
        <v>135</v>
      </c>
      <c r="J946" s="80" t="s">
        <v>202</v>
      </c>
      <c r="K946" s="80" t="s">
        <v>203</v>
      </c>
      <c r="L946" s="30" t="s">
        <v>191</v>
      </c>
      <c r="M946" s="68">
        <v>7</v>
      </c>
      <c r="N946" s="181" t="str">
        <f t="shared" si="15"/>
        <v>нет</v>
      </c>
      <c r="O946" s="23"/>
      <c r="P946" s="23"/>
      <c r="Q946" s="106"/>
      <c r="R946" s="37">
        <v>189</v>
      </c>
      <c r="S946" s="38" t="s">
        <v>601</v>
      </c>
      <c r="T946" s="37">
        <v>1276</v>
      </c>
      <c r="U946" s="39" t="s">
        <v>1678</v>
      </c>
      <c r="V946" s="89" t="s">
        <v>272</v>
      </c>
      <c r="W946" s="89" t="s">
        <v>135</v>
      </c>
      <c r="X946" s="106" t="s">
        <v>295</v>
      </c>
      <c r="Y946" s="107" t="s">
        <v>12</v>
      </c>
      <c r="Z946" s="67">
        <f>IF(База_КР_КК[[#This Row],[Таб.номер резервиста]]="-","-",IF(OR(База_КР_КК[[#This Row],[Уровень КК]]=2,База_КР_КК[[#This Row],[Уровень КК]]=3),IF(COUNTIFS($U$2:$U946,$U946,$F$2:$F946,$F946)=1,1,0),IF(COUNTIFS($U$2:$U946,$U946,$L$2:$L946,$L946)=1,1,0)))</f>
        <v>0</v>
      </c>
      <c r="AA9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6" s="106"/>
      <c r="AC946" s="51"/>
      <c r="AD946" s="106" t="s">
        <v>13</v>
      </c>
      <c r="AE946" s="38" t="s">
        <v>413</v>
      </c>
    </row>
    <row r="947" spans="1:31" ht="18" customHeight="1" x14ac:dyDescent="0.25">
      <c r="A9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7" s="79">
        <v>4</v>
      </c>
      <c r="C947" s="23">
        <v>43733</v>
      </c>
      <c r="D947" s="67">
        <f>IF(COUNTIF($G$2:$G947,$G947)=1,1,0)</f>
        <v>0</v>
      </c>
      <c r="E947" s="67" t="str">
        <f>IFERROR(VLOOKUP(База_КР_КК[[#This Row],[ИД штатной должности (S)]],'уровень защищенности'!$B$7:$F$1095,5,0),"не защищена")</f>
        <v>высокий</v>
      </c>
      <c r="F947" s="68">
        <v>500652</v>
      </c>
      <c r="G947" s="74" t="s">
        <v>2348</v>
      </c>
      <c r="H947" s="181">
        <f>INDEX('Списки данных'!$D$2:$D$1048576,MATCH(База_КР_КК[[#This Row],[Структурное подразделение]],'Списки данных'!$C$2:$C$1048576,0))</f>
        <v>22</v>
      </c>
      <c r="I947" s="80" t="s">
        <v>135</v>
      </c>
      <c r="J947" s="80" t="s">
        <v>202</v>
      </c>
      <c r="K947" s="80" t="s">
        <v>203</v>
      </c>
      <c r="L947" s="30" t="s">
        <v>191</v>
      </c>
      <c r="M947" s="68">
        <v>7</v>
      </c>
      <c r="N947" s="181" t="str">
        <f t="shared" si="15"/>
        <v>нет</v>
      </c>
      <c r="O947" s="23"/>
      <c r="P947" s="23"/>
      <c r="Q947" s="106"/>
      <c r="R947" s="37">
        <v>189</v>
      </c>
      <c r="S947" s="38" t="s">
        <v>601</v>
      </c>
      <c r="T947" s="37">
        <v>1275</v>
      </c>
      <c r="U947" s="39" t="s">
        <v>1677</v>
      </c>
      <c r="V947" s="89" t="s">
        <v>272</v>
      </c>
      <c r="W947" s="89" t="s">
        <v>135</v>
      </c>
      <c r="X947" s="106" t="s">
        <v>295</v>
      </c>
      <c r="Y947" s="107" t="s">
        <v>12</v>
      </c>
      <c r="Z947" s="67">
        <f>IF(База_КР_КК[[#This Row],[Таб.номер резервиста]]="-","-",IF(OR(База_КР_КК[[#This Row],[Уровень КК]]=2,База_КР_КК[[#This Row],[Уровень КК]]=3),IF(COUNTIFS($U$2:$U947,$U947,$F$2:$F947,$F947)=1,1,0),IF(COUNTIFS($U$2:$U947,$U947,$L$2:$L947,$L947)=1,1,0)))</f>
        <v>0</v>
      </c>
      <c r="AA9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7" s="106"/>
      <c r="AC947" s="51"/>
      <c r="AD947" s="106" t="s">
        <v>13</v>
      </c>
      <c r="AE947" s="38" t="s">
        <v>413</v>
      </c>
    </row>
    <row r="948" spans="1:31" ht="18" customHeight="1" x14ac:dyDescent="0.25">
      <c r="A9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8" s="79">
        <v>4</v>
      </c>
      <c r="C948" s="23">
        <v>43733</v>
      </c>
      <c r="D948" s="67">
        <f>IF(COUNTIF($G$2:$G948,$G948)=1,1,0)</f>
        <v>0</v>
      </c>
      <c r="E948" s="67" t="str">
        <f>IFERROR(VLOOKUP(База_КР_КК[[#This Row],[ИД штатной должности (S)]],'уровень защищенности'!$B$7:$F$1095,5,0),"не защищена")</f>
        <v>высокий</v>
      </c>
      <c r="F948" s="68">
        <v>500652</v>
      </c>
      <c r="G948" s="74" t="s">
        <v>2348</v>
      </c>
      <c r="H948" s="181">
        <f>INDEX('Списки данных'!$D$2:$D$1048576,MATCH(База_КР_КК[[#This Row],[Структурное подразделение]],'Списки данных'!$C$2:$C$1048576,0))</f>
        <v>22</v>
      </c>
      <c r="I948" s="80" t="s">
        <v>135</v>
      </c>
      <c r="J948" s="80" t="s">
        <v>202</v>
      </c>
      <c r="K948" s="80" t="s">
        <v>203</v>
      </c>
      <c r="L948" s="30" t="s">
        <v>191</v>
      </c>
      <c r="M948" s="68">
        <v>7</v>
      </c>
      <c r="N948" s="181" t="str">
        <f t="shared" si="15"/>
        <v>нет</v>
      </c>
      <c r="O948" s="23"/>
      <c r="P948" s="23"/>
      <c r="Q948" s="106"/>
      <c r="R948" s="37">
        <v>189</v>
      </c>
      <c r="S948" s="38" t="s">
        <v>601</v>
      </c>
      <c r="T948" s="37">
        <v>1277</v>
      </c>
      <c r="U948" s="39" t="s">
        <v>1679</v>
      </c>
      <c r="V948" s="89" t="s">
        <v>272</v>
      </c>
      <c r="W948" s="89" t="s">
        <v>135</v>
      </c>
      <c r="X948" s="106" t="s">
        <v>295</v>
      </c>
      <c r="Y948" s="107" t="s">
        <v>12</v>
      </c>
      <c r="Z948" s="67">
        <f>IF(База_КР_КК[[#This Row],[Таб.номер резервиста]]="-","-",IF(OR(База_КР_КК[[#This Row],[Уровень КК]]=2,База_КР_КК[[#This Row],[Уровень КК]]=3),IF(COUNTIFS($U$2:$U948,$U948,$F$2:$F948,$F948)=1,1,0),IF(COUNTIFS($U$2:$U948,$U948,$L$2:$L948,$L948)=1,1,0)))</f>
        <v>0</v>
      </c>
      <c r="AA9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8" s="106"/>
      <c r="AC948" s="51"/>
      <c r="AD948" s="106" t="s">
        <v>13</v>
      </c>
      <c r="AE948" s="38" t="s">
        <v>413</v>
      </c>
    </row>
    <row r="949" spans="1:31" ht="18" customHeight="1" x14ac:dyDescent="0.25">
      <c r="A9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49" s="79">
        <v>4</v>
      </c>
      <c r="C949" s="23">
        <v>44879</v>
      </c>
      <c r="D949" s="67">
        <f>IF(COUNTIF($G$2:$G949,$G949)=1,1,0)</f>
        <v>0</v>
      </c>
      <c r="E949" s="67" t="str">
        <f>IFERROR(VLOOKUP(База_КР_КК[[#This Row],[ИД штатной должности (S)]],'уровень защищенности'!$B$7:$F$1095,5,0),"не защищена")</f>
        <v>высокий</v>
      </c>
      <c r="F949" s="68">
        <v>500652</v>
      </c>
      <c r="G949" s="74" t="s">
        <v>2348</v>
      </c>
      <c r="H949" s="181">
        <f>INDEX('Списки данных'!$D$2:$D$1048576,MATCH(База_КР_КК[[#This Row],[Структурное подразделение]],'Списки данных'!$C$2:$C$1048576,0))</f>
        <v>22</v>
      </c>
      <c r="I949" s="80" t="s">
        <v>135</v>
      </c>
      <c r="J949" s="80" t="s">
        <v>202</v>
      </c>
      <c r="K949" s="80" t="s">
        <v>203</v>
      </c>
      <c r="L949" s="30" t="s">
        <v>191</v>
      </c>
      <c r="M949" s="68">
        <v>7</v>
      </c>
      <c r="N949" s="181" t="str">
        <f t="shared" si="15"/>
        <v>нет</v>
      </c>
      <c r="O949" s="23"/>
      <c r="P949" s="23"/>
      <c r="Q949" s="106"/>
      <c r="R949" s="37">
        <v>189</v>
      </c>
      <c r="S949" s="38" t="s">
        <v>601</v>
      </c>
      <c r="T949" s="37">
        <v>1278</v>
      </c>
      <c r="U949" s="38" t="s">
        <v>1680</v>
      </c>
      <c r="V949" s="69" t="s">
        <v>272</v>
      </c>
      <c r="W949" s="89" t="s">
        <v>135</v>
      </c>
      <c r="X949" s="106" t="s">
        <v>296</v>
      </c>
      <c r="Y949" s="107" t="s">
        <v>12</v>
      </c>
      <c r="Z949" s="67">
        <f>IF(База_КР_КК[[#This Row],[Таб.номер резервиста]]="-","-",IF(OR(База_КР_КК[[#This Row],[Уровень КК]]=2,База_КР_КК[[#This Row],[Уровень КК]]=3),IF(COUNTIFS($U$2:$U949,$U949,$F$2:$F949,$F949)=1,1,0),IF(COUNTIFS($U$2:$U949,$U949,$L$2:$L949,$L949)=1,1,0)))</f>
        <v>0</v>
      </c>
      <c r="AA9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49" s="106"/>
      <c r="AC949" s="51"/>
      <c r="AD949" s="106" t="s">
        <v>15</v>
      </c>
      <c r="AE949" s="33" t="s">
        <v>413</v>
      </c>
    </row>
    <row r="950" spans="1:31" ht="18" customHeight="1" x14ac:dyDescent="0.25">
      <c r="A9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0" s="79">
        <v>4</v>
      </c>
      <c r="C950" s="23">
        <v>44879</v>
      </c>
      <c r="D950" s="67">
        <f>IF(COUNTIF($G$2:$G950,$G950)=1,1,0)</f>
        <v>0</v>
      </c>
      <c r="E950" s="67" t="str">
        <f>IFERROR(VLOOKUP(База_КР_КК[[#This Row],[ИД штатной должности (S)]],'уровень защищенности'!$B$7:$F$1095,5,0),"не защищена")</f>
        <v>высокий</v>
      </c>
      <c r="F950" s="68">
        <v>500652</v>
      </c>
      <c r="G950" s="74" t="s">
        <v>2348</v>
      </c>
      <c r="H950" s="181">
        <f>INDEX('Списки данных'!$D$2:$D$1048576,MATCH(База_КР_КК[[#This Row],[Структурное подразделение]],'Списки данных'!$C$2:$C$1048576,0))</f>
        <v>22</v>
      </c>
      <c r="I950" s="80" t="s">
        <v>135</v>
      </c>
      <c r="J950" s="80" t="s">
        <v>202</v>
      </c>
      <c r="K950" s="80" t="s">
        <v>203</v>
      </c>
      <c r="L950" s="30" t="s">
        <v>191</v>
      </c>
      <c r="M950" s="68">
        <v>7</v>
      </c>
      <c r="N950" s="181" t="str">
        <f t="shared" si="15"/>
        <v>нет</v>
      </c>
      <c r="O950" s="23"/>
      <c r="P950" s="23"/>
      <c r="Q950" s="106"/>
      <c r="R950" s="37">
        <v>189</v>
      </c>
      <c r="S950" s="38" t="s">
        <v>601</v>
      </c>
      <c r="T950" s="37">
        <v>1279</v>
      </c>
      <c r="U950" s="38" t="s">
        <v>1681</v>
      </c>
      <c r="V950" s="69" t="s">
        <v>272</v>
      </c>
      <c r="W950" s="89" t="s">
        <v>135</v>
      </c>
      <c r="X950" s="106" t="s">
        <v>296</v>
      </c>
      <c r="Y950" s="107" t="s">
        <v>12</v>
      </c>
      <c r="Z950" s="67">
        <f>IF(База_КР_КК[[#This Row],[Таб.номер резервиста]]="-","-",IF(OR(База_КР_КК[[#This Row],[Уровень КК]]=2,База_КР_КК[[#This Row],[Уровень КК]]=3),IF(COUNTIFS($U$2:$U950,$U950,$F$2:$F950,$F950)=1,1,0),IF(COUNTIFS($U$2:$U950,$U950,$L$2:$L950,$L950)=1,1,0)))</f>
        <v>0</v>
      </c>
      <c r="AA9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0" s="106"/>
      <c r="AC950" s="51"/>
      <c r="AD950" s="106" t="s">
        <v>15</v>
      </c>
      <c r="AE950" s="33" t="s">
        <v>413</v>
      </c>
    </row>
    <row r="951" spans="1:31" ht="18" customHeight="1" x14ac:dyDescent="0.25">
      <c r="A9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1" s="79">
        <v>4</v>
      </c>
      <c r="C951" s="23">
        <v>44879</v>
      </c>
      <c r="D951" s="67">
        <f>IF(COUNTIF($G$2:$G951,$G951)=1,1,0)</f>
        <v>0</v>
      </c>
      <c r="E951" s="67" t="str">
        <f>IFERROR(VLOOKUP(База_КР_КК[[#This Row],[ИД штатной должности (S)]],'уровень защищенности'!$B$7:$F$1095,5,0),"не защищена")</f>
        <v>высокий</v>
      </c>
      <c r="F951" s="68">
        <v>500652</v>
      </c>
      <c r="G951" s="74" t="s">
        <v>2348</v>
      </c>
      <c r="H951" s="181">
        <f>INDEX('Списки данных'!$D$2:$D$1048576,MATCH(База_КР_КК[[#This Row],[Структурное подразделение]],'Списки данных'!$C$2:$C$1048576,0))</f>
        <v>22</v>
      </c>
      <c r="I951" s="80" t="s">
        <v>135</v>
      </c>
      <c r="J951" s="80" t="s">
        <v>202</v>
      </c>
      <c r="K951" s="80" t="s">
        <v>203</v>
      </c>
      <c r="L951" s="30" t="s">
        <v>191</v>
      </c>
      <c r="M951" s="68">
        <v>7</v>
      </c>
      <c r="N951" s="181" t="str">
        <f t="shared" si="15"/>
        <v>нет</v>
      </c>
      <c r="O951" s="23"/>
      <c r="P951" s="23"/>
      <c r="Q951" s="106"/>
      <c r="R951" s="37">
        <v>189</v>
      </c>
      <c r="S951" s="38" t="s">
        <v>601</v>
      </c>
      <c r="T951" s="37">
        <v>1280</v>
      </c>
      <c r="U951" s="38" t="s">
        <v>1682</v>
      </c>
      <c r="V951" s="69" t="s">
        <v>272</v>
      </c>
      <c r="W951" s="89" t="s">
        <v>135</v>
      </c>
      <c r="X951" s="106" t="s">
        <v>296</v>
      </c>
      <c r="Y951" s="107" t="s">
        <v>12</v>
      </c>
      <c r="Z951" s="67">
        <f>IF(База_КР_КК[[#This Row],[Таб.номер резервиста]]="-","-",IF(OR(База_КР_КК[[#This Row],[Уровень КК]]=2,База_КР_КК[[#This Row],[Уровень КК]]=3),IF(COUNTIFS($U$2:$U951,$U951,$F$2:$F951,$F951)=1,1,0),IF(COUNTIFS($U$2:$U951,$U951,$L$2:$L951,$L951)=1,1,0)))</f>
        <v>0</v>
      </c>
      <c r="AA9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1" s="106"/>
      <c r="AC951" s="51"/>
      <c r="AD951" s="106" t="s">
        <v>15</v>
      </c>
      <c r="AE951" s="33" t="s">
        <v>413</v>
      </c>
    </row>
    <row r="952" spans="1:31" ht="18" customHeight="1" x14ac:dyDescent="0.25">
      <c r="A9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2" s="79">
        <v>4</v>
      </c>
      <c r="C952" s="23">
        <v>44879</v>
      </c>
      <c r="D952" s="67">
        <f>IF(COUNTIF($G$2:$G952,$G952)=1,1,0)</f>
        <v>0</v>
      </c>
      <c r="E952" s="67" t="str">
        <f>IFERROR(VLOOKUP(База_КР_КК[[#This Row],[ИД штатной должности (S)]],'уровень защищенности'!$B$7:$F$1095,5,0),"не защищена")</f>
        <v>высокий</v>
      </c>
      <c r="F952" s="68">
        <v>500652</v>
      </c>
      <c r="G952" s="74" t="s">
        <v>2348</v>
      </c>
      <c r="H952" s="181">
        <f>INDEX('Списки данных'!$D$2:$D$1048576,MATCH(База_КР_КК[[#This Row],[Структурное подразделение]],'Списки данных'!$C$2:$C$1048576,0))</f>
        <v>22</v>
      </c>
      <c r="I952" s="80" t="s">
        <v>135</v>
      </c>
      <c r="J952" s="80" t="s">
        <v>202</v>
      </c>
      <c r="K952" s="80" t="s">
        <v>203</v>
      </c>
      <c r="L952" s="30" t="s">
        <v>191</v>
      </c>
      <c r="M952" s="68">
        <v>7</v>
      </c>
      <c r="N952" s="181" t="str">
        <f t="shared" si="15"/>
        <v>нет</v>
      </c>
      <c r="O952" s="23"/>
      <c r="P952" s="23"/>
      <c r="Q952" s="106"/>
      <c r="R952" s="37">
        <v>189</v>
      </c>
      <c r="S952" s="38" t="s">
        <v>601</v>
      </c>
      <c r="T952" s="37">
        <v>1241</v>
      </c>
      <c r="U952" s="38" t="s">
        <v>1645</v>
      </c>
      <c r="V952" s="69" t="s">
        <v>272</v>
      </c>
      <c r="W952" s="89" t="s">
        <v>135</v>
      </c>
      <c r="X952" s="106" t="s">
        <v>295</v>
      </c>
      <c r="Y952" s="107" t="s">
        <v>12</v>
      </c>
      <c r="Z952" s="67">
        <f>IF(База_КР_КК[[#This Row],[Таб.номер резервиста]]="-","-",IF(OR(База_КР_КК[[#This Row],[Уровень КК]]=2,База_КР_КК[[#This Row],[Уровень КК]]=3),IF(COUNTIFS($U$2:$U952,$U952,$F$2:$F952,$F952)=1,1,0),IF(COUNTIFS($U$2:$U952,$U952,$L$2:$L952,$L952)=1,1,0)))</f>
        <v>0</v>
      </c>
      <c r="AA9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2" s="106"/>
      <c r="AC952" s="51"/>
      <c r="AD952" s="106" t="s">
        <v>15</v>
      </c>
      <c r="AE952" s="33" t="s">
        <v>413</v>
      </c>
    </row>
    <row r="953" spans="1:31" ht="18" customHeight="1" x14ac:dyDescent="0.25">
      <c r="A9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3" s="79">
        <v>4</v>
      </c>
      <c r="C953" s="23">
        <v>43733</v>
      </c>
      <c r="D953" s="67">
        <f>IF(COUNTIF($G$2:$G953,$G953)=1,1,0)</f>
        <v>0</v>
      </c>
      <c r="E953" s="67" t="str">
        <f>IFERROR(VLOOKUP(База_КР_КК[[#This Row],[ИД штатной должности (S)]],'уровень защищенности'!$B$7:$F$1095,5,0),"не защищена")</f>
        <v>высокий</v>
      </c>
      <c r="F953" s="68">
        <v>500652</v>
      </c>
      <c r="G953" s="74" t="s">
        <v>2348</v>
      </c>
      <c r="H953" s="181">
        <f>INDEX('Списки данных'!$D$2:$D$1048576,MATCH(База_КР_КК[[#This Row],[Структурное подразделение]],'Списки данных'!$C$2:$C$1048576,0))</f>
        <v>22</v>
      </c>
      <c r="I953" s="80" t="s">
        <v>135</v>
      </c>
      <c r="J953" s="80" t="s">
        <v>202</v>
      </c>
      <c r="K953" s="80" t="s">
        <v>203</v>
      </c>
      <c r="L953" s="30" t="s">
        <v>191</v>
      </c>
      <c r="M953" s="68">
        <v>7</v>
      </c>
      <c r="N953" s="181" t="str">
        <f t="shared" si="15"/>
        <v>нет</v>
      </c>
      <c r="O953" s="23"/>
      <c r="P953" s="23"/>
      <c r="Q953" s="106"/>
      <c r="R953" s="37">
        <v>189</v>
      </c>
      <c r="S953" s="38" t="s">
        <v>601</v>
      </c>
      <c r="T953" s="37">
        <v>1281</v>
      </c>
      <c r="U953" s="39" t="s">
        <v>1683</v>
      </c>
      <c r="V953" s="89" t="s">
        <v>272</v>
      </c>
      <c r="W953" s="89" t="s">
        <v>135</v>
      </c>
      <c r="X953" s="106" t="s">
        <v>295</v>
      </c>
      <c r="Y953" s="107" t="s">
        <v>18</v>
      </c>
      <c r="Z953" s="67">
        <f>IF(База_КР_КК[[#This Row],[Таб.номер резервиста]]="-","-",IF(OR(База_КР_КК[[#This Row],[Уровень КК]]=2,База_КР_КК[[#This Row],[Уровень КК]]=3),IF(COUNTIFS($U$2:$U953,$U953,$F$2:$F953,$F953)=1,1,0),IF(COUNTIFS($U$2:$U953,$U953,$L$2:$L953,$L953)=1,1,0)))</f>
        <v>0</v>
      </c>
      <c r="AA9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3" s="106" t="s">
        <v>19</v>
      </c>
      <c r="AC953" s="51">
        <v>44840</v>
      </c>
      <c r="AD953" s="106" t="s">
        <v>17</v>
      </c>
      <c r="AE953" s="38" t="s">
        <v>324</v>
      </c>
    </row>
    <row r="954" spans="1:31" ht="18" customHeight="1" x14ac:dyDescent="0.25">
      <c r="A9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4" s="79">
        <v>4</v>
      </c>
      <c r="C954" s="23">
        <v>43733</v>
      </c>
      <c r="D954" s="67">
        <f>IF(COUNTIF($G$2:$G954,$G954)=1,1,0)</f>
        <v>0</v>
      </c>
      <c r="E954" s="67" t="str">
        <f>IFERROR(VLOOKUP(База_КР_КК[[#This Row],[ИД штатной должности (S)]],'уровень защищенности'!$B$7:$F$1095,5,0),"не защищена")</f>
        <v>высокий</v>
      </c>
      <c r="F954" s="68">
        <v>500652</v>
      </c>
      <c r="G954" s="74" t="s">
        <v>2348</v>
      </c>
      <c r="H954" s="181">
        <f>INDEX('Списки данных'!$D$2:$D$1048576,MATCH(База_КР_КК[[#This Row],[Структурное подразделение]],'Списки данных'!$C$2:$C$1048576,0))</f>
        <v>22</v>
      </c>
      <c r="I954" s="80" t="s">
        <v>135</v>
      </c>
      <c r="J954" s="80" t="s">
        <v>202</v>
      </c>
      <c r="K954" s="80" t="s">
        <v>203</v>
      </c>
      <c r="L954" s="30" t="s">
        <v>191</v>
      </c>
      <c r="M954" s="68">
        <v>7</v>
      </c>
      <c r="N954" s="181" t="str">
        <f t="shared" si="15"/>
        <v>нет</v>
      </c>
      <c r="O954" s="23"/>
      <c r="P954" s="23"/>
      <c r="Q954" s="106"/>
      <c r="R954" s="37">
        <v>189</v>
      </c>
      <c r="S954" s="38" t="s">
        <v>601</v>
      </c>
      <c r="T954" s="37">
        <v>1282</v>
      </c>
      <c r="U954" s="39" t="s">
        <v>1684</v>
      </c>
      <c r="V954" s="89" t="s">
        <v>272</v>
      </c>
      <c r="W954" s="89" t="s">
        <v>135</v>
      </c>
      <c r="X954" s="106" t="s">
        <v>297</v>
      </c>
      <c r="Y954" s="107" t="s">
        <v>18</v>
      </c>
      <c r="Z954" s="67">
        <f>IF(База_КР_КК[[#This Row],[Таб.номер резервиста]]="-","-",IF(OR(База_КР_КК[[#This Row],[Уровень КК]]=2,База_КР_КК[[#This Row],[Уровень КК]]=3),IF(COUNTIFS($U$2:$U954,$U954,$F$2:$F954,$F954)=1,1,0),IF(COUNTIFS($U$2:$U954,$U954,$L$2:$L954,$L954)=1,1,0)))</f>
        <v>0</v>
      </c>
      <c r="AA9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4" s="106" t="s">
        <v>20</v>
      </c>
      <c r="AC954" s="51">
        <v>44279</v>
      </c>
      <c r="AD954" s="106" t="s">
        <v>13</v>
      </c>
      <c r="AE954" s="38" t="s">
        <v>323</v>
      </c>
    </row>
    <row r="955" spans="1:31" ht="18" customHeight="1" x14ac:dyDescent="0.25">
      <c r="A9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5" s="79">
        <v>4</v>
      </c>
      <c r="C955" s="23">
        <v>44046</v>
      </c>
      <c r="D955" s="67">
        <f>IF(COUNTIF($G$2:$G955,$G955)=1,1,0)</f>
        <v>0</v>
      </c>
      <c r="E955" s="67" t="str">
        <f>IFERROR(VLOOKUP(База_КР_КК[[#This Row],[ИД штатной должности (S)]],'уровень защищенности'!$B$7:$F$1095,5,0),"не защищена")</f>
        <v>высокий</v>
      </c>
      <c r="F955" s="68">
        <v>500652</v>
      </c>
      <c r="G955" s="74" t="s">
        <v>2348</v>
      </c>
      <c r="H955" s="181">
        <f>INDEX('Списки данных'!$D$2:$D$1048576,MATCH(База_КР_КК[[#This Row],[Структурное подразделение]],'Списки данных'!$C$2:$C$1048576,0))</f>
        <v>22</v>
      </c>
      <c r="I955" s="80" t="s">
        <v>135</v>
      </c>
      <c r="J955" s="80" t="s">
        <v>202</v>
      </c>
      <c r="K955" s="80" t="s">
        <v>203</v>
      </c>
      <c r="L955" s="30" t="s">
        <v>191</v>
      </c>
      <c r="M955" s="68">
        <v>7</v>
      </c>
      <c r="N955" s="181" t="str">
        <f t="shared" si="15"/>
        <v>нет</v>
      </c>
      <c r="O955" s="23"/>
      <c r="P955" s="23"/>
      <c r="Q955" s="106"/>
      <c r="R955" s="37">
        <v>189</v>
      </c>
      <c r="S955" s="38" t="s">
        <v>601</v>
      </c>
      <c r="T955" s="37">
        <v>258</v>
      </c>
      <c r="U955" s="39" t="s">
        <v>670</v>
      </c>
      <c r="V955" s="89" t="s">
        <v>192</v>
      </c>
      <c r="W955" s="89" t="s">
        <v>176</v>
      </c>
      <c r="X955" s="106" t="s">
        <v>295</v>
      </c>
      <c r="Y955" s="107" t="s">
        <v>18</v>
      </c>
      <c r="Z955" s="67">
        <f>IF(База_КР_КК[[#This Row],[Таб.номер резервиста]]="-","-",IF(OR(База_КР_КК[[#This Row],[Уровень КК]]=2,База_КР_КК[[#This Row],[Уровень КК]]=3),IF(COUNTIFS($U$2:$U955,$U955,$F$2:$F955,$F955)=1,1,0),IF(COUNTIFS($U$2:$U955,$U955,$L$2:$L955,$L955)=1,1,0)))</f>
        <v>0</v>
      </c>
      <c r="AA9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5" s="106" t="s">
        <v>33</v>
      </c>
      <c r="AC955" s="51">
        <v>44046</v>
      </c>
      <c r="AD955" s="106" t="s">
        <v>15</v>
      </c>
      <c r="AE955" s="38" t="s">
        <v>325</v>
      </c>
    </row>
    <row r="956" spans="1:31" ht="18" customHeight="1" x14ac:dyDescent="0.25">
      <c r="A9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6" s="79">
        <v>4</v>
      </c>
      <c r="C956" s="23">
        <v>44487</v>
      </c>
      <c r="D956" s="67">
        <f>IF(COUNTIF($G$2:$G956,$G956)=1,1,0)</f>
        <v>0</v>
      </c>
      <c r="E956" s="67" t="str">
        <f>IFERROR(VLOOKUP(База_КР_КК[[#This Row],[ИД штатной должности (S)]],'уровень защищенности'!$B$7:$F$1095,5,0),"не защищена")</f>
        <v>высокий</v>
      </c>
      <c r="F956" s="68">
        <v>500652</v>
      </c>
      <c r="G956" s="74" t="s">
        <v>2348</v>
      </c>
      <c r="H956" s="181">
        <f>INDEX('Списки данных'!$D$2:$D$1048576,MATCH(База_КР_КК[[#This Row],[Структурное подразделение]],'Списки данных'!$C$2:$C$1048576,0))</f>
        <v>22</v>
      </c>
      <c r="I956" s="80" t="s">
        <v>135</v>
      </c>
      <c r="J956" s="80" t="s">
        <v>202</v>
      </c>
      <c r="K956" s="80" t="s">
        <v>203</v>
      </c>
      <c r="L956" s="30" t="s">
        <v>191</v>
      </c>
      <c r="M956" s="68">
        <v>7</v>
      </c>
      <c r="N956" s="181" t="str">
        <f t="shared" si="15"/>
        <v>нет</v>
      </c>
      <c r="O956" s="23"/>
      <c r="P956" s="23"/>
      <c r="Q956" s="106"/>
      <c r="R956" s="37">
        <v>189</v>
      </c>
      <c r="S956" s="39" t="s">
        <v>601</v>
      </c>
      <c r="T956" s="37">
        <v>1283</v>
      </c>
      <c r="U956" s="39" t="s">
        <v>1685</v>
      </c>
      <c r="V956" s="89" t="s">
        <v>192</v>
      </c>
      <c r="W956" s="89" t="s">
        <v>135</v>
      </c>
      <c r="X956" s="106" t="s">
        <v>297</v>
      </c>
      <c r="Y956" s="107" t="s">
        <v>18</v>
      </c>
      <c r="Z956" s="67">
        <f>IF(База_КР_КК[[#This Row],[Таб.номер резервиста]]="-","-",IF(OR(База_КР_КК[[#This Row],[Уровень КК]]=2,База_КР_КК[[#This Row],[Уровень КК]]=3),IF(COUNTIFS($U$2:$U956,$U956,$F$2:$F956,$F956)=1,1,0),IF(COUNTIFS($U$2:$U956,$U956,$L$2:$L956,$L956)=1,1,0)))</f>
        <v>0</v>
      </c>
      <c r="AA9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6" s="106" t="s">
        <v>19</v>
      </c>
      <c r="AC956" s="51">
        <v>44950</v>
      </c>
      <c r="AD956" s="106" t="s">
        <v>13</v>
      </c>
      <c r="AE956" s="33" t="s">
        <v>413</v>
      </c>
    </row>
    <row r="957" spans="1:31" ht="18" customHeight="1" x14ac:dyDescent="0.25">
      <c r="A9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7" s="79">
        <v>4</v>
      </c>
      <c r="C957" s="23">
        <v>44487</v>
      </c>
      <c r="D957" s="67">
        <f>IF(COUNTIF($G$2:$G957,$G957)=1,1,0)</f>
        <v>1</v>
      </c>
      <c r="E957" s="67" t="str">
        <f>IFERROR(VLOOKUP(База_КР_КК[[#This Row],[ИД штатной должности (S)]],'уровень защищенности'!$B$7:$F$1095,5,0),"не защищена")</f>
        <v>высокий</v>
      </c>
      <c r="F957" s="68">
        <v>500647</v>
      </c>
      <c r="G957" s="74" t="s">
        <v>2349</v>
      </c>
      <c r="H957" s="181">
        <f>INDEX('Списки данных'!$D$2:$D$1048576,MATCH(База_КР_КК[[#This Row],[Структурное подразделение]],'Списки данных'!$C$2:$C$1048576,0))</f>
        <v>22</v>
      </c>
      <c r="I957" s="80" t="s">
        <v>135</v>
      </c>
      <c r="J957" s="80" t="s">
        <v>202</v>
      </c>
      <c r="K957" s="80" t="s">
        <v>203</v>
      </c>
      <c r="L957" s="30" t="s">
        <v>189</v>
      </c>
      <c r="M957" s="68">
        <v>6</v>
      </c>
      <c r="N957" s="181" t="str">
        <f t="shared" si="15"/>
        <v>да</v>
      </c>
      <c r="O957" s="23">
        <v>44914</v>
      </c>
      <c r="P957" s="23"/>
      <c r="Q957" s="106"/>
      <c r="R957" s="37" t="s">
        <v>23</v>
      </c>
      <c r="S957" s="37" t="s">
        <v>23</v>
      </c>
      <c r="T957" s="37">
        <v>193</v>
      </c>
      <c r="U957" s="39" t="s">
        <v>605</v>
      </c>
      <c r="V957" s="89" t="s">
        <v>192</v>
      </c>
      <c r="W957" s="89" t="s">
        <v>135</v>
      </c>
      <c r="X957" s="106" t="s">
        <v>295</v>
      </c>
      <c r="Y957" s="107" t="s">
        <v>12</v>
      </c>
      <c r="Z957" s="67">
        <f>IF(База_КР_КК[[#This Row],[Таб.номер резервиста]]="-","-",IF(OR(База_КР_КК[[#This Row],[Уровень КК]]=2,База_КР_КК[[#This Row],[Уровень КК]]=3),IF(COUNTIFS($U$2:$U957,$U957,$F$2:$F957,$F957)=1,1,0),IF(COUNTIFS($U$2:$U957,$U957,$L$2:$L957,$L957)=1,1,0)))</f>
        <v>1</v>
      </c>
      <c r="AA9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7" s="106"/>
      <c r="AC957" s="51"/>
      <c r="AD957" s="106" t="s">
        <v>17</v>
      </c>
      <c r="AE957" s="33" t="s">
        <v>413</v>
      </c>
    </row>
    <row r="958" spans="1:31" ht="18" customHeight="1" x14ac:dyDescent="0.25">
      <c r="A9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8" s="79">
        <v>4</v>
      </c>
      <c r="C958" s="23">
        <v>43733</v>
      </c>
      <c r="D958" s="67">
        <f>IF(COUNTIF($G$2:$G958,$G958)=1,1,0)</f>
        <v>0</v>
      </c>
      <c r="E958" s="67" t="str">
        <f>IFERROR(VLOOKUP(База_КР_КК[[#This Row],[ИД штатной должности (S)]],'уровень защищенности'!$B$7:$F$1095,5,0),"не защищена")</f>
        <v>высокий</v>
      </c>
      <c r="F958" s="68">
        <v>500647</v>
      </c>
      <c r="G958" s="74" t="s">
        <v>2349</v>
      </c>
      <c r="H958" s="181">
        <f>INDEX('Списки данных'!$D$2:$D$1048576,MATCH(База_КР_КК[[#This Row],[Структурное подразделение]],'Списки данных'!$C$2:$C$1048576,0))</f>
        <v>22</v>
      </c>
      <c r="I958" s="80" t="s">
        <v>135</v>
      </c>
      <c r="J958" s="80" t="s">
        <v>202</v>
      </c>
      <c r="K958" s="80" t="s">
        <v>203</v>
      </c>
      <c r="L958" s="30" t="s">
        <v>189</v>
      </c>
      <c r="M958" s="68">
        <v>6</v>
      </c>
      <c r="N958" s="181" t="str">
        <f t="shared" si="15"/>
        <v>да</v>
      </c>
      <c r="O958" s="23">
        <v>44914</v>
      </c>
      <c r="P958" s="23"/>
      <c r="Q958" s="106"/>
      <c r="R958" s="37" t="s">
        <v>23</v>
      </c>
      <c r="S958" s="37" t="s">
        <v>23</v>
      </c>
      <c r="T958" s="37">
        <v>1284</v>
      </c>
      <c r="U958" s="39" t="s">
        <v>1686</v>
      </c>
      <c r="V958" s="89" t="s">
        <v>189</v>
      </c>
      <c r="W958" s="89" t="s">
        <v>135</v>
      </c>
      <c r="X958" s="106" t="s">
        <v>295</v>
      </c>
      <c r="Y958" s="107" t="s">
        <v>18</v>
      </c>
      <c r="Z958" s="67">
        <f>IF(База_КР_КК[[#This Row],[Таб.номер резервиста]]="-","-",IF(OR(База_КР_КК[[#This Row],[Уровень КК]]=2,База_КР_КК[[#This Row],[Уровень КК]]=3),IF(COUNTIFS($U$2:$U958,$U958,$F$2:$F958,$F958)=1,1,0),IF(COUNTIFS($U$2:$U958,$U958,$L$2:$L958,$L958)=1,1,0)))</f>
        <v>1</v>
      </c>
      <c r="AA9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8" s="106" t="s">
        <v>19</v>
      </c>
      <c r="AC958" s="51">
        <v>44489</v>
      </c>
      <c r="AD958" s="106" t="s">
        <v>13</v>
      </c>
      <c r="AE958" s="38" t="s">
        <v>323</v>
      </c>
    </row>
    <row r="959" spans="1:31" ht="18" customHeight="1" x14ac:dyDescent="0.25">
      <c r="A9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59" s="79">
        <v>4</v>
      </c>
      <c r="C959" s="23">
        <v>43733</v>
      </c>
      <c r="D959" s="67">
        <f>IF(COUNTIF($G$2:$G959,$G959)=1,1,0)</f>
        <v>1</v>
      </c>
      <c r="E959" s="67" t="str">
        <f>IFERROR(VLOOKUP(База_КР_КК[[#This Row],[ИД штатной должности (S)]],'уровень защищенности'!$B$7:$F$1095,5,0),"не защищена")</f>
        <v>средний</v>
      </c>
      <c r="F959" s="68">
        <v>500653</v>
      </c>
      <c r="G959" s="74" t="s">
        <v>2350</v>
      </c>
      <c r="H959" s="181">
        <f>INDEX('Списки данных'!$D$2:$D$1048576,MATCH(База_КР_КК[[#This Row],[Структурное подразделение]],'Списки данных'!$C$2:$C$1048576,0))</f>
        <v>22</v>
      </c>
      <c r="I959" s="80" t="s">
        <v>135</v>
      </c>
      <c r="J959" s="80" t="s">
        <v>202</v>
      </c>
      <c r="K959" s="80" t="s">
        <v>203</v>
      </c>
      <c r="L959" s="30" t="s">
        <v>191</v>
      </c>
      <c r="M959" s="68">
        <v>7</v>
      </c>
      <c r="N959" s="181" t="str">
        <f t="shared" si="15"/>
        <v>нет</v>
      </c>
      <c r="O959" s="23"/>
      <c r="P959" s="23"/>
      <c r="Q959" s="106"/>
      <c r="R959" s="37">
        <v>190</v>
      </c>
      <c r="S959" s="38" t="s">
        <v>602</v>
      </c>
      <c r="T959" s="37">
        <v>1285</v>
      </c>
      <c r="U959" s="39" t="s">
        <v>1687</v>
      </c>
      <c r="V959" s="89" t="s">
        <v>272</v>
      </c>
      <c r="W959" s="89" t="s">
        <v>135</v>
      </c>
      <c r="X959" s="106" t="s">
        <v>297</v>
      </c>
      <c r="Y959" s="107" t="s">
        <v>12</v>
      </c>
      <c r="Z959" s="67">
        <f>IF(База_КР_КК[[#This Row],[Таб.номер резервиста]]="-","-",IF(OR(База_КР_КК[[#This Row],[Уровень КК]]=2,База_КР_КК[[#This Row],[Уровень КК]]=3),IF(COUNTIFS($U$2:$U959,$U959,$F$2:$F959,$F959)=1,1,0),IF(COUNTIFS($U$2:$U959,$U959,$L$2:$L959,$L959)=1,1,0)))</f>
        <v>1</v>
      </c>
      <c r="AA9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59" s="106"/>
      <c r="AC959" s="51"/>
      <c r="AD959" s="106" t="s">
        <v>13</v>
      </c>
      <c r="AE959" s="38" t="s">
        <v>413</v>
      </c>
    </row>
    <row r="960" spans="1:31" ht="18" customHeight="1" x14ac:dyDescent="0.25">
      <c r="A9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0" s="79">
        <v>4</v>
      </c>
      <c r="C960" s="23">
        <v>44487</v>
      </c>
      <c r="D960" s="67">
        <f>IF(COUNTIF($G$2:$G960,$G960)=1,1,0)</f>
        <v>0</v>
      </c>
      <c r="E960" s="67" t="str">
        <f>IFERROR(VLOOKUP(База_КР_КК[[#This Row],[ИД штатной должности (S)]],'уровень защищенности'!$B$7:$F$1095,5,0),"не защищена")</f>
        <v>средний</v>
      </c>
      <c r="F960" s="68">
        <v>500653</v>
      </c>
      <c r="G960" s="74" t="s">
        <v>2350</v>
      </c>
      <c r="H960" s="181">
        <f>INDEX('Списки данных'!$D$2:$D$1048576,MATCH(База_КР_КК[[#This Row],[Структурное подразделение]],'Списки данных'!$C$2:$C$1048576,0))</f>
        <v>22</v>
      </c>
      <c r="I960" s="80" t="s">
        <v>135</v>
      </c>
      <c r="J960" s="80" t="s">
        <v>202</v>
      </c>
      <c r="K960" s="80" t="s">
        <v>203</v>
      </c>
      <c r="L960" s="30" t="s">
        <v>191</v>
      </c>
      <c r="M960" s="68">
        <v>7</v>
      </c>
      <c r="N960" s="181" t="str">
        <f t="shared" si="15"/>
        <v>нет</v>
      </c>
      <c r="O960" s="23"/>
      <c r="P960" s="23"/>
      <c r="Q960" s="106"/>
      <c r="R960" s="37">
        <v>190</v>
      </c>
      <c r="S960" s="39" t="s">
        <v>602</v>
      </c>
      <c r="T960" s="37">
        <v>1286</v>
      </c>
      <c r="U960" s="39" t="s">
        <v>1688</v>
      </c>
      <c r="V960" s="89" t="s">
        <v>272</v>
      </c>
      <c r="W960" s="89" t="s">
        <v>135</v>
      </c>
      <c r="X960" s="106" t="s">
        <v>297</v>
      </c>
      <c r="Y960" s="107" t="s">
        <v>12</v>
      </c>
      <c r="Z960" s="67">
        <f>IF(База_КР_КК[[#This Row],[Таб.номер резервиста]]="-","-",IF(OR(База_КР_КК[[#This Row],[Уровень КК]]=2,База_КР_КК[[#This Row],[Уровень КК]]=3),IF(COUNTIFS($U$2:$U960,$U960,$F$2:$F960,$F960)=1,1,0),IF(COUNTIFS($U$2:$U960,$U960,$L$2:$L960,$L960)=1,1,0)))</f>
        <v>1</v>
      </c>
      <c r="AA9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0" s="106"/>
      <c r="AC960" s="51"/>
      <c r="AD960" s="106" t="s">
        <v>13</v>
      </c>
      <c r="AE960" s="33" t="s">
        <v>413</v>
      </c>
    </row>
    <row r="961" spans="1:31" ht="18" customHeight="1" x14ac:dyDescent="0.25">
      <c r="A9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1" s="79">
        <v>4</v>
      </c>
      <c r="C961" s="23">
        <v>43733</v>
      </c>
      <c r="D961" s="67">
        <f>IF(COUNTIF($G$2:$G961,$G961)=1,1,0)</f>
        <v>0</v>
      </c>
      <c r="E961" s="67" t="str">
        <f>IFERROR(VLOOKUP(База_КР_КК[[#This Row],[ИД штатной должности (S)]],'уровень защищенности'!$B$7:$F$1095,5,0),"не защищена")</f>
        <v>средний</v>
      </c>
      <c r="F961" s="68">
        <v>500653</v>
      </c>
      <c r="G961" s="74" t="s">
        <v>2350</v>
      </c>
      <c r="H961" s="181">
        <f>INDEX('Списки данных'!$D$2:$D$1048576,MATCH(База_КР_КК[[#This Row],[Структурное подразделение]],'Списки данных'!$C$2:$C$1048576,0))</f>
        <v>22</v>
      </c>
      <c r="I961" s="80" t="s">
        <v>135</v>
      </c>
      <c r="J961" s="80" t="s">
        <v>202</v>
      </c>
      <c r="K961" s="80" t="s">
        <v>203</v>
      </c>
      <c r="L961" s="30" t="s">
        <v>191</v>
      </c>
      <c r="M961" s="68">
        <v>7</v>
      </c>
      <c r="N961" s="181" t="str">
        <f t="shared" ref="N961:N1024" si="16">IF(ISBLANK(O961),"нет","да")</f>
        <v>нет</v>
      </c>
      <c r="O961" s="23"/>
      <c r="P961" s="23"/>
      <c r="Q961" s="106"/>
      <c r="R961" s="37">
        <v>190</v>
      </c>
      <c r="S961" s="38" t="s">
        <v>602</v>
      </c>
      <c r="T961" s="37">
        <v>1283</v>
      </c>
      <c r="U961" s="39" t="s">
        <v>1685</v>
      </c>
      <c r="V961" s="89" t="s">
        <v>272</v>
      </c>
      <c r="W961" s="89" t="s">
        <v>135</v>
      </c>
      <c r="X961" s="106" t="s">
        <v>296</v>
      </c>
      <c r="Y961" s="107" t="s">
        <v>18</v>
      </c>
      <c r="Z961" s="67">
        <f>IF(База_КР_КК[[#This Row],[Таб.номер резервиста]]="-","-",IF(OR(База_КР_КК[[#This Row],[Уровень КК]]=2,База_КР_КК[[#This Row],[Уровень КК]]=3),IF(COUNTIFS($U$2:$U961,$U961,$F$2:$F961,$F961)=1,1,0),IF(COUNTIFS($U$2:$U961,$U961,$L$2:$L961,$L961)=1,1,0)))</f>
        <v>0</v>
      </c>
      <c r="AA9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1" s="106" t="s">
        <v>38</v>
      </c>
      <c r="AC961" s="51">
        <v>44487</v>
      </c>
      <c r="AD961" s="106" t="s">
        <v>31</v>
      </c>
      <c r="AE961" s="38" t="s">
        <v>324</v>
      </c>
    </row>
    <row r="962" spans="1:31" ht="18" customHeight="1" x14ac:dyDescent="0.25">
      <c r="A9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2" s="79">
        <v>4</v>
      </c>
      <c r="C962" s="23">
        <v>43733</v>
      </c>
      <c r="D962" s="67">
        <f>IF(COUNTIF($G$2:$G962,$G962)=1,1,0)</f>
        <v>0</v>
      </c>
      <c r="E962" s="67" t="str">
        <f>IFERROR(VLOOKUP(База_КР_КК[[#This Row],[ИД штатной должности (S)]],'уровень защищенности'!$B$7:$F$1095,5,0),"не защищена")</f>
        <v>средний</v>
      </c>
      <c r="F962" s="68">
        <v>500653</v>
      </c>
      <c r="G962" s="74" t="s">
        <v>2350</v>
      </c>
      <c r="H962" s="181">
        <f>INDEX('Списки данных'!$D$2:$D$1048576,MATCH(База_КР_КК[[#This Row],[Структурное подразделение]],'Списки данных'!$C$2:$C$1048576,0))</f>
        <v>22</v>
      </c>
      <c r="I962" s="80" t="s">
        <v>135</v>
      </c>
      <c r="J962" s="80" t="s">
        <v>202</v>
      </c>
      <c r="K962" s="80" t="s">
        <v>203</v>
      </c>
      <c r="L962" s="30" t="s">
        <v>191</v>
      </c>
      <c r="M962" s="68">
        <v>7</v>
      </c>
      <c r="N962" s="181" t="str">
        <f t="shared" si="16"/>
        <v>нет</v>
      </c>
      <c r="O962" s="23"/>
      <c r="P962" s="23"/>
      <c r="Q962" s="106"/>
      <c r="R962" s="37">
        <v>190</v>
      </c>
      <c r="S962" s="38" t="s">
        <v>602</v>
      </c>
      <c r="T962" s="37">
        <v>193</v>
      </c>
      <c r="U962" s="39" t="s">
        <v>605</v>
      </c>
      <c r="V962" s="89" t="s">
        <v>192</v>
      </c>
      <c r="W962" s="89" t="s">
        <v>135</v>
      </c>
      <c r="X962" s="106" t="s">
        <v>295</v>
      </c>
      <c r="Y962" s="107" t="s">
        <v>18</v>
      </c>
      <c r="Z962" s="67">
        <f>IF(База_КР_КК[[#This Row],[Таб.номер резервиста]]="-","-",IF(OR(База_КР_КК[[#This Row],[Уровень КК]]=2,База_КР_КК[[#This Row],[Уровень КК]]=3),IF(COUNTIFS($U$2:$U962,$U962,$F$2:$F962,$F962)=1,1,0),IF(COUNTIFS($U$2:$U962,$U962,$L$2:$L962,$L962)=1,1,0)))</f>
        <v>1</v>
      </c>
      <c r="AA9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2" s="106" t="s">
        <v>24</v>
      </c>
      <c r="AC962" s="51">
        <v>44256</v>
      </c>
      <c r="AD962" s="106" t="s">
        <v>13</v>
      </c>
      <c r="AE962" s="38" t="s">
        <v>323</v>
      </c>
    </row>
    <row r="963" spans="1:31" ht="18" customHeight="1" x14ac:dyDescent="0.25">
      <c r="A9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3" s="79">
        <v>4</v>
      </c>
      <c r="C963" s="23">
        <v>43733</v>
      </c>
      <c r="D963" s="67">
        <f>IF(COUNTIF($G$2:$G963,$G963)=1,1,0)</f>
        <v>0</v>
      </c>
      <c r="E963" s="67" t="str">
        <f>IFERROR(VLOOKUP(База_КР_КК[[#This Row],[ИД штатной должности (S)]],'уровень защищенности'!$B$7:$F$1095,5,0),"не защищена")</f>
        <v>средний</v>
      </c>
      <c r="F963" s="68">
        <v>500653</v>
      </c>
      <c r="G963" s="74" t="s">
        <v>2350</v>
      </c>
      <c r="H963" s="181">
        <f>INDEX('Списки данных'!$D$2:$D$1048576,MATCH(База_КР_КК[[#This Row],[Структурное подразделение]],'Списки данных'!$C$2:$C$1048576,0))</f>
        <v>22</v>
      </c>
      <c r="I963" s="80" t="s">
        <v>135</v>
      </c>
      <c r="J963" s="80" t="s">
        <v>202</v>
      </c>
      <c r="K963" s="80" t="s">
        <v>203</v>
      </c>
      <c r="L963" s="30" t="s">
        <v>191</v>
      </c>
      <c r="M963" s="68">
        <v>7</v>
      </c>
      <c r="N963" s="181" t="str">
        <f t="shared" si="16"/>
        <v>нет</v>
      </c>
      <c r="O963" s="23"/>
      <c r="P963" s="23"/>
      <c r="Q963" s="106"/>
      <c r="R963" s="37">
        <v>190</v>
      </c>
      <c r="S963" s="38" t="s">
        <v>602</v>
      </c>
      <c r="T963" s="37">
        <v>1287</v>
      </c>
      <c r="U963" s="39" t="s">
        <v>1689</v>
      </c>
      <c r="V963" s="89" t="s">
        <v>272</v>
      </c>
      <c r="W963" s="89" t="s">
        <v>135</v>
      </c>
      <c r="X963" s="106" t="s">
        <v>296</v>
      </c>
      <c r="Y963" s="107" t="s">
        <v>18</v>
      </c>
      <c r="Z963" s="67">
        <f>IF(База_КР_КК[[#This Row],[Таб.номер резервиста]]="-","-",IF(OR(База_КР_КК[[#This Row],[Уровень КК]]=2,База_КР_КК[[#This Row],[Уровень КК]]=3),IF(COUNTIFS($U$2:$U963,$U963,$F$2:$F963,$F963)=1,1,0),IF(COUNTIFS($U$2:$U963,$U963,$L$2:$L963,$L963)=1,1,0)))</f>
        <v>1</v>
      </c>
      <c r="AA9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3" s="106" t="s">
        <v>19</v>
      </c>
      <c r="AC963" s="51">
        <v>43780</v>
      </c>
      <c r="AD963" s="106" t="s">
        <v>15</v>
      </c>
      <c r="AE963" s="38" t="s">
        <v>326</v>
      </c>
    </row>
    <row r="964" spans="1:31" ht="18" customHeight="1" x14ac:dyDescent="0.25">
      <c r="A9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4" s="79">
        <v>4</v>
      </c>
      <c r="C964" s="23">
        <v>43733</v>
      </c>
      <c r="D964" s="67">
        <f>IF(COUNTIF($G$2:$G964,$G964)=1,1,0)</f>
        <v>1</v>
      </c>
      <c r="E964" s="67" t="str">
        <f>IFERROR(VLOOKUP(База_КР_КК[[#This Row],[ИД штатной должности (S)]],'уровень защищенности'!$B$7:$F$1095,5,0),"не защищена")</f>
        <v>средний</v>
      </c>
      <c r="F964" s="68">
        <v>500653</v>
      </c>
      <c r="G964" s="74" t="s">
        <v>2351</v>
      </c>
      <c r="H964" s="181">
        <f>INDEX('Списки данных'!$D$2:$D$1048576,MATCH(База_КР_КК[[#This Row],[Структурное подразделение]],'Списки данных'!$C$2:$C$1048576,0))</f>
        <v>22</v>
      </c>
      <c r="I964" s="80" t="s">
        <v>135</v>
      </c>
      <c r="J964" s="80" t="s">
        <v>202</v>
      </c>
      <c r="K964" s="80" t="s">
        <v>203</v>
      </c>
      <c r="L964" s="30" t="s">
        <v>191</v>
      </c>
      <c r="M964" s="68">
        <v>7</v>
      </c>
      <c r="N964" s="181" t="str">
        <f t="shared" si="16"/>
        <v>нет</v>
      </c>
      <c r="O964" s="23"/>
      <c r="P964" s="23"/>
      <c r="Q964" s="106"/>
      <c r="R964" s="37">
        <v>191</v>
      </c>
      <c r="S964" s="38" t="s">
        <v>603</v>
      </c>
      <c r="T964" s="37">
        <v>1285</v>
      </c>
      <c r="U964" s="39" t="s">
        <v>1687</v>
      </c>
      <c r="V964" s="89" t="s">
        <v>272</v>
      </c>
      <c r="W964" s="89" t="s">
        <v>135</v>
      </c>
      <c r="X964" s="106" t="s">
        <v>297</v>
      </c>
      <c r="Y964" s="107" t="s">
        <v>12</v>
      </c>
      <c r="Z964" s="67">
        <f>IF(База_КР_КК[[#This Row],[Таб.номер резервиста]]="-","-",IF(OR(База_КР_КК[[#This Row],[Уровень КК]]=2,База_КР_КК[[#This Row],[Уровень КК]]=3),IF(COUNTIFS($U$2:$U964,$U964,$F$2:$F964,$F964)=1,1,0),IF(COUNTIFS($U$2:$U964,$U964,$L$2:$L964,$L964)=1,1,0)))</f>
        <v>0</v>
      </c>
      <c r="AA9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4" s="106"/>
      <c r="AC964" s="51"/>
      <c r="AD964" s="106" t="s">
        <v>13</v>
      </c>
      <c r="AE964" s="38" t="s">
        <v>413</v>
      </c>
    </row>
    <row r="965" spans="1:31" ht="18" customHeight="1" x14ac:dyDescent="0.25">
      <c r="A9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5" s="79">
        <v>4</v>
      </c>
      <c r="C965" s="23">
        <v>44487</v>
      </c>
      <c r="D965" s="67">
        <f>IF(COUNTIF($G$2:$G965,$G965)=1,1,0)</f>
        <v>0</v>
      </c>
      <c r="E965" s="67" t="str">
        <f>IFERROR(VLOOKUP(База_КР_КК[[#This Row],[ИД штатной должности (S)]],'уровень защищенности'!$B$7:$F$1095,5,0),"не защищена")</f>
        <v>средний</v>
      </c>
      <c r="F965" s="68">
        <v>500653</v>
      </c>
      <c r="G965" s="74" t="s">
        <v>2351</v>
      </c>
      <c r="H965" s="181">
        <f>INDEX('Списки данных'!$D$2:$D$1048576,MATCH(База_КР_КК[[#This Row],[Структурное подразделение]],'Списки данных'!$C$2:$C$1048576,0))</f>
        <v>22</v>
      </c>
      <c r="I965" s="80" t="s">
        <v>135</v>
      </c>
      <c r="J965" s="80" t="s">
        <v>202</v>
      </c>
      <c r="K965" s="80" t="s">
        <v>203</v>
      </c>
      <c r="L965" s="30" t="s">
        <v>191</v>
      </c>
      <c r="M965" s="68">
        <v>7</v>
      </c>
      <c r="N965" s="181" t="str">
        <f t="shared" si="16"/>
        <v>нет</v>
      </c>
      <c r="O965" s="23"/>
      <c r="P965" s="23"/>
      <c r="Q965" s="106"/>
      <c r="R965" s="37">
        <v>191</v>
      </c>
      <c r="S965" s="39" t="s">
        <v>603</v>
      </c>
      <c r="T965" s="37">
        <v>1286</v>
      </c>
      <c r="U965" s="39" t="s">
        <v>1688</v>
      </c>
      <c r="V965" s="89" t="s">
        <v>272</v>
      </c>
      <c r="W965" s="89" t="s">
        <v>135</v>
      </c>
      <c r="X965" s="106" t="s">
        <v>297</v>
      </c>
      <c r="Y965" s="107" t="s">
        <v>12</v>
      </c>
      <c r="Z965" s="67">
        <f>IF(База_КР_КК[[#This Row],[Таб.номер резервиста]]="-","-",IF(OR(База_КР_КК[[#This Row],[Уровень КК]]=2,База_КР_КК[[#This Row],[Уровень КК]]=3),IF(COUNTIFS($U$2:$U965,$U965,$F$2:$F965,$F965)=1,1,0),IF(COUNTIFS($U$2:$U965,$U965,$L$2:$L965,$L965)=1,1,0)))</f>
        <v>0</v>
      </c>
      <c r="AA9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5" s="106"/>
      <c r="AC965" s="51"/>
      <c r="AD965" s="106" t="s">
        <v>13</v>
      </c>
      <c r="AE965" s="33" t="s">
        <v>413</v>
      </c>
    </row>
    <row r="966" spans="1:31" ht="18" customHeight="1" x14ac:dyDescent="0.25">
      <c r="A9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6" s="79">
        <v>4</v>
      </c>
      <c r="C966" s="23">
        <v>43733</v>
      </c>
      <c r="D966" s="67">
        <f>IF(COUNTIF($G$2:$G966,$G966)=1,1,0)</f>
        <v>0</v>
      </c>
      <c r="E966" s="67" t="str">
        <f>IFERROR(VLOOKUP(База_КР_КК[[#This Row],[ИД штатной должности (S)]],'уровень защищенности'!$B$7:$F$1095,5,0),"не защищена")</f>
        <v>средний</v>
      </c>
      <c r="F966" s="68">
        <v>500653</v>
      </c>
      <c r="G966" s="74" t="s">
        <v>2351</v>
      </c>
      <c r="H966" s="181">
        <f>INDEX('Списки данных'!$D$2:$D$1048576,MATCH(База_КР_КК[[#This Row],[Структурное подразделение]],'Списки данных'!$C$2:$C$1048576,0))</f>
        <v>22</v>
      </c>
      <c r="I966" s="80" t="s">
        <v>135</v>
      </c>
      <c r="J966" s="80" t="s">
        <v>202</v>
      </c>
      <c r="K966" s="80" t="s">
        <v>203</v>
      </c>
      <c r="L966" s="30" t="s">
        <v>191</v>
      </c>
      <c r="M966" s="68">
        <v>7</v>
      </c>
      <c r="N966" s="181" t="str">
        <f t="shared" si="16"/>
        <v>нет</v>
      </c>
      <c r="O966" s="23"/>
      <c r="P966" s="23"/>
      <c r="Q966" s="106"/>
      <c r="R966" s="37">
        <v>191</v>
      </c>
      <c r="S966" s="38" t="s">
        <v>603</v>
      </c>
      <c r="T966" s="37">
        <v>1283</v>
      </c>
      <c r="U966" s="39" t="s">
        <v>1685</v>
      </c>
      <c r="V966" s="89" t="s">
        <v>272</v>
      </c>
      <c r="W966" s="89" t="s">
        <v>135</v>
      </c>
      <c r="X966" s="106" t="s">
        <v>296</v>
      </c>
      <c r="Y966" s="107" t="s">
        <v>18</v>
      </c>
      <c r="Z966" s="67">
        <f>IF(База_КР_КК[[#This Row],[Таб.номер резервиста]]="-","-",IF(OR(База_КР_КК[[#This Row],[Уровень КК]]=2,База_КР_КК[[#This Row],[Уровень КК]]=3),IF(COUNTIFS($U$2:$U966,$U966,$F$2:$F966,$F966)=1,1,0),IF(COUNTIFS($U$2:$U966,$U966,$L$2:$L966,$L966)=1,1,0)))</f>
        <v>0</v>
      </c>
      <c r="AA9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6" s="106" t="s">
        <v>38</v>
      </c>
      <c r="AC966" s="51">
        <v>44487</v>
      </c>
      <c r="AD966" s="106" t="s">
        <v>31</v>
      </c>
      <c r="AE966" s="38" t="s">
        <v>324</v>
      </c>
    </row>
    <row r="967" spans="1:31" ht="18" customHeight="1" x14ac:dyDescent="0.25">
      <c r="A9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7" s="79">
        <v>4</v>
      </c>
      <c r="C967" s="23">
        <v>43733</v>
      </c>
      <c r="D967" s="67">
        <f>IF(COUNTIF($G$2:$G967,$G967)=1,1,0)</f>
        <v>0</v>
      </c>
      <c r="E967" s="67" t="str">
        <f>IFERROR(VLOOKUP(База_КР_КК[[#This Row],[ИД штатной должности (S)]],'уровень защищенности'!$B$7:$F$1095,5,0),"не защищена")</f>
        <v>средний</v>
      </c>
      <c r="F967" s="68">
        <v>500653</v>
      </c>
      <c r="G967" s="74" t="s">
        <v>2351</v>
      </c>
      <c r="H967" s="181">
        <f>INDEX('Списки данных'!$D$2:$D$1048576,MATCH(База_КР_КК[[#This Row],[Структурное подразделение]],'Списки данных'!$C$2:$C$1048576,0))</f>
        <v>22</v>
      </c>
      <c r="I967" s="80" t="s">
        <v>135</v>
      </c>
      <c r="J967" s="80" t="s">
        <v>202</v>
      </c>
      <c r="K967" s="80" t="s">
        <v>203</v>
      </c>
      <c r="L967" s="30" t="s">
        <v>191</v>
      </c>
      <c r="M967" s="68">
        <v>7</v>
      </c>
      <c r="N967" s="181" t="str">
        <f t="shared" si="16"/>
        <v>нет</v>
      </c>
      <c r="O967" s="23"/>
      <c r="P967" s="23"/>
      <c r="Q967" s="106"/>
      <c r="R967" s="37">
        <v>191</v>
      </c>
      <c r="S967" s="38" t="s">
        <v>603</v>
      </c>
      <c r="T967" s="37">
        <v>193</v>
      </c>
      <c r="U967" s="39" t="s">
        <v>605</v>
      </c>
      <c r="V967" s="89" t="s">
        <v>192</v>
      </c>
      <c r="W967" s="89" t="s">
        <v>135</v>
      </c>
      <c r="X967" s="106" t="s">
        <v>295</v>
      </c>
      <c r="Y967" s="107" t="s">
        <v>18</v>
      </c>
      <c r="Z967" s="67">
        <f>IF(База_КР_КК[[#This Row],[Таб.номер резервиста]]="-","-",IF(OR(База_КР_КК[[#This Row],[Уровень КК]]=2,База_КР_КК[[#This Row],[Уровень КК]]=3),IF(COUNTIFS($U$2:$U967,$U967,$F$2:$F967,$F967)=1,1,0),IF(COUNTIFS($U$2:$U967,$U967,$L$2:$L967,$L967)=1,1,0)))</f>
        <v>0</v>
      </c>
      <c r="AA9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7" s="106" t="s">
        <v>24</v>
      </c>
      <c r="AC967" s="51">
        <v>44256</v>
      </c>
      <c r="AD967" s="106" t="s">
        <v>13</v>
      </c>
      <c r="AE967" s="38" t="s">
        <v>323</v>
      </c>
    </row>
    <row r="968" spans="1:31" ht="18" customHeight="1" x14ac:dyDescent="0.25">
      <c r="A9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8" s="79">
        <v>4</v>
      </c>
      <c r="C968" s="23">
        <v>43733</v>
      </c>
      <c r="D968" s="67">
        <f>IF(COUNTIF($G$2:$G968,$G968)=1,1,0)</f>
        <v>0</v>
      </c>
      <c r="E968" s="67" t="str">
        <f>IFERROR(VLOOKUP(База_КР_КК[[#This Row],[ИД штатной должности (S)]],'уровень защищенности'!$B$7:$F$1095,5,0),"не защищена")</f>
        <v>средний</v>
      </c>
      <c r="F968" s="68">
        <v>500653</v>
      </c>
      <c r="G968" s="74" t="s">
        <v>2351</v>
      </c>
      <c r="H968" s="181">
        <f>INDEX('Списки данных'!$D$2:$D$1048576,MATCH(База_КР_КК[[#This Row],[Структурное подразделение]],'Списки данных'!$C$2:$C$1048576,0))</f>
        <v>22</v>
      </c>
      <c r="I968" s="80" t="s">
        <v>135</v>
      </c>
      <c r="J968" s="80" t="s">
        <v>202</v>
      </c>
      <c r="K968" s="80" t="s">
        <v>203</v>
      </c>
      <c r="L968" s="30" t="s">
        <v>191</v>
      </c>
      <c r="M968" s="68">
        <v>7</v>
      </c>
      <c r="N968" s="181" t="str">
        <f t="shared" si="16"/>
        <v>нет</v>
      </c>
      <c r="O968" s="23"/>
      <c r="P968" s="23"/>
      <c r="Q968" s="106"/>
      <c r="R968" s="37">
        <v>191</v>
      </c>
      <c r="S968" s="38" t="s">
        <v>603</v>
      </c>
      <c r="T968" s="37">
        <v>1287</v>
      </c>
      <c r="U968" s="39" t="s">
        <v>1689</v>
      </c>
      <c r="V968" s="89" t="s">
        <v>272</v>
      </c>
      <c r="W968" s="89" t="s">
        <v>135</v>
      </c>
      <c r="X968" s="106" t="s">
        <v>296</v>
      </c>
      <c r="Y968" s="107" t="s">
        <v>18</v>
      </c>
      <c r="Z968" s="67">
        <f>IF(База_КР_КК[[#This Row],[Таб.номер резервиста]]="-","-",IF(OR(База_КР_КК[[#This Row],[Уровень КК]]=2,База_КР_КК[[#This Row],[Уровень КК]]=3),IF(COUNTIFS($U$2:$U968,$U968,$F$2:$F968,$F968)=1,1,0),IF(COUNTIFS($U$2:$U968,$U968,$L$2:$L968,$L968)=1,1,0)))</f>
        <v>0</v>
      </c>
      <c r="AA9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8" s="106" t="s">
        <v>19</v>
      </c>
      <c r="AC968" s="51">
        <v>43780</v>
      </c>
      <c r="AD968" s="106" t="s">
        <v>15</v>
      </c>
      <c r="AE968" s="38" t="s">
        <v>326</v>
      </c>
    </row>
    <row r="969" spans="1:31" ht="18" customHeight="1" x14ac:dyDescent="0.25">
      <c r="A9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69" s="79">
        <v>4</v>
      </c>
      <c r="C969" s="23">
        <v>43733</v>
      </c>
      <c r="D969" s="67">
        <f>IF(COUNTIF($G$2:$G969,$G969)=1,1,0)</f>
        <v>1</v>
      </c>
      <c r="E969" s="67" t="str">
        <f>IFERROR(VLOOKUP(База_КР_КК[[#This Row],[ИД штатной должности (S)]],'уровень защищенности'!$B$7:$F$1095,5,0),"не защищена")</f>
        <v>средний</v>
      </c>
      <c r="F969" s="68">
        <v>500653</v>
      </c>
      <c r="G969" s="74" t="s">
        <v>2352</v>
      </c>
      <c r="H969" s="181">
        <f>INDEX('Списки данных'!$D$2:$D$1048576,MATCH(База_КР_КК[[#This Row],[Структурное подразделение]],'Списки данных'!$C$2:$C$1048576,0))</f>
        <v>22</v>
      </c>
      <c r="I969" s="80" t="s">
        <v>135</v>
      </c>
      <c r="J969" s="80" t="s">
        <v>202</v>
      </c>
      <c r="K969" s="80" t="s">
        <v>203</v>
      </c>
      <c r="L969" s="30" t="s">
        <v>191</v>
      </c>
      <c r="M969" s="68">
        <v>7</v>
      </c>
      <c r="N969" s="181" t="str">
        <f t="shared" si="16"/>
        <v>нет</v>
      </c>
      <c r="O969" s="23"/>
      <c r="P969" s="23"/>
      <c r="Q969" s="106"/>
      <c r="R969" s="37">
        <v>192</v>
      </c>
      <c r="S969" s="38" t="s">
        <v>604</v>
      </c>
      <c r="T969" s="37">
        <v>1285</v>
      </c>
      <c r="U969" s="39" t="s">
        <v>1687</v>
      </c>
      <c r="V969" s="89" t="s">
        <v>272</v>
      </c>
      <c r="W969" s="89" t="s">
        <v>135</v>
      </c>
      <c r="X969" s="106" t="s">
        <v>297</v>
      </c>
      <c r="Y969" s="107" t="s">
        <v>12</v>
      </c>
      <c r="Z969" s="67">
        <f>IF(База_КР_КК[[#This Row],[Таб.номер резервиста]]="-","-",IF(OR(База_КР_КК[[#This Row],[Уровень КК]]=2,База_КР_КК[[#This Row],[Уровень КК]]=3),IF(COUNTIFS($U$2:$U969,$U969,$F$2:$F969,$F969)=1,1,0),IF(COUNTIFS($U$2:$U969,$U969,$L$2:$L969,$L969)=1,1,0)))</f>
        <v>0</v>
      </c>
      <c r="AA9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69" s="106"/>
      <c r="AC969" s="51"/>
      <c r="AD969" s="106" t="s">
        <v>13</v>
      </c>
      <c r="AE969" s="38" t="s">
        <v>413</v>
      </c>
    </row>
    <row r="970" spans="1:31" ht="18" customHeight="1" x14ac:dyDescent="0.25">
      <c r="A9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0" s="79">
        <v>4</v>
      </c>
      <c r="C970" s="23">
        <v>44487</v>
      </c>
      <c r="D970" s="67">
        <f>IF(COUNTIF($G$2:$G970,$G970)=1,1,0)</f>
        <v>0</v>
      </c>
      <c r="E970" s="67" t="str">
        <f>IFERROR(VLOOKUP(База_КР_КК[[#This Row],[ИД штатной должности (S)]],'уровень защищенности'!$B$7:$F$1095,5,0),"не защищена")</f>
        <v>средний</v>
      </c>
      <c r="F970" s="68">
        <v>500653</v>
      </c>
      <c r="G970" s="74" t="s">
        <v>2352</v>
      </c>
      <c r="H970" s="181">
        <f>INDEX('Списки данных'!$D$2:$D$1048576,MATCH(База_КР_КК[[#This Row],[Структурное подразделение]],'Списки данных'!$C$2:$C$1048576,0))</f>
        <v>22</v>
      </c>
      <c r="I970" s="80" t="s">
        <v>135</v>
      </c>
      <c r="J970" s="80" t="s">
        <v>202</v>
      </c>
      <c r="K970" s="80" t="s">
        <v>203</v>
      </c>
      <c r="L970" s="30" t="s">
        <v>191</v>
      </c>
      <c r="M970" s="68">
        <v>7</v>
      </c>
      <c r="N970" s="181" t="str">
        <f t="shared" si="16"/>
        <v>нет</v>
      </c>
      <c r="O970" s="23"/>
      <c r="P970" s="23"/>
      <c r="Q970" s="106"/>
      <c r="R970" s="37">
        <v>192</v>
      </c>
      <c r="S970" s="39" t="s">
        <v>604</v>
      </c>
      <c r="T970" s="37">
        <v>1286</v>
      </c>
      <c r="U970" s="39" t="s">
        <v>1688</v>
      </c>
      <c r="V970" s="89" t="s">
        <v>272</v>
      </c>
      <c r="W970" s="89" t="s">
        <v>135</v>
      </c>
      <c r="X970" s="106" t="s">
        <v>297</v>
      </c>
      <c r="Y970" s="107" t="s">
        <v>12</v>
      </c>
      <c r="Z970" s="67">
        <f>IF(База_КР_КК[[#This Row],[Таб.номер резервиста]]="-","-",IF(OR(База_КР_КК[[#This Row],[Уровень КК]]=2,База_КР_КК[[#This Row],[Уровень КК]]=3),IF(COUNTIFS($U$2:$U970,$U970,$F$2:$F970,$F970)=1,1,0),IF(COUNTIFS($U$2:$U970,$U970,$L$2:$L970,$L970)=1,1,0)))</f>
        <v>0</v>
      </c>
      <c r="AA9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0" s="106"/>
      <c r="AC970" s="51"/>
      <c r="AD970" s="106" t="s">
        <v>13</v>
      </c>
      <c r="AE970" s="33" t="s">
        <v>413</v>
      </c>
    </row>
    <row r="971" spans="1:31" ht="18" customHeight="1" x14ac:dyDescent="0.25">
      <c r="A9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1" s="79">
        <v>4</v>
      </c>
      <c r="C971" s="23">
        <v>43733</v>
      </c>
      <c r="D971" s="67">
        <f>IF(COUNTIF($G$2:$G971,$G971)=1,1,0)</f>
        <v>0</v>
      </c>
      <c r="E971" s="67" t="str">
        <f>IFERROR(VLOOKUP(База_КР_КК[[#This Row],[ИД штатной должности (S)]],'уровень защищенности'!$B$7:$F$1095,5,0),"не защищена")</f>
        <v>средний</v>
      </c>
      <c r="F971" s="68">
        <v>500653</v>
      </c>
      <c r="G971" s="74" t="s">
        <v>2352</v>
      </c>
      <c r="H971" s="181">
        <f>INDEX('Списки данных'!$D$2:$D$1048576,MATCH(База_КР_КК[[#This Row],[Структурное подразделение]],'Списки данных'!$C$2:$C$1048576,0))</f>
        <v>22</v>
      </c>
      <c r="I971" s="80" t="s">
        <v>135</v>
      </c>
      <c r="J971" s="80" t="s">
        <v>202</v>
      </c>
      <c r="K971" s="80" t="s">
        <v>203</v>
      </c>
      <c r="L971" s="30" t="s">
        <v>191</v>
      </c>
      <c r="M971" s="68">
        <v>7</v>
      </c>
      <c r="N971" s="181" t="str">
        <f t="shared" si="16"/>
        <v>нет</v>
      </c>
      <c r="O971" s="23"/>
      <c r="P971" s="23"/>
      <c r="Q971" s="106"/>
      <c r="R971" s="37">
        <v>192</v>
      </c>
      <c r="S971" s="38" t="s">
        <v>604</v>
      </c>
      <c r="T971" s="37">
        <v>1283</v>
      </c>
      <c r="U971" s="39" t="s">
        <v>1685</v>
      </c>
      <c r="V971" s="89" t="s">
        <v>272</v>
      </c>
      <c r="W971" s="89" t="s">
        <v>135</v>
      </c>
      <c r="X971" s="106" t="s">
        <v>296</v>
      </c>
      <c r="Y971" s="107" t="s">
        <v>18</v>
      </c>
      <c r="Z971" s="67">
        <f>IF(База_КР_КК[[#This Row],[Таб.номер резервиста]]="-","-",IF(OR(База_КР_КК[[#This Row],[Уровень КК]]=2,База_КР_КК[[#This Row],[Уровень КК]]=3),IF(COUNTIFS($U$2:$U971,$U971,$F$2:$F971,$F971)=1,1,0),IF(COUNTIFS($U$2:$U971,$U971,$L$2:$L971,$L971)=1,1,0)))</f>
        <v>0</v>
      </c>
      <c r="AA9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1" s="106" t="s">
        <v>38</v>
      </c>
      <c r="AC971" s="51">
        <v>44487</v>
      </c>
      <c r="AD971" s="106" t="s">
        <v>31</v>
      </c>
      <c r="AE971" s="38" t="s">
        <v>324</v>
      </c>
    </row>
    <row r="972" spans="1:31" ht="18" customHeight="1" x14ac:dyDescent="0.25">
      <c r="A9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2" s="79">
        <v>4</v>
      </c>
      <c r="C972" s="23">
        <v>43733</v>
      </c>
      <c r="D972" s="67">
        <f>IF(COUNTIF($G$2:$G972,$G972)=1,1,0)</f>
        <v>0</v>
      </c>
      <c r="E972" s="67" t="str">
        <f>IFERROR(VLOOKUP(База_КР_КК[[#This Row],[ИД штатной должности (S)]],'уровень защищенности'!$B$7:$F$1095,5,0),"не защищена")</f>
        <v>средний</v>
      </c>
      <c r="F972" s="68">
        <v>500653</v>
      </c>
      <c r="G972" s="74" t="s">
        <v>2352</v>
      </c>
      <c r="H972" s="181">
        <f>INDEX('Списки данных'!$D$2:$D$1048576,MATCH(База_КР_КК[[#This Row],[Структурное подразделение]],'Списки данных'!$C$2:$C$1048576,0))</f>
        <v>22</v>
      </c>
      <c r="I972" s="80" t="s">
        <v>135</v>
      </c>
      <c r="J972" s="80" t="s">
        <v>202</v>
      </c>
      <c r="K972" s="80" t="s">
        <v>203</v>
      </c>
      <c r="L972" s="30" t="s">
        <v>191</v>
      </c>
      <c r="M972" s="68">
        <v>7</v>
      </c>
      <c r="N972" s="181" t="str">
        <f t="shared" si="16"/>
        <v>нет</v>
      </c>
      <c r="O972" s="23"/>
      <c r="P972" s="23"/>
      <c r="Q972" s="106"/>
      <c r="R972" s="37">
        <v>192</v>
      </c>
      <c r="S972" s="38" t="s">
        <v>604</v>
      </c>
      <c r="T972" s="37">
        <v>193</v>
      </c>
      <c r="U972" s="39" t="s">
        <v>605</v>
      </c>
      <c r="V972" s="89" t="s">
        <v>192</v>
      </c>
      <c r="W972" s="89" t="s">
        <v>135</v>
      </c>
      <c r="X972" s="106" t="s">
        <v>295</v>
      </c>
      <c r="Y972" s="107" t="s">
        <v>18</v>
      </c>
      <c r="Z972" s="67">
        <f>IF(База_КР_КК[[#This Row],[Таб.номер резервиста]]="-","-",IF(OR(База_КР_КК[[#This Row],[Уровень КК]]=2,База_КР_КК[[#This Row],[Уровень КК]]=3),IF(COUNTIFS($U$2:$U972,$U972,$F$2:$F972,$F972)=1,1,0),IF(COUNTIFS($U$2:$U972,$U972,$L$2:$L972,$L972)=1,1,0)))</f>
        <v>0</v>
      </c>
      <c r="AA9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2" s="106" t="s">
        <v>24</v>
      </c>
      <c r="AC972" s="51">
        <v>44256</v>
      </c>
      <c r="AD972" s="106" t="s">
        <v>13</v>
      </c>
      <c r="AE972" s="38" t="s">
        <v>323</v>
      </c>
    </row>
    <row r="973" spans="1:31" ht="18" customHeight="1" x14ac:dyDescent="0.25">
      <c r="A9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3" s="79">
        <v>4</v>
      </c>
      <c r="C973" s="23">
        <v>43733</v>
      </c>
      <c r="D973" s="67">
        <f>IF(COUNTIF($G$2:$G973,$G973)=1,1,0)</f>
        <v>0</v>
      </c>
      <c r="E973" s="67" t="str">
        <f>IFERROR(VLOOKUP(База_КР_КК[[#This Row],[ИД штатной должности (S)]],'уровень защищенности'!$B$7:$F$1095,5,0),"не защищена")</f>
        <v>средний</v>
      </c>
      <c r="F973" s="68">
        <v>500653</v>
      </c>
      <c r="G973" s="74" t="s">
        <v>2352</v>
      </c>
      <c r="H973" s="181">
        <f>INDEX('Списки данных'!$D$2:$D$1048576,MATCH(База_КР_КК[[#This Row],[Структурное подразделение]],'Списки данных'!$C$2:$C$1048576,0))</f>
        <v>22</v>
      </c>
      <c r="I973" s="80" t="s">
        <v>135</v>
      </c>
      <c r="J973" s="80" t="s">
        <v>202</v>
      </c>
      <c r="K973" s="80" t="s">
        <v>203</v>
      </c>
      <c r="L973" s="30" t="s">
        <v>191</v>
      </c>
      <c r="M973" s="68">
        <v>7</v>
      </c>
      <c r="N973" s="181" t="str">
        <f t="shared" si="16"/>
        <v>нет</v>
      </c>
      <c r="O973" s="23"/>
      <c r="P973" s="23"/>
      <c r="Q973" s="106"/>
      <c r="R973" s="37">
        <v>192</v>
      </c>
      <c r="S973" s="38" t="s">
        <v>604</v>
      </c>
      <c r="T973" s="37">
        <v>1287</v>
      </c>
      <c r="U973" s="39" t="s">
        <v>1689</v>
      </c>
      <c r="V973" s="89" t="s">
        <v>272</v>
      </c>
      <c r="W973" s="89" t="s">
        <v>135</v>
      </c>
      <c r="X973" s="106" t="s">
        <v>296</v>
      </c>
      <c r="Y973" s="107" t="s">
        <v>18</v>
      </c>
      <c r="Z973" s="67">
        <f>IF(База_КР_КК[[#This Row],[Таб.номер резервиста]]="-","-",IF(OR(База_КР_КК[[#This Row],[Уровень КК]]=2,База_КР_КК[[#This Row],[Уровень КК]]=3),IF(COUNTIFS($U$2:$U973,$U973,$F$2:$F973,$F973)=1,1,0),IF(COUNTIFS($U$2:$U973,$U973,$L$2:$L973,$L973)=1,1,0)))</f>
        <v>0</v>
      </c>
      <c r="AA9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3" s="106" t="s">
        <v>19</v>
      </c>
      <c r="AC973" s="51">
        <v>43780</v>
      </c>
      <c r="AD973" s="106" t="s">
        <v>15</v>
      </c>
      <c r="AE973" s="38" t="s">
        <v>326</v>
      </c>
    </row>
    <row r="974" spans="1:31" ht="18" customHeight="1" x14ac:dyDescent="0.25">
      <c r="A9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4" s="79">
        <v>4</v>
      </c>
      <c r="C974" s="23">
        <v>43733</v>
      </c>
      <c r="D974" s="67">
        <f>IF(COUNTIF($G$2:$G974,$G974)=1,1,0)</f>
        <v>1</v>
      </c>
      <c r="E974" s="67" t="str">
        <f>IFERROR(VLOOKUP(База_КР_КК[[#This Row],[ИД штатной должности (S)]],'уровень защищенности'!$B$7:$F$1095,5,0),"не защищена")</f>
        <v>средний</v>
      </c>
      <c r="F974" s="68">
        <v>500653</v>
      </c>
      <c r="G974" s="74" t="s">
        <v>2353</v>
      </c>
      <c r="H974" s="181">
        <f>INDEX('Списки данных'!$D$2:$D$1048576,MATCH(База_КР_КК[[#This Row],[Структурное подразделение]],'Списки данных'!$C$2:$C$1048576,0))</f>
        <v>22</v>
      </c>
      <c r="I974" s="80" t="s">
        <v>135</v>
      </c>
      <c r="J974" s="80" t="s">
        <v>202</v>
      </c>
      <c r="K974" s="80" t="s">
        <v>203</v>
      </c>
      <c r="L974" s="30" t="s">
        <v>191</v>
      </c>
      <c r="M974" s="68">
        <v>7</v>
      </c>
      <c r="N974" s="181" t="str">
        <f t="shared" si="16"/>
        <v>да</v>
      </c>
      <c r="O974" s="23">
        <v>44062</v>
      </c>
      <c r="P974" s="23">
        <v>44256</v>
      </c>
      <c r="Q974" s="106" t="s">
        <v>66</v>
      </c>
      <c r="R974" s="37">
        <v>193</v>
      </c>
      <c r="S974" s="39" t="s">
        <v>605</v>
      </c>
      <c r="T974" s="37">
        <v>1285</v>
      </c>
      <c r="U974" s="39" t="s">
        <v>1687</v>
      </c>
      <c r="V974" s="89" t="s">
        <v>272</v>
      </c>
      <c r="W974" s="89" t="s">
        <v>135</v>
      </c>
      <c r="X974" s="106" t="s">
        <v>297</v>
      </c>
      <c r="Y974" s="107" t="s">
        <v>12</v>
      </c>
      <c r="Z974" s="67">
        <f>IF(База_КР_КК[[#This Row],[Таб.номер резервиста]]="-","-",IF(OR(База_КР_КК[[#This Row],[Уровень КК]]=2,База_КР_КК[[#This Row],[Уровень КК]]=3),IF(COUNTIFS($U$2:$U974,$U974,$F$2:$F974,$F974)=1,1,0),IF(COUNTIFS($U$2:$U974,$U974,$L$2:$L974,$L974)=1,1,0)))</f>
        <v>0</v>
      </c>
      <c r="AA9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4" s="106"/>
      <c r="AC974" s="51"/>
      <c r="AD974" s="106" t="s">
        <v>13</v>
      </c>
      <c r="AE974" s="38" t="s">
        <v>413</v>
      </c>
    </row>
    <row r="975" spans="1:31" ht="18" customHeight="1" x14ac:dyDescent="0.25">
      <c r="A9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5" s="79">
        <v>4</v>
      </c>
      <c r="C975" s="23">
        <v>44487</v>
      </c>
      <c r="D975" s="67">
        <f>IF(COUNTIF($G$2:$G975,$G975)=1,1,0)</f>
        <v>0</v>
      </c>
      <c r="E975" s="67" t="str">
        <f>IFERROR(VLOOKUP(База_КР_КК[[#This Row],[ИД штатной должности (S)]],'уровень защищенности'!$B$7:$F$1095,5,0),"не защищена")</f>
        <v>средний</v>
      </c>
      <c r="F975" s="68">
        <v>500653</v>
      </c>
      <c r="G975" s="74" t="s">
        <v>2353</v>
      </c>
      <c r="H975" s="181">
        <f>INDEX('Списки данных'!$D$2:$D$1048576,MATCH(База_КР_КК[[#This Row],[Структурное подразделение]],'Списки данных'!$C$2:$C$1048576,0))</f>
        <v>22</v>
      </c>
      <c r="I975" s="80" t="s">
        <v>135</v>
      </c>
      <c r="J975" s="80" t="s">
        <v>202</v>
      </c>
      <c r="K975" s="80" t="s">
        <v>203</v>
      </c>
      <c r="L975" s="30" t="s">
        <v>191</v>
      </c>
      <c r="M975" s="68">
        <v>7</v>
      </c>
      <c r="N975" s="181" t="str">
        <f t="shared" si="16"/>
        <v>да</v>
      </c>
      <c r="O975" s="23">
        <v>44062</v>
      </c>
      <c r="P975" s="23">
        <v>44256</v>
      </c>
      <c r="Q975" s="106" t="s">
        <v>66</v>
      </c>
      <c r="R975" s="37">
        <v>193</v>
      </c>
      <c r="S975" s="39" t="s">
        <v>605</v>
      </c>
      <c r="T975" s="37">
        <v>1286</v>
      </c>
      <c r="U975" s="39" t="s">
        <v>1688</v>
      </c>
      <c r="V975" s="89" t="s">
        <v>272</v>
      </c>
      <c r="W975" s="89" t="s">
        <v>135</v>
      </c>
      <c r="X975" s="106" t="s">
        <v>297</v>
      </c>
      <c r="Y975" s="107" t="s">
        <v>12</v>
      </c>
      <c r="Z975" s="67">
        <f>IF(База_КР_КК[[#This Row],[Таб.номер резервиста]]="-","-",IF(OR(База_КР_КК[[#This Row],[Уровень КК]]=2,База_КР_КК[[#This Row],[Уровень КК]]=3),IF(COUNTIFS($U$2:$U975,$U975,$F$2:$F975,$F975)=1,1,0),IF(COUNTIFS($U$2:$U975,$U975,$L$2:$L975,$L975)=1,1,0)))</f>
        <v>0</v>
      </c>
      <c r="AA9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5" s="106"/>
      <c r="AC975" s="51"/>
      <c r="AD975" s="106" t="s">
        <v>13</v>
      </c>
      <c r="AE975" s="33" t="s">
        <v>413</v>
      </c>
    </row>
    <row r="976" spans="1:31" ht="18" customHeight="1" x14ac:dyDescent="0.25">
      <c r="A9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6" s="79">
        <v>4</v>
      </c>
      <c r="C976" s="23">
        <v>43733</v>
      </c>
      <c r="D976" s="67">
        <f>IF(COUNTIF($G$2:$G976,$G976)=1,1,0)</f>
        <v>0</v>
      </c>
      <c r="E976" s="67" t="str">
        <f>IFERROR(VLOOKUP(База_КР_КК[[#This Row],[ИД штатной должности (S)]],'уровень защищенности'!$B$7:$F$1095,5,0),"не защищена")</f>
        <v>средний</v>
      </c>
      <c r="F976" s="68">
        <v>500653</v>
      </c>
      <c r="G976" s="74" t="s">
        <v>2353</v>
      </c>
      <c r="H976" s="181">
        <f>INDEX('Списки данных'!$D$2:$D$1048576,MATCH(База_КР_КК[[#This Row],[Структурное подразделение]],'Списки данных'!$C$2:$C$1048576,0))</f>
        <v>22</v>
      </c>
      <c r="I976" s="80" t="s">
        <v>135</v>
      </c>
      <c r="J976" s="80" t="s">
        <v>202</v>
      </c>
      <c r="K976" s="80" t="s">
        <v>203</v>
      </c>
      <c r="L976" s="30" t="s">
        <v>191</v>
      </c>
      <c r="M976" s="68">
        <v>7</v>
      </c>
      <c r="N976" s="181" t="str">
        <f t="shared" si="16"/>
        <v>да</v>
      </c>
      <c r="O976" s="23">
        <v>44062</v>
      </c>
      <c r="P976" s="23">
        <v>44256</v>
      </c>
      <c r="Q976" s="106" t="s">
        <v>66</v>
      </c>
      <c r="R976" s="37">
        <v>193</v>
      </c>
      <c r="S976" s="38" t="s">
        <v>605</v>
      </c>
      <c r="T976" s="37">
        <v>193</v>
      </c>
      <c r="U976" s="39" t="s">
        <v>605</v>
      </c>
      <c r="V976" s="89" t="s">
        <v>192</v>
      </c>
      <c r="W976" s="89" t="s">
        <v>135</v>
      </c>
      <c r="X976" s="106" t="s">
        <v>295</v>
      </c>
      <c r="Y976" s="107" t="s">
        <v>14</v>
      </c>
      <c r="Z976" s="67">
        <f>IF(База_КР_КК[[#This Row],[Таб.номер резервиста]]="-","-",IF(OR(База_КР_КК[[#This Row],[Уровень КК]]=2,База_КР_КК[[#This Row],[Уровень КК]]=3),IF(COUNTIFS($U$2:$U976,$U976,$F$2:$F976,$F976)=1,1,0),IF(COUNTIFS($U$2:$U976,$U976,$L$2:$L976,$L976)=1,1,0)))</f>
        <v>0</v>
      </c>
      <c r="AA9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976" s="106" t="s">
        <v>24</v>
      </c>
      <c r="AC976" s="51">
        <v>44256</v>
      </c>
      <c r="AD976" s="106" t="s">
        <v>13</v>
      </c>
      <c r="AE976" s="38" t="s">
        <v>323</v>
      </c>
    </row>
    <row r="977" spans="1:31" ht="18" customHeight="1" x14ac:dyDescent="0.25">
      <c r="A9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7" s="79">
        <v>4</v>
      </c>
      <c r="C977" s="23">
        <v>43733</v>
      </c>
      <c r="D977" s="67">
        <f>IF(COUNTIF($G$2:$G977,$G977)=1,1,0)</f>
        <v>0</v>
      </c>
      <c r="E977" s="67" t="str">
        <f>IFERROR(VLOOKUP(База_КР_КК[[#This Row],[ИД штатной должности (S)]],'уровень защищенности'!$B$7:$F$1095,5,0),"не защищена")</f>
        <v>средний</v>
      </c>
      <c r="F977" s="68">
        <v>500653</v>
      </c>
      <c r="G977" s="74" t="s">
        <v>2353</v>
      </c>
      <c r="H977" s="181">
        <f>INDEX('Списки данных'!$D$2:$D$1048576,MATCH(База_КР_КК[[#This Row],[Структурное подразделение]],'Списки данных'!$C$2:$C$1048576,0))</f>
        <v>22</v>
      </c>
      <c r="I977" s="80" t="s">
        <v>135</v>
      </c>
      <c r="J977" s="80" t="s">
        <v>202</v>
      </c>
      <c r="K977" s="80" t="s">
        <v>203</v>
      </c>
      <c r="L977" s="30" t="s">
        <v>191</v>
      </c>
      <c r="M977" s="68">
        <v>7</v>
      </c>
      <c r="N977" s="181" t="str">
        <f t="shared" si="16"/>
        <v>да</v>
      </c>
      <c r="O977" s="23">
        <v>44062</v>
      </c>
      <c r="P977" s="23">
        <v>44256</v>
      </c>
      <c r="Q977" s="106" t="s">
        <v>66</v>
      </c>
      <c r="R977" s="37">
        <v>193</v>
      </c>
      <c r="S977" s="39" t="s">
        <v>605</v>
      </c>
      <c r="T977" s="37">
        <v>1283</v>
      </c>
      <c r="U977" s="39" t="s">
        <v>1685</v>
      </c>
      <c r="V977" s="89" t="s">
        <v>272</v>
      </c>
      <c r="W977" s="89" t="s">
        <v>135</v>
      </c>
      <c r="X977" s="106" t="s">
        <v>296</v>
      </c>
      <c r="Y977" s="107" t="s">
        <v>18</v>
      </c>
      <c r="Z977" s="67">
        <f>IF(База_КР_КК[[#This Row],[Таб.номер резервиста]]="-","-",IF(OR(База_КР_КК[[#This Row],[Уровень КК]]=2,База_КР_КК[[#This Row],[Уровень КК]]=3),IF(COUNTIFS($U$2:$U977,$U977,$F$2:$F977,$F977)=1,1,0),IF(COUNTIFS($U$2:$U977,$U977,$L$2:$L977,$L977)=1,1,0)))</f>
        <v>0</v>
      </c>
      <c r="AA9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7" s="106" t="s">
        <v>38</v>
      </c>
      <c r="AC977" s="51">
        <v>44487</v>
      </c>
      <c r="AD977" s="106" t="s">
        <v>31</v>
      </c>
      <c r="AE977" s="38" t="s">
        <v>324</v>
      </c>
    </row>
    <row r="978" spans="1:31" ht="18" customHeight="1" x14ac:dyDescent="0.25">
      <c r="A9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8" s="79">
        <v>4</v>
      </c>
      <c r="C978" s="23">
        <v>43733</v>
      </c>
      <c r="D978" s="67">
        <f>IF(COUNTIF($G$2:$G978,$G978)=1,1,0)</f>
        <v>0</v>
      </c>
      <c r="E978" s="67" t="str">
        <f>IFERROR(VLOOKUP(База_КР_КК[[#This Row],[ИД штатной должности (S)]],'уровень защищенности'!$B$7:$F$1095,5,0),"не защищена")</f>
        <v>средний</v>
      </c>
      <c r="F978" s="68">
        <v>500653</v>
      </c>
      <c r="G978" s="74" t="s">
        <v>2353</v>
      </c>
      <c r="H978" s="181">
        <f>INDEX('Списки данных'!$D$2:$D$1048576,MATCH(База_КР_КК[[#This Row],[Структурное подразделение]],'Списки данных'!$C$2:$C$1048576,0))</f>
        <v>22</v>
      </c>
      <c r="I978" s="80" t="s">
        <v>135</v>
      </c>
      <c r="J978" s="80" t="s">
        <v>202</v>
      </c>
      <c r="K978" s="80" t="s">
        <v>203</v>
      </c>
      <c r="L978" s="30" t="s">
        <v>191</v>
      </c>
      <c r="M978" s="68">
        <v>7</v>
      </c>
      <c r="N978" s="181" t="str">
        <f t="shared" si="16"/>
        <v>да</v>
      </c>
      <c r="O978" s="23">
        <v>44062</v>
      </c>
      <c r="P978" s="23">
        <v>44256</v>
      </c>
      <c r="Q978" s="106" t="s">
        <v>66</v>
      </c>
      <c r="R978" s="37">
        <v>193</v>
      </c>
      <c r="S978" s="38" t="s">
        <v>605</v>
      </c>
      <c r="T978" s="37">
        <v>1287</v>
      </c>
      <c r="U978" s="39" t="s">
        <v>1689</v>
      </c>
      <c r="V978" s="89" t="s">
        <v>272</v>
      </c>
      <c r="W978" s="89" t="s">
        <v>135</v>
      </c>
      <c r="X978" s="106" t="s">
        <v>296</v>
      </c>
      <c r="Y978" s="107" t="s">
        <v>18</v>
      </c>
      <c r="Z978" s="67">
        <f>IF(База_КР_КК[[#This Row],[Таб.номер резервиста]]="-","-",IF(OR(База_КР_КК[[#This Row],[Уровень КК]]=2,База_КР_КК[[#This Row],[Уровень КК]]=3),IF(COUNTIFS($U$2:$U978,$U978,$F$2:$F978,$F978)=1,1,0),IF(COUNTIFS($U$2:$U978,$U978,$L$2:$L978,$L978)=1,1,0)))</f>
        <v>0</v>
      </c>
      <c r="AA9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8" s="106" t="s">
        <v>19</v>
      </c>
      <c r="AC978" s="51">
        <v>43780</v>
      </c>
      <c r="AD978" s="106" t="s">
        <v>15</v>
      </c>
      <c r="AE978" s="38" t="s">
        <v>326</v>
      </c>
    </row>
    <row r="979" spans="1:31" ht="18" customHeight="1" x14ac:dyDescent="0.25">
      <c r="A9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79" s="79">
        <v>4</v>
      </c>
      <c r="C979" s="23">
        <v>43733</v>
      </c>
      <c r="D979" s="67">
        <f>IF(COUNTIF($G$2:$G979,$G979)=1,1,0)</f>
        <v>1</v>
      </c>
      <c r="E979" s="67" t="str">
        <f>IFERROR(VLOOKUP(База_КР_КК[[#This Row],[ИД штатной должности (S)]],'уровень защищенности'!$B$7:$F$1095,5,0),"не защищена")</f>
        <v>высокий</v>
      </c>
      <c r="F979" s="68">
        <v>500654</v>
      </c>
      <c r="G979" s="74" t="s">
        <v>2354</v>
      </c>
      <c r="H979" s="181">
        <f>INDEX('Списки данных'!$D$2:$D$1048576,MATCH(База_КР_КК[[#This Row],[Структурное подразделение]],'Списки данных'!$C$2:$C$1048576,0))</f>
        <v>22</v>
      </c>
      <c r="I979" s="80" t="s">
        <v>135</v>
      </c>
      <c r="J979" s="80" t="s">
        <v>202</v>
      </c>
      <c r="K979" s="80" t="s">
        <v>203</v>
      </c>
      <c r="L979" s="30" t="s">
        <v>189</v>
      </c>
      <c r="M979" s="68">
        <v>6</v>
      </c>
      <c r="N979" s="181" t="str">
        <f t="shared" si="16"/>
        <v>нет</v>
      </c>
      <c r="O979" s="23"/>
      <c r="P979" s="23"/>
      <c r="Q979" s="106"/>
      <c r="R979" s="37">
        <v>194</v>
      </c>
      <c r="S979" s="38" t="s">
        <v>606</v>
      </c>
      <c r="T979" s="37">
        <v>198</v>
      </c>
      <c r="U979" s="39" t="s">
        <v>610</v>
      </c>
      <c r="V979" s="89" t="s">
        <v>192</v>
      </c>
      <c r="W979" s="89" t="s">
        <v>135</v>
      </c>
      <c r="X979" s="106" t="s">
        <v>295</v>
      </c>
      <c r="Y979" s="107" t="s">
        <v>12</v>
      </c>
      <c r="Z979" s="67">
        <f>IF(База_КР_КК[[#This Row],[Таб.номер резервиста]]="-","-",IF(OR(База_КР_КК[[#This Row],[Уровень КК]]=2,База_КР_КК[[#This Row],[Уровень КК]]=3),IF(COUNTIFS($U$2:$U979,$U979,$F$2:$F979,$F979)=1,1,0),IF(COUNTIFS($U$2:$U979,$U979,$L$2:$L979,$L979)=1,1,0)))</f>
        <v>0</v>
      </c>
      <c r="AA9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79" s="106"/>
      <c r="AC979" s="51"/>
      <c r="AD979" s="106" t="s">
        <v>13</v>
      </c>
      <c r="AE979" s="38" t="s">
        <v>413</v>
      </c>
    </row>
    <row r="980" spans="1:31" ht="18" customHeight="1" x14ac:dyDescent="0.25">
      <c r="A9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0" s="79">
        <v>4</v>
      </c>
      <c r="C980" s="23">
        <v>43733</v>
      </c>
      <c r="D980" s="67">
        <f>IF(COUNTIF($G$2:$G980,$G980)=1,1,0)</f>
        <v>0</v>
      </c>
      <c r="E980" s="67" t="str">
        <f>IFERROR(VLOOKUP(База_КР_КК[[#This Row],[ИД штатной должности (S)]],'уровень защищенности'!$B$7:$F$1095,5,0),"не защищена")</f>
        <v>высокий</v>
      </c>
      <c r="F980" s="68">
        <v>500654</v>
      </c>
      <c r="G980" s="74" t="s">
        <v>2354</v>
      </c>
      <c r="H980" s="181">
        <f>INDEX('Списки данных'!$D$2:$D$1048576,MATCH(База_КР_КК[[#This Row],[Структурное подразделение]],'Списки данных'!$C$2:$C$1048576,0))</f>
        <v>22</v>
      </c>
      <c r="I980" s="80" t="s">
        <v>135</v>
      </c>
      <c r="J980" s="80" t="s">
        <v>202</v>
      </c>
      <c r="K980" s="80" t="s">
        <v>203</v>
      </c>
      <c r="L980" s="30" t="s">
        <v>189</v>
      </c>
      <c r="M980" s="68">
        <v>6</v>
      </c>
      <c r="N980" s="181" t="str">
        <f t="shared" si="16"/>
        <v>нет</v>
      </c>
      <c r="O980" s="23"/>
      <c r="P980" s="23"/>
      <c r="Q980" s="106"/>
      <c r="R980" s="37">
        <v>194</v>
      </c>
      <c r="S980" s="38" t="s">
        <v>606</v>
      </c>
      <c r="T980" s="37">
        <v>1275</v>
      </c>
      <c r="U980" s="39" t="s">
        <v>1677</v>
      </c>
      <c r="V980" s="89" t="s">
        <v>272</v>
      </c>
      <c r="W980" s="89" t="s">
        <v>135</v>
      </c>
      <c r="X980" s="106" t="s">
        <v>295</v>
      </c>
      <c r="Y980" s="107" t="s">
        <v>12</v>
      </c>
      <c r="Z980" s="67">
        <f>IF(База_КР_КК[[#This Row],[Таб.номер резервиста]]="-","-",IF(OR(База_КР_КК[[#This Row],[Уровень КК]]=2,База_КР_КК[[#This Row],[Уровень КК]]=3),IF(COUNTIFS($U$2:$U980,$U980,$F$2:$F980,$F980)=1,1,0),IF(COUNTIFS($U$2:$U980,$U980,$L$2:$L980,$L980)=1,1,0)))</f>
        <v>0</v>
      </c>
      <c r="AA9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0" s="106"/>
      <c r="AC980" s="51"/>
      <c r="AD980" s="106" t="s">
        <v>13</v>
      </c>
      <c r="AE980" s="38" t="s">
        <v>413</v>
      </c>
    </row>
    <row r="981" spans="1:31" ht="18" customHeight="1" x14ac:dyDescent="0.25">
      <c r="A9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1" s="79">
        <v>4</v>
      </c>
      <c r="C981" s="23">
        <v>43733</v>
      </c>
      <c r="D981" s="67">
        <f>IF(COUNTIF($G$2:$G981,$G981)=1,1,0)</f>
        <v>1</v>
      </c>
      <c r="E981" s="67" t="str">
        <f>IFERROR(VLOOKUP(База_КР_КК[[#This Row],[ИД штатной должности (S)]],'уровень защищенности'!$B$7:$F$1095,5,0),"не защищена")</f>
        <v>высокий</v>
      </c>
      <c r="F981" s="68">
        <v>500655</v>
      </c>
      <c r="G981" s="74" t="s">
        <v>2355</v>
      </c>
      <c r="H981" s="181">
        <f>INDEX('Списки данных'!$D$2:$D$1048576,MATCH(База_КР_КК[[#This Row],[Структурное подразделение]],'Списки данных'!$C$2:$C$1048576,0))</f>
        <v>22</v>
      </c>
      <c r="I981" s="80" t="s">
        <v>135</v>
      </c>
      <c r="J981" s="80" t="s">
        <v>202</v>
      </c>
      <c r="K981" s="80" t="s">
        <v>203</v>
      </c>
      <c r="L981" s="30" t="s">
        <v>191</v>
      </c>
      <c r="M981" s="68">
        <v>7</v>
      </c>
      <c r="N981" s="181" t="str">
        <f t="shared" si="16"/>
        <v>нет</v>
      </c>
      <c r="O981" s="23"/>
      <c r="P981" s="23"/>
      <c r="Q981" s="106"/>
      <c r="R981" s="37">
        <v>195</v>
      </c>
      <c r="S981" s="38" t="s">
        <v>607</v>
      </c>
      <c r="T981" s="37">
        <v>1276</v>
      </c>
      <c r="U981" s="39" t="s">
        <v>1678</v>
      </c>
      <c r="V981" s="89" t="s">
        <v>272</v>
      </c>
      <c r="W981" s="89" t="s">
        <v>135</v>
      </c>
      <c r="X981" s="106" t="s">
        <v>295</v>
      </c>
      <c r="Y981" s="107" t="s">
        <v>12</v>
      </c>
      <c r="Z981" s="67">
        <f>IF(База_КР_КК[[#This Row],[Таб.номер резервиста]]="-","-",IF(OR(База_КР_КК[[#This Row],[Уровень КК]]=2,База_КР_КК[[#This Row],[Уровень КК]]=3),IF(COUNTIFS($U$2:$U981,$U981,$F$2:$F981,$F981)=1,1,0),IF(COUNTIFS($U$2:$U981,$U981,$L$2:$L981,$L981)=1,1,0)))</f>
        <v>0</v>
      </c>
      <c r="AA9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1" s="106"/>
      <c r="AC981" s="51"/>
      <c r="AD981" s="106" t="s">
        <v>13</v>
      </c>
      <c r="AE981" s="38" t="s">
        <v>413</v>
      </c>
    </row>
    <row r="982" spans="1:31" ht="18" customHeight="1" x14ac:dyDescent="0.25">
      <c r="A9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2" s="79">
        <v>4</v>
      </c>
      <c r="C982" s="23">
        <v>43733</v>
      </c>
      <c r="D982" s="67">
        <f>IF(COUNTIF($G$2:$G982,$G982)=1,1,0)</f>
        <v>0</v>
      </c>
      <c r="E982" s="67" t="str">
        <f>IFERROR(VLOOKUP(База_КР_КК[[#This Row],[ИД штатной должности (S)]],'уровень защищенности'!$B$7:$F$1095,5,0),"не защищена")</f>
        <v>высокий</v>
      </c>
      <c r="F982" s="68">
        <v>500655</v>
      </c>
      <c r="G982" s="74" t="s">
        <v>2355</v>
      </c>
      <c r="H982" s="181">
        <f>INDEX('Списки данных'!$D$2:$D$1048576,MATCH(База_КР_КК[[#This Row],[Структурное подразделение]],'Списки данных'!$C$2:$C$1048576,0))</f>
        <v>22</v>
      </c>
      <c r="I982" s="80" t="s">
        <v>135</v>
      </c>
      <c r="J982" s="80" t="s">
        <v>202</v>
      </c>
      <c r="K982" s="80" t="s">
        <v>203</v>
      </c>
      <c r="L982" s="30" t="s">
        <v>191</v>
      </c>
      <c r="M982" s="68">
        <v>7</v>
      </c>
      <c r="N982" s="181" t="str">
        <f t="shared" si="16"/>
        <v>нет</v>
      </c>
      <c r="O982" s="23"/>
      <c r="P982" s="23"/>
      <c r="Q982" s="106"/>
      <c r="R982" s="37">
        <v>195</v>
      </c>
      <c r="S982" s="38" t="s">
        <v>607</v>
      </c>
      <c r="T982" s="37">
        <v>1275</v>
      </c>
      <c r="U982" s="39" t="s">
        <v>1677</v>
      </c>
      <c r="V982" s="89" t="s">
        <v>272</v>
      </c>
      <c r="W982" s="89" t="s">
        <v>135</v>
      </c>
      <c r="X982" s="106" t="s">
        <v>295</v>
      </c>
      <c r="Y982" s="107" t="s">
        <v>12</v>
      </c>
      <c r="Z982" s="67">
        <f>IF(База_КР_КК[[#This Row],[Таб.номер резервиста]]="-","-",IF(OR(База_КР_КК[[#This Row],[Уровень КК]]=2,База_КР_КК[[#This Row],[Уровень КК]]=3),IF(COUNTIFS($U$2:$U982,$U982,$F$2:$F982,$F982)=1,1,0),IF(COUNTIFS($U$2:$U982,$U982,$L$2:$L982,$L982)=1,1,0)))</f>
        <v>0</v>
      </c>
      <c r="AA9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2" s="106"/>
      <c r="AC982" s="51"/>
      <c r="AD982" s="106" t="s">
        <v>13</v>
      </c>
      <c r="AE982" s="38" t="s">
        <v>413</v>
      </c>
    </row>
    <row r="983" spans="1:31" ht="18" customHeight="1" x14ac:dyDescent="0.25">
      <c r="A9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3" s="79">
        <v>4</v>
      </c>
      <c r="C983" s="23">
        <v>43733</v>
      </c>
      <c r="D983" s="67">
        <f>IF(COUNTIF($G$2:$G983,$G983)=1,1,0)</f>
        <v>0</v>
      </c>
      <c r="E983" s="67" t="str">
        <f>IFERROR(VLOOKUP(База_КР_КК[[#This Row],[ИД штатной должности (S)]],'уровень защищенности'!$B$7:$F$1095,5,0),"не защищена")</f>
        <v>высокий</v>
      </c>
      <c r="F983" s="68">
        <v>500655</v>
      </c>
      <c r="G983" s="74" t="s">
        <v>2355</v>
      </c>
      <c r="H983" s="181">
        <f>INDEX('Списки данных'!$D$2:$D$1048576,MATCH(База_КР_КК[[#This Row],[Структурное подразделение]],'Списки данных'!$C$2:$C$1048576,0))</f>
        <v>22</v>
      </c>
      <c r="I983" s="80" t="s">
        <v>135</v>
      </c>
      <c r="J983" s="80" t="s">
        <v>202</v>
      </c>
      <c r="K983" s="80" t="s">
        <v>203</v>
      </c>
      <c r="L983" s="30" t="s">
        <v>191</v>
      </c>
      <c r="M983" s="68">
        <v>7</v>
      </c>
      <c r="N983" s="181" t="str">
        <f t="shared" si="16"/>
        <v>нет</v>
      </c>
      <c r="O983" s="23"/>
      <c r="P983" s="23"/>
      <c r="Q983" s="106"/>
      <c r="R983" s="37">
        <v>195</v>
      </c>
      <c r="S983" s="38" t="s">
        <v>607</v>
      </c>
      <c r="T983" s="37">
        <v>1277</v>
      </c>
      <c r="U983" s="39" t="s">
        <v>1679</v>
      </c>
      <c r="V983" s="89" t="s">
        <v>272</v>
      </c>
      <c r="W983" s="89" t="s">
        <v>135</v>
      </c>
      <c r="X983" s="106" t="s">
        <v>295</v>
      </c>
      <c r="Y983" s="107" t="s">
        <v>12</v>
      </c>
      <c r="Z983" s="67">
        <f>IF(База_КР_КК[[#This Row],[Таб.номер резервиста]]="-","-",IF(OR(База_КР_КК[[#This Row],[Уровень КК]]=2,База_КР_КК[[#This Row],[Уровень КК]]=3),IF(COUNTIFS($U$2:$U983,$U983,$F$2:$F983,$F983)=1,1,0),IF(COUNTIFS($U$2:$U983,$U983,$L$2:$L983,$L983)=1,1,0)))</f>
        <v>0</v>
      </c>
      <c r="AA9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3" s="106"/>
      <c r="AC983" s="51"/>
      <c r="AD983" s="106" t="s">
        <v>13</v>
      </c>
      <c r="AE983" s="38" t="s">
        <v>413</v>
      </c>
    </row>
    <row r="984" spans="1:31" ht="18" customHeight="1" x14ac:dyDescent="0.25">
      <c r="A9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4" s="79">
        <v>4</v>
      </c>
      <c r="C984" s="23">
        <v>44879</v>
      </c>
      <c r="D984" s="67">
        <f>IF(COUNTIF($G$2:$G984,$G984)=1,1,0)</f>
        <v>0</v>
      </c>
      <c r="E984" s="67" t="str">
        <f>IFERROR(VLOOKUP(База_КР_КК[[#This Row],[ИД штатной должности (S)]],'уровень защищенности'!$B$7:$F$1095,5,0),"не защищена")</f>
        <v>высокий</v>
      </c>
      <c r="F984" s="68">
        <v>500655</v>
      </c>
      <c r="G984" s="74" t="s">
        <v>2355</v>
      </c>
      <c r="H984" s="181">
        <f>INDEX('Списки данных'!$D$2:$D$1048576,MATCH(База_КР_КК[[#This Row],[Структурное подразделение]],'Списки данных'!$C$2:$C$1048576,0))</f>
        <v>22</v>
      </c>
      <c r="I984" s="80" t="s">
        <v>135</v>
      </c>
      <c r="J984" s="80" t="s">
        <v>202</v>
      </c>
      <c r="K984" s="80" t="s">
        <v>203</v>
      </c>
      <c r="L984" s="30" t="s">
        <v>191</v>
      </c>
      <c r="M984" s="68">
        <v>7</v>
      </c>
      <c r="N984" s="181" t="str">
        <f t="shared" si="16"/>
        <v>нет</v>
      </c>
      <c r="O984" s="23"/>
      <c r="P984" s="23"/>
      <c r="Q984" s="106"/>
      <c r="R984" s="37">
        <v>195</v>
      </c>
      <c r="S984" s="38" t="s">
        <v>607</v>
      </c>
      <c r="T984" s="37">
        <v>1278</v>
      </c>
      <c r="U984" s="38" t="s">
        <v>1680</v>
      </c>
      <c r="V984" s="69" t="s">
        <v>272</v>
      </c>
      <c r="W984" s="89" t="s">
        <v>135</v>
      </c>
      <c r="X984" s="106" t="s">
        <v>296</v>
      </c>
      <c r="Y984" s="107" t="s">
        <v>12</v>
      </c>
      <c r="Z984" s="67">
        <f>IF(База_КР_КК[[#This Row],[Таб.номер резервиста]]="-","-",IF(OR(База_КР_КК[[#This Row],[Уровень КК]]=2,База_КР_КК[[#This Row],[Уровень КК]]=3),IF(COUNTIFS($U$2:$U984,$U984,$F$2:$F984,$F984)=1,1,0),IF(COUNTIFS($U$2:$U984,$U984,$L$2:$L984,$L984)=1,1,0)))</f>
        <v>0</v>
      </c>
      <c r="AA9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4" s="106"/>
      <c r="AC984" s="51"/>
      <c r="AD984" s="106" t="s">
        <v>15</v>
      </c>
      <c r="AE984" s="33" t="s">
        <v>413</v>
      </c>
    </row>
    <row r="985" spans="1:31" ht="18" customHeight="1" x14ac:dyDescent="0.25">
      <c r="A9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5" s="79">
        <v>4</v>
      </c>
      <c r="C985" s="23">
        <v>44879</v>
      </c>
      <c r="D985" s="67">
        <f>IF(COUNTIF($G$2:$G985,$G985)=1,1,0)</f>
        <v>0</v>
      </c>
      <c r="E985" s="67" t="str">
        <f>IFERROR(VLOOKUP(База_КР_КК[[#This Row],[ИД штатной должности (S)]],'уровень защищенности'!$B$7:$F$1095,5,0),"не защищена")</f>
        <v>высокий</v>
      </c>
      <c r="F985" s="68">
        <v>500655</v>
      </c>
      <c r="G985" s="74" t="s">
        <v>2355</v>
      </c>
      <c r="H985" s="181">
        <f>INDEX('Списки данных'!$D$2:$D$1048576,MATCH(База_КР_КК[[#This Row],[Структурное подразделение]],'Списки данных'!$C$2:$C$1048576,0))</f>
        <v>22</v>
      </c>
      <c r="I985" s="80" t="s">
        <v>135</v>
      </c>
      <c r="J985" s="80" t="s">
        <v>202</v>
      </c>
      <c r="K985" s="80" t="s">
        <v>203</v>
      </c>
      <c r="L985" s="30" t="s">
        <v>191</v>
      </c>
      <c r="M985" s="68">
        <v>7</v>
      </c>
      <c r="N985" s="181" t="str">
        <f t="shared" si="16"/>
        <v>нет</v>
      </c>
      <c r="O985" s="23"/>
      <c r="P985" s="23"/>
      <c r="Q985" s="106"/>
      <c r="R985" s="37">
        <v>195</v>
      </c>
      <c r="S985" s="38" t="s">
        <v>607</v>
      </c>
      <c r="T985" s="37">
        <v>1279</v>
      </c>
      <c r="U985" s="38" t="s">
        <v>1681</v>
      </c>
      <c r="V985" s="69" t="s">
        <v>272</v>
      </c>
      <c r="W985" s="89" t="s">
        <v>135</v>
      </c>
      <c r="X985" s="106" t="s">
        <v>296</v>
      </c>
      <c r="Y985" s="107" t="s">
        <v>12</v>
      </c>
      <c r="Z985" s="67">
        <f>IF(База_КР_КК[[#This Row],[Таб.номер резервиста]]="-","-",IF(OR(База_КР_КК[[#This Row],[Уровень КК]]=2,База_КР_КК[[#This Row],[Уровень КК]]=3),IF(COUNTIFS($U$2:$U985,$U985,$F$2:$F985,$F985)=1,1,0),IF(COUNTIFS($U$2:$U985,$U985,$L$2:$L985,$L985)=1,1,0)))</f>
        <v>0</v>
      </c>
      <c r="AA9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5" s="106"/>
      <c r="AC985" s="51"/>
      <c r="AD985" s="106" t="s">
        <v>15</v>
      </c>
      <c r="AE985" s="33" t="s">
        <v>413</v>
      </c>
    </row>
    <row r="986" spans="1:31" ht="18" customHeight="1" x14ac:dyDescent="0.25">
      <c r="A9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6" s="79">
        <v>4</v>
      </c>
      <c r="C986" s="23">
        <v>44879</v>
      </c>
      <c r="D986" s="67">
        <f>IF(COUNTIF($G$2:$G986,$G986)=1,1,0)</f>
        <v>0</v>
      </c>
      <c r="E986" s="67" t="str">
        <f>IFERROR(VLOOKUP(База_КР_КК[[#This Row],[ИД штатной должности (S)]],'уровень защищенности'!$B$7:$F$1095,5,0),"не защищена")</f>
        <v>высокий</v>
      </c>
      <c r="F986" s="68">
        <v>500655</v>
      </c>
      <c r="G986" s="74" t="s">
        <v>2355</v>
      </c>
      <c r="H986" s="181">
        <f>INDEX('Списки данных'!$D$2:$D$1048576,MATCH(База_КР_КК[[#This Row],[Структурное подразделение]],'Списки данных'!$C$2:$C$1048576,0))</f>
        <v>22</v>
      </c>
      <c r="I986" s="80" t="s">
        <v>135</v>
      </c>
      <c r="J986" s="80" t="s">
        <v>202</v>
      </c>
      <c r="K986" s="80" t="s">
        <v>203</v>
      </c>
      <c r="L986" s="30" t="s">
        <v>191</v>
      </c>
      <c r="M986" s="68">
        <v>7</v>
      </c>
      <c r="N986" s="181" t="str">
        <f t="shared" si="16"/>
        <v>нет</v>
      </c>
      <c r="O986" s="23"/>
      <c r="P986" s="23"/>
      <c r="Q986" s="106"/>
      <c r="R986" s="37">
        <v>195</v>
      </c>
      <c r="S986" s="38" t="s">
        <v>607</v>
      </c>
      <c r="T986" s="37">
        <v>1280</v>
      </c>
      <c r="U986" s="38" t="s">
        <v>1682</v>
      </c>
      <c r="V986" s="69" t="s">
        <v>272</v>
      </c>
      <c r="W986" s="89" t="s">
        <v>135</v>
      </c>
      <c r="X986" s="106" t="s">
        <v>296</v>
      </c>
      <c r="Y986" s="107" t="s">
        <v>12</v>
      </c>
      <c r="Z986" s="67">
        <f>IF(База_КР_КК[[#This Row],[Таб.номер резервиста]]="-","-",IF(OR(База_КР_КК[[#This Row],[Уровень КК]]=2,База_КР_КК[[#This Row],[Уровень КК]]=3),IF(COUNTIFS($U$2:$U986,$U986,$F$2:$F986,$F986)=1,1,0),IF(COUNTIFS($U$2:$U986,$U986,$L$2:$L986,$L986)=1,1,0)))</f>
        <v>0</v>
      </c>
      <c r="AA9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6" s="106"/>
      <c r="AC986" s="51"/>
      <c r="AD986" s="106" t="s">
        <v>15</v>
      </c>
      <c r="AE986" s="33" t="s">
        <v>413</v>
      </c>
    </row>
    <row r="987" spans="1:31" ht="18" customHeight="1" x14ac:dyDescent="0.25">
      <c r="A9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7" s="79">
        <v>4</v>
      </c>
      <c r="C987" s="23">
        <v>44879</v>
      </c>
      <c r="D987" s="67">
        <f>IF(COUNTIF($G$2:$G987,$G987)=1,1,0)</f>
        <v>0</v>
      </c>
      <c r="E987" s="67" t="str">
        <f>IFERROR(VLOOKUP(База_КР_КК[[#This Row],[ИД штатной должности (S)]],'уровень защищенности'!$B$7:$F$1095,5,0),"не защищена")</f>
        <v>высокий</v>
      </c>
      <c r="F987" s="68">
        <v>500655</v>
      </c>
      <c r="G987" s="74" t="s">
        <v>2355</v>
      </c>
      <c r="H987" s="181">
        <f>INDEX('Списки данных'!$D$2:$D$1048576,MATCH(База_КР_КК[[#This Row],[Структурное подразделение]],'Списки данных'!$C$2:$C$1048576,0))</f>
        <v>22</v>
      </c>
      <c r="I987" s="80" t="s">
        <v>135</v>
      </c>
      <c r="J987" s="80" t="s">
        <v>202</v>
      </c>
      <c r="K987" s="80" t="s">
        <v>203</v>
      </c>
      <c r="L987" s="30" t="s">
        <v>191</v>
      </c>
      <c r="M987" s="68">
        <v>7</v>
      </c>
      <c r="N987" s="181" t="str">
        <f t="shared" si="16"/>
        <v>нет</v>
      </c>
      <c r="O987" s="23"/>
      <c r="P987" s="23"/>
      <c r="Q987" s="106"/>
      <c r="R987" s="37">
        <v>195</v>
      </c>
      <c r="S987" s="38" t="s">
        <v>607</v>
      </c>
      <c r="T987" s="37">
        <v>1241</v>
      </c>
      <c r="U987" s="38" t="s">
        <v>1645</v>
      </c>
      <c r="V987" s="69" t="s">
        <v>272</v>
      </c>
      <c r="W987" s="89" t="s">
        <v>135</v>
      </c>
      <c r="X987" s="106" t="s">
        <v>295</v>
      </c>
      <c r="Y987" s="107" t="s">
        <v>12</v>
      </c>
      <c r="Z987" s="67">
        <f>IF(База_КР_КК[[#This Row],[Таб.номер резервиста]]="-","-",IF(OR(База_КР_КК[[#This Row],[Уровень КК]]=2,База_КР_КК[[#This Row],[Уровень КК]]=3),IF(COUNTIFS($U$2:$U987,$U987,$F$2:$F987,$F987)=1,1,0),IF(COUNTIFS($U$2:$U987,$U987,$L$2:$L987,$L987)=1,1,0)))</f>
        <v>0</v>
      </c>
      <c r="AA9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7" s="106"/>
      <c r="AC987" s="51"/>
      <c r="AD987" s="106" t="s">
        <v>15</v>
      </c>
      <c r="AE987" s="33" t="s">
        <v>413</v>
      </c>
    </row>
    <row r="988" spans="1:31" ht="18" customHeight="1" x14ac:dyDescent="0.25">
      <c r="A9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8" s="79">
        <v>4</v>
      </c>
      <c r="C988" s="23">
        <v>43733</v>
      </c>
      <c r="D988" s="67">
        <f>IF(COUNTIF($G$2:$G988,$G988)=1,1,0)</f>
        <v>0</v>
      </c>
      <c r="E988" s="67" t="str">
        <f>IFERROR(VLOOKUP(База_КР_КК[[#This Row],[ИД штатной должности (S)]],'уровень защищенности'!$B$7:$F$1095,5,0),"не защищена")</f>
        <v>высокий</v>
      </c>
      <c r="F988" s="68">
        <v>500655</v>
      </c>
      <c r="G988" s="74" t="s">
        <v>2355</v>
      </c>
      <c r="H988" s="181">
        <f>INDEX('Списки данных'!$D$2:$D$1048576,MATCH(База_КР_КК[[#This Row],[Структурное подразделение]],'Списки данных'!$C$2:$C$1048576,0))</f>
        <v>22</v>
      </c>
      <c r="I988" s="80" t="s">
        <v>135</v>
      </c>
      <c r="J988" s="80" t="s">
        <v>202</v>
      </c>
      <c r="K988" s="80" t="s">
        <v>203</v>
      </c>
      <c r="L988" s="30" t="s">
        <v>191</v>
      </c>
      <c r="M988" s="68">
        <v>7</v>
      </c>
      <c r="N988" s="181" t="str">
        <f t="shared" si="16"/>
        <v>нет</v>
      </c>
      <c r="O988" s="23"/>
      <c r="P988" s="23"/>
      <c r="Q988" s="106"/>
      <c r="R988" s="37">
        <v>195</v>
      </c>
      <c r="S988" s="38" t="s">
        <v>607</v>
      </c>
      <c r="T988" s="37">
        <v>1281</v>
      </c>
      <c r="U988" s="39" t="s">
        <v>1683</v>
      </c>
      <c r="V988" s="89" t="s">
        <v>272</v>
      </c>
      <c r="W988" s="89" t="s">
        <v>135</v>
      </c>
      <c r="X988" s="106" t="s">
        <v>295</v>
      </c>
      <c r="Y988" s="107" t="s">
        <v>18</v>
      </c>
      <c r="Z988" s="67">
        <f>IF(База_КР_КК[[#This Row],[Таб.номер резервиста]]="-","-",IF(OR(База_КР_КК[[#This Row],[Уровень КК]]=2,База_КР_КК[[#This Row],[Уровень КК]]=3),IF(COUNTIFS($U$2:$U988,$U988,$F$2:$F988,$F988)=1,1,0),IF(COUNTIFS($U$2:$U988,$U988,$L$2:$L988,$L988)=1,1,0)))</f>
        <v>0</v>
      </c>
      <c r="AA9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8" s="106" t="s">
        <v>19</v>
      </c>
      <c r="AC988" s="51">
        <v>44840</v>
      </c>
      <c r="AD988" s="106" t="s">
        <v>17</v>
      </c>
      <c r="AE988" s="38" t="s">
        <v>324</v>
      </c>
    </row>
    <row r="989" spans="1:31" ht="18" customHeight="1" x14ac:dyDescent="0.25">
      <c r="A9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89" s="79">
        <v>4</v>
      </c>
      <c r="C989" s="23">
        <v>43733</v>
      </c>
      <c r="D989" s="67">
        <f>IF(COUNTIF($G$2:$G989,$G989)=1,1,0)</f>
        <v>0</v>
      </c>
      <c r="E989" s="67" t="str">
        <f>IFERROR(VLOOKUP(База_КР_КК[[#This Row],[ИД штатной должности (S)]],'уровень защищенности'!$B$7:$F$1095,5,0),"не защищена")</f>
        <v>высокий</v>
      </c>
      <c r="F989" s="68">
        <v>500655</v>
      </c>
      <c r="G989" s="74" t="s">
        <v>2355</v>
      </c>
      <c r="H989" s="181">
        <f>INDEX('Списки данных'!$D$2:$D$1048576,MATCH(База_КР_КК[[#This Row],[Структурное подразделение]],'Списки данных'!$C$2:$C$1048576,0))</f>
        <v>22</v>
      </c>
      <c r="I989" s="80" t="s">
        <v>135</v>
      </c>
      <c r="J989" s="80" t="s">
        <v>202</v>
      </c>
      <c r="K989" s="80" t="s">
        <v>203</v>
      </c>
      <c r="L989" s="30" t="s">
        <v>191</v>
      </c>
      <c r="M989" s="68">
        <v>7</v>
      </c>
      <c r="N989" s="181" t="str">
        <f t="shared" si="16"/>
        <v>нет</v>
      </c>
      <c r="O989" s="23"/>
      <c r="P989" s="23"/>
      <c r="Q989" s="106"/>
      <c r="R989" s="37">
        <v>195</v>
      </c>
      <c r="S989" s="38" t="s">
        <v>607</v>
      </c>
      <c r="T989" s="37">
        <v>1282</v>
      </c>
      <c r="U989" s="39" t="s">
        <v>1684</v>
      </c>
      <c r="V989" s="89" t="s">
        <v>272</v>
      </c>
      <c r="W989" s="89" t="s">
        <v>135</v>
      </c>
      <c r="X989" s="106" t="s">
        <v>297</v>
      </c>
      <c r="Y989" s="107" t="s">
        <v>18</v>
      </c>
      <c r="Z989" s="67">
        <f>IF(База_КР_КК[[#This Row],[Таб.номер резервиста]]="-","-",IF(OR(База_КР_КК[[#This Row],[Уровень КК]]=2,База_КР_КК[[#This Row],[Уровень КК]]=3),IF(COUNTIFS($U$2:$U989,$U989,$F$2:$F989,$F989)=1,1,0),IF(COUNTIFS($U$2:$U989,$U989,$L$2:$L989,$L989)=1,1,0)))</f>
        <v>0</v>
      </c>
      <c r="AA9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89" s="106" t="s">
        <v>20</v>
      </c>
      <c r="AC989" s="51">
        <v>44279</v>
      </c>
      <c r="AD989" s="106" t="s">
        <v>13</v>
      </c>
      <c r="AE989" s="38" t="s">
        <v>323</v>
      </c>
    </row>
    <row r="990" spans="1:31" ht="18" customHeight="1" x14ac:dyDescent="0.25">
      <c r="A9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0" s="79">
        <v>4</v>
      </c>
      <c r="C990" s="23">
        <v>44046</v>
      </c>
      <c r="D990" s="67">
        <f>IF(COUNTIF($G$2:$G990,$G990)=1,1,0)</f>
        <v>0</v>
      </c>
      <c r="E990" s="67" t="str">
        <f>IFERROR(VLOOKUP(База_КР_КК[[#This Row],[ИД штатной должности (S)]],'уровень защищенности'!$B$7:$F$1095,5,0),"не защищена")</f>
        <v>высокий</v>
      </c>
      <c r="F990" s="68">
        <v>500655</v>
      </c>
      <c r="G990" s="74" t="s">
        <v>2355</v>
      </c>
      <c r="H990" s="181">
        <f>INDEX('Списки данных'!$D$2:$D$1048576,MATCH(База_КР_КК[[#This Row],[Структурное подразделение]],'Списки данных'!$C$2:$C$1048576,0))</f>
        <v>22</v>
      </c>
      <c r="I990" s="80" t="s">
        <v>135</v>
      </c>
      <c r="J990" s="80" t="s">
        <v>202</v>
      </c>
      <c r="K990" s="80" t="s">
        <v>203</v>
      </c>
      <c r="L990" s="30" t="s">
        <v>191</v>
      </c>
      <c r="M990" s="68">
        <v>7</v>
      </c>
      <c r="N990" s="181" t="str">
        <f t="shared" si="16"/>
        <v>нет</v>
      </c>
      <c r="O990" s="23"/>
      <c r="P990" s="23"/>
      <c r="Q990" s="106"/>
      <c r="R990" s="37">
        <v>195</v>
      </c>
      <c r="S990" s="38" t="s">
        <v>607</v>
      </c>
      <c r="T990" s="37">
        <v>258</v>
      </c>
      <c r="U990" s="39" t="s">
        <v>670</v>
      </c>
      <c r="V990" s="89" t="s">
        <v>192</v>
      </c>
      <c r="W990" s="89" t="s">
        <v>176</v>
      </c>
      <c r="X990" s="106" t="s">
        <v>295</v>
      </c>
      <c r="Y990" s="107" t="s">
        <v>18</v>
      </c>
      <c r="Z990" s="67">
        <f>IF(База_КР_КК[[#This Row],[Таб.номер резервиста]]="-","-",IF(OR(База_КР_КК[[#This Row],[Уровень КК]]=2,База_КР_КК[[#This Row],[Уровень КК]]=3),IF(COUNTIFS($U$2:$U990,$U990,$F$2:$F990,$F990)=1,1,0),IF(COUNTIFS($U$2:$U990,$U990,$L$2:$L990,$L990)=1,1,0)))</f>
        <v>0</v>
      </c>
      <c r="AA9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0" s="106" t="s">
        <v>33</v>
      </c>
      <c r="AC990" s="51">
        <v>44046</v>
      </c>
      <c r="AD990" s="106" t="s">
        <v>15</v>
      </c>
      <c r="AE990" s="38" t="s">
        <v>325</v>
      </c>
    </row>
    <row r="991" spans="1:31" ht="18" customHeight="1" x14ac:dyDescent="0.25">
      <c r="A9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1" s="79">
        <v>4</v>
      </c>
      <c r="C991" s="23">
        <v>44487</v>
      </c>
      <c r="D991" s="67">
        <f>IF(COUNTIF($G$2:$G991,$G991)=1,1,0)</f>
        <v>0</v>
      </c>
      <c r="E991" s="67" t="str">
        <f>IFERROR(VLOOKUP(База_КР_КК[[#This Row],[ИД штатной должности (S)]],'уровень защищенности'!$B$7:$F$1095,5,0),"не защищена")</f>
        <v>высокий</v>
      </c>
      <c r="F991" s="68">
        <v>500655</v>
      </c>
      <c r="G991" s="74" t="s">
        <v>2355</v>
      </c>
      <c r="H991" s="181">
        <f>INDEX('Списки данных'!$D$2:$D$1048576,MATCH(База_КР_КК[[#This Row],[Структурное подразделение]],'Списки данных'!$C$2:$C$1048576,0))</f>
        <v>22</v>
      </c>
      <c r="I991" s="80" t="s">
        <v>135</v>
      </c>
      <c r="J991" s="80" t="s">
        <v>202</v>
      </c>
      <c r="K991" s="80" t="s">
        <v>203</v>
      </c>
      <c r="L991" s="30" t="s">
        <v>191</v>
      </c>
      <c r="M991" s="68">
        <v>7</v>
      </c>
      <c r="N991" s="181" t="str">
        <f t="shared" si="16"/>
        <v>нет</v>
      </c>
      <c r="O991" s="23"/>
      <c r="P991" s="23"/>
      <c r="Q991" s="106"/>
      <c r="R991" s="37">
        <v>195</v>
      </c>
      <c r="S991" s="39" t="s">
        <v>607</v>
      </c>
      <c r="T991" s="37">
        <v>1283</v>
      </c>
      <c r="U991" s="39" t="s">
        <v>1685</v>
      </c>
      <c r="V991" s="89" t="s">
        <v>192</v>
      </c>
      <c r="W991" s="89" t="s">
        <v>135</v>
      </c>
      <c r="X991" s="106" t="s">
        <v>297</v>
      </c>
      <c r="Y991" s="107" t="s">
        <v>18</v>
      </c>
      <c r="Z991" s="67">
        <f>IF(База_КР_КК[[#This Row],[Таб.номер резервиста]]="-","-",IF(OR(База_КР_КК[[#This Row],[Уровень КК]]=2,База_КР_КК[[#This Row],[Уровень КК]]=3),IF(COUNTIFS($U$2:$U991,$U991,$F$2:$F991,$F991)=1,1,0),IF(COUNTIFS($U$2:$U991,$U991,$L$2:$L991,$L991)=1,1,0)))</f>
        <v>0</v>
      </c>
      <c r="AA9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1" s="106" t="s">
        <v>19</v>
      </c>
      <c r="AC991" s="51">
        <v>44950</v>
      </c>
      <c r="AD991" s="106" t="s">
        <v>13</v>
      </c>
      <c r="AE991" s="33" t="s">
        <v>413</v>
      </c>
    </row>
    <row r="992" spans="1:31" ht="18" customHeight="1" x14ac:dyDescent="0.25">
      <c r="A9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2" s="79">
        <v>4</v>
      </c>
      <c r="C992" s="23">
        <v>43733</v>
      </c>
      <c r="D992" s="67">
        <f>IF(COUNTIF($G$2:$G992,$G992)=1,1,0)</f>
        <v>1</v>
      </c>
      <c r="E992" s="67" t="str">
        <f>IFERROR(VLOOKUP(База_КР_КК[[#This Row],[ИД штатной должности (S)]],'уровень защищенности'!$B$7:$F$1095,5,0),"не защищена")</f>
        <v>высокий</v>
      </c>
      <c r="F992" s="68">
        <v>500655</v>
      </c>
      <c r="G992" s="74" t="s">
        <v>2356</v>
      </c>
      <c r="H992" s="181">
        <f>INDEX('Списки данных'!$D$2:$D$1048576,MATCH(База_КР_КК[[#This Row],[Структурное подразделение]],'Списки данных'!$C$2:$C$1048576,0))</f>
        <v>22</v>
      </c>
      <c r="I992" s="80" t="s">
        <v>135</v>
      </c>
      <c r="J992" s="80" t="s">
        <v>202</v>
      </c>
      <c r="K992" s="80" t="s">
        <v>203</v>
      </c>
      <c r="L992" s="30" t="s">
        <v>191</v>
      </c>
      <c r="M992" s="68">
        <v>7</v>
      </c>
      <c r="N992" s="181" t="str">
        <f t="shared" si="16"/>
        <v>нет</v>
      </c>
      <c r="O992" s="23"/>
      <c r="P992" s="23"/>
      <c r="Q992" s="106"/>
      <c r="R992" s="37">
        <v>196</v>
      </c>
      <c r="S992" s="38" t="s">
        <v>608</v>
      </c>
      <c r="T992" s="37">
        <v>1276</v>
      </c>
      <c r="U992" s="39" t="s">
        <v>1678</v>
      </c>
      <c r="V992" s="89" t="s">
        <v>272</v>
      </c>
      <c r="W992" s="89" t="s">
        <v>135</v>
      </c>
      <c r="X992" s="106" t="s">
        <v>295</v>
      </c>
      <c r="Y992" s="107" t="s">
        <v>12</v>
      </c>
      <c r="Z992" s="67">
        <f>IF(База_КР_КК[[#This Row],[Таб.номер резервиста]]="-","-",IF(OR(База_КР_КК[[#This Row],[Уровень КК]]=2,База_КР_КК[[#This Row],[Уровень КК]]=3),IF(COUNTIFS($U$2:$U992,$U992,$F$2:$F992,$F992)=1,1,0),IF(COUNTIFS($U$2:$U992,$U992,$L$2:$L992,$L992)=1,1,0)))</f>
        <v>0</v>
      </c>
      <c r="AA9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2" s="106"/>
      <c r="AC992" s="51"/>
      <c r="AD992" s="106" t="s">
        <v>13</v>
      </c>
      <c r="AE992" s="38" t="s">
        <v>413</v>
      </c>
    </row>
    <row r="993" spans="1:31" ht="18" customHeight="1" x14ac:dyDescent="0.25">
      <c r="A9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3" s="79">
        <v>4</v>
      </c>
      <c r="C993" s="23">
        <v>43733</v>
      </c>
      <c r="D993" s="67">
        <f>IF(COUNTIF($G$2:$G993,$G993)=1,1,0)</f>
        <v>0</v>
      </c>
      <c r="E993" s="67" t="str">
        <f>IFERROR(VLOOKUP(База_КР_КК[[#This Row],[ИД штатной должности (S)]],'уровень защищенности'!$B$7:$F$1095,5,0),"не защищена")</f>
        <v>высокий</v>
      </c>
      <c r="F993" s="68">
        <v>500655</v>
      </c>
      <c r="G993" s="74" t="s">
        <v>2356</v>
      </c>
      <c r="H993" s="181">
        <f>INDEX('Списки данных'!$D$2:$D$1048576,MATCH(База_КР_КК[[#This Row],[Структурное подразделение]],'Списки данных'!$C$2:$C$1048576,0))</f>
        <v>22</v>
      </c>
      <c r="I993" s="80" t="s">
        <v>135</v>
      </c>
      <c r="J993" s="80" t="s">
        <v>202</v>
      </c>
      <c r="K993" s="80" t="s">
        <v>203</v>
      </c>
      <c r="L993" s="30" t="s">
        <v>191</v>
      </c>
      <c r="M993" s="68">
        <v>7</v>
      </c>
      <c r="N993" s="181" t="str">
        <f t="shared" si="16"/>
        <v>нет</v>
      </c>
      <c r="O993" s="23"/>
      <c r="P993" s="23"/>
      <c r="Q993" s="106"/>
      <c r="R993" s="37">
        <v>196</v>
      </c>
      <c r="S993" s="38" t="s">
        <v>608</v>
      </c>
      <c r="T993" s="37">
        <v>1275</v>
      </c>
      <c r="U993" s="39" t="s">
        <v>1677</v>
      </c>
      <c r="V993" s="89" t="s">
        <v>272</v>
      </c>
      <c r="W993" s="89" t="s">
        <v>135</v>
      </c>
      <c r="X993" s="106" t="s">
        <v>295</v>
      </c>
      <c r="Y993" s="107" t="s">
        <v>12</v>
      </c>
      <c r="Z993" s="67">
        <f>IF(База_КР_КК[[#This Row],[Таб.номер резервиста]]="-","-",IF(OR(База_КР_КК[[#This Row],[Уровень КК]]=2,База_КР_КК[[#This Row],[Уровень КК]]=3),IF(COUNTIFS($U$2:$U993,$U993,$F$2:$F993,$F993)=1,1,0),IF(COUNTIFS($U$2:$U993,$U993,$L$2:$L993,$L993)=1,1,0)))</f>
        <v>0</v>
      </c>
      <c r="AA9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3" s="106"/>
      <c r="AC993" s="51"/>
      <c r="AD993" s="106" t="s">
        <v>13</v>
      </c>
      <c r="AE993" s="38" t="s">
        <v>413</v>
      </c>
    </row>
    <row r="994" spans="1:31" ht="18" customHeight="1" x14ac:dyDescent="0.25">
      <c r="A9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4" s="79">
        <v>4</v>
      </c>
      <c r="C994" s="23">
        <v>43733</v>
      </c>
      <c r="D994" s="67">
        <f>IF(COUNTIF($G$2:$G994,$G994)=1,1,0)</f>
        <v>0</v>
      </c>
      <c r="E994" s="67" t="str">
        <f>IFERROR(VLOOKUP(База_КР_КК[[#This Row],[ИД штатной должности (S)]],'уровень защищенности'!$B$7:$F$1095,5,0),"не защищена")</f>
        <v>высокий</v>
      </c>
      <c r="F994" s="68">
        <v>500655</v>
      </c>
      <c r="G994" s="74" t="s">
        <v>2356</v>
      </c>
      <c r="H994" s="181">
        <f>INDEX('Списки данных'!$D$2:$D$1048576,MATCH(База_КР_КК[[#This Row],[Структурное подразделение]],'Списки данных'!$C$2:$C$1048576,0))</f>
        <v>22</v>
      </c>
      <c r="I994" s="80" t="s">
        <v>135</v>
      </c>
      <c r="J994" s="80" t="s">
        <v>202</v>
      </c>
      <c r="K994" s="80" t="s">
        <v>203</v>
      </c>
      <c r="L994" s="30" t="s">
        <v>191</v>
      </c>
      <c r="M994" s="68">
        <v>7</v>
      </c>
      <c r="N994" s="181" t="str">
        <f t="shared" si="16"/>
        <v>нет</v>
      </c>
      <c r="O994" s="23"/>
      <c r="P994" s="23"/>
      <c r="Q994" s="106"/>
      <c r="R994" s="37">
        <v>196</v>
      </c>
      <c r="S994" s="38" t="s">
        <v>608</v>
      </c>
      <c r="T994" s="37">
        <v>1277</v>
      </c>
      <c r="U994" s="39" t="s">
        <v>1679</v>
      </c>
      <c r="V994" s="89" t="s">
        <v>272</v>
      </c>
      <c r="W994" s="89" t="s">
        <v>135</v>
      </c>
      <c r="X994" s="106" t="s">
        <v>295</v>
      </c>
      <c r="Y994" s="107" t="s">
        <v>12</v>
      </c>
      <c r="Z994" s="67">
        <f>IF(База_КР_КК[[#This Row],[Таб.номер резервиста]]="-","-",IF(OR(База_КР_КК[[#This Row],[Уровень КК]]=2,База_КР_КК[[#This Row],[Уровень КК]]=3),IF(COUNTIFS($U$2:$U994,$U994,$F$2:$F994,$F994)=1,1,0),IF(COUNTIFS($U$2:$U994,$U994,$L$2:$L994,$L994)=1,1,0)))</f>
        <v>0</v>
      </c>
      <c r="AA9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4" s="106"/>
      <c r="AC994" s="51"/>
      <c r="AD994" s="106" t="s">
        <v>13</v>
      </c>
      <c r="AE994" s="38" t="s">
        <v>413</v>
      </c>
    </row>
    <row r="995" spans="1:31" ht="18" customHeight="1" x14ac:dyDescent="0.25">
      <c r="A9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5" s="79">
        <v>4</v>
      </c>
      <c r="C995" s="23">
        <v>44879</v>
      </c>
      <c r="D995" s="67">
        <f>IF(COUNTIF($G$2:$G995,$G995)=1,1,0)</f>
        <v>0</v>
      </c>
      <c r="E995" s="67" t="str">
        <f>IFERROR(VLOOKUP(База_КР_КК[[#This Row],[ИД штатной должности (S)]],'уровень защищенности'!$B$7:$F$1095,5,0),"не защищена")</f>
        <v>высокий</v>
      </c>
      <c r="F995" s="68">
        <v>500655</v>
      </c>
      <c r="G995" s="74" t="s">
        <v>2356</v>
      </c>
      <c r="H995" s="181">
        <f>INDEX('Списки данных'!$D$2:$D$1048576,MATCH(База_КР_КК[[#This Row],[Структурное подразделение]],'Списки данных'!$C$2:$C$1048576,0))</f>
        <v>22</v>
      </c>
      <c r="I995" s="80" t="s">
        <v>135</v>
      </c>
      <c r="J995" s="80" t="s">
        <v>202</v>
      </c>
      <c r="K995" s="80" t="s">
        <v>203</v>
      </c>
      <c r="L995" s="30" t="s">
        <v>191</v>
      </c>
      <c r="M995" s="68">
        <v>7</v>
      </c>
      <c r="N995" s="181" t="str">
        <f t="shared" si="16"/>
        <v>нет</v>
      </c>
      <c r="O995" s="23"/>
      <c r="P995" s="23"/>
      <c r="Q995" s="106"/>
      <c r="R995" s="37">
        <v>196</v>
      </c>
      <c r="S995" s="38" t="s">
        <v>608</v>
      </c>
      <c r="T995" s="37">
        <v>1278</v>
      </c>
      <c r="U995" s="38" t="s">
        <v>1680</v>
      </c>
      <c r="V995" s="69" t="s">
        <v>272</v>
      </c>
      <c r="W995" s="89" t="s">
        <v>135</v>
      </c>
      <c r="X995" s="106" t="s">
        <v>296</v>
      </c>
      <c r="Y995" s="107" t="s">
        <v>12</v>
      </c>
      <c r="Z995" s="67">
        <f>IF(База_КР_КК[[#This Row],[Таб.номер резервиста]]="-","-",IF(OR(База_КР_КК[[#This Row],[Уровень КК]]=2,База_КР_КК[[#This Row],[Уровень КК]]=3),IF(COUNTIFS($U$2:$U995,$U995,$F$2:$F995,$F995)=1,1,0),IF(COUNTIFS($U$2:$U995,$U995,$L$2:$L995,$L995)=1,1,0)))</f>
        <v>0</v>
      </c>
      <c r="AA9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5" s="106"/>
      <c r="AC995" s="51"/>
      <c r="AD995" s="106" t="s">
        <v>15</v>
      </c>
      <c r="AE995" s="33" t="s">
        <v>413</v>
      </c>
    </row>
    <row r="996" spans="1:31" ht="18" customHeight="1" x14ac:dyDescent="0.25">
      <c r="A9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6" s="79">
        <v>4</v>
      </c>
      <c r="C996" s="23">
        <v>44879</v>
      </c>
      <c r="D996" s="67">
        <f>IF(COUNTIF($G$2:$G996,$G996)=1,1,0)</f>
        <v>0</v>
      </c>
      <c r="E996" s="67" t="str">
        <f>IFERROR(VLOOKUP(База_КР_КК[[#This Row],[ИД штатной должности (S)]],'уровень защищенности'!$B$7:$F$1095,5,0),"не защищена")</f>
        <v>высокий</v>
      </c>
      <c r="F996" s="68">
        <v>500655</v>
      </c>
      <c r="G996" s="74" t="s">
        <v>2356</v>
      </c>
      <c r="H996" s="181">
        <f>INDEX('Списки данных'!$D$2:$D$1048576,MATCH(База_КР_КК[[#This Row],[Структурное подразделение]],'Списки данных'!$C$2:$C$1048576,0))</f>
        <v>22</v>
      </c>
      <c r="I996" s="80" t="s">
        <v>135</v>
      </c>
      <c r="J996" s="80" t="s">
        <v>202</v>
      </c>
      <c r="K996" s="80" t="s">
        <v>203</v>
      </c>
      <c r="L996" s="30" t="s">
        <v>191</v>
      </c>
      <c r="M996" s="68">
        <v>7</v>
      </c>
      <c r="N996" s="181" t="str">
        <f t="shared" si="16"/>
        <v>нет</v>
      </c>
      <c r="O996" s="23"/>
      <c r="P996" s="23"/>
      <c r="Q996" s="106"/>
      <c r="R996" s="37">
        <v>196</v>
      </c>
      <c r="S996" s="38" t="s">
        <v>608</v>
      </c>
      <c r="T996" s="37">
        <v>1279</v>
      </c>
      <c r="U996" s="38" t="s">
        <v>1681</v>
      </c>
      <c r="V996" s="69" t="s">
        <v>272</v>
      </c>
      <c r="W996" s="89" t="s">
        <v>135</v>
      </c>
      <c r="X996" s="106" t="s">
        <v>296</v>
      </c>
      <c r="Y996" s="107" t="s">
        <v>12</v>
      </c>
      <c r="Z996" s="67">
        <f>IF(База_КР_КК[[#This Row],[Таб.номер резервиста]]="-","-",IF(OR(База_КР_КК[[#This Row],[Уровень КК]]=2,База_КР_КК[[#This Row],[Уровень КК]]=3),IF(COUNTIFS($U$2:$U996,$U996,$F$2:$F996,$F996)=1,1,0),IF(COUNTIFS($U$2:$U996,$U996,$L$2:$L996,$L996)=1,1,0)))</f>
        <v>0</v>
      </c>
      <c r="AA9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6" s="106"/>
      <c r="AC996" s="51"/>
      <c r="AD996" s="106" t="s">
        <v>15</v>
      </c>
      <c r="AE996" s="33" t="s">
        <v>413</v>
      </c>
    </row>
    <row r="997" spans="1:31" ht="18" customHeight="1" x14ac:dyDescent="0.25">
      <c r="A9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7" s="79">
        <v>4</v>
      </c>
      <c r="C997" s="23">
        <v>44879</v>
      </c>
      <c r="D997" s="67">
        <f>IF(COUNTIF($G$2:$G997,$G997)=1,1,0)</f>
        <v>0</v>
      </c>
      <c r="E997" s="67" t="str">
        <f>IFERROR(VLOOKUP(База_КР_КК[[#This Row],[ИД штатной должности (S)]],'уровень защищенности'!$B$7:$F$1095,5,0),"не защищена")</f>
        <v>высокий</v>
      </c>
      <c r="F997" s="68">
        <v>500655</v>
      </c>
      <c r="G997" s="74" t="s">
        <v>2356</v>
      </c>
      <c r="H997" s="181">
        <f>INDEX('Списки данных'!$D$2:$D$1048576,MATCH(База_КР_КК[[#This Row],[Структурное подразделение]],'Списки данных'!$C$2:$C$1048576,0))</f>
        <v>22</v>
      </c>
      <c r="I997" s="80" t="s">
        <v>135</v>
      </c>
      <c r="J997" s="80" t="s">
        <v>202</v>
      </c>
      <c r="K997" s="80" t="s">
        <v>203</v>
      </c>
      <c r="L997" s="30" t="s">
        <v>191</v>
      </c>
      <c r="M997" s="68">
        <v>7</v>
      </c>
      <c r="N997" s="181" t="str">
        <f t="shared" si="16"/>
        <v>нет</v>
      </c>
      <c r="O997" s="23"/>
      <c r="P997" s="23"/>
      <c r="Q997" s="106"/>
      <c r="R997" s="37">
        <v>196</v>
      </c>
      <c r="S997" s="38" t="s">
        <v>608</v>
      </c>
      <c r="T997" s="37">
        <v>1280</v>
      </c>
      <c r="U997" s="38" t="s">
        <v>1682</v>
      </c>
      <c r="V997" s="69" t="s">
        <v>272</v>
      </c>
      <c r="W997" s="89" t="s">
        <v>135</v>
      </c>
      <c r="X997" s="106" t="s">
        <v>296</v>
      </c>
      <c r="Y997" s="107" t="s">
        <v>12</v>
      </c>
      <c r="Z997" s="67">
        <f>IF(База_КР_КК[[#This Row],[Таб.номер резервиста]]="-","-",IF(OR(База_КР_КК[[#This Row],[Уровень КК]]=2,База_КР_КК[[#This Row],[Уровень КК]]=3),IF(COUNTIFS($U$2:$U997,$U997,$F$2:$F997,$F997)=1,1,0),IF(COUNTIFS($U$2:$U997,$U997,$L$2:$L997,$L997)=1,1,0)))</f>
        <v>0</v>
      </c>
      <c r="AA9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7" s="106"/>
      <c r="AC997" s="51"/>
      <c r="AD997" s="106" t="s">
        <v>15</v>
      </c>
      <c r="AE997" s="33" t="s">
        <v>413</v>
      </c>
    </row>
    <row r="998" spans="1:31" ht="18" customHeight="1" x14ac:dyDescent="0.25">
      <c r="A9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8" s="79">
        <v>4</v>
      </c>
      <c r="C998" s="23">
        <v>44879</v>
      </c>
      <c r="D998" s="67">
        <f>IF(COUNTIF($G$2:$G998,$G998)=1,1,0)</f>
        <v>0</v>
      </c>
      <c r="E998" s="67" t="str">
        <f>IFERROR(VLOOKUP(База_КР_КК[[#This Row],[ИД штатной должности (S)]],'уровень защищенности'!$B$7:$F$1095,5,0),"не защищена")</f>
        <v>высокий</v>
      </c>
      <c r="F998" s="68">
        <v>500655</v>
      </c>
      <c r="G998" s="74" t="s">
        <v>2356</v>
      </c>
      <c r="H998" s="181">
        <f>INDEX('Списки данных'!$D$2:$D$1048576,MATCH(База_КР_КК[[#This Row],[Структурное подразделение]],'Списки данных'!$C$2:$C$1048576,0))</f>
        <v>22</v>
      </c>
      <c r="I998" s="80" t="s">
        <v>135</v>
      </c>
      <c r="J998" s="80" t="s">
        <v>202</v>
      </c>
      <c r="K998" s="80" t="s">
        <v>203</v>
      </c>
      <c r="L998" s="30" t="s">
        <v>191</v>
      </c>
      <c r="M998" s="68">
        <v>7</v>
      </c>
      <c r="N998" s="181" t="str">
        <f t="shared" si="16"/>
        <v>нет</v>
      </c>
      <c r="O998" s="23"/>
      <c r="P998" s="23"/>
      <c r="Q998" s="106"/>
      <c r="R998" s="37">
        <v>196</v>
      </c>
      <c r="S998" s="38" t="s">
        <v>608</v>
      </c>
      <c r="T998" s="37">
        <v>1241</v>
      </c>
      <c r="U998" s="38" t="s">
        <v>1645</v>
      </c>
      <c r="V998" s="69" t="s">
        <v>272</v>
      </c>
      <c r="W998" s="89" t="s">
        <v>135</v>
      </c>
      <c r="X998" s="106" t="s">
        <v>295</v>
      </c>
      <c r="Y998" s="107" t="s">
        <v>12</v>
      </c>
      <c r="Z998" s="67">
        <f>IF(База_КР_КК[[#This Row],[Таб.номер резервиста]]="-","-",IF(OR(База_КР_КК[[#This Row],[Уровень КК]]=2,База_КР_КК[[#This Row],[Уровень КК]]=3),IF(COUNTIFS($U$2:$U998,$U998,$F$2:$F998,$F998)=1,1,0),IF(COUNTIFS($U$2:$U998,$U998,$L$2:$L998,$L998)=1,1,0)))</f>
        <v>0</v>
      </c>
      <c r="AA9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8" s="106"/>
      <c r="AC998" s="51"/>
      <c r="AD998" s="106" t="s">
        <v>15</v>
      </c>
      <c r="AE998" s="33" t="s">
        <v>413</v>
      </c>
    </row>
    <row r="999" spans="1:31" ht="18" customHeight="1" x14ac:dyDescent="0.25">
      <c r="A9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999" s="79">
        <v>4</v>
      </c>
      <c r="C999" s="23">
        <v>43733</v>
      </c>
      <c r="D999" s="67">
        <f>IF(COUNTIF($G$2:$G999,$G999)=1,1,0)</f>
        <v>0</v>
      </c>
      <c r="E999" s="67" t="str">
        <f>IFERROR(VLOOKUP(База_КР_КК[[#This Row],[ИД штатной должности (S)]],'уровень защищенности'!$B$7:$F$1095,5,0),"не защищена")</f>
        <v>высокий</v>
      </c>
      <c r="F999" s="68">
        <v>500655</v>
      </c>
      <c r="G999" s="74" t="s">
        <v>2356</v>
      </c>
      <c r="H999" s="181">
        <f>INDEX('Списки данных'!$D$2:$D$1048576,MATCH(База_КР_КК[[#This Row],[Структурное подразделение]],'Списки данных'!$C$2:$C$1048576,0))</f>
        <v>22</v>
      </c>
      <c r="I999" s="80" t="s">
        <v>135</v>
      </c>
      <c r="J999" s="80" t="s">
        <v>202</v>
      </c>
      <c r="K999" s="80" t="s">
        <v>203</v>
      </c>
      <c r="L999" s="30" t="s">
        <v>191</v>
      </c>
      <c r="M999" s="68">
        <v>7</v>
      </c>
      <c r="N999" s="181" t="str">
        <f t="shared" si="16"/>
        <v>нет</v>
      </c>
      <c r="O999" s="23"/>
      <c r="P999" s="23"/>
      <c r="Q999" s="106"/>
      <c r="R999" s="37">
        <v>196</v>
      </c>
      <c r="S999" s="38" t="s">
        <v>608</v>
      </c>
      <c r="T999" s="37">
        <v>1281</v>
      </c>
      <c r="U999" s="39" t="s">
        <v>1683</v>
      </c>
      <c r="V999" s="89" t="s">
        <v>272</v>
      </c>
      <c r="W999" s="89" t="s">
        <v>135</v>
      </c>
      <c r="X999" s="106" t="s">
        <v>295</v>
      </c>
      <c r="Y999" s="107" t="s">
        <v>18</v>
      </c>
      <c r="Z999" s="67">
        <f>IF(База_КР_КК[[#This Row],[Таб.номер резервиста]]="-","-",IF(OR(База_КР_КК[[#This Row],[Уровень КК]]=2,База_КР_КК[[#This Row],[Уровень КК]]=3),IF(COUNTIFS($U$2:$U999,$U999,$F$2:$F999,$F999)=1,1,0),IF(COUNTIFS($U$2:$U999,$U999,$L$2:$L999,$L999)=1,1,0)))</f>
        <v>0</v>
      </c>
      <c r="AA9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999" s="106" t="s">
        <v>19</v>
      </c>
      <c r="AC999" s="51">
        <v>44840</v>
      </c>
      <c r="AD999" s="106" t="s">
        <v>17</v>
      </c>
      <c r="AE999" s="38" t="s">
        <v>324</v>
      </c>
    </row>
    <row r="1000" spans="1:31" ht="18" customHeight="1" x14ac:dyDescent="0.25">
      <c r="A10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0" s="79">
        <v>4</v>
      </c>
      <c r="C1000" s="23">
        <v>43733</v>
      </c>
      <c r="D1000" s="67">
        <f>IF(COUNTIF($G$2:$G1000,$G1000)=1,1,0)</f>
        <v>0</v>
      </c>
      <c r="E1000" s="67" t="str">
        <f>IFERROR(VLOOKUP(База_КР_КК[[#This Row],[ИД штатной должности (S)]],'уровень защищенности'!$B$7:$F$1095,5,0),"не защищена")</f>
        <v>высокий</v>
      </c>
      <c r="F1000" s="68">
        <v>500655</v>
      </c>
      <c r="G1000" s="74" t="s">
        <v>2356</v>
      </c>
      <c r="H1000" s="181">
        <f>INDEX('Списки данных'!$D$2:$D$1048576,MATCH(База_КР_КК[[#This Row],[Структурное подразделение]],'Списки данных'!$C$2:$C$1048576,0))</f>
        <v>22</v>
      </c>
      <c r="I1000" s="80" t="s">
        <v>135</v>
      </c>
      <c r="J1000" s="80" t="s">
        <v>202</v>
      </c>
      <c r="K1000" s="80" t="s">
        <v>203</v>
      </c>
      <c r="L1000" s="30" t="s">
        <v>191</v>
      </c>
      <c r="M1000" s="68">
        <v>7</v>
      </c>
      <c r="N1000" s="181" t="str">
        <f t="shared" si="16"/>
        <v>нет</v>
      </c>
      <c r="O1000" s="23"/>
      <c r="P1000" s="23"/>
      <c r="Q1000" s="106"/>
      <c r="R1000" s="37">
        <v>196</v>
      </c>
      <c r="S1000" s="38" t="s">
        <v>608</v>
      </c>
      <c r="T1000" s="37">
        <v>1282</v>
      </c>
      <c r="U1000" s="39" t="s">
        <v>1684</v>
      </c>
      <c r="V1000" s="89" t="s">
        <v>272</v>
      </c>
      <c r="W1000" s="89" t="s">
        <v>135</v>
      </c>
      <c r="X1000" s="106" t="s">
        <v>297</v>
      </c>
      <c r="Y1000" s="107" t="s">
        <v>18</v>
      </c>
      <c r="Z1000" s="67">
        <f>IF(База_КР_КК[[#This Row],[Таб.номер резервиста]]="-","-",IF(OR(База_КР_КК[[#This Row],[Уровень КК]]=2,База_КР_КК[[#This Row],[Уровень КК]]=3),IF(COUNTIFS($U$2:$U1000,$U1000,$F$2:$F1000,$F1000)=1,1,0),IF(COUNTIFS($U$2:$U1000,$U1000,$L$2:$L1000,$L1000)=1,1,0)))</f>
        <v>0</v>
      </c>
      <c r="AA10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0" s="106" t="s">
        <v>20</v>
      </c>
      <c r="AC1000" s="51">
        <v>44279</v>
      </c>
      <c r="AD1000" s="106" t="s">
        <v>13</v>
      </c>
      <c r="AE1000" s="38" t="s">
        <v>323</v>
      </c>
    </row>
    <row r="1001" spans="1:31" ht="18" customHeight="1" x14ac:dyDescent="0.25">
      <c r="A10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1" s="79">
        <v>4</v>
      </c>
      <c r="C1001" s="23">
        <v>44046</v>
      </c>
      <c r="D1001" s="67">
        <f>IF(COUNTIF($G$2:$G1001,$G1001)=1,1,0)</f>
        <v>0</v>
      </c>
      <c r="E1001" s="67" t="str">
        <f>IFERROR(VLOOKUP(База_КР_КК[[#This Row],[ИД штатной должности (S)]],'уровень защищенности'!$B$7:$F$1095,5,0),"не защищена")</f>
        <v>высокий</v>
      </c>
      <c r="F1001" s="68">
        <v>500655</v>
      </c>
      <c r="G1001" s="74" t="s">
        <v>2356</v>
      </c>
      <c r="H1001" s="181">
        <f>INDEX('Списки данных'!$D$2:$D$1048576,MATCH(База_КР_КК[[#This Row],[Структурное подразделение]],'Списки данных'!$C$2:$C$1048576,0))</f>
        <v>22</v>
      </c>
      <c r="I1001" s="80" t="s">
        <v>135</v>
      </c>
      <c r="J1001" s="80" t="s">
        <v>202</v>
      </c>
      <c r="K1001" s="80" t="s">
        <v>203</v>
      </c>
      <c r="L1001" s="30" t="s">
        <v>191</v>
      </c>
      <c r="M1001" s="68">
        <v>7</v>
      </c>
      <c r="N1001" s="181" t="str">
        <f t="shared" si="16"/>
        <v>нет</v>
      </c>
      <c r="O1001" s="23"/>
      <c r="P1001" s="23"/>
      <c r="Q1001" s="106"/>
      <c r="R1001" s="37">
        <v>196</v>
      </c>
      <c r="S1001" s="38" t="s">
        <v>608</v>
      </c>
      <c r="T1001" s="37">
        <v>258</v>
      </c>
      <c r="U1001" s="39" t="s">
        <v>670</v>
      </c>
      <c r="V1001" s="89" t="s">
        <v>192</v>
      </c>
      <c r="W1001" s="89" t="s">
        <v>176</v>
      </c>
      <c r="X1001" s="106" t="s">
        <v>295</v>
      </c>
      <c r="Y1001" s="107" t="s">
        <v>18</v>
      </c>
      <c r="Z1001" s="67">
        <f>IF(База_КР_КК[[#This Row],[Таб.номер резервиста]]="-","-",IF(OR(База_КР_КК[[#This Row],[Уровень КК]]=2,База_КР_КК[[#This Row],[Уровень КК]]=3),IF(COUNTIFS($U$2:$U1001,$U1001,$F$2:$F1001,$F1001)=1,1,0),IF(COUNTIFS($U$2:$U1001,$U1001,$L$2:$L1001,$L1001)=1,1,0)))</f>
        <v>0</v>
      </c>
      <c r="AA10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1" s="106" t="s">
        <v>33</v>
      </c>
      <c r="AC1001" s="51">
        <v>44046</v>
      </c>
      <c r="AD1001" s="106" t="s">
        <v>15</v>
      </c>
      <c r="AE1001" s="38" t="s">
        <v>325</v>
      </c>
    </row>
    <row r="1002" spans="1:31" ht="18" customHeight="1" x14ac:dyDescent="0.25">
      <c r="A10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2" s="79">
        <v>4</v>
      </c>
      <c r="C1002" s="23">
        <v>44487</v>
      </c>
      <c r="D1002" s="67">
        <f>IF(COUNTIF($G$2:$G1002,$G1002)=1,1,0)</f>
        <v>0</v>
      </c>
      <c r="E1002" s="67" t="str">
        <f>IFERROR(VLOOKUP(База_КР_КК[[#This Row],[ИД штатной должности (S)]],'уровень защищенности'!$B$7:$F$1095,5,0),"не защищена")</f>
        <v>высокий</v>
      </c>
      <c r="F1002" s="68">
        <v>500655</v>
      </c>
      <c r="G1002" s="74" t="s">
        <v>2356</v>
      </c>
      <c r="H1002" s="181">
        <f>INDEX('Списки данных'!$D$2:$D$1048576,MATCH(База_КР_КК[[#This Row],[Структурное подразделение]],'Списки данных'!$C$2:$C$1048576,0))</f>
        <v>22</v>
      </c>
      <c r="I1002" s="80" t="s">
        <v>135</v>
      </c>
      <c r="J1002" s="80" t="s">
        <v>202</v>
      </c>
      <c r="K1002" s="80" t="s">
        <v>203</v>
      </c>
      <c r="L1002" s="30" t="s">
        <v>191</v>
      </c>
      <c r="M1002" s="68">
        <v>7</v>
      </c>
      <c r="N1002" s="181" t="str">
        <f t="shared" si="16"/>
        <v>нет</v>
      </c>
      <c r="O1002" s="23"/>
      <c r="P1002" s="23"/>
      <c r="Q1002" s="106"/>
      <c r="R1002" s="37">
        <v>196</v>
      </c>
      <c r="S1002" s="39" t="s">
        <v>608</v>
      </c>
      <c r="T1002" s="37">
        <v>1283</v>
      </c>
      <c r="U1002" s="39" t="s">
        <v>1685</v>
      </c>
      <c r="V1002" s="89" t="s">
        <v>192</v>
      </c>
      <c r="W1002" s="89" t="s">
        <v>135</v>
      </c>
      <c r="X1002" s="106" t="s">
        <v>297</v>
      </c>
      <c r="Y1002" s="107" t="s">
        <v>18</v>
      </c>
      <c r="Z1002" s="67">
        <f>IF(База_КР_КК[[#This Row],[Таб.номер резервиста]]="-","-",IF(OR(База_КР_КК[[#This Row],[Уровень КК]]=2,База_КР_КК[[#This Row],[Уровень КК]]=3),IF(COUNTIFS($U$2:$U1002,$U1002,$F$2:$F1002,$F1002)=1,1,0),IF(COUNTIFS($U$2:$U1002,$U1002,$L$2:$L1002,$L1002)=1,1,0)))</f>
        <v>0</v>
      </c>
      <c r="AA10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2" s="106" t="s">
        <v>19</v>
      </c>
      <c r="AC1002" s="51">
        <v>44950</v>
      </c>
      <c r="AD1002" s="106" t="s">
        <v>13</v>
      </c>
      <c r="AE1002" s="33" t="s">
        <v>413</v>
      </c>
    </row>
    <row r="1003" spans="1:31" ht="18" customHeight="1" x14ac:dyDescent="0.25">
      <c r="A10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3" s="79">
        <v>4</v>
      </c>
      <c r="C1003" s="23">
        <v>43733</v>
      </c>
      <c r="D1003" s="67">
        <f>IF(COUNTIF($G$2:$G1003,$G1003)=1,1,0)</f>
        <v>1</v>
      </c>
      <c r="E1003" s="67" t="str">
        <f>IFERROR(VLOOKUP(База_КР_КК[[#This Row],[ИД штатной должности (S)]],'уровень защищенности'!$B$7:$F$1095,5,0),"не защищена")</f>
        <v>высокий</v>
      </c>
      <c r="F1003" s="68">
        <v>500655</v>
      </c>
      <c r="G1003" s="74" t="s">
        <v>2357</v>
      </c>
      <c r="H1003" s="181">
        <f>INDEX('Списки данных'!$D$2:$D$1048576,MATCH(База_КР_КК[[#This Row],[Структурное подразделение]],'Списки данных'!$C$2:$C$1048576,0))</f>
        <v>22</v>
      </c>
      <c r="I1003" s="80" t="s">
        <v>135</v>
      </c>
      <c r="J1003" s="80" t="s">
        <v>202</v>
      </c>
      <c r="K1003" s="80" t="s">
        <v>203</v>
      </c>
      <c r="L1003" s="30" t="s">
        <v>191</v>
      </c>
      <c r="M1003" s="68">
        <v>7</v>
      </c>
      <c r="N1003" s="181" t="str">
        <f t="shared" si="16"/>
        <v>да</v>
      </c>
      <c r="O1003" s="23">
        <v>44489</v>
      </c>
      <c r="P1003" s="23">
        <v>44519</v>
      </c>
      <c r="Q1003" s="106" t="s">
        <v>66</v>
      </c>
      <c r="R1003" s="37">
        <v>197</v>
      </c>
      <c r="S1003" s="38" t="s">
        <v>609</v>
      </c>
      <c r="T1003" s="37">
        <v>1276</v>
      </c>
      <c r="U1003" s="39" t="s">
        <v>1678</v>
      </c>
      <c r="V1003" s="89" t="s">
        <v>272</v>
      </c>
      <c r="W1003" s="89" t="s">
        <v>135</v>
      </c>
      <c r="X1003" s="106" t="s">
        <v>295</v>
      </c>
      <c r="Y1003" s="107" t="s">
        <v>12</v>
      </c>
      <c r="Z1003" s="67">
        <f>IF(База_КР_КК[[#This Row],[Таб.номер резервиста]]="-","-",IF(OR(База_КР_КК[[#This Row],[Уровень КК]]=2,База_КР_КК[[#This Row],[Уровень КК]]=3),IF(COUNTIFS($U$2:$U1003,$U1003,$F$2:$F1003,$F1003)=1,1,0),IF(COUNTIFS($U$2:$U1003,$U1003,$L$2:$L1003,$L1003)=1,1,0)))</f>
        <v>0</v>
      </c>
      <c r="AA10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3" s="106"/>
      <c r="AC1003" s="51"/>
      <c r="AD1003" s="106" t="s">
        <v>13</v>
      </c>
      <c r="AE1003" s="38" t="s">
        <v>413</v>
      </c>
    </row>
    <row r="1004" spans="1:31" ht="18" customHeight="1" x14ac:dyDescent="0.25">
      <c r="A10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4" s="79">
        <v>4</v>
      </c>
      <c r="C1004" s="23">
        <v>43733</v>
      </c>
      <c r="D1004" s="67">
        <f>IF(COUNTIF($G$2:$G1004,$G1004)=1,1,0)</f>
        <v>0</v>
      </c>
      <c r="E1004" s="67" t="str">
        <f>IFERROR(VLOOKUP(База_КР_КК[[#This Row],[ИД штатной должности (S)]],'уровень защищенности'!$B$7:$F$1095,5,0),"не защищена")</f>
        <v>высокий</v>
      </c>
      <c r="F1004" s="68">
        <v>500655</v>
      </c>
      <c r="G1004" s="74" t="s">
        <v>2357</v>
      </c>
      <c r="H1004" s="181">
        <f>INDEX('Списки данных'!$D$2:$D$1048576,MATCH(База_КР_КК[[#This Row],[Структурное подразделение]],'Списки данных'!$C$2:$C$1048576,0))</f>
        <v>22</v>
      </c>
      <c r="I1004" s="80" t="s">
        <v>135</v>
      </c>
      <c r="J1004" s="80" t="s">
        <v>202</v>
      </c>
      <c r="K1004" s="80" t="s">
        <v>203</v>
      </c>
      <c r="L1004" s="30" t="s">
        <v>191</v>
      </c>
      <c r="M1004" s="68">
        <v>7</v>
      </c>
      <c r="N1004" s="181" t="str">
        <f t="shared" si="16"/>
        <v>да</v>
      </c>
      <c r="O1004" s="23">
        <v>44489</v>
      </c>
      <c r="P1004" s="23">
        <v>44519</v>
      </c>
      <c r="Q1004" s="106" t="s">
        <v>66</v>
      </c>
      <c r="R1004" s="37">
        <v>197</v>
      </c>
      <c r="S1004" s="38" t="s">
        <v>609</v>
      </c>
      <c r="T1004" s="37">
        <v>1275</v>
      </c>
      <c r="U1004" s="39" t="s">
        <v>1677</v>
      </c>
      <c r="V1004" s="89" t="s">
        <v>272</v>
      </c>
      <c r="W1004" s="89" t="s">
        <v>135</v>
      </c>
      <c r="X1004" s="106" t="s">
        <v>295</v>
      </c>
      <c r="Y1004" s="107" t="s">
        <v>12</v>
      </c>
      <c r="Z1004" s="67">
        <f>IF(База_КР_КК[[#This Row],[Таб.номер резервиста]]="-","-",IF(OR(База_КР_КК[[#This Row],[Уровень КК]]=2,База_КР_КК[[#This Row],[Уровень КК]]=3),IF(COUNTIFS($U$2:$U1004,$U1004,$F$2:$F1004,$F1004)=1,1,0),IF(COUNTIFS($U$2:$U1004,$U1004,$L$2:$L1004,$L1004)=1,1,0)))</f>
        <v>0</v>
      </c>
      <c r="AA10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4" s="106"/>
      <c r="AC1004" s="51"/>
      <c r="AD1004" s="106" t="s">
        <v>13</v>
      </c>
      <c r="AE1004" s="38" t="s">
        <v>413</v>
      </c>
    </row>
    <row r="1005" spans="1:31" ht="18" customHeight="1" x14ac:dyDescent="0.25">
      <c r="A10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5" s="79">
        <v>4</v>
      </c>
      <c r="C1005" s="23">
        <v>43733</v>
      </c>
      <c r="D1005" s="67">
        <f>IF(COUNTIF($G$2:$G1005,$G1005)=1,1,0)</f>
        <v>0</v>
      </c>
      <c r="E1005" s="67" t="str">
        <f>IFERROR(VLOOKUP(База_КР_КК[[#This Row],[ИД штатной должности (S)]],'уровень защищенности'!$B$7:$F$1095,5,0),"не защищена")</f>
        <v>высокий</v>
      </c>
      <c r="F1005" s="68">
        <v>500655</v>
      </c>
      <c r="G1005" s="74" t="s">
        <v>2357</v>
      </c>
      <c r="H1005" s="181">
        <f>INDEX('Списки данных'!$D$2:$D$1048576,MATCH(База_КР_КК[[#This Row],[Структурное подразделение]],'Списки данных'!$C$2:$C$1048576,0))</f>
        <v>22</v>
      </c>
      <c r="I1005" s="80" t="s">
        <v>135</v>
      </c>
      <c r="J1005" s="80" t="s">
        <v>202</v>
      </c>
      <c r="K1005" s="80" t="s">
        <v>203</v>
      </c>
      <c r="L1005" s="30" t="s">
        <v>191</v>
      </c>
      <c r="M1005" s="68">
        <v>7</v>
      </c>
      <c r="N1005" s="181" t="str">
        <f t="shared" si="16"/>
        <v>да</v>
      </c>
      <c r="O1005" s="23">
        <v>44489</v>
      </c>
      <c r="P1005" s="23">
        <v>44519</v>
      </c>
      <c r="Q1005" s="106" t="s">
        <v>66</v>
      </c>
      <c r="R1005" s="37">
        <v>197</v>
      </c>
      <c r="S1005" s="38" t="s">
        <v>609</v>
      </c>
      <c r="T1005" s="37">
        <v>1277</v>
      </c>
      <c r="U1005" s="39" t="s">
        <v>1679</v>
      </c>
      <c r="V1005" s="89" t="s">
        <v>272</v>
      </c>
      <c r="W1005" s="89" t="s">
        <v>135</v>
      </c>
      <c r="X1005" s="106" t="s">
        <v>295</v>
      </c>
      <c r="Y1005" s="107" t="s">
        <v>12</v>
      </c>
      <c r="Z1005" s="67">
        <f>IF(База_КР_КК[[#This Row],[Таб.номер резервиста]]="-","-",IF(OR(База_КР_КК[[#This Row],[Уровень КК]]=2,База_КР_КК[[#This Row],[Уровень КК]]=3),IF(COUNTIFS($U$2:$U1005,$U1005,$F$2:$F1005,$F1005)=1,1,0),IF(COUNTIFS($U$2:$U1005,$U1005,$L$2:$L1005,$L1005)=1,1,0)))</f>
        <v>0</v>
      </c>
      <c r="AA10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5" s="106"/>
      <c r="AC1005" s="51"/>
      <c r="AD1005" s="106" t="s">
        <v>13</v>
      </c>
      <c r="AE1005" s="38" t="s">
        <v>413</v>
      </c>
    </row>
    <row r="1006" spans="1:31" ht="18" customHeight="1" x14ac:dyDescent="0.25">
      <c r="A10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6" s="79">
        <v>4</v>
      </c>
      <c r="C1006" s="23">
        <v>44879</v>
      </c>
      <c r="D1006" s="67">
        <f>IF(COUNTIF($G$2:$G1006,$G1006)=1,1,0)</f>
        <v>0</v>
      </c>
      <c r="E1006" s="67" t="str">
        <f>IFERROR(VLOOKUP(База_КР_КК[[#This Row],[ИД штатной должности (S)]],'уровень защищенности'!$B$7:$F$1095,5,0),"не защищена")</f>
        <v>высокий</v>
      </c>
      <c r="F1006" s="68">
        <v>500655</v>
      </c>
      <c r="G1006" s="74" t="s">
        <v>2357</v>
      </c>
      <c r="H1006" s="181">
        <f>INDEX('Списки данных'!$D$2:$D$1048576,MATCH(База_КР_КК[[#This Row],[Структурное подразделение]],'Списки данных'!$C$2:$C$1048576,0))</f>
        <v>22</v>
      </c>
      <c r="I1006" s="80" t="s">
        <v>135</v>
      </c>
      <c r="J1006" s="80" t="s">
        <v>202</v>
      </c>
      <c r="K1006" s="80" t="s">
        <v>203</v>
      </c>
      <c r="L1006" s="30" t="s">
        <v>191</v>
      </c>
      <c r="M1006" s="68">
        <v>7</v>
      </c>
      <c r="N1006" s="181" t="str">
        <f t="shared" si="16"/>
        <v>да</v>
      </c>
      <c r="O1006" s="23">
        <v>44489</v>
      </c>
      <c r="P1006" s="23">
        <v>44519</v>
      </c>
      <c r="Q1006" s="106" t="s">
        <v>66</v>
      </c>
      <c r="R1006" s="37">
        <v>197</v>
      </c>
      <c r="S1006" s="38" t="s">
        <v>609</v>
      </c>
      <c r="T1006" s="37">
        <v>1278</v>
      </c>
      <c r="U1006" s="38" t="s">
        <v>1680</v>
      </c>
      <c r="V1006" s="69" t="s">
        <v>272</v>
      </c>
      <c r="W1006" s="89" t="s">
        <v>135</v>
      </c>
      <c r="X1006" s="106" t="s">
        <v>296</v>
      </c>
      <c r="Y1006" s="107" t="s">
        <v>12</v>
      </c>
      <c r="Z1006" s="67">
        <f>IF(База_КР_КК[[#This Row],[Таб.номер резервиста]]="-","-",IF(OR(База_КР_КК[[#This Row],[Уровень КК]]=2,База_КР_КК[[#This Row],[Уровень КК]]=3),IF(COUNTIFS($U$2:$U1006,$U1006,$F$2:$F1006,$F1006)=1,1,0),IF(COUNTIFS($U$2:$U1006,$U1006,$L$2:$L1006,$L1006)=1,1,0)))</f>
        <v>0</v>
      </c>
      <c r="AA10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6" s="106"/>
      <c r="AC1006" s="51"/>
      <c r="AD1006" s="106" t="s">
        <v>15</v>
      </c>
      <c r="AE1006" s="33" t="s">
        <v>413</v>
      </c>
    </row>
    <row r="1007" spans="1:31" ht="18" customHeight="1" x14ac:dyDescent="0.25">
      <c r="A10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7" s="79">
        <v>4</v>
      </c>
      <c r="C1007" s="23">
        <v>44879</v>
      </c>
      <c r="D1007" s="67">
        <f>IF(COUNTIF($G$2:$G1007,$G1007)=1,1,0)</f>
        <v>0</v>
      </c>
      <c r="E1007" s="67" t="str">
        <f>IFERROR(VLOOKUP(База_КР_КК[[#This Row],[ИД штатной должности (S)]],'уровень защищенности'!$B$7:$F$1095,5,0),"не защищена")</f>
        <v>высокий</v>
      </c>
      <c r="F1007" s="68">
        <v>500655</v>
      </c>
      <c r="G1007" s="74" t="s">
        <v>2357</v>
      </c>
      <c r="H1007" s="181">
        <f>INDEX('Списки данных'!$D$2:$D$1048576,MATCH(База_КР_КК[[#This Row],[Структурное подразделение]],'Списки данных'!$C$2:$C$1048576,0))</f>
        <v>22</v>
      </c>
      <c r="I1007" s="80" t="s">
        <v>135</v>
      </c>
      <c r="J1007" s="80" t="s">
        <v>202</v>
      </c>
      <c r="K1007" s="80" t="s">
        <v>203</v>
      </c>
      <c r="L1007" s="30" t="s">
        <v>191</v>
      </c>
      <c r="M1007" s="68">
        <v>7</v>
      </c>
      <c r="N1007" s="181" t="str">
        <f t="shared" si="16"/>
        <v>да</v>
      </c>
      <c r="O1007" s="23">
        <v>44489</v>
      </c>
      <c r="P1007" s="23">
        <v>44519</v>
      </c>
      <c r="Q1007" s="106" t="s">
        <v>66</v>
      </c>
      <c r="R1007" s="37">
        <v>197</v>
      </c>
      <c r="S1007" s="38" t="s">
        <v>609</v>
      </c>
      <c r="T1007" s="37">
        <v>1279</v>
      </c>
      <c r="U1007" s="38" t="s">
        <v>1681</v>
      </c>
      <c r="V1007" s="69" t="s">
        <v>272</v>
      </c>
      <c r="W1007" s="89" t="s">
        <v>135</v>
      </c>
      <c r="X1007" s="106" t="s">
        <v>296</v>
      </c>
      <c r="Y1007" s="107" t="s">
        <v>12</v>
      </c>
      <c r="Z1007" s="67">
        <f>IF(База_КР_КК[[#This Row],[Таб.номер резервиста]]="-","-",IF(OR(База_КР_КК[[#This Row],[Уровень КК]]=2,База_КР_КК[[#This Row],[Уровень КК]]=3),IF(COUNTIFS($U$2:$U1007,$U1007,$F$2:$F1007,$F1007)=1,1,0),IF(COUNTIFS($U$2:$U1007,$U1007,$L$2:$L1007,$L1007)=1,1,0)))</f>
        <v>0</v>
      </c>
      <c r="AA10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7" s="106"/>
      <c r="AC1007" s="51"/>
      <c r="AD1007" s="106" t="s">
        <v>15</v>
      </c>
      <c r="AE1007" s="33" t="s">
        <v>413</v>
      </c>
    </row>
    <row r="1008" spans="1:31" ht="18" customHeight="1" x14ac:dyDescent="0.25">
      <c r="A10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8" s="79">
        <v>4</v>
      </c>
      <c r="C1008" s="23">
        <v>44879</v>
      </c>
      <c r="D1008" s="67">
        <f>IF(COUNTIF($G$2:$G1008,$G1008)=1,1,0)</f>
        <v>0</v>
      </c>
      <c r="E1008" s="67" t="str">
        <f>IFERROR(VLOOKUP(База_КР_КК[[#This Row],[ИД штатной должности (S)]],'уровень защищенности'!$B$7:$F$1095,5,0),"не защищена")</f>
        <v>высокий</v>
      </c>
      <c r="F1008" s="68">
        <v>500655</v>
      </c>
      <c r="G1008" s="74" t="s">
        <v>2357</v>
      </c>
      <c r="H1008" s="181">
        <f>INDEX('Списки данных'!$D$2:$D$1048576,MATCH(База_КР_КК[[#This Row],[Структурное подразделение]],'Списки данных'!$C$2:$C$1048576,0))</f>
        <v>22</v>
      </c>
      <c r="I1008" s="80" t="s">
        <v>135</v>
      </c>
      <c r="J1008" s="80" t="s">
        <v>202</v>
      </c>
      <c r="K1008" s="80" t="s">
        <v>203</v>
      </c>
      <c r="L1008" s="30" t="s">
        <v>191</v>
      </c>
      <c r="M1008" s="68">
        <v>7</v>
      </c>
      <c r="N1008" s="181" t="str">
        <f t="shared" si="16"/>
        <v>да</v>
      </c>
      <c r="O1008" s="23">
        <v>44489</v>
      </c>
      <c r="P1008" s="23">
        <v>44519</v>
      </c>
      <c r="Q1008" s="106" t="s">
        <v>66</v>
      </c>
      <c r="R1008" s="37">
        <v>197</v>
      </c>
      <c r="S1008" s="38" t="s">
        <v>609</v>
      </c>
      <c r="T1008" s="37">
        <v>1280</v>
      </c>
      <c r="U1008" s="38" t="s">
        <v>1682</v>
      </c>
      <c r="V1008" s="69" t="s">
        <v>272</v>
      </c>
      <c r="W1008" s="89" t="s">
        <v>135</v>
      </c>
      <c r="X1008" s="106" t="s">
        <v>296</v>
      </c>
      <c r="Y1008" s="107" t="s">
        <v>12</v>
      </c>
      <c r="Z1008" s="67">
        <f>IF(База_КР_КК[[#This Row],[Таб.номер резервиста]]="-","-",IF(OR(База_КР_КК[[#This Row],[Уровень КК]]=2,База_КР_КК[[#This Row],[Уровень КК]]=3),IF(COUNTIFS($U$2:$U1008,$U1008,$F$2:$F1008,$F1008)=1,1,0),IF(COUNTIFS($U$2:$U1008,$U1008,$L$2:$L1008,$L1008)=1,1,0)))</f>
        <v>0</v>
      </c>
      <c r="AA10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8" s="106"/>
      <c r="AC1008" s="51"/>
      <c r="AD1008" s="106" t="s">
        <v>15</v>
      </c>
      <c r="AE1008" s="33" t="s">
        <v>413</v>
      </c>
    </row>
    <row r="1009" spans="1:31" ht="18" customHeight="1" x14ac:dyDescent="0.25">
      <c r="A10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09" s="79">
        <v>4</v>
      </c>
      <c r="C1009" s="23">
        <v>44879</v>
      </c>
      <c r="D1009" s="67">
        <f>IF(COUNTIF($G$2:$G1009,$G1009)=1,1,0)</f>
        <v>0</v>
      </c>
      <c r="E1009" s="67" t="str">
        <f>IFERROR(VLOOKUP(База_КР_КК[[#This Row],[ИД штатной должности (S)]],'уровень защищенности'!$B$7:$F$1095,5,0),"не защищена")</f>
        <v>высокий</v>
      </c>
      <c r="F1009" s="68">
        <v>500655</v>
      </c>
      <c r="G1009" s="74" t="s">
        <v>2357</v>
      </c>
      <c r="H1009" s="181">
        <f>INDEX('Списки данных'!$D$2:$D$1048576,MATCH(База_КР_КК[[#This Row],[Структурное подразделение]],'Списки данных'!$C$2:$C$1048576,0))</f>
        <v>22</v>
      </c>
      <c r="I1009" s="80" t="s">
        <v>135</v>
      </c>
      <c r="J1009" s="80" t="s">
        <v>202</v>
      </c>
      <c r="K1009" s="80" t="s">
        <v>203</v>
      </c>
      <c r="L1009" s="30" t="s">
        <v>191</v>
      </c>
      <c r="M1009" s="68">
        <v>7</v>
      </c>
      <c r="N1009" s="181" t="str">
        <f t="shared" si="16"/>
        <v>да</v>
      </c>
      <c r="O1009" s="23">
        <v>44489</v>
      </c>
      <c r="P1009" s="23">
        <v>44519</v>
      </c>
      <c r="Q1009" s="106" t="s">
        <v>66</v>
      </c>
      <c r="R1009" s="37">
        <v>197</v>
      </c>
      <c r="S1009" s="38" t="s">
        <v>609</v>
      </c>
      <c r="T1009" s="37">
        <v>1241</v>
      </c>
      <c r="U1009" s="38" t="s">
        <v>1645</v>
      </c>
      <c r="V1009" s="69" t="s">
        <v>272</v>
      </c>
      <c r="W1009" s="89" t="s">
        <v>135</v>
      </c>
      <c r="X1009" s="106" t="s">
        <v>295</v>
      </c>
      <c r="Y1009" s="107" t="s">
        <v>12</v>
      </c>
      <c r="Z1009" s="67">
        <f>IF(База_КР_КК[[#This Row],[Таб.номер резервиста]]="-","-",IF(OR(База_КР_КК[[#This Row],[Уровень КК]]=2,База_КР_КК[[#This Row],[Уровень КК]]=3),IF(COUNTIFS($U$2:$U1009,$U1009,$F$2:$F1009,$F1009)=1,1,0),IF(COUNTIFS($U$2:$U1009,$U1009,$L$2:$L1009,$L1009)=1,1,0)))</f>
        <v>0</v>
      </c>
      <c r="AA10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09" s="106"/>
      <c r="AC1009" s="51"/>
      <c r="AD1009" s="106" t="s">
        <v>15</v>
      </c>
      <c r="AE1009" s="33" t="s">
        <v>413</v>
      </c>
    </row>
    <row r="1010" spans="1:31" ht="18" customHeight="1" x14ac:dyDescent="0.25">
      <c r="A10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0" s="79">
        <v>4</v>
      </c>
      <c r="C1010" s="23">
        <v>43733</v>
      </c>
      <c r="D1010" s="67">
        <f>IF(COUNTIF($G$2:$G1010,$G1010)=1,1,0)</f>
        <v>0</v>
      </c>
      <c r="E1010" s="67" t="str">
        <f>IFERROR(VLOOKUP(База_КР_КК[[#This Row],[ИД штатной должности (S)]],'уровень защищенности'!$B$7:$F$1095,5,0),"не защищена")</f>
        <v>высокий</v>
      </c>
      <c r="F1010" s="68">
        <v>500655</v>
      </c>
      <c r="G1010" s="74" t="s">
        <v>2357</v>
      </c>
      <c r="H1010" s="181">
        <f>INDEX('Списки данных'!$D$2:$D$1048576,MATCH(База_КР_КК[[#This Row],[Структурное подразделение]],'Списки данных'!$C$2:$C$1048576,0))</f>
        <v>22</v>
      </c>
      <c r="I1010" s="80" t="s">
        <v>135</v>
      </c>
      <c r="J1010" s="80" t="s">
        <v>202</v>
      </c>
      <c r="K1010" s="80" t="s">
        <v>203</v>
      </c>
      <c r="L1010" s="30" t="s">
        <v>191</v>
      </c>
      <c r="M1010" s="68">
        <v>7</v>
      </c>
      <c r="N1010" s="181" t="str">
        <f t="shared" si="16"/>
        <v>да</v>
      </c>
      <c r="O1010" s="23">
        <v>44489</v>
      </c>
      <c r="P1010" s="23">
        <v>44519</v>
      </c>
      <c r="Q1010" s="106" t="s">
        <v>66</v>
      </c>
      <c r="R1010" s="37">
        <v>197</v>
      </c>
      <c r="S1010" s="39" t="s">
        <v>609</v>
      </c>
      <c r="T1010" s="37">
        <v>197</v>
      </c>
      <c r="U1010" s="39" t="s">
        <v>609</v>
      </c>
      <c r="V1010" s="89" t="s">
        <v>272</v>
      </c>
      <c r="W1010" s="89" t="s">
        <v>135</v>
      </c>
      <c r="X1010" s="106" t="s">
        <v>295</v>
      </c>
      <c r="Y1010" s="107" t="s">
        <v>14</v>
      </c>
      <c r="Z1010" s="67">
        <f>IF(База_КР_КК[[#This Row],[Таб.номер резервиста]]="-","-",IF(OR(База_КР_КК[[#This Row],[Уровень КК]]=2,База_КР_КК[[#This Row],[Уровень КК]]=3),IF(COUNTIFS($U$2:$U1010,$U1010,$F$2:$F1010,$F1010)=1,1,0),IF(COUNTIFS($U$2:$U1010,$U1010,$L$2:$L1010,$L1010)=1,1,0)))</f>
        <v>1</v>
      </c>
      <c r="AA10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010" s="106" t="s">
        <v>24</v>
      </c>
      <c r="AC1010" s="51">
        <v>44519</v>
      </c>
      <c r="AD1010" s="106" t="s">
        <v>17</v>
      </c>
      <c r="AE1010" s="38" t="s">
        <v>324</v>
      </c>
    </row>
    <row r="1011" spans="1:31" ht="18" customHeight="1" x14ac:dyDescent="0.25">
      <c r="A10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1" s="79">
        <v>4</v>
      </c>
      <c r="C1011" s="23">
        <v>43733</v>
      </c>
      <c r="D1011" s="67">
        <f>IF(COUNTIF($G$2:$G1011,$G1011)=1,1,0)</f>
        <v>0</v>
      </c>
      <c r="E1011" s="67" t="str">
        <f>IFERROR(VLOOKUP(База_КР_КК[[#This Row],[ИД штатной должности (S)]],'уровень защищенности'!$B$7:$F$1095,5,0),"не защищена")</f>
        <v>высокий</v>
      </c>
      <c r="F1011" s="68">
        <v>500655</v>
      </c>
      <c r="G1011" s="74" t="s">
        <v>2357</v>
      </c>
      <c r="H1011" s="181">
        <f>INDEX('Списки данных'!$D$2:$D$1048576,MATCH(База_КР_КК[[#This Row],[Структурное подразделение]],'Списки данных'!$C$2:$C$1048576,0))</f>
        <v>22</v>
      </c>
      <c r="I1011" s="80" t="s">
        <v>135</v>
      </c>
      <c r="J1011" s="80" t="s">
        <v>202</v>
      </c>
      <c r="K1011" s="80" t="s">
        <v>203</v>
      </c>
      <c r="L1011" s="30" t="s">
        <v>191</v>
      </c>
      <c r="M1011" s="68">
        <v>7</v>
      </c>
      <c r="N1011" s="181" t="str">
        <f t="shared" si="16"/>
        <v>да</v>
      </c>
      <c r="O1011" s="23">
        <v>44489</v>
      </c>
      <c r="P1011" s="23">
        <v>44519</v>
      </c>
      <c r="Q1011" s="106" t="s">
        <v>66</v>
      </c>
      <c r="R1011" s="37">
        <v>197</v>
      </c>
      <c r="S1011" s="38" t="s">
        <v>609</v>
      </c>
      <c r="T1011" s="37">
        <v>1281</v>
      </c>
      <c r="U1011" s="39" t="s">
        <v>1683</v>
      </c>
      <c r="V1011" s="89" t="s">
        <v>272</v>
      </c>
      <c r="W1011" s="89" t="s">
        <v>135</v>
      </c>
      <c r="X1011" s="106" t="s">
        <v>295</v>
      </c>
      <c r="Y1011" s="107" t="s">
        <v>18</v>
      </c>
      <c r="Z1011" s="67">
        <f>IF(База_КР_КК[[#This Row],[Таб.номер резервиста]]="-","-",IF(OR(База_КР_КК[[#This Row],[Уровень КК]]=2,База_КР_КК[[#This Row],[Уровень КК]]=3),IF(COUNTIFS($U$2:$U1011,$U1011,$F$2:$F1011,$F1011)=1,1,0),IF(COUNTIFS($U$2:$U1011,$U1011,$L$2:$L1011,$L1011)=1,1,0)))</f>
        <v>0</v>
      </c>
      <c r="AA10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1" s="106" t="s">
        <v>19</v>
      </c>
      <c r="AC1011" s="51">
        <v>44840</v>
      </c>
      <c r="AD1011" s="106" t="s">
        <v>17</v>
      </c>
      <c r="AE1011" s="38" t="s">
        <v>324</v>
      </c>
    </row>
    <row r="1012" spans="1:31" ht="18" customHeight="1" x14ac:dyDescent="0.25">
      <c r="A10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2" s="79">
        <v>4</v>
      </c>
      <c r="C1012" s="23">
        <v>43733</v>
      </c>
      <c r="D1012" s="67">
        <f>IF(COUNTIF($G$2:$G1012,$G1012)=1,1,0)</f>
        <v>0</v>
      </c>
      <c r="E1012" s="67" t="str">
        <f>IFERROR(VLOOKUP(База_КР_КК[[#This Row],[ИД штатной должности (S)]],'уровень защищенности'!$B$7:$F$1095,5,0),"не защищена")</f>
        <v>высокий</v>
      </c>
      <c r="F1012" s="68">
        <v>500655</v>
      </c>
      <c r="G1012" s="74" t="s">
        <v>2357</v>
      </c>
      <c r="H1012" s="181">
        <f>INDEX('Списки данных'!$D$2:$D$1048576,MATCH(База_КР_КК[[#This Row],[Структурное подразделение]],'Списки данных'!$C$2:$C$1048576,0))</f>
        <v>22</v>
      </c>
      <c r="I1012" s="80" t="s">
        <v>135</v>
      </c>
      <c r="J1012" s="80" t="s">
        <v>202</v>
      </c>
      <c r="K1012" s="80" t="s">
        <v>203</v>
      </c>
      <c r="L1012" s="30" t="s">
        <v>191</v>
      </c>
      <c r="M1012" s="68">
        <v>7</v>
      </c>
      <c r="N1012" s="181" t="str">
        <f t="shared" si="16"/>
        <v>да</v>
      </c>
      <c r="O1012" s="23">
        <v>44489</v>
      </c>
      <c r="P1012" s="23">
        <v>44519</v>
      </c>
      <c r="Q1012" s="106" t="s">
        <v>66</v>
      </c>
      <c r="R1012" s="37">
        <v>197</v>
      </c>
      <c r="S1012" s="38" t="s">
        <v>609</v>
      </c>
      <c r="T1012" s="37">
        <v>1282</v>
      </c>
      <c r="U1012" s="39" t="s">
        <v>1684</v>
      </c>
      <c r="V1012" s="89" t="s">
        <v>272</v>
      </c>
      <c r="W1012" s="89" t="s">
        <v>135</v>
      </c>
      <c r="X1012" s="106" t="s">
        <v>297</v>
      </c>
      <c r="Y1012" s="107" t="s">
        <v>18</v>
      </c>
      <c r="Z1012" s="67">
        <f>IF(База_КР_КК[[#This Row],[Таб.номер резервиста]]="-","-",IF(OR(База_КР_КК[[#This Row],[Уровень КК]]=2,База_КР_КК[[#This Row],[Уровень КК]]=3),IF(COUNTIFS($U$2:$U1012,$U1012,$F$2:$F1012,$F1012)=1,1,0),IF(COUNTIFS($U$2:$U1012,$U1012,$L$2:$L1012,$L1012)=1,1,0)))</f>
        <v>0</v>
      </c>
      <c r="AA10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2" s="106" t="s">
        <v>20</v>
      </c>
      <c r="AC1012" s="51">
        <v>44279</v>
      </c>
      <c r="AD1012" s="106" t="s">
        <v>13</v>
      </c>
      <c r="AE1012" s="38" t="s">
        <v>323</v>
      </c>
    </row>
    <row r="1013" spans="1:31" ht="18" customHeight="1" x14ac:dyDescent="0.25">
      <c r="A10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3" s="79">
        <v>4</v>
      </c>
      <c r="C1013" s="23">
        <v>44046</v>
      </c>
      <c r="D1013" s="67">
        <f>IF(COUNTIF($G$2:$G1013,$G1013)=1,1,0)</f>
        <v>0</v>
      </c>
      <c r="E1013" s="67" t="str">
        <f>IFERROR(VLOOKUP(База_КР_КК[[#This Row],[ИД штатной должности (S)]],'уровень защищенности'!$B$7:$F$1095,5,0),"не защищена")</f>
        <v>высокий</v>
      </c>
      <c r="F1013" s="68">
        <v>500655</v>
      </c>
      <c r="G1013" s="74" t="s">
        <v>2357</v>
      </c>
      <c r="H1013" s="181">
        <f>INDEX('Списки данных'!$D$2:$D$1048576,MATCH(База_КР_КК[[#This Row],[Структурное подразделение]],'Списки данных'!$C$2:$C$1048576,0))</f>
        <v>22</v>
      </c>
      <c r="I1013" s="80" t="s">
        <v>135</v>
      </c>
      <c r="J1013" s="80" t="s">
        <v>202</v>
      </c>
      <c r="K1013" s="80" t="s">
        <v>203</v>
      </c>
      <c r="L1013" s="30" t="s">
        <v>191</v>
      </c>
      <c r="M1013" s="68">
        <v>7</v>
      </c>
      <c r="N1013" s="181" t="str">
        <f t="shared" si="16"/>
        <v>да</v>
      </c>
      <c r="O1013" s="23">
        <v>44489</v>
      </c>
      <c r="P1013" s="23">
        <v>44519</v>
      </c>
      <c r="Q1013" s="106" t="s">
        <v>66</v>
      </c>
      <c r="R1013" s="37">
        <v>197</v>
      </c>
      <c r="S1013" s="38" t="s">
        <v>609</v>
      </c>
      <c r="T1013" s="37">
        <v>258</v>
      </c>
      <c r="U1013" s="39" t="s">
        <v>670</v>
      </c>
      <c r="V1013" s="89" t="s">
        <v>192</v>
      </c>
      <c r="W1013" s="89" t="s">
        <v>176</v>
      </c>
      <c r="X1013" s="106" t="s">
        <v>295</v>
      </c>
      <c r="Y1013" s="107" t="s">
        <v>18</v>
      </c>
      <c r="Z1013" s="67">
        <f>IF(База_КР_КК[[#This Row],[Таб.номер резервиста]]="-","-",IF(OR(База_КР_КК[[#This Row],[Уровень КК]]=2,База_КР_КК[[#This Row],[Уровень КК]]=3),IF(COUNTIFS($U$2:$U1013,$U1013,$F$2:$F1013,$F1013)=1,1,0),IF(COUNTIFS($U$2:$U1013,$U1013,$L$2:$L1013,$L1013)=1,1,0)))</f>
        <v>0</v>
      </c>
      <c r="AA10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3" s="106" t="s">
        <v>33</v>
      </c>
      <c r="AC1013" s="51">
        <v>44046</v>
      </c>
      <c r="AD1013" s="106" t="s">
        <v>15</v>
      </c>
      <c r="AE1013" s="38" t="s">
        <v>325</v>
      </c>
    </row>
    <row r="1014" spans="1:31" ht="18" customHeight="1" x14ac:dyDescent="0.25">
      <c r="A10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4" s="79">
        <v>4</v>
      </c>
      <c r="C1014" s="23">
        <v>44487</v>
      </c>
      <c r="D1014" s="67">
        <f>IF(COUNTIF($G$2:$G1014,$G1014)=1,1,0)</f>
        <v>0</v>
      </c>
      <c r="E1014" s="67" t="str">
        <f>IFERROR(VLOOKUP(База_КР_КК[[#This Row],[ИД штатной должности (S)]],'уровень защищенности'!$B$7:$F$1095,5,0),"не защищена")</f>
        <v>высокий</v>
      </c>
      <c r="F1014" s="68">
        <v>500655</v>
      </c>
      <c r="G1014" s="74" t="s">
        <v>2357</v>
      </c>
      <c r="H1014" s="181">
        <f>INDEX('Списки данных'!$D$2:$D$1048576,MATCH(База_КР_КК[[#This Row],[Структурное подразделение]],'Списки данных'!$C$2:$C$1048576,0))</f>
        <v>22</v>
      </c>
      <c r="I1014" s="80" t="s">
        <v>135</v>
      </c>
      <c r="J1014" s="80" t="s">
        <v>202</v>
      </c>
      <c r="K1014" s="80" t="s">
        <v>203</v>
      </c>
      <c r="L1014" s="30" t="s">
        <v>191</v>
      </c>
      <c r="M1014" s="68">
        <v>7</v>
      </c>
      <c r="N1014" s="181" t="str">
        <f t="shared" si="16"/>
        <v>да</v>
      </c>
      <c r="O1014" s="23">
        <v>44489</v>
      </c>
      <c r="P1014" s="23">
        <v>44519</v>
      </c>
      <c r="Q1014" s="106" t="s">
        <v>66</v>
      </c>
      <c r="R1014" s="37">
        <v>197</v>
      </c>
      <c r="S1014" s="39" t="s">
        <v>609</v>
      </c>
      <c r="T1014" s="37">
        <v>1283</v>
      </c>
      <c r="U1014" s="39" t="s">
        <v>1685</v>
      </c>
      <c r="V1014" s="89" t="s">
        <v>192</v>
      </c>
      <c r="W1014" s="89" t="s">
        <v>135</v>
      </c>
      <c r="X1014" s="106" t="s">
        <v>297</v>
      </c>
      <c r="Y1014" s="107" t="s">
        <v>18</v>
      </c>
      <c r="Z1014" s="67">
        <f>IF(База_КР_КК[[#This Row],[Таб.номер резервиста]]="-","-",IF(OR(База_КР_КК[[#This Row],[Уровень КК]]=2,База_КР_КК[[#This Row],[Уровень КК]]=3),IF(COUNTIFS($U$2:$U1014,$U1014,$F$2:$F1014,$F1014)=1,1,0),IF(COUNTIFS($U$2:$U1014,$U1014,$L$2:$L1014,$L1014)=1,1,0)))</f>
        <v>0</v>
      </c>
      <c r="AA10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4" s="106" t="s">
        <v>19</v>
      </c>
      <c r="AC1014" s="51">
        <v>44950</v>
      </c>
      <c r="AD1014" s="106" t="s">
        <v>13</v>
      </c>
      <c r="AE1014" s="33" t="s">
        <v>413</v>
      </c>
    </row>
    <row r="1015" spans="1:31" ht="18" customHeight="1" x14ac:dyDescent="0.25">
      <c r="A10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5" s="79">
        <v>4</v>
      </c>
      <c r="C1015" s="23">
        <v>43733</v>
      </c>
      <c r="D1015" s="67">
        <f>IF(COUNTIF($G$2:$G1015,$G1015)=1,1,0)</f>
        <v>1</v>
      </c>
      <c r="E1015" s="67" t="str">
        <f>IFERROR(VLOOKUP(База_КР_КК[[#This Row],[ИД штатной должности (S)]],'уровень защищенности'!$B$7:$F$1095,5,0),"не защищена")</f>
        <v>высокий</v>
      </c>
      <c r="F1015" s="68">
        <v>500655</v>
      </c>
      <c r="G1015" s="74" t="s">
        <v>2358</v>
      </c>
      <c r="H1015" s="181">
        <f>INDEX('Списки данных'!$D$2:$D$1048576,MATCH(База_КР_КК[[#This Row],[Структурное подразделение]],'Списки данных'!$C$2:$C$1048576,0))</f>
        <v>22</v>
      </c>
      <c r="I1015" s="80" t="s">
        <v>135</v>
      </c>
      <c r="J1015" s="80" t="s">
        <v>202</v>
      </c>
      <c r="K1015" s="80" t="s">
        <v>203</v>
      </c>
      <c r="L1015" s="30" t="s">
        <v>191</v>
      </c>
      <c r="M1015" s="68">
        <v>7</v>
      </c>
      <c r="N1015" s="181" t="str">
        <f t="shared" si="16"/>
        <v>нет</v>
      </c>
      <c r="O1015" s="23"/>
      <c r="P1015" s="23"/>
      <c r="Q1015" s="106"/>
      <c r="R1015" s="37">
        <v>198</v>
      </c>
      <c r="S1015" s="38" t="s">
        <v>610</v>
      </c>
      <c r="T1015" s="37">
        <v>1276</v>
      </c>
      <c r="U1015" s="39" t="s">
        <v>1678</v>
      </c>
      <c r="V1015" s="88" t="s">
        <v>272</v>
      </c>
      <c r="W1015" s="89" t="s">
        <v>135</v>
      </c>
      <c r="X1015" s="106" t="s">
        <v>295</v>
      </c>
      <c r="Y1015" s="107" t="s">
        <v>12</v>
      </c>
      <c r="Z1015" s="67">
        <f>IF(База_КР_КК[[#This Row],[Таб.номер резервиста]]="-","-",IF(OR(База_КР_КК[[#This Row],[Уровень КК]]=2,База_КР_КК[[#This Row],[Уровень КК]]=3),IF(COUNTIFS($U$2:$U1015,$U1015,$F$2:$F1015,$F1015)=1,1,0),IF(COUNTIFS($U$2:$U1015,$U1015,$L$2:$L1015,$L1015)=1,1,0)))</f>
        <v>0</v>
      </c>
      <c r="AA10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5" s="106"/>
      <c r="AC1015" s="51"/>
      <c r="AD1015" s="106" t="s">
        <v>13</v>
      </c>
      <c r="AE1015" s="38" t="s">
        <v>413</v>
      </c>
    </row>
    <row r="1016" spans="1:31" ht="18" customHeight="1" x14ac:dyDescent="0.25">
      <c r="A10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6" s="79">
        <v>4</v>
      </c>
      <c r="C1016" s="23">
        <v>43733</v>
      </c>
      <c r="D1016" s="67">
        <f>IF(COUNTIF($G$2:$G1016,$G1016)=1,1,0)</f>
        <v>0</v>
      </c>
      <c r="E1016" s="67" t="str">
        <f>IFERROR(VLOOKUP(База_КР_КК[[#This Row],[ИД штатной должности (S)]],'уровень защищенности'!$B$7:$F$1095,5,0),"не защищена")</f>
        <v>высокий</v>
      </c>
      <c r="F1016" s="68">
        <v>500655</v>
      </c>
      <c r="G1016" s="74" t="s">
        <v>2358</v>
      </c>
      <c r="H1016" s="181">
        <f>INDEX('Списки данных'!$D$2:$D$1048576,MATCH(База_КР_КК[[#This Row],[Структурное подразделение]],'Списки данных'!$C$2:$C$1048576,0))</f>
        <v>22</v>
      </c>
      <c r="I1016" s="80" t="s">
        <v>135</v>
      </c>
      <c r="J1016" s="80" t="s">
        <v>202</v>
      </c>
      <c r="K1016" s="80" t="s">
        <v>203</v>
      </c>
      <c r="L1016" s="30" t="s">
        <v>191</v>
      </c>
      <c r="M1016" s="68">
        <v>7</v>
      </c>
      <c r="N1016" s="181" t="str">
        <f t="shared" si="16"/>
        <v>нет</v>
      </c>
      <c r="O1016" s="23"/>
      <c r="P1016" s="23"/>
      <c r="Q1016" s="106"/>
      <c r="R1016" s="37">
        <v>198</v>
      </c>
      <c r="S1016" s="38" t="s">
        <v>610</v>
      </c>
      <c r="T1016" s="37">
        <v>1275</v>
      </c>
      <c r="U1016" s="39" t="s">
        <v>1677</v>
      </c>
      <c r="V1016" s="88" t="s">
        <v>272</v>
      </c>
      <c r="W1016" s="89" t="s">
        <v>135</v>
      </c>
      <c r="X1016" s="106" t="s">
        <v>295</v>
      </c>
      <c r="Y1016" s="107" t="s">
        <v>12</v>
      </c>
      <c r="Z1016" s="67">
        <f>IF(База_КР_КК[[#This Row],[Таб.номер резервиста]]="-","-",IF(OR(База_КР_КК[[#This Row],[Уровень КК]]=2,База_КР_КК[[#This Row],[Уровень КК]]=3),IF(COUNTIFS($U$2:$U1016,$U1016,$F$2:$F1016,$F1016)=1,1,0),IF(COUNTIFS($U$2:$U1016,$U1016,$L$2:$L1016,$L1016)=1,1,0)))</f>
        <v>0</v>
      </c>
      <c r="AA10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6" s="106"/>
      <c r="AC1016" s="51"/>
      <c r="AD1016" s="106" t="s">
        <v>13</v>
      </c>
      <c r="AE1016" s="38" t="s">
        <v>413</v>
      </c>
    </row>
    <row r="1017" spans="1:31" ht="18" customHeight="1" x14ac:dyDescent="0.25">
      <c r="A10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7" s="79">
        <v>4</v>
      </c>
      <c r="C1017" s="23">
        <v>43733</v>
      </c>
      <c r="D1017" s="67">
        <f>IF(COUNTIF($G$2:$G1017,$G1017)=1,1,0)</f>
        <v>0</v>
      </c>
      <c r="E1017" s="67" t="str">
        <f>IFERROR(VLOOKUP(База_КР_КК[[#This Row],[ИД штатной должности (S)]],'уровень защищенности'!$B$7:$F$1095,5,0),"не защищена")</f>
        <v>высокий</v>
      </c>
      <c r="F1017" s="68">
        <v>500655</v>
      </c>
      <c r="G1017" s="74" t="s">
        <v>2358</v>
      </c>
      <c r="H1017" s="181">
        <f>INDEX('Списки данных'!$D$2:$D$1048576,MATCH(База_КР_КК[[#This Row],[Структурное подразделение]],'Списки данных'!$C$2:$C$1048576,0))</f>
        <v>22</v>
      </c>
      <c r="I1017" s="80" t="s">
        <v>135</v>
      </c>
      <c r="J1017" s="80" t="s">
        <v>202</v>
      </c>
      <c r="K1017" s="80" t="s">
        <v>203</v>
      </c>
      <c r="L1017" s="30" t="s">
        <v>191</v>
      </c>
      <c r="M1017" s="68">
        <v>7</v>
      </c>
      <c r="N1017" s="181" t="str">
        <f t="shared" si="16"/>
        <v>нет</v>
      </c>
      <c r="O1017" s="23"/>
      <c r="P1017" s="23"/>
      <c r="Q1017" s="106"/>
      <c r="R1017" s="37">
        <v>198</v>
      </c>
      <c r="S1017" s="38" t="s">
        <v>610</v>
      </c>
      <c r="T1017" s="37">
        <v>1277</v>
      </c>
      <c r="U1017" s="39" t="s">
        <v>1679</v>
      </c>
      <c r="V1017" s="88" t="s">
        <v>272</v>
      </c>
      <c r="W1017" s="89" t="s">
        <v>135</v>
      </c>
      <c r="X1017" s="106" t="s">
        <v>295</v>
      </c>
      <c r="Y1017" s="107" t="s">
        <v>12</v>
      </c>
      <c r="Z1017" s="67">
        <f>IF(База_КР_КК[[#This Row],[Таб.номер резервиста]]="-","-",IF(OR(База_КР_КК[[#This Row],[Уровень КК]]=2,База_КР_КК[[#This Row],[Уровень КК]]=3),IF(COUNTIFS($U$2:$U1017,$U1017,$F$2:$F1017,$F1017)=1,1,0),IF(COUNTIFS($U$2:$U1017,$U1017,$L$2:$L1017,$L1017)=1,1,0)))</f>
        <v>0</v>
      </c>
      <c r="AA10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7" s="106"/>
      <c r="AC1017" s="51"/>
      <c r="AD1017" s="106" t="s">
        <v>13</v>
      </c>
      <c r="AE1017" s="38" t="s">
        <v>413</v>
      </c>
    </row>
    <row r="1018" spans="1:31" ht="18" customHeight="1" x14ac:dyDescent="0.25">
      <c r="A10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8" s="79">
        <v>4</v>
      </c>
      <c r="C1018" s="23">
        <v>44879</v>
      </c>
      <c r="D1018" s="67">
        <f>IF(COUNTIF($G$2:$G1018,$G1018)=1,1,0)</f>
        <v>0</v>
      </c>
      <c r="E1018" s="67" t="str">
        <f>IFERROR(VLOOKUP(База_КР_КК[[#This Row],[ИД штатной должности (S)]],'уровень защищенности'!$B$7:$F$1095,5,0),"не защищена")</f>
        <v>высокий</v>
      </c>
      <c r="F1018" s="68">
        <v>500655</v>
      </c>
      <c r="G1018" s="74" t="s">
        <v>2358</v>
      </c>
      <c r="H1018" s="181">
        <f>INDEX('Списки данных'!$D$2:$D$1048576,MATCH(База_КР_КК[[#This Row],[Структурное подразделение]],'Списки данных'!$C$2:$C$1048576,0))</f>
        <v>22</v>
      </c>
      <c r="I1018" s="80" t="s">
        <v>135</v>
      </c>
      <c r="J1018" s="80" t="s">
        <v>202</v>
      </c>
      <c r="K1018" s="80" t="s">
        <v>203</v>
      </c>
      <c r="L1018" s="30" t="s">
        <v>191</v>
      </c>
      <c r="M1018" s="68">
        <v>7</v>
      </c>
      <c r="N1018" s="181" t="str">
        <f t="shared" si="16"/>
        <v>нет</v>
      </c>
      <c r="O1018" s="23"/>
      <c r="P1018" s="23"/>
      <c r="Q1018" s="106"/>
      <c r="R1018" s="37">
        <v>198</v>
      </c>
      <c r="S1018" s="38" t="s">
        <v>610</v>
      </c>
      <c r="T1018" s="37">
        <v>1278</v>
      </c>
      <c r="U1018" s="38" t="s">
        <v>1680</v>
      </c>
      <c r="V1018" s="93" t="s">
        <v>272</v>
      </c>
      <c r="W1018" s="89" t="s">
        <v>135</v>
      </c>
      <c r="X1018" s="106" t="s">
        <v>296</v>
      </c>
      <c r="Y1018" s="107" t="s">
        <v>12</v>
      </c>
      <c r="Z1018" s="67">
        <f>IF(База_КР_КК[[#This Row],[Таб.номер резервиста]]="-","-",IF(OR(База_КР_КК[[#This Row],[Уровень КК]]=2,База_КР_КК[[#This Row],[Уровень КК]]=3),IF(COUNTIFS($U$2:$U1018,$U1018,$F$2:$F1018,$F1018)=1,1,0),IF(COUNTIFS($U$2:$U1018,$U1018,$L$2:$L1018,$L1018)=1,1,0)))</f>
        <v>0</v>
      </c>
      <c r="AA10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8" s="106"/>
      <c r="AC1018" s="51"/>
      <c r="AD1018" s="106" t="s">
        <v>15</v>
      </c>
      <c r="AE1018" s="33" t="s">
        <v>413</v>
      </c>
    </row>
    <row r="1019" spans="1:31" ht="18" customHeight="1" x14ac:dyDescent="0.25">
      <c r="A10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19" s="79">
        <v>4</v>
      </c>
      <c r="C1019" s="23">
        <v>44879</v>
      </c>
      <c r="D1019" s="67">
        <f>IF(COUNTIF($G$2:$G1019,$G1019)=1,1,0)</f>
        <v>0</v>
      </c>
      <c r="E1019" s="67" t="str">
        <f>IFERROR(VLOOKUP(База_КР_КК[[#This Row],[ИД штатной должности (S)]],'уровень защищенности'!$B$7:$F$1095,5,0),"не защищена")</f>
        <v>высокий</v>
      </c>
      <c r="F1019" s="68">
        <v>500655</v>
      </c>
      <c r="G1019" s="74" t="s">
        <v>2358</v>
      </c>
      <c r="H1019" s="181">
        <f>INDEX('Списки данных'!$D$2:$D$1048576,MATCH(База_КР_КК[[#This Row],[Структурное подразделение]],'Списки данных'!$C$2:$C$1048576,0))</f>
        <v>22</v>
      </c>
      <c r="I1019" s="80" t="s">
        <v>135</v>
      </c>
      <c r="J1019" s="80" t="s">
        <v>202</v>
      </c>
      <c r="K1019" s="80" t="s">
        <v>203</v>
      </c>
      <c r="L1019" s="30" t="s">
        <v>191</v>
      </c>
      <c r="M1019" s="68">
        <v>7</v>
      </c>
      <c r="N1019" s="181" t="str">
        <f t="shared" si="16"/>
        <v>нет</v>
      </c>
      <c r="O1019" s="23"/>
      <c r="P1019" s="23"/>
      <c r="Q1019" s="106"/>
      <c r="R1019" s="37">
        <v>198</v>
      </c>
      <c r="S1019" s="38" t="s">
        <v>610</v>
      </c>
      <c r="T1019" s="37">
        <v>1279</v>
      </c>
      <c r="U1019" s="38" t="s">
        <v>1681</v>
      </c>
      <c r="V1019" s="93" t="s">
        <v>272</v>
      </c>
      <c r="W1019" s="89" t="s">
        <v>135</v>
      </c>
      <c r="X1019" s="106" t="s">
        <v>296</v>
      </c>
      <c r="Y1019" s="107" t="s">
        <v>12</v>
      </c>
      <c r="Z1019" s="67">
        <f>IF(База_КР_КК[[#This Row],[Таб.номер резервиста]]="-","-",IF(OR(База_КР_КК[[#This Row],[Уровень КК]]=2,База_КР_КК[[#This Row],[Уровень КК]]=3),IF(COUNTIFS($U$2:$U1019,$U1019,$F$2:$F1019,$F1019)=1,1,0),IF(COUNTIFS($U$2:$U1019,$U1019,$L$2:$L1019,$L1019)=1,1,0)))</f>
        <v>0</v>
      </c>
      <c r="AA10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19" s="106"/>
      <c r="AC1019" s="51"/>
      <c r="AD1019" s="106" t="s">
        <v>15</v>
      </c>
      <c r="AE1019" s="33" t="s">
        <v>413</v>
      </c>
    </row>
    <row r="1020" spans="1:31" ht="18" customHeight="1" x14ac:dyDescent="0.25">
      <c r="A10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0" s="79">
        <v>4</v>
      </c>
      <c r="C1020" s="23">
        <v>44879</v>
      </c>
      <c r="D1020" s="67">
        <f>IF(COUNTIF($G$2:$G1020,$G1020)=1,1,0)</f>
        <v>0</v>
      </c>
      <c r="E1020" s="67" t="str">
        <f>IFERROR(VLOOKUP(База_КР_КК[[#This Row],[ИД штатной должности (S)]],'уровень защищенности'!$B$7:$F$1095,5,0),"не защищена")</f>
        <v>высокий</v>
      </c>
      <c r="F1020" s="68">
        <v>500655</v>
      </c>
      <c r="G1020" s="74" t="s">
        <v>2358</v>
      </c>
      <c r="H1020" s="181">
        <f>INDEX('Списки данных'!$D$2:$D$1048576,MATCH(База_КР_КК[[#This Row],[Структурное подразделение]],'Списки данных'!$C$2:$C$1048576,0))</f>
        <v>22</v>
      </c>
      <c r="I1020" s="80" t="s">
        <v>135</v>
      </c>
      <c r="J1020" s="80" t="s">
        <v>202</v>
      </c>
      <c r="K1020" s="80" t="s">
        <v>203</v>
      </c>
      <c r="L1020" s="30" t="s">
        <v>191</v>
      </c>
      <c r="M1020" s="68">
        <v>7</v>
      </c>
      <c r="N1020" s="181" t="str">
        <f t="shared" si="16"/>
        <v>нет</v>
      </c>
      <c r="O1020" s="23"/>
      <c r="P1020" s="23"/>
      <c r="Q1020" s="106"/>
      <c r="R1020" s="37">
        <v>198</v>
      </c>
      <c r="S1020" s="38" t="s">
        <v>610</v>
      </c>
      <c r="T1020" s="37">
        <v>1280</v>
      </c>
      <c r="U1020" s="38" t="s">
        <v>1682</v>
      </c>
      <c r="V1020" s="93" t="s">
        <v>272</v>
      </c>
      <c r="W1020" s="89" t="s">
        <v>135</v>
      </c>
      <c r="X1020" s="106" t="s">
        <v>296</v>
      </c>
      <c r="Y1020" s="107" t="s">
        <v>12</v>
      </c>
      <c r="Z1020" s="67">
        <f>IF(База_КР_КК[[#This Row],[Таб.номер резервиста]]="-","-",IF(OR(База_КР_КК[[#This Row],[Уровень КК]]=2,База_КР_КК[[#This Row],[Уровень КК]]=3),IF(COUNTIFS($U$2:$U1020,$U1020,$F$2:$F1020,$F1020)=1,1,0),IF(COUNTIFS($U$2:$U1020,$U1020,$L$2:$L1020,$L1020)=1,1,0)))</f>
        <v>0</v>
      </c>
      <c r="AA10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0" s="106"/>
      <c r="AC1020" s="51"/>
      <c r="AD1020" s="106" t="s">
        <v>15</v>
      </c>
      <c r="AE1020" s="33" t="s">
        <v>413</v>
      </c>
    </row>
    <row r="1021" spans="1:31" ht="18" customHeight="1" x14ac:dyDescent="0.25">
      <c r="A10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1" s="79">
        <v>4</v>
      </c>
      <c r="C1021" s="23">
        <v>44879</v>
      </c>
      <c r="D1021" s="67">
        <f>IF(COUNTIF($G$2:$G1021,$G1021)=1,1,0)</f>
        <v>0</v>
      </c>
      <c r="E1021" s="67" t="str">
        <f>IFERROR(VLOOKUP(База_КР_КК[[#This Row],[ИД штатной должности (S)]],'уровень защищенности'!$B$7:$F$1095,5,0),"не защищена")</f>
        <v>высокий</v>
      </c>
      <c r="F1021" s="68">
        <v>500655</v>
      </c>
      <c r="G1021" s="74" t="s">
        <v>2358</v>
      </c>
      <c r="H1021" s="181">
        <f>INDEX('Списки данных'!$D$2:$D$1048576,MATCH(База_КР_КК[[#This Row],[Структурное подразделение]],'Списки данных'!$C$2:$C$1048576,0))</f>
        <v>22</v>
      </c>
      <c r="I1021" s="80" t="s">
        <v>135</v>
      </c>
      <c r="J1021" s="80" t="s">
        <v>202</v>
      </c>
      <c r="K1021" s="80" t="s">
        <v>203</v>
      </c>
      <c r="L1021" s="30" t="s">
        <v>191</v>
      </c>
      <c r="M1021" s="68">
        <v>7</v>
      </c>
      <c r="N1021" s="181" t="str">
        <f t="shared" si="16"/>
        <v>нет</v>
      </c>
      <c r="O1021" s="23"/>
      <c r="P1021" s="23"/>
      <c r="Q1021" s="106"/>
      <c r="R1021" s="37">
        <v>198</v>
      </c>
      <c r="S1021" s="38" t="s">
        <v>610</v>
      </c>
      <c r="T1021" s="37">
        <v>1241</v>
      </c>
      <c r="U1021" s="38" t="s">
        <v>1645</v>
      </c>
      <c r="V1021" s="93" t="s">
        <v>272</v>
      </c>
      <c r="W1021" s="89" t="s">
        <v>135</v>
      </c>
      <c r="X1021" s="106" t="s">
        <v>295</v>
      </c>
      <c r="Y1021" s="107" t="s">
        <v>12</v>
      </c>
      <c r="Z1021" s="67">
        <f>IF(База_КР_КК[[#This Row],[Таб.номер резервиста]]="-","-",IF(OR(База_КР_КК[[#This Row],[Уровень КК]]=2,База_КР_КК[[#This Row],[Уровень КК]]=3),IF(COUNTIFS($U$2:$U1021,$U1021,$F$2:$F1021,$F1021)=1,1,0),IF(COUNTIFS($U$2:$U1021,$U1021,$L$2:$L1021,$L1021)=1,1,0)))</f>
        <v>0</v>
      </c>
      <c r="AA10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1" s="106"/>
      <c r="AC1021" s="51"/>
      <c r="AD1021" s="106" t="s">
        <v>15</v>
      </c>
      <c r="AE1021" s="33" t="s">
        <v>413</v>
      </c>
    </row>
    <row r="1022" spans="1:31" ht="18" customHeight="1" x14ac:dyDescent="0.25">
      <c r="A10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2" s="79">
        <v>4</v>
      </c>
      <c r="C1022" s="23">
        <v>43733</v>
      </c>
      <c r="D1022" s="67">
        <f>IF(COUNTIF($G$2:$G1022,$G1022)=1,1,0)</f>
        <v>0</v>
      </c>
      <c r="E1022" s="67" t="str">
        <f>IFERROR(VLOOKUP(База_КР_КК[[#This Row],[ИД штатной должности (S)]],'уровень защищенности'!$B$7:$F$1095,5,0),"не защищена")</f>
        <v>высокий</v>
      </c>
      <c r="F1022" s="68">
        <v>500655</v>
      </c>
      <c r="G1022" s="74" t="s">
        <v>2358</v>
      </c>
      <c r="H1022" s="181">
        <f>INDEX('Списки данных'!$D$2:$D$1048576,MATCH(База_КР_КК[[#This Row],[Структурное подразделение]],'Списки данных'!$C$2:$C$1048576,0))</f>
        <v>22</v>
      </c>
      <c r="I1022" s="80" t="s">
        <v>135</v>
      </c>
      <c r="J1022" s="80" t="s">
        <v>202</v>
      </c>
      <c r="K1022" s="80" t="s">
        <v>203</v>
      </c>
      <c r="L1022" s="30" t="s">
        <v>191</v>
      </c>
      <c r="M1022" s="68">
        <v>7</v>
      </c>
      <c r="N1022" s="181" t="str">
        <f t="shared" si="16"/>
        <v>нет</v>
      </c>
      <c r="O1022" s="23"/>
      <c r="P1022" s="23"/>
      <c r="Q1022" s="106"/>
      <c r="R1022" s="37">
        <v>198</v>
      </c>
      <c r="S1022" s="38" t="s">
        <v>610</v>
      </c>
      <c r="T1022" s="37">
        <v>1281</v>
      </c>
      <c r="U1022" s="39" t="s">
        <v>1683</v>
      </c>
      <c r="V1022" s="88" t="s">
        <v>272</v>
      </c>
      <c r="W1022" s="89" t="s">
        <v>135</v>
      </c>
      <c r="X1022" s="106" t="s">
        <v>295</v>
      </c>
      <c r="Y1022" s="107" t="s">
        <v>18</v>
      </c>
      <c r="Z1022" s="67">
        <f>IF(База_КР_КК[[#This Row],[Таб.номер резервиста]]="-","-",IF(OR(База_КР_КК[[#This Row],[Уровень КК]]=2,База_КР_КК[[#This Row],[Уровень КК]]=3),IF(COUNTIFS($U$2:$U1022,$U1022,$F$2:$F1022,$F1022)=1,1,0),IF(COUNTIFS($U$2:$U1022,$U1022,$L$2:$L1022,$L1022)=1,1,0)))</f>
        <v>0</v>
      </c>
      <c r="AA10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2" s="106" t="s">
        <v>19</v>
      </c>
      <c r="AC1022" s="51">
        <v>44840</v>
      </c>
      <c r="AD1022" s="106" t="s">
        <v>17</v>
      </c>
      <c r="AE1022" s="38" t="s">
        <v>324</v>
      </c>
    </row>
    <row r="1023" spans="1:31" ht="18" customHeight="1" x14ac:dyDescent="0.25">
      <c r="A10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3" s="79">
        <v>4</v>
      </c>
      <c r="C1023" s="23">
        <v>43733</v>
      </c>
      <c r="D1023" s="67">
        <f>IF(COUNTIF($G$2:$G1023,$G1023)=1,1,0)</f>
        <v>0</v>
      </c>
      <c r="E1023" s="67" t="str">
        <f>IFERROR(VLOOKUP(База_КР_КК[[#This Row],[ИД штатной должности (S)]],'уровень защищенности'!$B$7:$F$1095,5,0),"не защищена")</f>
        <v>высокий</v>
      </c>
      <c r="F1023" s="68">
        <v>500655</v>
      </c>
      <c r="G1023" s="74" t="s">
        <v>2358</v>
      </c>
      <c r="H1023" s="181">
        <f>INDEX('Списки данных'!$D$2:$D$1048576,MATCH(База_КР_КК[[#This Row],[Структурное подразделение]],'Списки данных'!$C$2:$C$1048576,0))</f>
        <v>22</v>
      </c>
      <c r="I1023" s="80" t="s">
        <v>135</v>
      </c>
      <c r="J1023" s="80" t="s">
        <v>202</v>
      </c>
      <c r="K1023" s="80" t="s">
        <v>203</v>
      </c>
      <c r="L1023" s="30" t="s">
        <v>191</v>
      </c>
      <c r="M1023" s="68">
        <v>7</v>
      </c>
      <c r="N1023" s="181" t="str">
        <f t="shared" si="16"/>
        <v>нет</v>
      </c>
      <c r="O1023" s="23"/>
      <c r="P1023" s="23"/>
      <c r="Q1023" s="106"/>
      <c r="R1023" s="37">
        <v>198</v>
      </c>
      <c r="S1023" s="38" t="s">
        <v>610</v>
      </c>
      <c r="T1023" s="37">
        <v>1282</v>
      </c>
      <c r="U1023" s="39" t="s">
        <v>1684</v>
      </c>
      <c r="V1023" s="88" t="s">
        <v>272</v>
      </c>
      <c r="W1023" s="89" t="s">
        <v>135</v>
      </c>
      <c r="X1023" s="106" t="s">
        <v>297</v>
      </c>
      <c r="Y1023" s="107" t="s">
        <v>18</v>
      </c>
      <c r="Z1023" s="67">
        <f>IF(База_КР_КК[[#This Row],[Таб.номер резервиста]]="-","-",IF(OR(База_КР_КК[[#This Row],[Уровень КК]]=2,База_КР_КК[[#This Row],[Уровень КК]]=3),IF(COUNTIFS($U$2:$U1023,$U1023,$F$2:$F1023,$F1023)=1,1,0),IF(COUNTIFS($U$2:$U1023,$U1023,$L$2:$L1023,$L1023)=1,1,0)))</f>
        <v>0</v>
      </c>
      <c r="AA10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3" s="106" t="s">
        <v>20</v>
      </c>
      <c r="AC1023" s="51">
        <v>44279</v>
      </c>
      <c r="AD1023" s="106" t="s">
        <v>13</v>
      </c>
      <c r="AE1023" s="38" t="s">
        <v>323</v>
      </c>
    </row>
    <row r="1024" spans="1:31" ht="18" customHeight="1" x14ac:dyDescent="0.25">
      <c r="A10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4" s="79">
        <v>4</v>
      </c>
      <c r="C1024" s="23">
        <v>44046</v>
      </c>
      <c r="D1024" s="67">
        <f>IF(COUNTIF($G$2:$G1024,$G1024)=1,1,0)</f>
        <v>0</v>
      </c>
      <c r="E1024" s="67" t="str">
        <f>IFERROR(VLOOKUP(База_КР_КК[[#This Row],[ИД штатной должности (S)]],'уровень защищенности'!$B$7:$F$1095,5,0),"не защищена")</f>
        <v>высокий</v>
      </c>
      <c r="F1024" s="68">
        <v>500655</v>
      </c>
      <c r="G1024" s="74" t="s">
        <v>2358</v>
      </c>
      <c r="H1024" s="181">
        <f>INDEX('Списки данных'!$D$2:$D$1048576,MATCH(База_КР_КК[[#This Row],[Структурное подразделение]],'Списки данных'!$C$2:$C$1048576,0))</f>
        <v>22</v>
      </c>
      <c r="I1024" s="80" t="s">
        <v>135</v>
      </c>
      <c r="J1024" s="80" t="s">
        <v>202</v>
      </c>
      <c r="K1024" s="80" t="s">
        <v>203</v>
      </c>
      <c r="L1024" s="30" t="s">
        <v>191</v>
      </c>
      <c r="M1024" s="68">
        <v>7</v>
      </c>
      <c r="N1024" s="181" t="str">
        <f t="shared" si="16"/>
        <v>нет</v>
      </c>
      <c r="O1024" s="23"/>
      <c r="P1024" s="23"/>
      <c r="Q1024" s="106"/>
      <c r="R1024" s="37">
        <v>198</v>
      </c>
      <c r="S1024" s="38" t="s">
        <v>610</v>
      </c>
      <c r="T1024" s="37">
        <v>258</v>
      </c>
      <c r="U1024" s="39" t="s">
        <v>670</v>
      </c>
      <c r="V1024" s="88" t="s">
        <v>192</v>
      </c>
      <c r="W1024" s="89" t="s">
        <v>176</v>
      </c>
      <c r="X1024" s="106" t="s">
        <v>295</v>
      </c>
      <c r="Y1024" s="107" t="s">
        <v>18</v>
      </c>
      <c r="Z1024" s="67">
        <f>IF(База_КР_КК[[#This Row],[Таб.номер резервиста]]="-","-",IF(OR(База_КР_КК[[#This Row],[Уровень КК]]=2,База_КР_КК[[#This Row],[Уровень КК]]=3),IF(COUNTIFS($U$2:$U1024,$U1024,$F$2:$F1024,$F1024)=1,1,0),IF(COUNTIFS($U$2:$U1024,$U1024,$L$2:$L1024,$L1024)=1,1,0)))</f>
        <v>0</v>
      </c>
      <c r="AA10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4" s="106" t="s">
        <v>33</v>
      </c>
      <c r="AC1024" s="51">
        <v>44046</v>
      </c>
      <c r="AD1024" s="106" t="s">
        <v>15</v>
      </c>
      <c r="AE1024" s="38" t="s">
        <v>325</v>
      </c>
    </row>
    <row r="1025" spans="1:31" ht="18" customHeight="1" x14ac:dyDescent="0.25">
      <c r="A10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5" s="79">
        <v>4</v>
      </c>
      <c r="C1025" s="23">
        <v>44487</v>
      </c>
      <c r="D1025" s="67">
        <f>IF(COUNTIF($G$2:$G1025,$G1025)=1,1,0)</f>
        <v>0</v>
      </c>
      <c r="E1025" s="67" t="str">
        <f>IFERROR(VLOOKUP(База_КР_КК[[#This Row],[ИД штатной должности (S)]],'уровень защищенности'!$B$7:$F$1095,5,0),"не защищена")</f>
        <v>высокий</v>
      </c>
      <c r="F1025" s="68">
        <v>500655</v>
      </c>
      <c r="G1025" s="74" t="s">
        <v>2358</v>
      </c>
      <c r="H1025" s="181">
        <f>INDEX('Списки данных'!$D$2:$D$1048576,MATCH(База_КР_КК[[#This Row],[Структурное подразделение]],'Списки данных'!$C$2:$C$1048576,0))</f>
        <v>22</v>
      </c>
      <c r="I1025" s="80" t="s">
        <v>135</v>
      </c>
      <c r="J1025" s="80" t="s">
        <v>202</v>
      </c>
      <c r="K1025" s="80" t="s">
        <v>203</v>
      </c>
      <c r="L1025" s="30" t="s">
        <v>191</v>
      </c>
      <c r="M1025" s="68">
        <v>7</v>
      </c>
      <c r="N1025" s="181" t="str">
        <f t="shared" ref="N1025:N1088" si="17">IF(ISBLANK(O1025),"нет","да")</f>
        <v>нет</v>
      </c>
      <c r="O1025" s="23"/>
      <c r="P1025" s="23"/>
      <c r="Q1025" s="106"/>
      <c r="R1025" s="37">
        <v>198</v>
      </c>
      <c r="S1025" s="39" t="s">
        <v>610</v>
      </c>
      <c r="T1025" s="37">
        <v>1283</v>
      </c>
      <c r="U1025" s="39" t="s">
        <v>1685</v>
      </c>
      <c r="V1025" s="88" t="s">
        <v>192</v>
      </c>
      <c r="W1025" s="89" t="s">
        <v>135</v>
      </c>
      <c r="X1025" s="106" t="s">
        <v>297</v>
      </c>
      <c r="Y1025" s="107" t="s">
        <v>18</v>
      </c>
      <c r="Z1025" s="67">
        <f>IF(База_КР_КК[[#This Row],[Таб.номер резервиста]]="-","-",IF(OR(База_КР_КК[[#This Row],[Уровень КК]]=2,База_КР_КК[[#This Row],[Уровень КК]]=3),IF(COUNTIFS($U$2:$U1025,$U1025,$F$2:$F1025,$F1025)=1,1,0),IF(COUNTIFS($U$2:$U1025,$U1025,$L$2:$L1025,$L1025)=1,1,0)))</f>
        <v>0</v>
      </c>
      <c r="AA10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5" s="106" t="s">
        <v>19</v>
      </c>
      <c r="AC1025" s="51">
        <v>44950</v>
      </c>
      <c r="AD1025" s="106" t="s">
        <v>13</v>
      </c>
      <c r="AE1025" s="33" t="s">
        <v>413</v>
      </c>
    </row>
    <row r="1026" spans="1:31" ht="18" customHeight="1" x14ac:dyDescent="0.25">
      <c r="A10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6" s="79">
        <v>4</v>
      </c>
      <c r="C1026" s="23">
        <v>44897</v>
      </c>
      <c r="D1026" s="67">
        <f>IF(COUNTIF($G$2:$G1026,$G1026)=1,1,0)</f>
        <v>1</v>
      </c>
      <c r="E1026" s="67" t="str">
        <f>IFERROR(VLOOKUP(База_КР_КК[[#This Row],[ИД штатной должности (S)]],'уровень защищенности'!$B$7:$F$1095,5,0),"не защищена")</f>
        <v>высокий</v>
      </c>
      <c r="F1026" s="68">
        <v>500680</v>
      </c>
      <c r="G1026" s="74" t="s">
        <v>2359</v>
      </c>
      <c r="H1026" s="181">
        <f>INDEX('Списки данных'!$D$2:$D$1048576,MATCH(База_КР_КК[[#This Row],[Структурное подразделение]],'Списки данных'!$C$2:$C$1048576,0))</f>
        <v>1</v>
      </c>
      <c r="I1026" s="80" t="s">
        <v>132</v>
      </c>
      <c r="J1026" s="82" t="s">
        <v>195</v>
      </c>
      <c r="K1026" s="80" t="s">
        <v>21</v>
      </c>
      <c r="L1026" s="30" t="s">
        <v>189</v>
      </c>
      <c r="M1026" s="79">
        <v>7</v>
      </c>
      <c r="N1026" s="181" t="str">
        <f t="shared" si="17"/>
        <v>нет</v>
      </c>
      <c r="O1026" s="23"/>
      <c r="P1026" s="23"/>
      <c r="Q1026" s="106"/>
      <c r="R1026" s="37">
        <v>199</v>
      </c>
      <c r="S1026" s="39" t="s">
        <v>611</v>
      </c>
      <c r="T1026" s="37">
        <v>1196</v>
      </c>
      <c r="U1026" s="38" t="s">
        <v>1602</v>
      </c>
      <c r="V1026" s="93" t="s">
        <v>16</v>
      </c>
      <c r="W1026" s="69" t="s">
        <v>132</v>
      </c>
      <c r="X1026" s="106" t="s">
        <v>295</v>
      </c>
      <c r="Y1026" s="107" t="s">
        <v>12</v>
      </c>
      <c r="Z1026" s="67">
        <f>IF(База_КР_КК[[#This Row],[Таб.номер резервиста]]="-","-",IF(OR(База_КР_КК[[#This Row],[Уровень КК]]=2,База_КР_КК[[#This Row],[Уровень КК]]=3),IF(COUNTIFS($U$2:$U1026,$U1026,$F$2:$F1026,$F1026)=1,1,0),IF(COUNTIFS($U$2:$U1026,$U1026,$L$2:$L1026,$L1026)=1,1,0)))</f>
        <v>1</v>
      </c>
      <c r="AA10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6" s="106"/>
      <c r="AC1026" s="51"/>
      <c r="AD1026" s="106" t="s">
        <v>15</v>
      </c>
      <c r="AE1026" s="33" t="s">
        <v>410</v>
      </c>
    </row>
    <row r="1027" spans="1:31" ht="18" customHeight="1" x14ac:dyDescent="0.25">
      <c r="A10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7" s="79">
        <v>3</v>
      </c>
      <c r="C1027" s="23">
        <v>44517</v>
      </c>
      <c r="D1027" s="67">
        <f>IF(COUNTIF($G$2:$G1027,$G1027)=1,1,0)</f>
        <v>1</v>
      </c>
      <c r="E1027" s="67" t="str">
        <f>IFERROR(VLOOKUP(База_КР_КК[[#This Row],[ИД штатной должности (S)]],'уровень защищенности'!$B$7:$F$1095,5,0),"не защищена")</f>
        <v>не защищена</v>
      </c>
      <c r="F1027" s="68">
        <v>500727</v>
      </c>
      <c r="G1027" s="74" t="s">
        <v>2360</v>
      </c>
      <c r="H1027" s="181">
        <f>INDEX('Списки данных'!$D$2:$D$1048576,MATCH(База_КР_КК[[#This Row],[Структурное подразделение]],'Списки данных'!$C$2:$C$1048576,0))</f>
        <v>216</v>
      </c>
      <c r="I1027" s="80" t="s">
        <v>125</v>
      </c>
      <c r="J1027" s="80" t="s">
        <v>204</v>
      </c>
      <c r="K1027" s="80" t="s">
        <v>21</v>
      </c>
      <c r="L1027" s="30" t="s">
        <v>200</v>
      </c>
      <c r="M1027" s="68">
        <v>5</v>
      </c>
      <c r="N1027" s="181" t="str">
        <f t="shared" si="17"/>
        <v>нет</v>
      </c>
      <c r="O1027" s="23"/>
      <c r="P1027" s="23"/>
      <c r="Q1027" s="106"/>
      <c r="R1027" s="37">
        <v>200</v>
      </c>
      <c r="S1027" s="38" t="s">
        <v>612</v>
      </c>
      <c r="T1027" s="37" t="s">
        <v>21</v>
      </c>
      <c r="U1027" s="37" t="s">
        <v>21</v>
      </c>
      <c r="V1027" s="88" t="s">
        <v>21</v>
      </c>
      <c r="W1027" s="88" t="s">
        <v>21</v>
      </c>
      <c r="X1027" s="106"/>
      <c r="Y1027" s="107"/>
      <c r="Z1027" s="67" t="str">
        <f>IF(База_КР_КК[[#This Row],[Таб.номер резервиста]]="-","-",IF(OR(База_КР_КК[[#This Row],[Уровень КК]]=2,База_КР_КК[[#This Row],[Уровень КК]]=3),IF(COUNTIFS($U$2:$U1027,$U1027,$F$2:$F1027,$F1027)=1,1,0),IF(COUNTIFS($U$2:$U1027,$U1027,$L$2:$L1027,$L1027)=1,1,0)))</f>
        <v>-</v>
      </c>
      <c r="AA1027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1027" s="106"/>
      <c r="AC1027" s="51"/>
      <c r="AD1027" s="106"/>
      <c r="AE1027" s="38" t="s">
        <v>321</v>
      </c>
    </row>
    <row r="1028" spans="1:31" ht="18" customHeight="1" x14ac:dyDescent="0.25">
      <c r="A10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8" s="79">
        <v>3</v>
      </c>
      <c r="C1028" s="23">
        <v>43426</v>
      </c>
      <c r="D1028" s="67">
        <f>IF(COUNTIF($G$2:$G1028,$G1028)=1,1,0)</f>
        <v>1</v>
      </c>
      <c r="E1028" s="67" t="str">
        <f>IFERROR(VLOOKUP(База_КР_КК[[#This Row],[ИД штатной должности (S)]],'уровень защищенности'!$B$7:$F$1095,5,0),"не защищена")</f>
        <v>высокий</v>
      </c>
      <c r="F1028" s="68">
        <v>500728</v>
      </c>
      <c r="G1028" s="74" t="s">
        <v>2361</v>
      </c>
      <c r="H1028" s="181">
        <f>INDEX('Списки данных'!$D$2:$D$1048576,MATCH(База_КР_КК[[#This Row],[Структурное подразделение]],'Списки данных'!$C$2:$C$1048576,0))</f>
        <v>1</v>
      </c>
      <c r="I1028" s="80" t="s">
        <v>132</v>
      </c>
      <c r="J1028" s="80" t="s">
        <v>195</v>
      </c>
      <c r="K1028" s="80" t="s">
        <v>21</v>
      </c>
      <c r="L1028" s="30" t="s">
        <v>187</v>
      </c>
      <c r="M1028" s="68">
        <v>5</v>
      </c>
      <c r="N1028" s="181" t="str">
        <f t="shared" si="17"/>
        <v>да</v>
      </c>
      <c r="O1028" s="23">
        <v>44489</v>
      </c>
      <c r="P1028" s="23">
        <v>44489</v>
      </c>
      <c r="Q1028" s="106" t="s">
        <v>66</v>
      </c>
      <c r="R1028" s="37">
        <v>201</v>
      </c>
      <c r="S1028" s="39" t="s">
        <v>613</v>
      </c>
      <c r="T1028" s="37">
        <v>96</v>
      </c>
      <c r="U1028" s="39" t="s">
        <v>508</v>
      </c>
      <c r="V1028" s="88" t="s">
        <v>198</v>
      </c>
      <c r="W1028" s="89" t="s">
        <v>132</v>
      </c>
      <c r="X1028" s="106" t="s">
        <v>295</v>
      </c>
      <c r="Y1028" s="107" t="s">
        <v>12</v>
      </c>
      <c r="Z1028" s="67">
        <f>IF(База_КР_КК[[#This Row],[Таб.номер резервиста]]="-","-",IF(OR(База_КР_КК[[#This Row],[Уровень КК]]=2,База_КР_КК[[#This Row],[Уровень КК]]=3),IF(COUNTIFS($U$2:$U1028,$U1028,$F$2:$F1028,$F1028)=1,1,0),IF(COUNTIFS($U$2:$U1028,$U1028,$L$2:$L1028,$L1028)=1,1,0)))</f>
        <v>1</v>
      </c>
      <c r="AA10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8" s="106"/>
      <c r="AC1028" s="51"/>
      <c r="AD1028" s="106" t="s">
        <v>13</v>
      </c>
      <c r="AE1028" s="38" t="s">
        <v>404</v>
      </c>
    </row>
    <row r="1029" spans="1:31" ht="18" customHeight="1" x14ac:dyDescent="0.25">
      <c r="A10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29" s="79">
        <v>3</v>
      </c>
      <c r="C1029" s="23">
        <v>43426</v>
      </c>
      <c r="D1029" s="67">
        <f>IF(COUNTIF($G$2:$G1029,$G1029)=1,1,0)</f>
        <v>0</v>
      </c>
      <c r="E1029" s="67" t="str">
        <f>IFERROR(VLOOKUP(База_КР_КК[[#This Row],[ИД штатной должности (S)]],'уровень защищенности'!$B$7:$F$1095,5,0),"не защищена")</f>
        <v>высокий</v>
      </c>
      <c r="F1029" s="68">
        <v>500728</v>
      </c>
      <c r="G1029" s="74" t="s">
        <v>2361</v>
      </c>
      <c r="H1029" s="181">
        <f>INDEX('Списки данных'!$D$2:$D$1048576,MATCH(База_КР_КК[[#This Row],[Структурное подразделение]],'Списки данных'!$C$2:$C$1048576,0))</f>
        <v>1</v>
      </c>
      <c r="I1029" s="80" t="s">
        <v>132</v>
      </c>
      <c r="J1029" s="80" t="s">
        <v>195</v>
      </c>
      <c r="K1029" s="80" t="s">
        <v>21</v>
      </c>
      <c r="L1029" s="30" t="s">
        <v>187</v>
      </c>
      <c r="M1029" s="68">
        <v>5</v>
      </c>
      <c r="N1029" s="181" t="str">
        <f t="shared" si="17"/>
        <v>да</v>
      </c>
      <c r="O1029" s="23">
        <v>44489</v>
      </c>
      <c r="P1029" s="23">
        <v>44489</v>
      </c>
      <c r="Q1029" s="106" t="s">
        <v>66</v>
      </c>
      <c r="R1029" s="37">
        <v>201</v>
      </c>
      <c r="S1029" s="39" t="s">
        <v>613</v>
      </c>
      <c r="T1029" s="37">
        <v>97</v>
      </c>
      <c r="U1029" s="39" t="s">
        <v>509</v>
      </c>
      <c r="V1029" s="88" t="s">
        <v>198</v>
      </c>
      <c r="W1029" s="89" t="s">
        <v>132</v>
      </c>
      <c r="X1029" s="106" t="s">
        <v>295</v>
      </c>
      <c r="Y1029" s="107" t="s">
        <v>12</v>
      </c>
      <c r="Z1029" s="67">
        <f>IF(База_КР_КК[[#This Row],[Таб.номер резервиста]]="-","-",IF(OR(База_КР_КК[[#This Row],[Уровень КК]]=2,База_КР_КК[[#This Row],[Уровень КК]]=3),IF(COUNTIFS($U$2:$U1029,$U1029,$F$2:$F1029,$F1029)=1,1,0),IF(COUNTIFS($U$2:$U1029,$U1029,$L$2:$L1029,$L1029)=1,1,0)))</f>
        <v>1</v>
      </c>
      <c r="AA10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29" s="106"/>
      <c r="AC1029" s="51"/>
      <c r="AD1029" s="106" t="s">
        <v>13</v>
      </c>
      <c r="AE1029" s="38" t="s">
        <v>404</v>
      </c>
    </row>
    <row r="1030" spans="1:31" ht="18" customHeight="1" x14ac:dyDescent="0.25">
      <c r="A10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0" s="79">
        <v>3</v>
      </c>
      <c r="C1030" s="23">
        <v>43426</v>
      </c>
      <c r="D1030" s="67">
        <f>IF(COUNTIF($G$2:$G1030,$G1030)=1,1,0)</f>
        <v>0</v>
      </c>
      <c r="E1030" s="67" t="str">
        <f>IFERROR(VLOOKUP(База_КР_КК[[#This Row],[ИД штатной должности (S)]],'уровень защищенности'!$B$7:$F$1095,5,0),"не защищена")</f>
        <v>высокий</v>
      </c>
      <c r="F1030" s="68">
        <v>500728</v>
      </c>
      <c r="G1030" s="74" t="s">
        <v>2361</v>
      </c>
      <c r="H1030" s="181">
        <f>INDEX('Списки данных'!$D$2:$D$1048576,MATCH(База_КР_КК[[#This Row],[Структурное подразделение]],'Списки данных'!$C$2:$C$1048576,0))</f>
        <v>1</v>
      </c>
      <c r="I1030" s="80" t="s">
        <v>132</v>
      </c>
      <c r="J1030" s="80" t="s">
        <v>195</v>
      </c>
      <c r="K1030" s="80" t="s">
        <v>21</v>
      </c>
      <c r="L1030" s="30" t="s">
        <v>187</v>
      </c>
      <c r="M1030" s="68">
        <v>5</v>
      </c>
      <c r="N1030" s="181" t="str">
        <f t="shared" si="17"/>
        <v>да</v>
      </c>
      <c r="O1030" s="23">
        <v>44489</v>
      </c>
      <c r="P1030" s="23">
        <v>44489</v>
      </c>
      <c r="Q1030" s="106" t="s">
        <v>66</v>
      </c>
      <c r="R1030" s="37">
        <v>201</v>
      </c>
      <c r="S1030" s="39" t="s">
        <v>613</v>
      </c>
      <c r="T1030" s="37">
        <v>201</v>
      </c>
      <c r="U1030" s="39" t="s">
        <v>613</v>
      </c>
      <c r="V1030" s="88" t="s">
        <v>187</v>
      </c>
      <c r="W1030" s="89" t="s">
        <v>132</v>
      </c>
      <c r="X1030" s="106" t="s">
        <v>295</v>
      </c>
      <c r="Y1030" s="107" t="s">
        <v>14</v>
      </c>
      <c r="Z1030" s="67">
        <f>IF(База_КР_КК[[#This Row],[Таб.номер резервиста]]="-","-",IF(OR(База_КР_КК[[#This Row],[Уровень КК]]=2,База_КР_КК[[#This Row],[Уровень КК]]=3),IF(COUNTIFS($U$2:$U1030,$U1030,$F$2:$F1030,$F1030)=1,1,0),IF(COUNTIFS($U$2:$U1030,$U1030,$L$2:$L1030,$L1030)=1,1,0)))</f>
        <v>1</v>
      </c>
      <c r="AA10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030" s="106" t="s">
        <v>24</v>
      </c>
      <c r="AC1030" s="51">
        <v>44489</v>
      </c>
      <c r="AD1030" s="106" t="s">
        <v>17</v>
      </c>
      <c r="AE1030" s="38" t="s">
        <v>321</v>
      </c>
    </row>
    <row r="1031" spans="1:31" ht="18" customHeight="1" x14ac:dyDescent="0.25">
      <c r="A10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1" s="79">
        <v>3</v>
      </c>
      <c r="C1031" s="23">
        <v>43426</v>
      </c>
      <c r="D1031" s="67">
        <f>IF(COUNTIF($G$2:$G1031,$G1031)=1,1,0)</f>
        <v>1</v>
      </c>
      <c r="E1031" s="67" t="str">
        <f>IFERROR(VLOOKUP(База_КР_КК[[#This Row],[ИД штатной должности (S)]],'уровень защищенности'!$B$7:$F$1095,5,0),"не защищена")</f>
        <v>высокий</v>
      </c>
      <c r="F1031" s="68">
        <v>500729</v>
      </c>
      <c r="G1031" s="74" t="s">
        <v>2362</v>
      </c>
      <c r="H1031" s="181">
        <f>INDEX('Списки данных'!$D$2:$D$1048576,MATCH(База_КР_КК[[#This Row],[Структурное подразделение]],'Списки данных'!$C$2:$C$1048576,0))</f>
        <v>2</v>
      </c>
      <c r="I1031" s="80" t="s">
        <v>133</v>
      </c>
      <c r="J1031" s="80" t="s">
        <v>197</v>
      </c>
      <c r="K1031" s="80" t="s">
        <v>199</v>
      </c>
      <c r="L1031" s="30" t="s">
        <v>187</v>
      </c>
      <c r="M1031" s="68">
        <v>5</v>
      </c>
      <c r="N1031" s="181" t="str">
        <f t="shared" si="17"/>
        <v>нет</v>
      </c>
      <c r="O1031" s="23"/>
      <c r="P1031" s="23"/>
      <c r="Q1031" s="106"/>
      <c r="R1031" s="37">
        <v>202</v>
      </c>
      <c r="S1031" s="38" t="s">
        <v>614</v>
      </c>
      <c r="T1031" s="37">
        <v>101</v>
      </c>
      <c r="U1031" s="39" t="s">
        <v>513</v>
      </c>
      <c r="V1031" s="88" t="s">
        <v>198</v>
      </c>
      <c r="W1031" s="89" t="s">
        <v>133</v>
      </c>
      <c r="X1031" s="106" t="s">
        <v>295</v>
      </c>
      <c r="Y1031" s="107" t="s">
        <v>12</v>
      </c>
      <c r="Z1031" s="67">
        <f>IF(База_КР_КК[[#This Row],[Таб.номер резервиста]]="-","-",IF(OR(База_КР_КК[[#This Row],[Уровень КК]]=2,База_КР_КК[[#This Row],[Уровень КК]]=3),IF(COUNTIFS($U$2:$U1031,$U1031,$F$2:$F1031,$F1031)=1,1,0),IF(COUNTIFS($U$2:$U1031,$U1031,$L$2:$L1031,$L1031)=1,1,0)))</f>
        <v>1</v>
      </c>
      <c r="AA10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1" s="106"/>
      <c r="AC1031" s="51"/>
      <c r="AD1031" s="106" t="s">
        <v>13</v>
      </c>
      <c r="AE1031" s="38" t="s">
        <v>404</v>
      </c>
    </row>
    <row r="1032" spans="1:31" ht="18" customHeight="1" x14ac:dyDescent="0.25">
      <c r="A10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2" s="79">
        <v>3</v>
      </c>
      <c r="C1032" s="23">
        <v>44739</v>
      </c>
      <c r="D1032" s="67">
        <f>IF(COUNTIF($G$2:$G1032,$G1032)=1,1,0)</f>
        <v>0</v>
      </c>
      <c r="E1032" s="67" t="str">
        <f>IFERROR(VLOOKUP(База_КР_КК[[#This Row],[ИД штатной должности (S)]],'уровень защищенности'!$B$7:$F$1095,5,0),"не защищена")</f>
        <v>высокий</v>
      </c>
      <c r="F1032" s="68">
        <v>500729</v>
      </c>
      <c r="G1032" s="74" t="s">
        <v>2362</v>
      </c>
      <c r="H1032" s="181">
        <f>INDEX('Списки данных'!$D$2:$D$1048576,MATCH(База_КР_КК[[#This Row],[Структурное подразделение]],'Списки данных'!$C$2:$C$1048576,0))</f>
        <v>2</v>
      </c>
      <c r="I1032" s="80" t="s">
        <v>133</v>
      </c>
      <c r="J1032" s="80" t="s">
        <v>197</v>
      </c>
      <c r="K1032" s="80" t="s">
        <v>199</v>
      </c>
      <c r="L1032" s="30" t="s">
        <v>187</v>
      </c>
      <c r="M1032" s="68">
        <v>5</v>
      </c>
      <c r="N1032" s="181" t="str">
        <f t="shared" si="17"/>
        <v>нет</v>
      </c>
      <c r="O1032" s="23"/>
      <c r="P1032" s="23"/>
      <c r="Q1032" s="106"/>
      <c r="R1032" s="37">
        <v>202</v>
      </c>
      <c r="S1032" s="39" t="s">
        <v>614</v>
      </c>
      <c r="T1032" s="37">
        <v>110</v>
      </c>
      <c r="U1032" s="38" t="s">
        <v>522</v>
      </c>
      <c r="V1032" s="69" t="s">
        <v>194</v>
      </c>
      <c r="W1032" s="89" t="s">
        <v>133</v>
      </c>
      <c r="X1032" s="106" t="s">
        <v>296</v>
      </c>
      <c r="Y1032" s="107" t="s">
        <v>18</v>
      </c>
      <c r="Z1032" s="67">
        <f>IF(База_КР_КК[[#This Row],[Таб.номер резервиста]]="-","-",IF(OR(База_КР_КК[[#This Row],[Уровень КК]]=2,База_КР_КК[[#This Row],[Уровень КК]]=3),IF(COUNTIFS($U$2:$U1032,$U1032,$F$2:$F1032,$F1032)=1,1,0),IF(COUNTIFS($U$2:$U1032,$U1032,$L$2:$L1032,$L1032)=1,1,0)))</f>
        <v>1</v>
      </c>
      <c r="AA10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2" s="106" t="s">
        <v>37</v>
      </c>
      <c r="AC1032" s="51">
        <v>45066</v>
      </c>
      <c r="AD1032" s="106" t="s">
        <v>15</v>
      </c>
      <c r="AE1032" s="38" t="s">
        <v>404</v>
      </c>
    </row>
    <row r="1033" spans="1:31" ht="18" customHeight="1" x14ac:dyDescent="0.25">
      <c r="A10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3" s="79">
        <v>3</v>
      </c>
      <c r="C1033" s="23">
        <v>43426</v>
      </c>
      <c r="D1033" s="67">
        <f>IF(COUNTIF($G$2:$G1033,$G1033)=1,1,0)</f>
        <v>0</v>
      </c>
      <c r="E1033" s="67" t="str">
        <f>IFERROR(VLOOKUP(База_КР_КК[[#This Row],[ИД штатной должности (S)]],'уровень защищенности'!$B$7:$F$1095,5,0),"не защищена")</f>
        <v>высокий</v>
      </c>
      <c r="F1033" s="68">
        <v>500729</v>
      </c>
      <c r="G1033" s="74" t="s">
        <v>2362</v>
      </c>
      <c r="H1033" s="181">
        <f>INDEX('Списки данных'!$D$2:$D$1048576,MATCH(База_КР_КК[[#This Row],[Структурное подразделение]],'Списки данных'!$C$2:$C$1048576,0))</f>
        <v>2</v>
      </c>
      <c r="I1033" s="80" t="s">
        <v>133</v>
      </c>
      <c r="J1033" s="80" t="s">
        <v>197</v>
      </c>
      <c r="K1033" s="80" t="s">
        <v>199</v>
      </c>
      <c r="L1033" s="30" t="s">
        <v>187</v>
      </c>
      <c r="M1033" s="68">
        <v>5</v>
      </c>
      <c r="N1033" s="181" t="str">
        <f t="shared" si="17"/>
        <v>нет</v>
      </c>
      <c r="O1033" s="23"/>
      <c r="P1033" s="23"/>
      <c r="Q1033" s="106"/>
      <c r="R1033" s="37">
        <v>202</v>
      </c>
      <c r="S1033" s="38" t="s">
        <v>614</v>
      </c>
      <c r="T1033" s="37">
        <v>117</v>
      </c>
      <c r="U1033" s="39" t="s">
        <v>529</v>
      </c>
      <c r="V1033" s="89" t="s">
        <v>192</v>
      </c>
      <c r="W1033" s="89" t="s">
        <v>133</v>
      </c>
      <c r="X1033" s="106" t="s">
        <v>295</v>
      </c>
      <c r="Y1033" s="107" t="s">
        <v>18</v>
      </c>
      <c r="Z1033" s="67">
        <f>IF(База_КР_КК[[#This Row],[Таб.номер резервиста]]="-","-",IF(OR(База_КР_КК[[#This Row],[Уровень КК]]=2,База_КР_КК[[#This Row],[Уровень КК]]=3),IF(COUNTIFS($U$2:$U1033,$U1033,$F$2:$F1033,$F1033)=1,1,0),IF(COUNTIFS($U$2:$U1033,$U1033,$L$2:$L1033,$L1033)=1,1,0)))</f>
        <v>1</v>
      </c>
      <c r="AA10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3" s="106" t="s">
        <v>38</v>
      </c>
      <c r="AC1033" s="51">
        <v>45104</v>
      </c>
      <c r="AD1033" s="106" t="s">
        <v>31</v>
      </c>
      <c r="AE1033" s="38" t="s">
        <v>404</v>
      </c>
    </row>
    <row r="1034" spans="1:31" ht="18" customHeight="1" x14ac:dyDescent="0.25">
      <c r="A10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4" s="79">
        <v>3</v>
      </c>
      <c r="C1034" s="23">
        <v>44014</v>
      </c>
      <c r="D1034" s="67">
        <f>IF(COUNTIF($G$2:$G1034,$G1034)=1,1,0)</f>
        <v>1</v>
      </c>
      <c r="E1034" s="67" t="str">
        <f>IFERROR(VLOOKUP(База_КР_КК[[#This Row],[ИД штатной должности (S)]],'уровень защищенности'!$B$7:$F$1095,5,0),"не защищена")</f>
        <v>высокий</v>
      </c>
      <c r="F1034" s="68">
        <v>500730</v>
      </c>
      <c r="G1034" s="74" t="s">
        <v>2363</v>
      </c>
      <c r="H1034" s="181">
        <f>INDEX('Списки данных'!$D$2:$D$1048576,MATCH(База_КР_КК[[#This Row],[Структурное подразделение]],'Списки данных'!$C$2:$C$1048576,0))</f>
        <v>18</v>
      </c>
      <c r="I1034" s="80" t="s">
        <v>122</v>
      </c>
      <c r="J1034" s="80" t="s">
        <v>188</v>
      </c>
      <c r="K1034" s="80" t="s">
        <v>21</v>
      </c>
      <c r="L1034" s="30" t="s">
        <v>187</v>
      </c>
      <c r="M1034" s="68">
        <v>5</v>
      </c>
      <c r="N1034" s="181" t="str">
        <f t="shared" si="17"/>
        <v>нет</v>
      </c>
      <c r="O1034" s="23"/>
      <c r="P1034" s="23"/>
      <c r="Q1034" s="106"/>
      <c r="R1034" s="37">
        <v>203</v>
      </c>
      <c r="S1034" s="38" t="s">
        <v>615</v>
      </c>
      <c r="T1034" s="37">
        <v>33</v>
      </c>
      <c r="U1034" s="39" t="s">
        <v>447</v>
      </c>
      <c r="V1034" s="89" t="s">
        <v>189</v>
      </c>
      <c r="W1034" s="89" t="s">
        <v>122</v>
      </c>
      <c r="X1034" s="106" t="s">
        <v>295</v>
      </c>
      <c r="Y1034" s="107" t="s">
        <v>12</v>
      </c>
      <c r="Z1034" s="67">
        <f>IF(База_КР_КК[[#This Row],[Таб.номер резервиста]]="-","-",IF(OR(База_КР_КК[[#This Row],[Уровень КК]]=2,База_КР_КК[[#This Row],[Уровень КК]]=3),IF(COUNTIFS($U$2:$U1034,$U1034,$F$2:$F1034,$F1034)=1,1,0),IF(COUNTIFS($U$2:$U1034,$U1034,$L$2:$L1034,$L1034)=1,1,0)))</f>
        <v>1</v>
      </c>
      <c r="AA10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4" s="106"/>
      <c r="AC1034" s="51"/>
      <c r="AD1034" s="106" t="s">
        <v>13</v>
      </c>
      <c r="AE1034" s="38" t="s">
        <v>404</v>
      </c>
    </row>
    <row r="1035" spans="1:31" ht="18" customHeight="1" x14ac:dyDescent="0.25">
      <c r="A10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5" s="79">
        <v>3</v>
      </c>
      <c r="C1035" s="23">
        <v>43426</v>
      </c>
      <c r="D1035" s="67">
        <f>IF(COUNTIF($G$2:$G1035,$G1035)=1,1,0)</f>
        <v>0</v>
      </c>
      <c r="E1035" s="67" t="str">
        <f>IFERROR(VLOOKUP(База_КР_КК[[#This Row],[ИД штатной должности (S)]],'уровень защищенности'!$B$7:$F$1095,5,0),"не защищена")</f>
        <v>высокий</v>
      </c>
      <c r="F1035" s="68">
        <v>500730</v>
      </c>
      <c r="G1035" s="74" t="s">
        <v>2363</v>
      </c>
      <c r="H1035" s="181">
        <f>INDEX('Списки данных'!$D$2:$D$1048576,MATCH(База_КР_КК[[#This Row],[Структурное подразделение]],'Списки данных'!$C$2:$C$1048576,0))</f>
        <v>18</v>
      </c>
      <c r="I1035" s="80" t="s">
        <v>122</v>
      </c>
      <c r="J1035" s="80" t="s">
        <v>188</v>
      </c>
      <c r="K1035" s="80" t="s">
        <v>21</v>
      </c>
      <c r="L1035" s="30" t="s">
        <v>187</v>
      </c>
      <c r="M1035" s="68">
        <v>5</v>
      </c>
      <c r="N1035" s="181" t="str">
        <f t="shared" si="17"/>
        <v>нет</v>
      </c>
      <c r="O1035" s="23"/>
      <c r="P1035" s="23"/>
      <c r="Q1035" s="106"/>
      <c r="R1035" s="37">
        <v>203</v>
      </c>
      <c r="S1035" s="38" t="s">
        <v>615</v>
      </c>
      <c r="T1035" s="37">
        <v>204</v>
      </c>
      <c r="U1035" s="39" t="s">
        <v>616</v>
      </c>
      <c r="V1035" s="89" t="s">
        <v>192</v>
      </c>
      <c r="W1035" s="89" t="s">
        <v>122</v>
      </c>
      <c r="X1035" s="106" t="s">
        <v>295</v>
      </c>
      <c r="Y1035" s="107" t="s">
        <v>18</v>
      </c>
      <c r="Z1035" s="67">
        <f>IF(База_КР_КК[[#This Row],[Таб.номер резервиста]]="-","-",IF(OR(База_КР_КК[[#This Row],[Уровень КК]]=2,База_КР_КК[[#This Row],[Уровень КК]]=3),IF(COUNTIFS($U$2:$U1035,$U1035,$F$2:$F1035,$F1035)=1,1,0),IF(COUNTIFS($U$2:$U1035,$U1035,$L$2:$L1035,$L1035)=1,1,0)))</f>
        <v>1</v>
      </c>
      <c r="AA10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5" s="106" t="s">
        <v>42</v>
      </c>
      <c r="AC1035" s="51">
        <v>43776</v>
      </c>
      <c r="AD1035" s="106" t="s">
        <v>15</v>
      </c>
      <c r="AE1035" s="38" t="s">
        <v>307</v>
      </c>
    </row>
    <row r="1036" spans="1:31" ht="18" customHeight="1" x14ac:dyDescent="0.25">
      <c r="A10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6" s="79">
        <v>4</v>
      </c>
      <c r="C1036" s="23">
        <v>43734</v>
      </c>
      <c r="D1036" s="67">
        <f>IF(COUNTIF($G$2:$G1036,$G1036)=1,1,0)</f>
        <v>1</v>
      </c>
      <c r="E1036" s="67" t="str">
        <f>IFERROR(VLOOKUP(База_КР_КК[[#This Row],[ИД штатной должности (S)]],'уровень защищенности'!$B$7:$F$1095,5,0),"не защищена")</f>
        <v>высокий</v>
      </c>
      <c r="F1036" s="68">
        <v>500731</v>
      </c>
      <c r="G1036" s="74" t="s">
        <v>2364</v>
      </c>
      <c r="H1036" s="181">
        <f>INDEX('Списки данных'!$D$2:$D$1048576,MATCH(База_КР_КК[[#This Row],[Структурное подразделение]],'Списки данных'!$C$2:$C$1048576,0))</f>
        <v>18</v>
      </c>
      <c r="I1036" s="80" t="s">
        <v>122</v>
      </c>
      <c r="J1036" s="80" t="s">
        <v>188</v>
      </c>
      <c r="K1036" s="80" t="s">
        <v>190</v>
      </c>
      <c r="L1036" s="30" t="s">
        <v>192</v>
      </c>
      <c r="M1036" s="68">
        <v>6</v>
      </c>
      <c r="N1036" s="181" t="str">
        <f t="shared" si="17"/>
        <v>нет</v>
      </c>
      <c r="O1036" s="23"/>
      <c r="P1036" s="23"/>
      <c r="Q1036" s="106"/>
      <c r="R1036" s="37">
        <v>204</v>
      </c>
      <c r="S1036" s="38" t="s">
        <v>616</v>
      </c>
      <c r="T1036" s="37">
        <v>1288</v>
      </c>
      <c r="U1036" s="39" t="s">
        <v>1690</v>
      </c>
      <c r="V1036" s="89" t="s">
        <v>272</v>
      </c>
      <c r="W1036" s="89" t="s">
        <v>122</v>
      </c>
      <c r="X1036" s="106" t="s">
        <v>295</v>
      </c>
      <c r="Y1036" s="107" t="s">
        <v>12</v>
      </c>
      <c r="Z1036" s="67">
        <f>IF(База_КР_КК[[#This Row],[Таб.номер резервиста]]="-","-",IF(OR(База_КР_КК[[#This Row],[Уровень КК]]=2,База_КР_КК[[#This Row],[Уровень КК]]=3),IF(COUNTIFS($U$2:$U1036,$U1036,$F$2:$F1036,$F1036)=1,1,0),IF(COUNTIFS($U$2:$U1036,$U1036,$L$2:$L1036,$L1036)=1,1,0)))</f>
        <v>1</v>
      </c>
      <c r="AA10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6" s="106"/>
      <c r="AC1036" s="51"/>
      <c r="AD1036" s="106" t="s">
        <v>13</v>
      </c>
      <c r="AE1036" s="38" t="s">
        <v>409</v>
      </c>
    </row>
    <row r="1037" spans="1:31" ht="18" customHeight="1" x14ac:dyDescent="0.25">
      <c r="A10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7" s="79">
        <v>4</v>
      </c>
      <c r="C1037" s="23">
        <v>44887</v>
      </c>
      <c r="D1037" s="67">
        <f>IF(COUNTIF($G$2:$G1037,$G1037)=1,1,0)</f>
        <v>0</v>
      </c>
      <c r="E1037" s="67" t="str">
        <f>IFERROR(VLOOKUP(База_КР_КК[[#This Row],[ИД штатной должности (S)]],'уровень защищенности'!$B$7:$F$1095,5,0),"не защищена")</f>
        <v>высокий</v>
      </c>
      <c r="F1037" s="68">
        <v>500731</v>
      </c>
      <c r="G1037" s="74" t="s">
        <v>2364</v>
      </c>
      <c r="H1037" s="181">
        <f>INDEX('Списки данных'!$D$2:$D$1048576,MATCH(База_КР_КК[[#This Row],[Структурное подразделение]],'Списки данных'!$C$2:$C$1048576,0))</f>
        <v>18</v>
      </c>
      <c r="I1037" s="80" t="s">
        <v>122</v>
      </c>
      <c r="J1037" s="80" t="s">
        <v>188</v>
      </c>
      <c r="K1037" s="80" t="s">
        <v>190</v>
      </c>
      <c r="L1037" s="30" t="s">
        <v>192</v>
      </c>
      <c r="M1037" s="68">
        <v>6</v>
      </c>
      <c r="N1037" s="181" t="str">
        <f t="shared" si="17"/>
        <v>нет</v>
      </c>
      <c r="O1037" s="23"/>
      <c r="P1037" s="23"/>
      <c r="Q1037" s="106"/>
      <c r="R1037" s="37">
        <v>204</v>
      </c>
      <c r="S1037" s="39" t="s">
        <v>616</v>
      </c>
      <c r="T1037" s="37">
        <v>1167</v>
      </c>
      <c r="U1037" s="38" t="s">
        <v>1576</v>
      </c>
      <c r="V1037" s="69" t="s">
        <v>272</v>
      </c>
      <c r="W1037" s="89" t="s">
        <v>122</v>
      </c>
      <c r="X1037" s="106" t="s">
        <v>297</v>
      </c>
      <c r="Y1037" s="107" t="s">
        <v>12</v>
      </c>
      <c r="Z1037" s="67">
        <f>IF(База_КР_КК[[#This Row],[Таб.номер резервиста]]="-","-",IF(OR(База_КР_КК[[#This Row],[Уровень КК]]=2,База_КР_КК[[#This Row],[Уровень КК]]=3),IF(COUNTIFS($U$2:$U1037,$U1037,$F$2:$F1037,$F1037)=1,1,0),IF(COUNTIFS($U$2:$U1037,$U1037,$L$2:$L1037,$L1037)=1,1,0)))</f>
        <v>0</v>
      </c>
      <c r="AA10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7" s="106"/>
      <c r="AC1037" s="51"/>
      <c r="AD1037" s="106" t="s">
        <v>15</v>
      </c>
      <c r="AE1037" s="33" t="s">
        <v>409</v>
      </c>
    </row>
    <row r="1038" spans="1:31" ht="18" customHeight="1" x14ac:dyDescent="0.25">
      <c r="A10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8" s="79">
        <v>3</v>
      </c>
      <c r="C1038" s="23">
        <v>43426</v>
      </c>
      <c r="D1038" s="67">
        <f>IF(COUNTIF($G$2:$G1038,$G1038)=1,1,0)</f>
        <v>1</v>
      </c>
      <c r="E1038" s="67" t="str">
        <f>IFERROR(VLOOKUP(База_КР_КК[[#This Row],[ИД штатной должности (S)]],'уровень защищенности'!$B$7:$F$1095,5,0),"не защищена")</f>
        <v>не защищена</v>
      </c>
      <c r="F1038" s="68">
        <v>500732</v>
      </c>
      <c r="G1038" s="74" t="s">
        <v>2365</v>
      </c>
      <c r="H1038" s="181">
        <f>INDEX('Списки данных'!$D$2:$D$1048576,MATCH(База_КР_КК[[#This Row],[Структурное подразделение]],'Списки данных'!$C$2:$C$1048576,0))</f>
        <v>22</v>
      </c>
      <c r="I1038" s="80" t="s">
        <v>135</v>
      </c>
      <c r="J1038" s="80" t="s">
        <v>202</v>
      </c>
      <c r="K1038" s="80" t="s">
        <v>21</v>
      </c>
      <c r="L1038" s="30" t="s">
        <v>187</v>
      </c>
      <c r="M1038" s="68">
        <v>5</v>
      </c>
      <c r="N1038" s="181" t="str">
        <f t="shared" si="17"/>
        <v>нет</v>
      </c>
      <c r="O1038" s="23"/>
      <c r="P1038" s="23"/>
      <c r="Q1038" s="107"/>
      <c r="R1038" s="37">
        <v>205</v>
      </c>
      <c r="S1038" s="38" t="s">
        <v>617</v>
      </c>
      <c r="T1038" s="37">
        <v>1290</v>
      </c>
      <c r="U1038" s="39" t="s">
        <v>1611</v>
      </c>
      <c r="V1038" s="89" t="s">
        <v>189</v>
      </c>
      <c r="W1038" s="89" t="s">
        <v>135</v>
      </c>
      <c r="X1038" s="106" t="s">
        <v>295</v>
      </c>
      <c r="Y1038" s="107" t="s">
        <v>18</v>
      </c>
      <c r="Z1038" s="67">
        <f>IF(База_КР_КК[[#This Row],[Таб.номер резервиста]]="-","-",IF(OR(База_КР_КК[[#This Row],[Уровень КК]]=2,База_КР_КК[[#This Row],[Уровень КК]]=3),IF(COUNTIFS($U$2:$U1038,$U1038,$F$2:$F1038,$F1038)=1,1,0),IF(COUNTIFS($U$2:$U1038,$U1038,$L$2:$L1038,$L1038)=1,1,0)))</f>
        <v>1</v>
      </c>
      <c r="AA10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8" s="106" t="s">
        <v>19</v>
      </c>
      <c r="AC1038" s="51">
        <v>45017</v>
      </c>
      <c r="AD1038" s="106" t="s">
        <v>13</v>
      </c>
      <c r="AE1038" s="38" t="s">
        <v>404</v>
      </c>
    </row>
    <row r="1039" spans="1:31" ht="18" customHeight="1" x14ac:dyDescent="0.25">
      <c r="A10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39" s="79">
        <v>4</v>
      </c>
      <c r="C1039" s="23">
        <v>43733</v>
      </c>
      <c r="D1039" s="67">
        <f>IF(COUNTIF($G$2:$G1039,$G1039)=1,1,0)</f>
        <v>1</v>
      </c>
      <c r="E1039" s="67" t="str">
        <f>IFERROR(VLOOKUP(База_КР_КК[[#This Row],[ИД штатной должности (S)]],'уровень защищенности'!$B$7:$F$1095,5,0),"не защищена")</f>
        <v>не защищена</v>
      </c>
      <c r="F1039" s="68">
        <v>500733</v>
      </c>
      <c r="G1039" s="74" t="s">
        <v>2366</v>
      </c>
      <c r="H1039" s="181">
        <f>INDEX('Списки данных'!$D$2:$D$1048576,MATCH(База_КР_КК[[#This Row],[Структурное подразделение]],'Списки данных'!$C$2:$C$1048576,0))</f>
        <v>22</v>
      </c>
      <c r="I1039" s="80" t="s">
        <v>135</v>
      </c>
      <c r="J1039" s="80" t="s">
        <v>202</v>
      </c>
      <c r="K1039" s="80" t="s">
        <v>21</v>
      </c>
      <c r="L1039" s="30" t="s">
        <v>189</v>
      </c>
      <c r="M1039" s="68">
        <v>6</v>
      </c>
      <c r="N1039" s="181" t="str">
        <f t="shared" si="17"/>
        <v>нет</v>
      </c>
      <c r="O1039" s="23"/>
      <c r="P1039" s="23"/>
      <c r="Q1039" s="106"/>
      <c r="R1039" s="37">
        <v>206</v>
      </c>
      <c r="S1039" s="38" t="s">
        <v>618</v>
      </c>
      <c r="T1039" s="37">
        <v>1291</v>
      </c>
      <c r="U1039" s="39" t="s">
        <v>1691</v>
      </c>
      <c r="V1039" s="89" t="s">
        <v>189</v>
      </c>
      <c r="W1039" s="89" t="s">
        <v>154</v>
      </c>
      <c r="X1039" s="106" t="s">
        <v>297</v>
      </c>
      <c r="Y1039" s="107" t="s">
        <v>18</v>
      </c>
      <c r="Z1039" s="67">
        <f>IF(База_КР_КК[[#This Row],[Таб.номер резервиста]]="-","-",IF(OR(База_КР_КК[[#This Row],[Уровень КК]]=2,База_КР_КК[[#This Row],[Уровень КК]]=3),IF(COUNTIFS($U$2:$U1039,$U1039,$F$2:$F1039,$F1039)=1,1,0),IF(COUNTIFS($U$2:$U1039,$U1039,$L$2:$L1039,$L1039)=1,1,0)))</f>
        <v>1</v>
      </c>
      <c r="AA10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39" s="106" t="s">
        <v>37</v>
      </c>
      <c r="AC1039" s="51">
        <v>44103</v>
      </c>
      <c r="AD1039" s="106" t="s">
        <v>31</v>
      </c>
      <c r="AE1039" s="38" t="s">
        <v>323</v>
      </c>
    </row>
    <row r="1040" spans="1:31" ht="18" customHeight="1" x14ac:dyDescent="0.25">
      <c r="A10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40" s="79">
        <v>4</v>
      </c>
      <c r="C1040" s="23">
        <v>44487</v>
      </c>
      <c r="D1040" s="67">
        <f>IF(COUNTIF($G$2:$G1040,$G1040)=1,1,0)</f>
        <v>0</v>
      </c>
      <c r="E1040" s="67" t="str">
        <f>IFERROR(VLOOKUP(База_КР_КК[[#This Row],[ИД штатной должности (S)]],'уровень защищенности'!$B$7:$F$1095,5,0),"не защищена")</f>
        <v>не защищена</v>
      </c>
      <c r="F1040" s="68">
        <v>500733</v>
      </c>
      <c r="G1040" s="74" t="s">
        <v>2366</v>
      </c>
      <c r="H1040" s="181">
        <f>INDEX('Списки данных'!$D$2:$D$1048576,MATCH(База_КР_КК[[#This Row],[Структурное подразделение]],'Списки данных'!$C$2:$C$1048576,0))</f>
        <v>22</v>
      </c>
      <c r="I1040" s="80" t="s">
        <v>135</v>
      </c>
      <c r="J1040" s="80" t="s">
        <v>202</v>
      </c>
      <c r="K1040" s="80" t="s">
        <v>21</v>
      </c>
      <c r="L1040" s="30" t="s">
        <v>189</v>
      </c>
      <c r="M1040" s="68">
        <v>6</v>
      </c>
      <c r="N1040" s="181" t="str">
        <f t="shared" si="17"/>
        <v>нет</v>
      </c>
      <c r="O1040" s="23"/>
      <c r="P1040" s="23"/>
      <c r="Q1040" s="106"/>
      <c r="R1040" s="37">
        <v>206</v>
      </c>
      <c r="S1040" s="39" t="s">
        <v>618</v>
      </c>
      <c r="T1040" s="37">
        <v>1292</v>
      </c>
      <c r="U1040" s="39" t="s">
        <v>1692</v>
      </c>
      <c r="V1040" s="89" t="s">
        <v>192</v>
      </c>
      <c r="W1040" s="89" t="s">
        <v>135</v>
      </c>
      <c r="X1040" s="106" t="s">
        <v>296</v>
      </c>
      <c r="Y1040" s="107" t="s">
        <v>18</v>
      </c>
      <c r="Z1040" s="67">
        <f>IF(База_КР_КК[[#This Row],[Таб.номер резервиста]]="-","-",IF(OR(База_КР_КК[[#This Row],[Уровень КК]]=2,База_КР_КК[[#This Row],[Уровень КК]]=3),IF(COUNTIFS($U$2:$U1040,$U1040,$F$2:$F1040,$F1040)=1,1,0),IF(COUNTIFS($U$2:$U1040,$U1040,$L$2:$L1040,$L1040)=1,1,0)))</f>
        <v>1</v>
      </c>
      <c r="AA10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0" s="106" t="s">
        <v>37</v>
      </c>
      <c r="AC1040" s="51">
        <v>44869</v>
      </c>
      <c r="AD1040" s="106" t="s">
        <v>15</v>
      </c>
      <c r="AE1040" s="38" t="s">
        <v>324</v>
      </c>
    </row>
    <row r="1041" spans="1:31" ht="18" customHeight="1" x14ac:dyDescent="0.25">
      <c r="A10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3</v>
      </c>
      <c r="B1041" s="79">
        <v>4</v>
      </c>
      <c r="C1041" s="23">
        <v>43733</v>
      </c>
      <c r="D1041" s="67">
        <f>IF(COUNTIF($G$2:$G1041,$G1041)=1,1,0)</f>
        <v>1</v>
      </c>
      <c r="E1041" s="67" t="str">
        <f>IFERROR(VLOOKUP(База_КР_КК[[#This Row],[ИД штатной должности (S)]],'уровень защищенности'!$B$7:$F$1095,5,0),"не защищена")</f>
        <v>высокий</v>
      </c>
      <c r="F1041" s="68">
        <v>500734</v>
      </c>
      <c r="G1041" s="74" t="s">
        <v>2367</v>
      </c>
      <c r="H1041" s="181">
        <f>INDEX('Списки данных'!$D$2:$D$1048576,MATCH(База_КР_КК[[#This Row],[Структурное подразделение]],'Списки данных'!$C$2:$C$1048576,0))</f>
        <v>22</v>
      </c>
      <c r="I1041" s="80" t="s">
        <v>135</v>
      </c>
      <c r="J1041" s="80" t="s">
        <v>202</v>
      </c>
      <c r="K1041" s="80" t="s">
        <v>203</v>
      </c>
      <c r="L1041" s="30" t="s">
        <v>192</v>
      </c>
      <c r="M1041" s="68">
        <v>6</v>
      </c>
      <c r="N1041" s="181" t="str">
        <f t="shared" si="17"/>
        <v>нет</v>
      </c>
      <c r="O1041" s="23"/>
      <c r="P1041" s="23"/>
      <c r="Q1041" s="106"/>
      <c r="R1041" s="37">
        <v>207</v>
      </c>
      <c r="S1041" s="38" t="s">
        <v>619</v>
      </c>
      <c r="T1041" s="37">
        <v>1293</v>
      </c>
      <c r="U1041" s="39" t="s">
        <v>1693</v>
      </c>
      <c r="V1041" s="89" t="s">
        <v>272</v>
      </c>
      <c r="W1041" s="89" t="s">
        <v>135</v>
      </c>
      <c r="X1041" s="106" t="s">
        <v>295</v>
      </c>
      <c r="Y1041" s="107" t="s">
        <v>12</v>
      </c>
      <c r="Z1041" s="67">
        <f>IF(База_КР_КК[[#This Row],[Таб.номер резервиста]]="-","-",IF(OR(База_КР_КК[[#This Row],[Уровень КК]]=2,База_КР_КК[[#This Row],[Уровень КК]]=3),IF(COUNTIFS($U$2:$U1041,$U1041,$F$2:$F1041,$F1041)=1,1,0),IF(COUNTIFS($U$2:$U1041,$U1041,$L$2:$L1041,$L1041)=1,1,0)))</f>
        <v>1</v>
      </c>
      <c r="AA10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1" s="106"/>
      <c r="AC1041" s="51"/>
      <c r="AD1041" s="106" t="s">
        <v>13</v>
      </c>
      <c r="AE1041" s="38" t="s">
        <v>413</v>
      </c>
    </row>
    <row r="1042" spans="1:31" ht="18" customHeight="1" x14ac:dyDescent="0.25">
      <c r="A10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42" s="79">
        <v>3</v>
      </c>
      <c r="C1042" s="23">
        <v>43557</v>
      </c>
      <c r="D1042" s="67">
        <f>IF(COUNTIF($G$2:$G1042,$G1042)=1,1,0)</f>
        <v>1</v>
      </c>
      <c r="E1042" s="67" t="str">
        <f>IFERROR(VLOOKUP(База_КР_КК[[#This Row],[ИД штатной должности (S)]],'уровень защищенности'!$B$7:$F$1095,5,0),"не защищена")</f>
        <v>высокий</v>
      </c>
      <c r="F1042" s="68">
        <v>500036</v>
      </c>
      <c r="G1042" s="74" t="s">
        <v>2368</v>
      </c>
      <c r="H1042" s="181">
        <f>INDEX('Списки данных'!$D$2:$D$1048576,MATCH(База_КР_КК[[#This Row],[Структурное подразделение]],'Списки данных'!$C$2:$C$1048576,0))</f>
        <v>202</v>
      </c>
      <c r="I1042" s="80" t="s">
        <v>127</v>
      </c>
      <c r="J1042" s="80" t="s">
        <v>205</v>
      </c>
      <c r="K1042" s="80" t="s">
        <v>21</v>
      </c>
      <c r="L1042" s="30" t="s">
        <v>179</v>
      </c>
      <c r="M1042" s="68">
        <v>4</v>
      </c>
      <c r="N1042" s="181" t="str">
        <f t="shared" si="17"/>
        <v>нет</v>
      </c>
      <c r="O1042" s="23"/>
      <c r="P1042" s="23"/>
      <c r="Q1042" s="106"/>
      <c r="R1042" s="37">
        <v>208</v>
      </c>
      <c r="S1042" s="38" t="s">
        <v>620</v>
      </c>
      <c r="T1042" s="37">
        <v>211</v>
      </c>
      <c r="U1042" s="39" t="s">
        <v>623</v>
      </c>
      <c r="V1042" s="89" t="s">
        <v>180</v>
      </c>
      <c r="W1042" s="89" t="s">
        <v>127</v>
      </c>
      <c r="X1042" s="106" t="s">
        <v>296</v>
      </c>
      <c r="Y1042" s="107" t="s">
        <v>12</v>
      </c>
      <c r="Z1042" s="67">
        <f>IF(База_КР_КК[[#This Row],[Таб.номер резервиста]]="-","-",IF(OR(База_КР_КК[[#This Row],[Уровень КК]]=2,База_КР_КК[[#This Row],[Уровень КК]]=3),IF(COUNTIFS($U$2:$U1042,$U1042,$F$2:$F1042,$F1042)=1,1,0),IF(COUNTIFS($U$2:$U1042,$U1042,$L$2:$L1042,$L1042)=1,1,0)))</f>
        <v>1</v>
      </c>
      <c r="AA10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2" s="106"/>
      <c r="AC1042" s="51"/>
      <c r="AD1042" s="106" t="s">
        <v>13</v>
      </c>
      <c r="AE1042" s="38" t="s">
        <v>303</v>
      </c>
    </row>
    <row r="1043" spans="1:31" ht="18" customHeight="1" x14ac:dyDescent="0.25">
      <c r="A10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43" s="79">
        <v>3</v>
      </c>
      <c r="C1043" s="23">
        <v>43557</v>
      </c>
      <c r="D1043" s="67">
        <f>IF(COUNTIF($G$2:$G1043,$G1043)=1,1,0)</f>
        <v>0</v>
      </c>
      <c r="E1043" s="67" t="str">
        <f>IFERROR(VLOOKUP(База_КР_КК[[#This Row],[ИД штатной должности (S)]],'уровень защищенности'!$B$7:$F$1095,5,0),"не защищена")</f>
        <v>высокий</v>
      </c>
      <c r="F1043" s="68">
        <v>500036</v>
      </c>
      <c r="G1043" s="74" t="s">
        <v>2368</v>
      </c>
      <c r="H1043" s="181">
        <f>INDEX('Списки данных'!$D$2:$D$1048576,MATCH(База_КР_КК[[#This Row],[Структурное подразделение]],'Списки данных'!$C$2:$C$1048576,0))</f>
        <v>202</v>
      </c>
      <c r="I1043" s="80" t="s">
        <v>127</v>
      </c>
      <c r="J1043" s="80" t="s">
        <v>205</v>
      </c>
      <c r="K1043" s="80" t="s">
        <v>21</v>
      </c>
      <c r="L1043" s="30" t="s">
        <v>179</v>
      </c>
      <c r="M1043" s="68">
        <v>4</v>
      </c>
      <c r="N1043" s="181" t="str">
        <f t="shared" si="17"/>
        <v>нет</v>
      </c>
      <c r="O1043" s="23"/>
      <c r="P1043" s="23"/>
      <c r="Q1043" s="106"/>
      <c r="R1043" s="37">
        <v>208</v>
      </c>
      <c r="S1043" s="38" t="s">
        <v>620</v>
      </c>
      <c r="T1043" s="37">
        <v>216</v>
      </c>
      <c r="U1043" s="39" t="s">
        <v>628</v>
      </c>
      <c r="V1043" s="89" t="s">
        <v>180</v>
      </c>
      <c r="W1043" s="89" t="s">
        <v>127</v>
      </c>
      <c r="X1043" s="106" t="s">
        <v>296</v>
      </c>
      <c r="Y1043" s="107" t="s">
        <v>12</v>
      </c>
      <c r="Z1043" s="67">
        <f>IF(База_КР_КК[[#This Row],[Таб.номер резервиста]]="-","-",IF(OR(База_КР_КК[[#This Row],[Уровень КК]]=2,База_КР_КК[[#This Row],[Уровень КК]]=3),IF(COUNTIFS($U$2:$U1043,$U1043,$F$2:$F1043,$F1043)=1,1,0),IF(COUNTIFS($U$2:$U1043,$U1043,$L$2:$L1043,$L1043)=1,1,0)))</f>
        <v>1</v>
      </c>
      <c r="AA10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3" s="106"/>
      <c r="AC1043" s="51"/>
      <c r="AD1043" s="106" t="s">
        <v>13</v>
      </c>
      <c r="AE1043" s="38" t="s">
        <v>303</v>
      </c>
    </row>
    <row r="1044" spans="1:31" ht="18" customHeight="1" x14ac:dyDescent="0.25">
      <c r="A10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44" s="79">
        <v>3</v>
      </c>
      <c r="C1044" s="23">
        <v>43557</v>
      </c>
      <c r="D1044" s="67">
        <f>IF(COUNTIF($G$2:$G1044,$G1044)=1,1,0)</f>
        <v>0</v>
      </c>
      <c r="E1044" s="67" t="str">
        <f>IFERROR(VLOOKUP(База_КР_КК[[#This Row],[ИД штатной должности (S)]],'уровень защищенности'!$B$7:$F$1095,5,0),"не защищена")</f>
        <v>высокий</v>
      </c>
      <c r="F1044" s="68">
        <v>500036</v>
      </c>
      <c r="G1044" s="74" t="s">
        <v>2368</v>
      </c>
      <c r="H1044" s="181">
        <f>INDEX('Списки данных'!$D$2:$D$1048576,MATCH(База_КР_КК[[#This Row],[Структурное подразделение]],'Списки данных'!$C$2:$C$1048576,0))</f>
        <v>202</v>
      </c>
      <c r="I1044" s="80" t="s">
        <v>127</v>
      </c>
      <c r="J1044" s="80" t="s">
        <v>205</v>
      </c>
      <c r="K1044" s="80" t="s">
        <v>21</v>
      </c>
      <c r="L1044" s="30" t="s">
        <v>179</v>
      </c>
      <c r="M1044" s="68">
        <v>4</v>
      </c>
      <c r="N1044" s="181" t="str">
        <f t="shared" si="17"/>
        <v>нет</v>
      </c>
      <c r="O1044" s="23"/>
      <c r="P1044" s="23"/>
      <c r="Q1044" s="106"/>
      <c r="R1044" s="37">
        <v>208</v>
      </c>
      <c r="S1044" s="38" t="s">
        <v>620</v>
      </c>
      <c r="T1044" s="37">
        <v>217</v>
      </c>
      <c r="U1044" s="39" t="s">
        <v>629</v>
      </c>
      <c r="V1044" s="89" t="s">
        <v>180</v>
      </c>
      <c r="W1044" s="89" t="s">
        <v>127</v>
      </c>
      <c r="X1044" s="106" t="s">
        <v>295</v>
      </c>
      <c r="Y1044" s="107" t="s">
        <v>12</v>
      </c>
      <c r="Z1044" s="67">
        <f>IF(База_КР_КК[[#This Row],[Таб.номер резервиста]]="-","-",IF(OR(База_КР_КК[[#This Row],[Уровень КК]]=2,База_КР_КК[[#This Row],[Уровень КК]]=3),IF(COUNTIFS($U$2:$U1044,$U1044,$F$2:$F1044,$F1044)=1,1,0),IF(COUNTIFS($U$2:$U1044,$U1044,$L$2:$L1044,$L1044)=1,1,0)))</f>
        <v>1</v>
      </c>
      <c r="AA10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4" s="106"/>
      <c r="AC1044" s="51"/>
      <c r="AD1044" s="106" t="s">
        <v>17</v>
      </c>
      <c r="AE1044" s="38" t="s">
        <v>303</v>
      </c>
    </row>
    <row r="1045" spans="1:31" ht="18" customHeight="1" x14ac:dyDescent="0.25">
      <c r="A10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45" s="79">
        <v>3</v>
      </c>
      <c r="C1045" s="23">
        <v>43557</v>
      </c>
      <c r="D1045" s="67">
        <f>IF(COUNTIF($G$2:$G1045,$G1045)=1,1,0)</f>
        <v>0</v>
      </c>
      <c r="E1045" s="67" t="str">
        <f>IFERROR(VLOOKUP(База_КР_КК[[#This Row],[ИД штатной должности (S)]],'уровень защищенности'!$B$7:$F$1095,5,0),"не защищена")</f>
        <v>высокий</v>
      </c>
      <c r="F1045" s="68">
        <v>500036</v>
      </c>
      <c r="G1045" s="74" t="s">
        <v>2368</v>
      </c>
      <c r="H1045" s="181">
        <f>INDEX('Списки данных'!$D$2:$D$1048576,MATCH(База_КР_КК[[#This Row],[Структурное подразделение]],'Списки данных'!$C$2:$C$1048576,0))</f>
        <v>202</v>
      </c>
      <c r="I1045" s="80" t="s">
        <v>127</v>
      </c>
      <c r="J1045" s="80" t="s">
        <v>205</v>
      </c>
      <c r="K1045" s="80" t="s">
        <v>21</v>
      </c>
      <c r="L1045" s="30" t="s">
        <v>179</v>
      </c>
      <c r="M1045" s="68">
        <v>4</v>
      </c>
      <c r="N1045" s="181" t="str">
        <f t="shared" si="17"/>
        <v>нет</v>
      </c>
      <c r="O1045" s="23"/>
      <c r="P1045" s="23"/>
      <c r="Q1045" s="106"/>
      <c r="R1045" s="37">
        <v>208</v>
      </c>
      <c r="S1045" s="38" t="s">
        <v>620</v>
      </c>
      <c r="T1045" s="37">
        <v>219</v>
      </c>
      <c r="U1045" s="39" t="s">
        <v>631</v>
      </c>
      <c r="V1045" s="89" t="s">
        <v>179</v>
      </c>
      <c r="W1045" s="89" t="s">
        <v>127</v>
      </c>
      <c r="X1045" s="106" t="s">
        <v>295</v>
      </c>
      <c r="Y1045" s="107" t="s">
        <v>18</v>
      </c>
      <c r="Z1045" s="67">
        <f>IF(База_КР_КК[[#This Row],[Таб.номер резервиста]]="-","-",IF(OR(База_КР_КК[[#This Row],[Уровень КК]]=2,База_КР_КК[[#This Row],[Уровень КК]]=3),IF(COUNTIFS($U$2:$U1045,$U1045,$F$2:$F1045,$F1045)=1,1,0),IF(COUNTIFS($U$2:$U1045,$U1045,$L$2:$L1045,$L1045)=1,1,0)))</f>
        <v>1</v>
      </c>
      <c r="AA10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5" s="106" t="s">
        <v>37</v>
      </c>
      <c r="AC1045" s="51">
        <v>44943</v>
      </c>
      <c r="AD1045" s="106" t="s">
        <v>31</v>
      </c>
      <c r="AE1045" s="38" t="s">
        <v>406</v>
      </c>
    </row>
    <row r="1046" spans="1:31" ht="18" customHeight="1" x14ac:dyDescent="0.25">
      <c r="A10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46" s="79">
        <v>3</v>
      </c>
      <c r="C1046" s="23">
        <v>43453</v>
      </c>
      <c r="D1046" s="67">
        <f>IF(COUNTIF($G$2:$G1046,$G1046)=1,1,0)</f>
        <v>1</v>
      </c>
      <c r="E1046" s="67" t="str">
        <f>IFERROR(VLOOKUP(База_КР_КК[[#This Row],[ИД штатной должности (S)]],'уровень защищенности'!$B$7:$F$1095,5,0),"не защищена")</f>
        <v>средний</v>
      </c>
      <c r="F1046" s="68">
        <v>500575</v>
      </c>
      <c r="G1046" s="74" t="s">
        <v>2369</v>
      </c>
      <c r="H1046" s="181">
        <f>INDEX('Списки данных'!$D$2:$D$1048576,MATCH(База_КР_КК[[#This Row],[Структурное подразделение]],'Списки данных'!$C$2:$C$1048576,0))</f>
        <v>202</v>
      </c>
      <c r="I1046" s="80" t="s">
        <v>127</v>
      </c>
      <c r="J1046" s="80" t="s">
        <v>205</v>
      </c>
      <c r="K1046" s="80" t="s">
        <v>206</v>
      </c>
      <c r="L1046" s="30" t="s">
        <v>187</v>
      </c>
      <c r="M1046" s="68">
        <v>5</v>
      </c>
      <c r="N1046" s="181" t="str">
        <f t="shared" si="17"/>
        <v>нет</v>
      </c>
      <c r="O1046" s="23"/>
      <c r="P1046" s="23"/>
      <c r="Q1046" s="106"/>
      <c r="R1046" s="37">
        <v>209</v>
      </c>
      <c r="S1046" s="38" t="s">
        <v>621</v>
      </c>
      <c r="T1046" s="37">
        <v>1294</v>
      </c>
      <c r="U1046" s="39" t="s">
        <v>1601</v>
      </c>
      <c r="V1046" s="89" t="s">
        <v>194</v>
      </c>
      <c r="W1046" s="89" t="s">
        <v>127</v>
      </c>
      <c r="X1046" s="106" t="s">
        <v>297</v>
      </c>
      <c r="Y1046" s="107" t="s">
        <v>12</v>
      </c>
      <c r="Z1046" s="67">
        <f>IF(База_КР_КК[[#This Row],[Таб.номер резервиста]]="-","-",IF(OR(База_КР_КК[[#This Row],[Уровень КК]]=2,База_КР_КК[[#This Row],[Уровень КК]]=3),IF(COUNTIFS($U$2:$U1046,$U1046,$F$2:$F1046,$F1046)=1,1,0),IF(COUNTIFS($U$2:$U1046,$U1046,$L$2:$L1046,$L1046)=1,1,0)))</f>
        <v>1</v>
      </c>
      <c r="AA10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6" s="106"/>
      <c r="AC1046" s="51"/>
      <c r="AD1046" s="106" t="s">
        <v>13</v>
      </c>
      <c r="AE1046" s="38" t="s">
        <v>406</v>
      </c>
    </row>
    <row r="1047" spans="1:31" ht="18" customHeight="1" x14ac:dyDescent="0.25">
      <c r="A10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47" s="79">
        <v>3</v>
      </c>
      <c r="C1047" s="23">
        <v>43453</v>
      </c>
      <c r="D1047" s="67">
        <f>IF(COUNTIF($G$2:$G1047,$G1047)=1,1,0)</f>
        <v>0</v>
      </c>
      <c r="E1047" s="67" t="str">
        <f>IFERROR(VLOOKUP(База_КР_КК[[#This Row],[ИД штатной должности (S)]],'уровень защищенности'!$B$7:$F$1095,5,0),"не защищена")</f>
        <v>средний</v>
      </c>
      <c r="F1047" s="68">
        <v>500575</v>
      </c>
      <c r="G1047" s="74" t="s">
        <v>2369</v>
      </c>
      <c r="H1047" s="181">
        <f>INDEX('Списки данных'!$D$2:$D$1048576,MATCH(База_КР_КК[[#This Row],[Структурное подразделение]],'Списки данных'!$C$2:$C$1048576,0))</f>
        <v>202</v>
      </c>
      <c r="I1047" s="80" t="s">
        <v>127</v>
      </c>
      <c r="J1047" s="80" t="s">
        <v>205</v>
      </c>
      <c r="K1047" s="80" t="s">
        <v>206</v>
      </c>
      <c r="L1047" s="30" t="s">
        <v>187</v>
      </c>
      <c r="M1047" s="68">
        <v>5</v>
      </c>
      <c r="N1047" s="181" t="str">
        <f t="shared" si="17"/>
        <v>нет</v>
      </c>
      <c r="O1047" s="23"/>
      <c r="P1047" s="23"/>
      <c r="Q1047" s="106"/>
      <c r="R1047" s="37">
        <v>209</v>
      </c>
      <c r="S1047" s="38" t="s">
        <v>621</v>
      </c>
      <c r="T1047" s="37">
        <v>1295</v>
      </c>
      <c r="U1047" s="39" t="s">
        <v>1694</v>
      </c>
      <c r="V1047" s="89" t="s">
        <v>16</v>
      </c>
      <c r="W1047" s="89" t="s">
        <v>127</v>
      </c>
      <c r="X1047" s="106" t="s">
        <v>297</v>
      </c>
      <c r="Y1047" s="107" t="s">
        <v>12</v>
      </c>
      <c r="Z1047" s="67">
        <f>IF(База_КР_КК[[#This Row],[Таб.номер резервиста]]="-","-",IF(OR(База_КР_КК[[#This Row],[Уровень КК]]=2,База_КР_КК[[#This Row],[Уровень КК]]=3),IF(COUNTIFS($U$2:$U1047,$U1047,$F$2:$F1047,$F1047)=1,1,0),IF(COUNTIFS($U$2:$U1047,$U1047,$L$2:$L1047,$L1047)=1,1,0)))</f>
        <v>1</v>
      </c>
      <c r="AA10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7" s="106"/>
      <c r="AC1047" s="51"/>
      <c r="AD1047" s="106" t="s">
        <v>13</v>
      </c>
      <c r="AE1047" s="38" t="s">
        <v>406</v>
      </c>
    </row>
    <row r="1048" spans="1:31" ht="18" customHeight="1" x14ac:dyDescent="0.25">
      <c r="A10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48" s="79">
        <v>2</v>
      </c>
      <c r="C1048" s="23">
        <v>43080</v>
      </c>
      <c r="D1048" s="67">
        <f>IF(COUNTIF($G$2:$G1048,$G1048)=1,1,0)</f>
        <v>1</v>
      </c>
      <c r="E1048" s="67" t="str">
        <f>IFERROR(VLOOKUP(База_КР_КК[[#This Row],[ИД штатной должности (S)]],'уровень защищенности'!$B$7:$F$1095,5,0),"не защищена")</f>
        <v>средний</v>
      </c>
      <c r="F1048" s="68">
        <v>500035</v>
      </c>
      <c r="G1048" s="74" t="s">
        <v>2370</v>
      </c>
      <c r="H1048" s="181">
        <f>INDEX('Списки данных'!$D$2:$D$1048576,MATCH(База_КР_КК[[#This Row],[Структурное подразделение]],'Списки данных'!$C$2:$C$1048576,0))</f>
        <v>202</v>
      </c>
      <c r="I1048" s="80" t="s">
        <v>127</v>
      </c>
      <c r="J1048" s="80" t="s">
        <v>21</v>
      </c>
      <c r="K1048" s="80" t="s">
        <v>21</v>
      </c>
      <c r="L1048" s="30" t="s">
        <v>181</v>
      </c>
      <c r="M1048" s="68">
        <v>3</v>
      </c>
      <c r="N1048" s="181" t="str">
        <f t="shared" si="17"/>
        <v>да</v>
      </c>
      <c r="O1048" s="23">
        <v>43682</v>
      </c>
      <c r="P1048" s="23">
        <v>43682</v>
      </c>
      <c r="Q1048" s="106" t="s">
        <v>57</v>
      </c>
      <c r="R1048" s="37">
        <v>210</v>
      </c>
      <c r="S1048" s="38" t="s">
        <v>622</v>
      </c>
      <c r="T1048" s="37">
        <v>216</v>
      </c>
      <c r="U1048" s="39" t="s">
        <v>628</v>
      </c>
      <c r="V1048" s="89" t="s">
        <v>180</v>
      </c>
      <c r="W1048" s="89" t="s">
        <v>127</v>
      </c>
      <c r="X1048" s="106" t="s">
        <v>296</v>
      </c>
      <c r="Y1048" s="107" t="s">
        <v>12</v>
      </c>
      <c r="Z1048" s="67">
        <f>IF(База_КР_КК[[#This Row],[Таб.номер резервиста]]="-","-",IF(OR(База_КР_КК[[#This Row],[Уровень КК]]=2,База_КР_КК[[#This Row],[Уровень КК]]=3),IF(COUNTIFS($U$2:$U1048,$U1048,$F$2:$F1048,$F1048)=1,1,0),IF(COUNTIFS($U$2:$U1048,$U1048,$L$2:$L1048,$L1048)=1,1,0)))</f>
        <v>1</v>
      </c>
      <c r="AA10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8" s="106"/>
      <c r="AC1048" s="51"/>
      <c r="AD1048" s="106" t="s">
        <v>13</v>
      </c>
      <c r="AE1048" s="38" t="s">
        <v>414</v>
      </c>
    </row>
    <row r="1049" spans="1:31" ht="18" customHeight="1" x14ac:dyDescent="0.25">
      <c r="A10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49" s="79">
        <v>2</v>
      </c>
      <c r="C1049" s="23">
        <v>43080</v>
      </c>
      <c r="D1049" s="67">
        <f>IF(COUNTIF($G$2:$G1049,$G1049)=1,1,0)</f>
        <v>0</v>
      </c>
      <c r="E1049" s="67" t="str">
        <f>IFERROR(VLOOKUP(База_КР_КК[[#This Row],[ИД штатной должности (S)]],'уровень защищенности'!$B$7:$F$1095,5,0),"не защищена")</f>
        <v>средний</v>
      </c>
      <c r="F1049" s="68">
        <v>500035</v>
      </c>
      <c r="G1049" s="74" t="s">
        <v>2370</v>
      </c>
      <c r="H1049" s="181">
        <f>INDEX('Списки данных'!$D$2:$D$1048576,MATCH(База_КР_КК[[#This Row],[Структурное подразделение]],'Списки данных'!$C$2:$C$1048576,0))</f>
        <v>202</v>
      </c>
      <c r="I1049" s="80" t="s">
        <v>127</v>
      </c>
      <c r="J1049" s="80" t="s">
        <v>21</v>
      </c>
      <c r="K1049" s="80" t="s">
        <v>21</v>
      </c>
      <c r="L1049" s="30" t="s">
        <v>181</v>
      </c>
      <c r="M1049" s="68">
        <v>3</v>
      </c>
      <c r="N1049" s="181" t="str">
        <f t="shared" si="17"/>
        <v>да</v>
      </c>
      <c r="O1049" s="23">
        <v>43682</v>
      </c>
      <c r="P1049" s="23">
        <v>43682</v>
      </c>
      <c r="Q1049" s="106" t="s">
        <v>57</v>
      </c>
      <c r="R1049" s="37">
        <v>210</v>
      </c>
      <c r="S1049" s="38" t="s">
        <v>622</v>
      </c>
      <c r="T1049" s="37">
        <v>219</v>
      </c>
      <c r="U1049" s="39" t="s">
        <v>631</v>
      </c>
      <c r="V1049" s="89" t="s">
        <v>179</v>
      </c>
      <c r="W1049" s="89" t="s">
        <v>127</v>
      </c>
      <c r="X1049" s="106" t="s">
        <v>297</v>
      </c>
      <c r="Y1049" s="107" t="s">
        <v>12</v>
      </c>
      <c r="Z1049" s="67">
        <f>IF(База_КР_КК[[#This Row],[Таб.номер резервиста]]="-","-",IF(OR(База_КР_КК[[#This Row],[Уровень КК]]=2,База_КР_КК[[#This Row],[Уровень КК]]=3),IF(COUNTIFS($U$2:$U1049,$U1049,$F$2:$F1049,$F1049)=1,1,0),IF(COUNTIFS($U$2:$U1049,$U1049,$L$2:$L1049,$L1049)=1,1,0)))</f>
        <v>1</v>
      </c>
      <c r="AA10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49" s="106"/>
      <c r="AC1049" s="51"/>
      <c r="AD1049" s="106" t="s">
        <v>13</v>
      </c>
      <c r="AE1049" s="38" t="s">
        <v>414</v>
      </c>
    </row>
    <row r="1050" spans="1:31" ht="18" customHeight="1" x14ac:dyDescent="0.25">
      <c r="A10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0" s="79">
        <v>2</v>
      </c>
      <c r="C1050" s="23">
        <v>43080</v>
      </c>
      <c r="D1050" s="67">
        <f>IF(COUNTIF($G$2:$G1050,$G1050)=1,1,0)</f>
        <v>0</v>
      </c>
      <c r="E1050" s="67" t="str">
        <f>IFERROR(VLOOKUP(База_КР_КК[[#This Row],[ИД штатной должности (S)]],'уровень защищенности'!$B$7:$F$1095,5,0),"не защищена")</f>
        <v>средний</v>
      </c>
      <c r="F1050" s="68">
        <v>500035</v>
      </c>
      <c r="G1050" s="74" t="s">
        <v>2370</v>
      </c>
      <c r="H1050" s="181">
        <f>INDEX('Списки данных'!$D$2:$D$1048576,MATCH(База_КР_КК[[#This Row],[Структурное подразделение]],'Списки данных'!$C$2:$C$1048576,0))</f>
        <v>202</v>
      </c>
      <c r="I1050" s="80" t="s">
        <v>127</v>
      </c>
      <c r="J1050" s="80" t="s">
        <v>21</v>
      </c>
      <c r="K1050" s="80" t="s">
        <v>21</v>
      </c>
      <c r="L1050" s="30" t="s">
        <v>181</v>
      </c>
      <c r="M1050" s="68">
        <v>3</v>
      </c>
      <c r="N1050" s="181" t="str">
        <f t="shared" si="17"/>
        <v>да</v>
      </c>
      <c r="O1050" s="23">
        <v>43682</v>
      </c>
      <c r="P1050" s="23">
        <v>43682</v>
      </c>
      <c r="Q1050" s="106" t="s">
        <v>57</v>
      </c>
      <c r="R1050" s="37">
        <v>210</v>
      </c>
      <c r="S1050" s="38" t="s">
        <v>622</v>
      </c>
      <c r="T1050" s="37">
        <v>217</v>
      </c>
      <c r="U1050" s="39" t="s">
        <v>629</v>
      </c>
      <c r="V1050" s="89" t="s">
        <v>180</v>
      </c>
      <c r="W1050" s="89" t="s">
        <v>127</v>
      </c>
      <c r="X1050" s="106" t="s">
        <v>297</v>
      </c>
      <c r="Y1050" s="107" t="s">
        <v>12</v>
      </c>
      <c r="Z1050" s="67">
        <f>IF(База_КР_КК[[#This Row],[Таб.номер резервиста]]="-","-",IF(OR(База_КР_КК[[#This Row],[Уровень КК]]=2,База_КР_КК[[#This Row],[Уровень КК]]=3),IF(COUNTIFS($U$2:$U1050,$U1050,$F$2:$F1050,$F1050)=1,1,0),IF(COUNTIFS($U$2:$U1050,$U1050,$L$2:$L1050,$L1050)=1,1,0)))</f>
        <v>1</v>
      </c>
      <c r="AA10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0" s="106"/>
      <c r="AC1050" s="51"/>
      <c r="AD1050" s="106" t="s">
        <v>13</v>
      </c>
      <c r="AE1050" s="38" t="s">
        <v>414</v>
      </c>
    </row>
    <row r="1051" spans="1:31" ht="18" customHeight="1" x14ac:dyDescent="0.25">
      <c r="A10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1" s="79">
        <v>3</v>
      </c>
      <c r="C1051" s="23">
        <v>43557</v>
      </c>
      <c r="D1051" s="67">
        <f>IF(COUNTIF($G$2:$G1051,$G1051)=1,1,0)</f>
        <v>1</v>
      </c>
      <c r="E1051" s="67" t="str">
        <f>IFERROR(VLOOKUP(База_КР_КК[[#This Row],[ИД штатной должности (S)]],'уровень защищенности'!$B$7:$F$1095,5,0),"не защищена")</f>
        <v>средний</v>
      </c>
      <c r="F1051" s="68">
        <v>500574</v>
      </c>
      <c r="G1051" s="74" t="s">
        <v>2371</v>
      </c>
      <c r="H1051" s="181">
        <f>INDEX('Списки данных'!$D$2:$D$1048576,MATCH(База_КР_КК[[#This Row],[Структурное подразделение]],'Списки данных'!$C$2:$C$1048576,0))</f>
        <v>202</v>
      </c>
      <c r="I1051" s="80" t="s">
        <v>127</v>
      </c>
      <c r="J1051" s="80" t="s">
        <v>21</v>
      </c>
      <c r="K1051" s="80" t="s">
        <v>21</v>
      </c>
      <c r="L1051" s="30" t="s">
        <v>180</v>
      </c>
      <c r="M1051" s="68">
        <v>4</v>
      </c>
      <c r="N1051" s="181" t="str">
        <f t="shared" si="17"/>
        <v>нет</v>
      </c>
      <c r="O1051" s="23"/>
      <c r="P1051" s="23"/>
      <c r="Q1051" s="106"/>
      <c r="R1051" s="37">
        <v>211</v>
      </c>
      <c r="S1051" s="38" t="s">
        <v>623</v>
      </c>
      <c r="T1051" s="37">
        <v>215</v>
      </c>
      <c r="U1051" s="39" t="s">
        <v>627</v>
      </c>
      <c r="V1051" s="89" t="s">
        <v>189</v>
      </c>
      <c r="W1051" s="89" t="s">
        <v>127</v>
      </c>
      <c r="X1051" s="106" t="s">
        <v>297</v>
      </c>
      <c r="Y1051" s="107" t="s">
        <v>12</v>
      </c>
      <c r="Z1051" s="67">
        <f>IF(База_КР_КК[[#This Row],[Таб.номер резервиста]]="-","-",IF(OR(База_КР_КК[[#This Row],[Уровень КК]]=2,База_КР_КК[[#This Row],[Уровень КК]]=3),IF(COUNTIFS($U$2:$U1051,$U1051,$F$2:$F1051,$F1051)=1,1,0),IF(COUNTIFS($U$2:$U1051,$U1051,$L$2:$L1051,$L1051)=1,1,0)))</f>
        <v>1</v>
      </c>
      <c r="AA10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1" s="106"/>
      <c r="AC1051" s="51"/>
      <c r="AD1051" s="106" t="s">
        <v>13</v>
      </c>
      <c r="AE1051" s="38" t="s">
        <v>303</v>
      </c>
    </row>
    <row r="1052" spans="1:31" ht="18" customHeight="1" x14ac:dyDescent="0.25">
      <c r="A10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2" s="79">
        <v>3</v>
      </c>
      <c r="C1052" s="23">
        <v>43453</v>
      </c>
      <c r="D1052" s="67">
        <f>IF(COUNTIF($G$2:$G1052,$G1052)=1,1,0)</f>
        <v>1</v>
      </c>
      <c r="E1052" s="67" t="str">
        <f>IFERROR(VLOOKUP(База_КР_КК[[#This Row],[ИД штатной должности (S)]],'уровень защищенности'!$B$7:$F$1095,5,0),"не защищена")</f>
        <v>не защищена</v>
      </c>
      <c r="F1052" s="68">
        <v>500037</v>
      </c>
      <c r="G1052" s="74" t="s">
        <v>2372</v>
      </c>
      <c r="H1052" s="181">
        <f>INDEX('Списки данных'!$D$2:$D$1048576,MATCH(База_КР_КК[[#This Row],[Структурное подразделение]],'Списки данных'!$C$2:$C$1048576,0))</f>
        <v>202</v>
      </c>
      <c r="I1052" s="80" t="s">
        <v>127</v>
      </c>
      <c r="J1052" s="80" t="s">
        <v>205</v>
      </c>
      <c r="K1052" s="80" t="s">
        <v>21</v>
      </c>
      <c r="L1052" s="30" t="s">
        <v>189</v>
      </c>
      <c r="M1052" s="68">
        <v>5</v>
      </c>
      <c r="N1052" s="181" t="str">
        <f t="shared" si="17"/>
        <v>нет</v>
      </c>
      <c r="O1052" s="23"/>
      <c r="P1052" s="23"/>
      <c r="Q1052" s="107"/>
      <c r="R1052" s="37">
        <v>212</v>
      </c>
      <c r="S1052" s="38" t="s">
        <v>624</v>
      </c>
      <c r="T1052" s="37">
        <v>23</v>
      </c>
      <c r="U1052" s="39" t="s">
        <v>437</v>
      </c>
      <c r="V1052" s="69" t="s">
        <v>194</v>
      </c>
      <c r="W1052" s="89" t="s">
        <v>133</v>
      </c>
      <c r="X1052" s="106" t="s">
        <v>297</v>
      </c>
      <c r="Y1052" s="107" t="s">
        <v>18</v>
      </c>
      <c r="Z1052" s="67">
        <f>IF(База_КР_КК[[#This Row],[Таб.номер резервиста]]="-","-",IF(OR(База_КР_КК[[#This Row],[Уровень КК]]=2,База_КР_КК[[#This Row],[Уровень КК]]=3),IF(COUNTIFS($U$2:$U1052,$U1052,$F$2:$F1052,$F1052)=1,1,0),IF(COUNTIFS($U$2:$U1052,$U1052,$L$2:$L1052,$L1052)=1,1,0)))</f>
        <v>1</v>
      </c>
      <c r="AA10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2" s="106" t="s">
        <v>38</v>
      </c>
      <c r="AC1052" s="51">
        <v>44398</v>
      </c>
      <c r="AD1052" s="106" t="s">
        <v>31</v>
      </c>
      <c r="AE1052" s="38" t="s">
        <v>328</v>
      </c>
    </row>
    <row r="1053" spans="1:31" ht="18" customHeight="1" x14ac:dyDescent="0.25">
      <c r="A10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3" s="79">
        <v>3</v>
      </c>
      <c r="C1053" s="23">
        <v>43453</v>
      </c>
      <c r="D1053" s="67">
        <f>IF(COUNTIF($G$2:$G1053,$G1053)=1,1,0)</f>
        <v>0</v>
      </c>
      <c r="E1053" s="67" t="str">
        <f>IFERROR(VLOOKUP(База_КР_КК[[#This Row],[ИД штатной должности (S)]],'уровень защищенности'!$B$7:$F$1095,5,0),"не защищена")</f>
        <v>не защищена</v>
      </c>
      <c r="F1053" s="68">
        <v>500037</v>
      </c>
      <c r="G1053" s="74" t="s">
        <v>2372</v>
      </c>
      <c r="H1053" s="181">
        <f>INDEX('Списки данных'!$D$2:$D$1048576,MATCH(База_КР_КК[[#This Row],[Структурное подразделение]],'Списки данных'!$C$2:$C$1048576,0))</f>
        <v>202</v>
      </c>
      <c r="I1053" s="80" t="s">
        <v>127</v>
      </c>
      <c r="J1053" s="80" t="s">
        <v>205</v>
      </c>
      <c r="K1053" s="80" t="s">
        <v>21</v>
      </c>
      <c r="L1053" s="30" t="s">
        <v>189</v>
      </c>
      <c r="M1053" s="68">
        <v>5</v>
      </c>
      <c r="N1053" s="181" t="str">
        <f t="shared" si="17"/>
        <v>нет</v>
      </c>
      <c r="O1053" s="23"/>
      <c r="P1053" s="23"/>
      <c r="Q1053" s="107"/>
      <c r="R1053" s="37">
        <v>212</v>
      </c>
      <c r="S1053" s="38" t="s">
        <v>624</v>
      </c>
      <c r="T1053" s="37">
        <v>131</v>
      </c>
      <c r="U1053" s="39" t="s">
        <v>543</v>
      </c>
      <c r="V1053" s="88" t="s">
        <v>192</v>
      </c>
      <c r="W1053" s="89" t="s">
        <v>132</v>
      </c>
      <c r="X1053" s="106" t="s">
        <v>296</v>
      </c>
      <c r="Y1053" s="107" t="s">
        <v>18</v>
      </c>
      <c r="Z1053" s="67">
        <f>IF(База_КР_КК[[#This Row],[Таб.номер резервиста]]="-","-",IF(OR(База_КР_КК[[#This Row],[Уровень КК]]=2,База_КР_КК[[#This Row],[Уровень КК]]=3),IF(COUNTIFS($U$2:$U1053,$U1053,$F$2:$F1053,$F1053)=1,1,0),IF(COUNTIFS($U$2:$U1053,$U1053,$L$2:$L1053,$L1053)=1,1,0)))</f>
        <v>1</v>
      </c>
      <c r="AA10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3" s="106" t="s">
        <v>38</v>
      </c>
      <c r="AC1053" s="51">
        <v>44398</v>
      </c>
      <c r="AD1053" s="106" t="s">
        <v>31</v>
      </c>
      <c r="AE1053" s="38" t="s">
        <v>328</v>
      </c>
    </row>
    <row r="1054" spans="1:31" ht="18" customHeight="1" x14ac:dyDescent="0.25">
      <c r="A10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4" s="79">
        <v>3</v>
      </c>
      <c r="C1054" s="23">
        <v>44398</v>
      </c>
      <c r="D1054" s="67">
        <f>IF(COUNTIF($G$2:$G1054,$G1054)=1,1,0)</f>
        <v>0</v>
      </c>
      <c r="E1054" s="67" t="str">
        <f>IFERROR(VLOOKUP(База_КР_КК[[#This Row],[ИД штатной должности (S)]],'уровень защищенности'!$B$7:$F$1095,5,0),"не защищена")</f>
        <v>не защищена</v>
      </c>
      <c r="F1054" s="68">
        <v>500037</v>
      </c>
      <c r="G1054" s="74" t="s">
        <v>2372</v>
      </c>
      <c r="H1054" s="181">
        <f>INDEX('Списки данных'!$D$2:$D$1048576,MATCH(База_КР_КК[[#This Row],[Структурное подразделение]],'Списки данных'!$C$2:$C$1048576,0))</f>
        <v>202</v>
      </c>
      <c r="I1054" s="80" t="s">
        <v>127</v>
      </c>
      <c r="J1054" s="80" t="s">
        <v>205</v>
      </c>
      <c r="K1054" s="80" t="s">
        <v>21</v>
      </c>
      <c r="L1054" s="30" t="s">
        <v>189</v>
      </c>
      <c r="M1054" s="68">
        <v>5</v>
      </c>
      <c r="N1054" s="181" t="str">
        <f t="shared" si="17"/>
        <v>нет</v>
      </c>
      <c r="O1054" s="23"/>
      <c r="P1054" s="23"/>
      <c r="Q1054" s="107"/>
      <c r="R1054" s="37">
        <v>212</v>
      </c>
      <c r="S1054" s="38" t="s">
        <v>624</v>
      </c>
      <c r="T1054" s="37">
        <v>1181</v>
      </c>
      <c r="U1054" s="39" t="s">
        <v>1589</v>
      </c>
      <c r="V1054" s="69" t="s">
        <v>272</v>
      </c>
      <c r="W1054" s="89" t="s">
        <v>132</v>
      </c>
      <c r="X1054" s="106" t="s">
        <v>296</v>
      </c>
      <c r="Y1054" s="107" t="s">
        <v>18</v>
      </c>
      <c r="Z1054" s="67">
        <f>IF(База_КР_КК[[#This Row],[Таб.номер резервиста]]="-","-",IF(OR(База_КР_КК[[#This Row],[Уровень КК]]=2,База_КР_КК[[#This Row],[Уровень КК]]=3),IF(COUNTIFS($U$2:$U1054,$U1054,$F$2:$F1054,$F1054)=1,1,0),IF(COUNTIFS($U$2:$U1054,$U1054,$L$2:$L1054,$L1054)=1,1,0)))</f>
        <v>1</v>
      </c>
      <c r="AA10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4" s="106" t="s">
        <v>38</v>
      </c>
      <c r="AC1054" s="51">
        <v>44552</v>
      </c>
      <c r="AD1054" s="106" t="s">
        <v>31</v>
      </c>
      <c r="AE1054" s="38" t="s">
        <v>329</v>
      </c>
    </row>
    <row r="1055" spans="1:31" ht="18" customHeight="1" x14ac:dyDescent="0.25">
      <c r="A10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5" s="79">
        <v>3</v>
      </c>
      <c r="C1055" s="23">
        <v>44398</v>
      </c>
      <c r="D1055" s="67">
        <f>IF(COUNTIF($G$2:$G1055,$G1055)=1,1,0)</f>
        <v>0</v>
      </c>
      <c r="E1055" s="67" t="str">
        <f>IFERROR(VLOOKUP(База_КР_КК[[#This Row],[ИД штатной должности (S)]],'уровень защищенности'!$B$7:$F$1095,5,0),"не защищена")</f>
        <v>не защищена</v>
      </c>
      <c r="F1055" s="68">
        <v>500037</v>
      </c>
      <c r="G1055" s="74" t="s">
        <v>2372</v>
      </c>
      <c r="H1055" s="181">
        <f>INDEX('Списки данных'!$D$2:$D$1048576,MATCH(База_КР_КК[[#This Row],[Структурное подразделение]],'Списки данных'!$C$2:$C$1048576,0))</f>
        <v>202</v>
      </c>
      <c r="I1055" s="80" t="s">
        <v>127</v>
      </c>
      <c r="J1055" s="80" t="s">
        <v>205</v>
      </c>
      <c r="K1055" s="80" t="s">
        <v>21</v>
      </c>
      <c r="L1055" s="30" t="s">
        <v>189</v>
      </c>
      <c r="M1055" s="68">
        <v>5</v>
      </c>
      <c r="N1055" s="181" t="str">
        <f t="shared" si="17"/>
        <v>нет</v>
      </c>
      <c r="O1055" s="23"/>
      <c r="P1055" s="23"/>
      <c r="Q1055" s="107"/>
      <c r="R1055" s="37">
        <v>212</v>
      </c>
      <c r="S1055" s="38" t="s">
        <v>624</v>
      </c>
      <c r="T1055" s="37">
        <v>1171</v>
      </c>
      <c r="U1055" s="39" t="s">
        <v>1580</v>
      </c>
      <c r="V1055" s="69" t="s">
        <v>16</v>
      </c>
      <c r="W1055" s="89" t="s">
        <v>122</v>
      </c>
      <c r="X1055" s="106" t="s">
        <v>296</v>
      </c>
      <c r="Y1055" s="107" t="s">
        <v>18</v>
      </c>
      <c r="Z1055" s="67">
        <f>IF(База_КР_КК[[#This Row],[Таб.номер резервиста]]="-","-",IF(OR(База_КР_КК[[#This Row],[Уровень КК]]=2,База_КР_КК[[#This Row],[Уровень КК]]=3),IF(COUNTIFS($U$2:$U1055,$U1055,$F$2:$F1055,$F1055)=1,1,0),IF(COUNTIFS($U$2:$U1055,$U1055,$L$2:$L1055,$L1055)=1,1,0)))</f>
        <v>1</v>
      </c>
      <c r="AA10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5" s="106" t="s">
        <v>33</v>
      </c>
      <c r="AC1055" s="51">
        <v>45100</v>
      </c>
      <c r="AD1055" s="106" t="s">
        <v>31</v>
      </c>
      <c r="AE1055" s="38" t="s">
        <v>406</v>
      </c>
    </row>
    <row r="1056" spans="1:31" ht="18" customHeight="1" x14ac:dyDescent="0.25">
      <c r="A10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6" s="79">
        <v>3</v>
      </c>
      <c r="C1056" s="23">
        <v>44735</v>
      </c>
      <c r="D1056" s="67">
        <f>IF(COUNTIF($G$2:$G1056,$G1056)=1,1,0)</f>
        <v>1</v>
      </c>
      <c r="E1056" s="67" t="str">
        <f>IFERROR(VLOOKUP(База_КР_КК[[#This Row],[ИД штатной должности (S)]],'уровень защищенности'!$B$7:$F$1095,5,0),"не защищена")</f>
        <v>низкий</v>
      </c>
      <c r="F1056" s="68">
        <v>500039</v>
      </c>
      <c r="G1056" s="74" t="s">
        <v>2373</v>
      </c>
      <c r="H1056" s="181">
        <f>INDEX('Списки данных'!$D$2:$D$1048576,MATCH(База_КР_КК[[#This Row],[Структурное подразделение]],'Списки данных'!$C$2:$C$1048576,0))</f>
        <v>202</v>
      </c>
      <c r="I1056" s="80" t="s">
        <v>127</v>
      </c>
      <c r="J1056" s="80" t="s">
        <v>205</v>
      </c>
      <c r="K1056" s="80" t="s">
        <v>21</v>
      </c>
      <c r="L1056" s="30" t="s">
        <v>189</v>
      </c>
      <c r="M1056" s="68">
        <v>6</v>
      </c>
      <c r="N1056" s="181" t="str">
        <f t="shared" si="17"/>
        <v>нет</v>
      </c>
      <c r="O1056" s="23"/>
      <c r="P1056" s="23"/>
      <c r="Q1056" s="106"/>
      <c r="R1056" s="37">
        <v>213</v>
      </c>
      <c r="S1056" s="39" t="s">
        <v>625</v>
      </c>
      <c r="T1056" s="37">
        <v>1296</v>
      </c>
      <c r="U1056" s="38" t="s">
        <v>1695</v>
      </c>
      <c r="V1056" s="69" t="s">
        <v>16</v>
      </c>
      <c r="W1056" s="89" t="s">
        <v>127</v>
      </c>
      <c r="X1056" s="106" t="s">
        <v>296</v>
      </c>
      <c r="Y1056" s="107" t="s">
        <v>12</v>
      </c>
      <c r="Z1056" s="67">
        <f>IF(База_КР_КК[[#This Row],[Таб.номер резервиста]]="-","-",IF(OR(База_КР_КК[[#This Row],[Уровень КК]]=2,База_КР_КК[[#This Row],[Уровень КК]]=3),IF(COUNTIFS($U$2:$U1056,$U1056,$F$2:$F1056,$F1056)=1,1,0),IF(COUNTIFS($U$2:$U1056,$U1056,$L$2:$L1056,$L1056)=1,1,0)))</f>
        <v>1</v>
      </c>
      <c r="AA10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6" s="106"/>
      <c r="AC1056" s="51"/>
      <c r="AD1056" s="106" t="s">
        <v>15</v>
      </c>
      <c r="AE1056" s="38" t="s">
        <v>406</v>
      </c>
    </row>
    <row r="1057" spans="1:31" ht="18" customHeight="1" x14ac:dyDescent="0.25">
      <c r="A10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7" s="79">
        <v>3</v>
      </c>
      <c r="C1057" s="23">
        <v>44735</v>
      </c>
      <c r="D1057" s="67">
        <f>IF(COUNTIF($G$2:$G1057,$G1057)=1,1,0)</f>
        <v>1</v>
      </c>
      <c r="E1057" s="67" t="str">
        <f>IFERROR(VLOOKUP(База_КР_КК[[#This Row],[ИД штатной должности (S)]],'уровень защищенности'!$B$7:$F$1095,5,0),"не защищена")</f>
        <v>не защищена</v>
      </c>
      <c r="F1057" s="68">
        <v>500038</v>
      </c>
      <c r="G1057" s="74" t="s">
        <v>2374</v>
      </c>
      <c r="H1057" s="181">
        <f>INDEX('Списки данных'!$D$2:$D$1048576,MATCH(База_КР_КК[[#This Row],[Структурное подразделение]],'Списки данных'!$C$2:$C$1048576,0))</f>
        <v>202</v>
      </c>
      <c r="I1057" s="80" t="s">
        <v>127</v>
      </c>
      <c r="J1057" s="80" t="s">
        <v>205</v>
      </c>
      <c r="K1057" s="80" t="s">
        <v>21</v>
      </c>
      <c r="L1057" s="30" t="s">
        <v>189</v>
      </c>
      <c r="M1057" s="68">
        <v>6</v>
      </c>
      <c r="N1057" s="181" t="str">
        <f t="shared" si="17"/>
        <v>нет</v>
      </c>
      <c r="O1057" s="23"/>
      <c r="P1057" s="23"/>
      <c r="Q1057" s="106"/>
      <c r="R1057" s="37">
        <v>214</v>
      </c>
      <c r="S1057" s="39" t="s">
        <v>626</v>
      </c>
      <c r="T1057" s="37" t="s">
        <v>21</v>
      </c>
      <c r="U1057" s="37" t="s">
        <v>21</v>
      </c>
      <c r="V1057" s="88" t="s">
        <v>21</v>
      </c>
      <c r="W1057" s="88" t="s">
        <v>21</v>
      </c>
      <c r="X1057" s="106"/>
      <c r="Y1057" s="107"/>
      <c r="Z1057" s="67" t="str">
        <f>IF(База_КР_КК[[#This Row],[Таб.номер резервиста]]="-","-",IF(OR(База_КР_КК[[#This Row],[Уровень КК]]=2,База_КР_КК[[#This Row],[Уровень КК]]=3),IF(COUNTIFS($U$2:$U1057,$U1057,$F$2:$F1057,$F1057)=1,1,0),IF(COUNTIFS($U$2:$U1057,$U1057,$L$2:$L1057,$L1057)=1,1,0)))</f>
        <v>-</v>
      </c>
      <c r="AA1057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1057" s="106"/>
      <c r="AC1057" s="51"/>
      <c r="AD1057" s="106"/>
      <c r="AE1057" s="38"/>
    </row>
    <row r="1058" spans="1:31" ht="18" customHeight="1" x14ac:dyDescent="0.25">
      <c r="A10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8" s="79">
        <v>3</v>
      </c>
      <c r="C1058" s="23">
        <v>43453</v>
      </c>
      <c r="D1058" s="67">
        <f>IF(COUNTIF($G$2:$G1058,$G1058)=1,1,0)</f>
        <v>1</v>
      </c>
      <c r="E1058" s="67" t="str">
        <f>IFERROR(VLOOKUP(База_КР_КК[[#This Row],[ИД штатной должности (S)]],'уровень защищенности'!$B$7:$F$1095,5,0),"не защищена")</f>
        <v>низкий</v>
      </c>
      <c r="F1058" s="68">
        <v>500586</v>
      </c>
      <c r="G1058" s="74" t="s">
        <v>2375</v>
      </c>
      <c r="H1058" s="181">
        <f>INDEX('Списки данных'!$D$2:$D$1048576,MATCH(База_КР_КК[[#This Row],[Структурное подразделение]],'Списки данных'!$C$2:$C$1048576,0))</f>
        <v>202</v>
      </c>
      <c r="I1058" s="80" t="s">
        <v>127</v>
      </c>
      <c r="J1058" s="80" t="s">
        <v>205</v>
      </c>
      <c r="K1058" s="80" t="s">
        <v>21</v>
      </c>
      <c r="L1058" s="30" t="s">
        <v>189</v>
      </c>
      <c r="M1058" s="68">
        <v>5</v>
      </c>
      <c r="N1058" s="181" t="str">
        <f t="shared" si="17"/>
        <v>нет</v>
      </c>
      <c r="O1058" s="23"/>
      <c r="P1058" s="23"/>
      <c r="Q1058" s="106"/>
      <c r="R1058" s="37">
        <v>215</v>
      </c>
      <c r="S1058" s="38" t="s">
        <v>627</v>
      </c>
      <c r="T1058" s="37">
        <v>118</v>
      </c>
      <c r="U1058" s="39" t="s">
        <v>530</v>
      </c>
      <c r="V1058" s="89" t="s">
        <v>192</v>
      </c>
      <c r="W1058" s="89" t="s">
        <v>133</v>
      </c>
      <c r="X1058" s="106" t="s">
        <v>296</v>
      </c>
      <c r="Y1058" s="107" t="s">
        <v>12</v>
      </c>
      <c r="Z1058" s="67">
        <f>IF(База_КР_КК[[#This Row],[Таб.номер резервиста]]="-","-",IF(OR(База_КР_КК[[#This Row],[Уровень КК]]=2,База_КР_КК[[#This Row],[Уровень КК]]=3),IF(COUNTIFS($U$2:$U1058,$U1058,$F$2:$F1058,$F1058)=1,1,0),IF(COUNTIFS($U$2:$U1058,$U1058,$L$2:$L1058,$L1058)=1,1,0)))</f>
        <v>1</v>
      </c>
      <c r="AA10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8" s="106"/>
      <c r="AC1058" s="51"/>
      <c r="AD1058" s="106" t="s">
        <v>13</v>
      </c>
      <c r="AE1058" s="38" t="s">
        <v>327</v>
      </c>
    </row>
    <row r="1059" spans="1:31" ht="18" customHeight="1" x14ac:dyDescent="0.25">
      <c r="A10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59" s="79">
        <v>3</v>
      </c>
      <c r="C1059" s="23">
        <v>43453</v>
      </c>
      <c r="D1059" s="67">
        <f>IF(COUNTIF($G$2:$G1059,$G1059)=1,1,0)</f>
        <v>0</v>
      </c>
      <c r="E1059" s="67" t="str">
        <f>IFERROR(VLOOKUP(База_КР_КК[[#This Row],[ИД штатной должности (S)]],'уровень защищенности'!$B$7:$F$1095,5,0),"не защищена")</f>
        <v>низкий</v>
      </c>
      <c r="F1059" s="68">
        <v>500586</v>
      </c>
      <c r="G1059" s="74" t="s">
        <v>2375</v>
      </c>
      <c r="H1059" s="181">
        <f>INDEX('Списки данных'!$D$2:$D$1048576,MATCH(База_КР_КК[[#This Row],[Структурное подразделение]],'Списки данных'!$C$2:$C$1048576,0))</f>
        <v>202</v>
      </c>
      <c r="I1059" s="80" t="s">
        <v>127</v>
      </c>
      <c r="J1059" s="80" t="s">
        <v>205</v>
      </c>
      <c r="K1059" s="80" t="s">
        <v>21</v>
      </c>
      <c r="L1059" s="30" t="s">
        <v>189</v>
      </c>
      <c r="M1059" s="68">
        <v>5</v>
      </c>
      <c r="N1059" s="181" t="str">
        <f t="shared" si="17"/>
        <v>нет</v>
      </c>
      <c r="O1059" s="23"/>
      <c r="P1059" s="23"/>
      <c r="Q1059" s="106"/>
      <c r="R1059" s="37">
        <v>215</v>
      </c>
      <c r="S1059" s="38" t="s">
        <v>627</v>
      </c>
      <c r="T1059" s="37">
        <v>106</v>
      </c>
      <c r="U1059" s="39" t="s">
        <v>518</v>
      </c>
      <c r="V1059" s="89" t="s">
        <v>192</v>
      </c>
      <c r="W1059" s="89" t="s">
        <v>132</v>
      </c>
      <c r="X1059" s="106" t="s">
        <v>296</v>
      </c>
      <c r="Y1059" s="107" t="s">
        <v>18</v>
      </c>
      <c r="Z1059" s="67">
        <f>IF(База_КР_КК[[#This Row],[Таб.номер резервиста]]="-","-",IF(OR(База_КР_КК[[#This Row],[Уровень КК]]=2,База_КР_КК[[#This Row],[Уровень КК]]=3),IF(COUNTIFS($U$2:$U1059,$U1059,$F$2:$F1059,$F1059)=1,1,0),IF(COUNTIFS($U$2:$U1059,$U1059,$L$2:$L1059,$L1059)=1,1,0)))</f>
        <v>1</v>
      </c>
      <c r="AA10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59" s="106" t="s">
        <v>38</v>
      </c>
      <c r="AC1059" s="51">
        <v>44735</v>
      </c>
      <c r="AD1059" s="106" t="s">
        <v>31</v>
      </c>
      <c r="AE1059" s="38" t="s">
        <v>327</v>
      </c>
    </row>
    <row r="1060" spans="1:31" ht="18" customHeight="1" x14ac:dyDescent="0.25">
      <c r="A10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0" s="79">
        <v>3</v>
      </c>
      <c r="C1060" s="23">
        <v>44398</v>
      </c>
      <c r="D1060" s="67">
        <f>IF(COUNTIF($G$2:$G1060,$G1060)=1,1,0)</f>
        <v>0</v>
      </c>
      <c r="E1060" s="67" t="str">
        <f>IFERROR(VLOOKUP(База_КР_КК[[#This Row],[ИД штатной должности (S)]],'уровень защищенности'!$B$7:$F$1095,5,0),"не защищена")</f>
        <v>низкий</v>
      </c>
      <c r="F1060" s="68">
        <v>500586</v>
      </c>
      <c r="G1060" s="74" t="s">
        <v>2375</v>
      </c>
      <c r="H1060" s="181">
        <f>INDEX('Списки данных'!$D$2:$D$1048576,MATCH(База_КР_КК[[#This Row],[Структурное подразделение]],'Списки данных'!$C$2:$C$1048576,0))</f>
        <v>202</v>
      </c>
      <c r="I1060" s="80" t="s">
        <v>127</v>
      </c>
      <c r="J1060" s="80" t="s">
        <v>205</v>
      </c>
      <c r="K1060" s="80" t="s">
        <v>21</v>
      </c>
      <c r="L1060" s="30" t="s">
        <v>189</v>
      </c>
      <c r="M1060" s="68">
        <v>5</v>
      </c>
      <c r="N1060" s="181" t="str">
        <f t="shared" si="17"/>
        <v>нет</v>
      </c>
      <c r="O1060" s="23"/>
      <c r="P1060" s="23"/>
      <c r="Q1060" s="106"/>
      <c r="R1060" s="37">
        <v>215</v>
      </c>
      <c r="S1060" s="38" t="s">
        <v>627</v>
      </c>
      <c r="T1060" s="37">
        <v>1180</v>
      </c>
      <c r="U1060" s="39" t="s">
        <v>1588</v>
      </c>
      <c r="V1060" s="69" t="s">
        <v>272</v>
      </c>
      <c r="W1060" s="89" t="s">
        <v>132</v>
      </c>
      <c r="X1060" s="106" t="s">
        <v>296</v>
      </c>
      <c r="Y1060" s="107" t="s">
        <v>18</v>
      </c>
      <c r="Z1060" s="67">
        <f>IF(База_КР_КК[[#This Row],[Таб.номер резервиста]]="-","-",IF(OR(База_КР_КК[[#This Row],[Уровень КК]]=2,База_КР_КК[[#This Row],[Уровень КК]]=3),IF(COUNTIFS($U$2:$U1060,$U1060,$F$2:$F1060,$F1060)=1,1,0),IF(COUNTIFS($U$2:$U1060,$U1060,$L$2:$L1060,$L1060)=1,1,0)))</f>
        <v>1</v>
      </c>
      <c r="AA10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0" s="106" t="s">
        <v>38</v>
      </c>
      <c r="AC1060" s="51">
        <v>44735</v>
      </c>
      <c r="AD1060" s="106" t="s">
        <v>31</v>
      </c>
      <c r="AE1060" s="38" t="s">
        <v>327</v>
      </c>
    </row>
    <row r="1061" spans="1:31" ht="18" customHeight="1" x14ac:dyDescent="0.25">
      <c r="A10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1" s="79">
        <v>3</v>
      </c>
      <c r="C1061" s="23">
        <v>43797</v>
      </c>
      <c r="D1061" s="67">
        <f>IF(COUNTIF($G$2:$G1061,$G1061)=1,1,0)</f>
        <v>1</v>
      </c>
      <c r="E1061" s="67" t="str">
        <f>IFERROR(VLOOKUP(База_КР_КК[[#This Row],[ИД штатной должности (S)]],'уровень защищенности'!$B$7:$F$1095,5,0),"не защищена")</f>
        <v>средний</v>
      </c>
      <c r="F1061" s="68">
        <v>500588</v>
      </c>
      <c r="G1061" s="74" t="s">
        <v>2376</v>
      </c>
      <c r="H1061" s="181">
        <f>INDEX('Списки данных'!$D$2:$D$1048576,MATCH(База_КР_КК[[#This Row],[Структурное подразделение]],'Списки данных'!$C$2:$C$1048576,0))</f>
        <v>202</v>
      </c>
      <c r="I1061" s="80" t="s">
        <v>127</v>
      </c>
      <c r="J1061" s="80" t="s">
        <v>21</v>
      </c>
      <c r="K1061" s="80" t="s">
        <v>21</v>
      </c>
      <c r="L1061" s="30" t="s">
        <v>180</v>
      </c>
      <c r="M1061" s="68">
        <v>4</v>
      </c>
      <c r="N1061" s="181" t="str">
        <f t="shared" si="17"/>
        <v>нет</v>
      </c>
      <c r="O1061" s="23"/>
      <c r="P1061" s="23"/>
      <c r="Q1061" s="106"/>
      <c r="R1061" s="37">
        <v>216</v>
      </c>
      <c r="S1061" s="38" t="s">
        <v>628</v>
      </c>
      <c r="T1061" s="37">
        <v>670</v>
      </c>
      <c r="U1061" s="39" t="s">
        <v>1079</v>
      </c>
      <c r="V1061" s="89" t="s">
        <v>193</v>
      </c>
      <c r="W1061" s="89" t="s">
        <v>136</v>
      </c>
      <c r="X1061" s="106" t="s">
        <v>296</v>
      </c>
      <c r="Y1061" s="107" t="s">
        <v>12</v>
      </c>
      <c r="Z1061" s="67">
        <f>IF(База_КР_КК[[#This Row],[Таб.номер резервиста]]="-","-",IF(OR(База_КР_КК[[#This Row],[Уровень КК]]=2,База_КР_КК[[#This Row],[Уровень КК]]=3),IF(COUNTIFS($U$2:$U1061,$U1061,$F$2:$F1061,$F1061)=1,1,0),IF(COUNTIFS($U$2:$U1061,$U1061,$L$2:$L1061,$L1061)=1,1,0)))</f>
        <v>1</v>
      </c>
      <c r="AA10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1" s="106"/>
      <c r="AC1061" s="51"/>
      <c r="AD1061" s="106" t="s">
        <v>13</v>
      </c>
      <c r="AE1061" s="38" t="s">
        <v>303</v>
      </c>
    </row>
    <row r="1062" spans="1:31" ht="18" customHeight="1" x14ac:dyDescent="0.25">
      <c r="A10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2" s="79">
        <v>3</v>
      </c>
      <c r="C1062" s="23">
        <v>44340</v>
      </c>
      <c r="D1062" s="67">
        <f>IF(COUNTIF($G$2:$G1062,$G1062)=1,1,0)</f>
        <v>0</v>
      </c>
      <c r="E1062" s="67" t="str">
        <f>IFERROR(VLOOKUP(База_КР_КК[[#This Row],[ИД штатной должности (S)]],'уровень защищенности'!$B$7:$F$1095,5,0),"не защищена")</f>
        <v>средний</v>
      </c>
      <c r="F1062" s="68">
        <v>500588</v>
      </c>
      <c r="G1062" s="74" t="s">
        <v>2376</v>
      </c>
      <c r="H1062" s="181">
        <f>INDEX('Списки данных'!$D$2:$D$1048576,MATCH(База_КР_КК[[#This Row],[Структурное подразделение]],'Списки данных'!$C$2:$C$1048576,0))</f>
        <v>202</v>
      </c>
      <c r="I1062" s="80" t="s">
        <v>127</v>
      </c>
      <c r="J1062" s="80" t="s">
        <v>21</v>
      </c>
      <c r="K1062" s="80" t="s">
        <v>21</v>
      </c>
      <c r="L1062" s="30" t="s">
        <v>180</v>
      </c>
      <c r="M1062" s="68">
        <v>4</v>
      </c>
      <c r="N1062" s="181" t="str">
        <f t="shared" si="17"/>
        <v>нет</v>
      </c>
      <c r="O1062" s="23"/>
      <c r="P1062" s="23"/>
      <c r="Q1062" s="106"/>
      <c r="R1062" s="37">
        <v>216</v>
      </c>
      <c r="S1062" s="38" t="s">
        <v>628</v>
      </c>
      <c r="T1062" s="37">
        <v>214</v>
      </c>
      <c r="U1062" s="39" t="s">
        <v>626</v>
      </c>
      <c r="V1062" s="69" t="s">
        <v>189</v>
      </c>
      <c r="W1062" s="89" t="s">
        <v>127</v>
      </c>
      <c r="X1062" s="106" t="s">
        <v>297</v>
      </c>
      <c r="Y1062" s="107" t="s">
        <v>12</v>
      </c>
      <c r="Z1062" s="67">
        <f>IF(База_КР_КК[[#This Row],[Таб.номер резервиста]]="-","-",IF(OR(База_КР_КК[[#This Row],[Уровень КК]]=2,База_КР_КК[[#This Row],[Уровень КК]]=3),IF(COUNTIFS($U$2:$U1062,$U1062,$F$2:$F1062,$F1062)=1,1,0),IF(COUNTIFS($U$2:$U1062,$U1062,$L$2:$L1062,$L1062)=1,1,0)))</f>
        <v>1</v>
      </c>
      <c r="AA10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2" s="106"/>
      <c r="AC1062" s="51"/>
      <c r="AD1062" s="106" t="s">
        <v>15</v>
      </c>
      <c r="AE1062" s="38" t="s">
        <v>303</v>
      </c>
    </row>
    <row r="1063" spans="1:31" ht="18" customHeight="1" x14ac:dyDescent="0.25">
      <c r="A10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3" s="79">
        <v>3</v>
      </c>
      <c r="C1063" s="23">
        <v>43453</v>
      </c>
      <c r="D1063" s="67">
        <f>IF(COUNTIF($G$2:$G1063,$G1063)=1,1,0)</f>
        <v>0</v>
      </c>
      <c r="E1063" s="67" t="str">
        <f>IFERROR(VLOOKUP(База_КР_КК[[#This Row],[ИД штатной должности (S)]],'уровень защищенности'!$B$7:$F$1095,5,0),"не защищена")</f>
        <v>средний</v>
      </c>
      <c r="F1063" s="68">
        <v>500588</v>
      </c>
      <c r="G1063" s="74" t="s">
        <v>2376</v>
      </c>
      <c r="H1063" s="181">
        <f>INDEX('Списки данных'!$D$2:$D$1048576,MATCH(База_КР_КК[[#This Row],[Структурное подразделение]],'Списки данных'!$C$2:$C$1048576,0))</f>
        <v>202</v>
      </c>
      <c r="I1063" s="80" t="s">
        <v>127</v>
      </c>
      <c r="J1063" s="80" t="s">
        <v>21</v>
      </c>
      <c r="K1063" s="80" t="s">
        <v>21</v>
      </c>
      <c r="L1063" s="30" t="s">
        <v>180</v>
      </c>
      <c r="M1063" s="68">
        <v>4</v>
      </c>
      <c r="N1063" s="181" t="str">
        <f t="shared" si="17"/>
        <v>нет</v>
      </c>
      <c r="O1063" s="23"/>
      <c r="P1063" s="23"/>
      <c r="Q1063" s="106"/>
      <c r="R1063" s="37">
        <v>216</v>
      </c>
      <c r="S1063" s="38" t="s">
        <v>628</v>
      </c>
      <c r="T1063" s="37">
        <v>1297</v>
      </c>
      <c r="U1063" s="39" t="s">
        <v>1696</v>
      </c>
      <c r="V1063" s="89" t="s">
        <v>189</v>
      </c>
      <c r="W1063" s="89" t="s">
        <v>278</v>
      </c>
      <c r="X1063" s="106" t="s">
        <v>296</v>
      </c>
      <c r="Y1063" s="107" t="s">
        <v>18</v>
      </c>
      <c r="Z1063" s="67">
        <f>IF(База_КР_КК[[#This Row],[Таб.номер резервиста]]="-","-",IF(OR(База_КР_КК[[#This Row],[Уровень КК]]=2,База_КР_КК[[#This Row],[Уровень КК]]=3),IF(COUNTIFS($U$2:$U1063,$U1063,$F$2:$F1063,$F1063)=1,1,0),IF(COUNTIFS($U$2:$U1063,$U1063,$L$2:$L1063,$L1063)=1,1,0)))</f>
        <v>1</v>
      </c>
      <c r="AA10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3" s="106" t="s">
        <v>41</v>
      </c>
      <c r="AC1063" s="51">
        <v>43992</v>
      </c>
      <c r="AD1063" s="106" t="s">
        <v>15</v>
      </c>
      <c r="AE1063" s="38" t="s">
        <v>330</v>
      </c>
    </row>
    <row r="1064" spans="1:31" ht="18" customHeight="1" x14ac:dyDescent="0.25">
      <c r="A10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4" s="79">
        <v>3</v>
      </c>
      <c r="C1064" s="23">
        <v>43453</v>
      </c>
      <c r="D1064" s="67">
        <f>IF(COUNTIF($G$2:$G1064,$G1064)=1,1,0)</f>
        <v>1</v>
      </c>
      <c r="E1064" s="67" t="str">
        <f>IFERROR(VLOOKUP(База_КР_КК[[#This Row],[ИД штатной должности (S)]],'уровень защищенности'!$B$7:$F$1095,5,0),"не защищена")</f>
        <v>высокий</v>
      </c>
      <c r="F1064" s="68">
        <v>500589</v>
      </c>
      <c r="G1064" s="74" t="s">
        <v>2377</v>
      </c>
      <c r="H1064" s="181">
        <f>INDEX('Списки данных'!$D$2:$D$1048576,MATCH(База_КР_КК[[#This Row],[Структурное подразделение]],'Списки данных'!$C$2:$C$1048576,0))</f>
        <v>202</v>
      </c>
      <c r="I1064" s="80" t="s">
        <v>127</v>
      </c>
      <c r="J1064" s="80" t="s">
        <v>21</v>
      </c>
      <c r="K1064" s="80" t="s">
        <v>21</v>
      </c>
      <c r="L1064" s="30" t="s">
        <v>180</v>
      </c>
      <c r="M1064" s="68">
        <v>4</v>
      </c>
      <c r="N1064" s="181" t="str">
        <f t="shared" si="17"/>
        <v>нет</v>
      </c>
      <c r="O1064" s="23"/>
      <c r="P1064" s="23"/>
      <c r="Q1064" s="106"/>
      <c r="R1064" s="37">
        <v>217</v>
      </c>
      <c r="S1064" s="38" t="s">
        <v>629</v>
      </c>
      <c r="T1064" s="37">
        <v>213</v>
      </c>
      <c r="U1064" s="39" t="s">
        <v>625</v>
      </c>
      <c r="V1064" s="89" t="s">
        <v>189</v>
      </c>
      <c r="W1064" s="89" t="s">
        <v>127</v>
      </c>
      <c r="X1064" s="106" t="s">
        <v>295</v>
      </c>
      <c r="Y1064" s="107" t="s">
        <v>12</v>
      </c>
      <c r="Z1064" s="67">
        <f>IF(База_КР_КК[[#This Row],[Таб.номер резервиста]]="-","-",IF(OR(База_КР_КК[[#This Row],[Уровень КК]]=2,База_КР_КК[[#This Row],[Уровень КК]]=3),IF(COUNTIFS($U$2:$U1064,$U1064,$F$2:$F1064,$F1064)=1,1,0),IF(COUNTIFS($U$2:$U1064,$U1064,$L$2:$L1064,$L1064)=1,1,0)))</f>
        <v>1</v>
      </c>
      <c r="AA10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4" s="106"/>
      <c r="AC1064" s="51"/>
      <c r="AD1064" s="106" t="s">
        <v>17</v>
      </c>
      <c r="AE1064" s="38" t="s">
        <v>303</v>
      </c>
    </row>
    <row r="1065" spans="1:31" ht="18" customHeight="1" x14ac:dyDescent="0.25">
      <c r="A10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5" s="79">
        <v>3</v>
      </c>
      <c r="C1065" s="23">
        <v>43797</v>
      </c>
      <c r="D1065" s="67">
        <f>IF(COUNTIF($G$2:$G1065,$G1065)=1,1,0)</f>
        <v>0</v>
      </c>
      <c r="E1065" s="67" t="str">
        <f>IFERROR(VLOOKUP(База_КР_КК[[#This Row],[ИД штатной должности (S)]],'уровень защищенности'!$B$7:$F$1095,5,0),"не защищена")</f>
        <v>высокий</v>
      </c>
      <c r="F1065" s="68">
        <v>500589</v>
      </c>
      <c r="G1065" s="74" t="s">
        <v>2377</v>
      </c>
      <c r="H1065" s="181">
        <f>INDEX('Списки данных'!$D$2:$D$1048576,MATCH(База_КР_КК[[#This Row],[Структурное подразделение]],'Списки данных'!$C$2:$C$1048576,0))</f>
        <v>202</v>
      </c>
      <c r="I1065" s="80" t="s">
        <v>127</v>
      </c>
      <c r="J1065" s="80" t="s">
        <v>21</v>
      </c>
      <c r="K1065" s="80" t="s">
        <v>21</v>
      </c>
      <c r="L1065" s="30" t="s">
        <v>180</v>
      </c>
      <c r="M1065" s="68">
        <v>4</v>
      </c>
      <c r="N1065" s="181" t="str">
        <f t="shared" si="17"/>
        <v>нет</v>
      </c>
      <c r="O1065" s="23"/>
      <c r="P1065" s="23"/>
      <c r="Q1065" s="106"/>
      <c r="R1065" s="37">
        <v>217</v>
      </c>
      <c r="S1065" s="38" t="s">
        <v>629</v>
      </c>
      <c r="T1065" s="37">
        <v>1298</v>
      </c>
      <c r="U1065" s="39" t="s">
        <v>1697</v>
      </c>
      <c r="V1065" s="89" t="s">
        <v>193</v>
      </c>
      <c r="W1065" s="89" t="s">
        <v>127</v>
      </c>
      <c r="X1065" s="106" t="s">
        <v>296</v>
      </c>
      <c r="Y1065" s="107" t="s">
        <v>12</v>
      </c>
      <c r="Z1065" s="67">
        <f>IF(База_КР_КК[[#This Row],[Таб.номер резервиста]]="-","-",IF(OR(База_КР_КК[[#This Row],[Уровень КК]]=2,База_КР_КК[[#This Row],[Уровень КК]]=3),IF(COUNTIFS($U$2:$U1065,$U1065,$F$2:$F1065,$F1065)=1,1,0),IF(COUNTIFS($U$2:$U1065,$U1065,$L$2:$L1065,$L1065)=1,1,0)))</f>
        <v>1</v>
      </c>
      <c r="AA10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5" s="106"/>
      <c r="AC1065" s="51"/>
      <c r="AD1065" s="106" t="s">
        <v>13</v>
      </c>
      <c r="AE1065" s="38" t="s">
        <v>303</v>
      </c>
    </row>
    <row r="1066" spans="1:31" ht="18" customHeight="1" x14ac:dyDescent="0.25">
      <c r="A10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6" s="79">
        <v>3</v>
      </c>
      <c r="C1066" s="23">
        <v>43797</v>
      </c>
      <c r="D1066" s="67">
        <f>IF(COUNTIF($G$2:$G1066,$G1066)=1,1,0)</f>
        <v>0</v>
      </c>
      <c r="E1066" s="67" t="str">
        <f>IFERROR(VLOOKUP(База_КР_КК[[#This Row],[ИД штатной должности (S)]],'уровень защищенности'!$B$7:$F$1095,5,0),"не защищена")</f>
        <v>высокий</v>
      </c>
      <c r="F1066" s="68">
        <v>500589</v>
      </c>
      <c r="G1066" s="74" t="s">
        <v>2377</v>
      </c>
      <c r="H1066" s="181">
        <f>INDEX('Списки данных'!$D$2:$D$1048576,MATCH(База_КР_КК[[#This Row],[Структурное подразделение]],'Списки данных'!$C$2:$C$1048576,0))</f>
        <v>202</v>
      </c>
      <c r="I1066" s="80" t="s">
        <v>127</v>
      </c>
      <c r="J1066" s="80" t="s">
        <v>21</v>
      </c>
      <c r="K1066" s="80" t="s">
        <v>21</v>
      </c>
      <c r="L1066" s="30" t="s">
        <v>180</v>
      </c>
      <c r="M1066" s="68">
        <v>4</v>
      </c>
      <c r="N1066" s="181" t="str">
        <f t="shared" si="17"/>
        <v>нет</v>
      </c>
      <c r="O1066" s="23"/>
      <c r="P1066" s="23"/>
      <c r="Q1066" s="106"/>
      <c r="R1066" s="37">
        <v>217</v>
      </c>
      <c r="S1066" s="38" t="s">
        <v>629</v>
      </c>
      <c r="T1066" s="37">
        <v>1299</v>
      </c>
      <c r="U1066" s="39" t="s">
        <v>1698</v>
      </c>
      <c r="V1066" s="89" t="s">
        <v>189</v>
      </c>
      <c r="W1066" s="89" t="s">
        <v>161</v>
      </c>
      <c r="X1066" s="106" t="s">
        <v>296</v>
      </c>
      <c r="Y1066" s="107" t="s">
        <v>18</v>
      </c>
      <c r="Z1066" s="67">
        <f>IF(База_КР_КК[[#This Row],[Таб.номер резервиста]]="-","-",IF(OR(База_КР_КК[[#This Row],[Уровень КК]]=2,База_КР_КК[[#This Row],[Уровень КК]]=3),IF(COUNTIFS($U$2:$U1066,$U1066,$F$2:$F1066,$F1066)=1,1,0),IF(COUNTIFS($U$2:$U1066,$U1066,$L$2:$L1066,$L1066)=1,1,0)))</f>
        <v>1</v>
      </c>
      <c r="AA10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6" s="106" t="s">
        <v>38</v>
      </c>
      <c r="AC1066" s="51">
        <v>44340</v>
      </c>
      <c r="AD1066" s="106" t="s">
        <v>31</v>
      </c>
      <c r="AE1066" s="38" t="s">
        <v>303</v>
      </c>
    </row>
    <row r="1067" spans="1:31" ht="18" customHeight="1" x14ac:dyDescent="0.25">
      <c r="A10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7" s="79">
        <v>3</v>
      </c>
      <c r="C1067" s="23">
        <v>44398</v>
      </c>
      <c r="D1067" s="67">
        <f>IF(COUNTIF($G$2:$G1067,$G1067)=1,1,0)</f>
        <v>1</v>
      </c>
      <c r="E1067" s="67" t="str">
        <f>IFERROR(VLOOKUP(База_КР_КК[[#This Row],[ИД штатной должности (S)]],'уровень защищенности'!$B$7:$F$1095,5,0),"не защищена")</f>
        <v>средний</v>
      </c>
      <c r="F1067" s="68">
        <v>500590</v>
      </c>
      <c r="G1067" s="74" t="s">
        <v>2378</v>
      </c>
      <c r="H1067" s="181">
        <f>INDEX('Списки данных'!$D$2:$D$1048576,MATCH(База_КР_КК[[#This Row],[Структурное подразделение]],'Списки данных'!$C$2:$C$1048576,0))</f>
        <v>202</v>
      </c>
      <c r="I1067" s="80" t="s">
        <v>127</v>
      </c>
      <c r="J1067" s="80" t="s">
        <v>205</v>
      </c>
      <c r="K1067" s="80" t="s">
        <v>206</v>
      </c>
      <c r="L1067" s="30" t="s">
        <v>187</v>
      </c>
      <c r="M1067" s="68">
        <v>5</v>
      </c>
      <c r="N1067" s="181" t="str">
        <f t="shared" si="17"/>
        <v>нет</v>
      </c>
      <c r="O1067" s="23"/>
      <c r="P1067" s="23"/>
      <c r="Q1067" s="106"/>
      <c r="R1067" s="37">
        <v>218</v>
      </c>
      <c r="S1067" s="38" t="s">
        <v>630</v>
      </c>
      <c r="T1067" s="37">
        <v>1300</v>
      </c>
      <c r="U1067" s="39" t="s">
        <v>1545</v>
      </c>
      <c r="V1067" s="89" t="s">
        <v>193</v>
      </c>
      <c r="W1067" s="90" t="s">
        <v>127</v>
      </c>
      <c r="X1067" s="106" t="s">
        <v>297</v>
      </c>
      <c r="Y1067" s="107" t="s">
        <v>12</v>
      </c>
      <c r="Z1067" s="67">
        <f>IF(База_КР_КК[[#This Row],[Таб.номер резервиста]]="-","-",IF(OR(База_КР_КК[[#This Row],[Уровень КК]]=2,База_КР_КК[[#This Row],[Уровень КК]]=3),IF(COUNTIFS($U$2:$U1067,$U1067,$F$2:$F1067,$F1067)=1,1,0),IF(COUNTIFS($U$2:$U1067,$U1067,$L$2:$L1067,$L1067)=1,1,0)))</f>
        <v>1</v>
      </c>
      <c r="AA10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7" s="106"/>
      <c r="AC1067" s="51"/>
      <c r="AD1067" s="106" t="s">
        <v>17</v>
      </c>
      <c r="AE1067" s="38" t="s">
        <v>327</v>
      </c>
    </row>
    <row r="1068" spans="1:31" ht="18" customHeight="1" x14ac:dyDescent="0.25">
      <c r="A10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8" s="79">
        <v>3</v>
      </c>
      <c r="C1068" s="23">
        <v>44340</v>
      </c>
      <c r="D1068" s="67">
        <f>IF(COUNTIF($G$2:$G1068,$G1068)=1,1,0)</f>
        <v>1</v>
      </c>
      <c r="E1068" s="67" t="str">
        <f>IFERROR(VLOOKUP(База_КР_КК[[#This Row],[ИД штатной должности (S)]],'уровень защищенности'!$B$7:$F$1095,5,0),"не защищена")</f>
        <v>средний</v>
      </c>
      <c r="F1068" s="68">
        <v>500633</v>
      </c>
      <c r="G1068" s="74" t="s">
        <v>2379</v>
      </c>
      <c r="H1068" s="181">
        <f>INDEX('Списки данных'!$D$2:$D$1048576,MATCH(База_КР_КК[[#This Row],[Структурное подразделение]],'Списки данных'!$C$2:$C$1048576,0))</f>
        <v>202</v>
      </c>
      <c r="I1068" s="80" t="s">
        <v>127</v>
      </c>
      <c r="J1068" s="80" t="s">
        <v>205</v>
      </c>
      <c r="K1068" s="80" t="s">
        <v>21</v>
      </c>
      <c r="L1068" s="30" t="s">
        <v>179</v>
      </c>
      <c r="M1068" s="68">
        <v>4</v>
      </c>
      <c r="N1068" s="181" t="str">
        <f t="shared" si="17"/>
        <v>нет</v>
      </c>
      <c r="O1068" s="23"/>
      <c r="P1068" s="23"/>
      <c r="Q1068" s="106"/>
      <c r="R1068" s="37">
        <v>219</v>
      </c>
      <c r="S1068" s="38" t="s">
        <v>631</v>
      </c>
      <c r="T1068" s="37">
        <v>220</v>
      </c>
      <c r="U1068" s="39" t="s">
        <v>632</v>
      </c>
      <c r="V1068" s="69" t="s">
        <v>200</v>
      </c>
      <c r="W1068" s="89" t="s">
        <v>127</v>
      </c>
      <c r="X1068" s="106" t="s">
        <v>297</v>
      </c>
      <c r="Y1068" s="107" t="s">
        <v>12</v>
      </c>
      <c r="Z1068" s="67">
        <f>IF(База_КР_КК[[#This Row],[Таб.номер резервиста]]="-","-",IF(OR(База_КР_КК[[#This Row],[Уровень КК]]=2,База_КР_КК[[#This Row],[Уровень КК]]=3),IF(COUNTIFS($U$2:$U1068,$U1068,$F$2:$F1068,$F1068)=1,1,0),IF(COUNTIFS($U$2:$U1068,$U1068,$L$2:$L1068,$L1068)=1,1,0)))</f>
        <v>1</v>
      </c>
      <c r="AA10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8" s="106"/>
      <c r="AC1068" s="51"/>
      <c r="AD1068" s="106" t="s">
        <v>15</v>
      </c>
      <c r="AE1068" s="38" t="s">
        <v>303</v>
      </c>
    </row>
    <row r="1069" spans="1:31" ht="18" customHeight="1" x14ac:dyDescent="0.25">
      <c r="A10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69" s="79">
        <v>3</v>
      </c>
      <c r="C1069" s="23">
        <v>44735</v>
      </c>
      <c r="D1069" s="67">
        <f>IF(COUNTIF($G$2:$G1069,$G1069)=1,1,0)</f>
        <v>1</v>
      </c>
      <c r="E1069" s="67" t="str">
        <f>IFERROR(VLOOKUP(База_КР_КК[[#This Row],[ИД штатной должности (S)]],'уровень защищенности'!$B$7:$F$1095,5,0),"не защищена")</f>
        <v>средний</v>
      </c>
      <c r="F1069" s="68">
        <v>500634</v>
      </c>
      <c r="G1069" s="74" t="s">
        <v>2380</v>
      </c>
      <c r="H1069" s="181">
        <f>INDEX('Списки данных'!$D$2:$D$1048576,MATCH(База_КР_КК[[#This Row],[Структурное подразделение]],'Списки данных'!$C$2:$C$1048576,0))</f>
        <v>202</v>
      </c>
      <c r="I1069" s="80" t="s">
        <v>127</v>
      </c>
      <c r="J1069" s="80" t="s">
        <v>205</v>
      </c>
      <c r="K1069" s="80" t="s">
        <v>21</v>
      </c>
      <c r="L1069" s="30" t="s">
        <v>200</v>
      </c>
      <c r="M1069" s="68">
        <v>5</v>
      </c>
      <c r="N1069" s="181" t="str">
        <f t="shared" si="17"/>
        <v>нет</v>
      </c>
      <c r="O1069" s="23"/>
      <c r="P1069" s="23"/>
      <c r="Q1069" s="106"/>
      <c r="R1069" s="37">
        <v>220</v>
      </c>
      <c r="S1069" s="39" t="s">
        <v>632</v>
      </c>
      <c r="T1069" s="37">
        <v>1301</v>
      </c>
      <c r="U1069" s="38" t="s">
        <v>1699</v>
      </c>
      <c r="V1069" s="69" t="s">
        <v>16</v>
      </c>
      <c r="W1069" s="89" t="s">
        <v>127</v>
      </c>
      <c r="X1069" s="106" t="s">
        <v>297</v>
      </c>
      <c r="Y1069" s="107" t="s">
        <v>12</v>
      </c>
      <c r="Z1069" s="67">
        <f>IF(База_КР_КК[[#This Row],[Таб.номер резервиста]]="-","-",IF(OR(База_КР_КК[[#This Row],[Уровень КК]]=2,База_КР_КК[[#This Row],[Уровень КК]]=3),IF(COUNTIFS($U$2:$U1069,$U1069,$F$2:$F1069,$F1069)=1,1,0),IF(COUNTIFS($U$2:$U1069,$U1069,$L$2:$L1069,$L1069)=1,1,0)))</f>
        <v>1</v>
      </c>
      <c r="AA10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69" s="106"/>
      <c r="AC1069" s="51"/>
      <c r="AD1069" s="106" t="s">
        <v>15</v>
      </c>
      <c r="AE1069" s="38" t="s">
        <v>327</v>
      </c>
    </row>
    <row r="1070" spans="1:31" ht="18" customHeight="1" x14ac:dyDescent="0.25">
      <c r="A10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70" s="79">
        <v>3</v>
      </c>
      <c r="C1070" s="23">
        <v>44735</v>
      </c>
      <c r="D1070" s="67">
        <f>IF(COUNTIF($G$2:$G1070,$G1070)=1,1,0)</f>
        <v>0</v>
      </c>
      <c r="E1070" s="67" t="str">
        <f>IFERROR(VLOOKUP(База_КР_КК[[#This Row],[ИД штатной должности (S)]],'уровень защищенности'!$B$7:$F$1095,5,0),"не защищена")</f>
        <v>средний</v>
      </c>
      <c r="F1070" s="68">
        <v>500634</v>
      </c>
      <c r="G1070" s="74" t="s">
        <v>2380</v>
      </c>
      <c r="H1070" s="181">
        <f>INDEX('Списки данных'!$D$2:$D$1048576,MATCH(База_КР_КК[[#This Row],[Структурное подразделение]],'Списки данных'!$C$2:$C$1048576,0))</f>
        <v>202</v>
      </c>
      <c r="I1070" s="80" t="s">
        <v>127</v>
      </c>
      <c r="J1070" s="80" t="s">
        <v>205</v>
      </c>
      <c r="K1070" s="80" t="s">
        <v>21</v>
      </c>
      <c r="L1070" s="30" t="s">
        <v>200</v>
      </c>
      <c r="M1070" s="68">
        <v>5</v>
      </c>
      <c r="N1070" s="181" t="str">
        <f t="shared" si="17"/>
        <v>нет</v>
      </c>
      <c r="O1070" s="23"/>
      <c r="P1070" s="23"/>
      <c r="Q1070" s="106"/>
      <c r="R1070" s="37">
        <v>220</v>
      </c>
      <c r="S1070" s="39" t="s">
        <v>632</v>
      </c>
      <c r="T1070" s="37">
        <v>1302</v>
      </c>
      <c r="U1070" s="38" t="s">
        <v>1700</v>
      </c>
      <c r="V1070" s="69" t="s">
        <v>16</v>
      </c>
      <c r="W1070" s="89" t="s">
        <v>127</v>
      </c>
      <c r="X1070" s="106" t="s">
        <v>297</v>
      </c>
      <c r="Y1070" s="107" t="s">
        <v>12</v>
      </c>
      <c r="Z1070" s="67">
        <f>IF(База_КР_КК[[#This Row],[Таб.номер резервиста]]="-","-",IF(OR(База_КР_КК[[#This Row],[Уровень КК]]=2,База_КР_КК[[#This Row],[Уровень КК]]=3),IF(COUNTIFS($U$2:$U1070,$U1070,$F$2:$F1070,$F1070)=1,1,0),IF(COUNTIFS($U$2:$U1070,$U1070,$L$2:$L1070,$L1070)=1,1,0)))</f>
        <v>1</v>
      </c>
      <c r="AA10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70" s="106"/>
      <c r="AC1070" s="51"/>
      <c r="AD1070" s="106" t="s">
        <v>15</v>
      </c>
      <c r="AE1070" s="38" t="s">
        <v>327</v>
      </c>
    </row>
    <row r="1071" spans="1:31" ht="18" customHeight="1" x14ac:dyDescent="0.25">
      <c r="A10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71" s="79">
        <v>3</v>
      </c>
      <c r="C1071" s="23">
        <v>44398</v>
      </c>
      <c r="D1071" s="67">
        <f>IF(COUNTIF($G$2:$G1071,$G1071)=1,1,0)</f>
        <v>1</v>
      </c>
      <c r="E1071" s="67" t="str">
        <f>IFERROR(VLOOKUP(База_КР_КК[[#This Row],[ИД штатной должности (S)]],'уровень защищенности'!$B$7:$F$1095,5,0),"не защищена")</f>
        <v>высокий</v>
      </c>
      <c r="F1071" s="68">
        <v>500635</v>
      </c>
      <c r="G1071" s="74" t="s">
        <v>2381</v>
      </c>
      <c r="H1071" s="181">
        <f>INDEX('Списки данных'!$D$2:$D$1048576,MATCH(База_КР_КК[[#This Row],[Структурное подразделение]],'Списки данных'!$C$2:$C$1048576,0))</f>
        <v>202</v>
      </c>
      <c r="I1071" s="80" t="s">
        <v>127</v>
      </c>
      <c r="J1071" s="80" t="s">
        <v>205</v>
      </c>
      <c r="K1071" s="80" t="s">
        <v>206</v>
      </c>
      <c r="L1071" s="30" t="s">
        <v>187</v>
      </c>
      <c r="M1071" s="68">
        <v>5</v>
      </c>
      <c r="N1071" s="181" t="str">
        <f t="shared" si="17"/>
        <v>нет</v>
      </c>
      <c r="O1071" s="23"/>
      <c r="P1071" s="23"/>
      <c r="Q1071" s="106"/>
      <c r="R1071" s="37">
        <v>221</v>
      </c>
      <c r="S1071" s="38" t="s">
        <v>633</v>
      </c>
      <c r="T1071" s="37">
        <v>1303</v>
      </c>
      <c r="U1071" s="39" t="s">
        <v>1701</v>
      </c>
      <c r="V1071" s="89" t="s">
        <v>189</v>
      </c>
      <c r="W1071" s="90" t="s">
        <v>127</v>
      </c>
      <c r="X1071" s="106" t="s">
        <v>297</v>
      </c>
      <c r="Y1071" s="107" t="s">
        <v>12</v>
      </c>
      <c r="Z1071" s="67">
        <f>IF(База_КР_КК[[#This Row],[Таб.номер резервиста]]="-","-",IF(OR(База_КР_КК[[#This Row],[Уровень КК]]=2,База_КР_КК[[#This Row],[Уровень КК]]=3),IF(COUNTIFS($U$2:$U1071,$U1071,$F$2:$F1071,$F1071)=1,1,0),IF(COUNTIFS($U$2:$U1071,$U1071,$L$2:$L1071,$L1071)=1,1,0)))</f>
        <v>1</v>
      </c>
      <c r="AA10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71" s="106"/>
      <c r="AC1071" s="51"/>
      <c r="AD1071" s="106" t="s">
        <v>13</v>
      </c>
      <c r="AE1071" s="38" t="s">
        <v>327</v>
      </c>
    </row>
    <row r="1072" spans="1:31" ht="18" customHeight="1" x14ac:dyDescent="0.25">
      <c r="A10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72" s="79">
        <v>3</v>
      </c>
      <c r="C1072" s="23">
        <v>44398</v>
      </c>
      <c r="D1072" s="67">
        <f>IF(COUNTIF($G$2:$G1072,$G1072)=1,1,0)</f>
        <v>0</v>
      </c>
      <c r="E1072" s="67" t="str">
        <f>IFERROR(VLOOKUP(База_КР_КК[[#This Row],[ИД штатной должности (S)]],'уровень защищенности'!$B$7:$F$1095,5,0),"не защищена")</f>
        <v>высокий</v>
      </c>
      <c r="F1072" s="68">
        <v>500635</v>
      </c>
      <c r="G1072" s="74" t="s">
        <v>2381</v>
      </c>
      <c r="H1072" s="181">
        <f>INDEX('Списки данных'!$D$2:$D$1048576,MATCH(База_КР_КК[[#This Row],[Структурное подразделение]],'Списки данных'!$C$2:$C$1048576,0))</f>
        <v>202</v>
      </c>
      <c r="I1072" s="80" t="s">
        <v>127</v>
      </c>
      <c r="J1072" s="80" t="s">
        <v>205</v>
      </c>
      <c r="K1072" s="80" t="s">
        <v>206</v>
      </c>
      <c r="L1072" s="30" t="s">
        <v>187</v>
      </c>
      <c r="M1072" s="68">
        <v>5</v>
      </c>
      <c r="N1072" s="181" t="str">
        <f t="shared" si="17"/>
        <v>нет</v>
      </c>
      <c r="O1072" s="23"/>
      <c r="P1072" s="23"/>
      <c r="Q1072" s="106"/>
      <c r="R1072" s="37">
        <v>221</v>
      </c>
      <c r="S1072" s="38" t="s">
        <v>633</v>
      </c>
      <c r="T1072" s="37">
        <v>1304</v>
      </c>
      <c r="U1072" s="39" t="s">
        <v>1702</v>
      </c>
      <c r="V1072" s="69" t="s">
        <v>193</v>
      </c>
      <c r="W1072" s="89" t="s">
        <v>127</v>
      </c>
      <c r="X1072" s="106" t="s">
        <v>295</v>
      </c>
      <c r="Y1072" s="107" t="s">
        <v>12</v>
      </c>
      <c r="Z1072" s="67">
        <f>IF(База_КР_КК[[#This Row],[Таб.номер резервиста]]="-","-",IF(OR(База_КР_КК[[#This Row],[Уровень КК]]=2,База_КР_КК[[#This Row],[Уровень КК]]=3),IF(COUNTIFS($U$2:$U1072,$U1072,$F$2:$F1072,$F1072)=1,1,0),IF(COUNTIFS($U$2:$U1072,$U1072,$L$2:$L1072,$L1072)=1,1,0)))</f>
        <v>1</v>
      </c>
      <c r="AA10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72" s="106"/>
      <c r="AC1072" s="51"/>
      <c r="AD1072" s="106" t="s">
        <v>13</v>
      </c>
      <c r="AE1072" s="38" t="s">
        <v>327</v>
      </c>
    </row>
    <row r="1073" spans="1:31" ht="18" customHeight="1" x14ac:dyDescent="0.25">
      <c r="A10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73" s="79">
        <v>3</v>
      </c>
      <c r="C1073" s="23">
        <v>44735</v>
      </c>
      <c r="D1073" s="67">
        <f>IF(COUNTIF($G$2:$G1073,$G1073)=1,1,0)</f>
        <v>1</v>
      </c>
      <c r="E1073" s="67" t="str">
        <f>IFERROR(VLOOKUP(База_КР_КК[[#This Row],[ИД штатной должности (S)]],'уровень защищенности'!$B$7:$F$1095,5,0),"не защищена")</f>
        <v>не защищена</v>
      </c>
      <c r="F1073" s="68">
        <v>500638</v>
      </c>
      <c r="G1073" s="74" t="s">
        <v>2382</v>
      </c>
      <c r="H1073" s="181">
        <f>INDEX('Списки данных'!$D$2:$D$1048576,MATCH(База_КР_КК[[#This Row],[Структурное подразделение]],'Списки данных'!$C$2:$C$1048576,0))</f>
        <v>202</v>
      </c>
      <c r="I1073" s="80" t="s">
        <v>127</v>
      </c>
      <c r="J1073" s="80" t="s">
        <v>205</v>
      </c>
      <c r="K1073" s="80" t="s">
        <v>21</v>
      </c>
      <c r="L1073" s="30" t="s">
        <v>179</v>
      </c>
      <c r="M1073" s="68">
        <v>4</v>
      </c>
      <c r="N1073" s="181" t="str">
        <f t="shared" si="17"/>
        <v>нет</v>
      </c>
      <c r="O1073" s="23"/>
      <c r="P1073" s="23"/>
      <c r="Q1073" s="106"/>
      <c r="R1073" s="37">
        <v>222</v>
      </c>
      <c r="S1073" s="39" t="s">
        <v>634</v>
      </c>
      <c r="T1073" s="37" t="s">
        <v>21</v>
      </c>
      <c r="U1073" s="37" t="s">
        <v>21</v>
      </c>
      <c r="V1073" s="88" t="s">
        <v>21</v>
      </c>
      <c r="W1073" s="88" t="s">
        <v>21</v>
      </c>
      <c r="X1073" s="106"/>
      <c r="Y1073" s="107"/>
      <c r="Z1073" s="67" t="str">
        <f>IF(База_КР_КК[[#This Row],[Таб.номер резервиста]]="-","-",IF(OR(База_КР_КК[[#This Row],[Уровень КК]]=2,База_КР_КК[[#This Row],[Уровень КК]]=3),IF(COUNTIFS($U$2:$U1073,$U1073,$F$2:$F1073,$F1073)=1,1,0),IF(COUNTIFS($U$2:$U1073,$U1073,$L$2:$L1073,$L1073)=1,1,0)))</f>
        <v>-</v>
      </c>
      <c r="AA1073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1073" s="106"/>
      <c r="AC1073" s="51"/>
      <c r="AD1073" s="106"/>
      <c r="AE1073" s="38" t="s">
        <v>327</v>
      </c>
    </row>
    <row r="1074" spans="1:31" ht="18" customHeight="1" x14ac:dyDescent="0.25">
      <c r="A10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4</v>
      </c>
      <c r="B1074" s="79">
        <v>3</v>
      </c>
      <c r="C1074" s="23">
        <v>44735</v>
      </c>
      <c r="D1074" s="67">
        <f>IF(COUNTIF($G$2:$G1074,$G1074)=1,1,0)</f>
        <v>1</v>
      </c>
      <c r="E1074" s="67" t="str">
        <f>IFERROR(VLOOKUP(База_КР_КК[[#This Row],[ИД штатной должности (S)]],'уровень защищенности'!$B$7:$F$1095,5,0),"не защищена")</f>
        <v>не защищена</v>
      </c>
      <c r="F1074" s="68">
        <v>500643</v>
      </c>
      <c r="G1074" s="74" t="s">
        <v>2383</v>
      </c>
      <c r="H1074" s="181">
        <f>INDEX('Списки данных'!$D$2:$D$1048576,MATCH(База_КР_КК[[#This Row],[Структурное подразделение]],'Списки данных'!$C$2:$C$1048576,0))</f>
        <v>202</v>
      </c>
      <c r="I1074" s="80" t="s">
        <v>127</v>
      </c>
      <c r="J1074" s="80" t="s">
        <v>205</v>
      </c>
      <c r="K1074" s="80" t="s">
        <v>21</v>
      </c>
      <c r="L1074" s="30" t="s">
        <v>200</v>
      </c>
      <c r="M1074" s="68">
        <v>5</v>
      </c>
      <c r="N1074" s="181" t="str">
        <f t="shared" si="17"/>
        <v>нет</v>
      </c>
      <c r="O1074" s="23"/>
      <c r="P1074" s="23"/>
      <c r="Q1074" s="106"/>
      <c r="R1074" s="37">
        <v>223</v>
      </c>
      <c r="S1074" s="39" t="s">
        <v>635</v>
      </c>
      <c r="T1074" s="37" t="s">
        <v>21</v>
      </c>
      <c r="U1074" s="37" t="s">
        <v>21</v>
      </c>
      <c r="V1074" s="88" t="s">
        <v>21</v>
      </c>
      <c r="W1074" s="88" t="s">
        <v>21</v>
      </c>
      <c r="X1074" s="106"/>
      <c r="Y1074" s="107"/>
      <c r="Z1074" s="67" t="str">
        <f>IF(База_КР_КК[[#This Row],[Таб.номер резервиста]]="-","-",IF(OR(База_КР_КК[[#This Row],[Уровень КК]]=2,База_КР_КК[[#This Row],[Уровень КК]]=3),IF(COUNTIFS($U$2:$U1074,$U1074,$F$2:$F1074,$F1074)=1,1,0),IF(COUNTIFS($U$2:$U1074,$U1074,$L$2:$L1074,$L1074)=1,1,0)))</f>
        <v>-</v>
      </c>
      <c r="AA1074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1074" s="106"/>
      <c r="AC1074" s="51"/>
      <c r="AD1074" s="106"/>
      <c r="AE1074" s="38"/>
    </row>
    <row r="1075" spans="1:31" ht="18" customHeight="1" x14ac:dyDescent="0.25">
      <c r="A10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75" s="79">
        <v>3</v>
      </c>
      <c r="C1075" s="23">
        <v>44796</v>
      </c>
      <c r="D1075" s="67">
        <f>IF(COUNTIF($G$2:$G1075,$G1075)=1,1,0)</f>
        <v>1</v>
      </c>
      <c r="E1075" s="67" t="str">
        <f>IFERROR(VLOOKUP(База_КР_КК[[#This Row],[ИД штатной должности (S)]],'уровень защищенности'!$B$7:$F$1095,5,0),"не защищена")</f>
        <v>не защищена</v>
      </c>
      <c r="F1075" s="68">
        <v>500006</v>
      </c>
      <c r="G1075" s="74" t="s">
        <v>2384</v>
      </c>
      <c r="H1075" s="181">
        <f>INDEX('Списки данных'!$D$2:$D$1048576,MATCH(База_КР_КК[[#This Row],[Структурное подразделение]],'Списки данных'!$C$2:$C$1048576,0))</f>
        <v>28</v>
      </c>
      <c r="I1075" s="80" t="s">
        <v>164</v>
      </c>
      <c r="J1075" s="80" t="s">
        <v>207</v>
      </c>
      <c r="K1075" s="80" t="s">
        <v>21</v>
      </c>
      <c r="L1075" s="30" t="s">
        <v>186</v>
      </c>
      <c r="M1075" s="68">
        <v>6</v>
      </c>
      <c r="N1075" s="181" t="str">
        <f t="shared" si="17"/>
        <v>да</v>
      </c>
      <c r="O1075" s="23">
        <v>44624</v>
      </c>
      <c r="P1075" s="23">
        <v>44910</v>
      </c>
      <c r="Q1075" s="106" t="s">
        <v>66</v>
      </c>
      <c r="R1075" s="37">
        <v>224</v>
      </c>
      <c r="S1075" s="38" t="s">
        <v>636</v>
      </c>
      <c r="T1075" s="37">
        <v>224</v>
      </c>
      <c r="U1075" s="38" t="s">
        <v>636</v>
      </c>
      <c r="V1075" s="69" t="s">
        <v>194</v>
      </c>
      <c r="W1075" s="90" t="s">
        <v>164</v>
      </c>
      <c r="X1075" s="106" t="s">
        <v>295</v>
      </c>
      <c r="Y1075" s="107" t="s">
        <v>14</v>
      </c>
      <c r="Z1075" s="67">
        <f>IF(База_КР_КК[[#This Row],[Таб.номер резервиста]]="-","-",IF(OR(База_КР_КК[[#This Row],[Уровень КК]]=2,База_КР_КК[[#This Row],[Уровень КК]]=3),IF(COUNTIFS($U$2:$U1075,$U1075,$F$2:$F1075,$F1075)=1,1,0),IF(COUNTIFS($U$2:$U1075,$U1075,$L$2:$L1075,$L1075)=1,1,0)))</f>
        <v>1</v>
      </c>
      <c r="AA10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075" s="106" t="s">
        <v>24</v>
      </c>
      <c r="AC1075" s="51">
        <v>44910</v>
      </c>
      <c r="AD1075" s="106" t="s">
        <v>15</v>
      </c>
      <c r="AE1075" s="38" t="s">
        <v>331</v>
      </c>
    </row>
    <row r="1076" spans="1:31" ht="18" customHeight="1" x14ac:dyDescent="0.25">
      <c r="A10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76" s="79">
        <v>3</v>
      </c>
      <c r="C1076" s="23">
        <v>44039</v>
      </c>
      <c r="D1076" s="67">
        <f>IF(COUNTIF($G$2:$G1076,$G1076)=1,1,0)</f>
        <v>0</v>
      </c>
      <c r="E1076" s="67" t="str">
        <f>IFERROR(VLOOKUP(База_КР_КК[[#This Row],[ИД штатной должности (S)]],'уровень защищенности'!$B$7:$F$1095,5,0),"не защищена")</f>
        <v>не защищена</v>
      </c>
      <c r="F1076" s="68">
        <v>500006</v>
      </c>
      <c r="G1076" s="74" t="s">
        <v>2384</v>
      </c>
      <c r="H1076" s="181">
        <f>INDEX('Списки данных'!$D$2:$D$1048576,MATCH(База_КР_КК[[#This Row],[Структурное подразделение]],'Списки данных'!$C$2:$C$1048576,0))</f>
        <v>28</v>
      </c>
      <c r="I1076" s="80" t="s">
        <v>164</v>
      </c>
      <c r="J1076" s="80" t="s">
        <v>207</v>
      </c>
      <c r="K1076" s="80" t="s">
        <v>21</v>
      </c>
      <c r="L1076" s="30" t="s">
        <v>186</v>
      </c>
      <c r="M1076" s="68">
        <v>6</v>
      </c>
      <c r="N1076" s="181" t="str">
        <f t="shared" si="17"/>
        <v>да</v>
      </c>
      <c r="O1076" s="23">
        <v>44624</v>
      </c>
      <c r="P1076" s="23">
        <v>44910</v>
      </c>
      <c r="Q1076" s="106" t="s">
        <v>66</v>
      </c>
      <c r="R1076" s="37">
        <v>224</v>
      </c>
      <c r="S1076" s="38" t="s">
        <v>636</v>
      </c>
      <c r="T1076" s="37">
        <v>1305</v>
      </c>
      <c r="U1076" s="39" t="s">
        <v>1703</v>
      </c>
      <c r="V1076" s="89" t="s">
        <v>192</v>
      </c>
      <c r="W1076" s="90" t="s">
        <v>164</v>
      </c>
      <c r="X1076" s="106" t="s">
        <v>297</v>
      </c>
      <c r="Y1076" s="107" t="s">
        <v>18</v>
      </c>
      <c r="Z1076" s="67">
        <f>IF(База_КР_КК[[#This Row],[Таб.номер резервиста]]="-","-",IF(OR(База_КР_КК[[#This Row],[Уровень КК]]=2,База_КР_КК[[#This Row],[Уровень КК]]=3),IF(COUNTIFS($U$2:$U1076,$U1076,$F$2:$F1076,$F1076)=1,1,0),IF(COUNTIFS($U$2:$U1076,$U1076,$L$2:$L1076,$L1076)=1,1,0)))</f>
        <v>1</v>
      </c>
      <c r="AA10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76" s="106" t="s">
        <v>38</v>
      </c>
      <c r="AC1076" s="51">
        <v>44796</v>
      </c>
      <c r="AD1076" s="106" t="s">
        <v>31</v>
      </c>
      <c r="AE1076" s="38" t="s">
        <v>331</v>
      </c>
    </row>
    <row r="1077" spans="1:31" ht="18" customHeight="1" x14ac:dyDescent="0.25">
      <c r="A10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77" s="79">
        <v>3</v>
      </c>
      <c r="C1077" s="23">
        <v>43080</v>
      </c>
      <c r="D1077" s="67">
        <f>IF(COUNTIF($G$2:$G1077,$G1077)=1,1,0)</f>
        <v>1</v>
      </c>
      <c r="E1077" s="67" t="str">
        <f>IFERROR(VLOOKUP(База_КР_КК[[#This Row],[ИД штатной должности (S)]],'уровень защищенности'!$B$7:$F$1095,5,0),"не защищена")</f>
        <v>высокий</v>
      </c>
      <c r="F1077" s="68">
        <v>500010</v>
      </c>
      <c r="G1077" s="74" t="s">
        <v>2385</v>
      </c>
      <c r="H1077" s="181">
        <f>INDEX('Списки данных'!$D$2:$D$1048576,MATCH(База_КР_КК[[#This Row],[Структурное подразделение]],'Списки данных'!$C$2:$C$1048576,0))</f>
        <v>28</v>
      </c>
      <c r="I1077" s="80" t="s">
        <v>164</v>
      </c>
      <c r="J1077" s="80" t="s">
        <v>21</v>
      </c>
      <c r="K1077" s="80" t="s">
        <v>21</v>
      </c>
      <c r="L1077" s="30" t="s">
        <v>183</v>
      </c>
      <c r="M1077" s="68">
        <v>5</v>
      </c>
      <c r="N1077" s="181" t="str">
        <f t="shared" si="17"/>
        <v>нет</v>
      </c>
      <c r="O1077" s="23"/>
      <c r="P1077" s="23"/>
      <c r="Q1077" s="106"/>
      <c r="R1077" s="37">
        <v>225</v>
      </c>
      <c r="S1077" s="38" t="s">
        <v>637</v>
      </c>
      <c r="T1077" s="37">
        <v>271</v>
      </c>
      <c r="U1077" s="39" t="s">
        <v>683</v>
      </c>
      <c r="V1077" s="89" t="s">
        <v>187</v>
      </c>
      <c r="W1077" s="89" t="s">
        <v>164</v>
      </c>
      <c r="X1077" s="106" t="s">
        <v>295</v>
      </c>
      <c r="Y1077" s="107" t="s">
        <v>12</v>
      </c>
      <c r="Z1077" s="67">
        <f>IF(База_КР_КК[[#This Row],[Таб.номер резервиста]]="-","-",IF(OR(База_КР_КК[[#This Row],[Уровень КК]]=2,База_КР_КК[[#This Row],[Уровень КК]]=3),IF(COUNTIFS($U$2:$U1077,$U1077,$F$2:$F1077,$F1077)=1,1,0),IF(COUNTIFS($U$2:$U1077,$U1077,$L$2:$L1077,$L1077)=1,1,0)))</f>
        <v>1</v>
      </c>
      <c r="AA10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77" s="106"/>
      <c r="AC1077" s="51"/>
      <c r="AD1077" s="106" t="s">
        <v>13</v>
      </c>
      <c r="AE1077" s="38" t="s">
        <v>303</v>
      </c>
    </row>
    <row r="1078" spans="1:31" ht="18" customHeight="1" x14ac:dyDescent="0.25">
      <c r="A10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78" s="79">
        <v>3</v>
      </c>
      <c r="C1078" s="23">
        <v>44796</v>
      </c>
      <c r="D1078" s="67">
        <f>IF(COUNTIF($G$2:$G1078,$G1078)=1,1,0)</f>
        <v>0</v>
      </c>
      <c r="E1078" s="67" t="str">
        <f>IFERROR(VLOOKUP(База_КР_КК[[#This Row],[ИД штатной должности (S)]],'уровень защищенности'!$B$7:$F$1095,5,0),"не защищена")</f>
        <v>высокий</v>
      </c>
      <c r="F1078" s="68">
        <v>500010</v>
      </c>
      <c r="G1078" s="74" t="s">
        <v>2385</v>
      </c>
      <c r="H1078" s="181">
        <f>INDEX('Списки данных'!$D$2:$D$1048576,MATCH(База_КР_КК[[#This Row],[Структурное подразделение]],'Списки данных'!$C$2:$C$1048576,0))</f>
        <v>28</v>
      </c>
      <c r="I1078" s="80" t="s">
        <v>164</v>
      </c>
      <c r="J1078" s="80" t="s">
        <v>21</v>
      </c>
      <c r="K1078" s="80" t="s">
        <v>21</v>
      </c>
      <c r="L1078" s="30" t="s">
        <v>183</v>
      </c>
      <c r="M1078" s="68">
        <v>5</v>
      </c>
      <c r="N1078" s="181" t="str">
        <f t="shared" si="17"/>
        <v>нет</v>
      </c>
      <c r="O1078" s="23"/>
      <c r="P1078" s="23"/>
      <c r="Q1078" s="106"/>
      <c r="R1078" s="37">
        <v>225</v>
      </c>
      <c r="S1078" s="39" t="s">
        <v>637</v>
      </c>
      <c r="T1078" s="37">
        <v>230</v>
      </c>
      <c r="U1078" s="38" t="s">
        <v>642</v>
      </c>
      <c r="V1078" s="69" t="s">
        <v>186</v>
      </c>
      <c r="W1078" s="89" t="s">
        <v>164</v>
      </c>
      <c r="X1078" s="106" t="s">
        <v>296</v>
      </c>
      <c r="Y1078" s="107" t="s">
        <v>12</v>
      </c>
      <c r="Z1078" s="67">
        <f>IF(База_КР_КК[[#This Row],[Таб.номер резервиста]]="-","-",IF(OR(База_КР_КК[[#This Row],[Уровень КК]]=2,База_КР_КК[[#This Row],[Уровень КК]]=3),IF(COUNTIFS($U$2:$U1078,$U1078,$F$2:$F1078,$F1078)=1,1,0),IF(COUNTIFS($U$2:$U1078,$U1078,$L$2:$L1078,$L1078)=1,1,0)))</f>
        <v>1</v>
      </c>
      <c r="AA10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78" s="106"/>
      <c r="AC1078" s="51"/>
      <c r="AD1078" s="106" t="s">
        <v>15</v>
      </c>
      <c r="AE1078" s="38" t="s">
        <v>331</v>
      </c>
    </row>
    <row r="1079" spans="1:31" ht="18" customHeight="1" x14ac:dyDescent="0.25">
      <c r="A10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79" s="79">
        <v>3</v>
      </c>
      <c r="C1079" s="23">
        <v>43992</v>
      </c>
      <c r="D1079" s="67">
        <f>IF(COUNTIF($G$2:$G1079,$G1079)=1,1,0)</f>
        <v>0</v>
      </c>
      <c r="E1079" s="67" t="str">
        <f>IFERROR(VLOOKUP(База_КР_КК[[#This Row],[ИД штатной должности (S)]],'уровень защищенности'!$B$7:$F$1095,5,0),"не защищена")</f>
        <v>высокий</v>
      </c>
      <c r="F1079" s="68">
        <v>500010</v>
      </c>
      <c r="G1079" s="74" t="s">
        <v>2385</v>
      </c>
      <c r="H1079" s="181">
        <f>INDEX('Списки данных'!$D$2:$D$1048576,MATCH(База_КР_КК[[#This Row],[Структурное подразделение]],'Списки данных'!$C$2:$C$1048576,0))</f>
        <v>28</v>
      </c>
      <c r="I1079" s="80" t="s">
        <v>164</v>
      </c>
      <c r="J1079" s="80" t="s">
        <v>21</v>
      </c>
      <c r="K1079" s="80" t="s">
        <v>21</v>
      </c>
      <c r="L1079" s="30" t="s">
        <v>183</v>
      </c>
      <c r="M1079" s="68">
        <v>5</v>
      </c>
      <c r="N1079" s="181" t="str">
        <f t="shared" si="17"/>
        <v>нет</v>
      </c>
      <c r="O1079" s="23"/>
      <c r="P1079" s="23"/>
      <c r="Q1079" s="106"/>
      <c r="R1079" s="37">
        <v>225</v>
      </c>
      <c r="S1079" s="38" t="s">
        <v>637</v>
      </c>
      <c r="T1079" s="37">
        <v>253</v>
      </c>
      <c r="U1079" s="39" t="s">
        <v>665</v>
      </c>
      <c r="V1079" s="89" t="s">
        <v>183</v>
      </c>
      <c r="W1079" s="89" t="s">
        <v>176</v>
      </c>
      <c r="X1079" s="106" t="s">
        <v>297</v>
      </c>
      <c r="Y1079" s="107" t="s">
        <v>18</v>
      </c>
      <c r="Z1079" s="67">
        <f>IF(База_КР_КК[[#This Row],[Таб.номер резервиста]]="-","-",IF(OR(База_КР_КК[[#This Row],[Уровень КК]]=2,База_КР_КК[[#This Row],[Уровень КК]]=3),IF(COUNTIFS($U$2:$U1079,$U1079,$F$2:$F1079,$F1079)=1,1,0),IF(COUNTIFS($U$2:$U1079,$U1079,$L$2:$L1079,$L1079)=1,1,0)))</f>
        <v>1</v>
      </c>
      <c r="AA10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79" s="106" t="s">
        <v>37</v>
      </c>
      <c r="AC1079" s="51">
        <v>44685</v>
      </c>
      <c r="AD1079" s="106" t="s">
        <v>17</v>
      </c>
      <c r="AE1079" s="38" t="s">
        <v>303</v>
      </c>
    </row>
    <row r="1080" spans="1:31" ht="18" customHeight="1" x14ac:dyDescent="0.25">
      <c r="A10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0" s="79">
        <v>3</v>
      </c>
      <c r="C1080" s="23">
        <v>44796</v>
      </c>
      <c r="D1080" s="67">
        <f>IF(COUNTIF($G$2:$G1080,$G1080)=1,1,0)</f>
        <v>1</v>
      </c>
      <c r="E1080" s="67" t="str">
        <f>IFERROR(VLOOKUP(База_КР_КК[[#This Row],[ИД штатной должности (S)]],'уровень защищенности'!$B$7:$F$1095,5,0),"не защищена")</f>
        <v>высокий</v>
      </c>
      <c r="F1080" s="68">
        <v>500011</v>
      </c>
      <c r="G1080" s="74" t="s">
        <v>2386</v>
      </c>
      <c r="H1080" s="181">
        <f>INDEX('Списки данных'!$D$2:$D$1048576,MATCH(База_КР_КК[[#This Row],[Структурное подразделение]],'Списки данных'!$C$2:$C$1048576,0))</f>
        <v>28</v>
      </c>
      <c r="I1080" s="80" t="s">
        <v>164</v>
      </c>
      <c r="J1080" s="80" t="s">
        <v>207</v>
      </c>
      <c r="K1080" s="80" t="s">
        <v>21</v>
      </c>
      <c r="L1080" s="30" t="s">
        <v>186</v>
      </c>
      <c r="M1080" s="68">
        <v>6</v>
      </c>
      <c r="N1080" s="181" t="str">
        <f t="shared" si="17"/>
        <v>да</v>
      </c>
      <c r="O1080" s="23">
        <v>44063</v>
      </c>
      <c r="P1080" s="23">
        <v>44063</v>
      </c>
      <c r="Q1080" s="106" t="s">
        <v>57</v>
      </c>
      <c r="R1080" s="37">
        <v>226</v>
      </c>
      <c r="S1080" s="39" t="s">
        <v>638</v>
      </c>
      <c r="T1080" s="37">
        <v>229</v>
      </c>
      <c r="U1080" s="38" t="s">
        <v>641</v>
      </c>
      <c r="V1080" s="69" t="s">
        <v>194</v>
      </c>
      <c r="W1080" s="90" t="s">
        <v>164</v>
      </c>
      <c r="X1080" s="106" t="s">
        <v>297</v>
      </c>
      <c r="Y1080" s="107" t="s">
        <v>12</v>
      </c>
      <c r="Z1080" s="67">
        <f>IF(База_КР_КК[[#This Row],[Таб.номер резервиста]]="-","-",IF(OR(База_КР_КК[[#This Row],[Уровень КК]]=2,База_КР_КК[[#This Row],[Уровень КК]]=3),IF(COUNTIFS($U$2:$U1080,$U1080,$F$2:$F1080,$F1080)=1,1,0),IF(COUNTIFS($U$2:$U1080,$U1080,$L$2:$L1080,$L1080)=1,1,0)))</f>
        <v>1</v>
      </c>
      <c r="AA10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0" s="106"/>
      <c r="AC1080" s="51"/>
      <c r="AD1080" s="106" t="s">
        <v>15</v>
      </c>
      <c r="AE1080" s="38" t="s">
        <v>331</v>
      </c>
    </row>
    <row r="1081" spans="1:31" ht="18" customHeight="1" x14ac:dyDescent="0.25">
      <c r="A10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1" s="79">
        <v>3</v>
      </c>
      <c r="C1081" s="23">
        <v>44796</v>
      </c>
      <c r="D1081" s="67">
        <f>IF(COUNTIF($G$2:$G1081,$G1081)=1,1,0)</f>
        <v>0</v>
      </c>
      <c r="E1081" s="67" t="str">
        <f>IFERROR(VLOOKUP(База_КР_КК[[#This Row],[ИД штатной должности (S)]],'уровень защищенности'!$B$7:$F$1095,5,0),"не защищена")</f>
        <v>высокий</v>
      </c>
      <c r="F1081" s="68">
        <v>500011</v>
      </c>
      <c r="G1081" s="74" t="s">
        <v>2386</v>
      </c>
      <c r="H1081" s="181">
        <f>INDEX('Списки данных'!$D$2:$D$1048576,MATCH(База_КР_КК[[#This Row],[Структурное подразделение]],'Списки данных'!$C$2:$C$1048576,0))</f>
        <v>28</v>
      </c>
      <c r="I1081" s="80" t="s">
        <v>164</v>
      </c>
      <c r="J1081" s="80" t="s">
        <v>207</v>
      </c>
      <c r="K1081" s="80" t="s">
        <v>21</v>
      </c>
      <c r="L1081" s="30" t="s">
        <v>186</v>
      </c>
      <c r="M1081" s="68">
        <v>6</v>
      </c>
      <c r="N1081" s="181" t="str">
        <f t="shared" si="17"/>
        <v>да</v>
      </c>
      <c r="O1081" s="23">
        <v>44063</v>
      </c>
      <c r="P1081" s="23">
        <v>44063</v>
      </c>
      <c r="Q1081" s="106" t="s">
        <v>57</v>
      </c>
      <c r="R1081" s="37">
        <v>226</v>
      </c>
      <c r="S1081" s="39" t="s">
        <v>638</v>
      </c>
      <c r="T1081" s="37">
        <v>227</v>
      </c>
      <c r="U1081" s="38" t="s">
        <v>639</v>
      </c>
      <c r="V1081" s="69" t="s">
        <v>194</v>
      </c>
      <c r="W1081" s="90" t="s">
        <v>164</v>
      </c>
      <c r="X1081" s="106" t="s">
        <v>295</v>
      </c>
      <c r="Y1081" s="107" t="s">
        <v>12</v>
      </c>
      <c r="Z1081" s="67">
        <f>IF(База_КР_КК[[#This Row],[Таб.номер резервиста]]="-","-",IF(OR(База_КР_КК[[#This Row],[Уровень КК]]=2,База_КР_КК[[#This Row],[Уровень КК]]=3),IF(COUNTIFS($U$2:$U1081,$U1081,$F$2:$F1081,$F1081)=1,1,0),IF(COUNTIFS($U$2:$U1081,$U1081,$L$2:$L1081,$L1081)=1,1,0)))</f>
        <v>1</v>
      </c>
      <c r="AA10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1" s="106"/>
      <c r="AC1081" s="51"/>
      <c r="AD1081" s="106" t="s">
        <v>15</v>
      </c>
      <c r="AE1081" s="38" t="s">
        <v>331</v>
      </c>
    </row>
    <row r="1082" spans="1:31" ht="18" customHeight="1" x14ac:dyDescent="0.25">
      <c r="A10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2" s="79">
        <v>3</v>
      </c>
      <c r="C1082" s="23">
        <v>44039</v>
      </c>
      <c r="D1082" s="67">
        <f>IF(COUNTIF($G$2:$G1082,$G1082)=1,1,0)</f>
        <v>0</v>
      </c>
      <c r="E1082" s="67" t="str">
        <f>IFERROR(VLOOKUP(База_КР_КК[[#This Row],[ИД штатной должности (S)]],'уровень защищенности'!$B$7:$F$1095,5,0),"не защищена")</f>
        <v>высокий</v>
      </c>
      <c r="F1082" s="68">
        <v>500011</v>
      </c>
      <c r="G1082" s="74" t="s">
        <v>2386</v>
      </c>
      <c r="H1082" s="181">
        <f>INDEX('Списки данных'!$D$2:$D$1048576,MATCH(База_КР_КК[[#This Row],[Структурное подразделение]],'Списки данных'!$C$2:$C$1048576,0))</f>
        <v>28</v>
      </c>
      <c r="I1082" s="80" t="s">
        <v>164</v>
      </c>
      <c r="J1082" s="80" t="s">
        <v>207</v>
      </c>
      <c r="K1082" s="80" t="s">
        <v>21</v>
      </c>
      <c r="L1082" s="30" t="s">
        <v>186</v>
      </c>
      <c r="M1082" s="68">
        <v>6</v>
      </c>
      <c r="N1082" s="181" t="str">
        <f t="shared" si="17"/>
        <v>да</v>
      </c>
      <c r="O1082" s="23">
        <v>44063</v>
      </c>
      <c r="P1082" s="23">
        <v>44063</v>
      </c>
      <c r="Q1082" s="106" t="s">
        <v>57</v>
      </c>
      <c r="R1082" s="37">
        <v>226</v>
      </c>
      <c r="S1082" s="39" t="s">
        <v>638</v>
      </c>
      <c r="T1082" s="37">
        <v>1306</v>
      </c>
      <c r="U1082" s="39" t="s">
        <v>1704</v>
      </c>
      <c r="V1082" s="89" t="s">
        <v>192</v>
      </c>
      <c r="W1082" s="90" t="s">
        <v>276</v>
      </c>
      <c r="X1082" s="106" t="s">
        <v>295</v>
      </c>
      <c r="Y1082" s="107" t="s">
        <v>18</v>
      </c>
      <c r="Z1082" s="67">
        <f>IF(База_КР_КК[[#This Row],[Таб.номер резервиста]]="-","-",IF(OR(База_КР_КК[[#This Row],[Уровень КК]]=2,База_КР_КК[[#This Row],[Уровень КК]]=3),IF(COUNTIFS($U$2:$U1082,$U1082,$F$2:$F1082,$F1082)=1,1,0),IF(COUNTIFS($U$2:$U1082,$U1082,$L$2:$L1082,$L1082)=1,1,0)))</f>
        <v>1</v>
      </c>
      <c r="AA10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2" s="106" t="s">
        <v>19</v>
      </c>
      <c r="AC1082" s="51">
        <v>44453</v>
      </c>
      <c r="AD1082" s="106" t="s">
        <v>15</v>
      </c>
      <c r="AE1082" s="38" t="s">
        <v>332</v>
      </c>
    </row>
    <row r="1083" spans="1:31" ht="18" customHeight="1" x14ac:dyDescent="0.25">
      <c r="A10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3" s="79">
        <v>4</v>
      </c>
      <c r="C1083" s="23">
        <v>44473</v>
      </c>
      <c r="D1083" s="67">
        <f>IF(COUNTIF($G$2:$G1083,$G1083)=1,1,0)</f>
        <v>1</v>
      </c>
      <c r="E1083" s="67" t="str">
        <f>IFERROR(VLOOKUP(База_КР_КК[[#This Row],[ИД штатной должности (S)]],'уровень защищенности'!$B$7:$F$1095,5,0),"не защищена")</f>
        <v>высокий</v>
      </c>
      <c r="F1083" s="68">
        <v>500023</v>
      </c>
      <c r="G1083" s="74" t="s">
        <v>2387</v>
      </c>
      <c r="H1083" s="181">
        <f>INDEX('Списки данных'!$D$2:$D$1048576,MATCH(База_КР_КК[[#This Row],[Структурное подразделение]],'Списки данных'!$C$2:$C$1048576,0))</f>
        <v>28</v>
      </c>
      <c r="I1083" s="80" t="s">
        <v>164</v>
      </c>
      <c r="J1083" s="80" t="s">
        <v>207</v>
      </c>
      <c r="K1083" s="80" t="s">
        <v>208</v>
      </c>
      <c r="L1083" s="30" t="s">
        <v>194</v>
      </c>
      <c r="M1083" s="68">
        <v>7</v>
      </c>
      <c r="N1083" s="181" t="str">
        <f t="shared" si="17"/>
        <v>нет</v>
      </c>
      <c r="O1083" s="23"/>
      <c r="P1083" s="23"/>
      <c r="Q1083" s="106"/>
      <c r="R1083" s="37">
        <v>227</v>
      </c>
      <c r="S1083" s="38" t="s">
        <v>639</v>
      </c>
      <c r="T1083" s="37">
        <v>1307</v>
      </c>
      <c r="U1083" s="39" t="s">
        <v>1705</v>
      </c>
      <c r="V1083" s="69" t="s">
        <v>272</v>
      </c>
      <c r="W1083" s="69" t="s">
        <v>164</v>
      </c>
      <c r="X1083" s="106" t="s">
        <v>296</v>
      </c>
      <c r="Y1083" s="107" t="s">
        <v>12</v>
      </c>
      <c r="Z1083" s="67">
        <f>IF(База_КР_КК[[#This Row],[Таб.номер резервиста]]="-","-",IF(OR(База_КР_КК[[#This Row],[Уровень КК]]=2,База_КР_КК[[#This Row],[Уровень КК]]=3),IF(COUNTIFS($U$2:$U1083,$U1083,$F$2:$F1083,$F1083)=1,1,0),IF(COUNTIFS($U$2:$U1083,$U1083,$L$2:$L1083,$L1083)=1,1,0)))</f>
        <v>1</v>
      </c>
      <c r="AA10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3" s="106"/>
      <c r="AC1083" s="51"/>
      <c r="AD1083" s="106" t="s">
        <v>17</v>
      </c>
      <c r="AE1083" s="38" t="s">
        <v>333</v>
      </c>
    </row>
    <row r="1084" spans="1:31" ht="18" customHeight="1" x14ac:dyDescent="0.25">
      <c r="A10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4" s="79">
        <v>4</v>
      </c>
      <c r="C1084" s="23">
        <v>44125</v>
      </c>
      <c r="D1084" s="67">
        <f>IF(COUNTIF($G$2:$G1084,$G1084)=1,1,0)</f>
        <v>0</v>
      </c>
      <c r="E1084" s="67" t="str">
        <f>IFERROR(VLOOKUP(База_КР_КК[[#This Row],[ИД штатной должности (S)]],'уровень защищенности'!$B$7:$F$1095,5,0),"не защищена")</f>
        <v>высокий</v>
      </c>
      <c r="F1084" s="68">
        <v>500023</v>
      </c>
      <c r="G1084" s="74" t="s">
        <v>2387</v>
      </c>
      <c r="H1084" s="181">
        <f>INDEX('Списки данных'!$D$2:$D$1048576,MATCH(База_КР_КК[[#This Row],[Структурное подразделение]],'Списки данных'!$C$2:$C$1048576,0))</f>
        <v>28</v>
      </c>
      <c r="I1084" s="80" t="s">
        <v>164</v>
      </c>
      <c r="J1084" s="80" t="s">
        <v>207</v>
      </c>
      <c r="K1084" s="80" t="s">
        <v>208</v>
      </c>
      <c r="L1084" s="30" t="s">
        <v>194</v>
      </c>
      <c r="M1084" s="68">
        <v>7</v>
      </c>
      <c r="N1084" s="181" t="str">
        <f t="shared" si="17"/>
        <v>нет</v>
      </c>
      <c r="O1084" s="23"/>
      <c r="P1084" s="23"/>
      <c r="Q1084" s="106"/>
      <c r="R1084" s="37">
        <v>227</v>
      </c>
      <c r="S1084" s="38" t="s">
        <v>639</v>
      </c>
      <c r="T1084" s="37">
        <v>1308</v>
      </c>
      <c r="U1084" s="39" t="s">
        <v>1706</v>
      </c>
      <c r="V1084" s="69" t="s">
        <v>272</v>
      </c>
      <c r="W1084" s="69" t="s">
        <v>164</v>
      </c>
      <c r="X1084" s="106" t="s">
        <v>297</v>
      </c>
      <c r="Y1084" s="107" t="s">
        <v>18</v>
      </c>
      <c r="Z1084" s="67">
        <f>IF(База_КР_КК[[#This Row],[Таб.номер резервиста]]="-","-",IF(OR(База_КР_КК[[#This Row],[Уровень КК]]=2,База_КР_КК[[#This Row],[Уровень КК]]=3),IF(COUNTIFS($U$2:$U1084,$U1084,$F$2:$F1084,$F1084)=1,1,0),IF(COUNTIFS($U$2:$U1084,$U1084,$L$2:$L1084,$L1084)=1,1,0)))</f>
        <v>1</v>
      </c>
      <c r="AA10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4" s="106" t="s">
        <v>38</v>
      </c>
      <c r="AC1084" s="51">
        <v>45071</v>
      </c>
      <c r="AD1084" s="106" t="s">
        <v>13</v>
      </c>
      <c r="AE1084" s="38" t="s">
        <v>333</v>
      </c>
    </row>
    <row r="1085" spans="1:31" ht="18" customHeight="1" x14ac:dyDescent="0.25">
      <c r="A10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5" s="79">
        <v>4</v>
      </c>
      <c r="C1085" s="23">
        <v>44125</v>
      </c>
      <c r="D1085" s="67">
        <f>IF(COUNTIF($G$2:$G1085,$G1085)=1,1,0)</f>
        <v>0</v>
      </c>
      <c r="E1085" s="67" t="str">
        <f>IFERROR(VLOOKUP(База_КР_КК[[#This Row],[ИД штатной должности (S)]],'уровень защищенности'!$B$7:$F$1095,5,0),"не защищена")</f>
        <v>высокий</v>
      </c>
      <c r="F1085" s="68">
        <v>500023</v>
      </c>
      <c r="G1085" s="74" t="s">
        <v>2387</v>
      </c>
      <c r="H1085" s="181">
        <f>INDEX('Списки данных'!$D$2:$D$1048576,MATCH(База_КР_КК[[#This Row],[Структурное подразделение]],'Списки данных'!$C$2:$C$1048576,0))</f>
        <v>28</v>
      </c>
      <c r="I1085" s="80" t="s">
        <v>164</v>
      </c>
      <c r="J1085" s="80" t="s">
        <v>207</v>
      </c>
      <c r="K1085" s="80" t="s">
        <v>208</v>
      </c>
      <c r="L1085" s="30" t="s">
        <v>194</v>
      </c>
      <c r="M1085" s="68">
        <v>7</v>
      </c>
      <c r="N1085" s="181" t="str">
        <f t="shared" si="17"/>
        <v>нет</v>
      </c>
      <c r="O1085" s="23"/>
      <c r="P1085" s="23"/>
      <c r="Q1085" s="106"/>
      <c r="R1085" s="37">
        <v>227</v>
      </c>
      <c r="S1085" s="38" t="s">
        <v>639</v>
      </c>
      <c r="T1085" s="37">
        <v>240</v>
      </c>
      <c r="U1085" s="39" t="s">
        <v>652</v>
      </c>
      <c r="V1085" s="69" t="s">
        <v>192</v>
      </c>
      <c r="W1085" s="69" t="s">
        <v>164</v>
      </c>
      <c r="X1085" s="106" t="s">
        <v>295</v>
      </c>
      <c r="Y1085" s="107" t="s">
        <v>12</v>
      </c>
      <c r="Z1085" s="67">
        <f>IF(База_КР_КК[[#This Row],[Таб.номер резервиста]]="-","-",IF(OR(База_КР_КК[[#This Row],[Уровень КК]]=2,База_КР_КК[[#This Row],[Уровень КК]]=3),IF(COUNTIFS($U$2:$U1085,$U1085,$F$2:$F1085,$F1085)=1,1,0),IF(COUNTIFS($U$2:$U1085,$U1085,$L$2:$L1085,$L1085)=1,1,0)))</f>
        <v>1</v>
      </c>
      <c r="AA10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5" s="106"/>
      <c r="AC1085" s="51"/>
      <c r="AD1085" s="106" t="s">
        <v>17</v>
      </c>
      <c r="AE1085" s="38" t="s">
        <v>333</v>
      </c>
    </row>
    <row r="1086" spans="1:31" ht="18" customHeight="1" x14ac:dyDescent="0.25">
      <c r="A10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6" s="79">
        <v>4</v>
      </c>
      <c r="C1086" s="23">
        <v>44125</v>
      </c>
      <c r="D1086" s="67">
        <f>IF(COUNTIF($G$2:$G1086,$G1086)=1,1,0)</f>
        <v>0</v>
      </c>
      <c r="E1086" s="67" t="str">
        <f>IFERROR(VLOOKUP(База_КР_КК[[#This Row],[ИД штатной должности (S)]],'уровень защищенности'!$B$7:$F$1095,5,0),"не защищена")</f>
        <v>высокий</v>
      </c>
      <c r="F1086" s="68">
        <v>500023</v>
      </c>
      <c r="G1086" s="74" t="s">
        <v>2387</v>
      </c>
      <c r="H1086" s="181">
        <f>INDEX('Списки данных'!$D$2:$D$1048576,MATCH(База_КР_КК[[#This Row],[Структурное подразделение]],'Списки данных'!$C$2:$C$1048576,0))</f>
        <v>28</v>
      </c>
      <c r="I1086" s="80" t="s">
        <v>164</v>
      </c>
      <c r="J1086" s="80" t="s">
        <v>207</v>
      </c>
      <c r="K1086" s="80" t="s">
        <v>208</v>
      </c>
      <c r="L1086" s="30" t="s">
        <v>194</v>
      </c>
      <c r="M1086" s="68">
        <v>7</v>
      </c>
      <c r="N1086" s="181" t="str">
        <f t="shared" si="17"/>
        <v>нет</v>
      </c>
      <c r="O1086" s="23"/>
      <c r="P1086" s="23"/>
      <c r="Q1086" s="106"/>
      <c r="R1086" s="37">
        <v>227</v>
      </c>
      <c r="S1086" s="38" t="s">
        <v>639</v>
      </c>
      <c r="T1086" s="37">
        <v>1305</v>
      </c>
      <c r="U1086" s="39" t="s">
        <v>1703</v>
      </c>
      <c r="V1086" s="69" t="s">
        <v>192</v>
      </c>
      <c r="W1086" s="69" t="s">
        <v>164</v>
      </c>
      <c r="X1086" s="106" t="s">
        <v>295</v>
      </c>
      <c r="Y1086" s="107" t="s">
        <v>18</v>
      </c>
      <c r="Z1086" s="67">
        <f>IF(База_КР_КК[[#This Row],[Таб.номер резервиста]]="-","-",IF(OR(База_КР_КК[[#This Row],[Уровень КК]]=2,База_КР_КК[[#This Row],[Уровень КК]]=3),IF(COUNTIFS($U$2:$U1086,$U1086,$F$2:$F1086,$F1086)=1,1,0),IF(COUNTIFS($U$2:$U1086,$U1086,$L$2:$L1086,$L1086)=1,1,0)))</f>
        <v>1</v>
      </c>
      <c r="AA10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6" s="106" t="s">
        <v>43</v>
      </c>
      <c r="AC1086" s="51">
        <v>44840</v>
      </c>
      <c r="AD1086" s="106" t="s">
        <v>15</v>
      </c>
      <c r="AE1086" s="38" t="s">
        <v>318</v>
      </c>
    </row>
    <row r="1087" spans="1:31" ht="18" customHeight="1" x14ac:dyDescent="0.25">
      <c r="A10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7" s="79">
        <v>4</v>
      </c>
      <c r="C1087" s="23">
        <v>44473</v>
      </c>
      <c r="D1087" s="67">
        <f>IF(COUNTIF($G$2:$G1087,$G1087)=1,1,0)</f>
        <v>1</v>
      </c>
      <c r="E1087" s="67" t="str">
        <f>IFERROR(VLOOKUP(База_КР_КК[[#This Row],[ИД штатной должности (S)]],'уровень защищенности'!$B$7:$F$1095,5,0),"не защищена")</f>
        <v>высокий</v>
      </c>
      <c r="F1087" s="68">
        <v>500023</v>
      </c>
      <c r="G1087" s="74" t="s">
        <v>2388</v>
      </c>
      <c r="H1087" s="181">
        <f>INDEX('Списки данных'!$D$2:$D$1048576,MATCH(База_КР_КК[[#This Row],[Структурное подразделение]],'Списки данных'!$C$2:$C$1048576,0))</f>
        <v>28</v>
      </c>
      <c r="I1087" s="80" t="s">
        <v>164</v>
      </c>
      <c r="J1087" s="80" t="s">
        <v>207</v>
      </c>
      <c r="K1087" s="80" t="s">
        <v>208</v>
      </c>
      <c r="L1087" s="30" t="s">
        <v>194</v>
      </c>
      <c r="M1087" s="68">
        <v>7</v>
      </c>
      <c r="N1087" s="181" t="str">
        <f t="shared" si="17"/>
        <v>нет</v>
      </c>
      <c r="O1087" s="23"/>
      <c r="P1087" s="23"/>
      <c r="Q1087" s="106"/>
      <c r="R1087" s="37">
        <v>228</v>
      </c>
      <c r="S1087" s="38" t="s">
        <v>640</v>
      </c>
      <c r="T1087" s="37">
        <v>1307</v>
      </c>
      <c r="U1087" s="39" t="s">
        <v>1705</v>
      </c>
      <c r="V1087" s="69" t="s">
        <v>272</v>
      </c>
      <c r="W1087" s="69" t="s">
        <v>164</v>
      </c>
      <c r="X1087" s="106" t="s">
        <v>296</v>
      </c>
      <c r="Y1087" s="107" t="s">
        <v>12</v>
      </c>
      <c r="Z1087" s="67">
        <f>IF(База_КР_КК[[#This Row],[Таб.номер резервиста]]="-","-",IF(OR(База_КР_КК[[#This Row],[Уровень КК]]=2,База_КР_КК[[#This Row],[Уровень КК]]=3),IF(COUNTIFS($U$2:$U1087,$U1087,$F$2:$F1087,$F1087)=1,1,0),IF(COUNTIFS($U$2:$U1087,$U1087,$L$2:$L1087,$L1087)=1,1,0)))</f>
        <v>0</v>
      </c>
      <c r="AA10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7" s="106"/>
      <c r="AC1087" s="51"/>
      <c r="AD1087" s="106" t="s">
        <v>17</v>
      </c>
      <c r="AE1087" s="38" t="s">
        <v>333</v>
      </c>
    </row>
    <row r="1088" spans="1:31" ht="18" customHeight="1" x14ac:dyDescent="0.25">
      <c r="A10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8" s="79">
        <v>4</v>
      </c>
      <c r="C1088" s="23">
        <v>44125</v>
      </c>
      <c r="D1088" s="67">
        <f>IF(COUNTIF($G$2:$G1088,$G1088)=1,1,0)</f>
        <v>0</v>
      </c>
      <c r="E1088" s="67" t="str">
        <f>IFERROR(VLOOKUP(База_КР_КК[[#This Row],[ИД штатной должности (S)]],'уровень защищенности'!$B$7:$F$1095,5,0),"не защищена")</f>
        <v>высокий</v>
      </c>
      <c r="F1088" s="68">
        <v>500023</v>
      </c>
      <c r="G1088" s="74" t="s">
        <v>2388</v>
      </c>
      <c r="H1088" s="181">
        <f>INDEX('Списки данных'!$D$2:$D$1048576,MATCH(База_КР_КК[[#This Row],[Структурное подразделение]],'Списки данных'!$C$2:$C$1048576,0))</f>
        <v>28</v>
      </c>
      <c r="I1088" s="80" t="s">
        <v>164</v>
      </c>
      <c r="J1088" s="80" t="s">
        <v>207</v>
      </c>
      <c r="K1088" s="80" t="s">
        <v>208</v>
      </c>
      <c r="L1088" s="30" t="s">
        <v>194</v>
      </c>
      <c r="M1088" s="68">
        <v>7</v>
      </c>
      <c r="N1088" s="181" t="str">
        <f t="shared" si="17"/>
        <v>нет</v>
      </c>
      <c r="O1088" s="23"/>
      <c r="P1088" s="23"/>
      <c r="Q1088" s="106"/>
      <c r="R1088" s="37">
        <v>228</v>
      </c>
      <c r="S1088" s="38" t="s">
        <v>640</v>
      </c>
      <c r="T1088" s="37">
        <v>1308</v>
      </c>
      <c r="U1088" s="39" t="s">
        <v>1706</v>
      </c>
      <c r="V1088" s="69" t="s">
        <v>272</v>
      </c>
      <c r="W1088" s="69" t="s">
        <v>164</v>
      </c>
      <c r="X1088" s="106" t="s">
        <v>297</v>
      </c>
      <c r="Y1088" s="107" t="s">
        <v>18</v>
      </c>
      <c r="Z1088" s="67">
        <f>IF(База_КР_КК[[#This Row],[Таб.номер резервиста]]="-","-",IF(OR(База_КР_КК[[#This Row],[Уровень КК]]=2,База_КР_КК[[#This Row],[Уровень КК]]=3),IF(COUNTIFS($U$2:$U1088,$U1088,$F$2:$F1088,$F1088)=1,1,0),IF(COUNTIFS($U$2:$U1088,$U1088,$L$2:$L1088,$L1088)=1,1,0)))</f>
        <v>0</v>
      </c>
      <c r="AA10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8" s="106" t="s">
        <v>38</v>
      </c>
      <c r="AC1088" s="51">
        <v>45071</v>
      </c>
      <c r="AD1088" s="106" t="s">
        <v>13</v>
      </c>
      <c r="AE1088" s="38" t="s">
        <v>333</v>
      </c>
    </row>
    <row r="1089" spans="1:31" ht="18" customHeight="1" x14ac:dyDescent="0.25">
      <c r="A10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89" s="79">
        <v>4</v>
      </c>
      <c r="C1089" s="23">
        <v>44125</v>
      </c>
      <c r="D1089" s="67">
        <f>IF(COUNTIF($G$2:$G1089,$G1089)=1,1,0)</f>
        <v>0</v>
      </c>
      <c r="E1089" s="67" t="str">
        <f>IFERROR(VLOOKUP(База_КР_КК[[#This Row],[ИД штатной должности (S)]],'уровень защищенности'!$B$7:$F$1095,5,0),"не защищена")</f>
        <v>высокий</v>
      </c>
      <c r="F1089" s="68">
        <v>500023</v>
      </c>
      <c r="G1089" s="74" t="s">
        <v>2388</v>
      </c>
      <c r="H1089" s="181">
        <f>INDEX('Списки данных'!$D$2:$D$1048576,MATCH(База_КР_КК[[#This Row],[Структурное подразделение]],'Списки данных'!$C$2:$C$1048576,0))</f>
        <v>28</v>
      </c>
      <c r="I1089" s="80" t="s">
        <v>164</v>
      </c>
      <c r="J1089" s="80" t="s">
        <v>207</v>
      </c>
      <c r="K1089" s="80" t="s">
        <v>208</v>
      </c>
      <c r="L1089" s="30" t="s">
        <v>194</v>
      </c>
      <c r="M1089" s="68">
        <v>7</v>
      </c>
      <c r="N1089" s="181" t="str">
        <f t="shared" ref="N1089:N1152" si="18">IF(ISBLANK(O1089),"нет","да")</f>
        <v>нет</v>
      </c>
      <c r="O1089" s="23"/>
      <c r="P1089" s="23"/>
      <c r="Q1089" s="106"/>
      <c r="R1089" s="37">
        <v>228</v>
      </c>
      <c r="S1089" s="38" t="s">
        <v>640</v>
      </c>
      <c r="T1089" s="37">
        <v>240</v>
      </c>
      <c r="U1089" s="39" t="s">
        <v>652</v>
      </c>
      <c r="V1089" s="69" t="s">
        <v>192</v>
      </c>
      <c r="W1089" s="69" t="s">
        <v>164</v>
      </c>
      <c r="X1089" s="106" t="s">
        <v>295</v>
      </c>
      <c r="Y1089" s="107" t="s">
        <v>12</v>
      </c>
      <c r="Z1089" s="67">
        <f>IF(База_КР_КК[[#This Row],[Таб.номер резервиста]]="-","-",IF(OR(База_КР_КК[[#This Row],[Уровень КК]]=2,База_КР_КК[[#This Row],[Уровень КК]]=3),IF(COUNTIFS($U$2:$U1089,$U1089,$F$2:$F1089,$F1089)=1,1,0),IF(COUNTIFS($U$2:$U1089,$U1089,$L$2:$L1089,$L1089)=1,1,0)))</f>
        <v>0</v>
      </c>
      <c r="AA10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89" s="106"/>
      <c r="AC1089" s="51"/>
      <c r="AD1089" s="106" t="s">
        <v>17</v>
      </c>
      <c r="AE1089" s="38" t="s">
        <v>333</v>
      </c>
    </row>
    <row r="1090" spans="1:31" ht="18" customHeight="1" x14ac:dyDescent="0.25">
      <c r="A10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0" s="79">
        <v>4</v>
      </c>
      <c r="C1090" s="23">
        <v>44125</v>
      </c>
      <c r="D1090" s="67">
        <f>IF(COUNTIF($G$2:$G1090,$G1090)=1,1,0)</f>
        <v>0</v>
      </c>
      <c r="E1090" s="67" t="str">
        <f>IFERROR(VLOOKUP(База_КР_КК[[#This Row],[ИД штатной должности (S)]],'уровень защищенности'!$B$7:$F$1095,5,0),"не защищена")</f>
        <v>высокий</v>
      </c>
      <c r="F1090" s="68">
        <v>500023</v>
      </c>
      <c r="G1090" s="74" t="s">
        <v>2388</v>
      </c>
      <c r="H1090" s="181">
        <f>INDEX('Списки данных'!$D$2:$D$1048576,MATCH(База_КР_КК[[#This Row],[Структурное подразделение]],'Списки данных'!$C$2:$C$1048576,0))</f>
        <v>28</v>
      </c>
      <c r="I1090" s="80" t="s">
        <v>164</v>
      </c>
      <c r="J1090" s="80" t="s">
        <v>207</v>
      </c>
      <c r="K1090" s="80" t="s">
        <v>208</v>
      </c>
      <c r="L1090" s="30" t="s">
        <v>194</v>
      </c>
      <c r="M1090" s="68">
        <v>7</v>
      </c>
      <c r="N1090" s="181" t="str">
        <f t="shared" si="18"/>
        <v>нет</v>
      </c>
      <c r="O1090" s="23"/>
      <c r="P1090" s="23"/>
      <c r="Q1090" s="106"/>
      <c r="R1090" s="37">
        <v>228</v>
      </c>
      <c r="S1090" s="38" t="s">
        <v>640</v>
      </c>
      <c r="T1090" s="37">
        <v>1305</v>
      </c>
      <c r="U1090" s="39" t="s">
        <v>1703</v>
      </c>
      <c r="V1090" s="69" t="s">
        <v>192</v>
      </c>
      <c r="W1090" s="69" t="s">
        <v>164</v>
      </c>
      <c r="X1090" s="106" t="s">
        <v>295</v>
      </c>
      <c r="Y1090" s="107" t="s">
        <v>18</v>
      </c>
      <c r="Z1090" s="67">
        <f>IF(База_КР_КК[[#This Row],[Таб.номер резервиста]]="-","-",IF(OR(База_КР_КК[[#This Row],[Уровень КК]]=2,База_КР_КК[[#This Row],[Уровень КК]]=3),IF(COUNTIFS($U$2:$U1090,$U1090,$F$2:$F1090,$F1090)=1,1,0),IF(COUNTIFS($U$2:$U1090,$U1090,$L$2:$L1090,$L1090)=1,1,0)))</f>
        <v>0</v>
      </c>
      <c r="AA10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90" s="106" t="s">
        <v>43</v>
      </c>
      <c r="AC1090" s="51">
        <v>44840</v>
      </c>
      <c r="AD1090" s="106" t="s">
        <v>15</v>
      </c>
      <c r="AE1090" s="38" t="s">
        <v>318</v>
      </c>
    </row>
    <row r="1091" spans="1:31" ht="18" customHeight="1" x14ac:dyDescent="0.25">
      <c r="A10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1" s="79">
        <v>4</v>
      </c>
      <c r="C1091" s="23">
        <v>44473</v>
      </c>
      <c r="D1091" s="67">
        <f>IF(COUNTIF($G$2:$G1091,$G1091)=1,1,0)</f>
        <v>1</v>
      </c>
      <c r="E1091" s="67" t="str">
        <f>IFERROR(VLOOKUP(База_КР_КК[[#This Row],[ИД штатной должности (S)]],'уровень защищенности'!$B$7:$F$1095,5,0),"не защищена")</f>
        <v>высокий</v>
      </c>
      <c r="F1091" s="68">
        <v>500023</v>
      </c>
      <c r="G1091" s="74" t="s">
        <v>2389</v>
      </c>
      <c r="H1091" s="181">
        <f>INDEX('Списки данных'!$D$2:$D$1048576,MATCH(База_КР_КК[[#This Row],[Структурное подразделение]],'Списки данных'!$C$2:$C$1048576,0))</f>
        <v>28</v>
      </c>
      <c r="I1091" s="80" t="s">
        <v>164</v>
      </c>
      <c r="J1091" s="80" t="s">
        <v>207</v>
      </c>
      <c r="K1091" s="80" t="s">
        <v>208</v>
      </c>
      <c r="L1091" s="30" t="s">
        <v>194</v>
      </c>
      <c r="M1091" s="68">
        <v>7</v>
      </c>
      <c r="N1091" s="181" t="str">
        <f t="shared" si="18"/>
        <v>да</v>
      </c>
      <c r="O1091" s="23">
        <v>44613</v>
      </c>
      <c r="P1091" s="23">
        <v>44634</v>
      </c>
      <c r="Q1091" s="106" t="s">
        <v>66</v>
      </c>
      <c r="R1091" s="37">
        <v>229</v>
      </c>
      <c r="S1091" s="39" t="s">
        <v>641</v>
      </c>
      <c r="T1091" s="37">
        <v>1307</v>
      </c>
      <c r="U1091" s="39" t="s">
        <v>1705</v>
      </c>
      <c r="V1091" s="69" t="s">
        <v>272</v>
      </c>
      <c r="W1091" s="69" t="s">
        <v>164</v>
      </c>
      <c r="X1091" s="106" t="s">
        <v>296</v>
      </c>
      <c r="Y1091" s="107" t="s">
        <v>12</v>
      </c>
      <c r="Z1091" s="67">
        <f>IF(База_КР_КК[[#This Row],[Таб.номер резервиста]]="-","-",IF(OR(База_КР_КК[[#This Row],[Уровень КК]]=2,База_КР_КК[[#This Row],[Уровень КК]]=3),IF(COUNTIFS($U$2:$U1091,$U1091,$F$2:$F1091,$F1091)=1,1,0),IF(COUNTIFS($U$2:$U1091,$U1091,$L$2:$L1091,$L1091)=1,1,0)))</f>
        <v>0</v>
      </c>
      <c r="AA10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91" s="106"/>
      <c r="AC1091" s="51"/>
      <c r="AD1091" s="106" t="s">
        <v>17</v>
      </c>
      <c r="AE1091" s="38" t="s">
        <v>333</v>
      </c>
    </row>
    <row r="1092" spans="1:31" ht="18" customHeight="1" x14ac:dyDescent="0.25">
      <c r="A10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2" s="79">
        <v>4</v>
      </c>
      <c r="C1092" s="23">
        <v>44125</v>
      </c>
      <c r="D1092" s="67">
        <f>IF(COUNTIF($G$2:$G1092,$G1092)=1,1,0)</f>
        <v>0</v>
      </c>
      <c r="E1092" s="67" t="str">
        <f>IFERROR(VLOOKUP(База_КР_КК[[#This Row],[ИД штатной должности (S)]],'уровень защищенности'!$B$7:$F$1095,5,0),"не защищена")</f>
        <v>высокий</v>
      </c>
      <c r="F1092" s="68">
        <v>500023</v>
      </c>
      <c r="G1092" s="74" t="s">
        <v>2389</v>
      </c>
      <c r="H1092" s="181">
        <f>INDEX('Списки данных'!$D$2:$D$1048576,MATCH(База_КР_КК[[#This Row],[Структурное подразделение]],'Списки данных'!$C$2:$C$1048576,0))</f>
        <v>28</v>
      </c>
      <c r="I1092" s="80" t="s">
        <v>164</v>
      </c>
      <c r="J1092" s="80" t="s">
        <v>207</v>
      </c>
      <c r="K1092" s="80" t="s">
        <v>208</v>
      </c>
      <c r="L1092" s="30" t="s">
        <v>194</v>
      </c>
      <c r="M1092" s="68">
        <v>7</v>
      </c>
      <c r="N1092" s="181" t="str">
        <f t="shared" si="18"/>
        <v>да</v>
      </c>
      <c r="O1092" s="23">
        <v>44613</v>
      </c>
      <c r="P1092" s="23">
        <v>44634</v>
      </c>
      <c r="Q1092" s="106" t="s">
        <v>66</v>
      </c>
      <c r="R1092" s="37">
        <v>229</v>
      </c>
      <c r="S1092" s="39" t="s">
        <v>641</v>
      </c>
      <c r="T1092" s="37">
        <v>1308</v>
      </c>
      <c r="U1092" s="39" t="s">
        <v>1706</v>
      </c>
      <c r="V1092" s="69" t="s">
        <v>272</v>
      </c>
      <c r="W1092" s="69" t="s">
        <v>164</v>
      </c>
      <c r="X1092" s="106" t="s">
        <v>297</v>
      </c>
      <c r="Y1092" s="107" t="s">
        <v>18</v>
      </c>
      <c r="Z1092" s="67">
        <f>IF(База_КР_КК[[#This Row],[Таб.номер резервиста]]="-","-",IF(OR(База_КР_КК[[#This Row],[Уровень КК]]=2,База_КР_КК[[#This Row],[Уровень КК]]=3),IF(COUNTIFS($U$2:$U1092,$U1092,$F$2:$F1092,$F1092)=1,1,0),IF(COUNTIFS($U$2:$U1092,$U1092,$L$2:$L1092,$L1092)=1,1,0)))</f>
        <v>0</v>
      </c>
      <c r="AA10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92" s="106" t="s">
        <v>38</v>
      </c>
      <c r="AC1092" s="51">
        <v>45071</v>
      </c>
      <c r="AD1092" s="106" t="s">
        <v>13</v>
      </c>
      <c r="AE1092" s="38" t="s">
        <v>333</v>
      </c>
    </row>
    <row r="1093" spans="1:31" ht="18" customHeight="1" x14ac:dyDescent="0.25">
      <c r="A10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3" s="79">
        <v>4</v>
      </c>
      <c r="C1093" s="23">
        <v>44125</v>
      </c>
      <c r="D1093" s="67">
        <f>IF(COUNTIF($G$2:$G1093,$G1093)=1,1,0)</f>
        <v>0</v>
      </c>
      <c r="E1093" s="67" t="str">
        <f>IFERROR(VLOOKUP(База_КР_КК[[#This Row],[ИД штатной должности (S)]],'уровень защищенности'!$B$7:$F$1095,5,0),"не защищена")</f>
        <v>высокий</v>
      </c>
      <c r="F1093" s="68">
        <v>500023</v>
      </c>
      <c r="G1093" s="74" t="s">
        <v>2389</v>
      </c>
      <c r="H1093" s="181">
        <f>INDEX('Списки данных'!$D$2:$D$1048576,MATCH(База_КР_КК[[#This Row],[Структурное подразделение]],'Списки данных'!$C$2:$C$1048576,0))</f>
        <v>28</v>
      </c>
      <c r="I1093" s="80" t="s">
        <v>164</v>
      </c>
      <c r="J1093" s="80" t="s">
        <v>207</v>
      </c>
      <c r="K1093" s="80" t="s">
        <v>208</v>
      </c>
      <c r="L1093" s="30" t="s">
        <v>194</v>
      </c>
      <c r="M1093" s="68">
        <v>7</v>
      </c>
      <c r="N1093" s="181" t="str">
        <f t="shared" si="18"/>
        <v>да</v>
      </c>
      <c r="O1093" s="23">
        <v>44613</v>
      </c>
      <c r="P1093" s="23">
        <v>44634</v>
      </c>
      <c r="Q1093" s="106" t="s">
        <v>66</v>
      </c>
      <c r="R1093" s="37">
        <v>229</v>
      </c>
      <c r="S1093" s="38" t="s">
        <v>641</v>
      </c>
      <c r="T1093" s="37">
        <v>240</v>
      </c>
      <c r="U1093" s="39" t="s">
        <v>652</v>
      </c>
      <c r="V1093" s="69" t="s">
        <v>192</v>
      </c>
      <c r="W1093" s="69" t="s">
        <v>164</v>
      </c>
      <c r="X1093" s="106" t="s">
        <v>295</v>
      </c>
      <c r="Y1093" s="107" t="s">
        <v>12</v>
      </c>
      <c r="Z1093" s="67">
        <f>IF(База_КР_КК[[#This Row],[Таб.номер резервиста]]="-","-",IF(OR(База_КР_КК[[#This Row],[Уровень КК]]=2,База_КР_КК[[#This Row],[Уровень КК]]=3),IF(COUNTIFS($U$2:$U1093,$U1093,$F$2:$F1093,$F1093)=1,1,0),IF(COUNTIFS($U$2:$U1093,$U1093,$L$2:$L1093,$L1093)=1,1,0)))</f>
        <v>0</v>
      </c>
      <c r="AA10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93" s="106"/>
      <c r="AC1093" s="51"/>
      <c r="AD1093" s="106" t="s">
        <v>17</v>
      </c>
      <c r="AE1093" s="38" t="s">
        <v>333</v>
      </c>
    </row>
    <row r="1094" spans="1:31" ht="18" customHeight="1" x14ac:dyDescent="0.25">
      <c r="A10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4" s="79">
        <v>4</v>
      </c>
      <c r="C1094" s="23">
        <v>44125</v>
      </c>
      <c r="D1094" s="67">
        <f>IF(COUNTIF($G$2:$G1094,$G1094)=1,1,0)</f>
        <v>0</v>
      </c>
      <c r="E1094" s="67" t="str">
        <f>IFERROR(VLOOKUP(База_КР_КК[[#This Row],[ИД штатной должности (S)]],'уровень защищенности'!$B$7:$F$1095,5,0),"не защищена")</f>
        <v>высокий</v>
      </c>
      <c r="F1094" s="68">
        <v>500023</v>
      </c>
      <c r="G1094" s="74" t="s">
        <v>2389</v>
      </c>
      <c r="H1094" s="181">
        <f>INDEX('Списки данных'!$D$2:$D$1048576,MATCH(База_КР_КК[[#This Row],[Структурное подразделение]],'Списки данных'!$C$2:$C$1048576,0))</f>
        <v>28</v>
      </c>
      <c r="I1094" s="80" t="s">
        <v>164</v>
      </c>
      <c r="J1094" s="80" t="s">
        <v>207</v>
      </c>
      <c r="K1094" s="80" t="s">
        <v>208</v>
      </c>
      <c r="L1094" s="30" t="s">
        <v>194</v>
      </c>
      <c r="M1094" s="68">
        <v>7</v>
      </c>
      <c r="N1094" s="181" t="str">
        <f t="shared" si="18"/>
        <v>да</v>
      </c>
      <c r="O1094" s="23">
        <v>44613</v>
      </c>
      <c r="P1094" s="23">
        <v>44634</v>
      </c>
      <c r="Q1094" s="106" t="s">
        <v>66</v>
      </c>
      <c r="R1094" s="37">
        <v>229</v>
      </c>
      <c r="S1094" s="39" t="s">
        <v>641</v>
      </c>
      <c r="T1094" s="37">
        <v>229</v>
      </c>
      <c r="U1094" s="39" t="s">
        <v>641</v>
      </c>
      <c r="V1094" s="89" t="s">
        <v>192</v>
      </c>
      <c r="W1094" s="69" t="s">
        <v>164</v>
      </c>
      <c r="X1094" s="106" t="s">
        <v>297</v>
      </c>
      <c r="Y1094" s="107" t="s">
        <v>14</v>
      </c>
      <c r="Z1094" s="67">
        <f>IF(База_КР_КК[[#This Row],[Таб.номер резервиста]]="-","-",IF(OR(База_КР_КК[[#This Row],[Уровень КК]]=2,База_КР_КК[[#This Row],[Уровень КК]]=3),IF(COUNTIFS($U$2:$U1094,$U1094,$F$2:$F1094,$F1094)=1,1,0),IF(COUNTIFS($U$2:$U1094,$U1094,$L$2:$L1094,$L1094)=1,1,0)))</f>
        <v>1</v>
      </c>
      <c r="AA10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094" s="106" t="s">
        <v>24</v>
      </c>
      <c r="AC1094" s="51">
        <v>44634</v>
      </c>
      <c r="AD1094" s="106" t="s">
        <v>15</v>
      </c>
      <c r="AE1094" s="38" t="s">
        <v>318</v>
      </c>
    </row>
    <row r="1095" spans="1:31" ht="18" customHeight="1" x14ac:dyDescent="0.25">
      <c r="A10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5" s="79">
        <v>4</v>
      </c>
      <c r="C1095" s="23">
        <v>44125</v>
      </c>
      <c r="D1095" s="67">
        <f>IF(COUNTIF($G$2:$G1095,$G1095)=1,1,0)</f>
        <v>0</v>
      </c>
      <c r="E1095" s="67" t="str">
        <f>IFERROR(VLOOKUP(База_КР_КК[[#This Row],[ИД штатной должности (S)]],'уровень защищенности'!$B$7:$F$1095,5,0),"не защищена")</f>
        <v>высокий</v>
      </c>
      <c r="F1095" s="68">
        <v>500023</v>
      </c>
      <c r="G1095" s="74" t="s">
        <v>2389</v>
      </c>
      <c r="H1095" s="181">
        <f>INDEX('Списки данных'!$D$2:$D$1048576,MATCH(База_КР_КК[[#This Row],[Структурное подразделение]],'Списки данных'!$C$2:$C$1048576,0))</f>
        <v>28</v>
      </c>
      <c r="I1095" s="80" t="s">
        <v>164</v>
      </c>
      <c r="J1095" s="80" t="s">
        <v>207</v>
      </c>
      <c r="K1095" s="80" t="s">
        <v>208</v>
      </c>
      <c r="L1095" s="30" t="s">
        <v>194</v>
      </c>
      <c r="M1095" s="68">
        <v>7</v>
      </c>
      <c r="N1095" s="181" t="str">
        <f t="shared" si="18"/>
        <v>да</v>
      </c>
      <c r="O1095" s="23">
        <v>44613</v>
      </c>
      <c r="P1095" s="23">
        <v>44634</v>
      </c>
      <c r="Q1095" s="106" t="s">
        <v>66</v>
      </c>
      <c r="R1095" s="37">
        <v>229</v>
      </c>
      <c r="S1095" s="38" t="s">
        <v>641</v>
      </c>
      <c r="T1095" s="37">
        <v>1305</v>
      </c>
      <c r="U1095" s="39" t="s">
        <v>1703</v>
      </c>
      <c r="V1095" s="69" t="s">
        <v>192</v>
      </c>
      <c r="W1095" s="69" t="s">
        <v>164</v>
      </c>
      <c r="X1095" s="106" t="s">
        <v>295</v>
      </c>
      <c r="Y1095" s="107" t="s">
        <v>18</v>
      </c>
      <c r="Z1095" s="67">
        <f>IF(База_КР_КК[[#This Row],[Таб.номер резервиста]]="-","-",IF(OR(База_КР_КК[[#This Row],[Уровень КК]]=2,База_КР_КК[[#This Row],[Уровень КК]]=3),IF(COUNTIFS($U$2:$U1095,$U1095,$F$2:$F1095,$F1095)=1,1,0),IF(COUNTIFS($U$2:$U1095,$U1095,$L$2:$L1095,$L1095)=1,1,0)))</f>
        <v>0</v>
      </c>
      <c r="AA10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95" s="106" t="s">
        <v>43</v>
      </c>
      <c r="AC1095" s="51">
        <v>44840</v>
      </c>
      <c r="AD1095" s="106" t="s">
        <v>15</v>
      </c>
      <c r="AE1095" s="38" t="s">
        <v>318</v>
      </c>
    </row>
    <row r="1096" spans="1:31" ht="18" customHeight="1" x14ac:dyDescent="0.25">
      <c r="A10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6" s="79">
        <v>3</v>
      </c>
      <c r="C1096" s="23">
        <v>44039</v>
      </c>
      <c r="D1096" s="67">
        <f>IF(COUNTIF($G$2:$G1096,$G1096)=1,1,0)</f>
        <v>1</v>
      </c>
      <c r="E1096" s="67" t="str">
        <f>IFERROR(VLOOKUP(База_КР_КК[[#This Row],[ИД штатной должности (S)]],'уровень защищенности'!$B$7:$F$1095,5,0),"не защищена")</f>
        <v>высокий</v>
      </c>
      <c r="F1096" s="68">
        <v>500040</v>
      </c>
      <c r="G1096" s="74" t="s">
        <v>2390</v>
      </c>
      <c r="H1096" s="181">
        <f>INDEX('Списки данных'!$D$2:$D$1048576,MATCH(База_КР_КК[[#This Row],[Структурное подразделение]],'Списки данных'!$C$2:$C$1048576,0))</f>
        <v>28</v>
      </c>
      <c r="I1096" s="80" t="s">
        <v>164</v>
      </c>
      <c r="J1096" s="80" t="s">
        <v>207</v>
      </c>
      <c r="K1096" s="80" t="s">
        <v>21</v>
      </c>
      <c r="L1096" s="30" t="s">
        <v>186</v>
      </c>
      <c r="M1096" s="68">
        <v>6</v>
      </c>
      <c r="N1096" s="181" t="str">
        <f t="shared" si="18"/>
        <v>да</v>
      </c>
      <c r="O1096" s="23">
        <v>44187</v>
      </c>
      <c r="P1096" s="23">
        <v>44187</v>
      </c>
      <c r="Q1096" s="106" t="s">
        <v>57</v>
      </c>
      <c r="R1096" s="37">
        <v>230</v>
      </c>
      <c r="S1096" s="38" t="s">
        <v>642</v>
      </c>
      <c r="T1096" s="37">
        <v>227</v>
      </c>
      <c r="U1096" s="39" t="s">
        <v>639</v>
      </c>
      <c r="V1096" s="89" t="s">
        <v>194</v>
      </c>
      <c r="W1096" s="90" t="s">
        <v>164</v>
      </c>
      <c r="X1096" s="106" t="s">
        <v>295</v>
      </c>
      <c r="Y1096" s="107" t="s">
        <v>12</v>
      </c>
      <c r="Z1096" s="67">
        <f>IF(База_КР_КК[[#This Row],[Таб.номер резервиста]]="-","-",IF(OR(База_КР_КК[[#This Row],[Уровень КК]]=2,База_КР_КК[[#This Row],[Уровень КК]]=3),IF(COUNTIFS($U$2:$U1096,$U1096,$F$2:$F1096,$F1096)=1,1,0),IF(COUNTIFS($U$2:$U1096,$U1096,$L$2:$L1096,$L1096)=1,1,0)))</f>
        <v>1</v>
      </c>
      <c r="AA10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96" s="106"/>
      <c r="AC1096" s="51"/>
      <c r="AD1096" s="106" t="s">
        <v>17</v>
      </c>
      <c r="AE1096" s="38" t="s">
        <v>331</v>
      </c>
    </row>
    <row r="1097" spans="1:31" ht="18" customHeight="1" x14ac:dyDescent="0.25">
      <c r="A10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7" s="79">
        <v>3</v>
      </c>
      <c r="C1097" s="23">
        <v>44796</v>
      </c>
      <c r="D1097" s="67">
        <f>IF(COUNTIF($G$2:$G1097,$G1097)=1,1,0)</f>
        <v>0</v>
      </c>
      <c r="E1097" s="67" t="str">
        <f>IFERROR(VLOOKUP(База_КР_КК[[#This Row],[ИД штатной должности (S)]],'уровень защищенности'!$B$7:$F$1095,5,0),"не защищена")</f>
        <v>высокий</v>
      </c>
      <c r="F1097" s="68">
        <v>500040</v>
      </c>
      <c r="G1097" s="74" t="s">
        <v>2390</v>
      </c>
      <c r="H1097" s="181">
        <f>INDEX('Списки данных'!$D$2:$D$1048576,MATCH(База_КР_КК[[#This Row],[Структурное подразделение]],'Списки данных'!$C$2:$C$1048576,0))</f>
        <v>28</v>
      </c>
      <c r="I1097" s="80" t="s">
        <v>164</v>
      </c>
      <c r="J1097" s="80" t="s">
        <v>207</v>
      </c>
      <c r="K1097" s="80" t="s">
        <v>21</v>
      </c>
      <c r="L1097" s="30" t="s">
        <v>186</v>
      </c>
      <c r="M1097" s="68">
        <v>6</v>
      </c>
      <c r="N1097" s="181" t="str">
        <f t="shared" si="18"/>
        <v>да</v>
      </c>
      <c r="O1097" s="23">
        <v>44187</v>
      </c>
      <c r="P1097" s="23">
        <v>44187</v>
      </c>
      <c r="Q1097" s="106" t="s">
        <v>57</v>
      </c>
      <c r="R1097" s="37">
        <v>230</v>
      </c>
      <c r="S1097" s="39" t="s">
        <v>642</v>
      </c>
      <c r="T1097" s="37">
        <v>235</v>
      </c>
      <c r="U1097" s="38" t="s">
        <v>647</v>
      </c>
      <c r="V1097" s="89" t="s">
        <v>192</v>
      </c>
      <c r="W1097" s="90" t="s">
        <v>164</v>
      </c>
      <c r="X1097" s="106" t="s">
        <v>296</v>
      </c>
      <c r="Y1097" s="107" t="s">
        <v>12</v>
      </c>
      <c r="Z1097" s="67">
        <f>IF(База_КР_КК[[#This Row],[Таб.номер резервиста]]="-","-",IF(OR(База_КР_КК[[#This Row],[Уровень КК]]=2,База_КР_КК[[#This Row],[Уровень КК]]=3),IF(COUNTIFS($U$2:$U1097,$U1097,$F$2:$F1097,$F1097)=1,1,0),IF(COUNTIFS($U$2:$U1097,$U1097,$L$2:$L1097,$L1097)=1,1,0)))</f>
        <v>1</v>
      </c>
      <c r="AA10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97" s="106"/>
      <c r="AC1097" s="51"/>
      <c r="AD1097" s="106" t="s">
        <v>15</v>
      </c>
      <c r="AE1097" s="38" t="s">
        <v>331</v>
      </c>
    </row>
    <row r="1098" spans="1:31" ht="18" customHeight="1" x14ac:dyDescent="0.25">
      <c r="A10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8" s="79">
        <v>4</v>
      </c>
      <c r="C1098" s="23">
        <v>44873</v>
      </c>
      <c r="D1098" s="67">
        <f>IF(COUNTIF($G$2:$G1098,$G1098)=1,1,0)</f>
        <v>1</v>
      </c>
      <c r="E1098" s="67" t="str">
        <f>IFERROR(VLOOKUP(База_КР_КК[[#This Row],[ИД штатной должности (S)]],'уровень защищенности'!$B$7:$F$1095,5,0),"не защищена")</f>
        <v>средний</v>
      </c>
      <c r="F1098" s="68">
        <v>500160</v>
      </c>
      <c r="G1098" s="74" t="s">
        <v>2391</v>
      </c>
      <c r="H1098" s="181">
        <f>INDEX('Списки данных'!$D$2:$D$1048576,MATCH(База_КР_КК[[#This Row],[Структурное подразделение]],'Списки данных'!$C$2:$C$1048576,0))</f>
        <v>28</v>
      </c>
      <c r="I1098" s="80" t="s">
        <v>164</v>
      </c>
      <c r="J1098" s="80" t="s">
        <v>207</v>
      </c>
      <c r="K1098" s="80" t="s">
        <v>21</v>
      </c>
      <c r="L1098" s="30" t="s">
        <v>192</v>
      </c>
      <c r="M1098" s="68">
        <v>7</v>
      </c>
      <c r="N1098" s="181" t="str">
        <f t="shared" si="18"/>
        <v>да</v>
      </c>
      <c r="O1098" s="23">
        <v>44453</v>
      </c>
      <c r="P1098" s="23">
        <v>44715</v>
      </c>
      <c r="Q1098" s="106" t="s">
        <v>66</v>
      </c>
      <c r="R1098" s="37">
        <v>231</v>
      </c>
      <c r="S1098" s="39" t="s">
        <v>643</v>
      </c>
      <c r="T1098" s="37">
        <v>1309</v>
      </c>
      <c r="U1098" s="38" t="s">
        <v>1707</v>
      </c>
      <c r="V1098" s="69" t="s">
        <v>272</v>
      </c>
      <c r="W1098" s="69" t="s">
        <v>164</v>
      </c>
      <c r="X1098" s="106" t="s">
        <v>297</v>
      </c>
      <c r="Y1098" s="107" t="s">
        <v>12</v>
      </c>
      <c r="Z1098" s="67">
        <f>IF(База_КР_КК[[#This Row],[Таб.номер резервиста]]="-","-",IF(OR(База_КР_КК[[#This Row],[Уровень КК]]=2,База_КР_КК[[#This Row],[Уровень КК]]=3),IF(COUNTIFS($U$2:$U1098,$U1098,$F$2:$F1098,$F1098)=1,1,0),IF(COUNTIFS($U$2:$U1098,$U1098,$L$2:$L1098,$L1098)=1,1,0)))</f>
        <v>1</v>
      </c>
      <c r="AA10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098" s="106"/>
      <c r="AC1098" s="51"/>
      <c r="AD1098" s="106" t="s">
        <v>15</v>
      </c>
      <c r="AE1098" s="38" t="s">
        <v>333</v>
      </c>
    </row>
    <row r="1099" spans="1:31" ht="18" customHeight="1" x14ac:dyDescent="0.25">
      <c r="A10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099" s="79">
        <v>4</v>
      </c>
      <c r="C1099" s="23">
        <v>44473</v>
      </c>
      <c r="D1099" s="67">
        <f>IF(COUNTIF($G$2:$G1099,$G1099)=1,1,0)</f>
        <v>0</v>
      </c>
      <c r="E1099" s="67" t="str">
        <f>IFERROR(VLOOKUP(База_КР_КК[[#This Row],[ИД штатной должности (S)]],'уровень защищенности'!$B$7:$F$1095,5,0),"не защищена")</f>
        <v>средний</v>
      </c>
      <c r="F1099" s="68">
        <v>500160</v>
      </c>
      <c r="G1099" s="74" t="s">
        <v>2391</v>
      </c>
      <c r="H1099" s="181">
        <f>INDEX('Списки данных'!$D$2:$D$1048576,MATCH(База_КР_КК[[#This Row],[Структурное подразделение]],'Списки данных'!$C$2:$C$1048576,0))</f>
        <v>28</v>
      </c>
      <c r="I1099" s="80" t="s">
        <v>164</v>
      </c>
      <c r="J1099" s="80" t="s">
        <v>207</v>
      </c>
      <c r="K1099" s="80" t="s">
        <v>21</v>
      </c>
      <c r="L1099" s="30" t="s">
        <v>192</v>
      </c>
      <c r="M1099" s="68">
        <v>7</v>
      </c>
      <c r="N1099" s="181" t="str">
        <f t="shared" si="18"/>
        <v>да</v>
      </c>
      <c r="O1099" s="23">
        <v>44453</v>
      </c>
      <c r="P1099" s="23">
        <v>44715</v>
      </c>
      <c r="Q1099" s="106" t="s">
        <v>66</v>
      </c>
      <c r="R1099" s="37">
        <v>231</v>
      </c>
      <c r="S1099" s="38" t="s">
        <v>643</v>
      </c>
      <c r="T1099" s="37">
        <v>231</v>
      </c>
      <c r="U1099" s="39" t="s">
        <v>643</v>
      </c>
      <c r="V1099" s="69" t="s">
        <v>272</v>
      </c>
      <c r="W1099" s="69" t="s">
        <v>164</v>
      </c>
      <c r="X1099" s="106" t="s">
        <v>296</v>
      </c>
      <c r="Y1099" s="107" t="s">
        <v>14</v>
      </c>
      <c r="Z1099" s="67">
        <f>IF(База_КР_КК[[#This Row],[Таб.номер резервиста]]="-","-",IF(OR(База_КР_КК[[#This Row],[Уровень КК]]=2,База_КР_КК[[#This Row],[Уровень КК]]=3),IF(COUNTIFS($U$2:$U1099,$U1099,$F$2:$F1099,$F1099)=1,1,0),IF(COUNTIFS($U$2:$U1099,$U1099,$L$2:$L1099,$L1099)=1,1,0)))</f>
        <v>1</v>
      </c>
      <c r="AA10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099" s="106" t="s">
        <v>24</v>
      </c>
      <c r="AC1099" s="51">
        <v>44715</v>
      </c>
      <c r="AD1099" s="106" t="s">
        <v>15</v>
      </c>
      <c r="AE1099" s="38" t="s">
        <v>334</v>
      </c>
    </row>
    <row r="1100" spans="1:31" ht="18" customHeight="1" x14ac:dyDescent="0.25">
      <c r="A11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0" s="79">
        <v>4</v>
      </c>
      <c r="C1100" s="23">
        <v>44125</v>
      </c>
      <c r="D1100" s="67">
        <f>IF(COUNTIF($G$2:$G1100,$G1100)=1,1,0)</f>
        <v>0</v>
      </c>
      <c r="E1100" s="67" t="str">
        <f>IFERROR(VLOOKUP(База_КР_КК[[#This Row],[ИД штатной должности (S)]],'уровень защищенности'!$B$7:$F$1095,5,0),"не защищена")</f>
        <v>средний</v>
      </c>
      <c r="F1100" s="68">
        <v>500160</v>
      </c>
      <c r="G1100" s="74" t="s">
        <v>2391</v>
      </c>
      <c r="H1100" s="181">
        <f>INDEX('Списки данных'!$D$2:$D$1048576,MATCH(База_КР_КК[[#This Row],[Структурное подразделение]],'Списки данных'!$C$2:$C$1048576,0))</f>
        <v>28</v>
      </c>
      <c r="I1100" s="80" t="s">
        <v>164</v>
      </c>
      <c r="J1100" s="80" t="s">
        <v>207</v>
      </c>
      <c r="K1100" s="80" t="s">
        <v>21</v>
      </c>
      <c r="L1100" s="30" t="s">
        <v>192</v>
      </c>
      <c r="M1100" s="68">
        <v>7</v>
      </c>
      <c r="N1100" s="181" t="str">
        <f t="shared" si="18"/>
        <v>да</v>
      </c>
      <c r="O1100" s="23">
        <v>44453</v>
      </c>
      <c r="P1100" s="23">
        <v>44715</v>
      </c>
      <c r="Q1100" s="106" t="s">
        <v>66</v>
      </c>
      <c r="R1100" s="37">
        <v>231</v>
      </c>
      <c r="S1100" s="39" t="s">
        <v>643</v>
      </c>
      <c r="T1100" s="37">
        <v>1307</v>
      </c>
      <c r="U1100" s="39" t="s">
        <v>1705</v>
      </c>
      <c r="V1100" s="69" t="s">
        <v>272</v>
      </c>
      <c r="W1100" s="69" t="s">
        <v>164</v>
      </c>
      <c r="X1100" s="106" t="s">
        <v>297</v>
      </c>
      <c r="Y1100" s="107" t="s">
        <v>18</v>
      </c>
      <c r="Z1100" s="67">
        <f>IF(База_КР_КК[[#This Row],[Таб.номер резервиста]]="-","-",IF(OR(База_КР_КК[[#This Row],[Уровень КК]]=2,База_КР_КК[[#This Row],[Уровень КК]]=3),IF(COUNTIFS($U$2:$U1100,$U1100,$F$2:$F1100,$F1100)=1,1,0),IF(COUNTIFS($U$2:$U1100,$U1100,$L$2:$L1100,$L1100)=1,1,0)))</f>
        <v>1</v>
      </c>
      <c r="AA11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0" s="106" t="s">
        <v>38</v>
      </c>
      <c r="AC1100" s="51">
        <v>44473</v>
      </c>
      <c r="AD1100" s="106" t="s">
        <v>31</v>
      </c>
      <c r="AE1100" s="38" t="s">
        <v>334</v>
      </c>
    </row>
    <row r="1101" spans="1:31" s="108" customFormat="1" ht="18" customHeight="1" x14ac:dyDescent="0.25">
      <c r="A11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1" s="79">
        <v>4</v>
      </c>
      <c r="C1101" s="23">
        <v>44473</v>
      </c>
      <c r="D1101" s="67">
        <f>IF(COUNTIF($G$2:$G1101,$G1101)=1,1,0)</f>
        <v>1</v>
      </c>
      <c r="E1101" s="99" t="str">
        <f>IFERROR(VLOOKUP(База_КР_КК[[#This Row],[ИД штатной должности (S)]],'уровень защищенности'!$B$7:$F$1095,5,0),"не защищена")</f>
        <v>средний</v>
      </c>
      <c r="F1101" s="68">
        <v>500186</v>
      </c>
      <c r="G1101" s="74" t="s">
        <v>2392</v>
      </c>
      <c r="H1101" s="24">
        <f>INDEX('Списки данных'!$D$2:$D$1048576,MATCH(База_КР_КК[[#This Row],[Структурное подразделение]],'Списки данных'!$C$2:$C$1048576,0))</f>
        <v>28</v>
      </c>
      <c r="I1101" s="80" t="s">
        <v>164</v>
      </c>
      <c r="J1101" s="80" t="s">
        <v>207</v>
      </c>
      <c r="K1101" s="80" t="s">
        <v>208</v>
      </c>
      <c r="L1101" s="30" t="s">
        <v>191</v>
      </c>
      <c r="M1101" s="68">
        <v>7</v>
      </c>
      <c r="N1101" s="24" t="str">
        <f t="shared" si="18"/>
        <v>нет</v>
      </c>
      <c r="O1101" s="23"/>
      <c r="P1101" s="23"/>
      <c r="Q1101" s="106"/>
      <c r="R1101" s="37">
        <v>232</v>
      </c>
      <c r="S1101" s="38" t="s">
        <v>644</v>
      </c>
      <c r="T1101" s="37">
        <v>1307</v>
      </c>
      <c r="U1101" s="39" t="s">
        <v>1705</v>
      </c>
      <c r="V1101" s="69" t="s">
        <v>272</v>
      </c>
      <c r="W1101" s="69" t="s">
        <v>164</v>
      </c>
      <c r="X1101" s="106" t="s">
        <v>296</v>
      </c>
      <c r="Y1101" s="107" t="s">
        <v>12</v>
      </c>
      <c r="Z1101" s="67">
        <f>IF(База_КР_КК[[#This Row],[Таб.номер резервиста]]="-","-",IF(OR(База_КР_КК[[#This Row],[Уровень КК]]=2,База_КР_КК[[#This Row],[Уровень КК]]=3),IF(COUNTIFS($U$2:$U1101,$U1101,$F$2:$F1101,$F1101)=1,1,0),IF(COUNTIFS($U$2:$U1101,$U1101,$L$2:$L1101,$L1101)=1,1,0)))</f>
        <v>1</v>
      </c>
      <c r="AA11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1" s="106"/>
      <c r="AC1101" s="51"/>
      <c r="AD1101" s="106" t="s">
        <v>13</v>
      </c>
      <c r="AE1101" s="38" t="s">
        <v>333</v>
      </c>
    </row>
    <row r="1102" spans="1:31" s="108" customFormat="1" ht="18" customHeight="1" x14ac:dyDescent="0.25">
      <c r="A11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2" s="79">
        <v>4</v>
      </c>
      <c r="C1102" s="23">
        <v>44125</v>
      </c>
      <c r="D1102" s="67">
        <f>IF(COUNTIF($G$2:$G1102,$G1102)=1,1,0)</f>
        <v>0</v>
      </c>
      <c r="E1102" s="99" t="str">
        <f>IFERROR(VLOOKUP(База_КР_КК[[#This Row],[ИД штатной должности (S)]],'уровень защищенности'!$B$7:$F$1095,5,0),"не защищена")</f>
        <v>средний</v>
      </c>
      <c r="F1102" s="68">
        <v>500186</v>
      </c>
      <c r="G1102" s="74" t="s">
        <v>2392</v>
      </c>
      <c r="H1102" s="24">
        <f>INDEX('Списки данных'!$D$2:$D$1048576,MATCH(База_КР_КК[[#This Row],[Структурное подразделение]],'Списки данных'!$C$2:$C$1048576,0))</f>
        <v>28</v>
      </c>
      <c r="I1102" s="80" t="s">
        <v>164</v>
      </c>
      <c r="J1102" s="80" t="s">
        <v>207</v>
      </c>
      <c r="K1102" s="80" t="s">
        <v>208</v>
      </c>
      <c r="L1102" s="30" t="s">
        <v>191</v>
      </c>
      <c r="M1102" s="68">
        <v>7</v>
      </c>
      <c r="N1102" s="24" t="str">
        <f t="shared" si="18"/>
        <v>нет</v>
      </c>
      <c r="O1102" s="23"/>
      <c r="P1102" s="23"/>
      <c r="Q1102" s="106"/>
      <c r="R1102" s="37">
        <v>232</v>
      </c>
      <c r="S1102" s="38" t="s">
        <v>644</v>
      </c>
      <c r="T1102" s="37">
        <v>1310</v>
      </c>
      <c r="U1102" s="39" t="s">
        <v>1708</v>
      </c>
      <c r="V1102" s="69" t="s">
        <v>272</v>
      </c>
      <c r="W1102" s="69" t="s">
        <v>164</v>
      </c>
      <c r="X1102" s="106" t="s">
        <v>296</v>
      </c>
      <c r="Y1102" s="107" t="s">
        <v>12</v>
      </c>
      <c r="Z1102" s="67">
        <f>IF(База_КР_КК[[#This Row],[Таб.номер резервиста]]="-","-",IF(OR(База_КР_КК[[#This Row],[Уровень КК]]=2,База_КР_КК[[#This Row],[Уровень КК]]=3),IF(COUNTIFS($U$2:$U1102,$U1102,$F$2:$F1102,$F1102)=1,1,0),IF(COUNTIFS($U$2:$U1102,$U1102,$L$2:$L1102,$L1102)=1,1,0)))</f>
        <v>1</v>
      </c>
      <c r="AA11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2" s="106"/>
      <c r="AC1102" s="51"/>
      <c r="AD1102" s="106" t="s">
        <v>13</v>
      </c>
      <c r="AE1102" s="38" t="s">
        <v>333</v>
      </c>
    </row>
    <row r="1103" spans="1:31" s="108" customFormat="1" ht="18" customHeight="1" x14ac:dyDescent="0.25">
      <c r="A11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3" s="79">
        <v>4</v>
      </c>
      <c r="C1103" s="23">
        <v>44125</v>
      </c>
      <c r="D1103" s="67">
        <f>IF(COUNTIF($G$2:$G1103,$G1103)=1,1,0)</f>
        <v>0</v>
      </c>
      <c r="E1103" s="99" t="str">
        <f>IFERROR(VLOOKUP(База_КР_КК[[#This Row],[ИД штатной должности (S)]],'уровень защищенности'!$B$7:$F$1095,5,0),"не защищена")</f>
        <v>средний</v>
      </c>
      <c r="F1103" s="68">
        <v>500186</v>
      </c>
      <c r="G1103" s="74" t="s">
        <v>2392</v>
      </c>
      <c r="H1103" s="24">
        <f>INDEX('Списки данных'!$D$2:$D$1048576,MATCH(База_КР_КК[[#This Row],[Структурное подразделение]],'Списки данных'!$C$2:$C$1048576,0))</f>
        <v>28</v>
      </c>
      <c r="I1103" s="80" t="s">
        <v>164</v>
      </c>
      <c r="J1103" s="80" t="s">
        <v>207</v>
      </c>
      <c r="K1103" s="80" t="s">
        <v>208</v>
      </c>
      <c r="L1103" s="30" t="s">
        <v>191</v>
      </c>
      <c r="M1103" s="68">
        <v>7</v>
      </c>
      <c r="N1103" s="24" t="str">
        <f t="shared" si="18"/>
        <v>нет</v>
      </c>
      <c r="O1103" s="23"/>
      <c r="P1103" s="23"/>
      <c r="Q1103" s="106"/>
      <c r="R1103" s="37">
        <v>232</v>
      </c>
      <c r="S1103" s="38" t="s">
        <v>644</v>
      </c>
      <c r="T1103" s="37">
        <v>1311</v>
      </c>
      <c r="U1103" s="39" t="s">
        <v>1709</v>
      </c>
      <c r="V1103" s="69" t="s">
        <v>272</v>
      </c>
      <c r="W1103" s="69" t="s">
        <v>164</v>
      </c>
      <c r="X1103" s="106" t="s">
        <v>297</v>
      </c>
      <c r="Y1103" s="107" t="s">
        <v>12</v>
      </c>
      <c r="Z1103" s="67">
        <f>IF(База_КР_КК[[#This Row],[Таб.номер резервиста]]="-","-",IF(OR(База_КР_КК[[#This Row],[Уровень КК]]=2,База_КР_КК[[#This Row],[Уровень КК]]=3),IF(COUNTIFS($U$2:$U1103,$U1103,$F$2:$F1103,$F1103)=1,1,0),IF(COUNTIFS($U$2:$U1103,$U1103,$L$2:$L1103,$L1103)=1,1,0)))</f>
        <v>1</v>
      </c>
      <c r="AA11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3" s="106"/>
      <c r="AC1103" s="51"/>
      <c r="AD1103" s="106" t="s">
        <v>13</v>
      </c>
      <c r="AE1103" s="38" t="s">
        <v>333</v>
      </c>
    </row>
    <row r="1104" spans="1:31" s="108" customFormat="1" ht="18" customHeight="1" x14ac:dyDescent="0.25">
      <c r="A11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4" s="79">
        <v>4</v>
      </c>
      <c r="C1104" s="23">
        <v>44473</v>
      </c>
      <c r="D1104" s="67">
        <f>IF(COUNTIF($G$2:$G1104,$G1104)=1,1,0)</f>
        <v>1</v>
      </c>
      <c r="E1104" s="99" t="str">
        <f>IFERROR(VLOOKUP(База_КР_КК[[#This Row],[ИД штатной должности (S)]],'уровень защищенности'!$B$7:$F$1095,5,0),"не защищена")</f>
        <v>средний</v>
      </c>
      <c r="F1104" s="68">
        <v>500186</v>
      </c>
      <c r="G1104" s="74" t="s">
        <v>2393</v>
      </c>
      <c r="H1104" s="24">
        <f>INDEX('Списки данных'!$D$2:$D$1048576,MATCH(База_КР_КК[[#This Row],[Структурное подразделение]],'Списки данных'!$C$2:$C$1048576,0))</f>
        <v>28</v>
      </c>
      <c r="I1104" s="80" t="s">
        <v>164</v>
      </c>
      <c r="J1104" s="80" t="s">
        <v>207</v>
      </c>
      <c r="K1104" s="80" t="s">
        <v>208</v>
      </c>
      <c r="L1104" s="30" t="s">
        <v>191</v>
      </c>
      <c r="M1104" s="68">
        <v>7</v>
      </c>
      <c r="N1104" s="24" t="str">
        <f t="shared" si="18"/>
        <v>да</v>
      </c>
      <c r="O1104" s="23">
        <v>44840</v>
      </c>
      <c r="P1104" s="23"/>
      <c r="Q1104" s="106"/>
      <c r="R1104" s="37" t="s">
        <v>23</v>
      </c>
      <c r="S1104" s="37" t="s">
        <v>23</v>
      </c>
      <c r="T1104" s="37">
        <v>1307</v>
      </c>
      <c r="U1104" s="39" t="s">
        <v>1705</v>
      </c>
      <c r="V1104" s="69" t="s">
        <v>272</v>
      </c>
      <c r="W1104" s="69" t="s">
        <v>164</v>
      </c>
      <c r="X1104" s="106" t="s">
        <v>296</v>
      </c>
      <c r="Y1104" s="107" t="s">
        <v>12</v>
      </c>
      <c r="Z1104" s="67">
        <f>IF(База_КР_КК[[#This Row],[Таб.номер резервиста]]="-","-",IF(OR(База_КР_КК[[#This Row],[Уровень КК]]=2,База_КР_КК[[#This Row],[Уровень КК]]=3),IF(COUNTIFS($U$2:$U1104,$U1104,$F$2:$F1104,$F1104)=1,1,0),IF(COUNTIFS($U$2:$U1104,$U1104,$L$2:$L1104,$L1104)=1,1,0)))</f>
        <v>0</v>
      </c>
      <c r="AA11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4" s="106"/>
      <c r="AC1104" s="51"/>
      <c r="AD1104" s="106" t="s">
        <v>13</v>
      </c>
      <c r="AE1104" s="38" t="s">
        <v>333</v>
      </c>
    </row>
    <row r="1105" spans="1:31" s="108" customFormat="1" ht="18" customHeight="1" x14ac:dyDescent="0.25">
      <c r="A11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5" s="79">
        <v>4</v>
      </c>
      <c r="C1105" s="23">
        <v>44125</v>
      </c>
      <c r="D1105" s="67">
        <f>IF(COUNTIF($G$2:$G1105,$G1105)=1,1,0)</f>
        <v>0</v>
      </c>
      <c r="E1105" s="99" t="str">
        <f>IFERROR(VLOOKUP(База_КР_КК[[#This Row],[ИД штатной должности (S)]],'уровень защищенности'!$B$7:$F$1095,5,0),"не защищена")</f>
        <v>средний</v>
      </c>
      <c r="F1105" s="68">
        <v>500186</v>
      </c>
      <c r="G1105" s="74" t="s">
        <v>2393</v>
      </c>
      <c r="H1105" s="24">
        <f>INDEX('Списки данных'!$D$2:$D$1048576,MATCH(База_КР_КК[[#This Row],[Структурное подразделение]],'Списки данных'!$C$2:$C$1048576,0))</f>
        <v>28</v>
      </c>
      <c r="I1105" s="80" t="s">
        <v>164</v>
      </c>
      <c r="J1105" s="80" t="s">
        <v>207</v>
      </c>
      <c r="K1105" s="80" t="s">
        <v>208</v>
      </c>
      <c r="L1105" s="30" t="s">
        <v>191</v>
      </c>
      <c r="M1105" s="68">
        <v>7</v>
      </c>
      <c r="N1105" s="24" t="str">
        <f t="shared" si="18"/>
        <v>да</v>
      </c>
      <c r="O1105" s="23">
        <v>44840</v>
      </c>
      <c r="P1105" s="23"/>
      <c r="Q1105" s="106"/>
      <c r="R1105" s="37" t="s">
        <v>23</v>
      </c>
      <c r="S1105" s="37" t="s">
        <v>23</v>
      </c>
      <c r="T1105" s="37">
        <v>1310</v>
      </c>
      <c r="U1105" s="39" t="s">
        <v>1708</v>
      </c>
      <c r="V1105" s="69" t="s">
        <v>272</v>
      </c>
      <c r="W1105" s="69" t="s">
        <v>164</v>
      </c>
      <c r="X1105" s="106" t="s">
        <v>296</v>
      </c>
      <c r="Y1105" s="107" t="s">
        <v>12</v>
      </c>
      <c r="Z1105" s="67">
        <f>IF(База_КР_КК[[#This Row],[Таб.номер резервиста]]="-","-",IF(OR(База_КР_КК[[#This Row],[Уровень КК]]=2,База_КР_КК[[#This Row],[Уровень КК]]=3),IF(COUNTIFS($U$2:$U1105,$U1105,$F$2:$F1105,$F1105)=1,1,0),IF(COUNTIFS($U$2:$U1105,$U1105,$L$2:$L1105,$L1105)=1,1,0)))</f>
        <v>0</v>
      </c>
      <c r="AA11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5" s="106"/>
      <c r="AC1105" s="51"/>
      <c r="AD1105" s="106" t="s">
        <v>13</v>
      </c>
      <c r="AE1105" s="38" t="s">
        <v>333</v>
      </c>
    </row>
    <row r="1106" spans="1:31" s="108" customFormat="1" ht="18" customHeight="1" x14ac:dyDescent="0.25">
      <c r="A11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6" s="79">
        <v>4</v>
      </c>
      <c r="C1106" s="23">
        <v>44125</v>
      </c>
      <c r="D1106" s="67">
        <f>IF(COUNTIF($G$2:$G1106,$G1106)=1,1,0)</f>
        <v>0</v>
      </c>
      <c r="E1106" s="99" t="str">
        <f>IFERROR(VLOOKUP(База_КР_КК[[#This Row],[ИД штатной должности (S)]],'уровень защищенности'!$B$7:$F$1095,5,0),"не защищена")</f>
        <v>средний</v>
      </c>
      <c r="F1106" s="68">
        <v>500186</v>
      </c>
      <c r="G1106" s="74" t="s">
        <v>2393</v>
      </c>
      <c r="H1106" s="24">
        <f>INDEX('Списки данных'!$D$2:$D$1048576,MATCH(База_КР_КК[[#This Row],[Структурное подразделение]],'Списки данных'!$C$2:$C$1048576,0))</f>
        <v>28</v>
      </c>
      <c r="I1106" s="80" t="s">
        <v>164</v>
      </c>
      <c r="J1106" s="80" t="s">
        <v>207</v>
      </c>
      <c r="K1106" s="80" t="s">
        <v>208</v>
      </c>
      <c r="L1106" s="30" t="s">
        <v>191</v>
      </c>
      <c r="M1106" s="68">
        <v>7</v>
      </c>
      <c r="N1106" s="24" t="str">
        <f t="shared" si="18"/>
        <v>да</v>
      </c>
      <c r="O1106" s="23">
        <v>44840</v>
      </c>
      <c r="P1106" s="23"/>
      <c r="Q1106" s="106"/>
      <c r="R1106" s="37" t="s">
        <v>23</v>
      </c>
      <c r="S1106" s="37" t="s">
        <v>23</v>
      </c>
      <c r="T1106" s="37">
        <v>1311</v>
      </c>
      <c r="U1106" s="39" t="s">
        <v>1709</v>
      </c>
      <c r="V1106" s="69" t="s">
        <v>272</v>
      </c>
      <c r="W1106" s="69" t="s">
        <v>164</v>
      </c>
      <c r="X1106" s="106" t="s">
        <v>297</v>
      </c>
      <c r="Y1106" s="107" t="s">
        <v>12</v>
      </c>
      <c r="Z1106" s="67">
        <f>IF(База_КР_КК[[#This Row],[Таб.номер резервиста]]="-","-",IF(OR(База_КР_КК[[#This Row],[Уровень КК]]=2,База_КР_КК[[#This Row],[Уровень КК]]=3),IF(COUNTIFS($U$2:$U1106,$U1106,$F$2:$F1106,$F1106)=1,1,0),IF(COUNTIFS($U$2:$U1106,$U1106,$L$2:$L1106,$L1106)=1,1,0)))</f>
        <v>0</v>
      </c>
      <c r="AA11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6" s="106"/>
      <c r="AC1106" s="51"/>
      <c r="AD1106" s="106" t="s">
        <v>13</v>
      </c>
      <c r="AE1106" s="38" t="s">
        <v>333</v>
      </c>
    </row>
    <row r="1107" spans="1:31" s="108" customFormat="1" ht="18" customHeight="1" x14ac:dyDescent="0.25">
      <c r="A11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7" s="79">
        <v>4</v>
      </c>
      <c r="C1107" s="23">
        <v>44473</v>
      </c>
      <c r="D1107" s="67">
        <f>IF(COUNTIF($G$2:$G1107,$G1107)=1,1,0)</f>
        <v>1</v>
      </c>
      <c r="E1107" s="99" t="str">
        <f>IFERROR(VLOOKUP(База_КР_КК[[#This Row],[ИД штатной должности (S)]],'уровень защищенности'!$B$7:$F$1095,5,0),"не защищена")</f>
        <v>средний</v>
      </c>
      <c r="F1107" s="68">
        <v>500186</v>
      </c>
      <c r="G1107" s="74" t="s">
        <v>2394</v>
      </c>
      <c r="H1107" s="24">
        <f>INDEX('Списки данных'!$D$2:$D$1048576,MATCH(База_КР_КК[[#This Row],[Структурное подразделение]],'Списки данных'!$C$2:$C$1048576,0))</f>
        <v>28</v>
      </c>
      <c r="I1107" s="80" t="s">
        <v>164</v>
      </c>
      <c r="J1107" s="80" t="s">
        <v>207</v>
      </c>
      <c r="K1107" s="80" t="s">
        <v>208</v>
      </c>
      <c r="L1107" s="30" t="s">
        <v>191</v>
      </c>
      <c r="M1107" s="68">
        <v>7</v>
      </c>
      <c r="N1107" s="24" t="str">
        <f t="shared" si="18"/>
        <v>да</v>
      </c>
      <c r="O1107" s="23">
        <v>44840</v>
      </c>
      <c r="P1107" s="23"/>
      <c r="Q1107" s="106"/>
      <c r="R1107" s="37" t="s">
        <v>23</v>
      </c>
      <c r="S1107" s="37" t="s">
        <v>23</v>
      </c>
      <c r="T1107" s="37">
        <v>1307</v>
      </c>
      <c r="U1107" s="39" t="s">
        <v>1705</v>
      </c>
      <c r="V1107" s="69" t="s">
        <v>272</v>
      </c>
      <c r="W1107" s="69" t="s">
        <v>164</v>
      </c>
      <c r="X1107" s="106" t="s">
        <v>296</v>
      </c>
      <c r="Y1107" s="107" t="s">
        <v>12</v>
      </c>
      <c r="Z1107" s="67">
        <f>IF(База_КР_КК[[#This Row],[Таб.номер резервиста]]="-","-",IF(OR(База_КР_КК[[#This Row],[Уровень КК]]=2,База_КР_КК[[#This Row],[Уровень КК]]=3),IF(COUNTIFS($U$2:$U1107,$U1107,$F$2:$F1107,$F1107)=1,1,0),IF(COUNTIFS($U$2:$U1107,$U1107,$L$2:$L1107,$L1107)=1,1,0)))</f>
        <v>0</v>
      </c>
      <c r="AA11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7" s="106"/>
      <c r="AC1107" s="51"/>
      <c r="AD1107" s="106" t="s">
        <v>13</v>
      </c>
      <c r="AE1107" s="38" t="s">
        <v>333</v>
      </c>
    </row>
    <row r="1108" spans="1:31" s="108" customFormat="1" ht="18" customHeight="1" x14ac:dyDescent="0.25">
      <c r="A11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8" s="79">
        <v>4</v>
      </c>
      <c r="C1108" s="23">
        <v>44125</v>
      </c>
      <c r="D1108" s="67">
        <f>IF(COUNTIF($G$2:$G1108,$G1108)=1,1,0)</f>
        <v>0</v>
      </c>
      <c r="E1108" s="99" t="str">
        <f>IFERROR(VLOOKUP(База_КР_КК[[#This Row],[ИД штатной должности (S)]],'уровень защищенности'!$B$7:$F$1095,5,0),"не защищена")</f>
        <v>средний</v>
      </c>
      <c r="F1108" s="68">
        <v>500186</v>
      </c>
      <c r="G1108" s="74" t="s">
        <v>2394</v>
      </c>
      <c r="H1108" s="24">
        <f>INDEX('Списки данных'!$D$2:$D$1048576,MATCH(База_КР_КК[[#This Row],[Структурное подразделение]],'Списки данных'!$C$2:$C$1048576,0))</f>
        <v>28</v>
      </c>
      <c r="I1108" s="80" t="s">
        <v>164</v>
      </c>
      <c r="J1108" s="80" t="s">
        <v>207</v>
      </c>
      <c r="K1108" s="80" t="s">
        <v>208</v>
      </c>
      <c r="L1108" s="30" t="s">
        <v>191</v>
      </c>
      <c r="M1108" s="68">
        <v>7</v>
      </c>
      <c r="N1108" s="24" t="str">
        <f t="shared" si="18"/>
        <v>да</v>
      </c>
      <c r="O1108" s="23">
        <v>44840</v>
      </c>
      <c r="P1108" s="23"/>
      <c r="Q1108" s="106"/>
      <c r="R1108" s="37" t="s">
        <v>23</v>
      </c>
      <c r="S1108" s="37" t="s">
        <v>23</v>
      </c>
      <c r="T1108" s="37">
        <v>1310</v>
      </c>
      <c r="U1108" s="39" t="s">
        <v>1708</v>
      </c>
      <c r="V1108" s="69" t="s">
        <v>272</v>
      </c>
      <c r="W1108" s="69" t="s">
        <v>164</v>
      </c>
      <c r="X1108" s="106" t="s">
        <v>296</v>
      </c>
      <c r="Y1108" s="107" t="s">
        <v>12</v>
      </c>
      <c r="Z1108" s="67">
        <f>IF(База_КР_КК[[#This Row],[Таб.номер резервиста]]="-","-",IF(OR(База_КР_КК[[#This Row],[Уровень КК]]=2,База_КР_КК[[#This Row],[Уровень КК]]=3),IF(COUNTIFS($U$2:$U1108,$U1108,$F$2:$F1108,$F1108)=1,1,0),IF(COUNTIFS($U$2:$U1108,$U1108,$L$2:$L1108,$L1108)=1,1,0)))</f>
        <v>0</v>
      </c>
      <c r="AA11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8" s="106"/>
      <c r="AC1108" s="51"/>
      <c r="AD1108" s="106" t="s">
        <v>13</v>
      </c>
      <c r="AE1108" s="38" t="s">
        <v>333</v>
      </c>
    </row>
    <row r="1109" spans="1:31" s="108" customFormat="1" ht="18" customHeight="1" x14ac:dyDescent="0.25">
      <c r="A11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09" s="79">
        <v>4</v>
      </c>
      <c r="C1109" s="23">
        <v>44125</v>
      </c>
      <c r="D1109" s="67">
        <f>IF(COUNTIF($G$2:$G1109,$G1109)=1,1,0)</f>
        <v>0</v>
      </c>
      <c r="E1109" s="99" t="str">
        <f>IFERROR(VLOOKUP(База_КР_КК[[#This Row],[ИД штатной должности (S)]],'уровень защищенности'!$B$7:$F$1095,5,0),"не защищена")</f>
        <v>средний</v>
      </c>
      <c r="F1109" s="68">
        <v>500186</v>
      </c>
      <c r="G1109" s="74" t="s">
        <v>2394</v>
      </c>
      <c r="H1109" s="24">
        <f>INDEX('Списки данных'!$D$2:$D$1048576,MATCH(База_КР_КК[[#This Row],[Структурное подразделение]],'Списки данных'!$C$2:$C$1048576,0))</f>
        <v>28</v>
      </c>
      <c r="I1109" s="80" t="s">
        <v>164</v>
      </c>
      <c r="J1109" s="80" t="s">
        <v>207</v>
      </c>
      <c r="K1109" s="80" t="s">
        <v>208</v>
      </c>
      <c r="L1109" s="30" t="s">
        <v>191</v>
      </c>
      <c r="M1109" s="68">
        <v>7</v>
      </c>
      <c r="N1109" s="24" t="str">
        <f t="shared" si="18"/>
        <v>да</v>
      </c>
      <c r="O1109" s="23">
        <v>44840</v>
      </c>
      <c r="P1109" s="23"/>
      <c r="Q1109" s="106"/>
      <c r="R1109" s="37" t="s">
        <v>23</v>
      </c>
      <c r="S1109" s="37" t="s">
        <v>23</v>
      </c>
      <c r="T1109" s="37">
        <v>1311</v>
      </c>
      <c r="U1109" s="39" t="s">
        <v>1709</v>
      </c>
      <c r="V1109" s="69" t="s">
        <v>272</v>
      </c>
      <c r="W1109" s="69" t="s">
        <v>164</v>
      </c>
      <c r="X1109" s="106" t="s">
        <v>297</v>
      </c>
      <c r="Y1109" s="107" t="s">
        <v>12</v>
      </c>
      <c r="Z1109" s="67">
        <f>IF(База_КР_КК[[#This Row],[Таб.номер резервиста]]="-","-",IF(OR(База_КР_КК[[#This Row],[Уровень КК]]=2,База_КР_КК[[#This Row],[Уровень КК]]=3),IF(COUNTIFS($U$2:$U1109,$U1109,$F$2:$F1109,$F1109)=1,1,0),IF(COUNTIFS($U$2:$U1109,$U1109,$L$2:$L1109,$L1109)=1,1,0)))</f>
        <v>0</v>
      </c>
      <c r="AA11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09" s="106"/>
      <c r="AC1109" s="51"/>
      <c r="AD1109" s="106" t="s">
        <v>13</v>
      </c>
      <c r="AE1109" s="38" t="s">
        <v>333</v>
      </c>
    </row>
    <row r="1110" spans="1:31" ht="18" customHeight="1" x14ac:dyDescent="0.25">
      <c r="A11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0" s="79">
        <v>4</v>
      </c>
      <c r="C1110" s="23">
        <v>44873</v>
      </c>
      <c r="D1110" s="67">
        <f>IF(COUNTIF($G$2:$G1110,$G1110)=1,1,0)</f>
        <v>1</v>
      </c>
      <c r="E1110" s="67" t="str">
        <f>IFERROR(VLOOKUP(База_КР_КК[[#This Row],[ИД штатной должности (S)]],'уровень защищенности'!$B$7:$F$1095,5,0),"не защищена")</f>
        <v>высокий</v>
      </c>
      <c r="F1110" s="68">
        <v>500213</v>
      </c>
      <c r="G1110" s="74" t="s">
        <v>2395</v>
      </c>
      <c r="H1110" s="181">
        <f>INDEX('Списки данных'!$D$2:$D$1048576,MATCH(База_КР_КК[[#This Row],[Структурное подразделение]],'Списки данных'!$C$2:$C$1048576,0))</f>
        <v>28</v>
      </c>
      <c r="I1110" s="80" t="s">
        <v>164</v>
      </c>
      <c r="J1110" s="80" t="s">
        <v>207</v>
      </c>
      <c r="K1110" s="80" t="s">
        <v>21</v>
      </c>
      <c r="L1110" s="30" t="s">
        <v>191</v>
      </c>
      <c r="M1110" s="68">
        <v>7</v>
      </c>
      <c r="N1110" s="181" t="str">
        <f t="shared" si="18"/>
        <v>нет</v>
      </c>
      <c r="O1110" s="23"/>
      <c r="P1110" s="23"/>
      <c r="Q1110" s="106"/>
      <c r="R1110" s="37">
        <v>233</v>
      </c>
      <c r="S1110" s="39" t="s">
        <v>645</v>
      </c>
      <c r="T1110" s="37">
        <v>1312</v>
      </c>
      <c r="U1110" s="38" t="s">
        <v>1710</v>
      </c>
      <c r="V1110" s="69" t="s">
        <v>272</v>
      </c>
      <c r="W1110" s="69" t="s">
        <v>164</v>
      </c>
      <c r="X1110" s="106" t="s">
        <v>296</v>
      </c>
      <c r="Y1110" s="107" t="s">
        <v>12</v>
      </c>
      <c r="Z1110" s="67">
        <f>IF(База_КР_КК[[#This Row],[Таб.номер резервиста]]="-","-",IF(OR(База_КР_КК[[#This Row],[Уровень КК]]=2,База_КР_КК[[#This Row],[Уровень КК]]=3),IF(COUNTIFS($U$2:$U1110,$U1110,$F$2:$F1110,$F1110)=1,1,0),IF(COUNTIFS($U$2:$U1110,$U1110,$L$2:$L1110,$L1110)=1,1,0)))</f>
        <v>1</v>
      </c>
      <c r="AA11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0" s="106"/>
      <c r="AC1110" s="51"/>
      <c r="AD1110" s="106" t="s">
        <v>15</v>
      </c>
      <c r="AE1110" s="38" t="s">
        <v>333</v>
      </c>
    </row>
    <row r="1111" spans="1:31" ht="18" customHeight="1" x14ac:dyDescent="0.25">
      <c r="A11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1" s="79">
        <v>4</v>
      </c>
      <c r="C1111" s="23">
        <v>44873</v>
      </c>
      <c r="D1111" s="67">
        <f>IF(COUNTIF($G$2:$G1111,$G1111)=1,1,0)</f>
        <v>0</v>
      </c>
      <c r="E1111" s="67" t="str">
        <f>IFERROR(VLOOKUP(База_КР_КК[[#This Row],[ИД штатной должности (S)]],'уровень защищенности'!$B$7:$F$1095,5,0),"не защищена")</f>
        <v>высокий</v>
      </c>
      <c r="F1111" s="68">
        <v>500213</v>
      </c>
      <c r="G1111" s="74" t="s">
        <v>2395</v>
      </c>
      <c r="H1111" s="181">
        <f>INDEX('Списки данных'!$D$2:$D$1048576,MATCH(База_КР_КК[[#This Row],[Структурное подразделение]],'Списки данных'!$C$2:$C$1048576,0))</f>
        <v>28</v>
      </c>
      <c r="I1111" s="80" t="s">
        <v>164</v>
      </c>
      <c r="J1111" s="80" t="s">
        <v>207</v>
      </c>
      <c r="K1111" s="80" t="s">
        <v>21</v>
      </c>
      <c r="L1111" s="30" t="s">
        <v>191</v>
      </c>
      <c r="M1111" s="68">
        <v>7</v>
      </c>
      <c r="N1111" s="181" t="str">
        <f t="shared" si="18"/>
        <v>нет</v>
      </c>
      <c r="O1111" s="23"/>
      <c r="P1111" s="23"/>
      <c r="Q1111" s="106"/>
      <c r="R1111" s="37">
        <v>233</v>
      </c>
      <c r="S1111" s="39" t="s">
        <v>645</v>
      </c>
      <c r="T1111" s="37">
        <v>1313</v>
      </c>
      <c r="U1111" s="38" t="s">
        <v>1711</v>
      </c>
      <c r="V1111" s="69" t="s">
        <v>272</v>
      </c>
      <c r="W1111" s="69" t="s">
        <v>164</v>
      </c>
      <c r="X1111" s="106" t="s">
        <v>295</v>
      </c>
      <c r="Y1111" s="107" t="s">
        <v>12</v>
      </c>
      <c r="Z1111" s="67">
        <f>IF(База_КР_КК[[#This Row],[Таб.номер резервиста]]="-","-",IF(OR(База_КР_КК[[#This Row],[Уровень КК]]=2,База_КР_КК[[#This Row],[Уровень КК]]=3),IF(COUNTIFS($U$2:$U1111,$U1111,$F$2:$F1111,$F1111)=1,1,0),IF(COUNTIFS($U$2:$U1111,$U1111,$L$2:$L1111,$L1111)=1,1,0)))</f>
        <v>1</v>
      </c>
      <c r="AA11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1" s="106"/>
      <c r="AC1111" s="51"/>
      <c r="AD1111" s="106" t="s">
        <v>15</v>
      </c>
      <c r="AE1111" s="38" t="s">
        <v>333</v>
      </c>
    </row>
    <row r="1112" spans="1:31" ht="18" customHeight="1" x14ac:dyDescent="0.25">
      <c r="A11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2" s="79">
        <v>4</v>
      </c>
      <c r="C1112" s="23">
        <v>44873</v>
      </c>
      <c r="D1112" s="67">
        <f>IF(COUNTIF($G$2:$G1112,$G1112)=1,1,0)</f>
        <v>0</v>
      </c>
      <c r="E1112" s="67" t="str">
        <f>IFERROR(VLOOKUP(База_КР_КК[[#This Row],[ИД штатной должности (S)]],'уровень защищенности'!$B$7:$F$1095,5,0),"не защищена")</f>
        <v>высокий</v>
      </c>
      <c r="F1112" s="68">
        <v>500213</v>
      </c>
      <c r="G1112" s="74" t="s">
        <v>2395</v>
      </c>
      <c r="H1112" s="181">
        <f>INDEX('Списки данных'!$D$2:$D$1048576,MATCH(База_КР_КК[[#This Row],[Структурное подразделение]],'Списки данных'!$C$2:$C$1048576,0))</f>
        <v>28</v>
      </c>
      <c r="I1112" s="80" t="s">
        <v>164</v>
      </c>
      <c r="J1112" s="80" t="s">
        <v>207</v>
      </c>
      <c r="K1112" s="80" t="s">
        <v>21</v>
      </c>
      <c r="L1112" s="30" t="s">
        <v>191</v>
      </c>
      <c r="M1112" s="68">
        <v>7</v>
      </c>
      <c r="N1112" s="181" t="str">
        <f t="shared" si="18"/>
        <v>нет</v>
      </c>
      <c r="O1112" s="23"/>
      <c r="P1112" s="23"/>
      <c r="Q1112" s="106"/>
      <c r="R1112" s="37">
        <v>233</v>
      </c>
      <c r="S1112" s="39" t="s">
        <v>645</v>
      </c>
      <c r="T1112" s="37">
        <v>1314</v>
      </c>
      <c r="U1112" s="38" t="s">
        <v>1712</v>
      </c>
      <c r="V1112" s="69" t="s">
        <v>272</v>
      </c>
      <c r="W1112" s="69" t="s">
        <v>164</v>
      </c>
      <c r="X1112" s="106" t="s">
        <v>296</v>
      </c>
      <c r="Y1112" s="107" t="s">
        <v>12</v>
      </c>
      <c r="Z1112" s="67">
        <f>IF(База_КР_КК[[#This Row],[Таб.номер резервиста]]="-","-",IF(OR(База_КР_КК[[#This Row],[Уровень КК]]=2,База_КР_КК[[#This Row],[Уровень КК]]=3),IF(COUNTIFS($U$2:$U1112,$U1112,$F$2:$F1112,$F1112)=1,1,0),IF(COUNTIFS($U$2:$U1112,$U1112,$L$2:$L1112,$L1112)=1,1,0)))</f>
        <v>1</v>
      </c>
      <c r="AA11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2" s="106"/>
      <c r="AC1112" s="51"/>
      <c r="AD1112" s="106" t="s">
        <v>15</v>
      </c>
      <c r="AE1112" s="38" t="s">
        <v>333</v>
      </c>
    </row>
    <row r="1113" spans="1:31" ht="18" customHeight="1" x14ac:dyDescent="0.25">
      <c r="A11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3" s="79">
        <v>4</v>
      </c>
      <c r="C1113" s="23">
        <v>44873</v>
      </c>
      <c r="D1113" s="67">
        <f>IF(COUNTIF($G$2:$G1113,$G1113)=1,1,0)</f>
        <v>0</v>
      </c>
      <c r="E1113" s="67" t="str">
        <f>IFERROR(VLOOKUP(База_КР_КК[[#This Row],[ИД штатной должности (S)]],'уровень защищенности'!$B$7:$F$1095,5,0),"не защищена")</f>
        <v>высокий</v>
      </c>
      <c r="F1113" s="68">
        <v>500213</v>
      </c>
      <c r="G1113" s="74" t="s">
        <v>2395</v>
      </c>
      <c r="H1113" s="181">
        <f>INDEX('Списки данных'!$D$2:$D$1048576,MATCH(База_КР_КК[[#This Row],[Структурное подразделение]],'Списки данных'!$C$2:$C$1048576,0))</f>
        <v>28</v>
      </c>
      <c r="I1113" s="80" t="s">
        <v>164</v>
      </c>
      <c r="J1113" s="80" t="s">
        <v>207</v>
      </c>
      <c r="K1113" s="80" t="s">
        <v>21</v>
      </c>
      <c r="L1113" s="30" t="s">
        <v>191</v>
      </c>
      <c r="M1113" s="68">
        <v>7</v>
      </c>
      <c r="N1113" s="181" t="str">
        <f t="shared" si="18"/>
        <v>нет</v>
      </c>
      <c r="O1113" s="23"/>
      <c r="P1113" s="23"/>
      <c r="Q1113" s="106"/>
      <c r="R1113" s="37">
        <v>233</v>
      </c>
      <c r="S1113" s="39" t="s">
        <v>645</v>
      </c>
      <c r="T1113" s="37">
        <v>1315</v>
      </c>
      <c r="U1113" s="38" t="s">
        <v>1429</v>
      </c>
      <c r="V1113" s="69" t="s">
        <v>272</v>
      </c>
      <c r="W1113" s="69" t="s">
        <v>164</v>
      </c>
      <c r="X1113" s="106" t="s">
        <v>295</v>
      </c>
      <c r="Y1113" s="107" t="s">
        <v>12</v>
      </c>
      <c r="Z1113" s="67">
        <f>IF(База_КР_КК[[#This Row],[Таб.номер резервиста]]="-","-",IF(OR(База_КР_КК[[#This Row],[Уровень КК]]=2,База_КР_КК[[#This Row],[Уровень КК]]=3),IF(COUNTIFS($U$2:$U1113,$U1113,$F$2:$F1113,$F1113)=1,1,0),IF(COUNTIFS($U$2:$U1113,$U1113,$L$2:$L1113,$L1113)=1,1,0)))</f>
        <v>1</v>
      </c>
      <c r="AA11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3" s="106"/>
      <c r="AC1113" s="51"/>
      <c r="AD1113" s="106" t="s">
        <v>15</v>
      </c>
      <c r="AE1113" s="38" t="s">
        <v>333</v>
      </c>
    </row>
    <row r="1114" spans="1:31" ht="18" customHeight="1" x14ac:dyDescent="0.25">
      <c r="A11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4" s="79">
        <v>4</v>
      </c>
      <c r="C1114" s="23">
        <v>44125</v>
      </c>
      <c r="D1114" s="67">
        <f>IF(COUNTIF($G$2:$G1114,$G1114)=1,1,0)</f>
        <v>0</v>
      </c>
      <c r="E1114" s="67" t="str">
        <f>IFERROR(VLOOKUP(База_КР_КК[[#This Row],[ИД штатной должности (S)]],'уровень защищенности'!$B$7:$F$1095,5,0),"не защищена")</f>
        <v>высокий</v>
      </c>
      <c r="F1114" s="68">
        <v>500213</v>
      </c>
      <c r="G1114" s="74" t="s">
        <v>2395</v>
      </c>
      <c r="H1114" s="181">
        <f>INDEX('Списки данных'!$D$2:$D$1048576,MATCH(База_КР_КК[[#This Row],[Структурное подразделение]],'Списки данных'!$C$2:$C$1048576,0))</f>
        <v>28</v>
      </c>
      <c r="I1114" s="80" t="s">
        <v>164</v>
      </c>
      <c r="J1114" s="80" t="s">
        <v>207</v>
      </c>
      <c r="K1114" s="80" t="s">
        <v>21</v>
      </c>
      <c r="L1114" s="30" t="s">
        <v>191</v>
      </c>
      <c r="M1114" s="68">
        <v>7</v>
      </c>
      <c r="N1114" s="181" t="str">
        <f t="shared" si="18"/>
        <v>нет</v>
      </c>
      <c r="O1114" s="23"/>
      <c r="P1114" s="23"/>
      <c r="Q1114" s="106"/>
      <c r="R1114" s="37">
        <v>233</v>
      </c>
      <c r="S1114" s="38" t="s">
        <v>645</v>
      </c>
      <c r="T1114" s="37">
        <v>244</v>
      </c>
      <c r="U1114" s="39" t="s">
        <v>656</v>
      </c>
      <c r="V1114" s="69" t="s">
        <v>272</v>
      </c>
      <c r="W1114" s="69" t="s">
        <v>164</v>
      </c>
      <c r="X1114" s="106" t="s">
        <v>297</v>
      </c>
      <c r="Y1114" s="107" t="s">
        <v>18</v>
      </c>
      <c r="Z1114" s="67">
        <f>IF(База_КР_КК[[#This Row],[Таб.номер резервиста]]="-","-",IF(OR(База_КР_КК[[#This Row],[Уровень КК]]=2,База_КР_КК[[#This Row],[Уровень КК]]=3),IF(COUNTIFS($U$2:$U1114,$U1114,$F$2:$F1114,$F1114)=1,1,0),IF(COUNTIFS($U$2:$U1114,$U1114,$L$2:$L1114,$L1114)=1,1,0)))</f>
        <v>1</v>
      </c>
      <c r="AA11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4" s="106" t="s">
        <v>37</v>
      </c>
      <c r="AC1114" s="51">
        <v>44726</v>
      </c>
      <c r="AD1114" s="106" t="s">
        <v>15</v>
      </c>
      <c r="AE1114" s="38" t="s">
        <v>318</v>
      </c>
    </row>
    <row r="1115" spans="1:31" ht="18" customHeight="1" x14ac:dyDescent="0.25">
      <c r="A11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5" s="79">
        <v>4</v>
      </c>
      <c r="C1115" s="23">
        <v>44873</v>
      </c>
      <c r="D1115" s="67">
        <f>IF(COUNTIF($G$2:$G1115,$G1115)=1,1,0)</f>
        <v>1</v>
      </c>
      <c r="E1115" s="67" t="str">
        <f>IFERROR(VLOOKUP(База_КР_КК[[#This Row],[ИД штатной должности (S)]],'уровень защищенности'!$B$7:$F$1095,5,0),"не защищена")</f>
        <v>высокий</v>
      </c>
      <c r="F1115" s="68">
        <v>500213</v>
      </c>
      <c r="G1115" s="74" t="s">
        <v>2396</v>
      </c>
      <c r="H1115" s="181">
        <f>INDEX('Списки данных'!$D$2:$D$1048576,MATCH(База_КР_КК[[#This Row],[Структурное подразделение]],'Списки данных'!$C$2:$C$1048576,0))</f>
        <v>28</v>
      </c>
      <c r="I1115" s="80" t="s">
        <v>164</v>
      </c>
      <c r="J1115" s="80" t="s">
        <v>207</v>
      </c>
      <c r="K1115" s="80" t="s">
        <v>21</v>
      </c>
      <c r="L1115" s="30" t="s">
        <v>191</v>
      </c>
      <c r="M1115" s="68">
        <v>7</v>
      </c>
      <c r="N1115" s="181" t="str">
        <f t="shared" si="18"/>
        <v>нет</v>
      </c>
      <c r="O1115" s="23"/>
      <c r="P1115" s="23"/>
      <c r="Q1115" s="106"/>
      <c r="R1115" s="37">
        <v>234</v>
      </c>
      <c r="S1115" s="39" t="s">
        <v>646</v>
      </c>
      <c r="T1115" s="37">
        <v>1312</v>
      </c>
      <c r="U1115" s="38" t="s">
        <v>1710</v>
      </c>
      <c r="V1115" s="69" t="s">
        <v>272</v>
      </c>
      <c r="W1115" s="69" t="s">
        <v>164</v>
      </c>
      <c r="X1115" s="106" t="s">
        <v>296</v>
      </c>
      <c r="Y1115" s="107" t="s">
        <v>12</v>
      </c>
      <c r="Z1115" s="67">
        <f>IF(База_КР_КК[[#This Row],[Таб.номер резервиста]]="-","-",IF(OR(База_КР_КК[[#This Row],[Уровень КК]]=2,База_КР_КК[[#This Row],[Уровень КК]]=3),IF(COUNTIFS($U$2:$U1115,$U1115,$F$2:$F1115,$F1115)=1,1,0),IF(COUNTIFS($U$2:$U1115,$U1115,$L$2:$L1115,$L1115)=1,1,0)))</f>
        <v>0</v>
      </c>
      <c r="AA11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5" s="106"/>
      <c r="AC1115" s="51"/>
      <c r="AD1115" s="106" t="s">
        <v>15</v>
      </c>
      <c r="AE1115" s="38" t="s">
        <v>333</v>
      </c>
    </row>
    <row r="1116" spans="1:31" ht="18" customHeight="1" x14ac:dyDescent="0.25">
      <c r="A11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6" s="79">
        <v>4</v>
      </c>
      <c r="C1116" s="23">
        <v>44873</v>
      </c>
      <c r="D1116" s="67">
        <f>IF(COUNTIF($G$2:$G1116,$G1116)=1,1,0)</f>
        <v>0</v>
      </c>
      <c r="E1116" s="67" t="str">
        <f>IFERROR(VLOOKUP(База_КР_КК[[#This Row],[ИД штатной должности (S)]],'уровень защищенности'!$B$7:$F$1095,5,0),"не защищена")</f>
        <v>высокий</v>
      </c>
      <c r="F1116" s="68">
        <v>500213</v>
      </c>
      <c r="G1116" s="74" t="s">
        <v>2396</v>
      </c>
      <c r="H1116" s="181">
        <f>INDEX('Списки данных'!$D$2:$D$1048576,MATCH(База_КР_КК[[#This Row],[Структурное подразделение]],'Списки данных'!$C$2:$C$1048576,0))</f>
        <v>28</v>
      </c>
      <c r="I1116" s="80" t="s">
        <v>164</v>
      </c>
      <c r="J1116" s="80" t="s">
        <v>207</v>
      </c>
      <c r="K1116" s="80" t="s">
        <v>21</v>
      </c>
      <c r="L1116" s="30" t="s">
        <v>191</v>
      </c>
      <c r="M1116" s="68">
        <v>7</v>
      </c>
      <c r="N1116" s="181" t="str">
        <f t="shared" si="18"/>
        <v>нет</v>
      </c>
      <c r="O1116" s="23"/>
      <c r="P1116" s="23"/>
      <c r="Q1116" s="106"/>
      <c r="R1116" s="37">
        <v>234</v>
      </c>
      <c r="S1116" s="39" t="s">
        <v>646</v>
      </c>
      <c r="T1116" s="37">
        <v>1313</v>
      </c>
      <c r="U1116" s="38" t="s">
        <v>1711</v>
      </c>
      <c r="V1116" s="69" t="s">
        <v>272</v>
      </c>
      <c r="W1116" s="69" t="s">
        <v>164</v>
      </c>
      <c r="X1116" s="106" t="s">
        <v>295</v>
      </c>
      <c r="Y1116" s="107" t="s">
        <v>12</v>
      </c>
      <c r="Z1116" s="67">
        <f>IF(База_КР_КК[[#This Row],[Таб.номер резервиста]]="-","-",IF(OR(База_КР_КК[[#This Row],[Уровень КК]]=2,База_КР_КК[[#This Row],[Уровень КК]]=3),IF(COUNTIFS($U$2:$U1116,$U1116,$F$2:$F1116,$F1116)=1,1,0),IF(COUNTIFS($U$2:$U1116,$U1116,$L$2:$L1116,$L1116)=1,1,0)))</f>
        <v>0</v>
      </c>
      <c r="AA11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6" s="106"/>
      <c r="AC1116" s="51"/>
      <c r="AD1116" s="106" t="s">
        <v>15</v>
      </c>
      <c r="AE1116" s="38" t="s">
        <v>333</v>
      </c>
    </row>
    <row r="1117" spans="1:31" ht="18" customHeight="1" x14ac:dyDescent="0.25">
      <c r="A11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7" s="79">
        <v>4</v>
      </c>
      <c r="C1117" s="23">
        <v>44873</v>
      </c>
      <c r="D1117" s="67">
        <f>IF(COUNTIF($G$2:$G1117,$G1117)=1,1,0)</f>
        <v>0</v>
      </c>
      <c r="E1117" s="67" t="str">
        <f>IFERROR(VLOOKUP(База_КР_КК[[#This Row],[ИД штатной должности (S)]],'уровень защищенности'!$B$7:$F$1095,5,0),"не защищена")</f>
        <v>высокий</v>
      </c>
      <c r="F1117" s="68">
        <v>500213</v>
      </c>
      <c r="G1117" s="74" t="s">
        <v>2396</v>
      </c>
      <c r="H1117" s="181">
        <f>INDEX('Списки данных'!$D$2:$D$1048576,MATCH(База_КР_КК[[#This Row],[Структурное подразделение]],'Списки данных'!$C$2:$C$1048576,0))</f>
        <v>28</v>
      </c>
      <c r="I1117" s="80" t="s">
        <v>164</v>
      </c>
      <c r="J1117" s="80" t="s">
        <v>207</v>
      </c>
      <c r="K1117" s="80" t="s">
        <v>21</v>
      </c>
      <c r="L1117" s="30" t="s">
        <v>191</v>
      </c>
      <c r="M1117" s="68">
        <v>7</v>
      </c>
      <c r="N1117" s="181" t="str">
        <f t="shared" si="18"/>
        <v>нет</v>
      </c>
      <c r="O1117" s="23"/>
      <c r="P1117" s="23"/>
      <c r="Q1117" s="106"/>
      <c r="R1117" s="37">
        <v>234</v>
      </c>
      <c r="S1117" s="39" t="s">
        <v>646</v>
      </c>
      <c r="T1117" s="37">
        <v>1314</v>
      </c>
      <c r="U1117" s="38" t="s">
        <v>1712</v>
      </c>
      <c r="V1117" s="69" t="s">
        <v>272</v>
      </c>
      <c r="W1117" s="69" t="s">
        <v>164</v>
      </c>
      <c r="X1117" s="106" t="s">
        <v>296</v>
      </c>
      <c r="Y1117" s="107" t="s">
        <v>12</v>
      </c>
      <c r="Z1117" s="67">
        <f>IF(База_КР_КК[[#This Row],[Таб.номер резервиста]]="-","-",IF(OR(База_КР_КК[[#This Row],[Уровень КК]]=2,База_КР_КК[[#This Row],[Уровень КК]]=3),IF(COUNTIFS($U$2:$U1117,$U1117,$F$2:$F1117,$F1117)=1,1,0),IF(COUNTIFS($U$2:$U1117,$U1117,$L$2:$L1117,$L1117)=1,1,0)))</f>
        <v>0</v>
      </c>
      <c r="AA11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7" s="106"/>
      <c r="AC1117" s="51"/>
      <c r="AD1117" s="106" t="s">
        <v>15</v>
      </c>
      <c r="AE1117" s="38" t="s">
        <v>333</v>
      </c>
    </row>
    <row r="1118" spans="1:31" ht="18" customHeight="1" x14ac:dyDescent="0.25">
      <c r="A11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8" s="79">
        <v>4</v>
      </c>
      <c r="C1118" s="23">
        <v>44873</v>
      </c>
      <c r="D1118" s="67">
        <f>IF(COUNTIF($G$2:$G1118,$G1118)=1,1,0)</f>
        <v>0</v>
      </c>
      <c r="E1118" s="67" t="str">
        <f>IFERROR(VLOOKUP(База_КР_КК[[#This Row],[ИД штатной должности (S)]],'уровень защищенности'!$B$7:$F$1095,5,0),"не защищена")</f>
        <v>высокий</v>
      </c>
      <c r="F1118" s="68">
        <v>500213</v>
      </c>
      <c r="G1118" s="74" t="s">
        <v>2396</v>
      </c>
      <c r="H1118" s="181">
        <f>INDEX('Списки данных'!$D$2:$D$1048576,MATCH(База_КР_КК[[#This Row],[Структурное подразделение]],'Списки данных'!$C$2:$C$1048576,0))</f>
        <v>28</v>
      </c>
      <c r="I1118" s="80" t="s">
        <v>164</v>
      </c>
      <c r="J1118" s="80" t="s">
        <v>207</v>
      </c>
      <c r="K1118" s="80" t="s">
        <v>21</v>
      </c>
      <c r="L1118" s="30" t="s">
        <v>191</v>
      </c>
      <c r="M1118" s="68">
        <v>7</v>
      </c>
      <c r="N1118" s="181" t="str">
        <f t="shared" si="18"/>
        <v>нет</v>
      </c>
      <c r="O1118" s="23"/>
      <c r="P1118" s="23"/>
      <c r="Q1118" s="106"/>
      <c r="R1118" s="37">
        <v>234</v>
      </c>
      <c r="S1118" s="39" t="s">
        <v>646</v>
      </c>
      <c r="T1118" s="37">
        <v>1315</v>
      </c>
      <c r="U1118" s="38" t="s">
        <v>1429</v>
      </c>
      <c r="V1118" s="93" t="s">
        <v>272</v>
      </c>
      <c r="W1118" s="69" t="s">
        <v>164</v>
      </c>
      <c r="X1118" s="106" t="s">
        <v>295</v>
      </c>
      <c r="Y1118" s="107" t="s">
        <v>12</v>
      </c>
      <c r="Z1118" s="67">
        <f>IF(База_КР_КК[[#This Row],[Таб.номер резервиста]]="-","-",IF(OR(База_КР_КК[[#This Row],[Уровень КК]]=2,База_КР_КК[[#This Row],[Уровень КК]]=3),IF(COUNTIFS($U$2:$U1118,$U1118,$F$2:$F1118,$F1118)=1,1,0),IF(COUNTIFS($U$2:$U1118,$U1118,$L$2:$L1118,$L1118)=1,1,0)))</f>
        <v>0</v>
      </c>
      <c r="AA11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8" s="106"/>
      <c r="AC1118" s="51"/>
      <c r="AD1118" s="106" t="s">
        <v>15</v>
      </c>
      <c r="AE1118" s="38" t="s">
        <v>333</v>
      </c>
    </row>
    <row r="1119" spans="1:31" ht="18" customHeight="1" x14ac:dyDescent="0.25">
      <c r="A11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19" s="79">
        <v>4</v>
      </c>
      <c r="C1119" s="23">
        <v>44125</v>
      </c>
      <c r="D1119" s="67">
        <f>IF(COUNTIF($G$2:$G1119,$G1119)=1,1,0)</f>
        <v>0</v>
      </c>
      <c r="E1119" s="67" t="str">
        <f>IFERROR(VLOOKUP(База_КР_КК[[#This Row],[ИД штатной должности (S)]],'уровень защищенности'!$B$7:$F$1095,5,0),"не защищена")</f>
        <v>высокий</v>
      </c>
      <c r="F1119" s="68">
        <v>500213</v>
      </c>
      <c r="G1119" s="74" t="s">
        <v>2396</v>
      </c>
      <c r="H1119" s="181">
        <f>INDEX('Списки данных'!$D$2:$D$1048576,MATCH(База_КР_КК[[#This Row],[Структурное подразделение]],'Списки данных'!$C$2:$C$1048576,0))</f>
        <v>28</v>
      </c>
      <c r="I1119" s="80" t="s">
        <v>164</v>
      </c>
      <c r="J1119" s="80" t="s">
        <v>207</v>
      </c>
      <c r="K1119" s="80" t="s">
        <v>21</v>
      </c>
      <c r="L1119" s="30" t="s">
        <v>191</v>
      </c>
      <c r="M1119" s="68">
        <v>7</v>
      </c>
      <c r="N1119" s="181" t="str">
        <f t="shared" si="18"/>
        <v>нет</v>
      </c>
      <c r="O1119" s="23"/>
      <c r="P1119" s="23"/>
      <c r="Q1119" s="106"/>
      <c r="R1119" s="37">
        <v>234</v>
      </c>
      <c r="S1119" s="38" t="s">
        <v>646</v>
      </c>
      <c r="T1119" s="37">
        <v>244</v>
      </c>
      <c r="U1119" s="39" t="s">
        <v>656</v>
      </c>
      <c r="V1119" s="93" t="s">
        <v>272</v>
      </c>
      <c r="W1119" s="69" t="s">
        <v>164</v>
      </c>
      <c r="X1119" s="106" t="s">
        <v>297</v>
      </c>
      <c r="Y1119" s="107" t="s">
        <v>18</v>
      </c>
      <c r="Z1119" s="67">
        <f>IF(База_КР_КК[[#This Row],[Таб.номер резервиста]]="-","-",IF(OR(База_КР_КК[[#This Row],[Уровень КК]]=2,База_КР_КК[[#This Row],[Уровень КК]]=3),IF(COUNTIFS($U$2:$U1119,$U1119,$F$2:$F1119,$F1119)=1,1,0),IF(COUNTIFS($U$2:$U1119,$U1119,$L$2:$L1119,$L1119)=1,1,0)))</f>
        <v>0</v>
      </c>
      <c r="AA11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19" s="106" t="s">
        <v>37</v>
      </c>
      <c r="AC1119" s="51">
        <v>44726</v>
      </c>
      <c r="AD1119" s="106" t="s">
        <v>15</v>
      </c>
      <c r="AE1119" s="38" t="s">
        <v>318</v>
      </c>
    </row>
    <row r="1120" spans="1:31" ht="18" customHeight="1" x14ac:dyDescent="0.25">
      <c r="A11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0" s="79">
        <v>4</v>
      </c>
      <c r="C1120" s="23">
        <v>44873</v>
      </c>
      <c r="D1120" s="67">
        <f>IF(COUNTIF($G$2:$G1120,$G1120)=1,1,0)</f>
        <v>1</v>
      </c>
      <c r="E1120" s="67" t="str">
        <f>IFERROR(VLOOKUP(База_КР_КК[[#This Row],[ИД штатной должности (S)]],'уровень защищенности'!$B$7:$F$1095,5,0),"не защищена")</f>
        <v>высокий</v>
      </c>
      <c r="F1120" s="68">
        <v>500213</v>
      </c>
      <c r="G1120" s="74" t="s">
        <v>2397</v>
      </c>
      <c r="H1120" s="181">
        <f>INDEX('Списки данных'!$D$2:$D$1048576,MATCH(База_КР_КК[[#This Row],[Структурное подразделение]],'Списки данных'!$C$2:$C$1048576,0))</f>
        <v>28</v>
      </c>
      <c r="I1120" s="80" t="s">
        <v>164</v>
      </c>
      <c r="J1120" s="80" t="s">
        <v>207</v>
      </c>
      <c r="K1120" s="80" t="s">
        <v>21</v>
      </c>
      <c r="L1120" s="30" t="s">
        <v>191</v>
      </c>
      <c r="M1120" s="68">
        <v>7</v>
      </c>
      <c r="N1120" s="181" t="str">
        <f t="shared" si="18"/>
        <v>нет</v>
      </c>
      <c r="O1120" s="23"/>
      <c r="P1120" s="23"/>
      <c r="Q1120" s="106"/>
      <c r="R1120" s="37">
        <v>235</v>
      </c>
      <c r="S1120" s="39" t="s">
        <v>647</v>
      </c>
      <c r="T1120" s="37">
        <v>1312</v>
      </c>
      <c r="U1120" s="38" t="s">
        <v>1710</v>
      </c>
      <c r="V1120" s="93" t="s">
        <v>272</v>
      </c>
      <c r="W1120" s="69" t="s">
        <v>164</v>
      </c>
      <c r="X1120" s="106" t="s">
        <v>296</v>
      </c>
      <c r="Y1120" s="107" t="s">
        <v>12</v>
      </c>
      <c r="Z1120" s="67">
        <f>IF(База_КР_КК[[#This Row],[Таб.номер резервиста]]="-","-",IF(OR(База_КР_КК[[#This Row],[Уровень КК]]=2,База_КР_КК[[#This Row],[Уровень КК]]=3),IF(COUNTIFS($U$2:$U1120,$U1120,$F$2:$F1120,$F1120)=1,1,0),IF(COUNTIFS($U$2:$U1120,$U1120,$L$2:$L1120,$L1120)=1,1,0)))</f>
        <v>0</v>
      </c>
      <c r="AA11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0" s="106"/>
      <c r="AC1120" s="51"/>
      <c r="AD1120" s="106" t="s">
        <v>15</v>
      </c>
      <c r="AE1120" s="38" t="s">
        <v>333</v>
      </c>
    </row>
    <row r="1121" spans="1:31" ht="18" customHeight="1" x14ac:dyDescent="0.25">
      <c r="A11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1" s="79">
        <v>4</v>
      </c>
      <c r="C1121" s="23">
        <v>44873</v>
      </c>
      <c r="D1121" s="67">
        <f>IF(COUNTIF($G$2:$G1121,$G1121)=1,1,0)</f>
        <v>0</v>
      </c>
      <c r="E1121" s="67" t="str">
        <f>IFERROR(VLOOKUP(База_КР_КК[[#This Row],[ИД штатной должности (S)]],'уровень защищенности'!$B$7:$F$1095,5,0),"не защищена")</f>
        <v>высокий</v>
      </c>
      <c r="F1121" s="68">
        <v>500213</v>
      </c>
      <c r="G1121" s="74" t="s">
        <v>2397</v>
      </c>
      <c r="H1121" s="181">
        <f>INDEX('Списки данных'!$D$2:$D$1048576,MATCH(База_КР_КК[[#This Row],[Структурное подразделение]],'Списки данных'!$C$2:$C$1048576,0))</f>
        <v>28</v>
      </c>
      <c r="I1121" s="80" t="s">
        <v>164</v>
      </c>
      <c r="J1121" s="80" t="s">
        <v>207</v>
      </c>
      <c r="K1121" s="80" t="s">
        <v>21</v>
      </c>
      <c r="L1121" s="30" t="s">
        <v>191</v>
      </c>
      <c r="M1121" s="68">
        <v>7</v>
      </c>
      <c r="N1121" s="181" t="str">
        <f t="shared" si="18"/>
        <v>нет</v>
      </c>
      <c r="O1121" s="23"/>
      <c r="P1121" s="23"/>
      <c r="Q1121" s="106"/>
      <c r="R1121" s="37">
        <v>235</v>
      </c>
      <c r="S1121" s="39" t="s">
        <v>647</v>
      </c>
      <c r="T1121" s="37">
        <v>1313</v>
      </c>
      <c r="U1121" s="38" t="s">
        <v>1711</v>
      </c>
      <c r="V1121" s="69" t="s">
        <v>272</v>
      </c>
      <c r="W1121" s="69" t="s">
        <v>164</v>
      </c>
      <c r="X1121" s="106" t="s">
        <v>295</v>
      </c>
      <c r="Y1121" s="107" t="s">
        <v>12</v>
      </c>
      <c r="Z1121" s="67">
        <f>IF(База_КР_КК[[#This Row],[Таб.номер резервиста]]="-","-",IF(OR(База_КР_КК[[#This Row],[Уровень КК]]=2,База_КР_КК[[#This Row],[Уровень КК]]=3),IF(COUNTIFS($U$2:$U1121,$U1121,$F$2:$F1121,$F1121)=1,1,0),IF(COUNTIFS($U$2:$U1121,$U1121,$L$2:$L1121,$L1121)=1,1,0)))</f>
        <v>0</v>
      </c>
      <c r="AA11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1" s="106"/>
      <c r="AC1121" s="51"/>
      <c r="AD1121" s="106" t="s">
        <v>15</v>
      </c>
      <c r="AE1121" s="38" t="s">
        <v>333</v>
      </c>
    </row>
    <row r="1122" spans="1:31" ht="18" customHeight="1" x14ac:dyDescent="0.25">
      <c r="A11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2" s="79">
        <v>4</v>
      </c>
      <c r="C1122" s="23">
        <v>44873</v>
      </c>
      <c r="D1122" s="67">
        <f>IF(COUNTIF($G$2:$G1122,$G1122)=1,1,0)</f>
        <v>0</v>
      </c>
      <c r="E1122" s="67" t="str">
        <f>IFERROR(VLOOKUP(База_КР_КК[[#This Row],[ИД штатной должности (S)]],'уровень защищенности'!$B$7:$F$1095,5,0),"не защищена")</f>
        <v>высокий</v>
      </c>
      <c r="F1122" s="68">
        <v>500213</v>
      </c>
      <c r="G1122" s="74" t="s">
        <v>2397</v>
      </c>
      <c r="H1122" s="181">
        <f>INDEX('Списки данных'!$D$2:$D$1048576,MATCH(База_КР_КК[[#This Row],[Структурное подразделение]],'Списки данных'!$C$2:$C$1048576,0))</f>
        <v>28</v>
      </c>
      <c r="I1122" s="80" t="s">
        <v>164</v>
      </c>
      <c r="J1122" s="80" t="s">
        <v>207</v>
      </c>
      <c r="K1122" s="80" t="s">
        <v>21</v>
      </c>
      <c r="L1122" s="30" t="s">
        <v>191</v>
      </c>
      <c r="M1122" s="68">
        <v>7</v>
      </c>
      <c r="N1122" s="181" t="str">
        <f t="shared" si="18"/>
        <v>нет</v>
      </c>
      <c r="O1122" s="23"/>
      <c r="P1122" s="23"/>
      <c r="Q1122" s="106"/>
      <c r="R1122" s="37">
        <v>235</v>
      </c>
      <c r="S1122" s="39" t="s">
        <v>647</v>
      </c>
      <c r="T1122" s="37">
        <v>1314</v>
      </c>
      <c r="U1122" s="38" t="s">
        <v>1712</v>
      </c>
      <c r="V1122" s="69" t="s">
        <v>272</v>
      </c>
      <c r="W1122" s="69" t="s">
        <v>164</v>
      </c>
      <c r="X1122" s="106" t="s">
        <v>296</v>
      </c>
      <c r="Y1122" s="107" t="s">
        <v>12</v>
      </c>
      <c r="Z1122" s="67">
        <f>IF(База_КР_КК[[#This Row],[Таб.номер резервиста]]="-","-",IF(OR(База_КР_КК[[#This Row],[Уровень КК]]=2,База_КР_КК[[#This Row],[Уровень КК]]=3),IF(COUNTIFS($U$2:$U1122,$U1122,$F$2:$F1122,$F1122)=1,1,0),IF(COUNTIFS($U$2:$U1122,$U1122,$L$2:$L1122,$L1122)=1,1,0)))</f>
        <v>0</v>
      </c>
      <c r="AA11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2" s="106"/>
      <c r="AC1122" s="51"/>
      <c r="AD1122" s="106" t="s">
        <v>15</v>
      </c>
      <c r="AE1122" s="38" t="s">
        <v>333</v>
      </c>
    </row>
    <row r="1123" spans="1:31" ht="18" customHeight="1" x14ac:dyDescent="0.25">
      <c r="A11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3" s="79">
        <v>4</v>
      </c>
      <c r="C1123" s="23">
        <v>44873</v>
      </c>
      <c r="D1123" s="67">
        <f>IF(COUNTIF($G$2:$G1123,$G1123)=1,1,0)</f>
        <v>0</v>
      </c>
      <c r="E1123" s="67" t="str">
        <f>IFERROR(VLOOKUP(База_КР_КК[[#This Row],[ИД штатной должности (S)]],'уровень защищенности'!$B$7:$F$1095,5,0),"не защищена")</f>
        <v>высокий</v>
      </c>
      <c r="F1123" s="68">
        <v>500213</v>
      </c>
      <c r="G1123" s="74" t="s">
        <v>2397</v>
      </c>
      <c r="H1123" s="181">
        <f>INDEX('Списки данных'!$D$2:$D$1048576,MATCH(База_КР_КК[[#This Row],[Структурное подразделение]],'Списки данных'!$C$2:$C$1048576,0))</f>
        <v>28</v>
      </c>
      <c r="I1123" s="80" t="s">
        <v>164</v>
      </c>
      <c r="J1123" s="80" t="s">
        <v>207</v>
      </c>
      <c r="K1123" s="80" t="s">
        <v>21</v>
      </c>
      <c r="L1123" s="30" t="s">
        <v>191</v>
      </c>
      <c r="M1123" s="68">
        <v>7</v>
      </c>
      <c r="N1123" s="181" t="str">
        <f t="shared" si="18"/>
        <v>нет</v>
      </c>
      <c r="O1123" s="23"/>
      <c r="P1123" s="23"/>
      <c r="Q1123" s="106"/>
      <c r="R1123" s="37">
        <v>235</v>
      </c>
      <c r="S1123" s="39" t="s">
        <v>647</v>
      </c>
      <c r="T1123" s="37">
        <v>1315</v>
      </c>
      <c r="U1123" s="38" t="s">
        <v>1429</v>
      </c>
      <c r="V1123" s="69" t="s">
        <v>272</v>
      </c>
      <c r="W1123" s="69" t="s">
        <v>164</v>
      </c>
      <c r="X1123" s="106" t="s">
        <v>295</v>
      </c>
      <c r="Y1123" s="107" t="s">
        <v>12</v>
      </c>
      <c r="Z1123" s="67">
        <f>IF(База_КР_КК[[#This Row],[Таб.номер резервиста]]="-","-",IF(OR(База_КР_КК[[#This Row],[Уровень КК]]=2,База_КР_КК[[#This Row],[Уровень КК]]=3),IF(COUNTIFS($U$2:$U1123,$U1123,$F$2:$F1123,$F1123)=1,1,0),IF(COUNTIFS($U$2:$U1123,$U1123,$L$2:$L1123,$L1123)=1,1,0)))</f>
        <v>0</v>
      </c>
      <c r="AA11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3" s="106"/>
      <c r="AC1123" s="51"/>
      <c r="AD1123" s="106" t="s">
        <v>15</v>
      </c>
      <c r="AE1123" s="38" t="s">
        <v>333</v>
      </c>
    </row>
    <row r="1124" spans="1:31" ht="18" customHeight="1" x14ac:dyDescent="0.25">
      <c r="A11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4" s="79">
        <v>4</v>
      </c>
      <c r="C1124" s="23">
        <v>44125</v>
      </c>
      <c r="D1124" s="67">
        <f>IF(COUNTIF($G$2:$G1124,$G1124)=1,1,0)</f>
        <v>0</v>
      </c>
      <c r="E1124" s="67" t="str">
        <f>IFERROR(VLOOKUP(База_КР_КК[[#This Row],[ИД штатной должности (S)]],'уровень защищенности'!$B$7:$F$1095,5,0),"не защищена")</f>
        <v>высокий</v>
      </c>
      <c r="F1124" s="68">
        <v>500213</v>
      </c>
      <c r="G1124" s="74" t="s">
        <v>2397</v>
      </c>
      <c r="H1124" s="181">
        <f>INDEX('Списки данных'!$D$2:$D$1048576,MATCH(База_КР_КК[[#This Row],[Структурное подразделение]],'Списки данных'!$C$2:$C$1048576,0))</f>
        <v>28</v>
      </c>
      <c r="I1124" s="80" t="s">
        <v>164</v>
      </c>
      <c r="J1124" s="80" t="s">
        <v>207</v>
      </c>
      <c r="K1124" s="80" t="s">
        <v>21</v>
      </c>
      <c r="L1124" s="30" t="s">
        <v>191</v>
      </c>
      <c r="M1124" s="68">
        <v>7</v>
      </c>
      <c r="N1124" s="181" t="str">
        <f t="shared" si="18"/>
        <v>нет</v>
      </c>
      <c r="O1124" s="23"/>
      <c r="P1124" s="23"/>
      <c r="Q1124" s="106"/>
      <c r="R1124" s="37">
        <v>235</v>
      </c>
      <c r="S1124" s="38" t="s">
        <v>647</v>
      </c>
      <c r="T1124" s="37">
        <v>244</v>
      </c>
      <c r="U1124" s="39" t="s">
        <v>656</v>
      </c>
      <c r="V1124" s="69" t="s">
        <v>272</v>
      </c>
      <c r="W1124" s="69" t="s">
        <v>164</v>
      </c>
      <c r="X1124" s="106" t="s">
        <v>297</v>
      </c>
      <c r="Y1124" s="107" t="s">
        <v>18</v>
      </c>
      <c r="Z1124" s="67">
        <f>IF(База_КР_КК[[#This Row],[Таб.номер резервиста]]="-","-",IF(OR(База_КР_КК[[#This Row],[Уровень КК]]=2,База_КР_КК[[#This Row],[Уровень КК]]=3),IF(COUNTIFS($U$2:$U1124,$U1124,$F$2:$F1124,$F1124)=1,1,0),IF(COUNTIFS($U$2:$U1124,$U1124,$L$2:$L1124,$L1124)=1,1,0)))</f>
        <v>0</v>
      </c>
      <c r="AA11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4" s="106" t="s">
        <v>37</v>
      </c>
      <c r="AC1124" s="51">
        <v>44726</v>
      </c>
      <c r="AD1124" s="106" t="s">
        <v>15</v>
      </c>
      <c r="AE1124" s="38" t="s">
        <v>318</v>
      </c>
    </row>
    <row r="1125" spans="1:31" ht="18" customHeight="1" x14ac:dyDescent="0.25">
      <c r="A11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5" s="79">
        <v>4</v>
      </c>
      <c r="C1125" s="23">
        <v>44873</v>
      </c>
      <c r="D1125" s="67">
        <f>IF(COUNTIF($G$2:$G1125,$G1125)=1,1,0)</f>
        <v>1</v>
      </c>
      <c r="E1125" s="67" t="str">
        <f>IFERROR(VLOOKUP(База_КР_КК[[#This Row],[ИД штатной должности (S)]],'уровень защищенности'!$B$7:$F$1095,5,0),"не защищена")</f>
        <v>высокий</v>
      </c>
      <c r="F1125" s="68">
        <v>500213</v>
      </c>
      <c r="G1125" s="74" t="s">
        <v>2398</v>
      </c>
      <c r="H1125" s="181">
        <f>INDEX('Списки данных'!$D$2:$D$1048576,MATCH(База_КР_КК[[#This Row],[Структурное подразделение]],'Списки данных'!$C$2:$C$1048576,0))</f>
        <v>28</v>
      </c>
      <c r="I1125" s="80" t="s">
        <v>164</v>
      </c>
      <c r="J1125" s="80" t="s">
        <v>207</v>
      </c>
      <c r="K1125" s="80" t="s">
        <v>21</v>
      </c>
      <c r="L1125" s="30" t="s">
        <v>191</v>
      </c>
      <c r="M1125" s="68">
        <v>7</v>
      </c>
      <c r="N1125" s="181" t="str">
        <f t="shared" si="18"/>
        <v>нет</v>
      </c>
      <c r="O1125" s="23"/>
      <c r="P1125" s="23"/>
      <c r="Q1125" s="106"/>
      <c r="R1125" s="37">
        <v>236</v>
      </c>
      <c r="S1125" s="39" t="s">
        <v>648</v>
      </c>
      <c r="T1125" s="37">
        <v>1312</v>
      </c>
      <c r="U1125" s="38" t="s">
        <v>1710</v>
      </c>
      <c r="V1125" s="69" t="s">
        <v>272</v>
      </c>
      <c r="W1125" s="69" t="s">
        <v>164</v>
      </c>
      <c r="X1125" s="106" t="s">
        <v>296</v>
      </c>
      <c r="Y1125" s="107" t="s">
        <v>12</v>
      </c>
      <c r="Z1125" s="67">
        <f>IF(База_КР_КК[[#This Row],[Таб.номер резервиста]]="-","-",IF(OR(База_КР_КК[[#This Row],[Уровень КК]]=2,База_КР_КК[[#This Row],[Уровень КК]]=3),IF(COUNTIFS($U$2:$U1125,$U1125,$F$2:$F1125,$F1125)=1,1,0),IF(COUNTIFS($U$2:$U1125,$U1125,$L$2:$L1125,$L1125)=1,1,0)))</f>
        <v>0</v>
      </c>
      <c r="AA11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5" s="106"/>
      <c r="AC1125" s="51"/>
      <c r="AD1125" s="106" t="s">
        <v>15</v>
      </c>
      <c r="AE1125" s="38" t="s">
        <v>333</v>
      </c>
    </row>
    <row r="1126" spans="1:31" ht="18" customHeight="1" x14ac:dyDescent="0.25">
      <c r="A11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6" s="79">
        <v>4</v>
      </c>
      <c r="C1126" s="23">
        <v>44873</v>
      </c>
      <c r="D1126" s="67">
        <f>IF(COUNTIF($G$2:$G1126,$G1126)=1,1,0)</f>
        <v>0</v>
      </c>
      <c r="E1126" s="67" t="str">
        <f>IFERROR(VLOOKUP(База_КР_КК[[#This Row],[ИД штатной должности (S)]],'уровень защищенности'!$B$7:$F$1095,5,0),"не защищена")</f>
        <v>высокий</v>
      </c>
      <c r="F1126" s="68">
        <v>500213</v>
      </c>
      <c r="G1126" s="74" t="s">
        <v>2398</v>
      </c>
      <c r="H1126" s="181">
        <f>INDEX('Списки данных'!$D$2:$D$1048576,MATCH(База_КР_КК[[#This Row],[Структурное подразделение]],'Списки данных'!$C$2:$C$1048576,0))</f>
        <v>28</v>
      </c>
      <c r="I1126" s="80" t="s">
        <v>164</v>
      </c>
      <c r="J1126" s="80" t="s">
        <v>207</v>
      </c>
      <c r="K1126" s="80" t="s">
        <v>21</v>
      </c>
      <c r="L1126" s="30" t="s">
        <v>191</v>
      </c>
      <c r="M1126" s="68">
        <v>7</v>
      </c>
      <c r="N1126" s="181" t="str">
        <f t="shared" si="18"/>
        <v>нет</v>
      </c>
      <c r="O1126" s="23"/>
      <c r="P1126" s="23"/>
      <c r="Q1126" s="106"/>
      <c r="R1126" s="37">
        <v>236</v>
      </c>
      <c r="S1126" s="39" t="s">
        <v>648</v>
      </c>
      <c r="T1126" s="37">
        <v>1313</v>
      </c>
      <c r="U1126" s="38" t="s">
        <v>1711</v>
      </c>
      <c r="V1126" s="69" t="s">
        <v>272</v>
      </c>
      <c r="W1126" s="69" t="s">
        <v>164</v>
      </c>
      <c r="X1126" s="106" t="s">
        <v>295</v>
      </c>
      <c r="Y1126" s="107" t="s">
        <v>12</v>
      </c>
      <c r="Z1126" s="67">
        <f>IF(База_КР_КК[[#This Row],[Таб.номер резервиста]]="-","-",IF(OR(База_КР_КК[[#This Row],[Уровень КК]]=2,База_КР_КК[[#This Row],[Уровень КК]]=3),IF(COUNTIFS($U$2:$U1126,$U1126,$F$2:$F1126,$F1126)=1,1,0),IF(COUNTIFS($U$2:$U1126,$U1126,$L$2:$L1126,$L1126)=1,1,0)))</f>
        <v>0</v>
      </c>
      <c r="AA11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6" s="106"/>
      <c r="AC1126" s="51"/>
      <c r="AD1126" s="106" t="s">
        <v>15</v>
      </c>
      <c r="AE1126" s="38" t="s">
        <v>333</v>
      </c>
    </row>
    <row r="1127" spans="1:31" ht="18" customHeight="1" x14ac:dyDescent="0.25">
      <c r="A11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7" s="79">
        <v>4</v>
      </c>
      <c r="C1127" s="23">
        <v>44873</v>
      </c>
      <c r="D1127" s="67">
        <f>IF(COUNTIF($G$2:$G1127,$G1127)=1,1,0)</f>
        <v>0</v>
      </c>
      <c r="E1127" s="67" t="str">
        <f>IFERROR(VLOOKUP(База_КР_КК[[#This Row],[ИД штатной должности (S)]],'уровень защищенности'!$B$7:$F$1095,5,0),"не защищена")</f>
        <v>высокий</v>
      </c>
      <c r="F1127" s="68">
        <v>500213</v>
      </c>
      <c r="G1127" s="74" t="s">
        <v>2398</v>
      </c>
      <c r="H1127" s="181">
        <f>INDEX('Списки данных'!$D$2:$D$1048576,MATCH(База_КР_КК[[#This Row],[Структурное подразделение]],'Списки данных'!$C$2:$C$1048576,0))</f>
        <v>28</v>
      </c>
      <c r="I1127" s="80" t="s">
        <v>164</v>
      </c>
      <c r="J1127" s="80" t="s">
        <v>207</v>
      </c>
      <c r="K1127" s="80" t="s">
        <v>21</v>
      </c>
      <c r="L1127" s="30" t="s">
        <v>191</v>
      </c>
      <c r="M1127" s="68">
        <v>7</v>
      </c>
      <c r="N1127" s="181" t="str">
        <f t="shared" si="18"/>
        <v>нет</v>
      </c>
      <c r="O1127" s="23"/>
      <c r="P1127" s="23"/>
      <c r="Q1127" s="106"/>
      <c r="R1127" s="37">
        <v>236</v>
      </c>
      <c r="S1127" s="39" t="s">
        <v>648</v>
      </c>
      <c r="T1127" s="37">
        <v>1314</v>
      </c>
      <c r="U1127" s="38" t="s">
        <v>1712</v>
      </c>
      <c r="V1127" s="69" t="s">
        <v>272</v>
      </c>
      <c r="W1127" s="69" t="s">
        <v>164</v>
      </c>
      <c r="X1127" s="106" t="s">
        <v>296</v>
      </c>
      <c r="Y1127" s="107" t="s">
        <v>12</v>
      </c>
      <c r="Z1127" s="67">
        <f>IF(База_КР_КК[[#This Row],[Таб.номер резервиста]]="-","-",IF(OR(База_КР_КК[[#This Row],[Уровень КК]]=2,База_КР_КК[[#This Row],[Уровень КК]]=3),IF(COUNTIFS($U$2:$U1127,$U1127,$F$2:$F1127,$F1127)=1,1,0),IF(COUNTIFS($U$2:$U1127,$U1127,$L$2:$L1127,$L1127)=1,1,0)))</f>
        <v>0</v>
      </c>
      <c r="AA11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7" s="106"/>
      <c r="AC1127" s="51"/>
      <c r="AD1127" s="106" t="s">
        <v>15</v>
      </c>
      <c r="AE1127" s="38" t="s">
        <v>333</v>
      </c>
    </row>
    <row r="1128" spans="1:31" ht="18" customHeight="1" x14ac:dyDescent="0.25">
      <c r="A11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8" s="79">
        <v>4</v>
      </c>
      <c r="C1128" s="23">
        <v>44873</v>
      </c>
      <c r="D1128" s="67">
        <f>IF(COUNTIF($G$2:$G1128,$G1128)=1,1,0)</f>
        <v>0</v>
      </c>
      <c r="E1128" s="67" t="str">
        <f>IFERROR(VLOOKUP(База_КР_КК[[#This Row],[ИД штатной должности (S)]],'уровень защищенности'!$B$7:$F$1095,5,0),"не защищена")</f>
        <v>высокий</v>
      </c>
      <c r="F1128" s="68">
        <v>500213</v>
      </c>
      <c r="G1128" s="74" t="s">
        <v>2398</v>
      </c>
      <c r="H1128" s="181">
        <f>INDEX('Списки данных'!$D$2:$D$1048576,MATCH(База_КР_КК[[#This Row],[Структурное подразделение]],'Списки данных'!$C$2:$C$1048576,0))</f>
        <v>28</v>
      </c>
      <c r="I1128" s="80" t="s">
        <v>164</v>
      </c>
      <c r="J1128" s="80" t="s">
        <v>207</v>
      </c>
      <c r="K1128" s="80" t="s">
        <v>21</v>
      </c>
      <c r="L1128" s="30" t="s">
        <v>191</v>
      </c>
      <c r="M1128" s="68">
        <v>7</v>
      </c>
      <c r="N1128" s="181" t="str">
        <f t="shared" si="18"/>
        <v>нет</v>
      </c>
      <c r="O1128" s="23"/>
      <c r="P1128" s="23"/>
      <c r="Q1128" s="106"/>
      <c r="R1128" s="37">
        <v>236</v>
      </c>
      <c r="S1128" s="39" t="s">
        <v>648</v>
      </c>
      <c r="T1128" s="37">
        <v>1315</v>
      </c>
      <c r="U1128" s="38" t="s">
        <v>1429</v>
      </c>
      <c r="V1128" s="69" t="s">
        <v>272</v>
      </c>
      <c r="W1128" s="69" t="s">
        <v>164</v>
      </c>
      <c r="X1128" s="106" t="s">
        <v>295</v>
      </c>
      <c r="Y1128" s="107" t="s">
        <v>12</v>
      </c>
      <c r="Z1128" s="67">
        <f>IF(База_КР_КК[[#This Row],[Таб.номер резервиста]]="-","-",IF(OR(База_КР_КК[[#This Row],[Уровень КК]]=2,База_КР_КК[[#This Row],[Уровень КК]]=3),IF(COUNTIFS($U$2:$U1128,$U1128,$F$2:$F1128,$F1128)=1,1,0),IF(COUNTIFS($U$2:$U1128,$U1128,$L$2:$L1128,$L1128)=1,1,0)))</f>
        <v>0</v>
      </c>
      <c r="AA11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8" s="106"/>
      <c r="AC1128" s="51"/>
      <c r="AD1128" s="106" t="s">
        <v>15</v>
      </c>
      <c r="AE1128" s="38" t="s">
        <v>333</v>
      </c>
    </row>
    <row r="1129" spans="1:31" ht="18" customHeight="1" x14ac:dyDescent="0.25">
      <c r="A11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29" s="79">
        <v>4</v>
      </c>
      <c r="C1129" s="23">
        <v>44125</v>
      </c>
      <c r="D1129" s="67">
        <f>IF(COUNTIF($G$2:$G1129,$G1129)=1,1,0)</f>
        <v>0</v>
      </c>
      <c r="E1129" s="67" t="str">
        <f>IFERROR(VLOOKUP(База_КР_КК[[#This Row],[ИД штатной должности (S)]],'уровень защищенности'!$B$7:$F$1095,5,0),"не защищена")</f>
        <v>высокий</v>
      </c>
      <c r="F1129" s="68">
        <v>500213</v>
      </c>
      <c r="G1129" s="74" t="s">
        <v>2398</v>
      </c>
      <c r="H1129" s="181">
        <f>INDEX('Списки данных'!$D$2:$D$1048576,MATCH(База_КР_КК[[#This Row],[Структурное подразделение]],'Списки данных'!$C$2:$C$1048576,0))</f>
        <v>28</v>
      </c>
      <c r="I1129" s="80" t="s">
        <v>164</v>
      </c>
      <c r="J1129" s="80" t="s">
        <v>207</v>
      </c>
      <c r="K1129" s="80" t="s">
        <v>21</v>
      </c>
      <c r="L1129" s="30" t="s">
        <v>191</v>
      </c>
      <c r="M1129" s="68">
        <v>7</v>
      </c>
      <c r="N1129" s="181" t="str">
        <f t="shared" si="18"/>
        <v>нет</v>
      </c>
      <c r="O1129" s="23"/>
      <c r="P1129" s="23"/>
      <c r="Q1129" s="106"/>
      <c r="R1129" s="37">
        <v>236</v>
      </c>
      <c r="S1129" s="38" t="s">
        <v>648</v>
      </c>
      <c r="T1129" s="37">
        <v>244</v>
      </c>
      <c r="U1129" s="39" t="s">
        <v>656</v>
      </c>
      <c r="V1129" s="69" t="s">
        <v>272</v>
      </c>
      <c r="W1129" s="69" t="s">
        <v>164</v>
      </c>
      <c r="X1129" s="106" t="s">
        <v>297</v>
      </c>
      <c r="Y1129" s="107" t="s">
        <v>18</v>
      </c>
      <c r="Z1129" s="67">
        <f>IF(База_КР_КК[[#This Row],[Таб.номер резервиста]]="-","-",IF(OR(База_КР_КК[[#This Row],[Уровень КК]]=2,База_КР_КК[[#This Row],[Уровень КК]]=3),IF(COUNTIFS($U$2:$U1129,$U1129,$F$2:$F1129,$F1129)=1,1,0),IF(COUNTIFS($U$2:$U1129,$U1129,$L$2:$L1129,$L1129)=1,1,0)))</f>
        <v>0</v>
      </c>
      <c r="AA11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29" s="106" t="s">
        <v>37</v>
      </c>
      <c r="AC1129" s="51">
        <v>44726</v>
      </c>
      <c r="AD1129" s="106" t="s">
        <v>15</v>
      </c>
      <c r="AE1129" s="38" t="s">
        <v>318</v>
      </c>
    </row>
    <row r="1130" spans="1:31" ht="18" customHeight="1" x14ac:dyDescent="0.25">
      <c r="A11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0" s="79">
        <v>4</v>
      </c>
      <c r="C1130" s="23">
        <v>44873</v>
      </c>
      <c r="D1130" s="67">
        <f>IF(COUNTIF($G$2:$G1130,$G1130)=1,1,0)</f>
        <v>1</v>
      </c>
      <c r="E1130" s="67" t="str">
        <f>IFERROR(VLOOKUP(База_КР_КК[[#This Row],[ИД штатной должности (S)]],'уровень защищенности'!$B$7:$F$1095,5,0),"не защищена")</f>
        <v>низкий</v>
      </c>
      <c r="F1130" s="68">
        <v>500216</v>
      </c>
      <c r="G1130" s="74" t="s">
        <v>2399</v>
      </c>
      <c r="H1130" s="181">
        <f>INDEX('Списки данных'!$D$2:$D$1048576,MATCH(База_КР_КК[[#This Row],[Структурное подразделение]],'Списки данных'!$C$2:$C$1048576,0))</f>
        <v>28</v>
      </c>
      <c r="I1130" s="80" t="s">
        <v>164</v>
      </c>
      <c r="J1130" s="80" t="s">
        <v>207</v>
      </c>
      <c r="K1130" s="80" t="s">
        <v>21</v>
      </c>
      <c r="L1130" s="30" t="s">
        <v>192</v>
      </c>
      <c r="M1130" s="68">
        <v>7</v>
      </c>
      <c r="N1130" s="181" t="str">
        <f t="shared" si="18"/>
        <v>да</v>
      </c>
      <c r="O1130" s="23">
        <v>44682</v>
      </c>
      <c r="P1130" s="23">
        <v>44910</v>
      </c>
      <c r="Q1130" s="106" t="s">
        <v>66</v>
      </c>
      <c r="R1130" s="37">
        <v>237</v>
      </c>
      <c r="S1130" s="38" t="s">
        <v>649</v>
      </c>
      <c r="T1130" s="37">
        <v>237</v>
      </c>
      <c r="U1130" s="38" t="s">
        <v>649</v>
      </c>
      <c r="V1130" s="69" t="s">
        <v>191</v>
      </c>
      <c r="W1130" s="69" t="s">
        <v>164</v>
      </c>
      <c r="X1130" s="106" t="s">
        <v>295</v>
      </c>
      <c r="Y1130" s="107" t="s">
        <v>14</v>
      </c>
      <c r="Z1130" s="67">
        <f>IF(База_КР_КК[[#This Row],[Таб.номер резервиста]]="-","-",IF(OR(База_КР_КК[[#This Row],[Уровень КК]]=2,База_КР_КК[[#This Row],[Уровень КК]]=3),IF(COUNTIFS($U$2:$U1130,$U1130,$F$2:$F1130,$F1130)=1,1,0),IF(COUNTIFS($U$2:$U1130,$U1130,$L$2:$L1130,$L1130)=1,1,0)))</f>
        <v>1</v>
      </c>
      <c r="AA11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130" s="106" t="s">
        <v>24</v>
      </c>
      <c r="AC1130" s="51">
        <v>44910</v>
      </c>
      <c r="AD1130" s="106" t="s">
        <v>15</v>
      </c>
      <c r="AE1130" s="38" t="s">
        <v>333</v>
      </c>
    </row>
    <row r="1131" spans="1:31" ht="18" customHeight="1" x14ac:dyDescent="0.25">
      <c r="A11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1" s="79">
        <v>4</v>
      </c>
      <c r="C1131" s="23">
        <v>44873</v>
      </c>
      <c r="D1131" s="67">
        <f>IF(COUNTIF($G$2:$G1131,$G1131)=1,1,0)</f>
        <v>1</v>
      </c>
      <c r="E1131" s="67" t="str">
        <f>IFERROR(VLOOKUP(База_КР_КК[[#This Row],[ИД штатной должности (S)]],'уровень защищенности'!$B$7:$F$1095,5,0),"не защищена")</f>
        <v>низкий</v>
      </c>
      <c r="F1131" s="68">
        <v>500217</v>
      </c>
      <c r="G1131" s="74" t="s">
        <v>2400</v>
      </c>
      <c r="H1131" s="181">
        <f>INDEX('Списки данных'!$D$2:$D$1048576,MATCH(База_КР_КК[[#This Row],[Структурное подразделение]],'Списки данных'!$C$2:$C$1048576,0))</f>
        <v>28</v>
      </c>
      <c r="I1131" s="80" t="s">
        <v>164</v>
      </c>
      <c r="J1131" s="80" t="s">
        <v>207</v>
      </c>
      <c r="K1131" s="80" t="s">
        <v>208</v>
      </c>
      <c r="L1131" s="30" t="s">
        <v>192</v>
      </c>
      <c r="M1131" s="68">
        <v>7</v>
      </c>
      <c r="N1131" s="181" t="str">
        <f t="shared" si="18"/>
        <v>нет</v>
      </c>
      <c r="O1131" s="23"/>
      <c r="P1131" s="23"/>
      <c r="Q1131" s="106"/>
      <c r="R1131" s="37">
        <v>238</v>
      </c>
      <c r="S1131" s="39" t="s">
        <v>650</v>
      </c>
      <c r="T1131" s="37">
        <v>1316</v>
      </c>
      <c r="U1131" s="38" t="s">
        <v>1591</v>
      </c>
      <c r="V1131" s="69" t="s">
        <v>272</v>
      </c>
      <c r="W1131" s="69" t="s">
        <v>164</v>
      </c>
      <c r="X1131" s="106" t="s">
        <v>296</v>
      </c>
      <c r="Y1131" s="107" t="s">
        <v>12</v>
      </c>
      <c r="Z1131" s="67">
        <f>IF(База_КР_КК[[#This Row],[Таб.номер резервиста]]="-","-",IF(OR(База_КР_КК[[#This Row],[Уровень КК]]=2,База_КР_КК[[#This Row],[Уровень КК]]=3),IF(COUNTIFS($U$2:$U1131,$U1131,$F$2:$F1131,$F1131)=1,1,0),IF(COUNTIFS($U$2:$U1131,$U1131,$L$2:$L1131,$L1131)=1,1,0)))</f>
        <v>1</v>
      </c>
      <c r="AA11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1" s="106"/>
      <c r="AC1131" s="51"/>
      <c r="AD1131" s="106" t="s">
        <v>15</v>
      </c>
      <c r="AE1131" s="38" t="s">
        <v>333</v>
      </c>
    </row>
    <row r="1132" spans="1:31" ht="18" customHeight="1" x14ac:dyDescent="0.25">
      <c r="A11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2" s="79">
        <v>4</v>
      </c>
      <c r="C1132" s="23">
        <v>44125</v>
      </c>
      <c r="D1132" s="67">
        <f>IF(COUNTIF($G$2:$G1132,$G1132)=1,1,0)</f>
        <v>0</v>
      </c>
      <c r="E1132" s="67" t="str">
        <f>IFERROR(VLOOKUP(База_КР_КК[[#This Row],[ИД штатной должности (S)]],'уровень защищенности'!$B$7:$F$1095,5,0),"не защищена")</f>
        <v>низкий</v>
      </c>
      <c r="F1132" s="68">
        <v>500217</v>
      </c>
      <c r="G1132" s="74" t="s">
        <v>2400</v>
      </c>
      <c r="H1132" s="181">
        <f>INDEX('Списки данных'!$D$2:$D$1048576,MATCH(База_КР_КК[[#This Row],[Структурное подразделение]],'Списки данных'!$C$2:$C$1048576,0))</f>
        <v>28</v>
      </c>
      <c r="I1132" s="80" t="s">
        <v>164</v>
      </c>
      <c r="J1132" s="80" t="s">
        <v>207</v>
      </c>
      <c r="K1132" s="80" t="s">
        <v>208</v>
      </c>
      <c r="L1132" s="30" t="s">
        <v>192</v>
      </c>
      <c r="M1132" s="68">
        <v>7</v>
      </c>
      <c r="N1132" s="181" t="str">
        <f t="shared" si="18"/>
        <v>нет</v>
      </c>
      <c r="O1132" s="23"/>
      <c r="P1132" s="23"/>
      <c r="Q1132" s="106"/>
      <c r="R1132" s="37">
        <v>238</v>
      </c>
      <c r="S1132" s="38" t="s">
        <v>650</v>
      </c>
      <c r="T1132" s="37">
        <v>237</v>
      </c>
      <c r="U1132" s="39" t="s">
        <v>649</v>
      </c>
      <c r="V1132" s="69" t="s">
        <v>192</v>
      </c>
      <c r="W1132" s="69" t="s">
        <v>164</v>
      </c>
      <c r="X1132" s="106" t="s">
        <v>295</v>
      </c>
      <c r="Y1132" s="107" t="s">
        <v>18</v>
      </c>
      <c r="Z1132" s="67">
        <f>IF(База_КР_КК[[#This Row],[Таб.номер резервиста]]="-","-",IF(OR(База_КР_КК[[#This Row],[Уровень КК]]=2,База_КР_КК[[#This Row],[Уровень КК]]=3),IF(COUNTIFS($U$2:$U1132,$U1132,$F$2:$F1132,$F1132)=1,1,0),IF(COUNTIFS($U$2:$U1132,$U1132,$L$2:$L1132,$L1132)=1,1,0)))</f>
        <v>0</v>
      </c>
      <c r="AA11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2" s="106" t="s">
        <v>37</v>
      </c>
      <c r="AC1132" s="51">
        <v>44386</v>
      </c>
      <c r="AD1132" s="106" t="s">
        <v>15</v>
      </c>
      <c r="AE1132" s="38" t="s">
        <v>318</v>
      </c>
    </row>
    <row r="1133" spans="1:31" ht="18" customHeight="1" x14ac:dyDescent="0.25">
      <c r="A11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3" s="79">
        <v>4</v>
      </c>
      <c r="C1133" s="23">
        <v>44873</v>
      </c>
      <c r="D1133" s="67">
        <f>IF(COUNTIF($G$2:$G1133,$G1133)=1,1,0)</f>
        <v>1</v>
      </c>
      <c r="E1133" s="67" t="str">
        <f>IFERROR(VLOOKUP(База_КР_КК[[#This Row],[ИД штатной должности (S)]],'уровень защищенности'!$B$7:$F$1095,5,0),"не защищена")</f>
        <v>высокий</v>
      </c>
      <c r="F1133" s="68">
        <v>500222</v>
      </c>
      <c r="G1133" s="74" t="s">
        <v>2401</v>
      </c>
      <c r="H1133" s="181">
        <f>INDEX('Списки данных'!$D$2:$D$1048576,MATCH(База_КР_КК[[#This Row],[Структурное подразделение]],'Списки данных'!$C$2:$C$1048576,0))</f>
        <v>28</v>
      </c>
      <c r="I1133" s="80" t="s">
        <v>164</v>
      </c>
      <c r="J1133" s="80" t="s">
        <v>207</v>
      </c>
      <c r="K1133" s="80" t="s">
        <v>208</v>
      </c>
      <c r="L1133" s="30" t="s">
        <v>191</v>
      </c>
      <c r="M1133" s="68">
        <v>7</v>
      </c>
      <c r="N1133" s="181" t="str">
        <f t="shared" si="18"/>
        <v>нет</v>
      </c>
      <c r="O1133" s="23"/>
      <c r="P1133" s="23"/>
      <c r="Q1133" s="106"/>
      <c r="R1133" s="37">
        <v>239</v>
      </c>
      <c r="S1133" s="39" t="s">
        <v>651</v>
      </c>
      <c r="T1133" s="37">
        <v>1317</v>
      </c>
      <c r="U1133" s="39" t="s">
        <v>1713</v>
      </c>
      <c r="V1133" s="69" t="s">
        <v>272</v>
      </c>
      <c r="W1133" s="69" t="s">
        <v>164</v>
      </c>
      <c r="X1133" s="106" t="s">
        <v>297</v>
      </c>
      <c r="Y1133" s="107" t="s">
        <v>12</v>
      </c>
      <c r="Z1133" s="67">
        <f>IF(База_КР_КК[[#This Row],[Таб.номер резервиста]]="-","-",IF(OR(База_КР_КК[[#This Row],[Уровень КК]]=2,База_КР_КК[[#This Row],[Уровень КК]]=3),IF(COUNTIFS($U$2:$U1133,$U1133,$F$2:$F1133,$F1133)=1,1,0),IF(COUNTIFS($U$2:$U1133,$U1133,$L$2:$L1133,$L1133)=1,1,0)))</f>
        <v>1</v>
      </c>
      <c r="AA11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3" s="106"/>
      <c r="AC1133" s="51"/>
      <c r="AD1133" s="106" t="s">
        <v>15</v>
      </c>
      <c r="AE1133" s="38" t="s">
        <v>333</v>
      </c>
    </row>
    <row r="1134" spans="1:31" ht="18" customHeight="1" x14ac:dyDescent="0.25">
      <c r="A11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4" s="79">
        <v>4</v>
      </c>
      <c r="C1134" s="23">
        <v>44873</v>
      </c>
      <c r="D1134" s="67">
        <f>IF(COUNTIF($G$2:$G1134,$G1134)=1,1,0)</f>
        <v>0</v>
      </c>
      <c r="E1134" s="67" t="str">
        <f>IFERROR(VLOOKUP(База_КР_КК[[#This Row],[ИД штатной должности (S)]],'уровень защищенности'!$B$7:$F$1095,5,0),"не защищена")</f>
        <v>высокий</v>
      </c>
      <c r="F1134" s="68">
        <v>500222</v>
      </c>
      <c r="G1134" s="74" t="s">
        <v>2401</v>
      </c>
      <c r="H1134" s="181">
        <f>INDEX('Списки данных'!$D$2:$D$1048576,MATCH(База_КР_КК[[#This Row],[Структурное подразделение]],'Списки данных'!$C$2:$C$1048576,0))</f>
        <v>28</v>
      </c>
      <c r="I1134" s="80" t="s">
        <v>164</v>
      </c>
      <c r="J1134" s="80" t="s">
        <v>207</v>
      </c>
      <c r="K1134" s="80" t="s">
        <v>208</v>
      </c>
      <c r="L1134" s="30" t="s">
        <v>191</v>
      </c>
      <c r="M1134" s="68">
        <v>7</v>
      </c>
      <c r="N1134" s="181" t="str">
        <f t="shared" si="18"/>
        <v>нет</v>
      </c>
      <c r="O1134" s="23"/>
      <c r="P1134" s="23"/>
      <c r="Q1134" s="106"/>
      <c r="R1134" s="37">
        <v>239</v>
      </c>
      <c r="S1134" s="39" t="s">
        <v>651</v>
      </c>
      <c r="T1134" s="37">
        <v>1318</v>
      </c>
      <c r="U1134" s="38" t="s">
        <v>1714</v>
      </c>
      <c r="V1134" s="69" t="s">
        <v>272</v>
      </c>
      <c r="W1134" s="69" t="s">
        <v>164</v>
      </c>
      <c r="X1134" s="106" t="s">
        <v>296</v>
      </c>
      <c r="Y1134" s="107" t="s">
        <v>18</v>
      </c>
      <c r="Z1134" s="67">
        <f>IF(База_КР_КК[[#This Row],[Таб.номер резервиста]]="-","-",IF(OR(База_КР_КК[[#This Row],[Уровень КК]]=2,База_КР_КК[[#This Row],[Уровень КК]]=3),IF(COUNTIFS($U$2:$U1134,$U1134,$F$2:$F1134,$F1134)=1,1,0),IF(COUNTIFS($U$2:$U1134,$U1134,$L$2:$L1134,$L1134)=1,1,0)))</f>
        <v>1</v>
      </c>
      <c r="AA11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4" s="106" t="s">
        <v>38</v>
      </c>
      <c r="AC1134" s="51">
        <v>45071</v>
      </c>
      <c r="AD1134" s="106" t="s">
        <v>31</v>
      </c>
      <c r="AE1134" s="38" t="s">
        <v>335</v>
      </c>
    </row>
    <row r="1135" spans="1:31" ht="18" customHeight="1" x14ac:dyDescent="0.25">
      <c r="A11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5" s="79">
        <v>4</v>
      </c>
      <c r="C1135" s="23">
        <v>44873</v>
      </c>
      <c r="D1135" s="67">
        <f>IF(COUNTIF($G$2:$G1135,$G1135)=1,1,0)</f>
        <v>0</v>
      </c>
      <c r="E1135" s="67" t="str">
        <f>IFERROR(VLOOKUP(База_КР_КК[[#This Row],[ИД штатной должности (S)]],'уровень защищенности'!$B$7:$F$1095,5,0),"не защищена")</f>
        <v>высокий</v>
      </c>
      <c r="F1135" s="68">
        <v>500222</v>
      </c>
      <c r="G1135" s="74" t="s">
        <v>2401</v>
      </c>
      <c r="H1135" s="181">
        <f>INDEX('Списки данных'!$D$2:$D$1048576,MATCH(База_КР_КК[[#This Row],[Структурное подразделение]],'Списки данных'!$C$2:$C$1048576,0))</f>
        <v>28</v>
      </c>
      <c r="I1135" s="80" t="s">
        <v>164</v>
      </c>
      <c r="J1135" s="80" t="s">
        <v>207</v>
      </c>
      <c r="K1135" s="80" t="s">
        <v>208</v>
      </c>
      <c r="L1135" s="30" t="s">
        <v>191</v>
      </c>
      <c r="M1135" s="68">
        <v>7</v>
      </c>
      <c r="N1135" s="181" t="str">
        <f t="shared" si="18"/>
        <v>нет</v>
      </c>
      <c r="O1135" s="23"/>
      <c r="P1135" s="23"/>
      <c r="Q1135" s="106"/>
      <c r="R1135" s="37">
        <v>239</v>
      </c>
      <c r="S1135" s="39" t="s">
        <v>651</v>
      </c>
      <c r="T1135" s="37">
        <v>241</v>
      </c>
      <c r="U1135" s="38" t="s">
        <v>653</v>
      </c>
      <c r="V1135" s="69" t="s">
        <v>272</v>
      </c>
      <c r="W1135" s="69" t="s">
        <v>164</v>
      </c>
      <c r="X1135" s="106" t="s">
        <v>295</v>
      </c>
      <c r="Y1135" s="107" t="s">
        <v>14</v>
      </c>
      <c r="Z1135" s="67">
        <f>IF(База_КР_КК[[#This Row],[Таб.номер резервиста]]="-","-",IF(OR(База_КР_КК[[#This Row],[Уровень КК]]=2,База_КР_КК[[#This Row],[Уровень КК]]=3),IF(COUNTIFS($U$2:$U1135,$U1135,$F$2:$F1135,$F1135)=1,1,0),IF(COUNTIFS($U$2:$U1135,$U1135,$L$2:$L1135,$L1135)=1,1,0)))</f>
        <v>1</v>
      </c>
      <c r="AA11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5" s="106" t="s">
        <v>24</v>
      </c>
      <c r="AC1135" s="51">
        <v>44910</v>
      </c>
      <c r="AD1135" s="106" t="s">
        <v>15</v>
      </c>
      <c r="AE1135" s="38" t="s">
        <v>333</v>
      </c>
    </row>
    <row r="1136" spans="1:31" ht="18" customHeight="1" x14ac:dyDescent="0.25">
      <c r="A11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6" s="79">
        <v>4</v>
      </c>
      <c r="C1136" s="23">
        <v>44873</v>
      </c>
      <c r="D1136" s="67">
        <f>IF(COUNTIF($G$2:$G1136,$G1136)=1,1,0)</f>
        <v>1</v>
      </c>
      <c r="E1136" s="67" t="str">
        <f>IFERROR(VLOOKUP(База_КР_КК[[#This Row],[ИД штатной должности (S)]],'уровень защищенности'!$B$7:$F$1095,5,0),"не защищена")</f>
        <v>высокий</v>
      </c>
      <c r="F1136" s="68">
        <v>500222</v>
      </c>
      <c r="G1136" s="74" t="s">
        <v>2402</v>
      </c>
      <c r="H1136" s="181">
        <f>INDEX('Списки данных'!$D$2:$D$1048576,MATCH(База_КР_КК[[#This Row],[Структурное подразделение]],'Списки данных'!$C$2:$C$1048576,0))</f>
        <v>28</v>
      </c>
      <c r="I1136" s="80" t="s">
        <v>164</v>
      </c>
      <c r="J1136" s="80" t="s">
        <v>207</v>
      </c>
      <c r="K1136" s="80" t="s">
        <v>208</v>
      </c>
      <c r="L1136" s="30" t="s">
        <v>191</v>
      </c>
      <c r="M1136" s="68">
        <v>7</v>
      </c>
      <c r="N1136" s="181" t="str">
        <f t="shared" si="18"/>
        <v>да</v>
      </c>
      <c r="O1136" s="23">
        <v>44622</v>
      </c>
      <c r="P1136" s="23"/>
      <c r="Q1136" s="106"/>
      <c r="R1136" s="37" t="s">
        <v>23</v>
      </c>
      <c r="S1136" s="37" t="s">
        <v>23</v>
      </c>
      <c r="T1136" s="37">
        <v>1317</v>
      </c>
      <c r="U1136" s="38" t="s">
        <v>1713</v>
      </c>
      <c r="V1136" s="69" t="s">
        <v>272</v>
      </c>
      <c r="W1136" s="69" t="s">
        <v>164</v>
      </c>
      <c r="X1136" s="106" t="s">
        <v>297</v>
      </c>
      <c r="Y1136" s="107" t="s">
        <v>12</v>
      </c>
      <c r="Z1136" s="67">
        <f>IF(База_КР_КК[[#This Row],[Таб.номер резервиста]]="-","-",IF(OR(База_КР_КК[[#This Row],[Уровень КК]]=2,База_КР_КК[[#This Row],[Уровень КК]]=3),IF(COUNTIFS($U$2:$U1136,$U1136,$F$2:$F1136,$F1136)=1,1,0),IF(COUNTIFS($U$2:$U1136,$U1136,$L$2:$L1136,$L1136)=1,1,0)))</f>
        <v>0</v>
      </c>
      <c r="AA11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6" s="106"/>
      <c r="AC1136" s="51"/>
      <c r="AD1136" s="106" t="s">
        <v>15</v>
      </c>
      <c r="AE1136" s="38" t="s">
        <v>333</v>
      </c>
    </row>
    <row r="1137" spans="1:31" ht="18" customHeight="1" x14ac:dyDescent="0.25">
      <c r="A11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7" s="79">
        <v>4</v>
      </c>
      <c r="C1137" s="23">
        <v>44873</v>
      </c>
      <c r="D1137" s="67">
        <f>IF(COUNTIF($G$2:$G1137,$G1137)=1,1,0)</f>
        <v>0</v>
      </c>
      <c r="E1137" s="67" t="str">
        <f>IFERROR(VLOOKUP(База_КР_КК[[#This Row],[ИД штатной должности (S)]],'уровень защищенности'!$B$7:$F$1095,5,0),"не защищена")</f>
        <v>высокий</v>
      </c>
      <c r="F1137" s="68">
        <v>500222</v>
      </c>
      <c r="G1137" s="74" t="s">
        <v>2402</v>
      </c>
      <c r="H1137" s="181">
        <f>INDEX('Списки данных'!$D$2:$D$1048576,MATCH(База_КР_КК[[#This Row],[Структурное подразделение]],'Списки данных'!$C$2:$C$1048576,0))</f>
        <v>28</v>
      </c>
      <c r="I1137" s="80" t="s">
        <v>164</v>
      </c>
      <c r="J1137" s="80" t="s">
        <v>207</v>
      </c>
      <c r="K1137" s="80" t="s">
        <v>208</v>
      </c>
      <c r="L1137" s="30" t="s">
        <v>191</v>
      </c>
      <c r="M1137" s="68">
        <v>7</v>
      </c>
      <c r="N1137" s="181" t="str">
        <f t="shared" si="18"/>
        <v>да</v>
      </c>
      <c r="O1137" s="23">
        <v>44622</v>
      </c>
      <c r="P1137" s="23"/>
      <c r="Q1137" s="106"/>
      <c r="R1137" s="37" t="s">
        <v>23</v>
      </c>
      <c r="S1137" s="37" t="s">
        <v>23</v>
      </c>
      <c r="T1137" s="37">
        <v>1318</v>
      </c>
      <c r="U1137" s="38" t="s">
        <v>1714</v>
      </c>
      <c r="V1137" s="69" t="s">
        <v>272</v>
      </c>
      <c r="W1137" s="69" t="s">
        <v>164</v>
      </c>
      <c r="X1137" s="106" t="s">
        <v>296</v>
      </c>
      <c r="Y1137" s="107" t="s">
        <v>18</v>
      </c>
      <c r="Z1137" s="67">
        <f>IF(База_КР_КК[[#This Row],[Таб.номер резервиста]]="-","-",IF(OR(База_КР_КК[[#This Row],[Уровень КК]]=2,База_КР_КК[[#This Row],[Уровень КК]]=3),IF(COUNTIFS($U$2:$U1137,$U1137,$F$2:$F1137,$F1137)=1,1,0),IF(COUNTIFS($U$2:$U1137,$U1137,$L$2:$L1137,$L1137)=1,1,0)))</f>
        <v>0</v>
      </c>
      <c r="AA11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7" s="106" t="s">
        <v>38</v>
      </c>
      <c r="AC1137" s="51">
        <v>45071</v>
      </c>
      <c r="AD1137" s="106" t="s">
        <v>31</v>
      </c>
      <c r="AE1137" s="38" t="s">
        <v>335</v>
      </c>
    </row>
    <row r="1138" spans="1:31" ht="18" customHeight="1" x14ac:dyDescent="0.25">
      <c r="A11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8" s="79">
        <v>4</v>
      </c>
      <c r="C1138" s="23">
        <v>44291</v>
      </c>
      <c r="D1138" s="67">
        <f>IF(COUNTIF($G$2:$G1138,$G1138)=1,1,0)</f>
        <v>0</v>
      </c>
      <c r="E1138" s="67" t="str">
        <f>IFERROR(VLOOKUP(База_КР_КК[[#This Row],[ИД штатной должности (S)]],'уровень защищенности'!$B$7:$F$1095,5,0),"не защищена")</f>
        <v>высокий</v>
      </c>
      <c r="F1138" s="68">
        <v>500222</v>
      </c>
      <c r="G1138" s="74" t="s">
        <v>2402</v>
      </c>
      <c r="H1138" s="181">
        <f>INDEX('Списки данных'!$D$2:$D$1048576,MATCH(База_КР_КК[[#This Row],[Структурное подразделение]],'Списки данных'!$C$2:$C$1048576,0))</f>
        <v>28</v>
      </c>
      <c r="I1138" s="80" t="s">
        <v>164</v>
      </c>
      <c r="J1138" s="80" t="s">
        <v>207</v>
      </c>
      <c r="K1138" s="80" t="s">
        <v>208</v>
      </c>
      <c r="L1138" s="30" t="s">
        <v>191</v>
      </c>
      <c r="M1138" s="68">
        <v>7</v>
      </c>
      <c r="N1138" s="181" t="str">
        <f t="shared" si="18"/>
        <v>да</v>
      </c>
      <c r="O1138" s="23">
        <v>44622</v>
      </c>
      <c r="P1138" s="23"/>
      <c r="Q1138" s="106"/>
      <c r="R1138" s="37" t="s">
        <v>23</v>
      </c>
      <c r="S1138" s="37" t="s">
        <v>23</v>
      </c>
      <c r="T1138" s="37">
        <v>237</v>
      </c>
      <c r="U1138" s="39" t="s">
        <v>649</v>
      </c>
      <c r="V1138" s="69" t="s">
        <v>272</v>
      </c>
      <c r="W1138" s="69" t="s">
        <v>164</v>
      </c>
      <c r="X1138" s="106" t="s">
        <v>295</v>
      </c>
      <c r="Y1138" s="107" t="s">
        <v>14</v>
      </c>
      <c r="Z1138" s="67">
        <f>IF(База_КР_КК[[#This Row],[Таб.номер резервиста]]="-","-",IF(OR(База_КР_КК[[#This Row],[Уровень КК]]=2,База_КР_КК[[#This Row],[Уровень КК]]=3),IF(COUNTIFS($U$2:$U1138,$U1138,$F$2:$F1138,$F1138)=1,1,0),IF(COUNTIFS($U$2:$U1138,$U1138,$L$2:$L1138,$L1138)=1,1,0)))</f>
        <v>1</v>
      </c>
      <c r="AA11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8" s="106" t="s">
        <v>24</v>
      </c>
      <c r="AC1138" s="51">
        <v>44306</v>
      </c>
      <c r="AD1138" s="106" t="s">
        <v>15</v>
      </c>
      <c r="AE1138" s="38" t="s">
        <v>336</v>
      </c>
    </row>
    <row r="1139" spans="1:31" ht="18" customHeight="1" x14ac:dyDescent="0.25">
      <c r="A11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39" s="79">
        <v>4</v>
      </c>
      <c r="C1139" s="23">
        <v>44873</v>
      </c>
      <c r="D1139" s="67">
        <f>IF(COUNTIF($G$2:$G1139,$G1139)=1,1,0)</f>
        <v>0</v>
      </c>
      <c r="E1139" s="67" t="str">
        <f>IFERROR(VLOOKUP(База_КР_КК[[#This Row],[ИД штатной должности (S)]],'уровень защищенности'!$B$7:$F$1095,5,0),"не защищена")</f>
        <v>высокий</v>
      </c>
      <c r="F1139" s="68">
        <v>500222</v>
      </c>
      <c r="G1139" s="74" t="s">
        <v>2402</v>
      </c>
      <c r="H1139" s="181">
        <f>INDEX('Списки данных'!$D$2:$D$1048576,MATCH(База_КР_КК[[#This Row],[Структурное подразделение]],'Списки данных'!$C$2:$C$1048576,0))</f>
        <v>28</v>
      </c>
      <c r="I1139" s="80" t="s">
        <v>164</v>
      </c>
      <c r="J1139" s="80" t="s">
        <v>207</v>
      </c>
      <c r="K1139" s="80" t="s">
        <v>208</v>
      </c>
      <c r="L1139" s="30" t="s">
        <v>191</v>
      </c>
      <c r="M1139" s="68">
        <v>7</v>
      </c>
      <c r="N1139" s="181" t="str">
        <f t="shared" si="18"/>
        <v>да</v>
      </c>
      <c r="O1139" s="23">
        <v>44622</v>
      </c>
      <c r="P1139" s="23"/>
      <c r="Q1139" s="106"/>
      <c r="R1139" s="37" t="s">
        <v>23</v>
      </c>
      <c r="S1139" s="37" t="s">
        <v>23</v>
      </c>
      <c r="T1139" s="37">
        <v>241</v>
      </c>
      <c r="U1139" s="38" t="s">
        <v>653</v>
      </c>
      <c r="V1139" s="69" t="s">
        <v>272</v>
      </c>
      <c r="W1139" s="69" t="s">
        <v>164</v>
      </c>
      <c r="X1139" s="106" t="s">
        <v>295</v>
      </c>
      <c r="Y1139" s="107" t="s">
        <v>14</v>
      </c>
      <c r="Z1139" s="67">
        <f>IF(База_КР_КК[[#This Row],[Таб.номер резервиста]]="-","-",IF(OR(База_КР_КК[[#This Row],[Уровень КК]]=2,База_КР_КК[[#This Row],[Уровень КК]]=3),IF(COUNTIFS($U$2:$U1139,$U1139,$F$2:$F1139,$F1139)=1,1,0),IF(COUNTIFS($U$2:$U1139,$U1139,$L$2:$L1139,$L1139)=1,1,0)))</f>
        <v>0</v>
      </c>
      <c r="AA11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39" s="106" t="s">
        <v>24</v>
      </c>
      <c r="AC1139" s="51">
        <v>44910</v>
      </c>
      <c r="AD1139" s="106" t="s">
        <v>15</v>
      </c>
      <c r="AE1139" s="38" t="s">
        <v>333</v>
      </c>
    </row>
    <row r="1140" spans="1:31" ht="18" customHeight="1" x14ac:dyDescent="0.25">
      <c r="A11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0" s="79">
        <v>4</v>
      </c>
      <c r="C1140" s="23">
        <v>44473</v>
      </c>
      <c r="D1140" s="67">
        <f>IF(COUNTIF($G$2:$G1140,$G1140)=1,1,0)</f>
        <v>1</v>
      </c>
      <c r="E1140" s="67" t="str">
        <f>IFERROR(VLOOKUP(База_КР_КК[[#This Row],[ИД штатной должности (S)]],'уровень защищенности'!$B$7:$F$1095,5,0),"не защищена")</f>
        <v>высокий</v>
      </c>
      <c r="F1140" s="68">
        <v>500023</v>
      </c>
      <c r="G1140" s="74" t="s">
        <v>2403</v>
      </c>
      <c r="H1140" s="181">
        <f>INDEX('Списки данных'!$D$2:$D$1048576,MATCH(База_КР_КК[[#This Row],[Структурное подразделение]],'Списки данных'!$C$2:$C$1048576,0))</f>
        <v>28</v>
      </c>
      <c r="I1140" s="80" t="s">
        <v>164</v>
      </c>
      <c r="J1140" s="80" t="s">
        <v>207</v>
      </c>
      <c r="K1140" s="80" t="s">
        <v>208</v>
      </c>
      <c r="L1140" s="30" t="s">
        <v>194</v>
      </c>
      <c r="M1140" s="68">
        <v>7</v>
      </c>
      <c r="N1140" s="181" t="str">
        <f t="shared" si="18"/>
        <v>да</v>
      </c>
      <c r="O1140" s="23">
        <v>44910</v>
      </c>
      <c r="P1140" s="23"/>
      <c r="Q1140" s="106"/>
      <c r="R1140" s="37" t="s">
        <v>23</v>
      </c>
      <c r="S1140" s="37" t="s">
        <v>23</v>
      </c>
      <c r="T1140" s="37">
        <v>1307</v>
      </c>
      <c r="U1140" s="39" t="s">
        <v>1705</v>
      </c>
      <c r="V1140" s="69" t="s">
        <v>272</v>
      </c>
      <c r="W1140" s="69" t="s">
        <v>164</v>
      </c>
      <c r="X1140" s="106" t="s">
        <v>297</v>
      </c>
      <c r="Y1140" s="107" t="s">
        <v>12</v>
      </c>
      <c r="Z1140" s="67">
        <f>IF(База_КР_КК[[#This Row],[Таб.номер резервиста]]="-","-",IF(OR(База_КР_КК[[#This Row],[Уровень КК]]=2,База_КР_КК[[#This Row],[Уровень КК]]=3),IF(COUNTIFS($U$2:$U1140,$U1140,$F$2:$F1140,$F1140)=1,1,0),IF(COUNTIFS($U$2:$U1140,$U1140,$L$2:$L1140,$L1140)=1,1,0)))</f>
        <v>0</v>
      </c>
      <c r="AA11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0" s="106"/>
      <c r="AC1140" s="51"/>
      <c r="AD1140" s="106" t="s">
        <v>17</v>
      </c>
      <c r="AE1140" s="38" t="s">
        <v>333</v>
      </c>
    </row>
    <row r="1141" spans="1:31" ht="18" customHeight="1" x14ac:dyDescent="0.25">
      <c r="A11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1" s="79">
        <v>4</v>
      </c>
      <c r="C1141" s="23">
        <v>44125</v>
      </c>
      <c r="D1141" s="67">
        <f>IF(COUNTIF($G$2:$G1141,$G1141)=1,1,0)</f>
        <v>0</v>
      </c>
      <c r="E1141" s="67" t="str">
        <f>IFERROR(VLOOKUP(База_КР_КК[[#This Row],[ИД штатной должности (S)]],'уровень защищенности'!$B$7:$F$1095,5,0),"не защищена")</f>
        <v>высокий</v>
      </c>
      <c r="F1141" s="68">
        <v>500023</v>
      </c>
      <c r="G1141" s="74" t="s">
        <v>2403</v>
      </c>
      <c r="H1141" s="181">
        <f>INDEX('Списки данных'!$D$2:$D$1048576,MATCH(База_КР_КК[[#This Row],[Структурное подразделение]],'Списки данных'!$C$2:$C$1048576,0))</f>
        <v>28</v>
      </c>
      <c r="I1141" s="80" t="s">
        <v>164</v>
      </c>
      <c r="J1141" s="80" t="s">
        <v>207</v>
      </c>
      <c r="K1141" s="80" t="s">
        <v>208</v>
      </c>
      <c r="L1141" s="30" t="s">
        <v>194</v>
      </c>
      <c r="M1141" s="68">
        <v>7</v>
      </c>
      <c r="N1141" s="181" t="str">
        <f t="shared" si="18"/>
        <v>да</v>
      </c>
      <c r="O1141" s="23">
        <v>44910</v>
      </c>
      <c r="P1141" s="23"/>
      <c r="Q1141" s="106"/>
      <c r="R1141" s="37" t="s">
        <v>23</v>
      </c>
      <c r="S1141" s="37" t="s">
        <v>23</v>
      </c>
      <c r="T1141" s="37">
        <v>1308</v>
      </c>
      <c r="U1141" s="39" t="s">
        <v>1706</v>
      </c>
      <c r="V1141" s="69" t="s">
        <v>272</v>
      </c>
      <c r="W1141" s="69" t="s">
        <v>164</v>
      </c>
      <c r="X1141" s="106" t="s">
        <v>297</v>
      </c>
      <c r="Y1141" s="107" t="s">
        <v>18</v>
      </c>
      <c r="Z1141" s="67">
        <f>IF(База_КР_КК[[#This Row],[Таб.номер резервиста]]="-","-",IF(OR(База_КР_КК[[#This Row],[Уровень КК]]=2,База_КР_КК[[#This Row],[Уровень КК]]=3),IF(COUNTIFS($U$2:$U1141,$U1141,$F$2:$F1141,$F1141)=1,1,0),IF(COUNTIFS($U$2:$U1141,$U1141,$L$2:$L1141,$L1141)=1,1,0)))</f>
        <v>0</v>
      </c>
      <c r="AA11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1" s="106" t="s">
        <v>38</v>
      </c>
      <c r="AC1141" s="51">
        <v>45071</v>
      </c>
      <c r="AD1141" s="106" t="s">
        <v>13</v>
      </c>
      <c r="AE1141" s="38" t="s">
        <v>333</v>
      </c>
    </row>
    <row r="1142" spans="1:31" ht="18" customHeight="1" x14ac:dyDescent="0.25">
      <c r="A11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2" s="79">
        <v>4</v>
      </c>
      <c r="C1142" s="23">
        <v>44125</v>
      </c>
      <c r="D1142" s="67">
        <f>IF(COUNTIF($G$2:$G1142,$G1142)=1,1,0)</f>
        <v>0</v>
      </c>
      <c r="E1142" s="67" t="str">
        <f>IFERROR(VLOOKUP(База_КР_КК[[#This Row],[ИД штатной должности (S)]],'уровень защищенности'!$B$7:$F$1095,5,0),"не защищена")</f>
        <v>высокий</v>
      </c>
      <c r="F1142" s="68">
        <v>500023</v>
      </c>
      <c r="G1142" s="74" t="s">
        <v>2403</v>
      </c>
      <c r="H1142" s="181">
        <f>INDEX('Списки данных'!$D$2:$D$1048576,MATCH(База_КР_КК[[#This Row],[Структурное подразделение]],'Списки данных'!$C$2:$C$1048576,0))</f>
        <v>28</v>
      </c>
      <c r="I1142" s="80" t="s">
        <v>164</v>
      </c>
      <c r="J1142" s="80" t="s">
        <v>207</v>
      </c>
      <c r="K1142" s="80" t="s">
        <v>208</v>
      </c>
      <c r="L1142" s="30" t="s">
        <v>194</v>
      </c>
      <c r="M1142" s="68">
        <v>7</v>
      </c>
      <c r="N1142" s="181" t="str">
        <f t="shared" si="18"/>
        <v>да</v>
      </c>
      <c r="O1142" s="23">
        <v>44910</v>
      </c>
      <c r="P1142" s="23"/>
      <c r="Q1142" s="106"/>
      <c r="R1142" s="37" t="s">
        <v>23</v>
      </c>
      <c r="S1142" s="37" t="s">
        <v>23</v>
      </c>
      <c r="T1142" s="37">
        <v>240</v>
      </c>
      <c r="U1142" s="39" t="s">
        <v>652</v>
      </c>
      <c r="V1142" s="69" t="s">
        <v>192</v>
      </c>
      <c r="W1142" s="69" t="s">
        <v>164</v>
      </c>
      <c r="X1142" s="106" t="s">
        <v>295</v>
      </c>
      <c r="Y1142" s="107" t="s">
        <v>12</v>
      </c>
      <c r="Z1142" s="67">
        <f>IF(База_КР_КК[[#This Row],[Таб.номер резервиста]]="-","-",IF(OR(База_КР_КК[[#This Row],[Уровень КК]]=2,База_КР_КК[[#This Row],[Уровень КК]]=3),IF(COUNTIFS($U$2:$U1142,$U1142,$F$2:$F1142,$F1142)=1,1,0),IF(COUNTIFS($U$2:$U1142,$U1142,$L$2:$L1142,$L1142)=1,1,0)))</f>
        <v>0</v>
      </c>
      <c r="AA11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2" s="106"/>
      <c r="AC1142" s="51"/>
      <c r="AD1142" s="106" t="s">
        <v>17</v>
      </c>
      <c r="AE1142" s="38" t="s">
        <v>333</v>
      </c>
    </row>
    <row r="1143" spans="1:31" ht="18" customHeight="1" x14ac:dyDescent="0.25">
      <c r="A11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3" s="79">
        <v>4</v>
      </c>
      <c r="C1143" s="23">
        <v>44125</v>
      </c>
      <c r="D1143" s="67">
        <f>IF(COUNTIF($G$2:$G1143,$G1143)=1,1,0)</f>
        <v>0</v>
      </c>
      <c r="E1143" s="67" t="str">
        <f>IFERROR(VLOOKUP(База_КР_КК[[#This Row],[ИД штатной должности (S)]],'уровень защищенности'!$B$7:$F$1095,5,0),"не защищена")</f>
        <v>высокий</v>
      </c>
      <c r="F1143" s="68">
        <v>500023</v>
      </c>
      <c r="G1143" s="74" t="s">
        <v>2403</v>
      </c>
      <c r="H1143" s="181">
        <f>INDEX('Списки данных'!$D$2:$D$1048576,MATCH(База_КР_КК[[#This Row],[Структурное подразделение]],'Списки данных'!$C$2:$C$1048576,0))</f>
        <v>28</v>
      </c>
      <c r="I1143" s="80" t="s">
        <v>164</v>
      </c>
      <c r="J1143" s="80" t="s">
        <v>207</v>
      </c>
      <c r="K1143" s="80" t="s">
        <v>208</v>
      </c>
      <c r="L1143" s="30" t="s">
        <v>194</v>
      </c>
      <c r="M1143" s="68">
        <v>7</v>
      </c>
      <c r="N1143" s="181" t="str">
        <f t="shared" si="18"/>
        <v>да</v>
      </c>
      <c r="O1143" s="23">
        <v>44910</v>
      </c>
      <c r="P1143" s="23"/>
      <c r="Q1143" s="106"/>
      <c r="R1143" s="37" t="s">
        <v>23</v>
      </c>
      <c r="S1143" s="37" t="s">
        <v>23</v>
      </c>
      <c r="T1143" s="37">
        <v>1305</v>
      </c>
      <c r="U1143" s="39" t="s">
        <v>1703</v>
      </c>
      <c r="V1143" s="69" t="s">
        <v>192</v>
      </c>
      <c r="W1143" s="69" t="s">
        <v>164</v>
      </c>
      <c r="X1143" s="106" t="s">
        <v>295</v>
      </c>
      <c r="Y1143" s="107" t="s">
        <v>18</v>
      </c>
      <c r="Z1143" s="67">
        <f>IF(База_КР_КК[[#This Row],[Таб.номер резервиста]]="-","-",IF(OR(База_КР_КК[[#This Row],[Уровень КК]]=2,База_КР_КК[[#This Row],[Уровень КК]]=3),IF(COUNTIFS($U$2:$U1143,$U1143,$F$2:$F1143,$F1143)=1,1,0),IF(COUNTIFS($U$2:$U1143,$U1143,$L$2:$L1143,$L1143)=1,1,0)))</f>
        <v>0</v>
      </c>
      <c r="AA11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3" s="106" t="s">
        <v>43</v>
      </c>
      <c r="AC1143" s="51">
        <v>44840</v>
      </c>
      <c r="AD1143" s="106" t="s">
        <v>15</v>
      </c>
      <c r="AE1143" s="38" t="s">
        <v>318</v>
      </c>
    </row>
    <row r="1144" spans="1:31" s="108" customFormat="1" ht="18" customHeight="1" x14ac:dyDescent="0.25">
      <c r="A11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4" s="79">
        <v>4</v>
      </c>
      <c r="C1144" s="23">
        <v>44473</v>
      </c>
      <c r="D1144" s="67">
        <f>IF(COUNTIF($G$2:$G1144,$G1144)=1,1,0)</f>
        <v>1</v>
      </c>
      <c r="E1144" s="99" t="str">
        <f>IFERROR(VLOOKUP(База_КР_КК[[#This Row],[ИД штатной должности (S)]],'уровень защищенности'!$B$7:$F$1095,5,0),"не защищена")</f>
        <v>средний</v>
      </c>
      <c r="F1144" s="68">
        <v>500186</v>
      </c>
      <c r="G1144" s="74" t="s">
        <v>2404</v>
      </c>
      <c r="H1144" s="24">
        <f>INDEX('Списки данных'!$D$2:$D$1048576,MATCH(База_КР_КК[[#This Row],[Структурное подразделение]],'Списки данных'!$C$2:$C$1048576,0))</f>
        <v>28</v>
      </c>
      <c r="I1144" s="80" t="s">
        <v>164</v>
      </c>
      <c r="J1144" s="80" t="s">
        <v>207</v>
      </c>
      <c r="K1144" s="80" t="s">
        <v>208</v>
      </c>
      <c r="L1144" s="30" t="s">
        <v>191</v>
      </c>
      <c r="M1144" s="68">
        <v>7</v>
      </c>
      <c r="N1144" s="24" t="str">
        <f t="shared" si="18"/>
        <v>нет</v>
      </c>
      <c r="O1144" s="23"/>
      <c r="P1144" s="23"/>
      <c r="Q1144" s="106"/>
      <c r="R1144" s="37">
        <v>240</v>
      </c>
      <c r="S1144" s="38" t="s">
        <v>652</v>
      </c>
      <c r="T1144" s="37">
        <v>1307</v>
      </c>
      <c r="U1144" s="39" t="s">
        <v>1705</v>
      </c>
      <c r="V1144" s="69" t="s">
        <v>272</v>
      </c>
      <c r="W1144" s="69" t="s">
        <v>164</v>
      </c>
      <c r="X1144" s="106" t="s">
        <v>296</v>
      </c>
      <c r="Y1144" s="107" t="s">
        <v>12</v>
      </c>
      <c r="Z1144" s="67">
        <f>IF(База_КР_КК[[#This Row],[Таб.номер резервиста]]="-","-",IF(OR(База_КР_КК[[#This Row],[Уровень КК]]=2,База_КР_КК[[#This Row],[Уровень КК]]=3),IF(COUNTIFS($U$2:$U1144,$U1144,$F$2:$F1144,$F1144)=1,1,0),IF(COUNTIFS($U$2:$U1144,$U1144,$L$2:$L1144,$L1144)=1,1,0)))</f>
        <v>0</v>
      </c>
      <c r="AA11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4" s="106"/>
      <c r="AC1144" s="51"/>
      <c r="AD1144" s="106" t="s">
        <v>13</v>
      </c>
      <c r="AE1144" s="38" t="s">
        <v>333</v>
      </c>
    </row>
    <row r="1145" spans="1:31" s="108" customFormat="1" ht="18" customHeight="1" x14ac:dyDescent="0.25">
      <c r="A11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5" s="79">
        <v>4</v>
      </c>
      <c r="C1145" s="23">
        <v>44125</v>
      </c>
      <c r="D1145" s="67">
        <f>IF(COUNTIF($G$2:$G1145,$G1145)=1,1,0)</f>
        <v>0</v>
      </c>
      <c r="E1145" s="99" t="str">
        <f>IFERROR(VLOOKUP(База_КР_КК[[#This Row],[ИД штатной должности (S)]],'уровень защищенности'!$B$7:$F$1095,5,0),"не защищена")</f>
        <v>средний</v>
      </c>
      <c r="F1145" s="68">
        <v>500186</v>
      </c>
      <c r="G1145" s="74" t="s">
        <v>2404</v>
      </c>
      <c r="H1145" s="24">
        <f>INDEX('Списки данных'!$D$2:$D$1048576,MATCH(База_КР_КК[[#This Row],[Структурное подразделение]],'Списки данных'!$C$2:$C$1048576,0))</f>
        <v>28</v>
      </c>
      <c r="I1145" s="80" t="s">
        <v>164</v>
      </c>
      <c r="J1145" s="80" t="s">
        <v>207</v>
      </c>
      <c r="K1145" s="80" t="s">
        <v>208</v>
      </c>
      <c r="L1145" s="30" t="s">
        <v>191</v>
      </c>
      <c r="M1145" s="68">
        <v>7</v>
      </c>
      <c r="N1145" s="24" t="str">
        <f t="shared" si="18"/>
        <v>нет</v>
      </c>
      <c r="O1145" s="23"/>
      <c r="P1145" s="23"/>
      <c r="Q1145" s="106"/>
      <c r="R1145" s="37">
        <v>240</v>
      </c>
      <c r="S1145" s="38" t="s">
        <v>652</v>
      </c>
      <c r="T1145" s="37">
        <v>1310</v>
      </c>
      <c r="U1145" s="39" t="s">
        <v>1708</v>
      </c>
      <c r="V1145" s="69" t="s">
        <v>272</v>
      </c>
      <c r="W1145" s="69" t="s">
        <v>164</v>
      </c>
      <c r="X1145" s="106" t="s">
        <v>296</v>
      </c>
      <c r="Y1145" s="107" t="s">
        <v>12</v>
      </c>
      <c r="Z1145" s="67">
        <f>IF(База_КР_КК[[#This Row],[Таб.номер резервиста]]="-","-",IF(OR(База_КР_КК[[#This Row],[Уровень КК]]=2,База_КР_КК[[#This Row],[Уровень КК]]=3),IF(COUNTIFS($U$2:$U1145,$U1145,$F$2:$F1145,$F1145)=1,1,0),IF(COUNTIFS($U$2:$U1145,$U1145,$L$2:$L1145,$L1145)=1,1,0)))</f>
        <v>0</v>
      </c>
      <c r="AA11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5" s="106"/>
      <c r="AC1145" s="51"/>
      <c r="AD1145" s="106" t="s">
        <v>13</v>
      </c>
      <c r="AE1145" s="38" t="s">
        <v>333</v>
      </c>
    </row>
    <row r="1146" spans="1:31" s="108" customFormat="1" ht="18" customHeight="1" x14ac:dyDescent="0.25">
      <c r="A11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6" s="79">
        <v>4</v>
      </c>
      <c r="C1146" s="23">
        <v>44125</v>
      </c>
      <c r="D1146" s="67">
        <f>IF(COUNTIF($G$2:$G1146,$G1146)=1,1,0)</f>
        <v>0</v>
      </c>
      <c r="E1146" s="99" t="str">
        <f>IFERROR(VLOOKUP(База_КР_КК[[#This Row],[ИД штатной должности (S)]],'уровень защищенности'!$B$7:$F$1095,5,0),"не защищена")</f>
        <v>средний</v>
      </c>
      <c r="F1146" s="68">
        <v>500186</v>
      </c>
      <c r="G1146" s="74" t="s">
        <v>2404</v>
      </c>
      <c r="H1146" s="24">
        <f>INDEX('Списки данных'!$D$2:$D$1048576,MATCH(База_КР_КК[[#This Row],[Структурное подразделение]],'Списки данных'!$C$2:$C$1048576,0))</f>
        <v>28</v>
      </c>
      <c r="I1146" s="80" t="s">
        <v>164</v>
      </c>
      <c r="J1146" s="80" t="s">
        <v>207</v>
      </c>
      <c r="K1146" s="80" t="s">
        <v>208</v>
      </c>
      <c r="L1146" s="30" t="s">
        <v>191</v>
      </c>
      <c r="M1146" s="68">
        <v>7</v>
      </c>
      <c r="N1146" s="24" t="str">
        <f t="shared" si="18"/>
        <v>нет</v>
      </c>
      <c r="O1146" s="23"/>
      <c r="P1146" s="23"/>
      <c r="Q1146" s="106"/>
      <c r="R1146" s="37">
        <v>240</v>
      </c>
      <c r="S1146" s="38" t="s">
        <v>23</v>
      </c>
      <c r="T1146" s="37">
        <v>1311</v>
      </c>
      <c r="U1146" s="39" t="s">
        <v>1709</v>
      </c>
      <c r="V1146" s="69" t="s">
        <v>272</v>
      </c>
      <c r="W1146" s="69" t="s">
        <v>164</v>
      </c>
      <c r="X1146" s="106" t="s">
        <v>297</v>
      </c>
      <c r="Y1146" s="107" t="s">
        <v>12</v>
      </c>
      <c r="Z1146" s="67">
        <f>IF(База_КР_КК[[#This Row],[Таб.номер резервиста]]="-","-",IF(OR(База_КР_КК[[#This Row],[Уровень КК]]=2,База_КР_КК[[#This Row],[Уровень КК]]=3),IF(COUNTIFS($U$2:$U1146,$U1146,$F$2:$F1146,$F1146)=1,1,0),IF(COUNTIFS($U$2:$U1146,$U1146,$L$2:$L1146,$L1146)=1,1,0)))</f>
        <v>0</v>
      </c>
      <c r="AA11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6" s="106"/>
      <c r="AC1146" s="51"/>
      <c r="AD1146" s="106" t="s">
        <v>13</v>
      </c>
      <c r="AE1146" s="38" t="s">
        <v>333</v>
      </c>
    </row>
    <row r="1147" spans="1:31" ht="18" customHeight="1" x14ac:dyDescent="0.25">
      <c r="A11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7" s="79">
        <v>4</v>
      </c>
      <c r="C1147" s="23">
        <v>44873</v>
      </c>
      <c r="D1147" s="67">
        <f>IF(COUNTIF($G$2:$G1147,$G1147)=1,1,0)</f>
        <v>1</v>
      </c>
      <c r="E1147" s="67" t="str">
        <f>IFERROR(VLOOKUP(База_КР_КК[[#This Row],[ИД штатной должности (S)]],'уровень защищенности'!$B$7:$F$1095,5,0),"не защищена")</f>
        <v>высокий</v>
      </c>
      <c r="F1147" s="68">
        <v>500222</v>
      </c>
      <c r="G1147" s="74" t="s">
        <v>2405</v>
      </c>
      <c r="H1147" s="181">
        <f>INDEX('Списки данных'!$D$2:$D$1048576,MATCH(База_КР_КК[[#This Row],[Структурное подразделение]],'Списки данных'!$C$2:$C$1048576,0))</f>
        <v>28</v>
      </c>
      <c r="I1147" s="80" t="s">
        <v>164</v>
      </c>
      <c r="J1147" s="80" t="s">
        <v>207</v>
      </c>
      <c r="K1147" s="80" t="s">
        <v>208</v>
      </c>
      <c r="L1147" s="30" t="s">
        <v>191</v>
      </c>
      <c r="M1147" s="68">
        <v>7</v>
      </c>
      <c r="N1147" s="181" t="str">
        <f t="shared" si="18"/>
        <v>да</v>
      </c>
      <c r="O1147" s="23">
        <v>44622</v>
      </c>
      <c r="P1147" s="23"/>
      <c r="Q1147" s="106"/>
      <c r="R1147" s="37" t="s">
        <v>23</v>
      </c>
      <c r="S1147" s="37" t="s">
        <v>23</v>
      </c>
      <c r="T1147" s="37">
        <v>1317</v>
      </c>
      <c r="U1147" s="39" t="s">
        <v>1713</v>
      </c>
      <c r="V1147" s="69" t="s">
        <v>272</v>
      </c>
      <c r="W1147" s="69" t="s">
        <v>164</v>
      </c>
      <c r="X1147" s="106" t="s">
        <v>297</v>
      </c>
      <c r="Y1147" s="107" t="s">
        <v>12</v>
      </c>
      <c r="Z1147" s="67">
        <f>IF(База_КР_КК[[#This Row],[Таб.номер резервиста]]="-","-",IF(OR(База_КР_КК[[#This Row],[Уровень КК]]=2,База_КР_КК[[#This Row],[Уровень КК]]=3),IF(COUNTIFS($U$2:$U1147,$U1147,$F$2:$F1147,$F1147)=1,1,0),IF(COUNTIFS($U$2:$U1147,$U1147,$L$2:$L1147,$L1147)=1,1,0)))</f>
        <v>0</v>
      </c>
      <c r="AA11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7" s="106"/>
      <c r="AC1147" s="51"/>
      <c r="AD1147" s="106" t="s">
        <v>15</v>
      </c>
      <c r="AE1147" s="38" t="s">
        <v>333</v>
      </c>
    </row>
    <row r="1148" spans="1:31" ht="18" customHeight="1" x14ac:dyDescent="0.25">
      <c r="A11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8" s="79">
        <v>4</v>
      </c>
      <c r="C1148" s="23">
        <v>44873</v>
      </c>
      <c r="D1148" s="67">
        <f>IF(COUNTIF($G$2:$G1148,$G1148)=1,1,0)</f>
        <v>0</v>
      </c>
      <c r="E1148" s="67" t="str">
        <f>IFERROR(VLOOKUP(База_КР_КК[[#This Row],[ИД штатной должности (S)]],'уровень защищенности'!$B$7:$F$1095,5,0),"не защищена")</f>
        <v>высокий</v>
      </c>
      <c r="F1148" s="68">
        <v>500222</v>
      </c>
      <c r="G1148" s="74" t="s">
        <v>2405</v>
      </c>
      <c r="H1148" s="181">
        <f>INDEX('Списки данных'!$D$2:$D$1048576,MATCH(База_КР_КК[[#This Row],[Структурное подразделение]],'Списки данных'!$C$2:$C$1048576,0))</f>
        <v>28</v>
      </c>
      <c r="I1148" s="80" t="s">
        <v>164</v>
      </c>
      <c r="J1148" s="80" t="s">
        <v>207</v>
      </c>
      <c r="K1148" s="80" t="s">
        <v>208</v>
      </c>
      <c r="L1148" s="30" t="s">
        <v>191</v>
      </c>
      <c r="M1148" s="68">
        <v>7</v>
      </c>
      <c r="N1148" s="181" t="str">
        <f t="shared" si="18"/>
        <v>да</v>
      </c>
      <c r="O1148" s="23">
        <v>44622</v>
      </c>
      <c r="P1148" s="23"/>
      <c r="Q1148" s="106"/>
      <c r="R1148" s="37" t="s">
        <v>23</v>
      </c>
      <c r="S1148" s="37" t="s">
        <v>23</v>
      </c>
      <c r="T1148" s="37">
        <v>1318</v>
      </c>
      <c r="U1148" s="38" t="s">
        <v>1714</v>
      </c>
      <c r="V1148" s="69" t="s">
        <v>272</v>
      </c>
      <c r="W1148" s="69" t="s">
        <v>164</v>
      </c>
      <c r="X1148" s="106" t="s">
        <v>296</v>
      </c>
      <c r="Y1148" s="107" t="s">
        <v>18</v>
      </c>
      <c r="Z1148" s="67">
        <f>IF(База_КР_КК[[#This Row],[Таб.номер резервиста]]="-","-",IF(OR(База_КР_КК[[#This Row],[Уровень КК]]=2,База_КР_КК[[#This Row],[Уровень КК]]=3),IF(COUNTIFS($U$2:$U1148,$U1148,$F$2:$F1148,$F1148)=1,1,0),IF(COUNTIFS($U$2:$U1148,$U1148,$L$2:$L1148,$L1148)=1,1,0)))</f>
        <v>0</v>
      </c>
      <c r="AA11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8" s="106" t="s">
        <v>38</v>
      </c>
      <c r="AC1148" s="51">
        <v>45071</v>
      </c>
      <c r="AD1148" s="106" t="s">
        <v>31</v>
      </c>
      <c r="AE1148" s="38" t="s">
        <v>335</v>
      </c>
    </row>
    <row r="1149" spans="1:31" ht="18" customHeight="1" x14ac:dyDescent="0.25">
      <c r="A11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49" s="79">
        <v>4</v>
      </c>
      <c r="C1149" s="23">
        <v>44873</v>
      </c>
      <c r="D1149" s="67">
        <f>IF(COUNTIF($G$2:$G1149,$G1149)=1,1,0)</f>
        <v>0</v>
      </c>
      <c r="E1149" s="67" t="str">
        <f>IFERROR(VLOOKUP(База_КР_КК[[#This Row],[ИД штатной должности (S)]],'уровень защищенности'!$B$7:$F$1095,5,0),"не защищена")</f>
        <v>высокий</v>
      </c>
      <c r="F1149" s="68">
        <v>500222</v>
      </c>
      <c r="G1149" s="74" t="s">
        <v>2405</v>
      </c>
      <c r="H1149" s="181">
        <f>INDEX('Списки данных'!$D$2:$D$1048576,MATCH(База_КР_КК[[#This Row],[Структурное подразделение]],'Списки данных'!$C$2:$C$1048576,0))</f>
        <v>28</v>
      </c>
      <c r="I1149" s="80" t="s">
        <v>164</v>
      </c>
      <c r="J1149" s="80" t="s">
        <v>207</v>
      </c>
      <c r="K1149" s="80" t="s">
        <v>208</v>
      </c>
      <c r="L1149" s="30" t="s">
        <v>191</v>
      </c>
      <c r="M1149" s="68">
        <v>7</v>
      </c>
      <c r="N1149" s="181" t="str">
        <f t="shared" si="18"/>
        <v>да</v>
      </c>
      <c r="O1149" s="23">
        <v>44622</v>
      </c>
      <c r="P1149" s="23"/>
      <c r="Q1149" s="106"/>
      <c r="R1149" s="37" t="s">
        <v>23</v>
      </c>
      <c r="S1149" s="37" t="s">
        <v>23</v>
      </c>
      <c r="T1149" s="37">
        <v>241</v>
      </c>
      <c r="U1149" s="38" t="s">
        <v>653</v>
      </c>
      <c r="V1149" s="69" t="s">
        <v>272</v>
      </c>
      <c r="W1149" s="69" t="s">
        <v>164</v>
      </c>
      <c r="X1149" s="106" t="s">
        <v>295</v>
      </c>
      <c r="Y1149" s="107" t="s">
        <v>14</v>
      </c>
      <c r="Z1149" s="67">
        <f>IF(База_КР_КК[[#This Row],[Таб.номер резервиста]]="-","-",IF(OR(База_КР_КК[[#This Row],[Уровень КК]]=2,База_КР_КК[[#This Row],[Уровень КК]]=3),IF(COUNTIFS($U$2:$U1149,$U1149,$F$2:$F1149,$F1149)=1,1,0),IF(COUNTIFS($U$2:$U1149,$U1149,$L$2:$L1149,$L1149)=1,1,0)))</f>
        <v>0</v>
      </c>
      <c r="AA11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49" s="106" t="s">
        <v>24</v>
      </c>
      <c r="AC1149" s="51">
        <v>44910</v>
      </c>
      <c r="AD1149" s="106" t="s">
        <v>15</v>
      </c>
      <c r="AE1149" s="38" t="s">
        <v>333</v>
      </c>
    </row>
    <row r="1150" spans="1:31" ht="18" customHeight="1" x14ac:dyDescent="0.25">
      <c r="A11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0" s="79">
        <v>4</v>
      </c>
      <c r="C1150" s="23">
        <v>44873</v>
      </c>
      <c r="D1150" s="67">
        <f>IF(COUNTIF($G$2:$G1150,$G1150)=1,1,0)</f>
        <v>1</v>
      </c>
      <c r="E1150" s="67" t="str">
        <f>IFERROR(VLOOKUP(База_КР_КК[[#This Row],[ИД штатной должности (S)]],'уровень защищенности'!$B$7:$F$1095,5,0),"не защищена")</f>
        <v>высокий</v>
      </c>
      <c r="F1150" s="68">
        <v>500222</v>
      </c>
      <c r="G1150" s="74" t="s">
        <v>2406</v>
      </c>
      <c r="H1150" s="181">
        <f>INDEX('Списки данных'!$D$2:$D$1048576,MATCH(База_КР_КК[[#This Row],[Структурное подразделение]],'Списки данных'!$C$2:$C$1048576,0))</f>
        <v>28</v>
      </c>
      <c r="I1150" s="80" t="s">
        <v>164</v>
      </c>
      <c r="J1150" s="80" t="s">
        <v>207</v>
      </c>
      <c r="K1150" s="80" t="s">
        <v>208</v>
      </c>
      <c r="L1150" s="30" t="s">
        <v>191</v>
      </c>
      <c r="M1150" s="68">
        <v>7</v>
      </c>
      <c r="N1150" s="181" t="str">
        <f t="shared" si="18"/>
        <v>да</v>
      </c>
      <c r="O1150" s="23">
        <v>44622</v>
      </c>
      <c r="P1150" s="23">
        <v>44910</v>
      </c>
      <c r="Q1150" s="106" t="s">
        <v>66</v>
      </c>
      <c r="R1150" s="37">
        <v>241</v>
      </c>
      <c r="S1150" s="38" t="s">
        <v>653</v>
      </c>
      <c r="T1150" s="37">
        <v>1317</v>
      </c>
      <c r="U1150" s="39" t="s">
        <v>1713</v>
      </c>
      <c r="V1150" s="69" t="s">
        <v>272</v>
      </c>
      <c r="W1150" s="69" t="s">
        <v>164</v>
      </c>
      <c r="X1150" s="106" t="s">
        <v>297</v>
      </c>
      <c r="Y1150" s="107" t="s">
        <v>12</v>
      </c>
      <c r="Z1150" s="67">
        <f>IF(База_КР_КК[[#This Row],[Таб.номер резервиста]]="-","-",IF(OR(База_КР_КК[[#This Row],[Уровень КК]]=2,База_КР_КК[[#This Row],[Уровень КК]]=3),IF(COUNTIFS($U$2:$U1150,$U1150,$F$2:$F1150,$F1150)=1,1,0),IF(COUNTIFS($U$2:$U1150,$U1150,$L$2:$L1150,$L1150)=1,1,0)))</f>
        <v>0</v>
      </c>
      <c r="AA11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0" s="106"/>
      <c r="AC1150" s="51"/>
      <c r="AD1150" s="106" t="s">
        <v>15</v>
      </c>
      <c r="AE1150" s="38" t="s">
        <v>333</v>
      </c>
    </row>
    <row r="1151" spans="1:31" ht="18" customHeight="1" x14ac:dyDescent="0.25">
      <c r="A11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1" s="79">
        <v>4</v>
      </c>
      <c r="C1151" s="23">
        <v>44873</v>
      </c>
      <c r="D1151" s="67">
        <f>IF(COUNTIF($G$2:$G1151,$G1151)=1,1,0)</f>
        <v>0</v>
      </c>
      <c r="E1151" s="67" t="str">
        <f>IFERROR(VLOOKUP(База_КР_КК[[#This Row],[ИД штатной должности (S)]],'уровень защищенности'!$B$7:$F$1095,5,0),"не защищена")</f>
        <v>высокий</v>
      </c>
      <c r="F1151" s="68">
        <v>500222</v>
      </c>
      <c r="G1151" s="74" t="s">
        <v>2406</v>
      </c>
      <c r="H1151" s="181">
        <f>INDEX('Списки данных'!$D$2:$D$1048576,MATCH(База_КР_КК[[#This Row],[Структурное подразделение]],'Списки данных'!$C$2:$C$1048576,0))</f>
        <v>28</v>
      </c>
      <c r="I1151" s="80" t="s">
        <v>164</v>
      </c>
      <c r="J1151" s="80" t="s">
        <v>207</v>
      </c>
      <c r="K1151" s="80" t="s">
        <v>208</v>
      </c>
      <c r="L1151" s="30" t="s">
        <v>191</v>
      </c>
      <c r="M1151" s="68">
        <v>7</v>
      </c>
      <c r="N1151" s="181" t="str">
        <f t="shared" si="18"/>
        <v>да</v>
      </c>
      <c r="O1151" s="23">
        <v>44622</v>
      </c>
      <c r="P1151" s="23">
        <v>44910</v>
      </c>
      <c r="Q1151" s="106" t="s">
        <v>66</v>
      </c>
      <c r="R1151" s="37">
        <v>241</v>
      </c>
      <c r="S1151" s="38" t="s">
        <v>653</v>
      </c>
      <c r="T1151" s="37">
        <v>1318</v>
      </c>
      <c r="U1151" s="38" t="s">
        <v>1714</v>
      </c>
      <c r="V1151" s="69" t="s">
        <v>272</v>
      </c>
      <c r="W1151" s="69" t="s">
        <v>164</v>
      </c>
      <c r="X1151" s="106" t="s">
        <v>296</v>
      </c>
      <c r="Y1151" s="107" t="s">
        <v>18</v>
      </c>
      <c r="Z1151" s="67">
        <f>IF(База_КР_КК[[#This Row],[Таб.номер резервиста]]="-","-",IF(OR(База_КР_КК[[#This Row],[Уровень КК]]=2,База_КР_КК[[#This Row],[Уровень КК]]=3),IF(COUNTIFS($U$2:$U1151,$U1151,$F$2:$F1151,$F1151)=1,1,0),IF(COUNTIFS($U$2:$U1151,$U1151,$L$2:$L1151,$L1151)=1,1,0)))</f>
        <v>0</v>
      </c>
      <c r="AA11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1" s="106" t="s">
        <v>38</v>
      </c>
      <c r="AC1151" s="51">
        <v>45071</v>
      </c>
      <c r="AD1151" s="106" t="s">
        <v>31</v>
      </c>
      <c r="AE1151" s="38" t="s">
        <v>335</v>
      </c>
    </row>
    <row r="1152" spans="1:31" ht="18" customHeight="1" x14ac:dyDescent="0.25">
      <c r="A11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2" s="79">
        <v>4</v>
      </c>
      <c r="C1152" s="23">
        <v>44873</v>
      </c>
      <c r="D1152" s="67">
        <f>IF(COUNTIF($G$2:$G1152,$G1152)=1,1,0)</f>
        <v>0</v>
      </c>
      <c r="E1152" s="67" t="str">
        <f>IFERROR(VLOOKUP(База_КР_КК[[#This Row],[ИД штатной должности (S)]],'уровень защищенности'!$B$7:$F$1095,5,0),"не защищена")</f>
        <v>высокий</v>
      </c>
      <c r="F1152" s="68">
        <v>500222</v>
      </c>
      <c r="G1152" s="74" t="s">
        <v>2406</v>
      </c>
      <c r="H1152" s="181">
        <f>INDEX('Списки данных'!$D$2:$D$1048576,MATCH(База_КР_КК[[#This Row],[Структурное подразделение]],'Списки данных'!$C$2:$C$1048576,0))</f>
        <v>28</v>
      </c>
      <c r="I1152" s="80" t="s">
        <v>164</v>
      </c>
      <c r="J1152" s="80" t="s">
        <v>207</v>
      </c>
      <c r="K1152" s="80" t="s">
        <v>208</v>
      </c>
      <c r="L1152" s="30" t="s">
        <v>191</v>
      </c>
      <c r="M1152" s="68">
        <v>7</v>
      </c>
      <c r="N1152" s="181" t="str">
        <f t="shared" si="18"/>
        <v>да</v>
      </c>
      <c r="O1152" s="23">
        <v>44622</v>
      </c>
      <c r="P1152" s="23">
        <v>44910</v>
      </c>
      <c r="Q1152" s="106" t="s">
        <v>66</v>
      </c>
      <c r="R1152" s="37">
        <v>241</v>
      </c>
      <c r="S1152" s="38" t="s">
        <v>653</v>
      </c>
      <c r="T1152" s="37">
        <v>241</v>
      </c>
      <c r="U1152" s="38" t="s">
        <v>653</v>
      </c>
      <c r="V1152" s="69" t="s">
        <v>272</v>
      </c>
      <c r="W1152" s="69" t="s">
        <v>164</v>
      </c>
      <c r="X1152" s="106" t="s">
        <v>295</v>
      </c>
      <c r="Y1152" s="107" t="s">
        <v>14</v>
      </c>
      <c r="Z1152" s="67">
        <f>IF(База_КР_КК[[#This Row],[Таб.номер резервиста]]="-","-",IF(OR(База_КР_КК[[#This Row],[Уровень КК]]=2,База_КР_КК[[#This Row],[Уровень КК]]=3),IF(COUNTIFS($U$2:$U1152,$U1152,$F$2:$F1152,$F1152)=1,1,0),IF(COUNTIFS($U$2:$U1152,$U1152,$L$2:$L1152,$L1152)=1,1,0)))</f>
        <v>0</v>
      </c>
      <c r="AA11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152" s="106" t="s">
        <v>24</v>
      </c>
      <c r="AC1152" s="51">
        <v>44910</v>
      </c>
      <c r="AD1152" s="106" t="s">
        <v>15</v>
      </c>
      <c r="AE1152" s="38" t="s">
        <v>333</v>
      </c>
    </row>
    <row r="1153" spans="1:31" ht="18" customHeight="1" x14ac:dyDescent="0.25">
      <c r="A11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3" s="79">
        <v>4</v>
      </c>
      <c r="C1153" s="23">
        <v>44873</v>
      </c>
      <c r="D1153" s="67">
        <f>IF(COUNTIF($G$2:$G1153,$G1153)=1,1,0)</f>
        <v>1</v>
      </c>
      <c r="E1153" s="67" t="str">
        <f>IFERROR(VLOOKUP(База_КР_КК[[#This Row],[ИД штатной должности (S)]],'уровень защищенности'!$B$7:$F$1095,5,0),"не защищена")</f>
        <v>средний</v>
      </c>
      <c r="F1153" s="68">
        <v>500570</v>
      </c>
      <c r="G1153" s="74" t="s">
        <v>2407</v>
      </c>
      <c r="H1153" s="181">
        <f>INDEX('Списки данных'!$D$2:$D$1048576,MATCH(База_КР_КК[[#This Row],[Структурное подразделение]],'Списки данных'!$C$2:$C$1048576,0))</f>
        <v>28</v>
      </c>
      <c r="I1153" s="80" t="s">
        <v>164</v>
      </c>
      <c r="J1153" s="80" t="s">
        <v>207</v>
      </c>
      <c r="K1153" s="80" t="s">
        <v>208</v>
      </c>
      <c r="L1153" s="30" t="s">
        <v>191</v>
      </c>
      <c r="M1153" s="68">
        <v>7</v>
      </c>
      <c r="N1153" s="181" t="str">
        <f t="shared" ref="N1153:N1216" si="19">IF(ISBLANK(O1153),"нет","да")</f>
        <v>нет</v>
      </c>
      <c r="O1153" s="23"/>
      <c r="P1153" s="23"/>
      <c r="Q1153" s="106"/>
      <c r="R1153" s="37">
        <v>242</v>
      </c>
      <c r="S1153" s="39" t="s">
        <v>654</v>
      </c>
      <c r="T1153" s="37">
        <v>1319</v>
      </c>
      <c r="U1153" s="38" t="s">
        <v>1715</v>
      </c>
      <c r="V1153" s="69" t="s">
        <v>272</v>
      </c>
      <c r="W1153" s="69" t="s">
        <v>164</v>
      </c>
      <c r="X1153" s="106" t="s">
        <v>296</v>
      </c>
      <c r="Y1153" s="107" t="s">
        <v>12</v>
      </c>
      <c r="Z1153" s="67">
        <f>IF(База_КР_КК[[#This Row],[Таб.номер резервиста]]="-","-",IF(OR(База_КР_КК[[#This Row],[Уровень КК]]=2,База_КР_КК[[#This Row],[Уровень КК]]=3),IF(COUNTIFS($U$2:$U1153,$U1153,$F$2:$F1153,$F1153)=1,1,0),IF(COUNTIFS($U$2:$U1153,$U1153,$L$2:$L1153,$L1153)=1,1,0)))</f>
        <v>1</v>
      </c>
      <c r="AA11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3" s="106"/>
      <c r="AC1153" s="51"/>
      <c r="AD1153" s="106" t="s">
        <v>15</v>
      </c>
      <c r="AE1153" s="38" t="s">
        <v>333</v>
      </c>
    </row>
    <row r="1154" spans="1:31" ht="18" customHeight="1" x14ac:dyDescent="0.25">
      <c r="A11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4" s="79">
        <v>4</v>
      </c>
      <c r="C1154" s="23">
        <v>44873</v>
      </c>
      <c r="D1154" s="67">
        <f>IF(COUNTIF($G$2:$G1154,$G1154)=1,1,0)</f>
        <v>0</v>
      </c>
      <c r="E1154" s="67" t="str">
        <f>IFERROR(VLOOKUP(База_КР_КК[[#This Row],[ИД штатной должности (S)]],'уровень защищенности'!$B$7:$F$1095,5,0),"не защищена")</f>
        <v>средний</v>
      </c>
      <c r="F1154" s="68">
        <v>500570</v>
      </c>
      <c r="G1154" s="74" t="s">
        <v>2407</v>
      </c>
      <c r="H1154" s="181">
        <f>INDEX('Списки данных'!$D$2:$D$1048576,MATCH(База_КР_КК[[#This Row],[Структурное подразделение]],'Списки данных'!$C$2:$C$1048576,0))</f>
        <v>28</v>
      </c>
      <c r="I1154" s="80" t="s">
        <v>164</v>
      </c>
      <c r="J1154" s="80" t="s">
        <v>207</v>
      </c>
      <c r="K1154" s="80" t="s">
        <v>208</v>
      </c>
      <c r="L1154" s="30" t="s">
        <v>191</v>
      </c>
      <c r="M1154" s="68">
        <v>7</v>
      </c>
      <c r="N1154" s="181" t="str">
        <f t="shared" si="19"/>
        <v>нет</v>
      </c>
      <c r="O1154" s="23"/>
      <c r="P1154" s="23"/>
      <c r="Q1154" s="106"/>
      <c r="R1154" s="37">
        <v>242</v>
      </c>
      <c r="S1154" s="39" t="s">
        <v>654</v>
      </c>
      <c r="T1154" s="37">
        <v>1320</v>
      </c>
      <c r="U1154" s="38" t="s">
        <v>1716</v>
      </c>
      <c r="V1154" s="69" t="s">
        <v>272</v>
      </c>
      <c r="W1154" s="69" t="s">
        <v>164</v>
      </c>
      <c r="X1154" s="106" t="s">
        <v>297</v>
      </c>
      <c r="Y1154" s="107" t="s">
        <v>12</v>
      </c>
      <c r="Z1154" s="67">
        <f>IF(База_КР_КК[[#This Row],[Таб.номер резервиста]]="-","-",IF(OR(База_КР_КК[[#This Row],[Уровень КК]]=2,База_КР_КК[[#This Row],[Уровень КК]]=3),IF(COUNTIFS($U$2:$U1154,$U1154,$F$2:$F1154,$F1154)=1,1,0),IF(COUNTIFS($U$2:$U1154,$U1154,$L$2:$L1154,$L1154)=1,1,0)))</f>
        <v>1</v>
      </c>
      <c r="AA11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4" s="106"/>
      <c r="AC1154" s="51"/>
      <c r="AD1154" s="106" t="s">
        <v>15</v>
      </c>
      <c r="AE1154" s="38" t="s">
        <v>333</v>
      </c>
    </row>
    <row r="1155" spans="1:31" ht="18" customHeight="1" x14ac:dyDescent="0.25">
      <c r="A11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5" s="79">
        <v>4</v>
      </c>
      <c r="C1155" s="23">
        <v>44873</v>
      </c>
      <c r="D1155" s="67">
        <f>IF(COUNTIF($G$2:$G1155,$G1155)=1,1,0)</f>
        <v>0</v>
      </c>
      <c r="E1155" s="67" t="str">
        <f>IFERROR(VLOOKUP(База_КР_КК[[#This Row],[ИД штатной должности (S)]],'уровень защищенности'!$B$7:$F$1095,5,0),"не защищена")</f>
        <v>средний</v>
      </c>
      <c r="F1155" s="68">
        <v>500570</v>
      </c>
      <c r="G1155" s="74" t="s">
        <v>2407</v>
      </c>
      <c r="H1155" s="181">
        <f>INDEX('Списки данных'!$D$2:$D$1048576,MATCH(База_КР_КК[[#This Row],[Структурное подразделение]],'Списки данных'!$C$2:$C$1048576,0))</f>
        <v>28</v>
      </c>
      <c r="I1155" s="80" t="s">
        <v>164</v>
      </c>
      <c r="J1155" s="80" t="s">
        <v>207</v>
      </c>
      <c r="K1155" s="80" t="s">
        <v>208</v>
      </c>
      <c r="L1155" s="30" t="s">
        <v>191</v>
      </c>
      <c r="M1155" s="68">
        <v>7</v>
      </c>
      <c r="N1155" s="181" t="str">
        <f t="shared" si="19"/>
        <v>нет</v>
      </c>
      <c r="O1155" s="23"/>
      <c r="P1155" s="23"/>
      <c r="Q1155" s="106"/>
      <c r="R1155" s="37">
        <v>242</v>
      </c>
      <c r="S1155" s="39" t="s">
        <v>654</v>
      </c>
      <c r="T1155" s="37">
        <v>1321</v>
      </c>
      <c r="U1155" s="38" t="s">
        <v>1717</v>
      </c>
      <c r="V1155" s="69" t="s">
        <v>272</v>
      </c>
      <c r="W1155" s="69" t="s">
        <v>164</v>
      </c>
      <c r="X1155" s="106" t="s">
        <v>297</v>
      </c>
      <c r="Y1155" s="107" t="s">
        <v>12</v>
      </c>
      <c r="Z1155" s="67">
        <f>IF(База_КР_КК[[#This Row],[Таб.номер резервиста]]="-","-",IF(OR(База_КР_КК[[#This Row],[Уровень КК]]=2,База_КР_КК[[#This Row],[Уровень КК]]=3),IF(COUNTIFS($U$2:$U1155,$U1155,$F$2:$F1155,$F1155)=1,1,0),IF(COUNTIFS($U$2:$U1155,$U1155,$L$2:$L1155,$L1155)=1,1,0)))</f>
        <v>1</v>
      </c>
      <c r="AA11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5" s="106"/>
      <c r="AC1155" s="51"/>
      <c r="AD1155" s="106" t="s">
        <v>15</v>
      </c>
      <c r="AE1155" s="38" t="s">
        <v>333</v>
      </c>
    </row>
    <row r="1156" spans="1:31" ht="18" customHeight="1" x14ac:dyDescent="0.25">
      <c r="A11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6" s="79">
        <v>4</v>
      </c>
      <c r="C1156" s="23">
        <v>44873</v>
      </c>
      <c r="D1156" s="67">
        <f>IF(COUNTIF($G$2:$G1156,$G1156)=1,1,0)</f>
        <v>0</v>
      </c>
      <c r="E1156" s="67" t="str">
        <f>IFERROR(VLOOKUP(База_КР_КК[[#This Row],[ИД штатной должности (S)]],'уровень защищенности'!$B$7:$F$1095,5,0),"не защищена")</f>
        <v>средний</v>
      </c>
      <c r="F1156" s="68">
        <v>500570</v>
      </c>
      <c r="G1156" s="74" t="s">
        <v>2407</v>
      </c>
      <c r="H1156" s="181">
        <f>INDEX('Списки данных'!$D$2:$D$1048576,MATCH(База_КР_КК[[#This Row],[Структурное подразделение]],'Списки данных'!$C$2:$C$1048576,0))</f>
        <v>28</v>
      </c>
      <c r="I1156" s="80" t="s">
        <v>164</v>
      </c>
      <c r="J1156" s="80" t="s">
        <v>207</v>
      </c>
      <c r="K1156" s="80" t="s">
        <v>208</v>
      </c>
      <c r="L1156" s="30" t="s">
        <v>191</v>
      </c>
      <c r="M1156" s="68">
        <v>7</v>
      </c>
      <c r="N1156" s="181" t="str">
        <f t="shared" si="19"/>
        <v>нет</v>
      </c>
      <c r="O1156" s="23"/>
      <c r="P1156" s="23"/>
      <c r="Q1156" s="106"/>
      <c r="R1156" s="37">
        <v>242</v>
      </c>
      <c r="S1156" s="39" t="s">
        <v>654</v>
      </c>
      <c r="T1156" s="37">
        <v>1322</v>
      </c>
      <c r="U1156" s="38" t="s">
        <v>1718</v>
      </c>
      <c r="V1156" s="69" t="s">
        <v>272</v>
      </c>
      <c r="W1156" s="69" t="s">
        <v>164</v>
      </c>
      <c r="X1156" s="106" t="s">
        <v>296</v>
      </c>
      <c r="Y1156" s="107" t="s">
        <v>12</v>
      </c>
      <c r="Z1156" s="67">
        <f>IF(База_КР_КК[[#This Row],[Таб.номер резервиста]]="-","-",IF(OR(База_КР_КК[[#This Row],[Уровень КК]]=2,База_КР_КК[[#This Row],[Уровень КК]]=3),IF(COUNTIFS($U$2:$U1156,$U1156,$F$2:$F1156,$F1156)=1,1,0),IF(COUNTIFS($U$2:$U1156,$U1156,$L$2:$L1156,$L1156)=1,1,0)))</f>
        <v>1</v>
      </c>
      <c r="AA11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6" s="106"/>
      <c r="AC1156" s="51"/>
      <c r="AD1156" s="106" t="s">
        <v>15</v>
      </c>
      <c r="AE1156" s="38" t="s">
        <v>333</v>
      </c>
    </row>
    <row r="1157" spans="1:31" ht="18" customHeight="1" x14ac:dyDescent="0.25">
      <c r="A11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7" s="79">
        <v>4</v>
      </c>
      <c r="C1157" s="23">
        <v>44125</v>
      </c>
      <c r="D1157" s="67">
        <f>IF(COUNTIF($G$2:$G1157,$G1157)=1,1,0)</f>
        <v>0</v>
      </c>
      <c r="E1157" s="67" t="str">
        <f>IFERROR(VLOOKUP(База_КР_КК[[#This Row],[ИД штатной должности (S)]],'уровень защищенности'!$B$7:$F$1095,5,0),"не защищена")</f>
        <v>средний</v>
      </c>
      <c r="F1157" s="68">
        <v>500570</v>
      </c>
      <c r="G1157" s="74" t="s">
        <v>2407</v>
      </c>
      <c r="H1157" s="181">
        <f>INDEX('Списки данных'!$D$2:$D$1048576,MATCH(База_КР_КК[[#This Row],[Структурное подразделение]],'Списки данных'!$C$2:$C$1048576,0))</f>
        <v>28</v>
      </c>
      <c r="I1157" s="80" t="s">
        <v>164</v>
      </c>
      <c r="J1157" s="80" t="s">
        <v>207</v>
      </c>
      <c r="K1157" s="80" t="s">
        <v>208</v>
      </c>
      <c r="L1157" s="30" t="s">
        <v>191</v>
      </c>
      <c r="M1157" s="68">
        <v>7</v>
      </c>
      <c r="N1157" s="181" t="str">
        <f t="shared" si="19"/>
        <v>нет</v>
      </c>
      <c r="O1157" s="23"/>
      <c r="P1157" s="23"/>
      <c r="Q1157" s="106"/>
      <c r="R1157" s="37">
        <v>242</v>
      </c>
      <c r="S1157" s="38" t="s">
        <v>654</v>
      </c>
      <c r="T1157" s="37">
        <v>244</v>
      </c>
      <c r="U1157" s="39" t="s">
        <v>656</v>
      </c>
      <c r="V1157" s="69" t="s">
        <v>272</v>
      </c>
      <c r="W1157" s="69" t="s">
        <v>164</v>
      </c>
      <c r="X1157" s="106" t="s">
        <v>297</v>
      </c>
      <c r="Y1157" s="107" t="s">
        <v>14</v>
      </c>
      <c r="Z1157" s="67">
        <f>IF(База_КР_КК[[#This Row],[Таб.номер резервиста]]="-","-",IF(OR(База_КР_КК[[#This Row],[Уровень КК]]=2,База_КР_КК[[#This Row],[Уровень КК]]=3),IF(COUNTIFS($U$2:$U1157,$U1157,$F$2:$F1157,$F1157)=1,1,0),IF(COUNTIFS($U$2:$U1157,$U1157,$L$2:$L1157,$L1157)=1,1,0)))</f>
        <v>0</v>
      </c>
      <c r="AA11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7" s="106" t="s">
        <v>24</v>
      </c>
      <c r="AC1157" s="51">
        <v>44726</v>
      </c>
      <c r="AD1157" s="106" t="s">
        <v>15</v>
      </c>
      <c r="AE1157" s="38" t="s">
        <v>318</v>
      </c>
    </row>
    <row r="1158" spans="1:31" ht="18" customHeight="1" x14ac:dyDescent="0.25">
      <c r="A11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8" s="79">
        <v>4</v>
      </c>
      <c r="C1158" s="23">
        <v>44873</v>
      </c>
      <c r="D1158" s="67">
        <f>IF(COUNTIF($G$2:$G1158,$G1158)=1,1,0)</f>
        <v>1</v>
      </c>
      <c r="E1158" s="67" t="str">
        <f>IFERROR(VLOOKUP(База_КР_КК[[#This Row],[ИД штатной должности (S)]],'уровень защищенности'!$B$7:$F$1095,5,0),"не защищена")</f>
        <v>средний</v>
      </c>
      <c r="F1158" s="68">
        <v>500570</v>
      </c>
      <c r="G1158" s="74" t="s">
        <v>2408</v>
      </c>
      <c r="H1158" s="181">
        <f>INDEX('Списки данных'!$D$2:$D$1048576,MATCH(База_КР_КК[[#This Row],[Структурное подразделение]],'Списки данных'!$C$2:$C$1048576,0))</f>
        <v>28</v>
      </c>
      <c r="I1158" s="80" t="s">
        <v>164</v>
      </c>
      <c r="J1158" s="80" t="s">
        <v>207</v>
      </c>
      <c r="K1158" s="80" t="s">
        <v>208</v>
      </c>
      <c r="L1158" s="30" t="s">
        <v>191</v>
      </c>
      <c r="M1158" s="68">
        <v>7</v>
      </c>
      <c r="N1158" s="181" t="str">
        <f t="shared" si="19"/>
        <v>нет</v>
      </c>
      <c r="O1158" s="23"/>
      <c r="P1158" s="23"/>
      <c r="Q1158" s="106"/>
      <c r="R1158" s="37">
        <v>243</v>
      </c>
      <c r="S1158" s="39" t="s">
        <v>655</v>
      </c>
      <c r="T1158" s="37">
        <v>1319</v>
      </c>
      <c r="U1158" s="38" t="s">
        <v>1715</v>
      </c>
      <c r="V1158" s="69" t="s">
        <v>272</v>
      </c>
      <c r="W1158" s="69" t="s">
        <v>164</v>
      </c>
      <c r="X1158" s="106" t="s">
        <v>296</v>
      </c>
      <c r="Y1158" s="107" t="s">
        <v>12</v>
      </c>
      <c r="Z1158" s="67">
        <f>IF(База_КР_КК[[#This Row],[Таб.номер резервиста]]="-","-",IF(OR(База_КР_КК[[#This Row],[Уровень КК]]=2,База_КР_КК[[#This Row],[Уровень КК]]=3),IF(COUNTIFS($U$2:$U1158,$U1158,$F$2:$F1158,$F1158)=1,1,0),IF(COUNTIFS($U$2:$U1158,$U1158,$L$2:$L1158,$L1158)=1,1,0)))</f>
        <v>0</v>
      </c>
      <c r="AA11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8" s="106"/>
      <c r="AC1158" s="51"/>
      <c r="AD1158" s="106" t="s">
        <v>15</v>
      </c>
      <c r="AE1158" s="38" t="s">
        <v>333</v>
      </c>
    </row>
    <row r="1159" spans="1:31" ht="18" customHeight="1" x14ac:dyDescent="0.25">
      <c r="A11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59" s="79">
        <v>4</v>
      </c>
      <c r="C1159" s="23">
        <v>44873</v>
      </c>
      <c r="D1159" s="67">
        <f>IF(COUNTIF($G$2:$G1159,$G1159)=1,1,0)</f>
        <v>0</v>
      </c>
      <c r="E1159" s="67" t="str">
        <f>IFERROR(VLOOKUP(База_КР_КК[[#This Row],[ИД штатной должности (S)]],'уровень защищенности'!$B$7:$F$1095,5,0),"не защищена")</f>
        <v>средний</v>
      </c>
      <c r="F1159" s="68">
        <v>500570</v>
      </c>
      <c r="G1159" s="74" t="s">
        <v>2408</v>
      </c>
      <c r="H1159" s="181">
        <f>INDEX('Списки данных'!$D$2:$D$1048576,MATCH(База_КР_КК[[#This Row],[Структурное подразделение]],'Списки данных'!$C$2:$C$1048576,0))</f>
        <v>28</v>
      </c>
      <c r="I1159" s="80" t="s">
        <v>164</v>
      </c>
      <c r="J1159" s="80" t="s">
        <v>207</v>
      </c>
      <c r="K1159" s="80" t="s">
        <v>208</v>
      </c>
      <c r="L1159" s="30" t="s">
        <v>191</v>
      </c>
      <c r="M1159" s="68">
        <v>7</v>
      </c>
      <c r="N1159" s="181" t="str">
        <f t="shared" si="19"/>
        <v>нет</v>
      </c>
      <c r="O1159" s="23"/>
      <c r="P1159" s="23"/>
      <c r="Q1159" s="106"/>
      <c r="R1159" s="37">
        <v>243</v>
      </c>
      <c r="S1159" s="39" t="s">
        <v>655</v>
      </c>
      <c r="T1159" s="37">
        <v>1320</v>
      </c>
      <c r="U1159" s="38" t="s">
        <v>1716</v>
      </c>
      <c r="V1159" s="69" t="s">
        <v>272</v>
      </c>
      <c r="W1159" s="69" t="s">
        <v>164</v>
      </c>
      <c r="X1159" s="106" t="s">
        <v>297</v>
      </c>
      <c r="Y1159" s="107" t="s">
        <v>12</v>
      </c>
      <c r="Z1159" s="67">
        <f>IF(База_КР_КК[[#This Row],[Таб.номер резервиста]]="-","-",IF(OR(База_КР_КК[[#This Row],[Уровень КК]]=2,База_КР_КК[[#This Row],[Уровень КК]]=3),IF(COUNTIFS($U$2:$U1159,$U1159,$F$2:$F1159,$F1159)=1,1,0),IF(COUNTIFS($U$2:$U1159,$U1159,$L$2:$L1159,$L1159)=1,1,0)))</f>
        <v>0</v>
      </c>
      <c r="AA11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59" s="106"/>
      <c r="AC1159" s="51"/>
      <c r="AD1159" s="106" t="s">
        <v>15</v>
      </c>
      <c r="AE1159" s="38" t="s">
        <v>333</v>
      </c>
    </row>
    <row r="1160" spans="1:31" ht="18" customHeight="1" x14ac:dyDescent="0.25">
      <c r="A11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0" s="79">
        <v>4</v>
      </c>
      <c r="C1160" s="23">
        <v>44873</v>
      </c>
      <c r="D1160" s="67">
        <f>IF(COUNTIF($G$2:$G1160,$G1160)=1,1,0)</f>
        <v>0</v>
      </c>
      <c r="E1160" s="67" t="str">
        <f>IFERROR(VLOOKUP(База_КР_КК[[#This Row],[ИД штатной должности (S)]],'уровень защищенности'!$B$7:$F$1095,5,0),"не защищена")</f>
        <v>средний</v>
      </c>
      <c r="F1160" s="68">
        <v>500570</v>
      </c>
      <c r="G1160" s="74" t="s">
        <v>2408</v>
      </c>
      <c r="H1160" s="181">
        <f>INDEX('Списки данных'!$D$2:$D$1048576,MATCH(База_КР_КК[[#This Row],[Структурное подразделение]],'Списки данных'!$C$2:$C$1048576,0))</f>
        <v>28</v>
      </c>
      <c r="I1160" s="80" t="s">
        <v>164</v>
      </c>
      <c r="J1160" s="80" t="s">
        <v>207</v>
      </c>
      <c r="K1160" s="80" t="s">
        <v>208</v>
      </c>
      <c r="L1160" s="30" t="s">
        <v>191</v>
      </c>
      <c r="M1160" s="68">
        <v>7</v>
      </c>
      <c r="N1160" s="181" t="str">
        <f t="shared" si="19"/>
        <v>нет</v>
      </c>
      <c r="O1160" s="23"/>
      <c r="P1160" s="23"/>
      <c r="Q1160" s="106"/>
      <c r="R1160" s="37">
        <v>243</v>
      </c>
      <c r="S1160" s="39" t="s">
        <v>655</v>
      </c>
      <c r="T1160" s="37">
        <v>1321</v>
      </c>
      <c r="U1160" s="38" t="s">
        <v>1717</v>
      </c>
      <c r="V1160" s="69" t="s">
        <v>272</v>
      </c>
      <c r="W1160" s="69" t="s">
        <v>164</v>
      </c>
      <c r="X1160" s="106" t="s">
        <v>297</v>
      </c>
      <c r="Y1160" s="107" t="s">
        <v>12</v>
      </c>
      <c r="Z1160" s="67">
        <f>IF(База_КР_КК[[#This Row],[Таб.номер резервиста]]="-","-",IF(OR(База_КР_КК[[#This Row],[Уровень КК]]=2,База_КР_КК[[#This Row],[Уровень КК]]=3),IF(COUNTIFS($U$2:$U1160,$U1160,$F$2:$F1160,$F1160)=1,1,0),IF(COUNTIFS($U$2:$U1160,$U1160,$L$2:$L1160,$L1160)=1,1,0)))</f>
        <v>0</v>
      </c>
      <c r="AA11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0" s="106"/>
      <c r="AC1160" s="51"/>
      <c r="AD1160" s="106" t="s">
        <v>15</v>
      </c>
      <c r="AE1160" s="38" t="s">
        <v>333</v>
      </c>
    </row>
    <row r="1161" spans="1:31" ht="18" customHeight="1" x14ac:dyDescent="0.25">
      <c r="A11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1" s="79">
        <v>4</v>
      </c>
      <c r="C1161" s="23">
        <v>44873</v>
      </c>
      <c r="D1161" s="67">
        <f>IF(COUNTIF($G$2:$G1161,$G1161)=1,1,0)</f>
        <v>0</v>
      </c>
      <c r="E1161" s="67" t="str">
        <f>IFERROR(VLOOKUP(База_КР_КК[[#This Row],[ИД штатной должности (S)]],'уровень защищенности'!$B$7:$F$1095,5,0),"не защищена")</f>
        <v>средний</v>
      </c>
      <c r="F1161" s="68">
        <v>500570</v>
      </c>
      <c r="G1161" s="74" t="s">
        <v>2408</v>
      </c>
      <c r="H1161" s="181">
        <f>INDEX('Списки данных'!$D$2:$D$1048576,MATCH(База_КР_КК[[#This Row],[Структурное подразделение]],'Списки данных'!$C$2:$C$1048576,0))</f>
        <v>28</v>
      </c>
      <c r="I1161" s="80" t="s">
        <v>164</v>
      </c>
      <c r="J1161" s="80" t="s">
        <v>207</v>
      </c>
      <c r="K1161" s="80" t="s">
        <v>208</v>
      </c>
      <c r="L1161" s="30" t="s">
        <v>191</v>
      </c>
      <c r="M1161" s="68">
        <v>7</v>
      </c>
      <c r="N1161" s="181" t="str">
        <f t="shared" si="19"/>
        <v>нет</v>
      </c>
      <c r="O1161" s="23"/>
      <c r="P1161" s="23"/>
      <c r="Q1161" s="106"/>
      <c r="R1161" s="37">
        <v>243</v>
      </c>
      <c r="S1161" s="39" t="s">
        <v>655</v>
      </c>
      <c r="T1161" s="37">
        <v>1322</v>
      </c>
      <c r="U1161" s="38" t="s">
        <v>1718</v>
      </c>
      <c r="V1161" s="69" t="s">
        <v>272</v>
      </c>
      <c r="W1161" s="69" t="s">
        <v>164</v>
      </c>
      <c r="X1161" s="106" t="s">
        <v>296</v>
      </c>
      <c r="Y1161" s="107" t="s">
        <v>12</v>
      </c>
      <c r="Z1161" s="67">
        <f>IF(База_КР_КК[[#This Row],[Таб.номер резервиста]]="-","-",IF(OR(База_КР_КК[[#This Row],[Уровень КК]]=2,База_КР_КК[[#This Row],[Уровень КК]]=3),IF(COUNTIFS($U$2:$U1161,$U1161,$F$2:$F1161,$F1161)=1,1,0),IF(COUNTIFS($U$2:$U1161,$U1161,$L$2:$L1161,$L1161)=1,1,0)))</f>
        <v>0</v>
      </c>
      <c r="AA11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1" s="106"/>
      <c r="AC1161" s="51"/>
      <c r="AD1161" s="106" t="s">
        <v>15</v>
      </c>
      <c r="AE1161" s="38" t="s">
        <v>333</v>
      </c>
    </row>
    <row r="1162" spans="1:31" ht="18" customHeight="1" x14ac:dyDescent="0.25">
      <c r="A11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2" s="79">
        <v>4</v>
      </c>
      <c r="C1162" s="23">
        <v>44125</v>
      </c>
      <c r="D1162" s="67">
        <f>IF(COUNTIF($G$2:$G1162,$G1162)=1,1,0)</f>
        <v>0</v>
      </c>
      <c r="E1162" s="67" t="str">
        <f>IFERROR(VLOOKUP(База_КР_КК[[#This Row],[ИД штатной должности (S)]],'уровень защищенности'!$B$7:$F$1095,5,0),"не защищена")</f>
        <v>средний</v>
      </c>
      <c r="F1162" s="68">
        <v>500570</v>
      </c>
      <c r="G1162" s="74" t="s">
        <v>2408</v>
      </c>
      <c r="H1162" s="181">
        <f>INDEX('Списки данных'!$D$2:$D$1048576,MATCH(База_КР_КК[[#This Row],[Структурное подразделение]],'Списки данных'!$C$2:$C$1048576,0))</f>
        <v>28</v>
      </c>
      <c r="I1162" s="80" t="s">
        <v>164</v>
      </c>
      <c r="J1162" s="80" t="s">
        <v>207</v>
      </c>
      <c r="K1162" s="80" t="s">
        <v>208</v>
      </c>
      <c r="L1162" s="30" t="s">
        <v>191</v>
      </c>
      <c r="M1162" s="68">
        <v>7</v>
      </c>
      <c r="N1162" s="181" t="str">
        <f t="shared" si="19"/>
        <v>нет</v>
      </c>
      <c r="O1162" s="23"/>
      <c r="P1162" s="23"/>
      <c r="Q1162" s="106"/>
      <c r="R1162" s="37">
        <v>243</v>
      </c>
      <c r="S1162" s="38" t="s">
        <v>655</v>
      </c>
      <c r="T1162" s="37">
        <v>244</v>
      </c>
      <c r="U1162" s="39" t="s">
        <v>656</v>
      </c>
      <c r="V1162" s="69" t="s">
        <v>272</v>
      </c>
      <c r="W1162" s="69" t="s">
        <v>164</v>
      </c>
      <c r="X1162" s="106" t="s">
        <v>297</v>
      </c>
      <c r="Y1162" s="107" t="s">
        <v>14</v>
      </c>
      <c r="Z1162" s="67">
        <f>IF(База_КР_КК[[#This Row],[Таб.номер резервиста]]="-","-",IF(OR(База_КР_КК[[#This Row],[Уровень КК]]=2,База_КР_КК[[#This Row],[Уровень КК]]=3),IF(COUNTIFS($U$2:$U1162,$U1162,$F$2:$F1162,$F1162)=1,1,0),IF(COUNTIFS($U$2:$U1162,$U1162,$L$2:$L1162,$L1162)=1,1,0)))</f>
        <v>0</v>
      </c>
      <c r="AA11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2" s="106" t="s">
        <v>24</v>
      </c>
      <c r="AC1162" s="51">
        <v>44726</v>
      </c>
      <c r="AD1162" s="106" t="s">
        <v>15</v>
      </c>
      <c r="AE1162" s="38" t="s">
        <v>318</v>
      </c>
    </row>
    <row r="1163" spans="1:31" ht="18" customHeight="1" x14ac:dyDescent="0.25">
      <c r="A11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3" s="79">
        <v>4</v>
      </c>
      <c r="C1163" s="23">
        <v>44873</v>
      </c>
      <c r="D1163" s="67">
        <f>IF(COUNTIF($G$2:$G1163,$G1163)=1,1,0)</f>
        <v>1</v>
      </c>
      <c r="E1163" s="67" t="str">
        <f>IFERROR(VLOOKUP(База_КР_КК[[#This Row],[ИД штатной должности (S)]],'уровень защищенности'!$B$7:$F$1095,5,0),"не защищена")</f>
        <v>средний</v>
      </c>
      <c r="F1163" s="68">
        <v>500570</v>
      </c>
      <c r="G1163" s="74" t="s">
        <v>2409</v>
      </c>
      <c r="H1163" s="181">
        <f>INDEX('Списки данных'!$D$2:$D$1048576,MATCH(База_КР_КК[[#This Row],[Структурное подразделение]],'Списки данных'!$C$2:$C$1048576,0))</f>
        <v>28</v>
      </c>
      <c r="I1163" s="80" t="s">
        <v>164</v>
      </c>
      <c r="J1163" s="80" t="s">
        <v>207</v>
      </c>
      <c r="K1163" s="80" t="s">
        <v>208</v>
      </c>
      <c r="L1163" s="30" t="s">
        <v>191</v>
      </c>
      <c r="M1163" s="68">
        <v>7</v>
      </c>
      <c r="N1163" s="181" t="str">
        <f t="shared" si="19"/>
        <v>да</v>
      </c>
      <c r="O1163" s="23">
        <v>44682</v>
      </c>
      <c r="P1163" s="23">
        <v>44726</v>
      </c>
      <c r="Q1163" s="106" t="s">
        <v>66</v>
      </c>
      <c r="R1163" s="37">
        <v>244</v>
      </c>
      <c r="S1163" s="39" t="s">
        <v>656</v>
      </c>
      <c r="T1163" s="37">
        <v>1319</v>
      </c>
      <c r="U1163" s="38" t="s">
        <v>1715</v>
      </c>
      <c r="V1163" s="69" t="s">
        <v>272</v>
      </c>
      <c r="W1163" s="69" t="s">
        <v>164</v>
      </c>
      <c r="X1163" s="106" t="s">
        <v>296</v>
      </c>
      <c r="Y1163" s="107" t="s">
        <v>12</v>
      </c>
      <c r="Z1163" s="67">
        <f>IF(База_КР_КК[[#This Row],[Таб.номер резервиста]]="-","-",IF(OR(База_КР_КК[[#This Row],[Уровень КК]]=2,База_КР_КК[[#This Row],[Уровень КК]]=3),IF(COUNTIFS($U$2:$U1163,$U1163,$F$2:$F1163,$F1163)=1,1,0),IF(COUNTIFS($U$2:$U1163,$U1163,$L$2:$L1163,$L1163)=1,1,0)))</f>
        <v>0</v>
      </c>
      <c r="AA11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3" s="106"/>
      <c r="AC1163" s="51"/>
      <c r="AD1163" s="106" t="s">
        <v>15</v>
      </c>
      <c r="AE1163" s="38" t="s">
        <v>333</v>
      </c>
    </row>
    <row r="1164" spans="1:31" ht="18" customHeight="1" x14ac:dyDescent="0.25">
      <c r="A11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4" s="79">
        <v>4</v>
      </c>
      <c r="C1164" s="23">
        <v>44873</v>
      </c>
      <c r="D1164" s="67">
        <f>IF(COUNTIF($G$2:$G1164,$G1164)=1,1,0)</f>
        <v>0</v>
      </c>
      <c r="E1164" s="67" t="str">
        <f>IFERROR(VLOOKUP(База_КР_КК[[#This Row],[ИД штатной должности (S)]],'уровень защищенности'!$B$7:$F$1095,5,0),"не защищена")</f>
        <v>средний</v>
      </c>
      <c r="F1164" s="68">
        <v>500570</v>
      </c>
      <c r="G1164" s="74" t="s">
        <v>2409</v>
      </c>
      <c r="H1164" s="181">
        <f>INDEX('Списки данных'!$D$2:$D$1048576,MATCH(База_КР_КК[[#This Row],[Структурное подразделение]],'Списки данных'!$C$2:$C$1048576,0))</f>
        <v>28</v>
      </c>
      <c r="I1164" s="80" t="s">
        <v>164</v>
      </c>
      <c r="J1164" s="80" t="s">
        <v>207</v>
      </c>
      <c r="K1164" s="80" t="s">
        <v>208</v>
      </c>
      <c r="L1164" s="30" t="s">
        <v>191</v>
      </c>
      <c r="M1164" s="68">
        <v>7</v>
      </c>
      <c r="N1164" s="181" t="str">
        <f t="shared" si="19"/>
        <v>да</v>
      </c>
      <c r="O1164" s="23">
        <v>44682</v>
      </c>
      <c r="P1164" s="23">
        <v>44726</v>
      </c>
      <c r="Q1164" s="106" t="s">
        <v>66</v>
      </c>
      <c r="R1164" s="37">
        <v>244</v>
      </c>
      <c r="S1164" s="39" t="s">
        <v>656</v>
      </c>
      <c r="T1164" s="37">
        <v>1320</v>
      </c>
      <c r="U1164" s="38" t="s">
        <v>1716</v>
      </c>
      <c r="V1164" s="69" t="s">
        <v>272</v>
      </c>
      <c r="W1164" s="69" t="s">
        <v>164</v>
      </c>
      <c r="X1164" s="106" t="s">
        <v>297</v>
      </c>
      <c r="Y1164" s="107" t="s">
        <v>12</v>
      </c>
      <c r="Z1164" s="67">
        <f>IF(База_КР_КК[[#This Row],[Таб.номер резервиста]]="-","-",IF(OR(База_КР_КК[[#This Row],[Уровень КК]]=2,База_КР_КК[[#This Row],[Уровень КК]]=3),IF(COUNTIFS($U$2:$U1164,$U1164,$F$2:$F1164,$F1164)=1,1,0),IF(COUNTIFS($U$2:$U1164,$U1164,$L$2:$L1164,$L1164)=1,1,0)))</f>
        <v>0</v>
      </c>
      <c r="AA11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4" s="106"/>
      <c r="AC1164" s="51"/>
      <c r="AD1164" s="106" t="s">
        <v>15</v>
      </c>
      <c r="AE1164" s="38" t="s">
        <v>333</v>
      </c>
    </row>
    <row r="1165" spans="1:31" ht="18" customHeight="1" x14ac:dyDescent="0.25">
      <c r="A11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5" s="79">
        <v>4</v>
      </c>
      <c r="C1165" s="23">
        <v>44873</v>
      </c>
      <c r="D1165" s="67">
        <f>IF(COUNTIF($G$2:$G1165,$G1165)=1,1,0)</f>
        <v>0</v>
      </c>
      <c r="E1165" s="67" t="str">
        <f>IFERROR(VLOOKUP(База_КР_КК[[#This Row],[ИД штатной должности (S)]],'уровень защищенности'!$B$7:$F$1095,5,0),"не защищена")</f>
        <v>средний</v>
      </c>
      <c r="F1165" s="68">
        <v>500570</v>
      </c>
      <c r="G1165" s="74" t="s">
        <v>2409</v>
      </c>
      <c r="H1165" s="181">
        <f>INDEX('Списки данных'!$D$2:$D$1048576,MATCH(База_КР_КК[[#This Row],[Структурное подразделение]],'Списки данных'!$C$2:$C$1048576,0))</f>
        <v>28</v>
      </c>
      <c r="I1165" s="80" t="s">
        <v>164</v>
      </c>
      <c r="J1165" s="80" t="s">
        <v>207</v>
      </c>
      <c r="K1165" s="80" t="s">
        <v>208</v>
      </c>
      <c r="L1165" s="30" t="s">
        <v>191</v>
      </c>
      <c r="M1165" s="68">
        <v>7</v>
      </c>
      <c r="N1165" s="181" t="str">
        <f t="shared" si="19"/>
        <v>да</v>
      </c>
      <c r="O1165" s="23">
        <v>44682</v>
      </c>
      <c r="P1165" s="23">
        <v>44726</v>
      </c>
      <c r="Q1165" s="106" t="s">
        <v>66</v>
      </c>
      <c r="R1165" s="37">
        <v>244</v>
      </c>
      <c r="S1165" s="39" t="s">
        <v>656</v>
      </c>
      <c r="T1165" s="37">
        <v>1321</v>
      </c>
      <c r="U1165" s="38" t="s">
        <v>1717</v>
      </c>
      <c r="V1165" s="69" t="s">
        <v>272</v>
      </c>
      <c r="W1165" s="69" t="s">
        <v>164</v>
      </c>
      <c r="X1165" s="106" t="s">
        <v>297</v>
      </c>
      <c r="Y1165" s="107" t="s">
        <v>12</v>
      </c>
      <c r="Z1165" s="67">
        <f>IF(База_КР_КК[[#This Row],[Таб.номер резервиста]]="-","-",IF(OR(База_КР_КК[[#This Row],[Уровень КК]]=2,База_КР_КК[[#This Row],[Уровень КК]]=3),IF(COUNTIFS($U$2:$U1165,$U1165,$F$2:$F1165,$F1165)=1,1,0),IF(COUNTIFS($U$2:$U1165,$U1165,$L$2:$L1165,$L1165)=1,1,0)))</f>
        <v>0</v>
      </c>
      <c r="AA11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5" s="106"/>
      <c r="AC1165" s="51"/>
      <c r="AD1165" s="106" t="s">
        <v>15</v>
      </c>
      <c r="AE1165" s="38" t="s">
        <v>333</v>
      </c>
    </row>
    <row r="1166" spans="1:31" ht="18" customHeight="1" x14ac:dyDescent="0.25">
      <c r="A11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6" s="79">
        <v>4</v>
      </c>
      <c r="C1166" s="23">
        <v>44873</v>
      </c>
      <c r="D1166" s="67">
        <f>IF(COUNTIF($G$2:$G1166,$G1166)=1,1,0)</f>
        <v>0</v>
      </c>
      <c r="E1166" s="67" t="str">
        <f>IFERROR(VLOOKUP(База_КР_КК[[#This Row],[ИД штатной должности (S)]],'уровень защищенности'!$B$7:$F$1095,5,0),"не защищена")</f>
        <v>средний</v>
      </c>
      <c r="F1166" s="68">
        <v>500570</v>
      </c>
      <c r="G1166" s="74" t="s">
        <v>2409</v>
      </c>
      <c r="H1166" s="181">
        <f>INDEX('Списки данных'!$D$2:$D$1048576,MATCH(База_КР_КК[[#This Row],[Структурное подразделение]],'Списки данных'!$C$2:$C$1048576,0))</f>
        <v>28</v>
      </c>
      <c r="I1166" s="80" t="s">
        <v>164</v>
      </c>
      <c r="J1166" s="80" t="s">
        <v>207</v>
      </c>
      <c r="K1166" s="80" t="s">
        <v>208</v>
      </c>
      <c r="L1166" s="30" t="s">
        <v>191</v>
      </c>
      <c r="M1166" s="68">
        <v>7</v>
      </c>
      <c r="N1166" s="181" t="str">
        <f t="shared" si="19"/>
        <v>да</v>
      </c>
      <c r="O1166" s="23">
        <v>44682</v>
      </c>
      <c r="P1166" s="23">
        <v>44726</v>
      </c>
      <c r="Q1166" s="106" t="s">
        <v>66</v>
      </c>
      <c r="R1166" s="37">
        <v>244</v>
      </c>
      <c r="S1166" s="39" t="s">
        <v>656</v>
      </c>
      <c r="T1166" s="37">
        <v>1322</v>
      </c>
      <c r="U1166" s="38" t="s">
        <v>1718</v>
      </c>
      <c r="V1166" s="69" t="s">
        <v>272</v>
      </c>
      <c r="W1166" s="69" t="s">
        <v>164</v>
      </c>
      <c r="X1166" s="106" t="s">
        <v>296</v>
      </c>
      <c r="Y1166" s="107" t="s">
        <v>12</v>
      </c>
      <c r="Z1166" s="67">
        <f>IF(База_КР_КК[[#This Row],[Таб.номер резервиста]]="-","-",IF(OR(База_КР_КК[[#This Row],[Уровень КК]]=2,База_КР_КК[[#This Row],[Уровень КК]]=3),IF(COUNTIFS($U$2:$U1166,$U1166,$F$2:$F1166,$F1166)=1,1,0),IF(COUNTIFS($U$2:$U1166,$U1166,$L$2:$L1166,$L1166)=1,1,0)))</f>
        <v>0</v>
      </c>
      <c r="AA11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6" s="106"/>
      <c r="AC1166" s="51"/>
      <c r="AD1166" s="106" t="s">
        <v>15</v>
      </c>
      <c r="AE1166" s="38" t="s">
        <v>333</v>
      </c>
    </row>
    <row r="1167" spans="1:31" ht="18" customHeight="1" x14ac:dyDescent="0.25">
      <c r="A11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7" s="79">
        <v>4</v>
      </c>
      <c r="C1167" s="23">
        <v>44125</v>
      </c>
      <c r="D1167" s="67">
        <f>IF(COUNTIF($G$2:$G1167,$G1167)=1,1,0)</f>
        <v>0</v>
      </c>
      <c r="E1167" s="67" t="str">
        <f>IFERROR(VLOOKUP(База_КР_КК[[#This Row],[ИД штатной должности (S)]],'уровень защищенности'!$B$7:$F$1095,5,0),"не защищена")</f>
        <v>средний</v>
      </c>
      <c r="F1167" s="68">
        <v>500570</v>
      </c>
      <c r="G1167" s="74" t="s">
        <v>2409</v>
      </c>
      <c r="H1167" s="181">
        <f>INDEX('Списки данных'!$D$2:$D$1048576,MATCH(База_КР_КК[[#This Row],[Структурное подразделение]],'Списки данных'!$C$2:$C$1048576,0))</f>
        <v>28</v>
      </c>
      <c r="I1167" s="80" t="s">
        <v>164</v>
      </c>
      <c r="J1167" s="80" t="s">
        <v>207</v>
      </c>
      <c r="K1167" s="80" t="s">
        <v>208</v>
      </c>
      <c r="L1167" s="30" t="s">
        <v>191</v>
      </c>
      <c r="M1167" s="68">
        <v>7</v>
      </c>
      <c r="N1167" s="181" t="str">
        <f t="shared" si="19"/>
        <v>да</v>
      </c>
      <c r="O1167" s="23">
        <v>44682</v>
      </c>
      <c r="P1167" s="23">
        <v>44726</v>
      </c>
      <c r="Q1167" s="106" t="s">
        <v>66</v>
      </c>
      <c r="R1167" s="37">
        <v>244</v>
      </c>
      <c r="S1167" s="38" t="s">
        <v>656</v>
      </c>
      <c r="T1167" s="37">
        <v>244</v>
      </c>
      <c r="U1167" s="39" t="s">
        <v>656</v>
      </c>
      <c r="V1167" s="69" t="s">
        <v>272</v>
      </c>
      <c r="W1167" s="69" t="s">
        <v>164</v>
      </c>
      <c r="X1167" s="106" t="s">
        <v>297</v>
      </c>
      <c r="Y1167" s="107" t="s">
        <v>14</v>
      </c>
      <c r="Z1167" s="67">
        <f>IF(База_КР_КК[[#This Row],[Таб.номер резервиста]]="-","-",IF(OR(База_КР_КК[[#This Row],[Уровень КК]]=2,База_КР_КК[[#This Row],[Уровень КК]]=3),IF(COUNTIFS($U$2:$U1167,$U1167,$F$2:$F1167,$F1167)=1,1,0),IF(COUNTIFS($U$2:$U1167,$U1167,$L$2:$L1167,$L1167)=1,1,0)))</f>
        <v>0</v>
      </c>
      <c r="AA11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167" s="106" t="s">
        <v>24</v>
      </c>
      <c r="AC1167" s="51">
        <v>44726</v>
      </c>
      <c r="AD1167" s="106" t="s">
        <v>15</v>
      </c>
      <c r="AE1167" s="38" t="s">
        <v>318</v>
      </c>
    </row>
    <row r="1168" spans="1:31" ht="18" customHeight="1" x14ac:dyDescent="0.25">
      <c r="A11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8" s="79">
        <v>4</v>
      </c>
      <c r="C1168" s="23">
        <v>44873</v>
      </c>
      <c r="D1168" s="67">
        <f>IF(COUNTIF($G$2:$G1168,$G1168)=1,1,0)</f>
        <v>1</v>
      </c>
      <c r="E1168" s="67" t="str">
        <f>IFERROR(VLOOKUP(База_КР_КК[[#This Row],[ИД штатной должности (S)]],'уровень защищенности'!$B$7:$F$1095,5,0),"не защищена")</f>
        <v>средний</v>
      </c>
      <c r="F1168" s="68">
        <v>500570</v>
      </c>
      <c r="G1168" s="74" t="s">
        <v>2410</v>
      </c>
      <c r="H1168" s="181">
        <f>INDEX('Списки данных'!$D$2:$D$1048576,MATCH(База_КР_КК[[#This Row],[Структурное подразделение]],'Списки данных'!$C$2:$C$1048576,0))</f>
        <v>28</v>
      </c>
      <c r="I1168" s="80" t="s">
        <v>164</v>
      </c>
      <c r="J1168" s="80" t="s">
        <v>207</v>
      </c>
      <c r="K1168" s="80" t="s">
        <v>208</v>
      </c>
      <c r="L1168" s="30" t="s">
        <v>191</v>
      </c>
      <c r="M1168" s="68">
        <v>7</v>
      </c>
      <c r="N1168" s="181" t="str">
        <f t="shared" si="19"/>
        <v>нет</v>
      </c>
      <c r="O1168" s="23"/>
      <c r="P1168" s="23"/>
      <c r="Q1168" s="106"/>
      <c r="R1168" s="37">
        <v>245</v>
      </c>
      <c r="S1168" s="39" t="s">
        <v>657</v>
      </c>
      <c r="T1168" s="37">
        <v>1319</v>
      </c>
      <c r="U1168" s="38" t="s">
        <v>1715</v>
      </c>
      <c r="V1168" s="69" t="s">
        <v>272</v>
      </c>
      <c r="W1168" s="69" t="s">
        <v>164</v>
      </c>
      <c r="X1168" s="106" t="s">
        <v>296</v>
      </c>
      <c r="Y1168" s="107" t="s">
        <v>12</v>
      </c>
      <c r="Z1168" s="67">
        <f>IF(База_КР_КК[[#This Row],[Таб.номер резервиста]]="-","-",IF(OR(База_КР_КК[[#This Row],[Уровень КК]]=2,База_КР_КК[[#This Row],[Уровень КК]]=3),IF(COUNTIFS($U$2:$U1168,$U1168,$F$2:$F1168,$F1168)=1,1,0),IF(COUNTIFS($U$2:$U1168,$U1168,$L$2:$L1168,$L1168)=1,1,0)))</f>
        <v>0</v>
      </c>
      <c r="AA11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8" s="106"/>
      <c r="AC1168" s="51"/>
      <c r="AD1168" s="106" t="s">
        <v>15</v>
      </c>
      <c r="AE1168" s="38" t="s">
        <v>333</v>
      </c>
    </row>
    <row r="1169" spans="1:31" ht="18" customHeight="1" x14ac:dyDescent="0.25">
      <c r="A11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69" s="79">
        <v>4</v>
      </c>
      <c r="C1169" s="23">
        <v>44873</v>
      </c>
      <c r="D1169" s="67">
        <f>IF(COUNTIF($G$2:$G1169,$G1169)=1,1,0)</f>
        <v>0</v>
      </c>
      <c r="E1169" s="67" t="str">
        <f>IFERROR(VLOOKUP(База_КР_КК[[#This Row],[ИД штатной должности (S)]],'уровень защищенности'!$B$7:$F$1095,5,0),"не защищена")</f>
        <v>средний</v>
      </c>
      <c r="F1169" s="68">
        <v>500570</v>
      </c>
      <c r="G1169" s="74" t="s">
        <v>2410</v>
      </c>
      <c r="H1169" s="181">
        <f>INDEX('Списки данных'!$D$2:$D$1048576,MATCH(База_КР_КК[[#This Row],[Структурное подразделение]],'Списки данных'!$C$2:$C$1048576,0))</f>
        <v>28</v>
      </c>
      <c r="I1169" s="80" t="s">
        <v>164</v>
      </c>
      <c r="J1169" s="80" t="s">
        <v>207</v>
      </c>
      <c r="K1169" s="80" t="s">
        <v>208</v>
      </c>
      <c r="L1169" s="30" t="s">
        <v>191</v>
      </c>
      <c r="M1169" s="68">
        <v>7</v>
      </c>
      <c r="N1169" s="181" t="str">
        <f t="shared" si="19"/>
        <v>нет</v>
      </c>
      <c r="O1169" s="23"/>
      <c r="P1169" s="23"/>
      <c r="Q1169" s="106"/>
      <c r="R1169" s="37">
        <v>245</v>
      </c>
      <c r="S1169" s="39" t="s">
        <v>657</v>
      </c>
      <c r="T1169" s="37">
        <v>1320</v>
      </c>
      <c r="U1169" s="38" t="s">
        <v>1716</v>
      </c>
      <c r="V1169" s="69" t="s">
        <v>272</v>
      </c>
      <c r="W1169" s="69" t="s">
        <v>164</v>
      </c>
      <c r="X1169" s="106" t="s">
        <v>297</v>
      </c>
      <c r="Y1169" s="107" t="s">
        <v>12</v>
      </c>
      <c r="Z1169" s="67">
        <f>IF(База_КР_КК[[#This Row],[Таб.номер резервиста]]="-","-",IF(OR(База_КР_КК[[#This Row],[Уровень КК]]=2,База_КР_КК[[#This Row],[Уровень КК]]=3),IF(COUNTIFS($U$2:$U1169,$U1169,$F$2:$F1169,$F1169)=1,1,0),IF(COUNTIFS($U$2:$U1169,$U1169,$L$2:$L1169,$L1169)=1,1,0)))</f>
        <v>0</v>
      </c>
      <c r="AA11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69" s="106"/>
      <c r="AC1169" s="51"/>
      <c r="AD1169" s="106" t="s">
        <v>15</v>
      </c>
      <c r="AE1169" s="38" t="s">
        <v>333</v>
      </c>
    </row>
    <row r="1170" spans="1:31" ht="18" customHeight="1" x14ac:dyDescent="0.25">
      <c r="A11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0" s="79">
        <v>4</v>
      </c>
      <c r="C1170" s="23">
        <v>44873</v>
      </c>
      <c r="D1170" s="67">
        <f>IF(COUNTIF($G$2:$G1170,$G1170)=1,1,0)</f>
        <v>0</v>
      </c>
      <c r="E1170" s="67" t="str">
        <f>IFERROR(VLOOKUP(База_КР_КК[[#This Row],[ИД штатной должности (S)]],'уровень защищенности'!$B$7:$F$1095,5,0),"не защищена")</f>
        <v>средний</v>
      </c>
      <c r="F1170" s="68">
        <v>500570</v>
      </c>
      <c r="G1170" s="74" t="s">
        <v>2410</v>
      </c>
      <c r="H1170" s="181">
        <f>INDEX('Списки данных'!$D$2:$D$1048576,MATCH(База_КР_КК[[#This Row],[Структурное подразделение]],'Списки данных'!$C$2:$C$1048576,0))</f>
        <v>28</v>
      </c>
      <c r="I1170" s="80" t="s">
        <v>164</v>
      </c>
      <c r="J1170" s="80" t="s">
        <v>207</v>
      </c>
      <c r="K1170" s="80" t="s">
        <v>208</v>
      </c>
      <c r="L1170" s="30" t="s">
        <v>191</v>
      </c>
      <c r="M1170" s="68">
        <v>7</v>
      </c>
      <c r="N1170" s="181" t="str">
        <f t="shared" si="19"/>
        <v>нет</v>
      </c>
      <c r="O1170" s="23"/>
      <c r="P1170" s="23"/>
      <c r="Q1170" s="106"/>
      <c r="R1170" s="37">
        <v>245</v>
      </c>
      <c r="S1170" s="39" t="s">
        <v>657</v>
      </c>
      <c r="T1170" s="37">
        <v>1321</v>
      </c>
      <c r="U1170" s="38" t="s">
        <v>1717</v>
      </c>
      <c r="V1170" s="69" t="s">
        <v>272</v>
      </c>
      <c r="W1170" s="69" t="s">
        <v>164</v>
      </c>
      <c r="X1170" s="106" t="s">
        <v>297</v>
      </c>
      <c r="Y1170" s="107" t="s">
        <v>12</v>
      </c>
      <c r="Z1170" s="67">
        <f>IF(База_КР_КК[[#This Row],[Таб.номер резервиста]]="-","-",IF(OR(База_КР_КК[[#This Row],[Уровень КК]]=2,База_КР_КК[[#This Row],[Уровень КК]]=3),IF(COUNTIFS($U$2:$U1170,$U1170,$F$2:$F1170,$F1170)=1,1,0),IF(COUNTIFS($U$2:$U1170,$U1170,$L$2:$L1170,$L1170)=1,1,0)))</f>
        <v>0</v>
      </c>
      <c r="AA11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0" s="106"/>
      <c r="AC1170" s="51"/>
      <c r="AD1170" s="106" t="s">
        <v>15</v>
      </c>
      <c r="AE1170" s="38" t="s">
        <v>333</v>
      </c>
    </row>
    <row r="1171" spans="1:31" ht="18" customHeight="1" x14ac:dyDescent="0.25">
      <c r="A11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1" s="79">
        <v>4</v>
      </c>
      <c r="C1171" s="23">
        <v>44873</v>
      </c>
      <c r="D1171" s="67">
        <f>IF(COUNTIF($G$2:$G1171,$G1171)=1,1,0)</f>
        <v>0</v>
      </c>
      <c r="E1171" s="67" t="str">
        <f>IFERROR(VLOOKUP(База_КР_КК[[#This Row],[ИД штатной должности (S)]],'уровень защищенности'!$B$7:$F$1095,5,0),"не защищена")</f>
        <v>средний</v>
      </c>
      <c r="F1171" s="68">
        <v>500570</v>
      </c>
      <c r="G1171" s="74" t="s">
        <v>2410</v>
      </c>
      <c r="H1171" s="181">
        <f>INDEX('Списки данных'!$D$2:$D$1048576,MATCH(База_КР_КК[[#This Row],[Структурное подразделение]],'Списки данных'!$C$2:$C$1048576,0))</f>
        <v>28</v>
      </c>
      <c r="I1171" s="80" t="s">
        <v>164</v>
      </c>
      <c r="J1171" s="80" t="s">
        <v>207</v>
      </c>
      <c r="K1171" s="80" t="s">
        <v>208</v>
      </c>
      <c r="L1171" s="30" t="s">
        <v>191</v>
      </c>
      <c r="M1171" s="68">
        <v>7</v>
      </c>
      <c r="N1171" s="181" t="str">
        <f t="shared" si="19"/>
        <v>нет</v>
      </c>
      <c r="O1171" s="23"/>
      <c r="P1171" s="23"/>
      <c r="Q1171" s="106"/>
      <c r="R1171" s="37">
        <v>245</v>
      </c>
      <c r="S1171" s="39" t="s">
        <v>657</v>
      </c>
      <c r="T1171" s="37">
        <v>1322</v>
      </c>
      <c r="U1171" s="38" t="s">
        <v>1718</v>
      </c>
      <c r="V1171" s="69" t="s">
        <v>272</v>
      </c>
      <c r="W1171" s="69" t="s">
        <v>164</v>
      </c>
      <c r="X1171" s="106" t="s">
        <v>296</v>
      </c>
      <c r="Y1171" s="107" t="s">
        <v>12</v>
      </c>
      <c r="Z1171" s="67">
        <f>IF(База_КР_КК[[#This Row],[Таб.номер резервиста]]="-","-",IF(OR(База_КР_КК[[#This Row],[Уровень КК]]=2,База_КР_КК[[#This Row],[Уровень КК]]=3),IF(COUNTIFS($U$2:$U1171,$U1171,$F$2:$F1171,$F1171)=1,1,0),IF(COUNTIFS($U$2:$U1171,$U1171,$L$2:$L1171,$L1171)=1,1,0)))</f>
        <v>0</v>
      </c>
      <c r="AA11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1" s="106"/>
      <c r="AC1171" s="51"/>
      <c r="AD1171" s="106" t="s">
        <v>15</v>
      </c>
      <c r="AE1171" s="38" t="s">
        <v>333</v>
      </c>
    </row>
    <row r="1172" spans="1:31" ht="18" customHeight="1" x14ac:dyDescent="0.25">
      <c r="A11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2" s="79">
        <v>4</v>
      </c>
      <c r="C1172" s="23">
        <v>44125</v>
      </c>
      <c r="D1172" s="67">
        <f>IF(COUNTIF($G$2:$G1172,$G1172)=1,1,0)</f>
        <v>0</v>
      </c>
      <c r="E1172" s="67" t="str">
        <f>IFERROR(VLOOKUP(База_КР_КК[[#This Row],[ИД штатной должности (S)]],'уровень защищенности'!$B$7:$F$1095,5,0),"не защищена")</f>
        <v>средний</v>
      </c>
      <c r="F1172" s="68">
        <v>500570</v>
      </c>
      <c r="G1172" s="74" t="s">
        <v>2410</v>
      </c>
      <c r="H1172" s="181">
        <f>INDEX('Списки данных'!$D$2:$D$1048576,MATCH(База_КР_КК[[#This Row],[Структурное подразделение]],'Списки данных'!$C$2:$C$1048576,0))</f>
        <v>28</v>
      </c>
      <c r="I1172" s="80" t="s">
        <v>164</v>
      </c>
      <c r="J1172" s="80" t="s">
        <v>207</v>
      </c>
      <c r="K1172" s="80" t="s">
        <v>208</v>
      </c>
      <c r="L1172" s="30" t="s">
        <v>191</v>
      </c>
      <c r="M1172" s="68">
        <v>7</v>
      </c>
      <c r="N1172" s="181" t="str">
        <f t="shared" si="19"/>
        <v>нет</v>
      </c>
      <c r="O1172" s="23"/>
      <c r="P1172" s="23"/>
      <c r="Q1172" s="106"/>
      <c r="R1172" s="37">
        <v>245</v>
      </c>
      <c r="S1172" s="38" t="s">
        <v>657</v>
      </c>
      <c r="T1172" s="37">
        <v>244</v>
      </c>
      <c r="U1172" s="39" t="s">
        <v>656</v>
      </c>
      <c r="V1172" s="69" t="s">
        <v>272</v>
      </c>
      <c r="W1172" s="69" t="s">
        <v>164</v>
      </c>
      <c r="X1172" s="106" t="s">
        <v>297</v>
      </c>
      <c r="Y1172" s="107" t="s">
        <v>14</v>
      </c>
      <c r="Z1172" s="67">
        <f>IF(База_КР_КК[[#This Row],[Таб.номер резервиста]]="-","-",IF(OR(База_КР_КК[[#This Row],[Уровень КК]]=2,База_КР_КК[[#This Row],[Уровень КК]]=3),IF(COUNTIFS($U$2:$U1172,$U1172,$F$2:$F1172,$F1172)=1,1,0),IF(COUNTIFS($U$2:$U1172,$U1172,$L$2:$L1172,$L1172)=1,1,0)))</f>
        <v>0</v>
      </c>
      <c r="AA11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2" s="106" t="s">
        <v>24</v>
      </c>
      <c r="AC1172" s="51">
        <v>44726</v>
      </c>
      <c r="AD1172" s="106" t="s">
        <v>15</v>
      </c>
      <c r="AE1172" s="38" t="s">
        <v>318</v>
      </c>
    </row>
    <row r="1173" spans="1:31" ht="18" customHeight="1" x14ac:dyDescent="0.25">
      <c r="A11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3" s="79">
        <v>3</v>
      </c>
      <c r="C1173" s="23">
        <v>43557</v>
      </c>
      <c r="D1173" s="67">
        <f>IF(COUNTIF($G$2:$G1173,$G1173)=1,1,0)</f>
        <v>1</v>
      </c>
      <c r="E1173" s="67" t="str">
        <f>IFERROR(VLOOKUP(База_КР_КК[[#This Row],[ИД штатной должности (S)]],'уровень защищенности'!$B$7:$F$1095,5,0),"не защищена")</f>
        <v>средний</v>
      </c>
      <c r="F1173" s="68">
        <v>500578</v>
      </c>
      <c r="G1173" s="74" t="s">
        <v>2411</v>
      </c>
      <c r="H1173" s="181">
        <f>INDEX('Списки данных'!$D$2:$D$1048576,MATCH(База_КР_КК[[#This Row],[Структурное подразделение]],'Списки данных'!$C$2:$C$1048576,0))</f>
        <v>337</v>
      </c>
      <c r="I1173" s="80" t="s">
        <v>162</v>
      </c>
      <c r="J1173" s="80" t="s">
        <v>21</v>
      </c>
      <c r="K1173" s="80" t="s">
        <v>21</v>
      </c>
      <c r="L1173" s="30" t="s">
        <v>183</v>
      </c>
      <c r="M1173" s="68">
        <v>5</v>
      </c>
      <c r="N1173" s="181" t="str">
        <f t="shared" si="19"/>
        <v>нет</v>
      </c>
      <c r="O1173" s="23"/>
      <c r="P1173" s="23"/>
      <c r="Q1173" s="106"/>
      <c r="R1173" s="37">
        <v>246</v>
      </c>
      <c r="S1173" s="38" t="s">
        <v>658</v>
      </c>
      <c r="T1173" s="37">
        <v>1323</v>
      </c>
      <c r="U1173" s="39" t="s">
        <v>1719</v>
      </c>
      <c r="V1173" s="89" t="s">
        <v>189</v>
      </c>
      <c r="W1173" s="89" t="s">
        <v>162</v>
      </c>
      <c r="X1173" s="106" t="s">
        <v>297</v>
      </c>
      <c r="Y1173" s="107" t="s">
        <v>12</v>
      </c>
      <c r="Z1173" s="67">
        <f>IF(База_КР_КК[[#This Row],[Таб.номер резервиста]]="-","-",IF(OR(База_КР_КК[[#This Row],[Уровень КК]]=2,База_КР_КК[[#This Row],[Уровень КК]]=3),IF(COUNTIFS($U$2:$U1173,$U1173,$F$2:$F1173,$F1173)=1,1,0),IF(COUNTIFS($U$2:$U1173,$U1173,$L$2:$L1173,$L1173)=1,1,0)))</f>
        <v>1</v>
      </c>
      <c r="AA11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3" s="106"/>
      <c r="AC1173" s="51"/>
      <c r="AD1173" s="106" t="s">
        <v>13</v>
      </c>
      <c r="AE1173" s="38" t="s">
        <v>303</v>
      </c>
    </row>
    <row r="1174" spans="1:31" ht="18" customHeight="1" x14ac:dyDescent="0.25">
      <c r="A11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4" s="79">
        <v>3</v>
      </c>
      <c r="C1174" s="23">
        <v>43557</v>
      </c>
      <c r="D1174" s="67">
        <f>IF(COUNTIF($G$2:$G1174,$G1174)=1,1,0)</f>
        <v>0</v>
      </c>
      <c r="E1174" s="67" t="str">
        <f>IFERROR(VLOOKUP(База_КР_КК[[#This Row],[ИД штатной должности (S)]],'уровень защищенности'!$B$7:$F$1095,5,0),"не защищена")</f>
        <v>средний</v>
      </c>
      <c r="F1174" s="68">
        <v>500578</v>
      </c>
      <c r="G1174" s="74" t="s">
        <v>2411</v>
      </c>
      <c r="H1174" s="181">
        <f>INDEX('Списки данных'!$D$2:$D$1048576,MATCH(База_КР_КК[[#This Row],[Структурное подразделение]],'Списки данных'!$C$2:$C$1048576,0))</f>
        <v>337</v>
      </c>
      <c r="I1174" s="80" t="s">
        <v>162</v>
      </c>
      <c r="J1174" s="80" t="s">
        <v>21</v>
      </c>
      <c r="K1174" s="80" t="s">
        <v>21</v>
      </c>
      <c r="L1174" s="30" t="s">
        <v>183</v>
      </c>
      <c r="M1174" s="68">
        <v>5</v>
      </c>
      <c r="N1174" s="181" t="str">
        <f t="shared" si="19"/>
        <v>нет</v>
      </c>
      <c r="O1174" s="23"/>
      <c r="P1174" s="23"/>
      <c r="Q1174" s="106"/>
      <c r="R1174" s="37">
        <v>246</v>
      </c>
      <c r="S1174" s="38" t="s">
        <v>658</v>
      </c>
      <c r="T1174" s="37">
        <v>247</v>
      </c>
      <c r="U1174" s="39" t="s">
        <v>659</v>
      </c>
      <c r="V1174" s="89" t="s">
        <v>187</v>
      </c>
      <c r="W1174" s="89" t="s">
        <v>162</v>
      </c>
      <c r="X1174" s="106" t="s">
        <v>297</v>
      </c>
      <c r="Y1174" s="107" t="s">
        <v>12</v>
      </c>
      <c r="Z1174" s="67">
        <f>IF(База_КР_КК[[#This Row],[Таб.номер резервиста]]="-","-",IF(OR(База_КР_КК[[#This Row],[Уровень КК]]=2,База_КР_КК[[#This Row],[Уровень КК]]=3),IF(COUNTIFS($U$2:$U1174,$U1174,$F$2:$F1174,$F1174)=1,1,0),IF(COUNTIFS($U$2:$U1174,$U1174,$L$2:$L1174,$L1174)=1,1,0)))</f>
        <v>1</v>
      </c>
      <c r="AA11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4" s="106"/>
      <c r="AC1174" s="51"/>
      <c r="AD1174" s="106" t="s">
        <v>13</v>
      </c>
      <c r="AE1174" s="38" t="s">
        <v>303</v>
      </c>
    </row>
    <row r="1175" spans="1:31" ht="18" customHeight="1" x14ac:dyDescent="0.25">
      <c r="A11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5" s="79">
        <v>3</v>
      </c>
      <c r="C1175" s="23">
        <v>43776</v>
      </c>
      <c r="D1175" s="67">
        <f>IF(COUNTIF($G$2:$G1175,$G1175)=1,1,0)</f>
        <v>1</v>
      </c>
      <c r="E1175" s="67" t="str">
        <f>IFERROR(VLOOKUP(База_КР_КК[[#This Row],[ИД штатной должности (S)]],'уровень защищенности'!$B$7:$F$1095,5,0),"не защищена")</f>
        <v>высокий</v>
      </c>
      <c r="F1175" s="68">
        <v>500579</v>
      </c>
      <c r="G1175" s="74" t="s">
        <v>2412</v>
      </c>
      <c r="H1175" s="181">
        <f>INDEX('Списки данных'!$D$2:$D$1048576,MATCH(База_КР_КК[[#This Row],[Структурное подразделение]],'Списки данных'!$C$2:$C$1048576,0))</f>
        <v>337</v>
      </c>
      <c r="I1175" s="80" t="s">
        <v>162</v>
      </c>
      <c r="J1175" s="80" t="s">
        <v>209</v>
      </c>
      <c r="K1175" s="80" t="s">
        <v>21</v>
      </c>
      <c r="L1175" s="30" t="s">
        <v>187</v>
      </c>
      <c r="M1175" s="68">
        <v>6</v>
      </c>
      <c r="N1175" s="181" t="str">
        <f t="shared" si="19"/>
        <v>нет</v>
      </c>
      <c r="O1175" s="23"/>
      <c r="P1175" s="23"/>
      <c r="Q1175" s="106"/>
      <c r="R1175" s="37">
        <v>247</v>
      </c>
      <c r="S1175" s="38" t="s">
        <v>659</v>
      </c>
      <c r="T1175" s="37">
        <v>250</v>
      </c>
      <c r="U1175" s="39" t="s">
        <v>662</v>
      </c>
      <c r="V1175" s="89" t="s">
        <v>192</v>
      </c>
      <c r="W1175" s="90" t="s">
        <v>162</v>
      </c>
      <c r="X1175" s="106" t="s">
        <v>295</v>
      </c>
      <c r="Y1175" s="107" t="s">
        <v>12</v>
      </c>
      <c r="Z1175" s="67">
        <f>IF(База_КР_КК[[#This Row],[Таб.номер резервиста]]="-","-",IF(OR(База_КР_КК[[#This Row],[Уровень КК]]=2,База_КР_КК[[#This Row],[Уровень КК]]=3),IF(COUNTIFS($U$2:$U1175,$U1175,$F$2:$F1175,$F1175)=1,1,0),IF(COUNTIFS($U$2:$U1175,$U1175,$L$2:$L1175,$L1175)=1,1,0)))</f>
        <v>1</v>
      </c>
      <c r="AA11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5" s="106"/>
      <c r="AC1175" s="51"/>
      <c r="AD1175" s="106" t="s">
        <v>17</v>
      </c>
      <c r="AE1175" s="38" t="s">
        <v>331</v>
      </c>
    </row>
    <row r="1176" spans="1:31" ht="18" customHeight="1" x14ac:dyDescent="0.25">
      <c r="A11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6" s="79">
        <v>3</v>
      </c>
      <c r="C1176" s="23">
        <v>43426</v>
      </c>
      <c r="D1176" s="67">
        <f>IF(COUNTIF($G$2:$G1176,$G1176)=1,1,0)</f>
        <v>0</v>
      </c>
      <c r="E1176" s="67" t="str">
        <f>IFERROR(VLOOKUP(База_КР_КК[[#This Row],[ИД штатной должности (S)]],'уровень защищенности'!$B$7:$F$1095,5,0),"не защищена")</f>
        <v>высокий</v>
      </c>
      <c r="F1176" s="68">
        <v>500579</v>
      </c>
      <c r="G1176" s="74" t="s">
        <v>2412</v>
      </c>
      <c r="H1176" s="181">
        <f>INDEX('Списки данных'!$D$2:$D$1048576,MATCH(База_КР_КК[[#This Row],[Структурное подразделение]],'Списки данных'!$C$2:$C$1048576,0))</f>
        <v>337</v>
      </c>
      <c r="I1176" s="80" t="s">
        <v>162</v>
      </c>
      <c r="J1176" s="80" t="s">
        <v>209</v>
      </c>
      <c r="K1176" s="80" t="s">
        <v>21</v>
      </c>
      <c r="L1176" s="30" t="s">
        <v>187</v>
      </c>
      <c r="M1176" s="68">
        <v>6</v>
      </c>
      <c r="N1176" s="181" t="str">
        <f t="shared" si="19"/>
        <v>нет</v>
      </c>
      <c r="O1176" s="23"/>
      <c r="P1176" s="23"/>
      <c r="Q1176" s="106"/>
      <c r="R1176" s="37">
        <v>247</v>
      </c>
      <c r="S1176" s="38" t="s">
        <v>659</v>
      </c>
      <c r="T1176" s="37">
        <v>249</v>
      </c>
      <c r="U1176" s="39" t="s">
        <v>661</v>
      </c>
      <c r="V1176" s="89" t="s">
        <v>192</v>
      </c>
      <c r="W1176" s="90" t="s">
        <v>162</v>
      </c>
      <c r="X1176" s="106" t="s">
        <v>297</v>
      </c>
      <c r="Y1176" s="107" t="s">
        <v>12</v>
      </c>
      <c r="Z1176" s="67">
        <f>IF(База_КР_КК[[#This Row],[Таб.номер резервиста]]="-","-",IF(OR(База_КР_КК[[#This Row],[Уровень КК]]=2,База_КР_КК[[#This Row],[Уровень КК]]=3),IF(COUNTIFS($U$2:$U1176,$U1176,$F$2:$F1176,$F1176)=1,1,0),IF(COUNTIFS($U$2:$U1176,$U1176,$L$2:$L1176,$L1176)=1,1,0)))</f>
        <v>1</v>
      </c>
      <c r="AA11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6" s="106"/>
      <c r="AC1176" s="51"/>
      <c r="AD1176" s="106" t="s">
        <v>13</v>
      </c>
      <c r="AE1176" s="38" t="s">
        <v>331</v>
      </c>
    </row>
    <row r="1177" spans="1:31" ht="18" customHeight="1" x14ac:dyDescent="0.25">
      <c r="A11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7" s="79">
        <v>4</v>
      </c>
      <c r="C1177" s="23">
        <v>44141</v>
      </c>
      <c r="D1177" s="67">
        <f>IF(COUNTIF($G$2:$G1177,$G1177)=1,1,0)</f>
        <v>1</v>
      </c>
      <c r="E1177" s="67" t="str">
        <f>IFERROR(VLOOKUP(База_КР_КК[[#This Row],[ИД штатной должности (S)]],'уровень защищенности'!$B$7:$F$1095,5,0),"не защищена")</f>
        <v>высокий</v>
      </c>
      <c r="F1177" s="68">
        <v>500580</v>
      </c>
      <c r="G1177" s="74" t="s">
        <v>2413</v>
      </c>
      <c r="H1177" s="181">
        <f>INDEX('Списки данных'!$D$2:$D$1048576,MATCH(База_КР_КК[[#This Row],[Структурное подразделение]],'Списки данных'!$C$2:$C$1048576,0))</f>
        <v>337</v>
      </c>
      <c r="I1177" s="80" t="s">
        <v>162</v>
      </c>
      <c r="J1177" s="80" t="s">
        <v>209</v>
      </c>
      <c r="K1177" s="80" t="s">
        <v>21</v>
      </c>
      <c r="L1177" s="30" t="s">
        <v>191</v>
      </c>
      <c r="M1177" s="68">
        <v>6</v>
      </c>
      <c r="N1177" s="181" t="str">
        <f t="shared" si="19"/>
        <v>нет</v>
      </c>
      <c r="O1177" s="23"/>
      <c r="P1177" s="23"/>
      <c r="Q1177" s="106"/>
      <c r="R1177" s="37">
        <v>248</v>
      </c>
      <c r="S1177" s="39" t="s">
        <v>660</v>
      </c>
      <c r="T1177" s="37">
        <v>1324</v>
      </c>
      <c r="U1177" s="38" t="s">
        <v>1720</v>
      </c>
      <c r="V1177" s="69" t="s">
        <v>272</v>
      </c>
      <c r="W1177" s="89" t="s">
        <v>162</v>
      </c>
      <c r="X1177" s="106" t="s">
        <v>295</v>
      </c>
      <c r="Y1177" s="107" t="s">
        <v>12</v>
      </c>
      <c r="Z1177" s="67">
        <f>IF(База_КР_КК[[#This Row],[Таб.номер резервиста]]="-","-",IF(OR(База_КР_КК[[#This Row],[Уровень КК]]=2,База_КР_КК[[#This Row],[Уровень КК]]=3),IF(COUNTIFS($U$2:$U1177,$U1177,$F$2:$F1177,$F1177)=1,1,0),IF(COUNTIFS($U$2:$U1177,$U1177,$L$2:$L1177,$L1177)=1,1,0)))</f>
        <v>1</v>
      </c>
      <c r="AA11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7" s="106"/>
      <c r="AC1177" s="51"/>
      <c r="AD1177" s="106" t="s">
        <v>17</v>
      </c>
      <c r="AE1177" s="33" t="s">
        <v>337</v>
      </c>
    </row>
    <row r="1178" spans="1:31" ht="18" customHeight="1" x14ac:dyDescent="0.25">
      <c r="A11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8" s="79">
        <v>4</v>
      </c>
      <c r="C1178" s="23">
        <v>44881</v>
      </c>
      <c r="D1178" s="67">
        <f>IF(COUNTIF($G$2:$G1178,$G1178)=1,1,0)</f>
        <v>0</v>
      </c>
      <c r="E1178" s="67" t="str">
        <f>IFERROR(VLOOKUP(База_КР_КК[[#This Row],[ИД штатной должности (S)]],'уровень защищенности'!$B$7:$F$1095,5,0),"не защищена")</f>
        <v>высокий</v>
      </c>
      <c r="F1178" s="68">
        <v>500580</v>
      </c>
      <c r="G1178" s="74" t="s">
        <v>2413</v>
      </c>
      <c r="H1178" s="181">
        <f>INDEX('Списки данных'!$D$2:$D$1048576,MATCH(База_КР_КК[[#This Row],[Структурное подразделение]],'Списки данных'!$C$2:$C$1048576,0))</f>
        <v>337</v>
      </c>
      <c r="I1178" s="80" t="s">
        <v>162</v>
      </c>
      <c r="J1178" s="80" t="s">
        <v>209</v>
      </c>
      <c r="K1178" s="80" t="s">
        <v>21</v>
      </c>
      <c r="L1178" s="30" t="s">
        <v>191</v>
      </c>
      <c r="M1178" s="68">
        <v>6</v>
      </c>
      <c r="N1178" s="181" t="str">
        <f t="shared" si="19"/>
        <v>нет</v>
      </c>
      <c r="O1178" s="23"/>
      <c r="P1178" s="23"/>
      <c r="Q1178" s="106"/>
      <c r="R1178" s="37">
        <v>248</v>
      </c>
      <c r="S1178" s="39" t="s">
        <v>660</v>
      </c>
      <c r="T1178" s="37">
        <v>1325</v>
      </c>
      <c r="U1178" s="38" t="s">
        <v>1721</v>
      </c>
      <c r="V1178" s="69" t="s">
        <v>272</v>
      </c>
      <c r="W1178" s="89" t="s">
        <v>162</v>
      </c>
      <c r="X1178" s="106" t="s">
        <v>296</v>
      </c>
      <c r="Y1178" s="107" t="s">
        <v>12</v>
      </c>
      <c r="Z1178" s="67">
        <f>IF(База_КР_КК[[#This Row],[Таб.номер резервиста]]="-","-",IF(OR(База_КР_КК[[#This Row],[Уровень КК]]=2,База_КР_КК[[#This Row],[Уровень КК]]=3),IF(COUNTIFS($U$2:$U1178,$U1178,$F$2:$F1178,$F1178)=1,1,0),IF(COUNTIFS($U$2:$U1178,$U1178,$L$2:$L1178,$L1178)=1,1,0)))</f>
        <v>1</v>
      </c>
      <c r="AA11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8" s="106"/>
      <c r="AC1178" s="51"/>
      <c r="AD1178" s="106" t="s">
        <v>15</v>
      </c>
      <c r="AE1178" s="33" t="s">
        <v>337</v>
      </c>
    </row>
    <row r="1179" spans="1:31" ht="18" customHeight="1" x14ac:dyDescent="0.25">
      <c r="A11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79" s="79">
        <v>4</v>
      </c>
      <c r="C1179" s="23">
        <v>44881</v>
      </c>
      <c r="D1179" s="67">
        <f>IF(COUNTIF($G$2:$G1179,$G1179)=1,1,0)</f>
        <v>0</v>
      </c>
      <c r="E1179" s="67" t="str">
        <f>IFERROR(VLOOKUP(База_КР_КК[[#This Row],[ИД штатной должности (S)]],'уровень защищенности'!$B$7:$F$1095,5,0),"не защищена")</f>
        <v>высокий</v>
      </c>
      <c r="F1179" s="68">
        <v>500580</v>
      </c>
      <c r="G1179" s="74" t="s">
        <v>2413</v>
      </c>
      <c r="H1179" s="181">
        <f>INDEX('Списки данных'!$D$2:$D$1048576,MATCH(База_КР_КК[[#This Row],[Структурное подразделение]],'Списки данных'!$C$2:$C$1048576,0))</f>
        <v>337</v>
      </c>
      <c r="I1179" s="80" t="s">
        <v>162</v>
      </c>
      <c r="J1179" s="80" t="s">
        <v>209</v>
      </c>
      <c r="K1179" s="80" t="s">
        <v>21</v>
      </c>
      <c r="L1179" s="30" t="s">
        <v>191</v>
      </c>
      <c r="M1179" s="68">
        <v>6</v>
      </c>
      <c r="N1179" s="181" t="str">
        <f t="shared" si="19"/>
        <v>нет</v>
      </c>
      <c r="O1179" s="23"/>
      <c r="P1179" s="23"/>
      <c r="Q1179" s="106"/>
      <c r="R1179" s="37">
        <v>248</v>
      </c>
      <c r="S1179" s="39" t="s">
        <v>660</v>
      </c>
      <c r="T1179" s="37">
        <v>1326</v>
      </c>
      <c r="U1179" s="38" t="s">
        <v>1722</v>
      </c>
      <c r="V1179" s="69" t="s">
        <v>272</v>
      </c>
      <c r="W1179" s="89" t="s">
        <v>162</v>
      </c>
      <c r="X1179" s="106" t="s">
        <v>296</v>
      </c>
      <c r="Y1179" s="107" t="s">
        <v>12</v>
      </c>
      <c r="Z1179" s="67">
        <f>IF(База_КР_КК[[#This Row],[Таб.номер резервиста]]="-","-",IF(OR(База_КР_КК[[#This Row],[Уровень КК]]=2,База_КР_КК[[#This Row],[Уровень КК]]=3),IF(COUNTIFS($U$2:$U1179,$U1179,$F$2:$F1179,$F1179)=1,1,0),IF(COUNTIFS($U$2:$U1179,$U1179,$L$2:$L1179,$L1179)=1,1,0)))</f>
        <v>1</v>
      </c>
      <c r="AA11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79" s="106"/>
      <c r="AC1179" s="51"/>
      <c r="AD1179" s="106" t="s">
        <v>15</v>
      </c>
      <c r="AE1179" s="33" t="s">
        <v>337</v>
      </c>
    </row>
    <row r="1180" spans="1:31" ht="18" customHeight="1" x14ac:dyDescent="0.25">
      <c r="A11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0" s="79">
        <v>4</v>
      </c>
      <c r="C1180" s="23">
        <v>44881</v>
      </c>
      <c r="D1180" s="67">
        <f>IF(COUNTIF($G$2:$G1180,$G1180)=1,1,0)</f>
        <v>0</v>
      </c>
      <c r="E1180" s="67" t="str">
        <f>IFERROR(VLOOKUP(База_КР_КК[[#This Row],[ИД штатной должности (S)]],'уровень защищенности'!$B$7:$F$1095,5,0),"не защищена")</f>
        <v>высокий</v>
      </c>
      <c r="F1180" s="68">
        <v>500580</v>
      </c>
      <c r="G1180" s="74" t="s">
        <v>2413</v>
      </c>
      <c r="H1180" s="181">
        <f>INDEX('Списки данных'!$D$2:$D$1048576,MATCH(База_КР_КК[[#This Row],[Структурное подразделение]],'Списки данных'!$C$2:$C$1048576,0))</f>
        <v>337</v>
      </c>
      <c r="I1180" s="80" t="s">
        <v>162</v>
      </c>
      <c r="J1180" s="80" t="s">
        <v>209</v>
      </c>
      <c r="K1180" s="80" t="s">
        <v>21</v>
      </c>
      <c r="L1180" s="30" t="s">
        <v>191</v>
      </c>
      <c r="M1180" s="68">
        <v>6</v>
      </c>
      <c r="N1180" s="181" t="str">
        <f t="shared" si="19"/>
        <v>нет</v>
      </c>
      <c r="O1180" s="23"/>
      <c r="P1180" s="23"/>
      <c r="Q1180" s="106"/>
      <c r="R1180" s="37">
        <v>248</v>
      </c>
      <c r="S1180" s="39" t="s">
        <v>660</v>
      </c>
      <c r="T1180" s="37">
        <v>1327</v>
      </c>
      <c r="U1180" s="38" t="s">
        <v>1723</v>
      </c>
      <c r="V1180" s="69" t="s">
        <v>272</v>
      </c>
      <c r="W1180" s="89" t="s">
        <v>162</v>
      </c>
      <c r="X1180" s="106" t="s">
        <v>296</v>
      </c>
      <c r="Y1180" s="107" t="s">
        <v>12</v>
      </c>
      <c r="Z1180" s="67">
        <f>IF(База_КР_КК[[#This Row],[Таб.номер резервиста]]="-","-",IF(OR(База_КР_КК[[#This Row],[Уровень КК]]=2,База_КР_КК[[#This Row],[Уровень КК]]=3),IF(COUNTIFS($U$2:$U1180,$U1180,$F$2:$F1180,$F1180)=1,1,0),IF(COUNTIFS($U$2:$U1180,$U1180,$L$2:$L1180,$L1180)=1,1,0)))</f>
        <v>1</v>
      </c>
      <c r="AA11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0" s="106"/>
      <c r="AC1180" s="51"/>
      <c r="AD1180" s="106" t="s">
        <v>15</v>
      </c>
      <c r="AE1180" s="33" t="s">
        <v>337</v>
      </c>
    </row>
    <row r="1181" spans="1:31" ht="18" customHeight="1" x14ac:dyDescent="0.25">
      <c r="A11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1" s="79">
        <v>4</v>
      </c>
      <c r="C1181" s="23">
        <v>44881</v>
      </c>
      <c r="D1181" s="67">
        <f>IF(COUNTIF($G$2:$G1181,$G1181)=1,1,0)</f>
        <v>0</v>
      </c>
      <c r="E1181" s="67" t="str">
        <f>IFERROR(VLOOKUP(База_КР_КК[[#This Row],[ИД штатной должности (S)]],'уровень защищенности'!$B$7:$F$1095,5,0),"не защищена")</f>
        <v>высокий</v>
      </c>
      <c r="F1181" s="68">
        <v>500580</v>
      </c>
      <c r="G1181" s="74" t="s">
        <v>2413</v>
      </c>
      <c r="H1181" s="181">
        <f>INDEX('Списки данных'!$D$2:$D$1048576,MATCH(База_КР_КК[[#This Row],[Структурное подразделение]],'Списки данных'!$C$2:$C$1048576,0))</f>
        <v>337</v>
      </c>
      <c r="I1181" s="80" t="s">
        <v>162</v>
      </c>
      <c r="J1181" s="80" t="s">
        <v>209</v>
      </c>
      <c r="K1181" s="80" t="s">
        <v>21</v>
      </c>
      <c r="L1181" s="30" t="s">
        <v>191</v>
      </c>
      <c r="M1181" s="68">
        <v>6</v>
      </c>
      <c r="N1181" s="181" t="str">
        <f t="shared" si="19"/>
        <v>нет</v>
      </c>
      <c r="O1181" s="23"/>
      <c r="P1181" s="23"/>
      <c r="Q1181" s="106"/>
      <c r="R1181" s="37">
        <v>248</v>
      </c>
      <c r="S1181" s="39" t="s">
        <v>660</v>
      </c>
      <c r="T1181" s="37">
        <v>1328</v>
      </c>
      <c r="U1181" s="38" t="s">
        <v>1724</v>
      </c>
      <c r="V1181" s="69" t="s">
        <v>272</v>
      </c>
      <c r="W1181" s="89" t="s">
        <v>162</v>
      </c>
      <c r="X1181" s="106" t="s">
        <v>296</v>
      </c>
      <c r="Y1181" s="107" t="s">
        <v>12</v>
      </c>
      <c r="Z1181" s="67">
        <f>IF(База_КР_КК[[#This Row],[Таб.номер резервиста]]="-","-",IF(OR(База_КР_КК[[#This Row],[Уровень КК]]=2,База_КР_КК[[#This Row],[Уровень КК]]=3),IF(COUNTIFS($U$2:$U1181,$U1181,$F$2:$F1181,$F1181)=1,1,0),IF(COUNTIFS($U$2:$U1181,$U1181,$L$2:$L1181,$L1181)=1,1,0)))</f>
        <v>1</v>
      </c>
      <c r="AA11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1" s="106"/>
      <c r="AC1181" s="51"/>
      <c r="AD1181" s="106" t="s">
        <v>15</v>
      </c>
      <c r="AE1181" s="33" t="s">
        <v>337</v>
      </c>
    </row>
    <row r="1182" spans="1:31" ht="18" customHeight="1" x14ac:dyDescent="0.25">
      <c r="A11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2" s="79">
        <v>4</v>
      </c>
      <c r="C1182" s="23">
        <v>44881</v>
      </c>
      <c r="D1182" s="67">
        <f>IF(COUNTIF($G$2:$G1182,$G1182)=1,1,0)</f>
        <v>0</v>
      </c>
      <c r="E1182" s="67" t="str">
        <f>IFERROR(VLOOKUP(База_КР_КК[[#This Row],[ИД штатной должности (S)]],'уровень защищенности'!$B$7:$F$1095,5,0),"не защищена")</f>
        <v>высокий</v>
      </c>
      <c r="F1182" s="68">
        <v>500580</v>
      </c>
      <c r="G1182" s="74" t="s">
        <v>2413</v>
      </c>
      <c r="H1182" s="181">
        <f>INDEX('Списки данных'!$D$2:$D$1048576,MATCH(База_КР_КК[[#This Row],[Структурное подразделение]],'Списки данных'!$C$2:$C$1048576,0))</f>
        <v>337</v>
      </c>
      <c r="I1182" s="80" t="s">
        <v>162</v>
      </c>
      <c r="J1182" s="80" t="s">
        <v>209</v>
      </c>
      <c r="K1182" s="80" t="s">
        <v>21</v>
      </c>
      <c r="L1182" s="30" t="s">
        <v>191</v>
      </c>
      <c r="M1182" s="68">
        <v>6</v>
      </c>
      <c r="N1182" s="181" t="str">
        <f t="shared" si="19"/>
        <v>нет</v>
      </c>
      <c r="O1182" s="23"/>
      <c r="P1182" s="23"/>
      <c r="Q1182" s="106"/>
      <c r="R1182" s="37">
        <v>248</v>
      </c>
      <c r="S1182" s="39" t="s">
        <v>660</v>
      </c>
      <c r="T1182" s="37">
        <v>1329</v>
      </c>
      <c r="U1182" s="38" t="s">
        <v>1725</v>
      </c>
      <c r="V1182" s="69" t="s">
        <v>272</v>
      </c>
      <c r="W1182" s="89" t="s">
        <v>162</v>
      </c>
      <c r="X1182" s="106" t="s">
        <v>296</v>
      </c>
      <c r="Y1182" s="107" t="s">
        <v>12</v>
      </c>
      <c r="Z1182" s="67">
        <f>IF(База_КР_КК[[#This Row],[Таб.номер резервиста]]="-","-",IF(OR(База_КР_КК[[#This Row],[Уровень КК]]=2,База_КР_КК[[#This Row],[Уровень КК]]=3),IF(COUNTIFS($U$2:$U1182,$U1182,$F$2:$F1182,$F1182)=1,1,0),IF(COUNTIFS($U$2:$U1182,$U1182,$L$2:$L1182,$L1182)=1,1,0)))</f>
        <v>1</v>
      </c>
      <c r="AA11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2" s="106"/>
      <c r="AC1182" s="51"/>
      <c r="AD1182" s="106" t="s">
        <v>15</v>
      </c>
      <c r="AE1182" s="33" t="s">
        <v>337</v>
      </c>
    </row>
    <row r="1183" spans="1:31" ht="18" customHeight="1" x14ac:dyDescent="0.25">
      <c r="A11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3" s="79">
        <v>4</v>
      </c>
      <c r="C1183" s="23">
        <v>43808</v>
      </c>
      <c r="D1183" s="67">
        <f>IF(COUNTIF($G$2:$G1183,$G1183)=1,1,0)</f>
        <v>0</v>
      </c>
      <c r="E1183" s="67" t="str">
        <f>IFERROR(VLOOKUP(База_КР_КК[[#This Row],[ИД штатной должности (S)]],'уровень защищенности'!$B$7:$F$1095,5,0),"не защищена")</f>
        <v>высокий</v>
      </c>
      <c r="F1183" s="68">
        <v>500580</v>
      </c>
      <c r="G1183" s="74" t="s">
        <v>2413</v>
      </c>
      <c r="H1183" s="181">
        <f>INDEX('Списки данных'!$D$2:$D$1048576,MATCH(База_КР_КК[[#This Row],[Структурное подразделение]],'Списки данных'!$C$2:$C$1048576,0))</f>
        <v>337</v>
      </c>
      <c r="I1183" s="80" t="s">
        <v>162</v>
      </c>
      <c r="J1183" s="80" t="s">
        <v>209</v>
      </c>
      <c r="K1183" s="80" t="s">
        <v>21</v>
      </c>
      <c r="L1183" s="30" t="s">
        <v>191</v>
      </c>
      <c r="M1183" s="68">
        <v>6</v>
      </c>
      <c r="N1183" s="181" t="str">
        <f t="shared" si="19"/>
        <v>нет</v>
      </c>
      <c r="O1183" s="23"/>
      <c r="P1183" s="23"/>
      <c r="Q1183" s="106"/>
      <c r="R1183" s="37">
        <v>248</v>
      </c>
      <c r="S1183" s="38" t="s">
        <v>660</v>
      </c>
      <c r="T1183" s="37">
        <v>1330</v>
      </c>
      <c r="U1183" s="39" t="s">
        <v>1726</v>
      </c>
      <c r="V1183" s="89" t="s">
        <v>272</v>
      </c>
      <c r="W1183" s="89" t="s">
        <v>162</v>
      </c>
      <c r="X1183" s="106" t="s">
        <v>295</v>
      </c>
      <c r="Y1183" s="107" t="s">
        <v>18</v>
      </c>
      <c r="Z1183" s="67">
        <f>IF(База_КР_КК[[#This Row],[Таб.номер резервиста]]="-","-",IF(OR(База_КР_КК[[#This Row],[Уровень КК]]=2,База_КР_КК[[#This Row],[Уровень КК]]=3),IF(COUNTIFS($U$2:$U1183,$U1183,$F$2:$F1183,$F1183)=1,1,0),IF(COUNTIFS($U$2:$U1183,$U1183,$L$2:$L1183,$L1183)=1,1,0)))</f>
        <v>1</v>
      </c>
      <c r="AA11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3" s="106" t="s">
        <v>19</v>
      </c>
      <c r="AC1183" s="51">
        <v>44842</v>
      </c>
      <c r="AD1183" s="106" t="s">
        <v>17</v>
      </c>
      <c r="AE1183" s="38" t="s">
        <v>338</v>
      </c>
    </row>
    <row r="1184" spans="1:31" ht="18" customHeight="1" x14ac:dyDescent="0.25">
      <c r="A11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4" s="79">
        <v>4</v>
      </c>
      <c r="C1184" s="23">
        <v>44141</v>
      </c>
      <c r="D1184" s="67">
        <f>IF(COUNTIF($G$2:$G1184,$G1184)=1,1,0)</f>
        <v>0</v>
      </c>
      <c r="E1184" s="67" t="str">
        <f>IFERROR(VLOOKUP(База_КР_КК[[#This Row],[ИД штатной должности (S)]],'уровень защищенности'!$B$7:$F$1095,5,0),"не защищена")</f>
        <v>высокий</v>
      </c>
      <c r="F1184" s="68">
        <v>500580</v>
      </c>
      <c r="G1184" s="74" t="s">
        <v>2413</v>
      </c>
      <c r="H1184" s="181">
        <f>INDEX('Списки данных'!$D$2:$D$1048576,MATCH(База_КР_КК[[#This Row],[Структурное подразделение]],'Списки данных'!$C$2:$C$1048576,0))</f>
        <v>337</v>
      </c>
      <c r="I1184" s="80" t="s">
        <v>162</v>
      </c>
      <c r="J1184" s="80" t="s">
        <v>209</v>
      </c>
      <c r="K1184" s="80" t="s">
        <v>21</v>
      </c>
      <c r="L1184" s="30" t="s">
        <v>191</v>
      </c>
      <c r="M1184" s="68">
        <v>6</v>
      </c>
      <c r="N1184" s="181" t="str">
        <f t="shared" si="19"/>
        <v>нет</v>
      </c>
      <c r="O1184" s="23"/>
      <c r="P1184" s="23"/>
      <c r="Q1184" s="106"/>
      <c r="R1184" s="37">
        <v>248</v>
      </c>
      <c r="S1184" s="39" t="s">
        <v>660</v>
      </c>
      <c r="T1184" s="37">
        <v>1331</v>
      </c>
      <c r="U1184" s="38" t="s">
        <v>1727</v>
      </c>
      <c r="V1184" s="69" t="s">
        <v>272</v>
      </c>
      <c r="W1184" s="89" t="s">
        <v>162</v>
      </c>
      <c r="X1184" s="106" t="s">
        <v>296</v>
      </c>
      <c r="Y1184" s="107" t="s">
        <v>18</v>
      </c>
      <c r="Z1184" s="67">
        <f>IF(База_КР_КК[[#This Row],[Таб.номер резервиста]]="-","-",IF(OR(База_КР_КК[[#This Row],[Уровень КК]]=2,База_КР_КК[[#This Row],[Уровень КК]]=3),IF(COUNTIFS($U$2:$U1184,$U1184,$F$2:$F1184,$F1184)=1,1,0),IF(COUNTIFS($U$2:$U1184,$U1184,$L$2:$L1184,$L1184)=1,1,0)))</f>
        <v>1</v>
      </c>
      <c r="AA11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4" s="106" t="s">
        <v>19</v>
      </c>
      <c r="AC1184" s="51">
        <v>44514</v>
      </c>
      <c r="AD1184" s="106" t="s">
        <v>13</v>
      </c>
      <c r="AE1184" s="38" t="s">
        <v>338</v>
      </c>
    </row>
    <row r="1185" spans="1:31" ht="18" customHeight="1" x14ac:dyDescent="0.25">
      <c r="A11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5" s="79">
        <v>4</v>
      </c>
      <c r="C1185" s="23">
        <v>44881</v>
      </c>
      <c r="D1185" s="67">
        <f>IF(COUNTIF($G$2:$G1185,$G1185)=1,1,0)</f>
        <v>0</v>
      </c>
      <c r="E1185" s="67" t="str">
        <f>IFERROR(VLOOKUP(База_КР_КК[[#This Row],[ИД штатной должности (S)]],'уровень защищенности'!$B$7:$F$1095,5,0),"не защищена")</f>
        <v>высокий</v>
      </c>
      <c r="F1185" s="68">
        <v>500580</v>
      </c>
      <c r="G1185" s="74" t="s">
        <v>2413</v>
      </c>
      <c r="H1185" s="181">
        <f>INDEX('Списки данных'!$D$2:$D$1048576,MATCH(База_КР_КК[[#This Row],[Структурное подразделение]],'Списки данных'!$C$2:$C$1048576,0))</f>
        <v>337</v>
      </c>
      <c r="I1185" s="80" t="s">
        <v>162</v>
      </c>
      <c r="J1185" s="80" t="s">
        <v>209</v>
      </c>
      <c r="K1185" s="80" t="s">
        <v>21</v>
      </c>
      <c r="L1185" s="30" t="s">
        <v>191</v>
      </c>
      <c r="M1185" s="68">
        <v>6</v>
      </c>
      <c r="N1185" s="181" t="str">
        <f t="shared" si="19"/>
        <v>нет</v>
      </c>
      <c r="O1185" s="23"/>
      <c r="P1185" s="23"/>
      <c r="Q1185" s="106"/>
      <c r="R1185" s="37">
        <v>248</v>
      </c>
      <c r="S1185" s="39" t="s">
        <v>660</v>
      </c>
      <c r="T1185" s="37">
        <v>1332</v>
      </c>
      <c r="U1185" s="38" t="s">
        <v>1728</v>
      </c>
      <c r="V1185" s="69" t="s">
        <v>272</v>
      </c>
      <c r="W1185" s="89" t="s">
        <v>162</v>
      </c>
      <c r="X1185" s="106" t="s">
        <v>296</v>
      </c>
      <c r="Y1185" s="107" t="s">
        <v>18</v>
      </c>
      <c r="Z1185" s="67">
        <f>IF(База_КР_КК[[#This Row],[Таб.номер резервиста]]="-","-",IF(OR(База_КР_КК[[#This Row],[Уровень КК]]=2,База_КР_КК[[#This Row],[Уровень КК]]=3),IF(COUNTIFS($U$2:$U1185,$U1185,$F$2:$F1185,$F1185)=1,1,0),IF(COUNTIFS($U$2:$U1185,$U1185,$L$2:$L1185,$L1185)=1,1,0)))</f>
        <v>1</v>
      </c>
      <c r="AA11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5" s="106" t="s">
        <v>19</v>
      </c>
      <c r="AC1185" s="51">
        <v>44916</v>
      </c>
      <c r="AD1185" s="106" t="s">
        <v>15</v>
      </c>
      <c r="AE1185" s="33" t="s">
        <v>337</v>
      </c>
    </row>
    <row r="1186" spans="1:31" ht="18" customHeight="1" x14ac:dyDescent="0.25">
      <c r="A11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6" s="79">
        <v>4</v>
      </c>
      <c r="C1186" s="23">
        <v>44141</v>
      </c>
      <c r="D1186" s="67">
        <f>IF(COUNTIF($G$2:$G1186,$G1186)=1,1,0)</f>
        <v>1</v>
      </c>
      <c r="E1186" s="67" t="str">
        <f>IFERROR(VLOOKUP(База_КР_КК[[#This Row],[ИД штатной должности (S)]],'уровень защищенности'!$B$7:$F$1095,5,0),"не защищена")</f>
        <v>высокий</v>
      </c>
      <c r="F1186" s="68">
        <v>500580</v>
      </c>
      <c r="G1186" s="74" t="s">
        <v>2414</v>
      </c>
      <c r="H1186" s="181">
        <f>INDEX('Списки данных'!$D$2:$D$1048576,MATCH(База_КР_КК[[#This Row],[Структурное подразделение]],'Списки данных'!$C$2:$C$1048576,0))</f>
        <v>337</v>
      </c>
      <c r="I1186" s="80" t="s">
        <v>162</v>
      </c>
      <c r="J1186" s="80" t="s">
        <v>209</v>
      </c>
      <c r="K1186" s="80" t="s">
        <v>21</v>
      </c>
      <c r="L1186" s="30" t="s">
        <v>191</v>
      </c>
      <c r="M1186" s="68">
        <v>6</v>
      </c>
      <c r="N1186" s="181" t="str">
        <f t="shared" si="19"/>
        <v>нет</v>
      </c>
      <c r="O1186" s="23"/>
      <c r="P1186" s="23"/>
      <c r="Q1186" s="106"/>
      <c r="R1186" s="37">
        <v>249</v>
      </c>
      <c r="S1186" s="39" t="s">
        <v>661</v>
      </c>
      <c r="T1186" s="37">
        <v>1324</v>
      </c>
      <c r="U1186" s="38" t="s">
        <v>1720</v>
      </c>
      <c r="V1186" s="69" t="s">
        <v>272</v>
      </c>
      <c r="W1186" s="89" t="s">
        <v>162</v>
      </c>
      <c r="X1186" s="106" t="s">
        <v>295</v>
      </c>
      <c r="Y1186" s="107" t="s">
        <v>12</v>
      </c>
      <c r="Z1186" s="67">
        <f>IF(База_КР_КК[[#This Row],[Таб.номер резервиста]]="-","-",IF(OR(База_КР_КК[[#This Row],[Уровень КК]]=2,База_КР_КК[[#This Row],[Уровень КК]]=3),IF(COUNTIFS($U$2:$U1186,$U1186,$F$2:$F1186,$F1186)=1,1,0),IF(COUNTIFS($U$2:$U1186,$U1186,$L$2:$L1186,$L1186)=1,1,0)))</f>
        <v>0</v>
      </c>
      <c r="AA11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6" s="106"/>
      <c r="AC1186" s="51"/>
      <c r="AD1186" s="106" t="s">
        <v>17</v>
      </c>
      <c r="AE1186" s="33" t="s">
        <v>337</v>
      </c>
    </row>
    <row r="1187" spans="1:31" ht="18" customHeight="1" x14ac:dyDescent="0.25">
      <c r="A11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7" s="79">
        <v>4</v>
      </c>
      <c r="C1187" s="23">
        <v>44881</v>
      </c>
      <c r="D1187" s="67">
        <f>IF(COUNTIF($G$2:$G1187,$G1187)=1,1,0)</f>
        <v>0</v>
      </c>
      <c r="E1187" s="67" t="str">
        <f>IFERROR(VLOOKUP(База_КР_КК[[#This Row],[ИД штатной должности (S)]],'уровень защищенности'!$B$7:$F$1095,5,0),"не защищена")</f>
        <v>высокий</v>
      </c>
      <c r="F1187" s="68">
        <v>500580</v>
      </c>
      <c r="G1187" s="74" t="s">
        <v>2414</v>
      </c>
      <c r="H1187" s="181">
        <f>INDEX('Списки данных'!$D$2:$D$1048576,MATCH(База_КР_КК[[#This Row],[Структурное подразделение]],'Списки данных'!$C$2:$C$1048576,0))</f>
        <v>337</v>
      </c>
      <c r="I1187" s="80" t="s">
        <v>162</v>
      </c>
      <c r="J1187" s="80" t="s">
        <v>209</v>
      </c>
      <c r="K1187" s="80" t="s">
        <v>21</v>
      </c>
      <c r="L1187" s="30" t="s">
        <v>191</v>
      </c>
      <c r="M1187" s="68">
        <v>6</v>
      </c>
      <c r="N1187" s="181" t="str">
        <f t="shared" si="19"/>
        <v>нет</v>
      </c>
      <c r="O1187" s="23"/>
      <c r="P1187" s="23"/>
      <c r="Q1187" s="106"/>
      <c r="R1187" s="37">
        <v>249</v>
      </c>
      <c r="S1187" s="39" t="s">
        <v>661</v>
      </c>
      <c r="T1187" s="37">
        <v>1325</v>
      </c>
      <c r="U1187" s="38" t="s">
        <v>1721</v>
      </c>
      <c r="V1187" s="69" t="s">
        <v>272</v>
      </c>
      <c r="W1187" s="89" t="s">
        <v>162</v>
      </c>
      <c r="X1187" s="106" t="s">
        <v>296</v>
      </c>
      <c r="Y1187" s="107" t="s">
        <v>12</v>
      </c>
      <c r="Z1187" s="67">
        <f>IF(База_КР_КК[[#This Row],[Таб.номер резервиста]]="-","-",IF(OR(База_КР_КК[[#This Row],[Уровень КК]]=2,База_КР_КК[[#This Row],[Уровень КК]]=3),IF(COUNTIFS($U$2:$U1187,$U1187,$F$2:$F1187,$F1187)=1,1,0),IF(COUNTIFS($U$2:$U1187,$U1187,$L$2:$L1187,$L1187)=1,1,0)))</f>
        <v>0</v>
      </c>
      <c r="AA11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7" s="106"/>
      <c r="AC1187" s="51"/>
      <c r="AD1187" s="106" t="s">
        <v>15</v>
      </c>
      <c r="AE1187" s="33" t="s">
        <v>337</v>
      </c>
    </row>
    <row r="1188" spans="1:31" ht="18" customHeight="1" x14ac:dyDescent="0.25">
      <c r="A11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8" s="79">
        <v>4</v>
      </c>
      <c r="C1188" s="23">
        <v>44881</v>
      </c>
      <c r="D1188" s="67">
        <f>IF(COUNTIF($G$2:$G1188,$G1188)=1,1,0)</f>
        <v>0</v>
      </c>
      <c r="E1188" s="67" t="str">
        <f>IFERROR(VLOOKUP(База_КР_КК[[#This Row],[ИД штатной должности (S)]],'уровень защищенности'!$B$7:$F$1095,5,0),"не защищена")</f>
        <v>высокий</v>
      </c>
      <c r="F1188" s="68">
        <v>500580</v>
      </c>
      <c r="G1188" s="74" t="s">
        <v>2414</v>
      </c>
      <c r="H1188" s="181">
        <f>INDEX('Списки данных'!$D$2:$D$1048576,MATCH(База_КР_КК[[#This Row],[Структурное подразделение]],'Списки данных'!$C$2:$C$1048576,0))</f>
        <v>337</v>
      </c>
      <c r="I1188" s="80" t="s">
        <v>162</v>
      </c>
      <c r="J1188" s="80" t="s">
        <v>209</v>
      </c>
      <c r="K1188" s="80" t="s">
        <v>21</v>
      </c>
      <c r="L1188" s="30" t="s">
        <v>191</v>
      </c>
      <c r="M1188" s="68">
        <v>6</v>
      </c>
      <c r="N1188" s="181" t="str">
        <f t="shared" si="19"/>
        <v>нет</v>
      </c>
      <c r="O1188" s="23"/>
      <c r="P1188" s="23"/>
      <c r="Q1188" s="106"/>
      <c r="R1188" s="37">
        <v>249</v>
      </c>
      <c r="S1188" s="39" t="s">
        <v>661</v>
      </c>
      <c r="T1188" s="37">
        <v>1326</v>
      </c>
      <c r="U1188" s="38" t="s">
        <v>1722</v>
      </c>
      <c r="V1188" s="69" t="s">
        <v>272</v>
      </c>
      <c r="W1188" s="89" t="s">
        <v>162</v>
      </c>
      <c r="X1188" s="106" t="s">
        <v>296</v>
      </c>
      <c r="Y1188" s="107" t="s">
        <v>12</v>
      </c>
      <c r="Z1188" s="67">
        <f>IF(База_КР_КК[[#This Row],[Таб.номер резервиста]]="-","-",IF(OR(База_КР_КК[[#This Row],[Уровень КК]]=2,База_КР_КК[[#This Row],[Уровень КК]]=3),IF(COUNTIFS($U$2:$U1188,$U1188,$F$2:$F1188,$F1188)=1,1,0),IF(COUNTIFS($U$2:$U1188,$U1188,$L$2:$L1188,$L1188)=1,1,0)))</f>
        <v>0</v>
      </c>
      <c r="AA11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8" s="106"/>
      <c r="AC1188" s="51"/>
      <c r="AD1188" s="106" t="s">
        <v>15</v>
      </c>
      <c r="AE1188" s="33" t="s">
        <v>337</v>
      </c>
    </row>
    <row r="1189" spans="1:31" ht="18" customHeight="1" x14ac:dyDescent="0.25">
      <c r="A11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89" s="79">
        <v>4</v>
      </c>
      <c r="C1189" s="23">
        <v>44881</v>
      </c>
      <c r="D1189" s="67">
        <f>IF(COUNTIF($G$2:$G1189,$G1189)=1,1,0)</f>
        <v>0</v>
      </c>
      <c r="E1189" s="67" t="str">
        <f>IFERROR(VLOOKUP(База_КР_КК[[#This Row],[ИД штатной должности (S)]],'уровень защищенности'!$B$7:$F$1095,5,0),"не защищена")</f>
        <v>высокий</v>
      </c>
      <c r="F1189" s="68">
        <v>500580</v>
      </c>
      <c r="G1189" s="74" t="s">
        <v>2414</v>
      </c>
      <c r="H1189" s="181">
        <f>INDEX('Списки данных'!$D$2:$D$1048576,MATCH(База_КР_КК[[#This Row],[Структурное подразделение]],'Списки данных'!$C$2:$C$1048576,0))</f>
        <v>337</v>
      </c>
      <c r="I1189" s="80" t="s">
        <v>162</v>
      </c>
      <c r="J1189" s="80" t="s">
        <v>209</v>
      </c>
      <c r="K1189" s="80" t="s">
        <v>21</v>
      </c>
      <c r="L1189" s="30" t="s">
        <v>191</v>
      </c>
      <c r="M1189" s="68">
        <v>6</v>
      </c>
      <c r="N1189" s="181" t="str">
        <f t="shared" si="19"/>
        <v>нет</v>
      </c>
      <c r="O1189" s="23"/>
      <c r="P1189" s="23"/>
      <c r="Q1189" s="106"/>
      <c r="R1189" s="37">
        <v>249</v>
      </c>
      <c r="S1189" s="39" t="s">
        <v>661</v>
      </c>
      <c r="T1189" s="37">
        <v>1327</v>
      </c>
      <c r="U1189" s="38" t="s">
        <v>1723</v>
      </c>
      <c r="V1189" s="69" t="s">
        <v>272</v>
      </c>
      <c r="W1189" s="89" t="s">
        <v>162</v>
      </c>
      <c r="X1189" s="106" t="s">
        <v>296</v>
      </c>
      <c r="Y1189" s="107" t="s">
        <v>12</v>
      </c>
      <c r="Z1189" s="67">
        <f>IF(База_КР_КК[[#This Row],[Таб.номер резервиста]]="-","-",IF(OR(База_КР_КК[[#This Row],[Уровень КК]]=2,База_КР_КК[[#This Row],[Уровень КК]]=3),IF(COUNTIFS($U$2:$U1189,$U1189,$F$2:$F1189,$F1189)=1,1,0),IF(COUNTIFS($U$2:$U1189,$U1189,$L$2:$L1189,$L1189)=1,1,0)))</f>
        <v>0</v>
      </c>
      <c r="AA11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89" s="106"/>
      <c r="AC1189" s="51"/>
      <c r="AD1189" s="106" t="s">
        <v>15</v>
      </c>
      <c r="AE1189" s="33" t="s">
        <v>337</v>
      </c>
    </row>
    <row r="1190" spans="1:31" ht="18" customHeight="1" x14ac:dyDescent="0.25">
      <c r="A11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0" s="79">
        <v>4</v>
      </c>
      <c r="C1190" s="23">
        <v>44881</v>
      </c>
      <c r="D1190" s="67">
        <f>IF(COUNTIF($G$2:$G1190,$G1190)=1,1,0)</f>
        <v>0</v>
      </c>
      <c r="E1190" s="67" t="str">
        <f>IFERROR(VLOOKUP(База_КР_КК[[#This Row],[ИД штатной должности (S)]],'уровень защищенности'!$B$7:$F$1095,5,0),"не защищена")</f>
        <v>высокий</v>
      </c>
      <c r="F1190" s="68">
        <v>500580</v>
      </c>
      <c r="G1190" s="74" t="s">
        <v>2414</v>
      </c>
      <c r="H1190" s="181">
        <f>INDEX('Списки данных'!$D$2:$D$1048576,MATCH(База_КР_КК[[#This Row],[Структурное подразделение]],'Списки данных'!$C$2:$C$1048576,0))</f>
        <v>337</v>
      </c>
      <c r="I1190" s="80" t="s">
        <v>162</v>
      </c>
      <c r="J1190" s="80" t="s">
        <v>209</v>
      </c>
      <c r="K1190" s="80" t="s">
        <v>21</v>
      </c>
      <c r="L1190" s="30" t="s">
        <v>191</v>
      </c>
      <c r="M1190" s="68">
        <v>6</v>
      </c>
      <c r="N1190" s="181" t="str">
        <f t="shared" si="19"/>
        <v>нет</v>
      </c>
      <c r="O1190" s="23"/>
      <c r="P1190" s="23"/>
      <c r="Q1190" s="106"/>
      <c r="R1190" s="37">
        <v>249</v>
      </c>
      <c r="S1190" s="39" t="s">
        <v>661</v>
      </c>
      <c r="T1190" s="37">
        <v>1328</v>
      </c>
      <c r="U1190" s="38" t="s">
        <v>1724</v>
      </c>
      <c r="V1190" s="69" t="s">
        <v>272</v>
      </c>
      <c r="W1190" s="89" t="s">
        <v>162</v>
      </c>
      <c r="X1190" s="106" t="s">
        <v>296</v>
      </c>
      <c r="Y1190" s="107" t="s">
        <v>12</v>
      </c>
      <c r="Z1190" s="67">
        <f>IF(База_КР_КК[[#This Row],[Таб.номер резервиста]]="-","-",IF(OR(База_КР_КК[[#This Row],[Уровень КК]]=2,База_КР_КК[[#This Row],[Уровень КК]]=3),IF(COUNTIFS($U$2:$U1190,$U1190,$F$2:$F1190,$F1190)=1,1,0),IF(COUNTIFS($U$2:$U1190,$U1190,$L$2:$L1190,$L1190)=1,1,0)))</f>
        <v>0</v>
      </c>
      <c r="AA11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0" s="106"/>
      <c r="AC1190" s="51"/>
      <c r="AD1190" s="106" t="s">
        <v>15</v>
      </c>
      <c r="AE1190" s="33" t="s">
        <v>337</v>
      </c>
    </row>
    <row r="1191" spans="1:31" ht="18" customHeight="1" x14ac:dyDescent="0.25">
      <c r="A11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1" s="79">
        <v>4</v>
      </c>
      <c r="C1191" s="23">
        <v>44881</v>
      </c>
      <c r="D1191" s="67">
        <f>IF(COUNTIF($G$2:$G1191,$G1191)=1,1,0)</f>
        <v>0</v>
      </c>
      <c r="E1191" s="67" t="str">
        <f>IFERROR(VLOOKUP(База_КР_КК[[#This Row],[ИД штатной должности (S)]],'уровень защищенности'!$B$7:$F$1095,5,0),"не защищена")</f>
        <v>высокий</v>
      </c>
      <c r="F1191" s="68">
        <v>500580</v>
      </c>
      <c r="G1191" s="74" t="s">
        <v>2414</v>
      </c>
      <c r="H1191" s="181">
        <f>INDEX('Списки данных'!$D$2:$D$1048576,MATCH(База_КР_КК[[#This Row],[Структурное подразделение]],'Списки данных'!$C$2:$C$1048576,0))</f>
        <v>337</v>
      </c>
      <c r="I1191" s="80" t="s">
        <v>162</v>
      </c>
      <c r="J1191" s="80" t="s">
        <v>209</v>
      </c>
      <c r="K1191" s="80" t="s">
        <v>21</v>
      </c>
      <c r="L1191" s="30" t="s">
        <v>191</v>
      </c>
      <c r="M1191" s="68">
        <v>6</v>
      </c>
      <c r="N1191" s="181" t="str">
        <f t="shared" si="19"/>
        <v>нет</v>
      </c>
      <c r="O1191" s="23"/>
      <c r="P1191" s="23"/>
      <c r="Q1191" s="106"/>
      <c r="R1191" s="37">
        <v>249</v>
      </c>
      <c r="S1191" s="39" t="s">
        <v>661</v>
      </c>
      <c r="T1191" s="37">
        <v>1329</v>
      </c>
      <c r="U1191" s="38" t="s">
        <v>1725</v>
      </c>
      <c r="V1191" s="69" t="s">
        <v>272</v>
      </c>
      <c r="W1191" s="89" t="s">
        <v>162</v>
      </c>
      <c r="X1191" s="106" t="s">
        <v>296</v>
      </c>
      <c r="Y1191" s="107" t="s">
        <v>12</v>
      </c>
      <c r="Z1191" s="67">
        <f>IF(База_КР_КК[[#This Row],[Таб.номер резервиста]]="-","-",IF(OR(База_КР_КК[[#This Row],[Уровень КК]]=2,База_КР_КК[[#This Row],[Уровень КК]]=3),IF(COUNTIFS($U$2:$U1191,$U1191,$F$2:$F1191,$F1191)=1,1,0),IF(COUNTIFS($U$2:$U1191,$U1191,$L$2:$L1191,$L1191)=1,1,0)))</f>
        <v>0</v>
      </c>
      <c r="AA11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1" s="106"/>
      <c r="AC1191" s="51"/>
      <c r="AD1191" s="106" t="s">
        <v>15</v>
      </c>
      <c r="AE1191" s="33" t="s">
        <v>337</v>
      </c>
    </row>
    <row r="1192" spans="1:31" ht="18" customHeight="1" x14ac:dyDescent="0.25">
      <c r="A11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2" s="79">
        <v>4</v>
      </c>
      <c r="C1192" s="23">
        <v>43808</v>
      </c>
      <c r="D1192" s="67">
        <f>IF(COUNTIF($G$2:$G1192,$G1192)=1,1,0)</f>
        <v>0</v>
      </c>
      <c r="E1192" s="67" t="str">
        <f>IFERROR(VLOOKUP(База_КР_КК[[#This Row],[ИД штатной должности (S)]],'уровень защищенности'!$B$7:$F$1095,5,0),"не защищена")</f>
        <v>высокий</v>
      </c>
      <c r="F1192" s="68">
        <v>500580</v>
      </c>
      <c r="G1192" s="74" t="s">
        <v>2414</v>
      </c>
      <c r="H1192" s="181">
        <f>INDEX('Списки данных'!$D$2:$D$1048576,MATCH(База_КР_КК[[#This Row],[Структурное подразделение]],'Списки данных'!$C$2:$C$1048576,0))</f>
        <v>337</v>
      </c>
      <c r="I1192" s="80" t="s">
        <v>162</v>
      </c>
      <c r="J1192" s="80" t="s">
        <v>209</v>
      </c>
      <c r="K1192" s="80" t="s">
        <v>21</v>
      </c>
      <c r="L1192" s="30" t="s">
        <v>191</v>
      </c>
      <c r="M1192" s="68">
        <v>6</v>
      </c>
      <c r="N1192" s="181" t="str">
        <f t="shared" si="19"/>
        <v>нет</v>
      </c>
      <c r="O1192" s="23"/>
      <c r="P1192" s="23"/>
      <c r="Q1192" s="106"/>
      <c r="R1192" s="37">
        <v>249</v>
      </c>
      <c r="S1192" s="38" t="s">
        <v>661</v>
      </c>
      <c r="T1192" s="37">
        <v>1330</v>
      </c>
      <c r="U1192" s="39" t="s">
        <v>1726</v>
      </c>
      <c r="V1192" s="89" t="s">
        <v>272</v>
      </c>
      <c r="W1192" s="89" t="s">
        <v>162</v>
      </c>
      <c r="X1192" s="106" t="s">
        <v>295</v>
      </c>
      <c r="Y1192" s="107" t="s">
        <v>18</v>
      </c>
      <c r="Z1192" s="67">
        <f>IF(База_КР_КК[[#This Row],[Таб.номер резервиста]]="-","-",IF(OR(База_КР_КК[[#This Row],[Уровень КК]]=2,База_КР_КК[[#This Row],[Уровень КК]]=3),IF(COUNTIFS($U$2:$U1192,$U1192,$F$2:$F1192,$F1192)=1,1,0),IF(COUNTIFS($U$2:$U1192,$U1192,$L$2:$L1192,$L1192)=1,1,0)))</f>
        <v>0</v>
      </c>
      <c r="AA11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2" s="106" t="s">
        <v>19</v>
      </c>
      <c r="AC1192" s="51">
        <v>44842</v>
      </c>
      <c r="AD1192" s="106" t="s">
        <v>17</v>
      </c>
      <c r="AE1192" s="38" t="s">
        <v>338</v>
      </c>
    </row>
    <row r="1193" spans="1:31" ht="18" customHeight="1" x14ac:dyDescent="0.25">
      <c r="A11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3" s="79">
        <v>4</v>
      </c>
      <c r="C1193" s="23">
        <v>44141</v>
      </c>
      <c r="D1193" s="67">
        <f>IF(COUNTIF($G$2:$G1193,$G1193)=1,1,0)</f>
        <v>0</v>
      </c>
      <c r="E1193" s="67" t="str">
        <f>IFERROR(VLOOKUP(База_КР_КК[[#This Row],[ИД штатной должности (S)]],'уровень защищенности'!$B$7:$F$1095,5,0),"не защищена")</f>
        <v>высокий</v>
      </c>
      <c r="F1193" s="68">
        <v>500580</v>
      </c>
      <c r="G1193" s="74" t="s">
        <v>2414</v>
      </c>
      <c r="H1193" s="181">
        <f>INDEX('Списки данных'!$D$2:$D$1048576,MATCH(База_КР_КК[[#This Row],[Структурное подразделение]],'Списки данных'!$C$2:$C$1048576,0))</f>
        <v>337</v>
      </c>
      <c r="I1193" s="80" t="s">
        <v>162</v>
      </c>
      <c r="J1193" s="80" t="s">
        <v>209</v>
      </c>
      <c r="K1193" s="80" t="s">
        <v>21</v>
      </c>
      <c r="L1193" s="30" t="s">
        <v>191</v>
      </c>
      <c r="M1193" s="68">
        <v>6</v>
      </c>
      <c r="N1193" s="181" t="str">
        <f t="shared" si="19"/>
        <v>нет</v>
      </c>
      <c r="O1193" s="23"/>
      <c r="P1193" s="23"/>
      <c r="Q1193" s="106"/>
      <c r="R1193" s="37">
        <v>249</v>
      </c>
      <c r="S1193" s="39" t="s">
        <v>661</v>
      </c>
      <c r="T1193" s="37">
        <v>1331</v>
      </c>
      <c r="U1193" s="38" t="s">
        <v>1727</v>
      </c>
      <c r="V1193" s="69" t="s">
        <v>272</v>
      </c>
      <c r="W1193" s="89" t="s">
        <v>162</v>
      </c>
      <c r="X1193" s="106" t="s">
        <v>296</v>
      </c>
      <c r="Y1193" s="107" t="s">
        <v>18</v>
      </c>
      <c r="Z1193" s="67">
        <f>IF(База_КР_КК[[#This Row],[Таб.номер резервиста]]="-","-",IF(OR(База_КР_КК[[#This Row],[Уровень КК]]=2,База_КР_КК[[#This Row],[Уровень КК]]=3),IF(COUNTIFS($U$2:$U1193,$U1193,$F$2:$F1193,$F1193)=1,1,0),IF(COUNTIFS($U$2:$U1193,$U1193,$L$2:$L1193,$L1193)=1,1,0)))</f>
        <v>0</v>
      </c>
      <c r="AA11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3" s="106" t="s">
        <v>19</v>
      </c>
      <c r="AC1193" s="51">
        <v>44514</v>
      </c>
      <c r="AD1193" s="106" t="s">
        <v>13</v>
      </c>
      <c r="AE1193" s="38" t="s">
        <v>338</v>
      </c>
    </row>
    <row r="1194" spans="1:31" ht="18" customHeight="1" x14ac:dyDescent="0.25">
      <c r="A11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4" s="79">
        <v>4</v>
      </c>
      <c r="C1194" s="23">
        <v>44881</v>
      </c>
      <c r="D1194" s="67">
        <f>IF(COUNTIF($G$2:$G1194,$G1194)=1,1,0)</f>
        <v>0</v>
      </c>
      <c r="E1194" s="67" t="str">
        <f>IFERROR(VLOOKUP(База_КР_КК[[#This Row],[ИД штатной должности (S)]],'уровень защищенности'!$B$7:$F$1095,5,0),"не защищена")</f>
        <v>высокий</v>
      </c>
      <c r="F1194" s="68">
        <v>500580</v>
      </c>
      <c r="G1194" s="74" t="s">
        <v>2414</v>
      </c>
      <c r="H1194" s="181">
        <f>INDEX('Списки данных'!$D$2:$D$1048576,MATCH(База_КР_КК[[#This Row],[Структурное подразделение]],'Списки данных'!$C$2:$C$1048576,0))</f>
        <v>337</v>
      </c>
      <c r="I1194" s="80" t="s">
        <v>162</v>
      </c>
      <c r="J1194" s="80" t="s">
        <v>209</v>
      </c>
      <c r="K1194" s="80" t="s">
        <v>21</v>
      </c>
      <c r="L1194" s="30" t="s">
        <v>191</v>
      </c>
      <c r="M1194" s="68">
        <v>6</v>
      </c>
      <c r="N1194" s="181" t="str">
        <f t="shared" si="19"/>
        <v>нет</v>
      </c>
      <c r="O1194" s="23"/>
      <c r="P1194" s="23"/>
      <c r="Q1194" s="106"/>
      <c r="R1194" s="37">
        <v>249</v>
      </c>
      <c r="S1194" s="39" t="s">
        <v>661</v>
      </c>
      <c r="T1194" s="37">
        <v>1332</v>
      </c>
      <c r="U1194" s="38" t="s">
        <v>1728</v>
      </c>
      <c r="V1194" s="69" t="s">
        <v>272</v>
      </c>
      <c r="W1194" s="89" t="s">
        <v>162</v>
      </c>
      <c r="X1194" s="106" t="s">
        <v>296</v>
      </c>
      <c r="Y1194" s="107" t="s">
        <v>18</v>
      </c>
      <c r="Z1194" s="67">
        <f>IF(База_КР_КК[[#This Row],[Таб.номер резервиста]]="-","-",IF(OR(База_КР_КК[[#This Row],[Уровень КК]]=2,База_КР_КК[[#This Row],[Уровень КК]]=3),IF(COUNTIFS($U$2:$U1194,$U1194,$F$2:$F1194,$F1194)=1,1,0),IF(COUNTIFS($U$2:$U1194,$U1194,$L$2:$L1194,$L1194)=1,1,0)))</f>
        <v>0</v>
      </c>
      <c r="AA11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4" s="106" t="s">
        <v>19</v>
      </c>
      <c r="AC1194" s="51">
        <v>44916</v>
      </c>
      <c r="AD1194" s="106" t="s">
        <v>15</v>
      </c>
      <c r="AE1194" s="33" t="s">
        <v>337</v>
      </c>
    </row>
    <row r="1195" spans="1:31" ht="18" customHeight="1" x14ac:dyDescent="0.25">
      <c r="A11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5" s="79">
        <v>4</v>
      </c>
      <c r="C1195" s="23">
        <v>44141</v>
      </c>
      <c r="D1195" s="67">
        <f>IF(COUNTIF($G$2:$G1195,$G1195)=1,1,0)</f>
        <v>1</v>
      </c>
      <c r="E1195" s="67" t="str">
        <f>IFERROR(VLOOKUP(База_КР_КК[[#This Row],[ИД штатной должности (S)]],'уровень защищенности'!$B$7:$F$1095,5,0),"не защищена")</f>
        <v>высокий</v>
      </c>
      <c r="F1195" s="68">
        <v>500580</v>
      </c>
      <c r="G1195" s="74" t="s">
        <v>2415</v>
      </c>
      <c r="H1195" s="181">
        <f>INDEX('Списки данных'!$D$2:$D$1048576,MATCH(База_КР_КК[[#This Row],[Структурное подразделение]],'Списки данных'!$C$2:$C$1048576,0))</f>
        <v>337</v>
      </c>
      <c r="I1195" s="80" t="s">
        <v>162</v>
      </c>
      <c r="J1195" s="80" t="s">
        <v>209</v>
      </c>
      <c r="K1195" s="80" t="s">
        <v>21</v>
      </c>
      <c r="L1195" s="30" t="s">
        <v>191</v>
      </c>
      <c r="M1195" s="68">
        <v>6</v>
      </c>
      <c r="N1195" s="181" t="str">
        <f t="shared" si="19"/>
        <v>нет</v>
      </c>
      <c r="O1195" s="23"/>
      <c r="P1195" s="23"/>
      <c r="Q1195" s="106"/>
      <c r="R1195" s="37">
        <v>250</v>
      </c>
      <c r="S1195" s="39" t="s">
        <v>662</v>
      </c>
      <c r="T1195" s="37">
        <v>1324</v>
      </c>
      <c r="U1195" s="38" t="s">
        <v>1720</v>
      </c>
      <c r="V1195" s="69" t="s">
        <v>272</v>
      </c>
      <c r="W1195" s="89" t="s">
        <v>162</v>
      </c>
      <c r="X1195" s="106" t="s">
        <v>295</v>
      </c>
      <c r="Y1195" s="107" t="s">
        <v>12</v>
      </c>
      <c r="Z1195" s="67">
        <f>IF(База_КР_КК[[#This Row],[Таб.номер резервиста]]="-","-",IF(OR(База_КР_КК[[#This Row],[Уровень КК]]=2,База_КР_КК[[#This Row],[Уровень КК]]=3),IF(COUNTIFS($U$2:$U1195,$U1195,$F$2:$F1195,$F1195)=1,1,0),IF(COUNTIFS($U$2:$U1195,$U1195,$L$2:$L1195,$L1195)=1,1,0)))</f>
        <v>0</v>
      </c>
      <c r="AA11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5" s="106"/>
      <c r="AC1195" s="51"/>
      <c r="AD1195" s="106" t="s">
        <v>17</v>
      </c>
      <c r="AE1195" s="33" t="s">
        <v>337</v>
      </c>
    </row>
    <row r="1196" spans="1:31" ht="18" customHeight="1" x14ac:dyDescent="0.25">
      <c r="A11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6" s="79">
        <v>4</v>
      </c>
      <c r="C1196" s="23">
        <v>44881</v>
      </c>
      <c r="D1196" s="67">
        <f>IF(COUNTIF($G$2:$G1196,$G1196)=1,1,0)</f>
        <v>0</v>
      </c>
      <c r="E1196" s="67" t="str">
        <f>IFERROR(VLOOKUP(База_КР_КК[[#This Row],[ИД штатной должности (S)]],'уровень защищенности'!$B$7:$F$1095,5,0),"не защищена")</f>
        <v>высокий</v>
      </c>
      <c r="F1196" s="68">
        <v>500580</v>
      </c>
      <c r="G1196" s="74" t="s">
        <v>2415</v>
      </c>
      <c r="H1196" s="181">
        <f>INDEX('Списки данных'!$D$2:$D$1048576,MATCH(База_КР_КК[[#This Row],[Структурное подразделение]],'Списки данных'!$C$2:$C$1048576,0))</f>
        <v>337</v>
      </c>
      <c r="I1196" s="80" t="s">
        <v>162</v>
      </c>
      <c r="J1196" s="80" t="s">
        <v>209</v>
      </c>
      <c r="K1196" s="80" t="s">
        <v>21</v>
      </c>
      <c r="L1196" s="30" t="s">
        <v>191</v>
      </c>
      <c r="M1196" s="68">
        <v>6</v>
      </c>
      <c r="N1196" s="181" t="str">
        <f t="shared" si="19"/>
        <v>нет</v>
      </c>
      <c r="O1196" s="23"/>
      <c r="P1196" s="23"/>
      <c r="Q1196" s="106"/>
      <c r="R1196" s="37">
        <v>250</v>
      </c>
      <c r="S1196" s="39" t="s">
        <v>662</v>
      </c>
      <c r="T1196" s="37">
        <v>1325</v>
      </c>
      <c r="U1196" s="38" t="s">
        <v>1721</v>
      </c>
      <c r="V1196" s="69" t="s">
        <v>272</v>
      </c>
      <c r="W1196" s="89" t="s">
        <v>162</v>
      </c>
      <c r="X1196" s="106" t="s">
        <v>296</v>
      </c>
      <c r="Y1196" s="107" t="s">
        <v>12</v>
      </c>
      <c r="Z1196" s="67">
        <f>IF(База_КР_КК[[#This Row],[Таб.номер резервиста]]="-","-",IF(OR(База_КР_КК[[#This Row],[Уровень КК]]=2,База_КР_КК[[#This Row],[Уровень КК]]=3),IF(COUNTIFS($U$2:$U1196,$U1196,$F$2:$F1196,$F1196)=1,1,0),IF(COUNTIFS($U$2:$U1196,$U1196,$L$2:$L1196,$L1196)=1,1,0)))</f>
        <v>0</v>
      </c>
      <c r="AA11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6" s="106"/>
      <c r="AC1196" s="51"/>
      <c r="AD1196" s="106" t="s">
        <v>15</v>
      </c>
      <c r="AE1196" s="33" t="s">
        <v>337</v>
      </c>
    </row>
    <row r="1197" spans="1:31" ht="18" customHeight="1" x14ac:dyDescent="0.25">
      <c r="A11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7" s="79">
        <v>4</v>
      </c>
      <c r="C1197" s="23">
        <v>44881</v>
      </c>
      <c r="D1197" s="67">
        <f>IF(COUNTIF($G$2:$G1197,$G1197)=1,1,0)</f>
        <v>0</v>
      </c>
      <c r="E1197" s="67" t="str">
        <f>IFERROR(VLOOKUP(База_КР_КК[[#This Row],[ИД штатной должности (S)]],'уровень защищенности'!$B$7:$F$1095,5,0),"не защищена")</f>
        <v>высокий</v>
      </c>
      <c r="F1197" s="68">
        <v>500580</v>
      </c>
      <c r="G1197" s="74" t="s">
        <v>2415</v>
      </c>
      <c r="H1197" s="181">
        <f>INDEX('Списки данных'!$D$2:$D$1048576,MATCH(База_КР_КК[[#This Row],[Структурное подразделение]],'Списки данных'!$C$2:$C$1048576,0))</f>
        <v>337</v>
      </c>
      <c r="I1197" s="80" t="s">
        <v>162</v>
      </c>
      <c r="J1197" s="80" t="s">
        <v>209</v>
      </c>
      <c r="K1197" s="80" t="s">
        <v>21</v>
      </c>
      <c r="L1197" s="30" t="s">
        <v>191</v>
      </c>
      <c r="M1197" s="68">
        <v>6</v>
      </c>
      <c r="N1197" s="181" t="str">
        <f t="shared" si="19"/>
        <v>нет</v>
      </c>
      <c r="O1197" s="23"/>
      <c r="P1197" s="23"/>
      <c r="Q1197" s="106"/>
      <c r="R1197" s="37">
        <v>250</v>
      </c>
      <c r="S1197" s="39" t="s">
        <v>662</v>
      </c>
      <c r="T1197" s="37">
        <v>1326</v>
      </c>
      <c r="U1197" s="38" t="s">
        <v>1722</v>
      </c>
      <c r="V1197" s="89" t="s">
        <v>272</v>
      </c>
      <c r="W1197" s="89" t="s">
        <v>162</v>
      </c>
      <c r="X1197" s="106" t="s">
        <v>296</v>
      </c>
      <c r="Y1197" s="107" t="s">
        <v>12</v>
      </c>
      <c r="Z1197" s="67">
        <f>IF(База_КР_КК[[#This Row],[Таб.номер резервиста]]="-","-",IF(OR(База_КР_КК[[#This Row],[Уровень КК]]=2,База_КР_КК[[#This Row],[Уровень КК]]=3),IF(COUNTIFS($U$2:$U1197,$U1197,$F$2:$F1197,$F1197)=1,1,0),IF(COUNTIFS($U$2:$U1197,$U1197,$L$2:$L1197,$L1197)=1,1,0)))</f>
        <v>0</v>
      </c>
      <c r="AA11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7" s="106"/>
      <c r="AC1197" s="51"/>
      <c r="AD1197" s="106" t="s">
        <v>15</v>
      </c>
      <c r="AE1197" s="33" t="s">
        <v>337</v>
      </c>
    </row>
    <row r="1198" spans="1:31" ht="18" customHeight="1" x14ac:dyDescent="0.25">
      <c r="A11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8" s="79">
        <v>4</v>
      </c>
      <c r="C1198" s="23">
        <v>44881</v>
      </c>
      <c r="D1198" s="67">
        <f>IF(COUNTIF($G$2:$G1198,$G1198)=1,1,0)</f>
        <v>0</v>
      </c>
      <c r="E1198" s="67" t="str">
        <f>IFERROR(VLOOKUP(База_КР_КК[[#This Row],[ИД штатной должности (S)]],'уровень защищенности'!$B$7:$F$1095,5,0),"не защищена")</f>
        <v>высокий</v>
      </c>
      <c r="F1198" s="68">
        <v>500580</v>
      </c>
      <c r="G1198" s="74" t="s">
        <v>2415</v>
      </c>
      <c r="H1198" s="181">
        <f>INDEX('Списки данных'!$D$2:$D$1048576,MATCH(База_КР_КК[[#This Row],[Структурное подразделение]],'Списки данных'!$C$2:$C$1048576,0))</f>
        <v>337</v>
      </c>
      <c r="I1198" s="80" t="s">
        <v>162</v>
      </c>
      <c r="J1198" s="80" t="s">
        <v>209</v>
      </c>
      <c r="K1198" s="80" t="s">
        <v>21</v>
      </c>
      <c r="L1198" s="30" t="s">
        <v>191</v>
      </c>
      <c r="M1198" s="68">
        <v>6</v>
      </c>
      <c r="N1198" s="181" t="str">
        <f t="shared" si="19"/>
        <v>нет</v>
      </c>
      <c r="O1198" s="23"/>
      <c r="P1198" s="23"/>
      <c r="Q1198" s="106"/>
      <c r="R1198" s="37">
        <v>250</v>
      </c>
      <c r="S1198" s="39" t="s">
        <v>662</v>
      </c>
      <c r="T1198" s="37">
        <v>1327</v>
      </c>
      <c r="U1198" s="38" t="s">
        <v>1723</v>
      </c>
      <c r="V1198" s="69" t="s">
        <v>272</v>
      </c>
      <c r="W1198" s="89" t="s">
        <v>162</v>
      </c>
      <c r="X1198" s="106" t="s">
        <v>296</v>
      </c>
      <c r="Y1198" s="107" t="s">
        <v>12</v>
      </c>
      <c r="Z1198" s="67">
        <f>IF(База_КР_КК[[#This Row],[Таб.номер резервиста]]="-","-",IF(OR(База_КР_КК[[#This Row],[Уровень КК]]=2,База_КР_КК[[#This Row],[Уровень КК]]=3),IF(COUNTIFS($U$2:$U1198,$U1198,$F$2:$F1198,$F1198)=1,1,0),IF(COUNTIFS($U$2:$U1198,$U1198,$L$2:$L1198,$L1198)=1,1,0)))</f>
        <v>0</v>
      </c>
      <c r="AA11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8" s="106"/>
      <c r="AC1198" s="51"/>
      <c r="AD1198" s="106" t="s">
        <v>15</v>
      </c>
      <c r="AE1198" s="33" t="s">
        <v>337</v>
      </c>
    </row>
    <row r="1199" spans="1:31" ht="18" customHeight="1" x14ac:dyDescent="0.25">
      <c r="A11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199" s="79">
        <v>4</v>
      </c>
      <c r="C1199" s="23">
        <v>44881</v>
      </c>
      <c r="D1199" s="67">
        <f>IF(COUNTIF($G$2:$G1199,$G1199)=1,1,0)</f>
        <v>0</v>
      </c>
      <c r="E1199" s="67" t="str">
        <f>IFERROR(VLOOKUP(База_КР_КК[[#This Row],[ИД штатной должности (S)]],'уровень защищенности'!$B$7:$F$1095,5,0),"не защищена")</f>
        <v>высокий</v>
      </c>
      <c r="F1199" s="68">
        <v>500580</v>
      </c>
      <c r="G1199" s="74" t="s">
        <v>2415</v>
      </c>
      <c r="H1199" s="181">
        <f>INDEX('Списки данных'!$D$2:$D$1048576,MATCH(База_КР_КК[[#This Row],[Структурное подразделение]],'Списки данных'!$C$2:$C$1048576,0))</f>
        <v>337</v>
      </c>
      <c r="I1199" s="80" t="s">
        <v>162</v>
      </c>
      <c r="J1199" s="80" t="s">
        <v>209</v>
      </c>
      <c r="K1199" s="80" t="s">
        <v>21</v>
      </c>
      <c r="L1199" s="30" t="s">
        <v>191</v>
      </c>
      <c r="M1199" s="68">
        <v>6</v>
      </c>
      <c r="N1199" s="181" t="str">
        <f t="shared" si="19"/>
        <v>нет</v>
      </c>
      <c r="O1199" s="23"/>
      <c r="P1199" s="23"/>
      <c r="Q1199" s="106"/>
      <c r="R1199" s="37">
        <v>250</v>
      </c>
      <c r="S1199" s="39" t="s">
        <v>662</v>
      </c>
      <c r="T1199" s="37">
        <v>1328</v>
      </c>
      <c r="U1199" s="38" t="s">
        <v>1724</v>
      </c>
      <c r="V1199" s="69" t="s">
        <v>272</v>
      </c>
      <c r="W1199" s="89" t="s">
        <v>162</v>
      </c>
      <c r="X1199" s="106" t="s">
        <v>296</v>
      </c>
      <c r="Y1199" s="107" t="s">
        <v>12</v>
      </c>
      <c r="Z1199" s="67">
        <f>IF(База_КР_КК[[#This Row],[Таб.номер резервиста]]="-","-",IF(OR(База_КР_КК[[#This Row],[Уровень КК]]=2,База_КР_КК[[#This Row],[Уровень КК]]=3),IF(COUNTIFS($U$2:$U1199,$U1199,$F$2:$F1199,$F1199)=1,1,0),IF(COUNTIFS($U$2:$U1199,$U1199,$L$2:$L1199,$L1199)=1,1,0)))</f>
        <v>0</v>
      </c>
      <c r="AA11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199" s="106"/>
      <c r="AC1199" s="51"/>
      <c r="AD1199" s="106" t="s">
        <v>15</v>
      </c>
      <c r="AE1199" s="33" t="s">
        <v>337</v>
      </c>
    </row>
    <row r="1200" spans="1:31" ht="18" customHeight="1" x14ac:dyDescent="0.25">
      <c r="A12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0" s="79">
        <v>4</v>
      </c>
      <c r="C1200" s="23">
        <v>44881</v>
      </c>
      <c r="D1200" s="67">
        <f>IF(COUNTIF($G$2:$G1200,$G1200)=1,1,0)</f>
        <v>0</v>
      </c>
      <c r="E1200" s="67" t="str">
        <f>IFERROR(VLOOKUP(База_КР_КК[[#This Row],[ИД штатной должности (S)]],'уровень защищенности'!$B$7:$F$1095,5,0),"не защищена")</f>
        <v>высокий</v>
      </c>
      <c r="F1200" s="68">
        <v>500580</v>
      </c>
      <c r="G1200" s="74" t="s">
        <v>2415</v>
      </c>
      <c r="H1200" s="181">
        <f>INDEX('Списки данных'!$D$2:$D$1048576,MATCH(База_КР_КК[[#This Row],[Структурное подразделение]],'Списки данных'!$C$2:$C$1048576,0))</f>
        <v>337</v>
      </c>
      <c r="I1200" s="80" t="s">
        <v>162</v>
      </c>
      <c r="J1200" s="80" t="s">
        <v>209</v>
      </c>
      <c r="K1200" s="80" t="s">
        <v>21</v>
      </c>
      <c r="L1200" s="30" t="s">
        <v>191</v>
      </c>
      <c r="M1200" s="68">
        <v>6</v>
      </c>
      <c r="N1200" s="181" t="str">
        <f t="shared" si="19"/>
        <v>нет</v>
      </c>
      <c r="O1200" s="23"/>
      <c r="P1200" s="23"/>
      <c r="Q1200" s="106"/>
      <c r="R1200" s="37">
        <v>250</v>
      </c>
      <c r="S1200" s="39" t="s">
        <v>662</v>
      </c>
      <c r="T1200" s="37">
        <v>1329</v>
      </c>
      <c r="U1200" s="38" t="s">
        <v>1725</v>
      </c>
      <c r="V1200" s="69" t="s">
        <v>272</v>
      </c>
      <c r="W1200" s="89" t="s">
        <v>162</v>
      </c>
      <c r="X1200" s="106" t="s">
        <v>296</v>
      </c>
      <c r="Y1200" s="107" t="s">
        <v>12</v>
      </c>
      <c r="Z1200" s="67">
        <f>IF(База_КР_КК[[#This Row],[Таб.номер резервиста]]="-","-",IF(OR(База_КР_КК[[#This Row],[Уровень КК]]=2,База_КР_КК[[#This Row],[Уровень КК]]=3),IF(COUNTIFS($U$2:$U1200,$U1200,$F$2:$F1200,$F1200)=1,1,0),IF(COUNTIFS($U$2:$U1200,$U1200,$L$2:$L1200,$L1200)=1,1,0)))</f>
        <v>0</v>
      </c>
      <c r="AA12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0" s="106"/>
      <c r="AC1200" s="51"/>
      <c r="AD1200" s="106" t="s">
        <v>15</v>
      </c>
      <c r="AE1200" s="33" t="s">
        <v>337</v>
      </c>
    </row>
    <row r="1201" spans="1:31" ht="18" customHeight="1" x14ac:dyDescent="0.25">
      <c r="A12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1" s="79">
        <v>4</v>
      </c>
      <c r="C1201" s="23">
        <v>44141</v>
      </c>
      <c r="D1201" s="67">
        <f>IF(COUNTIF($G$2:$G1201,$G1201)=1,1,0)</f>
        <v>0</v>
      </c>
      <c r="E1201" s="67" t="str">
        <f>IFERROR(VLOOKUP(База_КР_КК[[#This Row],[ИД штатной должности (S)]],'уровень защищенности'!$B$7:$F$1095,5,0),"не защищена")</f>
        <v>высокий</v>
      </c>
      <c r="F1201" s="68">
        <v>500580</v>
      </c>
      <c r="G1201" s="74" t="s">
        <v>2415</v>
      </c>
      <c r="H1201" s="181">
        <f>INDEX('Списки данных'!$D$2:$D$1048576,MATCH(База_КР_КК[[#This Row],[Структурное подразделение]],'Списки данных'!$C$2:$C$1048576,0))</f>
        <v>337</v>
      </c>
      <c r="I1201" s="80" t="s">
        <v>162</v>
      </c>
      <c r="J1201" s="80" t="s">
        <v>209</v>
      </c>
      <c r="K1201" s="80" t="s">
        <v>21</v>
      </c>
      <c r="L1201" s="30" t="s">
        <v>191</v>
      </c>
      <c r="M1201" s="68">
        <v>6</v>
      </c>
      <c r="N1201" s="181" t="str">
        <f t="shared" si="19"/>
        <v>нет</v>
      </c>
      <c r="O1201" s="23"/>
      <c r="P1201" s="23"/>
      <c r="Q1201" s="106"/>
      <c r="R1201" s="37">
        <v>250</v>
      </c>
      <c r="S1201" s="39" t="s">
        <v>662</v>
      </c>
      <c r="T1201" s="37">
        <v>1331</v>
      </c>
      <c r="U1201" s="38" t="s">
        <v>1727</v>
      </c>
      <c r="V1201" s="69" t="s">
        <v>272</v>
      </c>
      <c r="W1201" s="89" t="s">
        <v>162</v>
      </c>
      <c r="X1201" s="106" t="s">
        <v>296</v>
      </c>
      <c r="Y1201" s="107" t="s">
        <v>18</v>
      </c>
      <c r="Z1201" s="67">
        <f>IF(База_КР_КК[[#This Row],[Таб.номер резервиста]]="-","-",IF(OR(База_КР_КК[[#This Row],[Уровень КК]]=2,База_КР_КК[[#This Row],[Уровень КК]]=3),IF(COUNTIFS($U$2:$U1201,$U1201,$F$2:$F1201,$F1201)=1,1,0),IF(COUNTIFS($U$2:$U1201,$U1201,$L$2:$L1201,$L1201)=1,1,0)))</f>
        <v>0</v>
      </c>
      <c r="AA12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1" s="106" t="s">
        <v>19</v>
      </c>
      <c r="AC1201" s="51">
        <v>44514</v>
      </c>
      <c r="AD1201" s="106" t="s">
        <v>13</v>
      </c>
      <c r="AE1201" s="38" t="s">
        <v>338</v>
      </c>
    </row>
    <row r="1202" spans="1:31" ht="18" customHeight="1" x14ac:dyDescent="0.25">
      <c r="A12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2" s="79">
        <v>4</v>
      </c>
      <c r="C1202" s="23">
        <v>44141</v>
      </c>
      <c r="D1202" s="67">
        <f>IF(COUNTIF($G$2:$G1202,$G1202)=1,1,0)</f>
        <v>0</v>
      </c>
      <c r="E1202" s="67" t="str">
        <f>IFERROR(VLOOKUP(База_КР_КК[[#This Row],[ИД штатной должности (S)]],'уровень защищенности'!$B$7:$F$1095,5,0),"не защищена")</f>
        <v>высокий</v>
      </c>
      <c r="F1202" s="68">
        <v>500580</v>
      </c>
      <c r="G1202" s="74" t="s">
        <v>2415</v>
      </c>
      <c r="H1202" s="181">
        <f>INDEX('Списки данных'!$D$2:$D$1048576,MATCH(База_КР_КК[[#This Row],[Структурное подразделение]],'Списки данных'!$C$2:$C$1048576,0))</f>
        <v>337</v>
      </c>
      <c r="I1202" s="80" t="s">
        <v>162</v>
      </c>
      <c r="J1202" s="80" t="s">
        <v>209</v>
      </c>
      <c r="K1202" s="80" t="s">
        <v>21</v>
      </c>
      <c r="L1202" s="30" t="s">
        <v>191</v>
      </c>
      <c r="M1202" s="68">
        <v>6</v>
      </c>
      <c r="N1202" s="181" t="str">
        <f t="shared" si="19"/>
        <v>нет</v>
      </c>
      <c r="O1202" s="23"/>
      <c r="P1202" s="23"/>
      <c r="Q1202" s="106"/>
      <c r="R1202" s="37">
        <v>250</v>
      </c>
      <c r="S1202" s="39" t="s">
        <v>662</v>
      </c>
      <c r="T1202" s="37">
        <v>1330</v>
      </c>
      <c r="U1202" s="38" t="s">
        <v>1726</v>
      </c>
      <c r="V1202" s="69" t="s">
        <v>272</v>
      </c>
      <c r="W1202" s="89" t="s">
        <v>162</v>
      </c>
      <c r="X1202" s="106" t="s">
        <v>295</v>
      </c>
      <c r="Y1202" s="107" t="s">
        <v>18</v>
      </c>
      <c r="Z1202" s="67">
        <f>IF(База_КР_КК[[#This Row],[Таб.номер резервиста]]="-","-",IF(OR(База_КР_КК[[#This Row],[Уровень КК]]=2,База_КР_КК[[#This Row],[Уровень КК]]=3),IF(COUNTIFS($U$2:$U1202,$U1202,$F$2:$F1202,$F1202)=1,1,0),IF(COUNTIFS($U$2:$U1202,$U1202,$L$2:$L1202,$L1202)=1,1,0)))</f>
        <v>0</v>
      </c>
      <c r="AA12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2" s="106" t="s">
        <v>19</v>
      </c>
      <c r="AC1202" s="51">
        <v>44842</v>
      </c>
      <c r="AD1202" s="106" t="s">
        <v>17</v>
      </c>
      <c r="AE1202" s="38" t="s">
        <v>338</v>
      </c>
    </row>
    <row r="1203" spans="1:31" ht="18" customHeight="1" x14ac:dyDescent="0.25">
      <c r="A12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3" s="79">
        <v>4</v>
      </c>
      <c r="C1203" s="23">
        <v>44881</v>
      </c>
      <c r="D1203" s="67">
        <f>IF(COUNTIF($G$2:$G1203,$G1203)=1,1,0)</f>
        <v>0</v>
      </c>
      <c r="E1203" s="67" t="str">
        <f>IFERROR(VLOOKUP(База_КР_КК[[#This Row],[ИД штатной должности (S)]],'уровень защищенности'!$B$7:$F$1095,5,0),"не защищена")</f>
        <v>высокий</v>
      </c>
      <c r="F1203" s="68">
        <v>500580</v>
      </c>
      <c r="G1203" s="74" t="s">
        <v>2415</v>
      </c>
      <c r="H1203" s="181">
        <f>INDEX('Списки данных'!$D$2:$D$1048576,MATCH(База_КР_КК[[#This Row],[Структурное подразделение]],'Списки данных'!$C$2:$C$1048576,0))</f>
        <v>337</v>
      </c>
      <c r="I1203" s="80" t="s">
        <v>162</v>
      </c>
      <c r="J1203" s="80" t="s">
        <v>209</v>
      </c>
      <c r="K1203" s="80" t="s">
        <v>21</v>
      </c>
      <c r="L1203" s="30" t="s">
        <v>191</v>
      </c>
      <c r="M1203" s="68">
        <v>6</v>
      </c>
      <c r="N1203" s="181" t="str">
        <f t="shared" si="19"/>
        <v>нет</v>
      </c>
      <c r="O1203" s="23"/>
      <c r="P1203" s="23"/>
      <c r="Q1203" s="106"/>
      <c r="R1203" s="37">
        <v>250</v>
      </c>
      <c r="S1203" s="39" t="s">
        <v>662</v>
      </c>
      <c r="T1203" s="37">
        <v>1332</v>
      </c>
      <c r="U1203" s="38" t="s">
        <v>1728</v>
      </c>
      <c r="V1203" s="69" t="s">
        <v>272</v>
      </c>
      <c r="W1203" s="89" t="s">
        <v>162</v>
      </c>
      <c r="X1203" s="106" t="s">
        <v>296</v>
      </c>
      <c r="Y1203" s="107" t="s">
        <v>18</v>
      </c>
      <c r="Z1203" s="67">
        <f>IF(База_КР_КК[[#This Row],[Таб.номер резервиста]]="-","-",IF(OR(База_КР_КК[[#This Row],[Уровень КК]]=2,База_КР_КК[[#This Row],[Уровень КК]]=3),IF(COUNTIFS($U$2:$U1203,$U1203,$F$2:$F1203,$F1203)=1,1,0),IF(COUNTIFS($U$2:$U1203,$U1203,$L$2:$L1203,$L1203)=1,1,0)))</f>
        <v>0</v>
      </c>
      <c r="AA12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3" s="106" t="s">
        <v>19</v>
      </c>
      <c r="AC1203" s="51">
        <v>44916</v>
      </c>
      <c r="AD1203" s="106" t="s">
        <v>15</v>
      </c>
      <c r="AE1203" s="33" t="s">
        <v>337</v>
      </c>
    </row>
    <row r="1204" spans="1:31" ht="18" customHeight="1" x14ac:dyDescent="0.25">
      <c r="A12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4" s="79">
        <v>4</v>
      </c>
      <c r="C1204" s="23">
        <v>44141</v>
      </c>
      <c r="D1204" s="67">
        <f>IF(COUNTIF($G$2:$G1204,$G1204)=1,1,0)</f>
        <v>1</v>
      </c>
      <c r="E1204" s="67" t="str">
        <f>IFERROR(VLOOKUP(База_КР_КК[[#This Row],[ИД штатной должности (S)]],'уровень защищенности'!$B$7:$F$1095,5,0),"не защищена")</f>
        <v>высокий</v>
      </c>
      <c r="F1204" s="68">
        <v>500580</v>
      </c>
      <c r="G1204" s="74" t="s">
        <v>2416</v>
      </c>
      <c r="H1204" s="181">
        <f>INDEX('Списки данных'!$D$2:$D$1048576,MATCH(База_КР_КК[[#This Row],[Структурное подразделение]],'Списки данных'!$C$2:$C$1048576,0))</f>
        <v>337</v>
      </c>
      <c r="I1204" s="80" t="s">
        <v>162</v>
      </c>
      <c r="J1204" s="80" t="s">
        <v>209</v>
      </c>
      <c r="K1204" s="80" t="s">
        <v>21</v>
      </c>
      <c r="L1204" s="30" t="s">
        <v>191</v>
      </c>
      <c r="M1204" s="68">
        <v>6</v>
      </c>
      <c r="N1204" s="181" t="str">
        <f t="shared" si="19"/>
        <v>нет</v>
      </c>
      <c r="O1204" s="23"/>
      <c r="P1204" s="23"/>
      <c r="Q1204" s="106"/>
      <c r="R1204" s="37">
        <v>251</v>
      </c>
      <c r="S1204" s="39" t="s">
        <v>663</v>
      </c>
      <c r="T1204" s="37">
        <v>1324</v>
      </c>
      <c r="U1204" s="38" t="s">
        <v>1720</v>
      </c>
      <c r="V1204" s="69" t="s">
        <v>272</v>
      </c>
      <c r="W1204" s="89" t="s">
        <v>162</v>
      </c>
      <c r="X1204" s="106" t="s">
        <v>295</v>
      </c>
      <c r="Y1204" s="107" t="s">
        <v>12</v>
      </c>
      <c r="Z1204" s="67">
        <f>IF(База_КР_КК[[#This Row],[Таб.номер резервиста]]="-","-",IF(OR(База_КР_КК[[#This Row],[Уровень КК]]=2,База_КР_КК[[#This Row],[Уровень КК]]=3),IF(COUNTIFS($U$2:$U1204,$U1204,$F$2:$F1204,$F1204)=1,1,0),IF(COUNTIFS($U$2:$U1204,$U1204,$L$2:$L1204,$L1204)=1,1,0)))</f>
        <v>0</v>
      </c>
      <c r="AA12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4" s="106"/>
      <c r="AC1204" s="51"/>
      <c r="AD1204" s="106" t="s">
        <v>17</v>
      </c>
      <c r="AE1204" s="33" t="s">
        <v>337</v>
      </c>
    </row>
    <row r="1205" spans="1:31" ht="18" customHeight="1" x14ac:dyDescent="0.25">
      <c r="A12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5" s="79">
        <v>4</v>
      </c>
      <c r="C1205" s="23">
        <v>44881</v>
      </c>
      <c r="D1205" s="67">
        <f>IF(COUNTIF($G$2:$G1205,$G1205)=1,1,0)</f>
        <v>0</v>
      </c>
      <c r="E1205" s="67" t="str">
        <f>IFERROR(VLOOKUP(База_КР_КК[[#This Row],[ИД штатной должности (S)]],'уровень защищенности'!$B$7:$F$1095,5,0),"не защищена")</f>
        <v>высокий</v>
      </c>
      <c r="F1205" s="68">
        <v>500580</v>
      </c>
      <c r="G1205" s="74" t="s">
        <v>2416</v>
      </c>
      <c r="H1205" s="181">
        <f>INDEX('Списки данных'!$D$2:$D$1048576,MATCH(База_КР_КК[[#This Row],[Структурное подразделение]],'Списки данных'!$C$2:$C$1048576,0))</f>
        <v>337</v>
      </c>
      <c r="I1205" s="80" t="s">
        <v>162</v>
      </c>
      <c r="J1205" s="80" t="s">
        <v>209</v>
      </c>
      <c r="K1205" s="80" t="s">
        <v>21</v>
      </c>
      <c r="L1205" s="30" t="s">
        <v>191</v>
      </c>
      <c r="M1205" s="68">
        <v>6</v>
      </c>
      <c r="N1205" s="181" t="str">
        <f t="shared" si="19"/>
        <v>нет</v>
      </c>
      <c r="O1205" s="23"/>
      <c r="P1205" s="23"/>
      <c r="Q1205" s="106"/>
      <c r="R1205" s="37">
        <v>251</v>
      </c>
      <c r="S1205" s="39" t="s">
        <v>663</v>
      </c>
      <c r="T1205" s="37">
        <v>1325</v>
      </c>
      <c r="U1205" s="38" t="s">
        <v>1721</v>
      </c>
      <c r="V1205" s="69" t="s">
        <v>272</v>
      </c>
      <c r="W1205" s="89" t="s">
        <v>162</v>
      </c>
      <c r="X1205" s="106" t="s">
        <v>296</v>
      </c>
      <c r="Y1205" s="107" t="s">
        <v>12</v>
      </c>
      <c r="Z1205" s="67">
        <f>IF(База_КР_КК[[#This Row],[Таб.номер резервиста]]="-","-",IF(OR(База_КР_КК[[#This Row],[Уровень КК]]=2,База_КР_КК[[#This Row],[Уровень КК]]=3),IF(COUNTIFS($U$2:$U1205,$U1205,$F$2:$F1205,$F1205)=1,1,0),IF(COUNTIFS($U$2:$U1205,$U1205,$L$2:$L1205,$L1205)=1,1,0)))</f>
        <v>0</v>
      </c>
      <c r="AA12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5" s="106"/>
      <c r="AC1205" s="51"/>
      <c r="AD1205" s="106" t="s">
        <v>15</v>
      </c>
      <c r="AE1205" s="33" t="s">
        <v>337</v>
      </c>
    </row>
    <row r="1206" spans="1:31" ht="18" customHeight="1" x14ac:dyDescent="0.25">
      <c r="A12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6" s="79">
        <v>4</v>
      </c>
      <c r="C1206" s="23">
        <v>44881</v>
      </c>
      <c r="D1206" s="67">
        <f>IF(COUNTIF($G$2:$G1206,$G1206)=1,1,0)</f>
        <v>0</v>
      </c>
      <c r="E1206" s="67" t="str">
        <f>IFERROR(VLOOKUP(База_КР_КК[[#This Row],[ИД штатной должности (S)]],'уровень защищенности'!$B$7:$F$1095,5,0),"не защищена")</f>
        <v>высокий</v>
      </c>
      <c r="F1206" s="68">
        <v>500580</v>
      </c>
      <c r="G1206" s="74" t="s">
        <v>2416</v>
      </c>
      <c r="H1206" s="181">
        <f>INDEX('Списки данных'!$D$2:$D$1048576,MATCH(База_КР_КК[[#This Row],[Структурное подразделение]],'Списки данных'!$C$2:$C$1048576,0))</f>
        <v>337</v>
      </c>
      <c r="I1206" s="80" t="s">
        <v>162</v>
      </c>
      <c r="J1206" s="80" t="s">
        <v>209</v>
      </c>
      <c r="K1206" s="80" t="s">
        <v>21</v>
      </c>
      <c r="L1206" s="30" t="s">
        <v>191</v>
      </c>
      <c r="M1206" s="68">
        <v>6</v>
      </c>
      <c r="N1206" s="181" t="str">
        <f t="shared" si="19"/>
        <v>нет</v>
      </c>
      <c r="O1206" s="23"/>
      <c r="P1206" s="23"/>
      <c r="Q1206" s="106"/>
      <c r="R1206" s="37">
        <v>251</v>
      </c>
      <c r="S1206" s="39" t="s">
        <v>663</v>
      </c>
      <c r="T1206" s="37">
        <v>1326</v>
      </c>
      <c r="U1206" s="38" t="s">
        <v>1722</v>
      </c>
      <c r="V1206" s="69" t="s">
        <v>272</v>
      </c>
      <c r="W1206" s="89" t="s">
        <v>162</v>
      </c>
      <c r="X1206" s="106" t="s">
        <v>296</v>
      </c>
      <c r="Y1206" s="107" t="s">
        <v>12</v>
      </c>
      <c r="Z1206" s="67">
        <f>IF(База_КР_КК[[#This Row],[Таб.номер резервиста]]="-","-",IF(OR(База_КР_КК[[#This Row],[Уровень КК]]=2,База_КР_КК[[#This Row],[Уровень КК]]=3),IF(COUNTIFS($U$2:$U1206,$U1206,$F$2:$F1206,$F1206)=1,1,0),IF(COUNTIFS($U$2:$U1206,$U1206,$L$2:$L1206,$L1206)=1,1,0)))</f>
        <v>0</v>
      </c>
      <c r="AA12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6" s="106"/>
      <c r="AC1206" s="51"/>
      <c r="AD1206" s="106" t="s">
        <v>15</v>
      </c>
      <c r="AE1206" s="33" t="s">
        <v>337</v>
      </c>
    </row>
    <row r="1207" spans="1:31" ht="18" customHeight="1" x14ac:dyDescent="0.25">
      <c r="A12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7" s="79">
        <v>4</v>
      </c>
      <c r="C1207" s="23">
        <v>44881</v>
      </c>
      <c r="D1207" s="67">
        <f>IF(COUNTIF($G$2:$G1207,$G1207)=1,1,0)</f>
        <v>0</v>
      </c>
      <c r="E1207" s="67" t="str">
        <f>IFERROR(VLOOKUP(База_КР_КК[[#This Row],[ИД штатной должности (S)]],'уровень защищенности'!$B$7:$F$1095,5,0),"не защищена")</f>
        <v>высокий</v>
      </c>
      <c r="F1207" s="68">
        <v>500580</v>
      </c>
      <c r="G1207" s="74" t="s">
        <v>2416</v>
      </c>
      <c r="H1207" s="181">
        <f>INDEX('Списки данных'!$D$2:$D$1048576,MATCH(База_КР_КК[[#This Row],[Структурное подразделение]],'Списки данных'!$C$2:$C$1048576,0))</f>
        <v>337</v>
      </c>
      <c r="I1207" s="80" t="s">
        <v>162</v>
      </c>
      <c r="J1207" s="80" t="s">
        <v>209</v>
      </c>
      <c r="K1207" s="80" t="s">
        <v>21</v>
      </c>
      <c r="L1207" s="30" t="s">
        <v>191</v>
      </c>
      <c r="M1207" s="68">
        <v>6</v>
      </c>
      <c r="N1207" s="181" t="str">
        <f t="shared" si="19"/>
        <v>нет</v>
      </c>
      <c r="O1207" s="23"/>
      <c r="P1207" s="23"/>
      <c r="Q1207" s="106"/>
      <c r="R1207" s="37">
        <v>251</v>
      </c>
      <c r="S1207" s="39" t="s">
        <v>663</v>
      </c>
      <c r="T1207" s="37">
        <v>1327</v>
      </c>
      <c r="U1207" s="38" t="s">
        <v>1723</v>
      </c>
      <c r="V1207" s="69" t="s">
        <v>272</v>
      </c>
      <c r="W1207" s="89" t="s">
        <v>162</v>
      </c>
      <c r="X1207" s="106" t="s">
        <v>296</v>
      </c>
      <c r="Y1207" s="107" t="s">
        <v>12</v>
      </c>
      <c r="Z1207" s="67">
        <f>IF(База_КР_КК[[#This Row],[Таб.номер резервиста]]="-","-",IF(OR(База_КР_КК[[#This Row],[Уровень КК]]=2,База_КР_КК[[#This Row],[Уровень КК]]=3),IF(COUNTIFS($U$2:$U1207,$U1207,$F$2:$F1207,$F1207)=1,1,0),IF(COUNTIFS($U$2:$U1207,$U1207,$L$2:$L1207,$L1207)=1,1,0)))</f>
        <v>0</v>
      </c>
      <c r="AA12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7" s="106"/>
      <c r="AC1207" s="51"/>
      <c r="AD1207" s="106" t="s">
        <v>15</v>
      </c>
      <c r="AE1207" s="33" t="s">
        <v>337</v>
      </c>
    </row>
    <row r="1208" spans="1:31" ht="18" customHeight="1" x14ac:dyDescent="0.25">
      <c r="A12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8" s="79">
        <v>4</v>
      </c>
      <c r="C1208" s="23">
        <v>44881</v>
      </c>
      <c r="D1208" s="67">
        <f>IF(COUNTIF($G$2:$G1208,$G1208)=1,1,0)</f>
        <v>0</v>
      </c>
      <c r="E1208" s="67" t="str">
        <f>IFERROR(VLOOKUP(База_КР_КК[[#This Row],[ИД штатной должности (S)]],'уровень защищенности'!$B$7:$F$1095,5,0),"не защищена")</f>
        <v>высокий</v>
      </c>
      <c r="F1208" s="68">
        <v>500580</v>
      </c>
      <c r="G1208" s="74" t="s">
        <v>2416</v>
      </c>
      <c r="H1208" s="181">
        <f>INDEX('Списки данных'!$D$2:$D$1048576,MATCH(База_КР_КК[[#This Row],[Структурное подразделение]],'Списки данных'!$C$2:$C$1048576,0))</f>
        <v>337</v>
      </c>
      <c r="I1208" s="80" t="s">
        <v>162</v>
      </c>
      <c r="J1208" s="80" t="s">
        <v>209</v>
      </c>
      <c r="K1208" s="80" t="s">
        <v>21</v>
      </c>
      <c r="L1208" s="30" t="s">
        <v>191</v>
      </c>
      <c r="M1208" s="68">
        <v>6</v>
      </c>
      <c r="N1208" s="181" t="str">
        <f t="shared" si="19"/>
        <v>нет</v>
      </c>
      <c r="O1208" s="23"/>
      <c r="P1208" s="23"/>
      <c r="Q1208" s="106"/>
      <c r="R1208" s="37">
        <v>251</v>
      </c>
      <c r="S1208" s="39" t="s">
        <v>663</v>
      </c>
      <c r="T1208" s="37">
        <v>1328</v>
      </c>
      <c r="U1208" s="38" t="s">
        <v>1724</v>
      </c>
      <c r="V1208" s="69" t="s">
        <v>272</v>
      </c>
      <c r="W1208" s="89" t="s">
        <v>162</v>
      </c>
      <c r="X1208" s="106" t="s">
        <v>296</v>
      </c>
      <c r="Y1208" s="107" t="s">
        <v>12</v>
      </c>
      <c r="Z1208" s="67">
        <f>IF(База_КР_КК[[#This Row],[Таб.номер резервиста]]="-","-",IF(OR(База_КР_КК[[#This Row],[Уровень КК]]=2,База_КР_КК[[#This Row],[Уровень КК]]=3),IF(COUNTIFS($U$2:$U1208,$U1208,$F$2:$F1208,$F1208)=1,1,0),IF(COUNTIFS($U$2:$U1208,$U1208,$L$2:$L1208,$L1208)=1,1,0)))</f>
        <v>0</v>
      </c>
      <c r="AA12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8" s="106"/>
      <c r="AC1208" s="51"/>
      <c r="AD1208" s="106" t="s">
        <v>15</v>
      </c>
      <c r="AE1208" s="33" t="s">
        <v>337</v>
      </c>
    </row>
    <row r="1209" spans="1:31" ht="18" customHeight="1" x14ac:dyDescent="0.25">
      <c r="A12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09" s="79">
        <v>4</v>
      </c>
      <c r="C1209" s="23">
        <v>44881</v>
      </c>
      <c r="D1209" s="67">
        <f>IF(COUNTIF($G$2:$G1209,$G1209)=1,1,0)</f>
        <v>0</v>
      </c>
      <c r="E1209" s="67" t="str">
        <f>IFERROR(VLOOKUP(База_КР_КК[[#This Row],[ИД штатной должности (S)]],'уровень защищенности'!$B$7:$F$1095,5,0),"не защищена")</f>
        <v>высокий</v>
      </c>
      <c r="F1209" s="68">
        <v>500580</v>
      </c>
      <c r="G1209" s="74" t="s">
        <v>2416</v>
      </c>
      <c r="H1209" s="181">
        <f>INDEX('Списки данных'!$D$2:$D$1048576,MATCH(База_КР_КК[[#This Row],[Структурное подразделение]],'Списки данных'!$C$2:$C$1048576,0))</f>
        <v>337</v>
      </c>
      <c r="I1209" s="80" t="s">
        <v>162</v>
      </c>
      <c r="J1209" s="80" t="s">
        <v>209</v>
      </c>
      <c r="K1209" s="80" t="s">
        <v>21</v>
      </c>
      <c r="L1209" s="30" t="s">
        <v>191</v>
      </c>
      <c r="M1209" s="68">
        <v>6</v>
      </c>
      <c r="N1209" s="181" t="str">
        <f t="shared" si="19"/>
        <v>нет</v>
      </c>
      <c r="O1209" s="23"/>
      <c r="P1209" s="23"/>
      <c r="Q1209" s="106"/>
      <c r="R1209" s="37">
        <v>251</v>
      </c>
      <c r="S1209" s="39" t="s">
        <v>663</v>
      </c>
      <c r="T1209" s="37">
        <v>1329</v>
      </c>
      <c r="U1209" s="38" t="s">
        <v>1725</v>
      </c>
      <c r="V1209" s="69" t="s">
        <v>272</v>
      </c>
      <c r="W1209" s="89" t="s">
        <v>162</v>
      </c>
      <c r="X1209" s="106" t="s">
        <v>296</v>
      </c>
      <c r="Y1209" s="107" t="s">
        <v>12</v>
      </c>
      <c r="Z1209" s="67">
        <f>IF(База_КР_КК[[#This Row],[Таб.номер резервиста]]="-","-",IF(OR(База_КР_КК[[#This Row],[Уровень КК]]=2,База_КР_КК[[#This Row],[Уровень КК]]=3),IF(COUNTIFS($U$2:$U1209,$U1209,$F$2:$F1209,$F1209)=1,1,0),IF(COUNTIFS($U$2:$U1209,$U1209,$L$2:$L1209,$L1209)=1,1,0)))</f>
        <v>0</v>
      </c>
      <c r="AA12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09" s="106"/>
      <c r="AC1209" s="51"/>
      <c r="AD1209" s="106" t="s">
        <v>15</v>
      </c>
      <c r="AE1209" s="33" t="s">
        <v>337</v>
      </c>
    </row>
    <row r="1210" spans="1:31" ht="18" customHeight="1" x14ac:dyDescent="0.25">
      <c r="A12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0" s="79">
        <v>4</v>
      </c>
      <c r="C1210" s="23">
        <v>44141</v>
      </c>
      <c r="D1210" s="67">
        <f>IF(COUNTIF($G$2:$G1210,$G1210)=1,1,0)</f>
        <v>0</v>
      </c>
      <c r="E1210" s="67" t="str">
        <f>IFERROR(VLOOKUP(База_КР_КК[[#This Row],[ИД штатной должности (S)]],'уровень защищенности'!$B$7:$F$1095,5,0),"не защищена")</f>
        <v>высокий</v>
      </c>
      <c r="F1210" s="68">
        <v>500580</v>
      </c>
      <c r="G1210" s="74" t="s">
        <v>2416</v>
      </c>
      <c r="H1210" s="181">
        <f>INDEX('Списки данных'!$D$2:$D$1048576,MATCH(База_КР_КК[[#This Row],[Структурное подразделение]],'Списки данных'!$C$2:$C$1048576,0))</f>
        <v>337</v>
      </c>
      <c r="I1210" s="80" t="s">
        <v>162</v>
      </c>
      <c r="J1210" s="80" t="s">
        <v>209</v>
      </c>
      <c r="K1210" s="80" t="s">
        <v>21</v>
      </c>
      <c r="L1210" s="30" t="s">
        <v>191</v>
      </c>
      <c r="M1210" s="68">
        <v>6</v>
      </c>
      <c r="N1210" s="181" t="str">
        <f t="shared" si="19"/>
        <v>нет</v>
      </c>
      <c r="O1210" s="23"/>
      <c r="P1210" s="23"/>
      <c r="Q1210" s="106"/>
      <c r="R1210" s="37">
        <v>251</v>
      </c>
      <c r="S1210" s="39" t="s">
        <v>663</v>
      </c>
      <c r="T1210" s="37">
        <v>1331</v>
      </c>
      <c r="U1210" s="38" t="s">
        <v>1727</v>
      </c>
      <c r="V1210" s="69" t="s">
        <v>272</v>
      </c>
      <c r="W1210" s="89" t="s">
        <v>162</v>
      </c>
      <c r="X1210" s="106" t="s">
        <v>296</v>
      </c>
      <c r="Y1210" s="107" t="s">
        <v>18</v>
      </c>
      <c r="Z1210" s="67">
        <f>IF(База_КР_КК[[#This Row],[Таб.номер резервиста]]="-","-",IF(OR(База_КР_КК[[#This Row],[Уровень КК]]=2,База_КР_КК[[#This Row],[Уровень КК]]=3),IF(COUNTIFS($U$2:$U1210,$U1210,$F$2:$F1210,$F1210)=1,1,0),IF(COUNTIFS($U$2:$U1210,$U1210,$L$2:$L1210,$L1210)=1,1,0)))</f>
        <v>0</v>
      </c>
      <c r="AA12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0" s="106" t="s">
        <v>19</v>
      </c>
      <c r="AC1210" s="51">
        <v>44514</v>
      </c>
      <c r="AD1210" s="106" t="s">
        <v>13</v>
      </c>
      <c r="AE1210" s="38" t="s">
        <v>338</v>
      </c>
    </row>
    <row r="1211" spans="1:31" ht="18" customHeight="1" x14ac:dyDescent="0.25">
      <c r="A12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1" s="79">
        <v>4</v>
      </c>
      <c r="C1211" s="23">
        <v>44141</v>
      </c>
      <c r="D1211" s="67">
        <f>IF(COUNTIF($G$2:$G1211,$G1211)=1,1,0)</f>
        <v>0</v>
      </c>
      <c r="E1211" s="67" t="str">
        <f>IFERROR(VLOOKUP(База_КР_КК[[#This Row],[ИД штатной должности (S)]],'уровень защищенности'!$B$7:$F$1095,5,0),"не защищена")</f>
        <v>высокий</v>
      </c>
      <c r="F1211" s="68">
        <v>500580</v>
      </c>
      <c r="G1211" s="74" t="s">
        <v>2416</v>
      </c>
      <c r="H1211" s="181">
        <f>INDEX('Списки данных'!$D$2:$D$1048576,MATCH(База_КР_КК[[#This Row],[Структурное подразделение]],'Списки данных'!$C$2:$C$1048576,0))</f>
        <v>337</v>
      </c>
      <c r="I1211" s="80" t="s">
        <v>162</v>
      </c>
      <c r="J1211" s="80" t="s">
        <v>209</v>
      </c>
      <c r="K1211" s="80" t="s">
        <v>21</v>
      </c>
      <c r="L1211" s="30" t="s">
        <v>191</v>
      </c>
      <c r="M1211" s="68">
        <v>6</v>
      </c>
      <c r="N1211" s="181" t="str">
        <f t="shared" si="19"/>
        <v>нет</v>
      </c>
      <c r="O1211" s="23"/>
      <c r="P1211" s="23"/>
      <c r="Q1211" s="106"/>
      <c r="R1211" s="37">
        <v>251</v>
      </c>
      <c r="S1211" s="39" t="s">
        <v>663</v>
      </c>
      <c r="T1211" s="37">
        <v>1330</v>
      </c>
      <c r="U1211" s="38" t="s">
        <v>1726</v>
      </c>
      <c r="V1211" s="69" t="s">
        <v>272</v>
      </c>
      <c r="W1211" s="89" t="s">
        <v>162</v>
      </c>
      <c r="X1211" s="106" t="s">
        <v>295</v>
      </c>
      <c r="Y1211" s="107" t="s">
        <v>18</v>
      </c>
      <c r="Z1211" s="67">
        <f>IF(База_КР_КК[[#This Row],[Таб.номер резервиста]]="-","-",IF(OR(База_КР_КК[[#This Row],[Уровень КК]]=2,База_КР_КК[[#This Row],[Уровень КК]]=3),IF(COUNTIFS($U$2:$U1211,$U1211,$F$2:$F1211,$F1211)=1,1,0),IF(COUNTIFS($U$2:$U1211,$U1211,$L$2:$L1211,$L1211)=1,1,0)))</f>
        <v>0</v>
      </c>
      <c r="AA12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1" s="106" t="s">
        <v>19</v>
      </c>
      <c r="AC1211" s="51">
        <v>44842</v>
      </c>
      <c r="AD1211" s="106" t="s">
        <v>17</v>
      </c>
      <c r="AE1211" s="38" t="s">
        <v>338</v>
      </c>
    </row>
    <row r="1212" spans="1:31" ht="18" customHeight="1" x14ac:dyDescent="0.25">
      <c r="A12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2" s="79">
        <v>4</v>
      </c>
      <c r="C1212" s="23">
        <v>44881</v>
      </c>
      <c r="D1212" s="67">
        <f>IF(COUNTIF($G$2:$G1212,$G1212)=1,1,0)</f>
        <v>0</v>
      </c>
      <c r="E1212" s="67" t="str">
        <f>IFERROR(VLOOKUP(База_КР_КК[[#This Row],[ИД штатной должности (S)]],'уровень защищенности'!$B$7:$F$1095,5,0),"не защищена")</f>
        <v>высокий</v>
      </c>
      <c r="F1212" s="68">
        <v>500580</v>
      </c>
      <c r="G1212" s="74" t="s">
        <v>2416</v>
      </c>
      <c r="H1212" s="181">
        <f>INDEX('Списки данных'!$D$2:$D$1048576,MATCH(База_КР_КК[[#This Row],[Структурное подразделение]],'Списки данных'!$C$2:$C$1048576,0))</f>
        <v>337</v>
      </c>
      <c r="I1212" s="80" t="s">
        <v>162</v>
      </c>
      <c r="J1212" s="80" t="s">
        <v>209</v>
      </c>
      <c r="K1212" s="80" t="s">
        <v>21</v>
      </c>
      <c r="L1212" s="30" t="s">
        <v>191</v>
      </c>
      <c r="M1212" s="68">
        <v>6</v>
      </c>
      <c r="N1212" s="181" t="str">
        <f t="shared" si="19"/>
        <v>нет</v>
      </c>
      <c r="O1212" s="23"/>
      <c r="P1212" s="23"/>
      <c r="Q1212" s="106"/>
      <c r="R1212" s="37">
        <v>251</v>
      </c>
      <c r="S1212" s="39" t="s">
        <v>663</v>
      </c>
      <c r="T1212" s="37">
        <v>1332</v>
      </c>
      <c r="U1212" s="38" t="s">
        <v>1728</v>
      </c>
      <c r="V1212" s="69" t="s">
        <v>272</v>
      </c>
      <c r="W1212" s="89" t="s">
        <v>162</v>
      </c>
      <c r="X1212" s="106" t="s">
        <v>296</v>
      </c>
      <c r="Y1212" s="107" t="s">
        <v>18</v>
      </c>
      <c r="Z1212" s="67">
        <f>IF(База_КР_КК[[#This Row],[Таб.номер резервиста]]="-","-",IF(OR(База_КР_КК[[#This Row],[Уровень КК]]=2,База_КР_КК[[#This Row],[Уровень КК]]=3),IF(COUNTIFS($U$2:$U1212,$U1212,$F$2:$F1212,$F1212)=1,1,0),IF(COUNTIFS($U$2:$U1212,$U1212,$L$2:$L1212,$L1212)=1,1,0)))</f>
        <v>0</v>
      </c>
      <c r="AA12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2" s="106" t="s">
        <v>19</v>
      </c>
      <c r="AC1212" s="51">
        <v>44916</v>
      </c>
      <c r="AD1212" s="106" t="s">
        <v>15</v>
      </c>
      <c r="AE1212" s="33" t="s">
        <v>337</v>
      </c>
    </row>
    <row r="1213" spans="1:31" ht="18" customHeight="1" x14ac:dyDescent="0.25">
      <c r="A12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3" s="79">
        <v>2</v>
      </c>
      <c r="C1213" s="23">
        <v>44926</v>
      </c>
      <c r="D1213" s="67">
        <f>IF(COUNTIF($G$2:$G1213,$G1213)=1,1,0)</f>
        <v>1</v>
      </c>
      <c r="E1213" s="67" t="str">
        <f>IFERROR(VLOOKUP(База_КР_КК[[#This Row],[ИД штатной должности (S)]],'уровень защищенности'!$B$7:$F$1095,5,0),"не защищена")</f>
        <v>низкий</v>
      </c>
      <c r="F1213" s="68">
        <v>500631</v>
      </c>
      <c r="G1213" s="74" t="s">
        <v>2417</v>
      </c>
      <c r="H1213" s="181">
        <f>INDEX('Списки данных'!$D$2:$D$1048576,MATCH(База_КР_КК[[#This Row],[Структурное подразделение]],'Списки данных'!$C$2:$C$1048576,0))</f>
        <v>409</v>
      </c>
      <c r="I1213" s="80" t="s">
        <v>126</v>
      </c>
      <c r="J1213" s="80" t="s">
        <v>21</v>
      </c>
      <c r="K1213" s="80" t="s">
        <v>21</v>
      </c>
      <c r="L1213" s="30" t="s">
        <v>181</v>
      </c>
      <c r="M1213" s="68">
        <v>3</v>
      </c>
      <c r="N1213" s="181" t="str">
        <f t="shared" si="19"/>
        <v>нет</v>
      </c>
      <c r="O1213" s="23"/>
      <c r="P1213" s="23"/>
      <c r="Q1213" s="107"/>
      <c r="R1213" s="37">
        <v>252</v>
      </c>
      <c r="S1213" s="37" t="s">
        <v>664</v>
      </c>
      <c r="T1213" s="37">
        <v>253</v>
      </c>
      <c r="U1213" s="38" t="s">
        <v>665</v>
      </c>
      <c r="V1213" s="69" t="s">
        <v>183</v>
      </c>
      <c r="W1213" s="89" t="s">
        <v>176</v>
      </c>
      <c r="X1213" s="106" t="s">
        <v>296</v>
      </c>
      <c r="Y1213" s="107" t="s">
        <v>12</v>
      </c>
      <c r="Z1213" s="67">
        <f>IF(База_КР_КК[[#This Row],[Таб.номер резервиста]]="-","-",IF(OR(База_КР_КК[[#This Row],[Уровень КК]]=2,База_КР_КК[[#This Row],[Уровень КК]]=3),IF(COUNTIFS($U$2:$U1213,$U1213,$F$2:$F1213,$F1213)=1,1,0),IF(COUNTIFS($U$2:$U1213,$U1213,$L$2:$L1213,$L1213)=1,1,0)))</f>
        <v>1</v>
      </c>
      <c r="AA12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3" s="106"/>
      <c r="AC1213" s="51"/>
      <c r="AD1213" s="106" t="s">
        <v>15</v>
      </c>
      <c r="AE1213" s="38" t="s">
        <v>304</v>
      </c>
    </row>
    <row r="1214" spans="1:31" ht="18" customHeight="1" x14ac:dyDescent="0.25">
      <c r="A12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4" s="79">
        <v>3</v>
      </c>
      <c r="C1214" s="23">
        <v>44796</v>
      </c>
      <c r="D1214" s="67">
        <f>IF(COUNTIF($G$2:$G1214,$G1214)=1,1,0)</f>
        <v>1</v>
      </c>
      <c r="E1214" s="67" t="str">
        <f>IFERROR(VLOOKUP(База_КР_КК[[#This Row],[ИД штатной должности (S)]],'уровень защищенности'!$B$7:$F$1095,5,0),"не защищена")</f>
        <v>средний</v>
      </c>
      <c r="F1214" s="68">
        <v>500682</v>
      </c>
      <c r="G1214" s="74" t="s">
        <v>2418</v>
      </c>
      <c r="H1214" s="181">
        <f>INDEX('Списки данных'!$D$2:$D$1048576,MATCH(База_КР_КК[[#This Row],[Структурное подразделение]],'Списки данных'!$C$2:$C$1048576,0))</f>
        <v>421</v>
      </c>
      <c r="I1214" s="80" t="s">
        <v>176</v>
      </c>
      <c r="J1214" s="80" t="s">
        <v>210</v>
      </c>
      <c r="K1214" s="80" t="s">
        <v>21</v>
      </c>
      <c r="L1214" s="30" t="s">
        <v>183</v>
      </c>
      <c r="M1214" s="68">
        <v>5</v>
      </c>
      <c r="N1214" s="181" t="str">
        <f t="shared" si="19"/>
        <v>нет</v>
      </c>
      <c r="O1214" s="23"/>
      <c r="P1214" s="23"/>
      <c r="Q1214" s="106"/>
      <c r="R1214" s="37">
        <v>253</v>
      </c>
      <c r="S1214" s="39" t="s">
        <v>665</v>
      </c>
      <c r="T1214" s="37">
        <v>254</v>
      </c>
      <c r="U1214" s="38" t="s">
        <v>666</v>
      </c>
      <c r="V1214" s="89" t="s">
        <v>186</v>
      </c>
      <c r="W1214" s="89" t="s">
        <v>176</v>
      </c>
      <c r="X1214" s="106" t="s">
        <v>297</v>
      </c>
      <c r="Y1214" s="107" t="s">
        <v>12</v>
      </c>
      <c r="Z1214" s="67">
        <f>IF(База_КР_КК[[#This Row],[Таб.номер резервиста]]="-","-",IF(OR(База_КР_КК[[#This Row],[Уровень КК]]=2,База_КР_КК[[#This Row],[Уровень КК]]=3),IF(COUNTIFS($U$2:$U1214,$U1214,$F$2:$F1214,$F1214)=1,1,0),IF(COUNTIFS($U$2:$U1214,$U1214,$L$2:$L1214,$L1214)=1,1,0)))</f>
        <v>1</v>
      </c>
      <c r="AA12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4" s="106"/>
      <c r="AC1214" s="51"/>
      <c r="AD1214" s="106" t="s">
        <v>15</v>
      </c>
      <c r="AE1214" s="38" t="s">
        <v>331</v>
      </c>
    </row>
    <row r="1215" spans="1:31" ht="18" customHeight="1" x14ac:dyDescent="0.25">
      <c r="A12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5" s="79">
        <v>3</v>
      </c>
      <c r="C1215" s="23">
        <v>44796</v>
      </c>
      <c r="D1215" s="67">
        <f>IF(COUNTIF($G$2:$G1215,$G1215)=1,1,0)</f>
        <v>0</v>
      </c>
      <c r="E1215" s="67" t="str">
        <f>IFERROR(VLOOKUP(База_КР_КК[[#This Row],[ИД штатной должности (S)]],'уровень защищенности'!$B$7:$F$1095,5,0),"не защищена")</f>
        <v>средний</v>
      </c>
      <c r="F1215" s="68">
        <v>500682</v>
      </c>
      <c r="G1215" s="74" t="s">
        <v>2418</v>
      </c>
      <c r="H1215" s="181">
        <f>INDEX('Списки данных'!$D$2:$D$1048576,MATCH(База_КР_КК[[#This Row],[Структурное подразделение]],'Списки данных'!$C$2:$C$1048576,0))</f>
        <v>421</v>
      </c>
      <c r="I1215" s="80" t="s">
        <v>176</v>
      </c>
      <c r="J1215" s="80" t="s">
        <v>210</v>
      </c>
      <c r="K1215" s="80" t="s">
        <v>21</v>
      </c>
      <c r="L1215" s="30" t="s">
        <v>183</v>
      </c>
      <c r="M1215" s="68">
        <v>5</v>
      </c>
      <c r="N1215" s="181" t="str">
        <f t="shared" si="19"/>
        <v>нет</v>
      </c>
      <c r="O1215" s="23"/>
      <c r="P1215" s="23"/>
      <c r="Q1215" s="106"/>
      <c r="R1215" s="37">
        <v>253</v>
      </c>
      <c r="S1215" s="39" t="s">
        <v>665</v>
      </c>
      <c r="T1215" s="37">
        <v>266</v>
      </c>
      <c r="U1215" s="38" t="s">
        <v>678</v>
      </c>
      <c r="V1215" s="69" t="s">
        <v>189</v>
      </c>
      <c r="W1215" s="89" t="s">
        <v>176</v>
      </c>
      <c r="X1215" s="106" t="s">
        <v>297</v>
      </c>
      <c r="Y1215" s="107" t="s">
        <v>12</v>
      </c>
      <c r="Z1215" s="67">
        <f>IF(База_КР_КК[[#This Row],[Таб.номер резервиста]]="-","-",IF(OR(База_КР_КК[[#This Row],[Уровень КК]]=2,База_КР_КК[[#This Row],[Уровень КК]]=3),IF(COUNTIFS($U$2:$U1215,$U1215,$F$2:$F1215,$F1215)=1,1,0),IF(COUNTIFS($U$2:$U1215,$U1215,$L$2:$L1215,$L1215)=1,1,0)))</f>
        <v>1</v>
      </c>
      <c r="AA12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5" s="106"/>
      <c r="AC1215" s="51"/>
      <c r="AD1215" s="106" t="s">
        <v>15</v>
      </c>
      <c r="AE1215" s="38" t="s">
        <v>331</v>
      </c>
    </row>
    <row r="1216" spans="1:31" ht="18" customHeight="1" x14ac:dyDescent="0.25">
      <c r="A12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6" s="79">
        <v>3</v>
      </c>
      <c r="C1216" s="23">
        <v>44796</v>
      </c>
      <c r="D1216" s="67">
        <f>IF(COUNTIF($G$2:$G1216,$G1216)=1,1,0)</f>
        <v>1</v>
      </c>
      <c r="E1216" s="67" t="str">
        <f>IFERROR(VLOOKUP(База_КР_КК[[#This Row],[ИД штатной должности (S)]],'уровень защищенности'!$B$7:$F$1095,5,0),"не защищена")</f>
        <v>высокий</v>
      </c>
      <c r="F1216" s="68">
        <v>500694</v>
      </c>
      <c r="G1216" s="74" t="s">
        <v>2419</v>
      </c>
      <c r="H1216" s="181">
        <f>INDEX('Списки данных'!$D$2:$D$1048576,MATCH(База_КР_КК[[#This Row],[Структурное подразделение]],'Списки данных'!$C$2:$C$1048576,0))</f>
        <v>421</v>
      </c>
      <c r="I1216" s="80" t="s">
        <v>176</v>
      </c>
      <c r="J1216" s="80" t="s">
        <v>210</v>
      </c>
      <c r="K1216" s="80" t="s">
        <v>21</v>
      </c>
      <c r="L1216" s="30" t="s">
        <v>186</v>
      </c>
      <c r="M1216" s="68">
        <v>6</v>
      </c>
      <c r="N1216" s="181" t="str">
        <f t="shared" si="19"/>
        <v>да</v>
      </c>
      <c r="O1216" s="23">
        <v>44682</v>
      </c>
      <c r="P1216" s="23">
        <v>44682</v>
      </c>
      <c r="Q1216" s="106" t="s">
        <v>66</v>
      </c>
      <c r="R1216" s="37">
        <v>254</v>
      </c>
      <c r="S1216" s="39" t="s">
        <v>666</v>
      </c>
      <c r="T1216" s="37">
        <v>257</v>
      </c>
      <c r="U1216" s="38" t="s">
        <v>669</v>
      </c>
      <c r="V1216" s="89" t="s">
        <v>192</v>
      </c>
      <c r="W1216" s="90" t="s">
        <v>176</v>
      </c>
      <c r="X1216" s="106" t="s">
        <v>295</v>
      </c>
      <c r="Y1216" s="107" t="s">
        <v>12</v>
      </c>
      <c r="Z1216" s="67">
        <f>IF(База_КР_КК[[#This Row],[Таб.номер резервиста]]="-","-",IF(OR(База_КР_КК[[#This Row],[Уровень КК]]=2,База_КР_КК[[#This Row],[Уровень КК]]=3),IF(COUNTIFS($U$2:$U1216,$U1216,$F$2:$F1216,$F1216)=1,1,0),IF(COUNTIFS($U$2:$U1216,$U1216,$L$2:$L1216,$L1216)=1,1,0)))</f>
        <v>1</v>
      </c>
      <c r="AA12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6" s="106"/>
      <c r="AC1216" s="51"/>
      <c r="AD1216" s="106" t="s">
        <v>15</v>
      </c>
      <c r="AE1216" s="38" t="s">
        <v>331</v>
      </c>
    </row>
    <row r="1217" spans="1:31" ht="18" customHeight="1" x14ac:dyDescent="0.2">
      <c r="A12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7" s="79">
        <v>3</v>
      </c>
      <c r="C1217" s="23">
        <v>44623</v>
      </c>
      <c r="D1217" s="67">
        <f>IF(COUNTIF($G$2:$G1217,$G1217)=1,1,0)</f>
        <v>0</v>
      </c>
      <c r="E1217" s="67" t="str">
        <f>IFERROR(VLOOKUP(База_КР_КК[[#This Row],[ИД штатной должности (S)]],'уровень защищенности'!$B$7:$F$1095,5,0),"не защищена")</f>
        <v>высокий</v>
      </c>
      <c r="F1217" s="68">
        <v>500694</v>
      </c>
      <c r="G1217" s="74" t="s">
        <v>2419</v>
      </c>
      <c r="H1217" s="181">
        <f>INDEX('Списки данных'!$D$2:$D$1048576,MATCH(База_КР_КК[[#This Row],[Структурное подразделение]],'Списки данных'!$C$2:$C$1048576,0))</f>
        <v>421</v>
      </c>
      <c r="I1217" s="80" t="s">
        <v>176</v>
      </c>
      <c r="J1217" s="80" t="s">
        <v>210</v>
      </c>
      <c r="K1217" s="80" t="s">
        <v>21</v>
      </c>
      <c r="L1217" s="30" t="s">
        <v>186</v>
      </c>
      <c r="M1217" s="68">
        <v>6</v>
      </c>
      <c r="N1217" s="181" t="str">
        <f t="shared" ref="N1217:N1280" si="20">IF(ISBLANK(O1217),"нет","да")</f>
        <v>да</v>
      </c>
      <c r="O1217" s="23">
        <v>44682</v>
      </c>
      <c r="P1217" s="23">
        <v>44682</v>
      </c>
      <c r="Q1217" s="106" t="s">
        <v>66</v>
      </c>
      <c r="R1217" s="37">
        <v>254</v>
      </c>
      <c r="S1217" s="39" t="s">
        <v>666</v>
      </c>
      <c r="T1217" s="37">
        <v>254</v>
      </c>
      <c r="U1217" s="39" t="s">
        <v>666</v>
      </c>
      <c r="V1217" s="89" t="s">
        <v>186</v>
      </c>
      <c r="W1217" s="90" t="s">
        <v>176</v>
      </c>
      <c r="X1217" s="106" t="s">
        <v>295</v>
      </c>
      <c r="Y1217" s="107" t="s">
        <v>14</v>
      </c>
      <c r="Z1217" s="67">
        <f>IF(База_КР_КК[[#This Row],[Таб.номер резервиста]]="-","-",IF(OR(База_КР_КК[[#This Row],[Уровень КК]]=2,База_КР_КК[[#This Row],[Уровень КК]]=3),IF(COUNTIFS($U$2:$U1217,$U1217,$F$2:$F1217,$F1217)=1,1,0),IF(COUNTIFS($U$2:$U1217,$U1217,$L$2:$L1217,$L1217)=1,1,0)))</f>
        <v>1</v>
      </c>
      <c r="AA12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217" s="106" t="s">
        <v>24</v>
      </c>
      <c r="AC1217" s="51">
        <v>44682</v>
      </c>
      <c r="AD1217" s="106" t="s">
        <v>15</v>
      </c>
      <c r="AE1217" s="194" t="s">
        <v>339</v>
      </c>
    </row>
    <row r="1218" spans="1:31" ht="18" customHeight="1" x14ac:dyDescent="0.25">
      <c r="A12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8" s="79">
        <v>4</v>
      </c>
      <c r="C1218" s="23">
        <v>44866</v>
      </c>
      <c r="D1218" s="67">
        <f>IF(COUNTIF($G$2:$G1218,$G1218)=1,1,0)</f>
        <v>1</v>
      </c>
      <c r="E1218" s="67" t="str">
        <f>IFERROR(VLOOKUP(База_КР_КК[[#This Row],[ИД штатной должности (S)]],'уровень защищенности'!$B$7:$F$1095,5,0),"не защищена")</f>
        <v>средний</v>
      </c>
      <c r="F1218" s="68">
        <v>500688</v>
      </c>
      <c r="G1218" s="74" t="s">
        <v>2420</v>
      </c>
      <c r="H1218" s="181">
        <f>INDEX('Списки данных'!$D$2:$D$1048576,MATCH(База_КР_КК[[#This Row],[Структурное подразделение]],'Списки данных'!$C$2:$C$1048576,0))</f>
        <v>421</v>
      </c>
      <c r="I1218" s="80" t="s">
        <v>176</v>
      </c>
      <c r="J1218" s="80" t="s">
        <v>210</v>
      </c>
      <c r="K1218" s="80" t="s">
        <v>21</v>
      </c>
      <c r="L1218" s="30" t="s">
        <v>191</v>
      </c>
      <c r="M1218" s="68">
        <v>7</v>
      </c>
      <c r="N1218" s="181" t="str">
        <f t="shared" si="20"/>
        <v>нет</v>
      </c>
      <c r="O1218" s="23"/>
      <c r="P1218" s="23"/>
      <c r="Q1218" s="106"/>
      <c r="R1218" s="37">
        <v>255</v>
      </c>
      <c r="S1218" s="39" t="s">
        <v>667</v>
      </c>
      <c r="T1218" s="37">
        <v>1334</v>
      </c>
      <c r="U1218" s="38" t="s">
        <v>1729</v>
      </c>
      <c r="V1218" s="69" t="s">
        <v>272</v>
      </c>
      <c r="W1218" s="89" t="s">
        <v>176</v>
      </c>
      <c r="X1218" s="106" t="s">
        <v>297</v>
      </c>
      <c r="Y1218" s="107" t="s">
        <v>12</v>
      </c>
      <c r="Z1218" s="67">
        <f>IF(База_КР_КК[[#This Row],[Таб.номер резервиста]]="-","-",IF(OR(База_КР_КК[[#This Row],[Уровень КК]]=2,База_КР_КК[[#This Row],[Уровень КК]]=3),IF(COUNTIFS($U$2:$U1218,$U1218,$F$2:$F1218,$F1218)=1,1,0),IF(COUNTIFS($U$2:$U1218,$U1218,$L$2:$L1218,$L1218)=1,1,0)))</f>
        <v>1</v>
      </c>
      <c r="AA12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8" s="106"/>
      <c r="AC1218" s="51"/>
      <c r="AD1218" s="106" t="s">
        <v>15</v>
      </c>
      <c r="AE1218" s="38" t="s">
        <v>340</v>
      </c>
    </row>
    <row r="1219" spans="1:31" ht="18" customHeight="1" x14ac:dyDescent="0.25">
      <c r="A12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19" s="79">
        <v>4</v>
      </c>
      <c r="C1219" s="23">
        <v>44473</v>
      </c>
      <c r="D1219" s="67">
        <f>IF(COUNTIF($G$2:$G1219,$G1219)=1,1,0)</f>
        <v>0</v>
      </c>
      <c r="E1219" s="67" t="str">
        <f>IFERROR(VLOOKUP(База_КР_КК[[#This Row],[ИД штатной должности (S)]],'уровень защищенности'!$B$7:$F$1095,5,0),"не защищена")</f>
        <v>средний</v>
      </c>
      <c r="F1219" s="68">
        <v>500688</v>
      </c>
      <c r="G1219" s="74" t="s">
        <v>2420</v>
      </c>
      <c r="H1219" s="181">
        <f>INDEX('Списки данных'!$D$2:$D$1048576,MATCH(База_КР_КК[[#This Row],[Структурное подразделение]],'Списки данных'!$C$2:$C$1048576,0))</f>
        <v>421</v>
      </c>
      <c r="I1219" s="80" t="s">
        <v>176</v>
      </c>
      <c r="J1219" s="80" t="s">
        <v>210</v>
      </c>
      <c r="K1219" s="80" t="s">
        <v>21</v>
      </c>
      <c r="L1219" s="30" t="s">
        <v>191</v>
      </c>
      <c r="M1219" s="68">
        <v>7</v>
      </c>
      <c r="N1219" s="181" t="str">
        <f t="shared" si="20"/>
        <v>нет</v>
      </c>
      <c r="O1219" s="23"/>
      <c r="P1219" s="23"/>
      <c r="Q1219" s="106"/>
      <c r="R1219" s="37">
        <v>255</v>
      </c>
      <c r="S1219" s="38" t="s">
        <v>667</v>
      </c>
      <c r="T1219" s="37">
        <v>260</v>
      </c>
      <c r="U1219" s="39" t="s">
        <v>672</v>
      </c>
      <c r="V1219" s="69" t="s">
        <v>272</v>
      </c>
      <c r="W1219" s="89" t="s">
        <v>176</v>
      </c>
      <c r="X1219" s="106" t="s">
        <v>297</v>
      </c>
      <c r="Y1219" s="107" t="s">
        <v>18</v>
      </c>
      <c r="Z1219" s="67">
        <f>IF(База_КР_КК[[#This Row],[Таб.номер резервиста]]="-","-",IF(OR(База_КР_КК[[#This Row],[Уровень КК]]=2,База_КР_КК[[#This Row],[Уровень КК]]=3),IF(COUNTIFS($U$2:$U1219,$U1219,$F$2:$F1219,$F1219)=1,1,0),IF(COUNTIFS($U$2:$U1219,$U1219,$L$2:$L1219,$L1219)=1,1,0)))</f>
        <v>1</v>
      </c>
      <c r="AA12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19" s="106" t="s">
        <v>37</v>
      </c>
      <c r="AC1219" s="51">
        <v>44682</v>
      </c>
      <c r="AD1219" s="106" t="s">
        <v>15</v>
      </c>
      <c r="AE1219" s="38" t="s">
        <v>334</v>
      </c>
    </row>
    <row r="1220" spans="1:31" ht="18" customHeight="1" x14ac:dyDescent="0.25">
      <c r="A12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0" s="79">
        <v>4</v>
      </c>
      <c r="C1220" s="23">
        <v>44125</v>
      </c>
      <c r="D1220" s="67">
        <f>IF(COUNTIF($G$2:$G1220,$G1220)=1,1,0)</f>
        <v>0</v>
      </c>
      <c r="E1220" s="67" t="str">
        <f>IFERROR(VLOOKUP(База_КР_КК[[#This Row],[ИД штатной должности (S)]],'уровень защищенности'!$B$7:$F$1095,5,0),"не защищена")</f>
        <v>средний</v>
      </c>
      <c r="F1220" s="68">
        <v>500688</v>
      </c>
      <c r="G1220" s="74" t="s">
        <v>2420</v>
      </c>
      <c r="H1220" s="181">
        <f>INDEX('Списки данных'!$D$2:$D$1048576,MATCH(База_КР_КК[[#This Row],[Структурное подразделение]],'Списки данных'!$C$2:$C$1048576,0))</f>
        <v>421</v>
      </c>
      <c r="I1220" s="80" t="s">
        <v>176</v>
      </c>
      <c r="J1220" s="80" t="s">
        <v>210</v>
      </c>
      <c r="K1220" s="80" t="s">
        <v>21</v>
      </c>
      <c r="L1220" s="30" t="s">
        <v>191</v>
      </c>
      <c r="M1220" s="68">
        <v>7</v>
      </c>
      <c r="N1220" s="181" t="str">
        <f t="shared" si="20"/>
        <v>нет</v>
      </c>
      <c r="O1220" s="23"/>
      <c r="P1220" s="23"/>
      <c r="Q1220" s="106"/>
      <c r="R1220" s="37">
        <v>255</v>
      </c>
      <c r="S1220" s="38" t="s">
        <v>667</v>
      </c>
      <c r="T1220" s="37">
        <v>1335</v>
      </c>
      <c r="U1220" s="39" t="s">
        <v>1730</v>
      </c>
      <c r="V1220" s="69" t="s">
        <v>272</v>
      </c>
      <c r="W1220" s="89" t="s">
        <v>176</v>
      </c>
      <c r="X1220" s="106" t="s">
        <v>297</v>
      </c>
      <c r="Y1220" s="107" t="s">
        <v>18</v>
      </c>
      <c r="Z1220" s="67">
        <f>IF(База_КР_КК[[#This Row],[Таб.номер резервиста]]="-","-",IF(OR(База_КР_КК[[#This Row],[Уровень КК]]=2,База_КР_КК[[#This Row],[Уровень КК]]=3),IF(COUNTIFS($U$2:$U1220,$U1220,$F$2:$F1220,$F1220)=1,1,0),IF(COUNTIFS($U$2:$U1220,$U1220,$L$2:$L1220,$L1220)=1,1,0)))</f>
        <v>1</v>
      </c>
      <c r="AA12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0" s="106" t="s">
        <v>19</v>
      </c>
      <c r="AC1220" s="51">
        <v>44414</v>
      </c>
      <c r="AD1220" s="106" t="s">
        <v>15</v>
      </c>
      <c r="AE1220" s="38" t="s">
        <v>318</v>
      </c>
    </row>
    <row r="1221" spans="1:31" ht="18" customHeight="1" x14ac:dyDescent="0.25">
      <c r="A12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1" s="79">
        <v>4</v>
      </c>
      <c r="C1221" s="23">
        <v>44866</v>
      </c>
      <c r="D1221" s="67">
        <f>IF(COUNTIF($G$2:$G1221,$G1221)=1,1,0)</f>
        <v>1</v>
      </c>
      <c r="E1221" s="67" t="str">
        <f>IFERROR(VLOOKUP(База_КР_КК[[#This Row],[ИД штатной должности (S)]],'уровень защищенности'!$B$7:$F$1095,5,0),"не защищена")</f>
        <v>средний</v>
      </c>
      <c r="F1221" s="68">
        <v>500688</v>
      </c>
      <c r="G1221" s="74" t="s">
        <v>2421</v>
      </c>
      <c r="H1221" s="181">
        <f>INDEX('Списки данных'!$D$2:$D$1048576,MATCH(База_КР_КК[[#This Row],[Структурное подразделение]],'Списки данных'!$C$2:$C$1048576,0))</f>
        <v>421</v>
      </c>
      <c r="I1221" s="80" t="s">
        <v>176</v>
      </c>
      <c r="J1221" s="80" t="s">
        <v>210</v>
      </c>
      <c r="K1221" s="80" t="s">
        <v>21</v>
      </c>
      <c r="L1221" s="30" t="s">
        <v>191</v>
      </c>
      <c r="M1221" s="68">
        <v>7</v>
      </c>
      <c r="N1221" s="181" t="str">
        <f t="shared" si="20"/>
        <v>нет</v>
      </c>
      <c r="O1221" s="23"/>
      <c r="P1221" s="23"/>
      <c r="Q1221" s="106"/>
      <c r="R1221" s="37">
        <v>256</v>
      </c>
      <c r="S1221" s="39" t="s">
        <v>668</v>
      </c>
      <c r="T1221" s="37">
        <v>1334</v>
      </c>
      <c r="U1221" s="38" t="s">
        <v>1729</v>
      </c>
      <c r="V1221" s="69" t="s">
        <v>272</v>
      </c>
      <c r="W1221" s="89" t="s">
        <v>176</v>
      </c>
      <c r="X1221" s="106" t="s">
        <v>297</v>
      </c>
      <c r="Y1221" s="107" t="s">
        <v>12</v>
      </c>
      <c r="Z1221" s="67">
        <f>IF(База_КР_КК[[#This Row],[Таб.номер резервиста]]="-","-",IF(OR(База_КР_КК[[#This Row],[Уровень КК]]=2,База_КР_КК[[#This Row],[Уровень КК]]=3),IF(COUNTIFS($U$2:$U1221,$U1221,$F$2:$F1221,$F1221)=1,1,0),IF(COUNTIFS($U$2:$U1221,$U1221,$L$2:$L1221,$L1221)=1,1,0)))</f>
        <v>0</v>
      </c>
      <c r="AA12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1" s="106"/>
      <c r="AC1221" s="51"/>
      <c r="AD1221" s="106" t="s">
        <v>15</v>
      </c>
      <c r="AE1221" s="38" t="s">
        <v>340</v>
      </c>
    </row>
    <row r="1222" spans="1:31" ht="18" customHeight="1" x14ac:dyDescent="0.25">
      <c r="A12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2" s="79">
        <v>4</v>
      </c>
      <c r="C1222" s="23">
        <v>44473</v>
      </c>
      <c r="D1222" s="67">
        <f>IF(COUNTIF($G$2:$G1222,$G1222)=1,1,0)</f>
        <v>0</v>
      </c>
      <c r="E1222" s="67" t="str">
        <f>IFERROR(VLOOKUP(База_КР_КК[[#This Row],[ИД штатной должности (S)]],'уровень защищенности'!$B$7:$F$1095,5,0),"не защищена")</f>
        <v>средний</v>
      </c>
      <c r="F1222" s="68">
        <v>500688</v>
      </c>
      <c r="G1222" s="74" t="s">
        <v>2421</v>
      </c>
      <c r="H1222" s="181">
        <f>INDEX('Списки данных'!$D$2:$D$1048576,MATCH(База_КР_КК[[#This Row],[Структурное подразделение]],'Списки данных'!$C$2:$C$1048576,0))</f>
        <v>421</v>
      </c>
      <c r="I1222" s="80" t="s">
        <v>176</v>
      </c>
      <c r="J1222" s="80" t="s">
        <v>210</v>
      </c>
      <c r="K1222" s="80" t="s">
        <v>21</v>
      </c>
      <c r="L1222" s="30" t="s">
        <v>191</v>
      </c>
      <c r="M1222" s="68">
        <v>7</v>
      </c>
      <c r="N1222" s="181" t="str">
        <f t="shared" si="20"/>
        <v>нет</v>
      </c>
      <c r="O1222" s="23"/>
      <c r="P1222" s="23"/>
      <c r="Q1222" s="106"/>
      <c r="R1222" s="37">
        <v>256</v>
      </c>
      <c r="S1222" s="38" t="s">
        <v>668</v>
      </c>
      <c r="T1222" s="37">
        <v>260</v>
      </c>
      <c r="U1222" s="39" t="s">
        <v>672</v>
      </c>
      <c r="V1222" s="69" t="s">
        <v>272</v>
      </c>
      <c r="W1222" s="89" t="s">
        <v>176</v>
      </c>
      <c r="X1222" s="106" t="s">
        <v>297</v>
      </c>
      <c r="Y1222" s="107" t="s">
        <v>18</v>
      </c>
      <c r="Z1222" s="67">
        <f>IF(База_КР_КК[[#This Row],[Таб.номер резервиста]]="-","-",IF(OR(База_КР_КК[[#This Row],[Уровень КК]]=2,База_КР_КК[[#This Row],[Уровень КК]]=3),IF(COUNTIFS($U$2:$U1222,$U1222,$F$2:$F1222,$F1222)=1,1,0),IF(COUNTIFS($U$2:$U1222,$U1222,$L$2:$L1222,$L1222)=1,1,0)))</f>
        <v>0</v>
      </c>
      <c r="AA12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2" s="106" t="s">
        <v>37</v>
      </c>
      <c r="AC1222" s="51">
        <v>44682</v>
      </c>
      <c r="AD1222" s="106" t="s">
        <v>15</v>
      </c>
      <c r="AE1222" s="38" t="s">
        <v>334</v>
      </c>
    </row>
    <row r="1223" spans="1:31" ht="18" customHeight="1" x14ac:dyDescent="0.25">
      <c r="A12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3" s="79">
        <v>4</v>
      </c>
      <c r="C1223" s="23">
        <v>44125</v>
      </c>
      <c r="D1223" s="67">
        <f>IF(COUNTIF($G$2:$G1223,$G1223)=1,1,0)</f>
        <v>0</v>
      </c>
      <c r="E1223" s="67" t="str">
        <f>IFERROR(VLOOKUP(База_КР_КК[[#This Row],[ИД штатной должности (S)]],'уровень защищенности'!$B$7:$F$1095,5,0),"не защищена")</f>
        <v>средний</v>
      </c>
      <c r="F1223" s="68">
        <v>500688</v>
      </c>
      <c r="G1223" s="74" t="s">
        <v>2421</v>
      </c>
      <c r="H1223" s="181">
        <f>INDEX('Списки данных'!$D$2:$D$1048576,MATCH(База_КР_КК[[#This Row],[Структурное подразделение]],'Списки данных'!$C$2:$C$1048576,0))</f>
        <v>421</v>
      </c>
      <c r="I1223" s="80" t="s">
        <v>176</v>
      </c>
      <c r="J1223" s="80" t="s">
        <v>210</v>
      </c>
      <c r="K1223" s="80" t="s">
        <v>21</v>
      </c>
      <c r="L1223" s="30" t="s">
        <v>191</v>
      </c>
      <c r="M1223" s="68">
        <v>7</v>
      </c>
      <c r="N1223" s="181" t="str">
        <f t="shared" si="20"/>
        <v>нет</v>
      </c>
      <c r="O1223" s="23"/>
      <c r="P1223" s="23"/>
      <c r="Q1223" s="106"/>
      <c r="R1223" s="37">
        <v>256</v>
      </c>
      <c r="S1223" s="38" t="s">
        <v>668</v>
      </c>
      <c r="T1223" s="37">
        <v>1335</v>
      </c>
      <c r="U1223" s="39" t="s">
        <v>1730</v>
      </c>
      <c r="V1223" s="69" t="s">
        <v>272</v>
      </c>
      <c r="W1223" s="89" t="s">
        <v>176</v>
      </c>
      <c r="X1223" s="106" t="s">
        <v>297</v>
      </c>
      <c r="Y1223" s="107" t="s">
        <v>18</v>
      </c>
      <c r="Z1223" s="67">
        <f>IF(База_КР_КК[[#This Row],[Таб.номер резервиста]]="-","-",IF(OR(База_КР_КК[[#This Row],[Уровень КК]]=2,База_КР_КК[[#This Row],[Уровень КК]]=3),IF(COUNTIFS($U$2:$U1223,$U1223,$F$2:$F1223,$F1223)=1,1,0),IF(COUNTIFS($U$2:$U1223,$U1223,$L$2:$L1223,$L1223)=1,1,0)))</f>
        <v>0</v>
      </c>
      <c r="AA12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3" s="106" t="s">
        <v>19</v>
      </c>
      <c r="AC1223" s="51">
        <v>44414</v>
      </c>
      <c r="AD1223" s="106" t="s">
        <v>15</v>
      </c>
      <c r="AE1223" s="38" t="s">
        <v>318</v>
      </c>
    </row>
    <row r="1224" spans="1:31" ht="18" customHeight="1" x14ac:dyDescent="0.25">
      <c r="A12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4" s="79">
        <v>4</v>
      </c>
      <c r="C1224" s="23">
        <v>44866</v>
      </c>
      <c r="D1224" s="67">
        <f>IF(COUNTIF($G$2:$G1224,$G1224)=1,1,0)</f>
        <v>1</v>
      </c>
      <c r="E1224" s="67" t="str">
        <f>IFERROR(VLOOKUP(База_КР_КК[[#This Row],[ИД штатной должности (S)]],'уровень защищенности'!$B$7:$F$1095,5,0),"не защищена")</f>
        <v>средний</v>
      </c>
      <c r="F1224" s="68">
        <v>500688</v>
      </c>
      <c r="G1224" s="74" t="s">
        <v>2422</v>
      </c>
      <c r="H1224" s="181">
        <f>INDEX('Списки данных'!$D$2:$D$1048576,MATCH(База_КР_КК[[#This Row],[Структурное подразделение]],'Списки данных'!$C$2:$C$1048576,0))</f>
        <v>421</v>
      </c>
      <c r="I1224" s="80" t="s">
        <v>176</v>
      </c>
      <c r="J1224" s="80" t="s">
        <v>210</v>
      </c>
      <c r="K1224" s="80" t="s">
        <v>21</v>
      </c>
      <c r="L1224" s="30" t="s">
        <v>191</v>
      </c>
      <c r="M1224" s="68">
        <v>7</v>
      </c>
      <c r="N1224" s="181" t="str">
        <f t="shared" si="20"/>
        <v>да</v>
      </c>
      <c r="O1224" s="23">
        <v>45071</v>
      </c>
      <c r="P1224" s="23"/>
      <c r="Q1224" s="106"/>
      <c r="R1224" s="37" t="s">
        <v>23</v>
      </c>
      <c r="S1224" s="39" t="s">
        <v>23</v>
      </c>
      <c r="T1224" s="37">
        <v>1334</v>
      </c>
      <c r="U1224" s="38" t="s">
        <v>1729</v>
      </c>
      <c r="V1224" s="69" t="s">
        <v>272</v>
      </c>
      <c r="W1224" s="89" t="s">
        <v>176</v>
      </c>
      <c r="X1224" s="106" t="s">
        <v>297</v>
      </c>
      <c r="Y1224" s="107" t="s">
        <v>12</v>
      </c>
      <c r="Z1224" s="67">
        <f>IF(База_КР_КК[[#This Row],[Таб.номер резервиста]]="-","-",IF(OR(База_КР_КК[[#This Row],[Уровень КК]]=2,База_КР_КК[[#This Row],[Уровень КК]]=3),IF(COUNTIFS($U$2:$U1224,$U1224,$F$2:$F1224,$F1224)=1,1,0),IF(COUNTIFS($U$2:$U1224,$U1224,$L$2:$L1224,$L1224)=1,1,0)))</f>
        <v>0</v>
      </c>
      <c r="AA12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4" s="106"/>
      <c r="AC1224" s="51"/>
      <c r="AD1224" s="106" t="s">
        <v>15</v>
      </c>
      <c r="AE1224" s="38" t="s">
        <v>340</v>
      </c>
    </row>
    <row r="1225" spans="1:31" ht="18" customHeight="1" x14ac:dyDescent="0.25">
      <c r="A12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5" s="79">
        <v>4</v>
      </c>
      <c r="C1225" s="23">
        <v>44473</v>
      </c>
      <c r="D1225" s="67">
        <f>IF(COUNTIF($G$2:$G1225,$G1225)=1,1,0)</f>
        <v>0</v>
      </c>
      <c r="E1225" s="67" t="str">
        <f>IFERROR(VLOOKUP(База_КР_КК[[#This Row],[ИД штатной должности (S)]],'уровень защищенности'!$B$7:$F$1095,5,0),"не защищена")</f>
        <v>средний</v>
      </c>
      <c r="F1225" s="68">
        <v>500688</v>
      </c>
      <c r="G1225" s="74" t="s">
        <v>2422</v>
      </c>
      <c r="H1225" s="181">
        <f>INDEX('Списки данных'!$D$2:$D$1048576,MATCH(База_КР_КК[[#This Row],[Структурное подразделение]],'Списки данных'!$C$2:$C$1048576,0))</f>
        <v>421</v>
      </c>
      <c r="I1225" s="80" t="s">
        <v>176</v>
      </c>
      <c r="J1225" s="80" t="s">
        <v>210</v>
      </c>
      <c r="K1225" s="80" t="s">
        <v>21</v>
      </c>
      <c r="L1225" s="30" t="s">
        <v>191</v>
      </c>
      <c r="M1225" s="68">
        <v>7</v>
      </c>
      <c r="N1225" s="181" t="str">
        <f t="shared" si="20"/>
        <v>да</v>
      </c>
      <c r="O1225" s="23">
        <v>45071</v>
      </c>
      <c r="P1225" s="23"/>
      <c r="Q1225" s="106"/>
      <c r="R1225" s="37" t="s">
        <v>23</v>
      </c>
      <c r="S1225" s="38" t="s">
        <v>23</v>
      </c>
      <c r="T1225" s="37">
        <v>260</v>
      </c>
      <c r="U1225" s="39" t="s">
        <v>672</v>
      </c>
      <c r="V1225" s="69" t="s">
        <v>272</v>
      </c>
      <c r="W1225" s="89" t="s">
        <v>176</v>
      </c>
      <c r="X1225" s="106" t="s">
        <v>297</v>
      </c>
      <c r="Y1225" s="107" t="s">
        <v>18</v>
      </c>
      <c r="Z1225" s="67">
        <f>IF(База_КР_КК[[#This Row],[Таб.номер резервиста]]="-","-",IF(OR(База_КР_КК[[#This Row],[Уровень КК]]=2,База_КР_КК[[#This Row],[Уровень КК]]=3),IF(COUNTIFS($U$2:$U1225,$U1225,$F$2:$F1225,$F1225)=1,1,0),IF(COUNTIFS($U$2:$U1225,$U1225,$L$2:$L1225,$L1225)=1,1,0)))</f>
        <v>0</v>
      </c>
      <c r="AA12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5" s="106" t="s">
        <v>37</v>
      </c>
      <c r="AC1225" s="51">
        <v>44682</v>
      </c>
      <c r="AD1225" s="106" t="s">
        <v>15</v>
      </c>
      <c r="AE1225" s="38" t="s">
        <v>334</v>
      </c>
    </row>
    <row r="1226" spans="1:31" ht="18" customHeight="1" x14ac:dyDescent="0.25">
      <c r="A12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6" s="79">
        <v>4</v>
      </c>
      <c r="C1226" s="23">
        <v>44125</v>
      </c>
      <c r="D1226" s="67">
        <f>IF(COUNTIF($G$2:$G1226,$G1226)=1,1,0)</f>
        <v>0</v>
      </c>
      <c r="E1226" s="67" t="str">
        <f>IFERROR(VLOOKUP(База_КР_КК[[#This Row],[ИД штатной должности (S)]],'уровень защищенности'!$B$7:$F$1095,5,0),"не защищена")</f>
        <v>средний</v>
      </c>
      <c r="F1226" s="68">
        <v>500688</v>
      </c>
      <c r="G1226" s="74" t="s">
        <v>2422</v>
      </c>
      <c r="H1226" s="181">
        <f>INDEX('Списки данных'!$D$2:$D$1048576,MATCH(База_КР_КК[[#This Row],[Структурное подразделение]],'Списки данных'!$C$2:$C$1048576,0))</f>
        <v>421</v>
      </c>
      <c r="I1226" s="80" t="s">
        <v>176</v>
      </c>
      <c r="J1226" s="80" t="s">
        <v>210</v>
      </c>
      <c r="K1226" s="80" t="s">
        <v>21</v>
      </c>
      <c r="L1226" s="30" t="s">
        <v>191</v>
      </c>
      <c r="M1226" s="68">
        <v>7</v>
      </c>
      <c r="N1226" s="181" t="str">
        <f t="shared" si="20"/>
        <v>да</v>
      </c>
      <c r="O1226" s="23">
        <v>45071</v>
      </c>
      <c r="P1226" s="23"/>
      <c r="Q1226" s="106"/>
      <c r="R1226" s="37" t="s">
        <v>23</v>
      </c>
      <c r="S1226" s="38" t="s">
        <v>23</v>
      </c>
      <c r="T1226" s="37">
        <v>1335</v>
      </c>
      <c r="U1226" s="39" t="s">
        <v>1730</v>
      </c>
      <c r="V1226" s="69" t="s">
        <v>272</v>
      </c>
      <c r="W1226" s="89" t="s">
        <v>176</v>
      </c>
      <c r="X1226" s="106" t="s">
        <v>297</v>
      </c>
      <c r="Y1226" s="107" t="s">
        <v>18</v>
      </c>
      <c r="Z1226" s="67">
        <f>IF(База_КР_КК[[#This Row],[Таб.номер резервиста]]="-","-",IF(OR(База_КР_КК[[#This Row],[Уровень КК]]=2,База_КР_КК[[#This Row],[Уровень КК]]=3),IF(COUNTIFS($U$2:$U1226,$U1226,$F$2:$F1226,$F1226)=1,1,0),IF(COUNTIFS($U$2:$U1226,$U1226,$L$2:$L1226,$L1226)=1,1,0)))</f>
        <v>0</v>
      </c>
      <c r="AA12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6" s="106" t="s">
        <v>19</v>
      </c>
      <c r="AC1226" s="51">
        <v>44414</v>
      </c>
      <c r="AD1226" s="106" t="s">
        <v>15</v>
      </c>
      <c r="AE1226" s="38" t="s">
        <v>318</v>
      </c>
    </row>
    <row r="1227" spans="1:31" ht="18" customHeight="1" x14ac:dyDescent="0.25">
      <c r="A12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7" s="79">
        <v>4</v>
      </c>
      <c r="C1227" s="23">
        <v>44866</v>
      </c>
      <c r="D1227" s="67">
        <f>IF(COUNTIF($G$2:$G1227,$G1227)=1,1,0)</f>
        <v>1</v>
      </c>
      <c r="E1227" s="67" t="str">
        <f>IFERROR(VLOOKUP(База_КР_КК[[#This Row],[ИД штатной должности (S)]],'уровень защищенности'!$B$7:$F$1095,5,0),"не защищена")</f>
        <v>средний</v>
      </c>
      <c r="F1227" s="68">
        <v>500688</v>
      </c>
      <c r="G1227" s="74" t="s">
        <v>2423</v>
      </c>
      <c r="H1227" s="181">
        <f>INDEX('Списки данных'!$D$2:$D$1048576,MATCH(База_КР_КК[[#This Row],[Структурное подразделение]],'Списки данных'!$C$2:$C$1048576,0))</f>
        <v>421</v>
      </c>
      <c r="I1227" s="80" t="s">
        <v>176</v>
      </c>
      <c r="J1227" s="80" t="s">
        <v>210</v>
      </c>
      <c r="K1227" s="80" t="s">
        <v>21</v>
      </c>
      <c r="L1227" s="30" t="s">
        <v>191</v>
      </c>
      <c r="M1227" s="68">
        <v>7</v>
      </c>
      <c r="N1227" s="181" t="str">
        <f t="shared" si="20"/>
        <v>да</v>
      </c>
      <c r="O1227" s="23">
        <v>44774</v>
      </c>
      <c r="P1227" s="23"/>
      <c r="Q1227" s="106"/>
      <c r="R1227" s="37" t="s">
        <v>23</v>
      </c>
      <c r="S1227" s="37" t="s">
        <v>23</v>
      </c>
      <c r="T1227" s="37">
        <v>1334</v>
      </c>
      <c r="U1227" s="38" t="s">
        <v>1729</v>
      </c>
      <c r="V1227" s="69" t="s">
        <v>272</v>
      </c>
      <c r="W1227" s="89" t="s">
        <v>176</v>
      </c>
      <c r="X1227" s="106" t="s">
        <v>297</v>
      </c>
      <c r="Y1227" s="107" t="s">
        <v>12</v>
      </c>
      <c r="Z1227" s="67">
        <f>IF(База_КР_КК[[#This Row],[Таб.номер резервиста]]="-","-",IF(OR(База_КР_КК[[#This Row],[Уровень КК]]=2,База_КР_КК[[#This Row],[Уровень КК]]=3),IF(COUNTIFS($U$2:$U1227,$U1227,$F$2:$F1227,$F1227)=1,1,0),IF(COUNTIFS($U$2:$U1227,$U1227,$L$2:$L1227,$L1227)=1,1,0)))</f>
        <v>0</v>
      </c>
      <c r="AA12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7" s="106"/>
      <c r="AC1227" s="51"/>
      <c r="AD1227" s="106" t="s">
        <v>15</v>
      </c>
      <c r="AE1227" s="38" t="s">
        <v>340</v>
      </c>
    </row>
    <row r="1228" spans="1:31" ht="18" customHeight="1" x14ac:dyDescent="0.25">
      <c r="A12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8" s="79">
        <v>4</v>
      </c>
      <c r="C1228" s="23">
        <v>44473</v>
      </c>
      <c r="D1228" s="67">
        <f>IF(COUNTIF($G$2:$G1228,$G1228)=1,1,0)</f>
        <v>0</v>
      </c>
      <c r="E1228" s="67" t="str">
        <f>IFERROR(VLOOKUP(База_КР_КК[[#This Row],[ИД штатной должности (S)]],'уровень защищенности'!$B$7:$F$1095,5,0),"не защищена")</f>
        <v>средний</v>
      </c>
      <c r="F1228" s="68">
        <v>500688</v>
      </c>
      <c r="G1228" s="74" t="s">
        <v>2423</v>
      </c>
      <c r="H1228" s="181">
        <f>INDEX('Списки данных'!$D$2:$D$1048576,MATCH(База_КР_КК[[#This Row],[Структурное подразделение]],'Списки данных'!$C$2:$C$1048576,0))</f>
        <v>421</v>
      </c>
      <c r="I1228" s="80" t="s">
        <v>176</v>
      </c>
      <c r="J1228" s="80" t="s">
        <v>210</v>
      </c>
      <c r="K1228" s="80" t="s">
        <v>21</v>
      </c>
      <c r="L1228" s="30" t="s">
        <v>191</v>
      </c>
      <c r="M1228" s="68">
        <v>7</v>
      </c>
      <c r="N1228" s="181" t="str">
        <f t="shared" si="20"/>
        <v>да</v>
      </c>
      <c r="O1228" s="23">
        <v>44774</v>
      </c>
      <c r="P1228" s="23"/>
      <c r="Q1228" s="106"/>
      <c r="R1228" s="37" t="s">
        <v>23</v>
      </c>
      <c r="S1228" s="37" t="s">
        <v>23</v>
      </c>
      <c r="T1228" s="37">
        <v>260</v>
      </c>
      <c r="U1228" s="39" t="s">
        <v>672</v>
      </c>
      <c r="V1228" s="69" t="s">
        <v>272</v>
      </c>
      <c r="W1228" s="89" t="s">
        <v>176</v>
      </c>
      <c r="X1228" s="106" t="s">
        <v>297</v>
      </c>
      <c r="Y1228" s="107" t="s">
        <v>18</v>
      </c>
      <c r="Z1228" s="67">
        <f>IF(База_КР_КК[[#This Row],[Таб.номер резервиста]]="-","-",IF(OR(База_КР_КК[[#This Row],[Уровень КК]]=2,База_КР_КК[[#This Row],[Уровень КК]]=3),IF(COUNTIFS($U$2:$U1228,$U1228,$F$2:$F1228,$F1228)=1,1,0),IF(COUNTIFS($U$2:$U1228,$U1228,$L$2:$L1228,$L1228)=1,1,0)))</f>
        <v>0</v>
      </c>
      <c r="AA12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8" s="106" t="s">
        <v>37</v>
      </c>
      <c r="AC1228" s="51">
        <v>44682</v>
      </c>
      <c r="AD1228" s="106" t="s">
        <v>15</v>
      </c>
      <c r="AE1228" s="38" t="s">
        <v>334</v>
      </c>
    </row>
    <row r="1229" spans="1:31" ht="18" customHeight="1" x14ac:dyDescent="0.25">
      <c r="A12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29" s="79">
        <v>4</v>
      </c>
      <c r="C1229" s="23">
        <v>44125</v>
      </c>
      <c r="D1229" s="67">
        <f>IF(COUNTIF($G$2:$G1229,$G1229)=1,1,0)</f>
        <v>0</v>
      </c>
      <c r="E1229" s="67" t="str">
        <f>IFERROR(VLOOKUP(База_КР_КК[[#This Row],[ИД штатной должности (S)]],'уровень защищенности'!$B$7:$F$1095,5,0),"не защищена")</f>
        <v>средний</v>
      </c>
      <c r="F1229" s="68">
        <v>500688</v>
      </c>
      <c r="G1229" s="74" t="s">
        <v>2423</v>
      </c>
      <c r="H1229" s="181">
        <f>INDEX('Списки данных'!$D$2:$D$1048576,MATCH(База_КР_КК[[#This Row],[Структурное подразделение]],'Списки данных'!$C$2:$C$1048576,0))</f>
        <v>421</v>
      </c>
      <c r="I1229" s="80" t="s">
        <v>176</v>
      </c>
      <c r="J1229" s="80" t="s">
        <v>210</v>
      </c>
      <c r="K1229" s="80" t="s">
        <v>21</v>
      </c>
      <c r="L1229" s="30" t="s">
        <v>191</v>
      </c>
      <c r="M1229" s="68">
        <v>7</v>
      </c>
      <c r="N1229" s="181" t="str">
        <f t="shared" si="20"/>
        <v>да</v>
      </c>
      <c r="O1229" s="23">
        <v>44774</v>
      </c>
      <c r="P1229" s="23"/>
      <c r="Q1229" s="106"/>
      <c r="R1229" s="37" t="s">
        <v>23</v>
      </c>
      <c r="S1229" s="37" t="s">
        <v>23</v>
      </c>
      <c r="T1229" s="37">
        <v>1335</v>
      </c>
      <c r="U1229" s="39" t="s">
        <v>1730</v>
      </c>
      <c r="V1229" s="69" t="s">
        <v>272</v>
      </c>
      <c r="W1229" s="89" t="s">
        <v>176</v>
      </c>
      <c r="X1229" s="106" t="s">
        <v>297</v>
      </c>
      <c r="Y1229" s="107" t="s">
        <v>18</v>
      </c>
      <c r="Z1229" s="67">
        <f>IF(База_КР_КК[[#This Row],[Таб.номер резервиста]]="-","-",IF(OR(База_КР_КК[[#This Row],[Уровень КК]]=2,База_КР_КК[[#This Row],[Уровень КК]]=3),IF(COUNTIFS($U$2:$U1229,$U1229,$F$2:$F1229,$F1229)=1,1,0),IF(COUNTIFS($U$2:$U1229,$U1229,$L$2:$L1229,$L1229)=1,1,0)))</f>
        <v>0</v>
      </c>
      <c r="AA12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29" s="106" t="s">
        <v>19</v>
      </c>
      <c r="AC1229" s="51">
        <v>44414</v>
      </c>
      <c r="AD1229" s="106" t="s">
        <v>15</v>
      </c>
      <c r="AE1229" s="38" t="s">
        <v>318</v>
      </c>
    </row>
    <row r="1230" spans="1:31" ht="18" customHeight="1" x14ac:dyDescent="0.25">
      <c r="A12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0" s="79">
        <v>4</v>
      </c>
      <c r="C1230" s="23">
        <v>44866</v>
      </c>
      <c r="D1230" s="67">
        <f>IF(COUNTIF($G$2:$G1230,$G1230)=1,1,0)</f>
        <v>1</v>
      </c>
      <c r="E1230" s="67" t="str">
        <f>IFERROR(VLOOKUP(База_КР_КК[[#This Row],[ИД штатной должности (S)]],'уровень защищенности'!$B$7:$F$1095,5,0),"не защищена")</f>
        <v>не защищена</v>
      </c>
      <c r="F1230" s="68">
        <v>500689</v>
      </c>
      <c r="G1230" s="74" t="s">
        <v>2424</v>
      </c>
      <c r="H1230" s="181">
        <f>INDEX('Списки данных'!$D$2:$D$1048576,MATCH(База_КР_КК[[#This Row],[Структурное подразделение]],'Списки данных'!$C$2:$C$1048576,0))</f>
        <v>421</v>
      </c>
      <c r="I1230" s="80" t="s">
        <v>176</v>
      </c>
      <c r="J1230" s="80" t="s">
        <v>210</v>
      </c>
      <c r="K1230" s="80" t="s">
        <v>211</v>
      </c>
      <c r="L1230" s="30" t="s">
        <v>192</v>
      </c>
      <c r="M1230" s="68">
        <v>7</v>
      </c>
      <c r="N1230" s="181" t="str">
        <f t="shared" si="20"/>
        <v>нет</v>
      </c>
      <c r="O1230" s="23"/>
      <c r="P1230" s="23"/>
      <c r="Q1230" s="106"/>
      <c r="R1230" s="37">
        <v>257</v>
      </c>
      <c r="S1230" s="39" t="s">
        <v>669</v>
      </c>
      <c r="T1230" s="37">
        <v>261</v>
      </c>
      <c r="U1230" s="38" t="s">
        <v>673</v>
      </c>
      <c r="V1230" s="69" t="s">
        <v>272</v>
      </c>
      <c r="W1230" s="89" t="s">
        <v>176</v>
      </c>
      <c r="X1230" s="106" t="s">
        <v>295</v>
      </c>
      <c r="Y1230" s="107" t="s">
        <v>14</v>
      </c>
      <c r="Z1230" s="67">
        <f>IF(База_КР_КК[[#This Row],[Таб.номер резервиста]]="-","-",IF(OR(База_КР_КК[[#This Row],[Уровень КК]]=2,База_КР_КК[[#This Row],[Уровень КК]]=3),IF(COUNTIFS($U$2:$U1230,$U1230,$F$2:$F1230,$F1230)=1,1,0),IF(COUNTIFS($U$2:$U1230,$U1230,$L$2:$L1230,$L1230)=1,1,0)))</f>
        <v>1</v>
      </c>
      <c r="AA12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0" s="106" t="s">
        <v>24</v>
      </c>
      <c r="AC1230" s="51">
        <v>44944</v>
      </c>
      <c r="AD1230" s="106" t="s">
        <v>15</v>
      </c>
      <c r="AE1230" s="38" t="s">
        <v>340</v>
      </c>
    </row>
    <row r="1231" spans="1:31" ht="18" customHeight="1" x14ac:dyDescent="0.25">
      <c r="A12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1" s="79">
        <v>4</v>
      </c>
      <c r="C1231" s="23">
        <v>44125</v>
      </c>
      <c r="D1231" s="67">
        <f>IF(COUNTIF($G$2:$G1231,$G1231)=1,1,0)</f>
        <v>0</v>
      </c>
      <c r="E1231" s="67" t="str">
        <f>IFERROR(VLOOKUP(База_КР_КК[[#This Row],[ИД штатной должности (S)]],'уровень защищенности'!$B$7:$F$1095,5,0),"не защищена")</f>
        <v>не защищена</v>
      </c>
      <c r="F1231" s="68">
        <v>500689</v>
      </c>
      <c r="G1231" s="74" t="s">
        <v>2424</v>
      </c>
      <c r="H1231" s="181">
        <f>INDEX('Списки данных'!$D$2:$D$1048576,MATCH(База_КР_КК[[#This Row],[Структурное подразделение]],'Списки данных'!$C$2:$C$1048576,0))</f>
        <v>421</v>
      </c>
      <c r="I1231" s="80" t="s">
        <v>176</v>
      </c>
      <c r="J1231" s="80" t="s">
        <v>210</v>
      </c>
      <c r="K1231" s="80" t="s">
        <v>211</v>
      </c>
      <c r="L1231" s="30" t="s">
        <v>192</v>
      </c>
      <c r="M1231" s="68">
        <v>7</v>
      </c>
      <c r="N1231" s="181" t="str">
        <f t="shared" si="20"/>
        <v>нет</v>
      </c>
      <c r="O1231" s="23"/>
      <c r="P1231" s="23"/>
      <c r="Q1231" s="106"/>
      <c r="R1231" s="37">
        <v>257</v>
      </c>
      <c r="S1231" s="38" t="s">
        <v>669</v>
      </c>
      <c r="T1231" s="37">
        <v>1334</v>
      </c>
      <c r="U1231" s="39" t="s">
        <v>1729</v>
      </c>
      <c r="V1231" s="69" t="s">
        <v>272</v>
      </c>
      <c r="W1231" s="89" t="s">
        <v>176</v>
      </c>
      <c r="X1231" s="106" t="s">
        <v>297</v>
      </c>
      <c r="Y1231" s="107" t="s">
        <v>18</v>
      </c>
      <c r="Z1231" s="67">
        <f>IF(База_КР_КК[[#This Row],[Таб.номер резервиста]]="-","-",IF(OR(База_КР_КК[[#This Row],[Уровень КК]]=2,База_КР_КК[[#This Row],[Уровень КК]]=3),IF(COUNTIFS($U$2:$U1231,$U1231,$F$2:$F1231,$F1231)=1,1,0),IF(COUNTIFS($U$2:$U1231,$U1231,$L$2:$L1231,$L1231)=1,1,0)))</f>
        <v>1</v>
      </c>
      <c r="AA12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1" s="106" t="s">
        <v>38</v>
      </c>
      <c r="AC1231" s="51">
        <v>44473</v>
      </c>
      <c r="AD1231" s="106" t="s">
        <v>31</v>
      </c>
      <c r="AE1231" s="38" t="s">
        <v>334</v>
      </c>
    </row>
    <row r="1232" spans="1:31" ht="18" customHeight="1" x14ac:dyDescent="0.25">
      <c r="A12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2" s="79">
        <v>4</v>
      </c>
      <c r="C1232" s="23">
        <v>44125</v>
      </c>
      <c r="D1232" s="67">
        <f>IF(COUNTIF($G$2:$G1232,$G1232)=1,1,0)</f>
        <v>0</v>
      </c>
      <c r="E1232" s="67" t="str">
        <f>IFERROR(VLOOKUP(База_КР_КК[[#This Row],[ИД штатной должности (S)]],'уровень защищенности'!$B$7:$F$1095,5,0),"не защищена")</f>
        <v>не защищена</v>
      </c>
      <c r="F1232" s="68">
        <v>500689</v>
      </c>
      <c r="G1232" s="74" t="s">
        <v>2424</v>
      </c>
      <c r="H1232" s="181">
        <f>INDEX('Списки данных'!$D$2:$D$1048576,MATCH(База_КР_КК[[#This Row],[Структурное подразделение]],'Списки данных'!$C$2:$C$1048576,0))</f>
        <v>421</v>
      </c>
      <c r="I1232" s="80" t="s">
        <v>176</v>
      </c>
      <c r="J1232" s="80" t="s">
        <v>210</v>
      </c>
      <c r="K1232" s="80" t="s">
        <v>211</v>
      </c>
      <c r="L1232" s="30" t="s">
        <v>192</v>
      </c>
      <c r="M1232" s="68">
        <v>7</v>
      </c>
      <c r="N1232" s="181" t="str">
        <f t="shared" si="20"/>
        <v>нет</v>
      </c>
      <c r="O1232" s="23"/>
      <c r="P1232" s="23"/>
      <c r="Q1232" s="106"/>
      <c r="R1232" s="37">
        <v>257</v>
      </c>
      <c r="S1232" s="38" t="s">
        <v>669</v>
      </c>
      <c r="T1232" s="37">
        <v>255</v>
      </c>
      <c r="U1232" s="39" t="s">
        <v>667</v>
      </c>
      <c r="V1232" s="69" t="s">
        <v>272</v>
      </c>
      <c r="W1232" s="89" t="s">
        <v>176</v>
      </c>
      <c r="X1232" s="106" t="s">
        <v>297</v>
      </c>
      <c r="Y1232" s="107" t="s">
        <v>18</v>
      </c>
      <c r="Z1232" s="67">
        <f>IF(База_КР_КК[[#This Row],[Таб.номер резервиста]]="-","-",IF(OR(База_КР_КК[[#This Row],[Уровень КК]]=2,База_КР_КК[[#This Row],[Уровень КК]]=3),IF(COUNTIFS($U$2:$U1232,$U1232,$F$2:$F1232,$F1232)=1,1,0),IF(COUNTIFS($U$2:$U1232,$U1232,$L$2:$L1232,$L1232)=1,1,0)))</f>
        <v>1</v>
      </c>
      <c r="AA12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2" s="106" t="s">
        <v>37</v>
      </c>
      <c r="AC1232" s="51">
        <v>44682</v>
      </c>
      <c r="AD1232" s="106" t="s">
        <v>15</v>
      </c>
      <c r="AE1232" s="38" t="s">
        <v>318</v>
      </c>
    </row>
    <row r="1233" spans="1:31" ht="18" customHeight="1" x14ac:dyDescent="0.25">
      <c r="A12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3" s="79">
        <v>4</v>
      </c>
      <c r="C1233" s="23">
        <v>44125</v>
      </c>
      <c r="D1233" s="67">
        <f>IF(COUNTIF($G$2:$G1233,$G1233)=1,1,0)</f>
        <v>0</v>
      </c>
      <c r="E1233" s="67" t="str">
        <f>IFERROR(VLOOKUP(База_КР_КК[[#This Row],[ИД штатной должности (S)]],'уровень защищенности'!$B$7:$F$1095,5,0),"не защищена")</f>
        <v>не защищена</v>
      </c>
      <c r="F1233" s="68">
        <v>500689</v>
      </c>
      <c r="G1233" s="74" t="s">
        <v>2424</v>
      </c>
      <c r="H1233" s="181">
        <f>INDEX('Списки данных'!$D$2:$D$1048576,MATCH(База_КР_КК[[#This Row],[Структурное подразделение]],'Списки данных'!$C$2:$C$1048576,0))</f>
        <v>421</v>
      </c>
      <c r="I1233" s="80" t="s">
        <v>176</v>
      </c>
      <c r="J1233" s="80" t="s">
        <v>210</v>
      </c>
      <c r="K1233" s="80" t="s">
        <v>211</v>
      </c>
      <c r="L1233" s="30" t="s">
        <v>192</v>
      </c>
      <c r="M1233" s="68">
        <v>7</v>
      </c>
      <c r="N1233" s="181" t="str">
        <f t="shared" si="20"/>
        <v>нет</v>
      </c>
      <c r="O1233" s="23"/>
      <c r="P1233" s="23"/>
      <c r="Q1233" s="106"/>
      <c r="R1233" s="37">
        <v>257</v>
      </c>
      <c r="S1233" s="38" t="s">
        <v>669</v>
      </c>
      <c r="T1233" s="37">
        <v>1336</v>
      </c>
      <c r="U1233" s="39" t="s">
        <v>1731</v>
      </c>
      <c r="V1233" s="69" t="s">
        <v>272</v>
      </c>
      <c r="W1233" s="89" t="s">
        <v>176</v>
      </c>
      <c r="X1233" s="106" t="s">
        <v>297</v>
      </c>
      <c r="Y1233" s="107" t="s">
        <v>18</v>
      </c>
      <c r="Z1233" s="67">
        <f>IF(База_КР_КК[[#This Row],[Таб.номер резервиста]]="-","-",IF(OR(База_КР_КК[[#This Row],[Уровень КК]]=2,База_КР_КК[[#This Row],[Уровень КК]]=3),IF(COUNTIFS($U$2:$U1233,$U1233,$F$2:$F1233,$F1233)=1,1,0),IF(COUNTIFS($U$2:$U1233,$U1233,$L$2:$L1233,$L1233)=1,1,0)))</f>
        <v>1</v>
      </c>
      <c r="AA12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3" s="106" t="s">
        <v>38</v>
      </c>
      <c r="AC1233" s="51">
        <v>44473</v>
      </c>
      <c r="AD1233" s="106" t="s">
        <v>31</v>
      </c>
      <c r="AE1233" s="38" t="s">
        <v>334</v>
      </c>
    </row>
    <row r="1234" spans="1:31" ht="18" customHeight="1" x14ac:dyDescent="0.25">
      <c r="A12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4" s="79">
        <v>4</v>
      </c>
      <c r="C1234" s="23">
        <v>44866</v>
      </c>
      <c r="D1234" s="67">
        <f>IF(COUNTIF($G$2:$G1234,$G1234)=1,1,0)</f>
        <v>1</v>
      </c>
      <c r="E1234" s="67" t="str">
        <f>IFERROR(VLOOKUP(База_КР_КК[[#This Row],[ИД штатной должности (S)]],'уровень защищенности'!$B$7:$F$1095,5,0),"не защищена")</f>
        <v>не защищена</v>
      </c>
      <c r="F1234" s="68">
        <v>500689</v>
      </c>
      <c r="G1234" s="74" t="s">
        <v>2425</v>
      </c>
      <c r="H1234" s="181">
        <f>INDEX('Списки данных'!$D$2:$D$1048576,MATCH(База_КР_КК[[#This Row],[Структурное подразделение]],'Списки данных'!$C$2:$C$1048576,0))</f>
        <v>421</v>
      </c>
      <c r="I1234" s="80" t="s">
        <v>176</v>
      </c>
      <c r="J1234" s="80" t="s">
        <v>210</v>
      </c>
      <c r="K1234" s="80" t="s">
        <v>211</v>
      </c>
      <c r="L1234" s="30" t="s">
        <v>192</v>
      </c>
      <c r="M1234" s="68">
        <v>7</v>
      </c>
      <c r="N1234" s="181" t="str">
        <f t="shared" si="20"/>
        <v>нет</v>
      </c>
      <c r="O1234" s="23"/>
      <c r="P1234" s="23"/>
      <c r="Q1234" s="106"/>
      <c r="R1234" s="37">
        <v>258</v>
      </c>
      <c r="S1234" s="39" t="s">
        <v>670</v>
      </c>
      <c r="T1234" s="37">
        <v>261</v>
      </c>
      <c r="U1234" s="38" t="s">
        <v>673</v>
      </c>
      <c r="V1234" s="69" t="s">
        <v>272</v>
      </c>
      <c r="W1234" s="89" t="s">
        <v>176</v>
      </c>
      <c r="X1234" s="106" t="s">
        <v>295</v>
      </c>
      <c r="Y1234" s="107" t="s">
        <v>14</v>
      </c>
      <c r="Z1234" s="67">
        <f>IF(База_КР_КК[[#This Row],[Таб.номер резервиста]]="-","-",IF(OR(База_КР_КК[[#This Row],[Уровень КК]]=2,База_КР_КК[[#This Row],[Уровень КК]]=3),IF(COUNTIFS($U$2:$U1234,$U1234,$F$2:$F1234,$F1234)=1,1,0),IF(COUNTIFS($U$2:$U1234,$U1234,$L$2:$L1234,$L1234)=1,1,0)))</f>
        <v>0</v>
      </c>
      <c r="AA12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4" s="106" t="s">
        <v>24</v>
      </c>
      <c r="AC1234" s="51">
        <v>44944</v>
      </c>
      <c r="AD1234" s="106" t="s">
        <v>15</v>
      </c>
      <c r="AE1234" s="38" t="s">
        <v>340</v>
      </c>
    </row>
    <row r="1235" spans="1:31" ht="18" customHeight="1" x14ac:dyDescent="0.25">
      <c r="A12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5" s="79">
        <v>4</v>
      </c>
      <c r="C1235" s="23">
        <v>44125</v>
      </c>
      <c r="D1235" s="67">
        <f>IF(COUNTIF($G$2:$G1235,$G1235)=1,1,0)</f>
        <v>0</v>
      </c>
      <c r="E1235" s="67" t="str">
        <f>IFERROR(VLOOKUP(База_КР_КК[[#This Row],[ИД штатной должности (S)]],'уровень защищенности'!$B$7:$F$1095,5,0),"не защищена")</f>
        <v>не защищена</v>
      </c>
      <c r="F1235" s="68">
        <v>500689</v>
      </c>
      <c r="G1235" s="74" t="s">
        <v>2425</v>
      </c>
      <c r="H1235" s="181">
        <f>INDEX('Списки данных'!$D$2:$D$1048576,MATCH(База_КР_КК[[#This Row],[Структурное подразделение]],'Списки данных'!$C$2:$C$1048576,0))</f>
        <v>421</v>
      </c>
      <c r="I1235" s="80" t="s">
        <v>176</v>
      </c>
      <c r="J1235" s="80" t="s">
        <v>210</v>
      </c>
      <c r="K1235" s="80" t="s">
        <v>211</v>
      </c>
      <c r="L1235" s="30" t="s">
        <v>192</v>
      </c>
      <c r="M1235" s="68">
        <v>7</v>
      </c>
      <c r="N1235" s="181" t="str">
        <f t="shared" si="20"/>
        <v>нет</v>
      </c>
      <c r="O1235" s="23"/>
      <c r="P1235" s="23"/>
      <c r="Q1235" s="106"/>
      <c r="R1235" s="37">
        <v>258</v>
      </c>
      <c r="S1235" s="39" t="s">
        <v>670</v>
      </c>
      <c r="T1235" s="37">
        <v>1334</v>
      </c>
      <c r="U1235" s="39" t="s">
        <v>1729</v>
      </c>
      <c r="V1235" s="69" t="s">
        <v>272</v>
      </c>
      <c r="W1235" s="89" t="s">
        <v>176</v>
      </c>
      <c r="X1235" s="106" t="s">
        <v>297</v>
      </c>
      <c r="Y1235" s="107" t="s">
        <v>18</v>
      </c>
      <c r="Z1235" s="67">
        <f>IF(База_КР_КК[[#This Row],[Таб.номер резервиста]]="-","-",IF(OR(База_КР_КК[[#This Row],[Уровень КК]]=2,База_КР_КК[[#This Row],[Уровень КК]]=3),IF(COUNTIFS($U$2:$U1235,$U1235,$F$2:$F1235,$F1235)=1,1,0),IF(COUNTIFS($U$2:$U1235,$U1235,$L$2:$L1235,$L1235)=1,1,0)))</f>
        <v>0</v>
      </c>
      <c r="AA12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5" s="106" t="s">
        <v>38</v>
      </c>
      <c r="AC1235" s="51">
        <v>44473</v>
      </c>
      <c r="AD1235" s="106" t="s">
        <v>31</v>
      </c>
      <c r="AE1235" s="38" t="s">
        <v>334</v>
      </c>
    </row>
    <row r="1236" spans="1:31" ht="18" customHeight="1" x14ac:dyDescent="0.25">
      <c r="A12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6" s="79">
        <v>4</v>
      </c>
      <c r="C1236" s="23">
        <v>44125</v>
      </c>
      <c r="D1236" s="67">
        <f>IF(COUNTIF($G$2:$G1236,$G1236)=1,1,0)</f>
        <v>0</v>
      </c>
      <c r="E1236" s="67" t="str">
        <f>IFERROR(VLOOKUP(База_КР_КК[[#This Row],[ИД штатной должности (S)]],'уровень защищенности'!$B$7:$F$1095,5,0),"не защищена")</f>
        <v>не защищена</v>
      </c>
      <c r="F1236" s="68">
        <v>500689</v>
      </c>
      <c r="G1236" s="74" t="s">
        <v>2425</v>
      </c>
      <c r="H1236" s="181">
        <f>INDEX('Списки данных'!$D$2:$D$1048576,MATCH(База_КР_КК[[#This Row],[Структурное подразделение]],'Списки данных'!$C$2:$C$1048576,0))</f>
        <v>421</v>
      </c>
      <c r="I1236" s="80" t="s">
        <v>176</v>
      </c>
      <c r="J1236" s="80" t="s">
        <v>210</v>
      </c>
      <c r="K1236" s="80" t="s">
        <v>211</v>
      </c>
      <c r="L1236" s="30" t="s">
        <v>192</v>
      </c>
      <c r="M1236" s="68">
        <v>7</v>
      </c>
      <c r="N1236" s="181" t="str">
        <f t="shared" si="20"/>
        <v>нет</v>
      </c>
      <c r="O1236" s="23"/>
      <c r="P1236" s="23"/>
      <c r="Q1236" s="106"/>
      <c r="R1236" s="37">
        <v>258</v>
      </c>
      <c r="S1236" s="39" t="s">
        <v>670</v>
      </c>
      <c r="T1236" s="37">
        <v>255</v>
      </c>
      <c r="U1236" s="39" t="s">
        <v>667</v>
      </c>
      <c r="V1236" s="69" t="s">
        <v>272</v>
      </c>
      <c r="W1236" s="89" t="s">
        <v>176</v>
      </c>
      <c r="X1236" s="106" t="s">
        <v>297</v>
      </c>
      <c r="Y1236" s="107" t="s">
        <v>18</v>
      </c>
      <c r="Z1236" s="67">
        <f>IF(База_КР_КК[[#This Row],[Таб.номер резервиста]]="-","-",IF(OR(База_КР_КК[[#This Row],[Уровень КК]]=2,База_КР_КК[[#This Row],[Уровень КК]]=3),IF(COUNTIFS($U$2:$U1236,$U1236,$F$2:$F1236,$F1236)=1,1,0),IF(COUNTIFS($U$2:$U1236,$U1236,$L$2:$L1236,$L1236)=1,1,0)))</f>
        <v>0</v>
      </c>
      <c r="AA12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6" s="106" t="s">
        <v>37</v>
      </c>
      <c r="AC1236" s="51">
        <v>44682</v>
      </c>
      <c r="AD1236" s="106" t="s">
        <v>15</v>
      </c>
      <c r="AE1236" s="38" t="s">
        <v>318</v>
      </c>
    </row>
    <row r="1237" spans="1:31" ht="18" customHeight="1" x14ac:dyDescent="0.25">
      <c r="A12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7" s="79">
        <v>4</v>
      </c>
      <c r="C1237" s="23">
        <v>44125</v>
      </c>
      <c r="D1237" s="67">
        <f>IF(COUNTIF($G$2:$G1237,$G1237)=1,1,0)</f>
        <v>0</v>
      </c>
      <c r="E1237" s="67" t="str">
        <f>IFERROR(VLOOKUP(База_КР_КК[[#This Row],[ИД штатной должности (S)]],'уровень защищенности'!$B$7:$F$1095,5,0),"не защищена")</f>
        <v>не защищена</v>
      </c>
      <c r="F1237" s="68">
        <v>500689</v>
      </c>
      <c r="G1237" s="74" t="s">
        <v>2425</v>
      </c>
      <c r="H1237" s="181">
        <f>INDEX('Списки данных'!$D$2:$D$1048576,MATCH(База_КР_КК[[#This Row],[Структурное подразделение]],'Списки данных'!$C$2:$C$1048576,0))</f>
        <v>421</v>
      </c>
      <c r="I1237" s="80" t="s">
        <v>176</v>
      </c>
      <c r="J1237" s="80" t="s">
        <v>210</v>
      </c>
      <c r="K1237" s="80" t="s">
        <v>211</v>
      </c>
      <c r="L1237" s="30" t="s">
        <v>192</v>
      </c>
      <c r="M1237" s="68">
        <v>7</v>
      </c>
      <c r="N1237" s="181" t="str">
        <f t="shared" si="20"/>
        <v>нет</v>
      </c>
      <c r="O1237" s="23"/>
      <c r="P1237" s="23"/>
      <c r="Q1237" s="106"/>
      <c r="R1237" s="37">
        <v>258</v>
      </c>
      <c r="S1237" s="39" t="s">
        <v>670</v>
      </c>
      <c r="T1237" s="37">
        <v>1336</v>
      </c>
      <c r="U1237" s="39" t="s">
        <v>1731</v>
      </c>
      <c r="V1237" s="69" t="s">
        <v>272</v>
      </c>
      <c r="W1237" s="89" t="s">
        <v>176</v>
      </c>
      <c r="X1237" s="106" t="s">
        <v>297</v>
      </c>
      <c r="Y1237" s="107" t="s">
        <v>18</v>
      </c>
      <c r="Z1237" s="67">
        <f>IF(База_КР_КК[[#This Row],[Таб.номер резервиста]]="-","-",IF(OR(База_КР_КК[[#This Row],[Уровень КК]]=2,База_КР_КК[[#This Row],[Уровень КК]]=3),IF(COUNTIFS($U$2:$U1237,$U1237,$F$2:$F1237,$F1237)=1,1,0),IF(COUNTIFS($U$2:$U1237,$U1237,$L$2:$L1237,$L1237)=1,1,0)))</f>
        <v>0</v>
      </c>
      <c r="AA12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7" s="106" t="s">
        <v>38</v>
      </c>
      <c r="AC1237" s="51">
        <v>44473</v>
      </c>
      <c r="AD1237" s="106" t="s">
        <v>31</v>
      </c>
      <c r="AE1237" s="38" t="s">
        <v>334</v>
      </c>
    </row>
    <row r="1238" spans="1:31" ht="18" customHeight="1" x14ac:dyDescent="0.25">
      <c r="A12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8" s="79">
        <v>4</v>
      </c>
      <c r="C1238" s="23">
        <v>44866</v>
      </c>
      <c r="D1238" s="67">
        <f>IF(COUNTIF($G$2:$G1238,$G1238)=1,1,0)</f>
        <v>1</v>
      </c>
      <c r="E1238" s="67" t="str">
        <f>IFERROR(VLOOKUP(База_КР_КК[[#This Row],[ИД штатной должности (S)]],'уровень защищенности'!$B$7:$F$1095,5,0),"не защищена")</f>
        <v>не защищена</v>
      </c>
      <c r="F1238" s="68">
        <v>500690</v>
      </c>
      <c r="G1238" s="74" t="s">
        <v>2426</v>
      </c>
      <c r="H1238" s="181">
        <f>INDEX('Списки данных'!$D$2:$D$1048576,MATCH(База_КР_КК[[#This Row],[Структурное подразделение]],'Списки данных'!$C$2:$C$1048576,0))</f>
        <v>421</v>
      </c>
      <c r="I1238" s="80" t="s">
        <v>176</v>
      </c>
      <c r="J1238" s="80" t="s">
        <v>210</v>
      </c>
      <c r="K1238" s="80" t="s">
        <v>211</v>
      </c>
      <c r="L1238" s="30" t="s">
        <v>192</v>
      </c>
      <c r="M1238" s="68">
        <v>7</v>
      </c>
      <c r="N1238" s="181" t="str">
        <f t="shared" si="20"/>
        <v>нет</v>
      </c>
      <c r="O1238" s="23"/>
      <c r="P1238" s="23"/>
      <c r="Q1238" s="107"/>
      <c r="R1238" s="37">
        <v>259</v>
      </c>
      <c r="S1238" s="39" t="s">
        <v>671</v>
      </c>
      <c r="T1238" s="37">
        <v>261</v>
      </c>
      <c r="U1238" s="38" t="s">
        <v>673</v>
      </c>
      <c r="V1238" s="69" t="s">
        <v>272</v>
      </c>
      <c r="W1238" s="89" t="s">
        <v>176</v>
      </c>
      <c r="X1238" s="106" t="s">
        <v>295</v>
      </c>
      <c r="Y1238" s="107" t="s">
        <v>14</v>
      </c>
      <c r="Z1238" s="67">
        <f>IF(База_КР_КК[[#This Row],[Таб.номер резервиста]]="-","-",IF(OR(База_КР_КК[[#This Row],[Уровень КК]]=2,База_КР_КК[[#This Row],[Уровень КК]]=3),IF(COUNTIFS($U$2:$U1238,$U1238,$F$2:$F1238,$F1238)=1,1,0),IF(COUNTIFS($U$2:$U1238,$U1238,$L$2:$L1238,$L1238)=1,1,0)))</f>
        <v>0</v>
      </c>
      <c r="AA12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8" s="106" t="s">
        <v>24</v>
      </c>
      <c r="AC1238" s="51">
        <v>44944</v>
      </c>
      <c r="AD1238" s="106" t="s">
        <v>15</v>
      </c>
      <c r="AE1238" s="38" t="s">
        <v>340</v>
      </c>
    </row>
    <row r="1239" spans="1:31" ht="18" customHeight="1" x14ac:dyDescent="0.25">
      <c r="A12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39" s="79">
        <v>4</v>
      </c>
      <c r="C1239" s="23">
        <v>44125</v>
      </c>
      <c r="D1239" s="67">
        <f>IF(COUNTIF($G$2:$G1239,$G1239)=1,1,0)</f>
        <v>0</v>
      </c>
      <c r="E1239" s="67" t="str">
        <f>IFERROR(VLOOKUP(База_КР_КК[[#This Row],[ИД штатной должности (S)]],'уровень защищенности'!$B$7:$F$1095,5,0),"не защищена")</f>
        <v>не защищена</v>
      </c>
      <c r="F1239" s="68">
        <v>500690</v>
      </c>
      <c r="G1239" s="74" t="s">
        <v>2426</v>
      </c>
      <c r="H1239" s="181">
        <f>INDEX('Списки данных'!$D$2:$D$1048576,MATCH(База_КР_КК[[#This Row],[Структурное подразделение]],'Списки данных'!$C$2:$C$1048576,0))</f>
        <v>421</v>
      </c>
      <c r="I1239" s="80" t="s">
        <v>176</v>
      </c>
      <c r="J1239" s="80" t="s">
        <v>210</v>
      </c>
      <c r="K1239" s="80" t="s">
        <v>211</v>
      </c>
      <c r="L1239" s="30" t="s">
        <v>192</v>
      </c>
      <c r="M1239" s="68">
        <v>7</v>
      </c>
      <c r="N1239" s="181" t="str">
        <f t="shared" si="20"/>
        <v>нет</v>
      </c>
      <c r="O1239" s="23"/>
      <c r="P1239" s="23"/>
      <c r="Q1239" s="107"/>
      <c r="R1239" s="37">
        <v>259</v>
      </c>
      <c r="S1239" s="38" t="s">
        <v>671</v>
      </c>
      <c r="T1239" s="37">
        <v>1334</v>
      </c>
      <c r="U1239" s="39" t="s">
        <v>1729</v>
      </c>
      <c r="V1239" s="69" t="s">
        <v>272</v>
      </c>
      <c r="W1239" s="89" t="s">
        <v>176</v>
      </c>
      <c r="X1239" s="106" t="s">
        <v>297</v>
      </c>
      <c r="Y1239" s="107" t="s">
        <v>18</v>
      </c>
      <c r="Z1239" s="67">
        <f>IF(База_КР_КК[[#This Row],[Таб.номер резервиста]]="-","-",IF(OR(База_КР_КК[[#This Row],[Уровень КК]]=2,База_КР_КК[[#This Row],[Уровень КК]]=3),IF(COUNTIFS($U$2:$U1239,$U1239,$F$2:$F1239,$F1239)=1,1,0),IF(COUNTIFS($U$2:$U1239,$U1239,$L$2:$L1239,$L1239)=1,1,0)))</f>
        <v>0</v>
      </c>
      <c r="AA12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39" s="106" t="s">
        <v>38</v>
      </c>
      <c r="AC1239" s="51">
        <v>44473</v>
      </c>
      <c r="AD1239" s="106" t="s">
        <v>31</v>
      </c>
      <c r="AE1239" s="38" t="s">
        <v>334</v>
      </c>
    </row>
    <row r="1240" spans="1:31" ht="18" customHeight="1" x14ac:dyDescent="0.25">
      <c r="A12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0" s="79">
        <v>4</v>
      </c>
      <c r="C1240" s="23">
        <v>44125</v>
      </c>
      <c r="D1240" s="67">
        <f>IF(COUNTIF($G$2:$G1240,$G1240)=1,1,0)</f>
        <v>0</v>
      </c>
      <c r="E1240" s="67" t="str">
        <f>IFERROR(VLOOKUP(База_КР_КК[[#This Row],[ИД штатной должности (S)]],'уровень защищенности'!$B$7:$F$1095,5,0),"не защищена")</f>
        <v>не защищена</v>
      </c>
      <c r="F1240" s="68">
        <v>500690</v>
      </c>
      <c r="G1240" s="74" t="s">
        <v>2426</v>
      </c>
      <c r="H1240" s="181">
        <f>INDEX('Списки данных'!$D$2:$D$1048576,MATCH(База_КР_КК[[#This Row],[Структурное подразделение]],'Списки данных'!$C$2:$C$1048576,0))</f>
        <v>421</v>
      </c>
      <c r="I1240" s="80" t="s">
        <v>176</v>
      </c>
      <c r="J1240" s="80" t="s">
        <v>210</v>
      </c>
      <c r="K1240" s="80" t="s">
        <v>211</v>
      </c>
      <c r="L1240" s="30" t="s">
        <v>192</v>
      </c>
      <c r="M1240" s="68">
        <v>7</v>
      </c>
      <c r="N1240" s="181" t="str">
        <f t="shared" si="20"/>
        <v>нет</v>
      </c>
      <c r="O1240" s="23"/>
      <c r="P1240" s="23"/>
      <c r="Q1240" s="107"/>
      <c r="R1240" s="37">
        <v>259</v>
      </c>
      <c r="S1240" s="38" t="s">
        <v>671</v>
      </c>
      <c r="T1240" s="37">
        <v>255</v>
      </c>
      <c r="U1240" s="39" t="s">
        <v>667</v>
      </c>
      <c r="V1240" s="69" t="s">
        <v>272</v>
      </c>
      <c r="W1240" s="89" t="s">
        <v>176</v>
      </c>
      <c r="X1240" s="106" t="s">
        <v>297</v>
      </c>
      <c r="Y1240" s="107" t="s">
        <v>18</v>
      </c>
      <c r="Z1240" s="67">
        <f>IF(База_КР_КК[[#This Row],[Таб.номер резервиста]]="-","-",IF(OR(База_КР_КК[[#This Row],[Уровень КК]]=2,База_КР_КК[[#This Row],[Уровень КК]]=3),IF(COUNTIFS($U$2:$U1240,$U1240,$F$2:$F1240,$F1240)=1,1,0),IF(COUNTIFS($U$2:$U1240,$U1240,$L$2:$L1240,$L1240)=1,1,0)))</f>
        <v>0</v>
      </c>
      <c r="AA12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0" s="106" t="s">
        <v>37</v>
      </c>
      <c r="AC1240" s="51">
        <v>44682</v>
      </c>
      <c r="AD1240" s="106" t="s">
        <v>15</v>
      </c>
      <c r="AE1240" s="38" t="s">
        <v>318</v>
      </c>
    </row>
    <row r="1241" spans="1:31" ht="18" customHeight="1" x14ac:dyDescent="0.25">
      <c r="A12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1" s="79">
        <v>4</v>
      </c>
      <c r="C1241" s="23">
        <v>44125</v>
      </c>
      <c r="D1241" s="67">
        <f>IF(COUNTIF($G$2:$G1241,$G1241)=1,1,0)</f>
        <v>0</v>
      </c>
      <c r="E1241" s="67" t="str">
        <f>IFERROR(VLOOKUP(База_КР_КК[[#This Row],[ИД штатной должности (S)]],'уровень защищенности'!$B$7:$F$1095,5,0),"не защищена")</f>
        <v>не защищена</v>
      </c>
      <c r="F1241" s="68">
        <v>500690</v>
      </c>
      <c r="G1241" s="74" t="s">
        <v>2426</v>
      </c>
      <c r="H1241" s="181">
        <f>INDEX('Списки данных'!$D$2:$D$1048576,MATCH(База_КР_КК[[#This Row],[Структурное подразделение]],'Списки данных'!$C$2:$C$1048576,0))</f>
        <v>421</v>
      </c>
      <c r="I1241" s="80" t="s">
        <v>176</v>
      </c>
      <c r="J1241" s="80" t="s">
        <v>210</v>
      </c>
      <c r="K1241" s="80" t="s">
        <v>211</v>
      </c>
      <c r="L1241" s="30" t="s">
        <v>192</v>
      </c>
      <c r="M1241" s="68">
        <v>7</v>
      </c>
      <c r="N1241" s="181" t="str">
        <f t="shared" si="20"/>
        <v>нет</v>
      </c>
      <c r="O1241" s="23"/>
      <c r="P1241" s="23"/>
      <c r="Q1241" s="107"/>
      <c r="R1241" s="37">
        <v>259</v>
      </c>
      <c r="S1241" s="38" t="s">
        <v>671</v>
      </c>
      <c r="T1241" s="37">
        <v>1336</v>
      </c>
      <c r="U1241" s="39" t="s">
        <v>1731</v>
      </c>
      <c r="V1241" s="69" t="s">
        <v>272</v>
      </c>
      <c r="W1241" s="89" t="s">
        <v>176</v>
      </c>
      <c r="X1241" s="106" t="s">
        <v>297</v>
      </c>
      <c r="Y1241" s="107" t="s">
        <v>18</v>
      </c>
      <c r="Z1241" s="67">
        <f>IF(База_КР_КК[[#This Row],[Таб.номер резервиста]]="-","-",IF(OR(База_КР_КК[[#This Row],[Уровень КК]]=2,База_КР_КК[[#This Row],[Уровень КК]]=3),IF(COUNTIFS($U$2:$U1241,$U1241,$F$2:$F1241,$F1241)=1,1,0),IF(COUNTIFS($U$2:$U1241,$U1241,$L$2:$L1241,$L1241)=1,1,0)))</f>
        <v>0</v>
      </c>
      <c r="AA12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1" s="106" t="s">
        <v>38</v>
      </c>
      <c r="AC1241" s="51">
        <v>44473</v>
      </c>
      <c r="AD1241" s="106" t="s">
        <v>31</v>
      </c>
      <c r="AE1241" s="38" t="s">
        <v>334</v>
      </c>
    </row>
    <row r="1242" spans="1:31" ht="18" customHeight="1" x14ac:dyDescent="0.25">
      <c r="A12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2" s="79">
        <v>4</v>
      </c>
      <c r="C1242" s="23">
        <v>44866</v>
      </c>
      <c r="D1242" s="67">
        <f>IF(COUNTIF($G$2:$G1242,$G1242)=1,1,0)</f>
        <v>1</v>
      </c>
      <c r="E1242" s="67" t="str">
        <f>IFERROR(VLOOKUP(База_КР_КК[[#This Row],[ИД штатной должности (S)]],'уровень защищенности'!$B$7:$F$1095,5,0),"не защищена")</f>
        <v>не защищена</v>
      </c>
      <c r="F1242" s="68">
        <v>500690</v>
      </c>
      <c r="G1242" s="74" t="s">
        <v>2427</v>
      </c>
      <c r="H1242" s="181">
        <f>INDEX('Списки данных'!$D$2:$D$1048576,MATCH(База_КР_КК[[#This Row],[Структурное подразделение]],'Списки данных'!$C$2:$C$1048576,0))</f>
        <v>421</v>
      </c>
      <c r="I1242" s="80" t="s">
        <v>176</v>
      </c>
      <c r="J1242" s="80" t="s">
        <v>210</v>
      </c>
      <c r="K1242" s="80" t="s">
        <v>211</v>
      </c>
      <c r="L1242" s="30" t="s">
        <v>192</v>
      </c>
      <c r="M1242" s="68">
        <v>7</v>
      </c>
      <c r="N1242" s="181" t="str">
        <f t="shared" si="20"/>
        <v>нет</v>
      </c>
      <c r="O1242" s="23"/>
      <c r="P1242" s="23"/>
      <c r="Q1242" s="107"/>
      <c r="R1242" s="37">
        <v>260</v>
      </c>
      <c r="S1242" s="39" t="s">
        <v>672</v>
      </c>
      <c r="T1242" s="37">
        <v>261</v>
      </c>
      <c r="U1242" s="38" t="s">
        <v>673</v>
      </c>
      <c r="V1242" s="69" t="s">
        <v>272</v>
      </c>
      <c r="W1242" s="89" t="s">
        <v>176</v>
      </c>
      <c r="X1242" s="106" t="s">
        <v>295</v>
      </c>
      <c r="Y1242" s="107" t="s">
        <v>14</v>
      </c>
      <c r="Z1242" s="67">
        <f>IF(База_КР_КК[[#This Row],[Таб.номер резервиста]]="-","-",IF(OR(База_КР_КК[[#This Row],[Уровень КК]]=2,База_КР_КК[[#This Row],[Уровень КК]]=3),IF(COUNTIFS($U$2:$U1242,$U1242,$F$2:$F1242,$F1242)=1,1,0),IF(COUNTIFS($U$2:$U1242,$U1242,$L$2:$L1242,$L1242)=1,1,0)))</f>
        <v>0</v>
      </c>
      <c r="AA12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2" s="106" t="s">
        <v>24</v>
      </c>
      <c r="AC1242" s="51">
        <v>44944</v>
      </c>
      <c r="AD1242" s="106" t="s">
        <v>15</v>
      </c>
      <c r="AE1242" s="38" t="s">
        <v>340</v>
      </c>
    </row>
    <row r="1243" spans="1:31" ht="18" customHeight="1" x14ac:dyDescent="0.25">
      <c r="A12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3" s="79">
        <v>4</v>
      </c>
      <c r="C1243" s="23">
        <v>44125</v>
      </c>
      <c r="D1243" s="67">
        <f>IF(COUNTIF($G$2:$G1243,$G1243)=1,1,0)</f>
        <v>0</v>
      </c>
      <c r="E1243" s="67" t="str">
        <f>IFERROR(VLOOKUP(База_КР_КК[[#This Row],[ИД штатной должности (S)]],'уровень защищенности'!$B$7:$F$1095,5,0),"не защищена")</f>
        <v>не защищена</v>
      </c>
      <c r="F1243" s="68">
        <v>500690</v>
      </c>
      <c r="G1243" s="74" t="s">
        <v>2427</v>
      </c>
      <c r="H1243" s="181">
        <f>INDEX('Списки данных'!$D$2:$D$1048576,MATCH(База_КР_КК[[#This Row],[Структурное подразделение]],'Списки данных'!$C$2:$C$1048576,0))</f>
        <v>421</v>
      </c>
      <c r="I1243" s="80" t="s">
        <v>176</v>
      </c>
      <c r="J1243" s="80" t="s">
        <v>210</v>
      </c>
      <c r="K1243" s="80" t="s">
        <v>211</v>
      </c>
      <c r="L1243" s="30" t="s">
        <v>192</v>
      </c>
      <c r="M1243" s="68">
        <v>7</v>
      </c>
      <c r="N1243" s="181" t="str">
        <f t="shared" si="20"/>
        <v>нет</v>
      </c>
      <c r="O1243" s="23"/>
      <c r="P1243" s="23"/>
      <c r="Q1243" s="107"/>
      <c r="R1243" s="37">
        <v>260</v>
      </c>
      <c r="S1243" s="38" t="s">
        <v>672</v>
      </c>
      <c r="T1243" s="37">
        <v>1334</v>
      </c>
      <c r="U1243" s="39" t="s">
        <v>1729</v>
      </c>
      <c r="V1243" s="69" t="s">
        <v>272</v>
      </c>
      <c r="W1243" s="89" t="s">
        <v>176</v>
      </c>
      <c r="X1243" s="106" t="s">
        <v>297</v>
      </c>
      <c r="Y1243" s="107" t="s">
        <v>18</v>
      </c>
      <c r="Z1243" s="67">
        <f>IF(База_КР_КК[[#This Row],[Таб.номер резервиста]]="-","-",IF(OR(База_КР_КК[[#This Row],[Уровень КК]]=2,База_КР_КК[[#This Row],[Уровень КК]]=3),IF(COUNTIFS($U$2:$U1243,$U1243,$F$2:$F1243,$F1243)=1,1,0),IF(COUNTIFS($U$2:$U1243,$U1243,$L$2:$L1243,$L1243)=1,1,0)))</f>
        <v>0</v>
      </c>
      <c r="AA12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3" s="106" t="s">
        <v>38</v>
      </c>
      <c r="AC1243" s="51">
        <v>44473</v>
      </c>
      <c r="AD1243" s="106" t="s">
        <v>31</v>
      </c>
      <c r="AE1243" s="38" t="s">
        <v>334</v>
      </c>
    </row>
    <row r="1244" spans="1:31" ht="18" customHeight="1" x14ac:dyDescent="0.25">
      <c r="A12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4" s="79">
        <v>4</v>
      </c>
      <c r="C1244" s="23">
        <v>44125</v>
      </c>
      <c r="D1244" s="67">
        <f>IF(COUNTIF($G$2:$G1244,$G1244)=1,1,0)</f>
        <v>0</v>
      </c>
      <c r="E1244" s="67" t="str">
        <f>IFERROR(VLOOKUP(База_КР_КК[[#This Row],[ИД штатной должности (S)]],'уровень защищенности'!$B$7:$F$1095,5,0),"не защищена")</f>
        <v>не защищена</v>
      </c>
      <c r="F1244" s="68">
        <v>500690</v>
      </c>
      <c r="G1244" s="74" t="s">
        <v>2427</v>
      </c>
      <c r="H1244" s="181">
        <f>INDEX('Списки данных'!$D$2:$D$1048576,MATCH(База_КР_КК[[#This Row],[Структурное подразделение]],'Списки данных'!$C$2:$C$1048576,0))</f>
        <v>421</v>
      </c>
      <c r="I1244" s="80" t="s">
        <v>176</v>
      </c>
      <c r="J1244" s="80" t="s">
        <v>210</v>
      </c>
      <c r="K1244" s="80" t="s">
        <v>211</v>
      </c>
      <c r="L1244" s="30" t="s">
        <v>192</v>
      </c>
      <c r="M1244" s="68">
        <v>7</v>
      </c>
      <c r="N1244" s="181" t="str">
        <f t="shared" si="20"/>
        <v>нет</v>
      </c>
      <c r="O1244" s="23"/>
      <c r="P1244" s="23"/>
      <c r="Q1244" s="107"/>
      <c r="R1244" s="37">
        <v>260</v>
      </c>
      <c r="S1244" s="38" t="s">
        <v>672</v>
      </c>
      <c r="T1244" s="37">
        <v>255</v>
      </c>
      <c r="U1244" s="39" t="s">
        <v>667</v>
      </c>
      <c r="V1244" s="69" t="s">
        <v>272</v>
      </c>
      <c r="W1244" s="89" t="s">
        <v>176</v>
      </c>
      <c r="X1244" s="106" t="s">
        <v>297</v>
      </c>
      <c r="Y1244" s="107" t="s">
        <v>18</v>
      </c>
      <c r="Z1244" s="67">
        <f>IF(База_КР_КК[[#This Row],[Таб.номер резервиста]]="-","-",IF(OR(База_КР_КК[[#This Row],[Уровень КК]]=2,База_КР_КК[[#This Row],[Уровень КК]]=3),IF(COUNTIFS($U$2:$U1244,$U1244,$F$2:$F1244,$F1244)=1,1,0),IF(COUNTIFS($U$2:$U1244,$U1244,$L$2:$L1244,$L1244)=1,1,0)))</f>
        <v>0</v>
      </c>
      <c r="AA12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4" s="106" t="s">
        <v>37</v>
      </c>
      <c r="AC1244" s="51">
        <v>44682</v>
      </c>
      <c r="AD1244" s="106" t="s">
        <v>15</v>
      </c>
      <c r="AE1244" s="38" t="s">
        <v>318</v>
      </c>
    </row>
    <row r="1245" spans="1:31" ht="18" customHeight="1" x14ac:dyDescent="0.25">
      <c r="A12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5" s="79">
        <v>4</v>
      </c>
      <c r="C1245" s="23">
        <v>44125</v>
      </c>
      <c r="D1245" s="67">
        <f>IF(COUNTIF($G$2:$G1245,$G1245)=1,1,0)</f>
        <v>0</v>
      </c>
      <c r="E1245" s="67" t="str">
        <f>IFERROR(VLOOKUP(База_КР_КК[[#This Row],[ИД штатной должности (S)]],'уровень защищенности'!$B$7:$F$1095,5,0),"не защищена")</f>
        <v>не защищена</v>
      </c>
      <c r="F1245" s="68">
        <v>500690</v>
      </c>
      <c r="G1245" s="74" t="s">
        <v>2427</v>
      </c>
      <c r="H1245" s="181">
        <f>INDEX('Списки данных'!$D$2:$D$1048576,MATCH(База_КР_КК[[#This Row],[Структурное подразделение]],'Списки данных'!$C$2:$C$1048576,0))</f>
        <v>421</v>
      </c>
      <c r="I1245" s="80" t="s">
        <v>176</v>
      </c>
      <c r="J1245" s="80" t="s">
        <v>210</v>
      </c>
      <c r="K1245" s="80" t="s">
        <v>211</v>
      </c>
      <c r="L1245" s="30" t="s">
        <v>192</v>
      </c>
      <c r="M1245" s="68">
        <v>7</v>
      </c>
      <c r="N1245" s="181" t="str">
        <f t="shared" si="20"/>
        <v>нет</v>
      </c>
      <c r="O1245" s="23"/>
      <c r="P1245" s="23"/>
      <c r="Q1245" s="107"/>
      <c r="R1245" s="37">
        <v>260</v>
      </c>
      <c r="S1245" s="38" t="s">
        <v>672</v>
      </c>
      <c r="T1245" s="37">
        <v>1336</v>
      </c>
      <c r="U1245" s="39" t="s">
        <v>1731</v>
      </c>
      <c r="V1245" s="69" t="s">
        <v>272</v>
      </c>
      <c r="W1245" s="89" t="s">
        <v>176</v>
      </c>
      <c r="X1245" s="106" t="s">
        <v>297</v>
      </c>
      <c r="Y1245" s="107" t="s">
        <v>18</v>
      </c>
      <c r="Z1245" s="67">
        <f>IF(База_КР_КК[[#This Row],[Таб.номер резервиста]]="-","-",IF(OR(База_КР_КК[[#This Row],[Уровень КК]]=2,База_КР_КК[[#This Row],[Уровень КК]]=3),IF(COUNTIFS($U$2:$U1245,$U1245,$F$2:$F1245,$F1245)=1,1,0),IF(COUNTIFS($U$2:$U1245,$U1245,$L$2:$L1245,$L1245)=1,1,0)))</f>
        <v>0</v>
      </c>
      <c r="AA12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5" s="106" t="s">
        <v>38</v>
      </c>
      <c r="AC1245" s="51">
        <v>44473</v>
      </c>
      <c r="AD1245" s="106" t="s">
        <v>31</v>
      </c>
      <c r="AE1245" s="38" t="s">
        <v>334</v>
      </c>
    </row>
    <row r="1246" spans="1:31" ht="18" customHeight="1" x14ac:dyDescent="0.25">
      <c r="A12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6" s="79">
        <v>4</v>
      </c>
      <c r="C1246" s="23">
        <v>44866</v>
      </c>
      <c r="D1246" s="67">
        <f>IF(COUNTIF($G$2:$G1246,$G1246)=1,1,0)</f>
        <v>1</v>
      </c>
      <c r="E1246" s="67" t="str">
        <f>IFERROR(VLOOKUP(База_КР_КК[[#This Row],[ИД штатной должности (S)]],'уровень защищенности'!$B$7:$F$1095,5,0),"не защищена")</f>
        <v>не защищена</v>
      </c>
      <c r="F1246" s="68">
        <v>500691</v>
      </c>
      <c r="G1246" s="74" t="s">
        <v>2428</v>
      </c>
      <c r="H1246" s="181">
        <f>INDEX('Списки данных'!$D$2:$D$1048576,MATCH(База_КР_КК[[#This Row],[Структурное подразделение]],'Списки данных'!$C$2:$C$1048576,0))</f>
        <v>421</v>
      </c>
      <c r="I1246" s="80" t="s">
        <v>176</v>
      </c>
      <c r="J1246" s="80" t="s">
        <v>210</v>
      </c>
      <c r="K1246" s="80" t="s">
        <v>211</v>
      </c>
      <c r="L1246" s="30" t="s">
        <v>192</v>
      </c>
      <c r="M1246" s="68">
        <v>7</v>
      </c>
      <c r="N1246" s="181" t="str">
        <f t="shared" si="20"/>
        <v>да</v>
      </c>
      <c r="O1246" s="23">
        <v>44798</v>
      </c>
      <c r="P1246" s="23">
        <v>44944</v>
      </c>
      <c r="Q1246" s="106" t="s">
        <v>66</v>
      </c>
      <c r="R1246" s="37">
        <v>261</v>
      </c>
      <c r="S1246" s="38" t="s">
        <v>673</v>
      </c>
      <c r="T1246" s="37">
        <v>261</v>
      </c>
      <c r="U1246" s="38" t="s">
        <v>673</v>
      </c>
      <c r="V1246" s="69" t="s">
        <v>272</v>
      </c>
      <c r="W1246" s="89" t="s">
        <v>176</v>
      </c>
      <c r="X1246" s="106" t="s">
        <v>295</v>
      </c>
      <c r="Y1246" s="107" t="s">
        <v>14</v>
      </c>
      <c r="Z1246" s="67">
        <f>IF(База_КР_КК[[#This Row],[Таб.номер резервиста]]="-","-",IF(OR(База_КР_КК[[#This Row],[Уровень КК]]=2,База_КР_КК[[#This Row],[Уровень КК]]=3),IF(COUNTIFS($U$2:$U1246,$U1246,$F$2:$F1246,$F1246)=1,1,0),IF(COUNTIFS($U$2:$U1246,$U1246,$L$2:$L1246,$L1246)=1,1,0)))</f>
        <v>0</v>
      </c>
      <c r="AA12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246" s="106" t="s">
        <v>24</v>
      </c>
      <c r="AC1246" s="51">
        <v>44944</v>
      </c>
      <c r="AD1246" s="106" t="s">
        <v>15</v>
      </c>
      <c r="AE1246" s="38" t="s">
        <v>340</v>
      </c>
    </row>
    <row r="1247" spans="1:31" ht="18" customHeight="1" x14ac:dyDescent="0.25">
      <c r="A12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7" s="79">
        <v>4</v>
      </c>
      <c r="C1247" s="23">
        <v>44125</v>
      </c>
      <c r="D1247" s="67">
        <f>IF(COUNTIF($G$2:$G1247,$G1247)=1,1,0)</f>
        <v>0</v>
      </c>
      <c r="E1247" s="67" t="str">
        <f>IFERROR(VLOOKUP(База_КР_КК[[#This Row],[ИД штатной должности (S)]],'уровень защищенности'!$B$7:$F$1095,5,0),"не защищена")</f>
        <v>не защищена</v>
      </c>
      <c r="F1247" s="68">
        <v>500691</v>
      </c>
      <c r="G1247" s="74" t="s">
        <v>2428</v>
      </c>
      <c r="H1247" s="181">
        <f>INDEX('Списки данных'!$D$2:$D$1048576,MATCH(База_КР_КК[[#This Row],[Структурное подразделение]],'Списки данных'!$C$2:$C$1048576,0))</f>
        <v>421</v>
      </c>
      <c r="I1247" s="80" t="s">
        <v>176</v>
      </c>
      <c r="J1247" s="80" t="s">
        <v>210</v>
      </c>
      <c r="K1247" s="80" t="s">
        <v>211</v>
      </c>
      <c r="L1247" s="30" t="s">
        <v>192</v>
      </c>
      <c r="M1247" s="68">
        <v>7</v>
      </c>
      <c r="N1247" s="181" t="str">
        <f t="shared" si="20"/>
        <v>да</v>
      </c>
      <c r="O1247" s="23">
        <v>44798</v>
      </c>
      <c r="P1247" s="23">
        <v>44944</v>
      </c>
      <c r="Q1247" s="106" t="s">
        <v>66</v>
      </c>
      <c r="R1247" s="37">
        <v>261</v>
      </c>
      <c r="S1247" s="38" t="s">
        <v>673</v>
      </c>
      <c r="T1247" s="37">
        <v>1334</v>
      </c>
      <c r="U1247" s="39" t="s">
        <v>1729</v>
      </c>
      <c r="V1247" s="69" t="s">
        <v>272</v>
      </c>
      <c r="W1247" s="89" t="s">
        <v>176</v>
      </c>
      <c r="X1247" s="106" t="s">
        <v>297</v>
      </c>
      <c r="Y1247" s="107" t="s">
        <v>18</v>
      </c>
      <c r="Z1247" s="67">
        <f>IF(База_КР_КК[[#This Row],[Таб.номер резервиста]]="-","-",IF(OR(База_КР_КК[[#This Row],[Уровень КК]]=2,База_КР_КК[[#This Row],[Уровень КК]]=3),IF(COUNTIFS($U$2:$U1247,$U1247,$F$2:$F1247,$F1247)=1,1,0),IF(COUNTIFS($U$2:$U1247,$U1247,$L$2:$L1247,$L1247)=1,1,0)))</f>
        <v>0</v>
      </c>
      <c r="AA12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7" s="106" t="s">
        <v>38</v>
      </c>
      <c r="AC1247" s="51">
        <v>44473</v>
      </c>
      <c r="AD1247" s="106" t="s">
        <v>31</v>
      </c>
      <c r="AE1247" s="38" t="s">
        <v>334</v>
      </c>
    </row>
    <row r="1248" spans="1:31" ht="18" customHeight="1" x14ac:dyDescent="0.25">
      <c r="A12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8" s="79">
        <v>4</v>
      </c>
      <c r="C1248" s="23">
        <v>44125</v>
      </c>
      <c r="D1248" s="67">
        <f>IF(COUNTIF($G$2:$G1248,$G1248)=1,1,0)</f>
        <v>0</v>
      </c>
      <c r="E1248" s="67" t="str">
        <f>IFERROR(VLOOKUP(База_КР_КК[[#This Row],[ИД штатной должности (S)]],'уровень защищенности'!$B$7:$F$1095,5,0),"не защищена")</f>
        <v>не защищена</v>
      </c>
      <c r="F1248" s="68">
        <v>500691</v>
      </c>
      <c r="G1248" s="74" t="s">
        <v>2428</v>
      </c>
      <c r="H1248" s="181">
        <f>INDEX('Списки данных'!$D$2:$D$1048576,MATCH(База_КР_КК[[#This Row],[Структурное подразделение]],'Списки данных'!$C$2:$C$1048576,0))</f>
        <v>421</v>
      </c>
      <c r="I1248" s="80" t="s">
        <v>176</v>
      </c>
      <c r="J1248" s="80" t="s">
        <v>210</v>
      </c>
      <c r="K1248" s="80" t="s">
        <v>211</v>
      </c>
      <c r="L1248" s="30" t="s">
        <v>192</v>
      </c>
      <c r="M1248" s="68">
        <v>7</v>
      </c>
      <c r="N1248" s="181" t="str">
        <f t="shared" si="20"/>
        <v>да</v>
      </c>
      <c r="O1248" s="23">
        <v>44798</v>
      </c>
      <c r="P1248" s="23">
        <v>44944</v>
      </c>
      <c r="Q1248" s="106" t="s">
        <v>66</v>
      </c>
      <c r="R1248" s="37">
        <v>261</v>
      </c>
      <c r="S1248" s="38" t="s">
        <v>673</v>
      </c>
      <c r="T1248" s="37">
        <v>255</v>
      </c>
      <c r="U1248" s="39" t="s">
        <v>667</v>
      </c>
      <c r="V1248" s="69" t="s">
        <v>272</v>
      </c>
      <c r="W1248" s="89" t="s">
        <v>176</v>
      </c>
      <c r="X1248" s="106" t="s">
        <v>297</v>
      </c>
      <c r="Y1248" s="107" t="s">
        <v>18</v>
      </c>
      <c r="Z1248" s="67">
        <f>IF(База_КР_КК[[#This Row],[Таб.номер резервиста]]="-","-",IF(OR(База_КР_КК[[#This Row],[Уровень КК]]=2,База_КР_КК[[#This Row],[Уровень КК]]=3),IF(COUNTIFS($U$2:$U1248,$U1248,$F$2:$F1248,$F1248)=1,1,0),IF(COUNTIFS($U$2:$U1248,$U1248,$L$2:$L1248,$L1248)=1,1,0)))</f>
        <v>0</v>
      </c>
      <c r="AA12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8" s="106" t="s">
        <v>37</v>
      </c>
      <c r="AC1248" s="51">
        <v>44682</v>
      </c>
      <c r="AD1248" s="106" t="s">
        <v>15</v>
      </c>
      <c r="AE1248" s="38" t="s">
        <v>318</v>
      </c>
    </row>
    <row r="1249" spans="1:31" ht="18" customHeight="1" x14ac:dyDescent="0.25">
      <c r="A12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49" s="79">
        <v>4</v>
      </c>
      <c r="C1249" s="23">
        <v>44125</v>
      </c>
      <c r="D1249" s="67">
        <f>IF(COUNTIF($G$2:$G1249,$G1249)=1,1,0)</f>
        <v>0</v>
      </c>
      <c r="E1249" s="67" t="str">
        <f>IFERROR(VLOOKUP(База_КР_КК[[#This Row],[ИД штатной должности (S)]],'уровень защищенности'!$B$7:$F$1095,5,0),"не защищена")</f>
        <v>не защищена</v>
      </c>
      <c r="F1249" s="68">
        <v>500691</v>
      </c>
      <c r="G1249" s="74" t="s">
        <v>2428</v>
      </c>
      <c r="H1249" s="181">
        <f>INDEX('Списки данных'!$D$2:$D$1048576,MATCH(База_КР_КК[[#This Row],[Структурное подразделение]],'Списки данных'!$C$2:$C$1048576,0))</f>
        <v>421</v>
      </c>
      <c r="I1249" s="80" t="s">
        <v>176</v>
      </c>
      <c r="J1249" s="80" t="s">
        <v>210</v>
      </c>
      <c r="K1249" s="80" t="s">
        <v>211</v>
      </c>
      <c r="L1249" s="30" t="s">
        <v>192</v>
      </c>
      <c r="M1249" s="68">
        <v>7</v>
      </c>
      <c r="N1249" s="181" t="str">
        <f t="shared" si="20"/>
        <v>да</v>
      </c>
      <c r="O1249" s="23">
        <v>44798</v>
      </c>
      <c r="P1249" s="23">
        <v>44944</v>
      </c>
      <c r="Q1249" s="106" t="s">
        <v>66</v>
      </c>
      <c r="R1249" s="37">
        <v>261</v>
      </c>
      <c r="S1249" s="38" t="s">
        <v>673</v>
      </c>
      <c r="T1249" s="37">
        <v>1336</v>
      </c>
      <c r="U1249" s="39" t="s">
        <v>1731</v>
      </c>
      <c r="V1249" s="69" t="s">
        <v>272</v>
      </c>
      <c r="W1249" s="89" t="s">
        <v>176</v>
      </c>
      <c r="X1249" s="106" t="s">
        <v>297</v>
      </c>
      <c r="Y1249" s="107" t="s">
        <v>18</v>
      </c>
      <c r="Z1249" s="67">
        <f>IF(База_КР_КК[[#This Row],[Таб.номер резервиста]]="-","-",IF(OR(База_КР_КК[[#This Row],[Уровень КК]]=2,База_КР_КК[[#This Row],[Уровень КК]]=3),IF(COUNTIFS($U$2:$U1249,$U1249,$F$2:$F1249,$F1249)=1,1,0),IF(COUNTIFS($U$2:$U1249,$U1249,$L$2:$L1249,$L1249)=1,1,0)))</f>
        <v>0</v>
      </c>
      <c r="AA12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49" s="106" t="s">
        <v>38</v>
      </c>
      <c r="AC1249" s="51">
        <v>44473</v>
      </c>
      <c r="AD1249" s="106" t="s">
        <v>31</v>
      </c>
      <c r="AE1249" s="38" t="s">
        <v>334</v>
      </c>
    </row>
    <row r="1250" spans="1:31" ht="18" customHeight="1" x14ac:dyDescent="0.25">
      <c r="A12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0" s="79">
        <v>4</v>
      </c>
      <c r="C1250" s="23">
        <v>44866</v>
      </c>
      <c r="D1250" s="67">
        <f>IF(COUNTIF($G$2:$G1250,$G1250)=1,1,0)</f>
        <v>1</v>
      </c>
      <c r="E1250" s="67" t="str">
        <f>IFERROR(VLOOKUP(База_КР_КК[[#This Row],[ИД штатной должности (S)]],'уровень защищенности'!$B$7:$F$1095,5,0),"не защищена")</f>
        <v>низкий</v>
      </c>
      <c r="F1250" s="68">
        <v>500687</v>
      </c>
      <c r="G1250" s="74" t="s">
        <v>2429</v>
      </c>
      <c r="H1250" s="181">
        <f>INDEX('Списки данных'!$D$2:$D$1048576,MATCH(База_КР_КК[[#This Row],[Структурное подразделение]],'Списки данных'!$C$2:$C$1048576,0))</f>
        <v>421</v>
      </c>
      <c r="I1250" s="80" t="s">
        <v>176</v>
      </c>
      <c r="J1250" s="80" t="s">
        <v>210</v>
      </c>
      <c r="K1250" s="80" t="s">
        <v>21</v>
      </c>
      <c r="L1250" s="30" t="s">
        <v>192</v>
      </c>
      <c r="M1250" s="68">
        <v>7</v>
      </c>
      <c r="N1250" s="181" t="str">
        <f t="shared" si="20"/>
        <v>да</v>
      </c>
      <c r="O1250" s="23">
        <v>44798</v>
      </c>
      <c r="P1250" s="23">
        <v>44944</v>
      </c>
      <c r="Q1250" s="106" t="s">
        <v>66</v>
      </c>
      <c r="R1250" s="37">
        <v>262</v>
      </c>
      <c r="S1250" s="39" t="s">
        <v>674</v>
      </c>
      <c r="T1250" s="37">
        <v>1337</v>
      </c>
      <c r="U1250" s="38" t="s">
        <v>1693</v>
      </c>
      <c r="V1250" s="69" t="s">
        <v>272</v>
      </c>
      <c r="W1250" s="89" t="s">
        <v>176</v>
      </c>
      <c r="X1250" s="106" t="s">
        <v>296</v>
      </c>
      <c r="Y1250" s="107" t="s">
        <v>12</v>
      </c>
      <c r="Z1250" s="67">
        <f>IF(База_КР_КК[[#This Row],[Таб.номер резервиста]]="-","-",IF(OR(База_КР_КК[[#This Row],[Уровень КК]]=2,База_КР_КК[[#This Row],[Уровень КК]]=3),IF(COUNTIFS($U$2:$U1250,$U1250,$F$2:$F1250,$F1250)=1,1,0),IF(COUNTIFS($U$2:$U1250,$U1250,$L$2:$L1250,$L1250)=1,1,0)))</f>
        <v>0</v>
      </c>
      <c r="AA12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50" s="106"/>
      <c r="AC1250" s="51"/>
      <c r="AD1250" s="106" t="s">
        <v>15</v>
      </c>
      <c r="AE1250" s="38" t="s">
        <v>340</v>
      </c>
    </row>
    <row r="1251" spans="1:31" ht="18" customHeight="1" x14ac:dyDescent="0.25">
      <c r="A12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1" s="79">
        <v>4</v>
      </c>
      <c r="C1251" s="23">
        <v>44866</v>
      </c>
      <c r="D1251" s="67">
        <f>IF(COUNTIF($G$2:$G1251,$G1251)=1,1,0)</f>
        <v>0</v>
      </c>
      <c r="E1251" s="67" t="str">
        <f>IFERROR(VLOOKUP(База_КР_КК[[#This Row],[ИД штатной должности (S)]],'уровень защищенности'!$B$7:$F$1095,5,0),"не защищена")</f>
        <v>низкий</v>
      </c>
      <c r="F1251" s="68">
        <v>500687</v>
      </c>
      <c r="G1251" s="74" t="s">
        <v>2429</v>
      </c>
      <c r="H1251" s="181">
        <f>INDEX('Списки данных'!$D$2:$D$1048576,MATCH(База_КР_КК[[#This Row],[Структурное подразделение]],'Списки данных'!$C$2:$C$1048576,0))</f>
        <v>421</v>
      </c>
      <c r="I1251" s="80" t="s">
        <v>176</v>
      </c>
      <c r="J1251" s="80" t="s">
        <v>210</v>
      </c>
      <c r="K1251" s="80" t="s">
        <v>21</v>
      </c>
      <c r="L1251" s="30" t="s">
        <v>192</v>
      </c>
      <c r="M1251" s="68">
        <v>7</v>
      </c>
      <c r="N1251" s="181" t="str">
        <f t="shared" si="20"/>
        <v>да</v>
      </c>
      <c r="O1251" s="23">
        <v>44798</v>
      </c>
      <c r="P1251" s="23">
        <v>44944</v>
      </c>
      <c r="Q1251" s="106" t="s">
        <v>66</v>
      </c>
      <c r="R1251" s="37">
        <v>262</v>
      </c>
      <c r="S1251" s="38" t="s">
        <v>674</v>
      </c>
      <c r="T1251" s="37">
        <v>262</v>
      </c>
      <c r="U1251" s="39" t="s">
        <v>674</v>
      </c>
      <c r="V1251" s="69" t="s">
        <v>272</v>
      </c>
      <c r="W1251" s="89" t="s">
        <v>176</v>
      </c>
      <c r="X1251" s="106" t="s">
        <v>297</v>
      </c>
      <c r="Y1251" s="107" t="s">
        <v>14</v>
      </c>
      <c r="Z1251" s="67">
        <f>IF(База_КР_КК[[#This Row],[Таб.номер резервиста]]="-","-",IF(OR(База_КР_КК[[#This Row],[Уровень КК]]=2,База_КР_КК[[#This Row],[Уровень КК]]=3),IF(COUNTIFS($U$2:$U1251,$U1251,$F$2:$F1251,$F1251)=1,1,0),IF(COUNTIFS($U$2:$U1251,$U1251,$L$2:$L1251,$L1251)=1,1,0)))</f>
        <v>1</v>
      </c>
      <c r="AA12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251" s="106" t="s">
        <v>24</v>
      </c>
      <c r="AC1251" s="51">
        <v>44944</v>
      </c>
      <c r="AD1251" s="106" t="s">
        <v>15</v>
      </c>
      <c r="AE1251" s="38" t="s">
        <v>340</v>
      </c>
    </row>
    <row r="1252" spans="1:31" ht="18" customHeight="1" x14ac:dyDescent="0.25">
      <c r="A12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2" s="79">
        <v>3</v>
      </c>
      <c r="C1252" s="23">
        <v>44796</v>
      </c>
      <c r="D1252" s="67">
        <f>IF(COUNTIF($G$2:$G1252,$G1252)=1,1,0)</f>
        <v>1</v>
      </c>
      <c r="E1252" s="67" t="str">
        <f>IFERROR(VLOOKUP(База_КР_КК[[#This Row],[ИД штатной должности (S)]],'уровень защищенности'!$B$7:$F$1095,5,0),"не защищена")</f>
        <v>высокий</v>
      </c>
      <c r="F1252" s="68">
        <v>500686</v>
      </c>
      <c r="G1252" s="74" t="s">
        <v>2430</v>
      </c>
      <c r="H1252" s="181">
        <f>INDEX('Списки данных'!$D$2:$D$1048576,MATCH(База_КР_КК[[#This Row],[Структурное подразделение]],'Списки данных'!$C$2:$C$1048576,0))</f>
        <v>421</v>
      </c>
      <c r="I1252" s="80" t="s">
        <v>176</v>
      </c>
      <c r="J1252" s="80" t="s">
        <v>210</v>
      </c>
      <c r="K1252" s="80" t="s">
        <v>21</v>
      </c>
      <c r="L1252" s="30" t="s">
        <v>198</v>
      </c>
      <c r="M1252" s="68">
        <v>6</v>
      </c>
      <c r="N1252" s="181" t="str">
        <f t="shared" si="20"/>
        <v>нет</v>
      </c>
      <c r="O1252" s="23"/>
      <c r="P1252" s="23"/>
      <c r="Q1252" s="106"/>
      <c r="R1252" s="37">
        <v>263</v>
      </c>
      <c r="S1252" s="39" t="s">
        <v>675</v>
      </c>
      <c r="T1252" s="37">
        <v>264</v>
      </c>
      <c r="U1252" s="39" t="s">
        <v>676</v>
      </c>
      <c r="V1252" s="89" t="s">
        <v>192</v>
      </c>
      <c r="W1252" s="90" t="s">
        <v>176</v>
      </c>
      <c r="X1252" s="106" t="s">
        <v>295</v>
      </c>
      <c r="Y1252" s="107" t="s">
        <v>12</v>
      </c>
      <c r="Z1252" s="67">
        <f>IF(База_КР_КК[[#This Row],[Таб.номер резервиста]]="-","-",IF(OR(База_КР_КК[[#This Row],[Уровень КК]]=2,База_КР_КК[[#This Row],[Уровень КК]]=3),IF(COUNTIFS($U$2:$U1252,$U1252,$F$2:$F1252,$F1252)=1,1,0),IF(COUNTIFS($U$2:$U1252,$U1252,$L$2:$L1252,$L1252)=1,1,0)))</f>
        <v>1</v>
      </c>
      <c r="AA12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52" s="106"/>
      <c r="AC1252" s="51"/>
      <c r="AD1252" s="106" t="s">
        <v>15</v>
      </c>
      <c r="AE1252" s="38" t="s">
        <v>331</v>
      </c>
    </row>
    <row r="1253" spans="1:31" ht="18" customHeight="1" x14ac:dyDescent="0.25">
      <c r="A12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3" s="79">
        <v>4</v>
      </c>
      <c r="C1253" s="23">
        <v>44866</v>
      </c>
      <c r="D1253" s="67">
        <f>IF(COUNTIF($G$2:$G1253,$G1253)=1,1,0)</f>
        <v>1</v>
      </c>
      <c r="E1253" s="67" t="str">
        <f>IFERROR(VLOOKUP(База_КР_КК[[#This Row],[ИД штатной должности (S)]],'уровень защищенности'!$B$7:$F$1095,5,0),"не защищена")</f>
        <v>средний</v>
      </c>
      <c r="F1253" s="68">
        <v>500692</v>
      </c>
      <c r="G1253" s="74" t="s">
        <v>2431</v>
      </c>
      <c r="H1253" s="181">
        <f>INDEX('Списки данных'!$D$2:$D$1048576,MATCH(База_КР_КК[[#This Row],[Структурное подразделение]],'Списки данных'!$C$2:$C$1048576,0))</f>
        <v>421</v>
      </c>
      <c r="I1253" s="80" t="s">
        <v>176</v>
      </c>
      <c r="J1253" s="80" t="s">
        <v>210</v>
      </c>
      <c r="K1253" s="80" t="s">
        <v>211</v>
      </c>
      <c r="L1253" s="30" t="s">
        <v>192</v>
      </c>
      <c r="M1253" s="68">
        <v>7</v>
      </c>
      <c r="N1253" s="181" t="str">
        <f t="shared" si="20"/>
        <v>нет</v>
      </c>
      <c r="O1253" s="23"/>
      <c r="P1253" s="23"/>
      <c r="Q1253" s="106"/>
      <c r="R1253" s="37">
        <v>264</v>
      </c>
      <c r="S1253" s="38" t="s">
        <v>676</v>
      </c>
      <c r="T1253" s="37">
        <v>1339</v>
      </c>
      <c r="U1253" s="39" t="s">
        <v>1679</v>
      </c>
      <c r="V1253" s="69" t="s">
        <v>272</v>
      </c>
      <c r="W1253" s="90" t="s">
        <v>176</v>
      </c>
      <c r="X1253" s="106" t="s">
        <v>297</v>
      </c>
      <c r="Y1253" s="107" t="s">
        <v>12</v>
      </c>
      <c r="Z1253" s="67">
        <f>IF(База_КР_КК[[#This Row],[Таб.номер резервиста]]="-","-",IF(OR(База_КР_КК[[#This Row],[Уровень КК]]=2,База_КР_КК[[#This Row],[Уровень КК]]=3),IF(COUNTIFS($U$2:$U1253,$U1253,$F$2:$F1253,$F1253)=1,1,0),IF(COUNTIFS($U$2:$U1253,$U1253,$L$2:$L1253,$L1253)=1,1,0)))</f>
        <v>1</v>
      </c>
      <c r="AA12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53" s="106"/>
      <c r="AC1253" s="51"/>
      <c r="AD1253" s="106" t="s">
        <v>15</v>
      </c>
      <c r="AE1253" s="38" t="s">
        <v>340</v>
      </c>
    </row>
    <row r="1254" spans="1:31" ht="18" customHeight="1" x14ac:dyDescent="0.25">
      <c r="A12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4" s="79">
        <v>4</v>
      </c>
      <c r="C1254" s="23">
        <v>44866</v>
      </c>
      <c r="D1254" s="67">
        <f>IF(COUNTIF($G$2:$G1254,$G1254)=1,1,0)</f>
        <v>1</v>
      </c>
      <c r="E1254" s="67" t="str">
        <f>IFERROR(VLOOKUP(База_КР_КК[[#This Row],[ИД штатной должности (S)]],'уровень защищенности'!$B$7:$F$1095,5,0),"не защищена")</f>
        <v>средний</v>
      </c>
      <c r="F1254" s="68">
        <v>500693</v>
      </c>
      <c r="G1254" s="74" t="s">
        <v>2432</v>
      </c>
      <c r="H1254" s="181">
        <f>INDEX('Списки данных'!$D$2:$D$1048576,MATCH(База_КР_КК[[#This Row],[Структурное подразделение]],'Списки данных'!$C$2:$C$1048576,0))</f>
        <v>421</v>
      </c>
      <c r="I1254" s="80" t="s">
        <v>176</v>
      </c>
      <c r="J1254" s="80" t="s">
        <v>210</v>
      </c>
      <c r="K1254" s="80" t="s">
        <v>211</v>
      </c>
      <c r="L1254" s="30" t="s">
        <v>192</v>
      </c>
      <c r="M1254" s="68">
        <v>7</v>
      </c>
      <c r="N1254" s="181" t="str">
        <f t="shared" si="20"/>
        <v>нет</v>
      </c>
      <c r="O1254" s="23"/>
      <c r="P1254" s="23"/>
      <c r="Q1254" s="106"/>
      <c r="R1254" s="37">
        <v>265</v>
      </c>
      <c r="S1254" s="38" t="s">
        <v>677</v>
      </c>
      <c r="T1254" s="37">
        <v>1339</v>
      </c>
      <c r="U1254" s="39" t="s">
        <v>1679</v>
      </c>
      <c r="V1254" s="69" t="s">
        <v>272</v>
      </c>
      <c r="W1254" s="90" t="s">
        <v>176</v>
      </c>
      <c r="X1254" s="106" t="s">
        <v>297</v>
      </c>
      <c r="Y1254" s="107" t="s">
        <v>12</v>
      </c>
      <c r="Z1254" s="67">
        <f>IF(База_КР_КК[[#This Row],[Таб.номер резервиста]]="-","-",IF(OR(База_КР_КК[[#This Row],[Уровень КК]]=2,База_КР_КК[[#This Row],[Уровень КК]]=3),IF(COUNTIFS($U$2:$U1254,$U1254,$F$2:$F1254,$F1254)=1,1,0),IF(COUNTIFS($U$2:$U1254,$U1254,$L$2:$L1254,$L1254)=1,1,0)))</f>
        <v>0</v>
      </c>
      <c r="AA12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54" s="106"/>
      <c r="AC1254" s="51"/>
      <c r="AD1254" s="106" t="s">
        <v>15</v>
      </c>
      <c r="AE1254" s="38" t="s">
        <v>340</v>
      </c>
    </row>
    <row r="1255" spans="1:31" ht="18" customHeight="1" x14ac:dyDescent="0.25">
      <c r="A12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5" s="79">
        <v>3</v>
      </c>
      <c r="C1255" s="23">
        <v>44796</v>
      </c>
      <c r="D1255" s="67">
        <f>IF(COUNTIF($G$2:$G1255,$G1255)=1,1,0)</f>
        <v>1</v>
      </c>
      <c r="E1255" s="67" t="str">
        <f>IFERROR(VLOOKUP(База_КР_КК[[#This Row],[ИД штатной должности (S)]],'уровень защищенности'!$B$7:$F$1095,5,0),"не защищена")</f>
        <v>средний</v>
      </c>
      <c r="F1255" s="68">
        <v>500683</v>
      </c>
      <c r="G1255" s="74" t="s">
        <v>2433</v>
      </c>
      <c r="H1255" s="181">
        <f>INDEX('Списки данных'!$D$2:$D$1048576,MATCH(База_КР_КК[[#This Row],[Структурное подразделение]],'Списки данных'!$C$2:$C$1048576,0))</f>
        <v>421</v>
      </c>
      <c r="I1255" s="80" t="s">
        <v>176</v>
      </c>
      <c r="J1255" s="80" t="s">
        <v>210</v>
      </c>
      <c r="K1255" s="80" t="s">
        <v>21</v>
      </c>
      <c r="L1255" s="30" t="s">
        <v>189</v>
      </c>
      <c r="M1255" s="68">
        <v>6</v>
      </c>
      <c r="N1255" s="181" t="str">
        <f t="shared" si="20"/>
        <v>да</v>
      </c>
      <c r="O1255" s="23">
        <v>44682</v>
      </c>
      <c r="P1255" s="23">
        <v>44798</v>
      </c>
      <c r="Q1255" s="106" t="s">
        <v>66</v>
      </c>
      <c r="R1255" s="37">
        <v>266</v>
      </c>
      <c r="S1255" s="39" t="s">
        <v>678</v>
      </c>
      <c r="T1255" s="37">
        <v>257</v>
      </c>
      <c r="U1255" s="38" t="s">
        <v>669</v>
      </c>
      <c r="V1255" s="89" t="s">
        <v>192</v>
      </c>
      <c r="W1255" s="90" t="s">
        <v>176</v>
      </c>
      <c r="X1255" s="106" t="s">
        <v>297</v>
      </c>
      <c r="Y1255" s="107" t="s">
        <v>12</v>
      </c>
      <c r="Z1255" s="67">
        <f>IF(База_КР_КК[[#This Row],[Таб.номер резервиста]]="-","-",IF(OR(База_КР_КК[[#This Row],[Уровень КК]]=2,База_КР_КК[[#This Row],[Уровень КК]]=3),IF(COUNTIFS($U$2:$U1255,$U1255,$F$2:$F1255,$F1255)=1,1,0),IF(COUNTIFS($U$2:$U1255,$U1255,$L$2:$L1255,$L1255)=1,1,0)))</f>
        <v>1</v>
      </c>
      <c r="AA12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55" s="106"/>
      <c r="AC1255" s="51"/>
      <c r="AD1255" s="106" t="s">
        <v>15</v>
      </c>
      <c r="AE1255" s="38" t="s">
        <v>331</v>
      </c>
    </row>
    <row r="1256" spans="1:31" ht="18" customHeight="1" x14ac:dyDescent="0.25">
      <c r="A12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6" s="79">
        <v>3</v>
      </c>
      <c r="C1256" s="23">
        <v>44796</v>
      </c>
      <c r="D1256" s="67">
        <f>IF(COUNTIF($G$2:$G1256,$G1256)=1,1,0)</f>
        <v>0</v>
      </c>
      <c r="E1256" s="67" t="str">
        <f>IFERROR(VLOOKUP(База_КР_КК[[#This Row],[ИД штатной должности (S)]],'уровень защищенности'!$B$7:$F$1095,5,0),"не защищена")</f>
        <v>средний</v>
      </c>
      <c r="F1256" s="68">
        <v>500683</v>
      </c>
      <c r="G1256" s="74" t="s">
        <v>2433</v>
      </c>
      <c r="H1256" s="181">
        <f>INDEX('Списки данных'!$D$2:$D$1048576,MATCH(База_КР_КК[[#This Row],[Структурное подразделение]],'Списки данных'!$C$2:$C$1048576,0))</f>
        <v>421</v>
      </c>
      <c r="I1256" s="80" t="s">
        <v>176</v>
      </c>
      <c r="J1256" s="80" t="s">
        <v>210</v>
      </c>
      <c r="K1256" s="80" t="s">
        <v>21</v>
      </c>
      <c r="L1256" s="30" t="s">
        <v>189</v>
      </c>
      <c r="M1256" s="68">
        <v>6</v>
      </c>
      <c r="N1256" s="181" t="str">
        <f t="shared" si="20"/>
        <v>да</v>
      </c>
      <c r="O1256" s="23">
        <v>44682</v>
      </c>
      <c r="P1256" s="23">
        <v>44798</v>
      </c>
      <c r="Q1256" s="106" t="s">
        <v>66</v>
      </c>
      <c r="R1256" s="37">
        <v>266</v>
      </c>
      <c r="S1256" s="39" t="s">
        <v>678</v>
      </c>
      <c r="T1256" s="37">
        <v>266</v>
      </c>
      <c r="U1256" s="38" t="s">
        <v>678</v>
      </c>
      <c r="V1256" s="89" t="s">
        <v>189</v>
      </c>
      <c r="W1256" s="90" t="s">
        <v>176</v>
      </c>
      <c r="X1256" s="106" t="s">
        <v>295</v>
      </c>
      <c r="Y1256" s="107" t="s">
        <v>14</v>
      </c>
      <c r="Z1256" s="67">
        <f>IF(База_КР_КК[[#This Row],[Таб.номер резервиста]]="-","-",IF(OR(База_КР_КК[[#This Row],[Уровень КК]]=2,База_КР_КК[[#This Row],[Уровень КК]]=3),IF(COUNTIFS($U$2:$U1256,$U1256,$F$2:$F1256,$F1256)=1,1,0),IF(COUNTIFS($U$2:$U1256,$U1256,$L$2:$L1256,$L1256)=1,1,0)))</f>
        <v>1</v>
      </c>
      <c r="AA12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256" s="106" t="s">
        <v>24</v>
      </c>
      <c r="AC1256" s="51">
        <v>44798</v>
      </c>
      <c r="AD1256" s="106" t="s">
        <v>15</v>
      </c>
      <c r="AE1256" s="38" t="s">
        <v>331</v>
      </c>
    </row>
    <row r="1257" spans="1:31" ht="18" customHeight="1" x14ac:dyDescent="0.25">
      <c r="A12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7" s="79">
        <v>3</v>
      </c>
      <c r="C1257" s="23">
        <v>44796</v>
      </c>
      <c r="D1257" s="67">
        <f>IF(COUNTIF($G$2:$G1257,$G1257)=1,1,0)</f>
        <v>1</v>
      </c>
      <c r="E1257" s="67" t="str">
        <f>IFERROR(VLOOKUP(База_КР_КК[[#This Row],[ИД штатной должности (S)]],'уровень защищенности'!$B$7:$F$1095,5,0),"не защищена")</f>
        <v>низкий</v>
      </c>
      <c r="F1257" s="68">
        <v>500684</v>
      </c>
      <c r="G1257" s="74" t="s">
        <v>2434</v>
      </c>
      <c r="H1257" s="181">
        <f>INDEX('Списки данных'!$D$2:$D$1048576,MATCH(База_КР_КК[[#This Row],[Структурное подразделение]],'Списки данных'!$C$2:$C$1048576,0))</f>
        <v>421</v>
      </c>
      <c r="I1257" s="80" t="s">
        <v>176</v>
      </c>
      <c r="J1257" s="80" t="s">
        <v>210</v>
      </c>
      <c r="K1257" s="80" t="s">
        <v>21</v>
      </c>
      <c r="L1257" s="30" t="s">
        <v>189</v>
      </c>
      <c r="M1257" s="68">
        <v>6</v>
      </c>
      <c r="N1257" s="181" t="str">
        <f t="shared" si="20"/>
        <v>нет</v>
      </c>
      <c r="O1257" s="23"/>
      <c r="P1257" s="23"/>
      <c r="Q1257" s="106"/>
      <c r="R1257" s="37">
        <v>267</v>
      </c>
      <c r="S1257" s="39" t="s">
        <v>679</v>
      </c>
      <c r="T1257" s="37">
        <v>1340</v>
      </c>
      <c r="U1257" s="38" t="s">
        <v>1732</v>
      </c>
      <c r="V1257" s="89" t="s">
        <v>272</v>
      </c>
      <c r="W1257" s="90" t="s">
        <v>176</v>
      </c>
      <c r="X1257" s="106" t="s">
        <v>296</v>
      </c>
      <c r="Y1257" s="107" t="s">
        <v>12</v>
      </c>
      <c r="Z1257" s="67">
        <f>IF(База_КР_КК[[#This Row],[Таб.номер резервиста]]="-","-",IF(OR(База_КР_КК[[#This Row],[Уровень КК]]=2,База_КР_КК[[#This Row],[Уровень КК]]=3),IF(COUNTIFS($U$2:$U1257,$U1257,$F$2:$F1257,$F1257)=1,1,0),IF(COUNTIFS($U$2:$U1257,$U1257,$L$2:$L1257,$L1257)=1,1,0)))</f>
        <v>1</v>
      </c>
      <c r="AA12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57" s="106"/>
      <c r="AC1257" s="51"/>
      <c r="AD1257" s="106" t="s">
        <v>22</v>
      </c>
      <c r="AE1257" s="38" t="s">
        <v>341</v>
      </c>
    </row>
    <row r="1258" spans="1:31" ht="18" customHeight="1" x14ac:dyDescent="0.25">
      <c r="A12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8" s="79">
        <v>3</v>
      </c>
      <c r="C1258" s="23">
        <v>44796</v>
      </c>
      <c r="D1258" s="67">
        <f>IF(COUNTIF($G$2:$G1258,$G1258)=1,1,0)</f>
        <v>1</v>
      </c>
      <c r="E1258" s="67" t="str">
        <f>IFERROR(VLOOKUP(База_КР_КК[[#This Row],[ИД штатной должности (S)]],'уровень защищенности'!$B$7:$F$1095,5,0),"не защищена")</f>
        <v>средний</v>
      </c>
      <c r="F1258" s="68">
        <v>500685</v>
      </c>
      <c r="G1258" s="74" t="s">
        <v>2435</v>
      </c>
      <c r="H1258" s="181">
        <f>INDEX('Списки данных'!$D$2:$D$1048576,MATCH(База_КР_КК[[#This Row],[Структурное подразделение]],'Списки данных'!$C$2:$C$1048576,0))</f>
        <v>421</v>
      </c>
      <c r="I1258" s="80" t="s">
        <v>176</v>
      </c>
      <c r="J1258" s="80" t="s">
        <v>210</v>
      </c>
      <c r="K1258" s="80" t="s">
        <v>21</v>
      </c>
      <c r="L1258" s="30" t="s">
        <v>189</v>
      </c>
      <c r="M1258" s="68">
        <v>6</v>
      </c>
      <c r="N1258" s="181" t="str">
        <f t="shared" si="20"/>
        <v>да</v>
      </c>
      <c r="O1258" s="23">
        <v>44682</v>
      </c>
      <c r="P1258" s="23">
        <v>44798</v>
      </c>
      <c r="Q1258" s="106" t="s">
        <v>66</v>
      </c>
      <c r="R1258" s="37">
        <v>268</v>
      </c>
      <c r="S1258" s="39" t="s">
        <v>680</v>
      </c>
      <c r="T1258" s="37">
        <v>257</v>
      </c>
      <c r="U1258" s="38" t="s">
        <v>669</v>
      </c>
      <c r="V1258" s="89" t="s">
        <v>192</v>
      </c>
      <c r="W1258" s="90" t="s">
        <v>176</v>
      </c>
      <c r="X1258" s="106" t="s">
        <v>297</v>
      </c>
      <c r="Y1258" s="107" t="s">
        <v>12</v>
      </c>
      <c r="Z1258" s="67">
        <f>IF(База_КР_КК[[#This Row],[Таб.номер резервиста]]="-","-",IF(OR(База_КР_КК[[#This Row],[Уровень КК]]=2,База_КР_КК[[#This Row],[Уровень КК]]=3),IF(COUNTIFS($U$2:$U1258,$U1258,$F$2:$F1258,$F1258)=1,1,0),IF(COUNTIFS($U$2:$U1258,$U1258,$L$2:$L1258,$L1258)=1,1,0)))</f>
        <v>1</v>
      </c>
      <c r="AA12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58" s="106"/>
      <c r="AC1258" s="51"/>
      <c r="AD1258" s="106" t="s">
        <v>15</v>
      </c>
      <c r="AE1258" s="38" t="s">
        <v>331</v>
      </c>
    </row>
    <row r="1259" spans="1:31" ht="18" customHeight="1" x14ac:dyDescent="0.25">
      <c r="A12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59" s="79">
        <v>3</v>
      </c>
      <c r="C1259" s="23">
        <v>44796</v>
      </c>
      <c r="D1259" s="67">
        <f>IF(COUNTIF($G$2:$G1259,$G1259)=1,1,0)</f>
        <v>0</v>
      </c>
      <c r="E1259" s="67" t="str">
        <f>IFERROR(VLOOKUP(База_КР_КК[[#This Row],[ИД штатной должности (S)]],'уровень защищенности'!$B$7:$F$1095,5,0),"не защищена")</f>
        <v>средний</v>
      </c>
      <c r="F1259" s="68">
        <v>500685</v>
      </c>
      <c r="G1259" s="74" t="s">
        <v>2435</v>
      </c>
      <c r="H1259" s="181">
        <f>INDEX('Списки данных'!$D$2:$D$1048576,MATCH(База_КР_КК[[#This Row],[Структурное подразделение]],'Списки данных'!$C$2:$C$1048576,0))</f>
        <v>421</v>
      </c>
      <c r="I1259" s="80" t="s">
        <v>176</v>
      </c>
      <c r="J1259" s="80" t="s">
        <v>210</v>
      </c>
      <c r="K1259" s="80" t="s">
        <v>21</v>
      </c>
      <c r="L1259" s="30" t="s">
        <v>189</v>
      </c>
      <c r="M1259" s="68">
        <v>6</v>
      </c>
      <c r="N1259" s="181" t="str">
        <f t="shared" si="20"/>
        <v>да</v>
      </c>
      <c r="O1259" s="23">
        <v>44682</v>
      </c>
      <c r="P1259" s="23">
        <v>44798</v>
      </c>
      <c r="Q1259" s="106" t="s">
        <v>66</v>
      </c>
      <c r="R1259" s="37">
        <v>268</v>
      </c>
      <c r="S1259" s="39" t="s">
        <v>680</v>
      </c>
      <c r="T1259" s="37">
        <v>268</v>
      </c>
      <c r="U1259" s="38" t="s">
        <v>680</v>
      </c>
      <c r="V1259" s="89" t="s">
        <v>192</v>
      </c>
      <c r="W1259" s="90" t="s">
        <v>176</v>
      </c>
      <c r="X1259" s="106" t="s">
        <v>295</v>
      </c>
      <c r="Y1259" s="107" t="s">
        <v>14</v>
      </c>
      <c r="Z1259" s="67">
        <f>IF(База_КР_КК[[#This Row],[Таб.номер резервиста]]="-","-",IF(OR(База_КР_КК[[#This Row],[Уровень КК]]=2,База_КР_КК[[#This Row],[Уровень КК]]=3),IF(COUNTIFS($U$2:$U1259,$U1259,$F$2:$F1259,$F1259)=1,1,0),IF(COUNTIFS($U$2:$U1259,$U1259,$L$2:$L1259,$L1259)=1,1,0)))</f>
        <v>1</v>
      </c>
      <c r="AA12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259" s="106" t="s">
        <v>24</v>
      </c>
      <c r="AC1259" s="51">
        <v>44798</v>
      </c>
      <c r="AD1259" s="106" t="s">
        <v>15</v>
      </c>
      <c r="AE1259" s="38" t="s">
        <v>331</v>
      </c>
    </row>
    <row r="1260" spans="1:31" ht="18" customHeight="1" x14ac:dyDescent="0.25">
      <c r="A12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60" s="79">
        <v>3</v>
      </c>
      <c r="C1260" s="23">
        <v>44796</v>
      </c>
      <c r="D1260" s="67">
        <f>IF(COUNTIF($G$2:$G1260,$G1260)=1,1,0)</f>
        <v>1</v>
      </c>
      <c r="E1260" s="67" t="str">
        <f>IFERROR(VLOOKUP(База_КР_КК[[#This Row],[ИД штатной должности (S)]],'уровень защищенности'!$B$7:$F$1095,5,0),"не защищена")</f>
        <v>средний</v>
      </c>
      <c r="F1260" s="68">
        <v>500169</v>
      </c>
      <c r="G1260" s="74" t="s">
        <v>2436</v>
      </c>
      <c r="H1260" s="181">
        <f>INDEX('Списки данных'!$D$2:$D$1048576,MATCH(База_КР_КК[[#This Row],[Структурное подразделение]],'Списки данных'!$C$2:$C$1048576,0))</f>
        <v>28</v>
      </c>
      <c r="I1260" s="80" t="s">
        <v>164</v>
      </c>
      <c r="J1260" s="80" t="s">
        <v>207</v>
      </c>
      <c r="K1260" s="80" t="s">
        <v>21</v>
      </c>
      <c r="L1260" s="30" t="s">
        <v>189</v>
      </c>
      <c r="M1260" s="79">
        <v>6</v>
      </c>
      <c r="N1260" s="181" t="str">
        <f t="shared" si="20"/>
        <v>да</v>
      </c>
      <c r="O1260" s="23">
        <v>44631</v>
      </c>
      <c r="P1260" s="23">
        <v>44682</v>
      </c>
      <c r="Q1260" s="106" t="s">
        <v>66</v>
      </c>
      <c r="R1260" s="37">
        <v>269</v>
      </c>
      <c r="S1260" s="39" t="s">
        <v>681</v>
      </c>
      <c r="T1260" s="37">
        <v>238</v>
      </c>
      <c r="U1260" s="38" t="s">
        <v>650</v>
      </c>
      <c r="V1260" s="89" t="s">
        <v>192</v>
      </c>
      <c r="W1260" s="83" t="s">
        <v>164</v>
      </c>
      <c r="X1260" s="106" t="s">
        <v>297</v>
      </c>
      <c r="Y1260" s="107" t="s">
        <v>12</v>
      </c>
      <c r="Z1260" s="67">
        <f>IF(База_КР_КК[[#This Row],[Таб.номер резервиста]]="-","-",IF(OR(База_КР_КК[[#This Row],[Уровень КК]]=2,База_КР_КК[[#This Row],[Уровень КК]]=3),IF(COUNTIFS($U$2:$U1260,$U1260,$F$2:$F1260,$F1260)=1,1,0),IF(COUNTIFS($U$2:$U1260,$U1260,$L$2:$L1260,$L1260)=1,1,0)))</f>
        <v>1</v>
      </c>
      <c r="AA12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0" s="106"/>
      <c r="AC1260" s="51"/>
      <c r="AD1260" s="106" t="s">
        <v>15</v>
      </c>
      <c r="AE1260" s="38" t="s">
        <v>331</v>
      </c>
    </row>
    <row r="1261" spans="1:31" ht="18" customHeight="1" x14ac:dyDescent="0.25">
      <c r="A12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61" s="79">
        <v>3</v>
      </c>
      <c r="C1261" s="23">
        <v>44039</v>
      </c>
      <c r="D1261" s="67">
        <f>IF(COUNTIF($G$2:$G1261,$G1261)=1,1,0)</f>
        <v>0</v>
      </c>
      <c r="E1261" s="67" t="str">
        <f>IFERROR(VLOOKUP(База_КР_КК[[#This Row],[ИД штатной должности (S)]],'уровень защищенности'!$B$7:$F$1095,5,0),"не защищена")</f>
        <v>средний</v>
      </c>
      <c r="F1261" s="68">
        <v>500169</v>
      </c>
      <c r="G1261" s="74" t="s">
        <v>2436</v>
      </c>
      <c r="H1261" s="181">
        <f>INDEX('Списки данных'!$D$2:$D$1048576,MATCH(База_КР_КК[[#This Row],[Структурное подразделение]],'Списки данных'!$C$2:$C$1048576,0))</f>
        <v>28</v>
      </c>
      <c r="I1261" s="80" t="s">
        <v>164</v>
      </c>
      <c r="J1261" s="80" t="s">
        <v>207</v>
      </c>
      <c r="K1261" s="80" t="s">
        <v>21</v>
      </c>
      <c r="L1261" s="30" t="s">
        <v>189</v>
      </c>
      <c r="M1261" s="79">
        <v>6</v>
      </c>
      <c r="N1261" s="181" t="str">
        <f t="shared" si="20"/>
        <v>да</v>
      </c>
      <c r="O1261" s="23">
        <v>44631</v>
      </c>
      <c r="P1261" s="23">
        <v>44682</v>
      </c>
      <c r="Q1261" s="106" t="s">
        <v>66</v>
      </c>
      <c r="R1261" s="37">
        <v>269</v>
      </c>
      <c r="S1261" s="38" t="s">
        <v>681</v>
      </c>
      <c r="T1261" s="37">
        <v>1341</v>
      </c>
      <c r="U1261" s="39" t="s">
        <v>1733</v>
      </c>
      <c r="V1261" s="69" t="s">
        <v>186</v>
      </c>
      <c r="W1261" s="83" t="s">
        <v>279</v>
      </c>
      <c r="X1261" s="106" t="s">
        <v>295</v>
      </c>
      <c r="Y1261" s="107" t="s">
        <v>14</v>
      </c>
      <c r="Z1261" s="67">
        <f>IF(База_КР_КК[[#This Row],[Таб.номер резервиста]]="-","-",IF(OR(База_КР_КК[[#This Row],[Уровень КК]]=2,База_КР_КК[[#This Row],[Уровень КК]]=3),IF(COUNTIFS($U$2:$U1261,$U1261,$F$2:$F1261,$F1261)=1,1,0),IF(COUNTIFS($U$2:$U1261,$U1261,$L$2:$L1261,$L1261)=1,1,0)))</f>
        <v>1</v>
      </c>
      <c r="AA12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1" s="106" t="s">
        <v>24</v>
      </c>
      <c r="AC1261" s="51">
        <v>44187</v>
      </c>
      <c r="AD1261" s="106" t="s">
        <v>15</v>
      </c>
      <c r="AE1261" s="38" t="s">
        <v>332</v>
      </c>
    </row>
    <row r="1262" spans="1:31" ht="18" customHeight="1" x14ac:dyDescent="0.25">
      <c r="A12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62" s="79">
        <v>3</v>
      </c>
      <c r="C1262" s="23">
        <v>44369</v>
      </c>
      <c r="D1262" s="67">
        <f>IF(COUNTIF($G$2:$G1262,$G1262)=1,1,0)</f>
        <v>0</v>
      </c>
      <c r="E1262" s="67" t="str">
        <f>IFERROR(VLOOKUP(База_КР_КК[[#This Row],[ИД штатной должности (S)]],'уровень защищенности'!$B$7:$F$1095,5,0),"не защищена")</f>
        <v>средний</v>
      </c>
      <c r="F1262" s="68">
        <v>500169</v>
      </c>
      <c r="G1262" s="74" t="s">
        <v>2436</v>
      </c>
      <c r="H1262" s="181">
        <f>INDEX('Списки данных'!$D$2:$D$1048576,MATCH(База_КР_КК[[#This Row],[Структурное подразделение]],'Списки данных'!$C$2:$C$1048576,0))</f>
        <v>28</v>
      </c>
      <c r="I1262" s="80" t="s">
        <v>164</v>
      </c>
      <c r="J1262" s="80" t="s">
        <v>207</v>
      </c>
      <c r="K1262" s="80" t="s">
        <v>21</v>
      </c>
      <c r="L1262" s="30" t="s">
        <v>189</v>
      </c>
      <c r="M1262" s="79">
        <v>6</v>
      </c>
      <c r="N1262" s="181" t="str">
        <f t="shared" si="20"/>
        <v>да</v>
      </c>
      <c r="O1262" s="23">
        <v>44840</v>
      </c>
      <c r="P1262" s="23">
        <v>44682</v>
      </c>
      <c r="Q1262" s="106" t="s">
        <v>66</v>
      </c>
      <c r="R1262" s="37">
        <v>269</v>
      </c>
      <c r="S1262" s="38" t="s">
        <v>681</v>
      </c>
      <c r="T1262" s="37">
        <v>269</v>
      </c>
      <c r="U1262" s="38" t="s">
        <v>681</v>
      </c>
      <c r="V1262" s="69" t="s">
        <v>189</v>
      </c>
      <c r="W1262" s="83" t="s">
        <v>164</v>
      </c>
      <c r="X1262" s="106" t="s">
        <v>297</v>
      </c>
      <c r="Y1262" s="107" t="s">
        <v>14</v>
      </c>
      <c r="Z1262" s="67">
        <f>IF(База_КР_КК[[#This Row],[Таб.номер резервиста]]="-","-",IF(OR(База_КР_КК[[#This Row],[Уровень КК]]=2,База_КР_КК[[#This Row],[Уровень КК]]=3),IF(COUNTIFS($U$2:$U1262,$U1262,$F$2:$F1262,$F1262)=1,1,0),IF(COUNTIFS($U$2:$U1262,$U1262,$L$2:$L1262,$L1262)=1,1,0)))</f>
        <v>1</v>
      </c>
      <c r="AA12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262" s="106" t="s">
        <v>24</v>
      </c>
      <c r="AC1262" s="51">
        <v>44682</v>
      </c>
      <c r="AD1262" s="106" t="s">
        <v>15</v>
      </c>
      <c r="AE1262" s="38" t="s">
        <v>342</v>
      </c>
    </row>
    <row r="1263" spans="1:31" ht="18" customHeight="1" x14ac:dyDescent="0.25">
      <c r="A12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63" s="79">
        <v>3</v>
      </c>
      <c r="C1263" s="23">
        <v>44796</v>
      </c>
      <c r="D1263" s="67">
        <f>IF(COUNTIF($G$2:$G1263,$G1263)=1,1,0)</f>
        <v>1</v>
      </c>
      <c r="E1263" s="67" t="str">
        <f>IFERROR(VLOOKUP(База_КР_КК[[#This Row],[ИД штатной должности (S)]],'уровень защищенности'!$B$7:$F$1095,5,0),"не защищена")</f>
        <v>высокий</v>
      </c>
      <c r="F1263" s="68">
        <v>500695</v>
      </c>
      <c r="G1263" s="74" t="s">
        <v>2437</v>
      </c>
      <c r="H1263" s="181">
        <f>INDEX('Списки данных'!$D$2:$D$1048576,MATCH(База_КР_КК[[#This Row],[Структурное подразделение]],'Списки данных'!$C$2:$C$1048576,0))</f>
        <v>28</v>
      </c>
      <c r="I1263" s="80" t="s">
        <v>164</v>
      </c>
      <c r="J1263" s="80" t="s">
        <v>207</v>
      </c>
      <c r="K1263" s="80" t="s">
        <v>21</v>
      </c>
      <c r="L1263" s="30" t="s">
        <v>189</v>
      </c>
      <c r="M1263" s="79">
        <v>6</v>
      </c>
      <c r="N1263" s="181" t="str">
        <f t="shared" si="20"/>
        <v>нет</v>
      </c>
      <c r="O1263" s="23"/>
      <c r="P1263" s="23"/>
      <c r="Q1263" s="106"/>
      <c r="R1263" s="37">
        <v>270</v>
      </c>
      <c r="S1263" s="39" t="s">
        <v>682</v>
      </c>
      <c r="T1263" s="37">
        <v>238</v>
      </c>
      <c r="U1263" s="38" t="s">
        <v>650</v>
      </c>
      <c r="V1263" s="89" t="s">
        <v>192</v>
      </c>
      <c r="W1263" s="83" t="s">
        <v>164</v>
      </c>
      <c r="X1263" s="106" t="s">
        <v>295</v>
      </c>
      <c r="Y1263" s="107" t="s">
        <v>12</v>
      </c>
      <c r="Z1263" s="67">
        <f>IF(База_КР_КК[[#This Row],[Таб.номер резервиста]]="-","-",IF(OR(База_КР_КК[[#This Row],[Уровень КК]]=2,База_КР_КК[[#This Row],[Уровень КК]]=3),IF(COUNTIFS($U$2:$U1263,$U1263,$F$2:$F1263,$F1263)=1,1,0),IF(COUNTIFS($U$2:$U1263,$U1263,$L$2:$L1263,$L1263)=1,1,0)))</f>
        <v>1</v>
      </c>
      <c r="AA12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3" s="106"/>
      <c r="AC1263" s="51"/>
      <c r="AD1263" s="106" t="s">
        <v>15</v>
      </c>
      <c r="AE1263" s="38" t="s">
        <v>331</v>
      </c>
    </row>
    <row r="1264" spans="1:31" ht="18" customHeight="1" x14ac:dyDescent="0.25">
      <c r="A12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64" s="79">
        <v>3</v>
      </c>
      <c r="C1264" s="23">
        <v>44796</v>
      </c>
      <c r="D1264" s="67">
        <f>IF(COUNTIF($G$2:$G1264,$G1264)=1,1,0)</f>
        <v>1</v>
      </c>
      <c r="E1264" s="67" t="str">
        <f>IFERROR(VLOOKUP(База_КР_КК[[#This Row],[ИД штатной должности (S)]],'уровень защищенности'!$B$7:$F$1095,5,0),"не защищена")</f>
        <v>высокий</v>
      </c>
      <c r="F1264" s="68">
        <v>500696</v>
      </c>
      <c r="G1264" s="74" t="s">
        <v>2438</v>
      </c>
      <c r="H1264" s="181">
        <f>INDEX('Списки данных'!$D$2:$D$1048576,MATCH(База_КР_КК[[#This Row],[Структурное подразделение]],'Списки данных'!$C$2:$C$1048576,0))</f>
        <v>28</v>
      </c>
      <c r="I1264" s="80" t="s">
        <v>164</v>
      </c>
      <c r="J1264" s="80" t="s">
        <v>207</v>
      </c>
      <c r="K1264" s="80" t="s">
        <v>21</v>
      </c>
      <c r="L1264" s="30" t="s">
        <v>187</v>
      </c>
      <c r="M1264" s="79">
        <v>6</v>
      </c>
      <c r="N1264" s="181" t="str">
        <f t="shared" si="20"/>
        <v>нет</v>
      </c>
      <c r="O1264" s="23"/>
      <c r="P1264" s="23"/>
      <c r="Q1264" s="106"/>
      <c r="R1264" s="37">
        <v>271</v>
      </c>
      <c r="S1264" s="39" t="s">
        <v>683</v>
      </c>
      <c r="T1264" s="37">
        <v>269</v>
      </c>
      <c r="U1264" s="38" t="s">
        <v>681</v>
      </c>
      <c r="V1264" s="69" t="s">
        <v>189</v>
      </c>
      <c r="W1264" s="83" t="s">
        <v>164</v>
      </c>
      <c r="X1264" s="106" t="s">
        <v>297</v>
      </c>
      <c r="Y1264" s="107" t="s">
        <v>12</v>
      </c>
      <c r="Z1264" s="67">
        <f>IF(База_КР_КК[[#This Row],[Таб.номер резервиста]]="-","-",IF(OR(База_КР_КК[[#This Row],[Уровень КК]]=2,База_КР_КК[[#This Row],[Уровень КК]]=3),IF(COUNTIFS($U$2:$U1264,$U1264,$F$2:$F1264,$F1264)=1,1,0),IF(COUNTIFS($U$2:$U1264,$U1264,$L$2:$L1264,$L1264)=1,1,0)))</f>
        <v>1</v>
      </c>
      <c r="AA12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4" s="106"/>
      <c r="AC1264" s="51"/>
      <c r="AD1264" s="106" t="s">
        <v>15</v>
      </c>
      <c r="AE1264" s="38" t="s">
        <v>331</v>
      </c>
    </row>
    <row r="1265" spans="1:31" ht="18" customHeight="1" x14ac:dyDescent="0.25">
      <c r="A12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65" s="79">
        <v>3</v>
      </c>
      <c r="C1265" s="23">
        <v>44796</v>
      </c>
      <c r="D1265" s="67">
        <f>IF(COUNTIF($G$2:$G1265,$G1265)=1,1,0)</f>
        <v>0</v>
      </c>
      <c r="E1265" s="67" t="str">
        <f>IFERROR(VLOOKUP(База_КР_КК[[#This Row],[ИД штатной должности (S)]],'уровень защищенности'!$B$7:$F$1095,5,0),"не защищена")</f>
        <v>высокий</v>
      </c>
      <c r="F1265" s="68">
        <v>500696</v>
      </c>
      <c r="G1265" s="74" t="s">
        <v>2438</v>
      </c>
      <c r="H1265" s="181">
        <f>INDEX('Списки данных'!$D$2:$D$1048576,MATCH(База_КР_КК[[#This Row],[Структурное подразделение]],'Списки данных'!$C$2:$C$1048576,0))</f>
        <v>28</v>
      </c>
      <c r="I1265" s="80" t="s">
        <v>164</v>
      </c>
      <c r="J1265" s="80" t="s">
        <v>207</v>
      </c>
      <c r="K1265" s="80" t="s">
        <v>21</v>
      </c>
      <c r="L1265" s="30" t="s">
        <v>187</v>
      </c>
      <c r="M1265" s="79">
        <v>6</v>
      </c>
      <c r="N1265" s="181" t="str">
        <f t="shared" si="20"/>
        <v>нет</v>
      </c>
      <c r="O1265" s="23"/>
      <c r="P1265" s="23"/>
      <c r="Q1265" s="106"/>
      <c r="R1265" s="37">
        <v>271</v>
      </c>
      <c r="S1265" s="39" t="s">
        <v>683</v>
      </c>
      <c r="T1265" s="37">
        <v>226</v>
      </c>
      <c r="U1265" s="38" t="s">
        <v>638</v>
      </c>
      <c r="V1265" s="69" t="s">
        <v>186</v>
      </c>
      <c r="W1265" s="83" t="s">
        <v>164</v>
      </c>
      <c r="X1265" s="106" t="s">
        <v>295</v>
      </c>
      <c r="Y1265" s="107" t="s">
        <v>12</v>
      </c>
      <c r="Z1265" s="67">
        <f>IF(База_КР_КК[[#This Row],[Таб.номер резервиста]]="-","-",IF(OR(База_КР_КК[[#This Row],[Уровень КК]]=2,База_КР_КК[[#This Row],[Уровень КК]]=3),IF(COUNTIFS($U$2:$U1265,$U1265,$F$2:$F1265,$F1265)=1,1,0),IF(COUNTIFS($U$2:$U1265,$U1265,$L$2:$L1265,$L1265)=1,1,0)))</f>
        <v>1</v>
      </c>
      <c r="AA12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5" s="106"/>
      <c r="AC1265" s="51"/>
      <c r="AD1265" s="106" t="s">
        <v>15</v>
      </c>
      <c r="AE1265" s="38" t="s">
        <v>331</v>
      </c>
    </row>
    <row r="1266" spans="1:31" ht="18" customHeight="1" x14ac:dyDescent="0.25">
      <c r="A12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66" s="79">
        <v>4</v>
      </c>
      <c r="C1266" s="23">
        <v>44873</v>
      </c>
      <c r="D1266" s="67">
        <f>IF(COUNTIF($G$2:$G1266,$G1266)=1,1,0)</f>
        <v>1</v>
      </c>
      <c r="E1266" s="67" t="str">
        <f>IFERROR(VLOOKUP(База_КР_КК[[#This Row],[ИД штатной должности (S)]],'уровень защищенности'!$B$7:$F$1095,5,0),"не защищена")</f>
        <v>высокий</v>
      </c>
      <c r="F1266" s="68">
        <v>500697</v>
      </c>
      <c r="G1266" s="74" t="s">
        <v>2439</v>
      </c>
      <c r="H1266" s="181">
        <f>INDEX('Списки данных'!$D$2:$D$1048576,MATCH(База_КР_КК[[#This Row],[Структурное подразделение]],'Списки данных'!$C$2:$C$1048576,0))</f>
        <v>28</v>
      </c>
      <c r="I1266" s="80" t="s">
        <v>164</v>
      </c>
      <c r="J1266" s="80" t="s">
        <v>207</v>
      </c>
      <c r="K1266" s="80" t="s">
        <v>21</v>
      </c>
      <c r="L1266" s="30" t="s">
        <v>189</v>
      </c>
      <c r="M1266" s="79">
        <v>7</v>
      </c>
      <c r="N1266" s="181" t="str">
        <f t="shared" si="20"/>
        <v>да</v>
      </c>
      <c r="O1266" s="23">
        <v>44967</v>
      </c>
      <c r="P1266" s="23"/>
      <c r="Q1266" s="106"/>
      <c r="R1266" s="37" t="s">
        <v>23</v>
      </c>
      <c r="S1266" s="37" t="s">
        <v>23</v>
      </c>
      <c r="T1266" s="37">
        <v>1342</v>
      </c>
      <c r="U1266" s="38" t="s">
        <v>1734</v>
      </c>
      <c r="V1266" s="69" t="s">
        <v>272</v>
      </c>
      <c r="W1266" s="69" t="s">
        <v>164</v>
      </c>
      <c r="X1266" s="106" t="s">
        <v>295</v>
      </c>
      <c r="Y1266" s="107" t="s">
        <v>12</v>
      </c>
      <c r="Z1266" s="67">
        <f>IF(База_КР_КК[[#This Row],[Таб.номер резервиста]]="-","-",IF(OR(База_КР_КК[[#This Row],[Уровень КК]]=2,База_КР_КК[[#This Row],[Уровень КК]]=3),IF(COUNTIFS($U$2:$U1266,$U1266,$F$2:$F1266,$F1266)=1,1,0),IF(COUNTIFS($U$2:$U1266,$U1266,$L$2:$L1266,$L1266)=1,1,0)))</f>
        <v>1</v>
      </c>
      <c r="AA12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6" s="106"/>
      <c r="AC1266" s="51"/>
      <c r="AD1266" s="106" t="s">
        <v>15</v>
      </c>
      <c r="AE1266" s="38" t="s">
        <v>333</v>
      </c>
    </row>
    <row r="1267" spans="1:31" ht="18" customHeight="1" x14ac:dyDescent="0.25">
      <c r="A12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1267" s="79">
        <v>4</v>
      </c>
      <c r="C1267" s="23">
        <v>44873</v>
      </c>
      <c r="D1267" s="67">
        <f>IF(COUNTIF($G$2:$G1267,$G1267)=1,1,0)</f>
        <v>1</v>
      </c>
      <c r="E1267" s="67" t="str">
        <f>IFERROR(VLOOKUP(База_КР_КК[[#This Row],[ИД штатной должности (S)]],'уровень защищенности'!$B$7:$F$1095,5,0),"не защищена")</f>
        <v>средний</v>
      </c>
      <c r="F1267" s="68">
        <v>500698</v>
      </c>
      <c r="G1267" s="74" t="s">
        <v>2440</v>
      </c>
      <c r="H1267" s="181">
        <f>INDEX('Списки данных'!$D$2:$D$1048576,MATCH(База_КР_КК[[#This Row],[Структурное подразделение]],'Списки данных'!$C$2:$C$1048576,0))</f>
        <v>28</v>
      </c>
      <c r="I1267" s="80" t="s">
        <v>164</v>
      </c>
      <c r="J1267" s="80" t="s">
        <v>207</v>
      </c>
      <c r="K1267" s="80" t="s">
        <v>21</v>
      </c>
      <c r="L1267" s="30" t="s">
        <v>189</v>
      </c>
      <c r="M1267" s="79">
        <v>7</v>
      </c>
      <c r="N1267" s="181" t="str">
        <f t="shared" si="20"/>
        <v>нет</v>
      </c>
      <c r="O1267" s="23"/>
      <c r="P1267" s="23"/>
      <c r="Q1267" s="106"/>
      <c r="R1267" s="37">
        <v>272</v>
      </c>
      <c r="S1267" s="39" t="s">
        <v>684</v>
      </c>
      <c r="T1267" s="37">
        <v>238</v>
      </c>
      <c r="U1267" s="38" t="s">
        <v>650</v>
      </c>
      <c r="V1267" s="69" t="s">
        <v>192</v>
      </c>
      <c r="W1267" s="69" t="s">
        <v>164</v>
      </c>
      <c r="X1267" s="106" t="s">
        <v>297</v>
      </c>
      <c r="Y1267" s="107" t="s">
        <v>12</v>
      </c>
      <c r="Z1267" s="67">
        <f>IF(База_КР_КК[[#This Row],[Таб.номер резервиста]]="-","-",IF(OR(База_КР_КК[[#This Row],[Уровень КК]]=2,База_КР_КК[[#This Row],[Уровень КК]]=3),IF(COUNTIFS($U$2:$U1267,$U1267,$F$2:$F1267,$F1267)=1,1,0),IF(COUNTIFS($U$2:$U1267,$U1267,$L$2:$L1267,$L1267)=1,1,0)))</f>
        <v>0</v>
      </c>
      <c r="AA12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7" s="106"/>
      <c r="AC1267" s="51"/>
      <c r="AD1267" s="106" t="s">
        <v>15</v>
      </c>
      <c r="AE1267" s="38" t="s">
        <v>333</v>
      </c>
    </row>
    <row r="1268" spans="1:31" ht="18" customHeight="1" x14ac:dyDescent="0.25">
      <c r="A12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68" s="79">
        <v>4</v>
      </c>
      <c r="C1268" s="23">
        <v>44425</v>
      </c>
      <c r="D1268" s="67">
        <f>IF(COUNTIF($G$2:$G1268,$G1268)=1,1,0)</f>
        <v>1</v>
      </c>
      <c r="E1268" s="67" t="str">
        <f>IFERROR(VLOOKUP(База_КР_КК[[#This Row],[ИД штатной должности (S)]],'уровень защищенности'!$B$7:$F$1095,5,0),"не защищена")</f>
        <v>средний</v>
      </c>
      <c r="F1268" s="68">
        <v>500280</v>
      </c>
      <c r="G1268" s="74" t="s">
        <v>2441</v>
      </c>
      <c r="H1268" s="181">
        <f>INDEX('Списки данных'!$D$2:$D$1048576,MATCH(База_КР_КК[[#This Row],[Структурное подразделение]],'Списки данных'!$C$2:$C$1048576,0))</f>
        <v>13</v>
      </c>
      <c r="I1268" s="80" t="s">
        <v>173</v>
      </c>
      <c r="J1268" s="80" t="s">
        <v>212</v>
      </c>
      <c r="K1268" s="80" t="s">
        <v>213</v>
      </c>
      <c r="L1268" s="30" t="s">
        <v>192</v>
      </c>
      <c r="M1268" s="68">
        <v>7</v>
      </c>
      <c r="N1268" s="181" t="str">
        <f t="shared" si="20"/>
        <v>нет</v>
      </c>
      <c r="O1268" s="23"/>
      <c r="P1268" s="23"/>
      <c r="Q1268" s="106"/>
      <c r="R1268" s="37">
        <v>273</v>
      </c>
      <c r="S1268" s="38" t="s">
        <v>685</v>
      </c>
      <c r="T1268" s="37">
        <v>1343</v>
      </c>
      <c r="U1268" s="39" t="s">
        <v>1735</v>
      </c>
      <c r="V1268" s="69" t="s">
        <v>272</v>
      </c>
      <c r="W1268" s="89" t="s">
        <v>173</v>
      </c>
      <c r="X1268" s="106" t="s">
        <v>297</v>
      </c>
      <c r="Y1268" s="107" t="s">
        <v>12</v>
      </c>
      <c r="Z1268" s="67">
        <f>IF(База_КР_КК[[#This Row],[Таб.номер резервиста]]="-","-",IF(OR(База_КР_КК[[#This Row],[Уровень КК]]=2,База_КР_КК[[#This Row],[Уровень КК]]=3),IF(COUNTIFS($U$2:$U1268,$U1268,$F$2:$F1268,$F1268)=1,1,0),IF(COUNTIFS($U$2:$U1268,$U1268,$L$2:$L1268,$L1268)=1,1,0)))</f>
        <v>1</v>
      </c>
      <c r="AA12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8" s="106"/>
      <c r="AC1268" s="51"/>
      <c r="AD1268" s="106" t="s">
        <v>15</v>
      </c>
      <c r="AE1268" s="38" t="s">
        <v>343</v>
      </c>
    </row>
    <row r="1269" spans="1:31" ht="18" customHeight="1" x14ac:dyDescent="0.25">
      <c r="A12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69" s="79">
        <v>4</v>
      </c>
      <c r="C1269" s="23">
        <v>44890</v>
      </c>
      <c r="D1269" s="67">
        <f>IF(COUNTIF($G$2:$G1269,$G1269)=1,1,0)</f>
        <v>0</v>
      </c>
      <c r="E1269" s="67" t="str">
        <f>IFERROR(VLOOKUP(База_КР_КК[[#This Row],[ИД штатной должности (S)]],'уровень защищенности'!$B$7:$F$1095,5,0),"не защищена")</f>
        <v>средний</v>
      </c>
      <c r="F1269" s="68">
        <v>500280</v>
      </c>
      <c r="G1269" s="74" t="s">
        <v>2441</v>
      </c>
      <c r="H1269" s="181">
        <f>INDEX('Списки данных'!$D$2:$D$1048576,MATCH(База_КР_КК[[#This Row],[Структурное подразделение]],'Списки данных'!$C$2:$C$1048576,0))</f>
        <v>13</v>
      </c>
      <c r="I1269" s="80" t="s">
        <v>173</v>
      </c>
      <c r="J1269" s="80" t="s">
        <v>212</v>
      </c>
      <c r="K1269" s="80" t="s">
        <v>213</v>
      </c>
      <c r="L1269" s="30" t="s">
        <v>192</v>
      </c>
      <c r="M1269" s="68">
        <v>7</v>
      </c>
      <c r="N1269" s="181" t="str">
        <f t="shared" si="20"/>
        <v>нет</v>
      </c>
      <c r="O1269" s="23"/>
      <c r="P1269" s="23"/>
      <c r="Q1269" s="106"/>
      <c r="R1269" s="37">
        <v>273</v>
      </c>
      <c r="S1269" s="38" t="s">
        <v>685</v>
      </c>
      <c r="T1269" s="37">
        <v>1344</v>
      </c>
      <c r="U1269" s="39" t="s">
        <v>1606</v>
      </c>
      <c r="V1269" s="89" t="s">
        <v>272</v>
      </c>
      <c r="W1269" s="89" t="s">
        <v>173</v>
      </c>
      <c r="X1269" s="106" t="s">
        <v>296</v>
      </c>
      <c r="Y1269" s="107" t="s">
        <v>12</v>
      </c>
      <c r="Z1269" s="67">
        <f>IF(База_КР_КК[[#This Row],[Таб.номер резервиста]]="-","-",IF(OR(База_КР_КК[[#This Row],[Уровень КК]]=2,База_КР_КК[[#This Row],[Уровень КК]]=3),IF(COUNTIFS($U$2:$U1269,$U1269,$F$2:$F1269,$F1269)=1,1,0),IF(COUNTIFS($U$2:$U1269,$U1269,$L$2:$L1269,$L1269)=1,1,0)))</f>
        <v>0</v>
      </c>
      <c r="AA12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69" s="106"/>
      <c r="AC1269" s="51"/>
      <c r="AD1269" s="106" t="s">
        <v>15</v>
      </c>
      <c r="AE1269" s="38" t="s">
        <v>344</v>
      </c>
    </row>
    <row r="1270" spans="1:31" ht="18" customHeight="1" x14ac:dyDescent="0.25">
      <c r="A12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0" s="79">
        <v>4</v>
      </c>
      <c r="C1270" s="23">
        <v>44425</v>
      </c>
      <c r="D1270" s="67">
        <f>IF(COUNTIF($G$2:$G1270,$G1270)=1,1,0)</f>
        <v>1</v>
      </c>
      <c r="E1270" s="67" t="str">
        <f>IFERROR(VLOOKUP(База_КР_КК[[#This Row],[ИД штатной должности (S)]],'уровень защищенности'!$B$7:$F$1095,5,0),"не защищена")</f>
        <v>средний</v>
      </c>
      <c r="F1270" s="68">
        <v>500281</v>
      </c>
      <c r="G1270" s="74" t="s">
        <v>2442</v>
      </c>
      <c r="H1270" s="181">
        <f>INDEX('Списки данных'!$D$2:$D$1048576,MATCH(База_КР_КК[[#This Row],[Структурное подразделение]],'Списки данных'!$C$2:$C$1048576,0))</f>
        <v>13</v>
      </c>
      <c r="I1270" s="80" t="s">
        <v>173</v>
      </c>
      <c r="J1270" s="80" t="s">
        <v>212</v>
      </c>
      <c r="K1270" s="80" t="s">
        <v>213</v>
      </c>
      <c r="L1270" s="30" t="s">
        <v>192</v>
      </c>
      <c r="M1270" s="68">
        <v>7</v>
      </c>
      <c r="N1270" s="181" t="str">
        <f t="shared" si="20"/>
        <v>нет</v>
      </c>
      <c r="O1270" s="23"/>
      <c r="P1270" s="23"/>
      <c r="Q1270" s="106"/>
      <c r="R1270" s="37">
        <v>274</v>
      </c>
      <c r="S1270" s="38" t="s">
        <v>686</v>
      </c>
      <c r="T1270" s="37">
        <v>1345</v>
      </c>
      <c r="U1270" s="39" t="s">
        <v>1736</v>
      </c>
      <c r="V1270" s="69" t="s">
        <v>272</v>
      </c>
      <c r="W1270" s="89" t="s">
        <v>173</v>
      </c>
      <c r="X1270" s="106" t="s">
        <v>297</v>
      </c>
      <c r="Y1270" s="107" t="s">
        <v>12</v>
      </c>
      <c r="Z1270" s="67">
        <f>IF(База_КР_КК[[#This Row],[Таб.номер резервиста]]="-","-",IF(OR(База_КР_КК[[#This Row],[Уровень КК]]=2,База_КР_КК[[#This Row],[Уровень КК]]=3),IF(COUNTIFS($U$2:$U1270,$U1270,$F$2:$F1270,$F1270)=1,1,0),IF(COUNTIFS($U$2:$U1270,$U1270,$L$2:$L1270,$L1270)=1,1,0)))</f>
        <v>1</v>
      </c>
      <c r="AA12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0" s="106"/>
      <c r="AC1270" s="51"/>
      <c r="AD1270" s="106" t="s">
        <v>15</v>
      </c>
      <c r="AE1270" s="38" t="s">
        <v>343</v>
      </c>
    </row>
    <row r="1271" spans="1:31" ht="18" customHeight="1" x14ac:dyDescent="0.25">
      <c r="A12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1" s="79">
        <v>4</v>
      </c>
      <c r="C1271" s="23">
        <v>44890</v>
      </c>
      <c r="D1271" s="67">
        <f>IF(COUNTIF($G$2:$G1271,$G1271)=1,1,0)</f>
        <v>0</v>
      </c>
      <c r="E1271" s="67" t="str">
        <f>IFERROR(VLOOKUP(База_КР_КК[[#This Row],[ИД штатной должности (S)]],'уровень защищенности'!$B$7:$F$1095,5,0),"не защищена")</f>
        <v>средний</v>
      </c>
      <c r="F1271" s="68">
        <v>500281</v>
      </c>
      <c r="G1271" s="74" t="s">
        <v>2442</v>
      </c>
      <c r="H1271" s="181">
        <f>INDEX('Списки данных'!$D$2:$D$1048576,MATCH(База_КР_КК[[#This Row],[Структурное подразделение]],'Списки данных'!$C$2:$C$1048576,0))</f>
        <v>13</v>
      </c>
      <c r="I1271" s="80" t="s">
        <v>173</v>
      </c>
      <c r="J1271" s="80" t="s">
        <v>212</v>
      </c>
      <c r="K1271" s="80" t="s">
        <v>213</v>
      </c>
      <c r="L1271" s="30" t="s">
        <v>192</v>
      </c>
      <c r="M1271" s="68">
        <v>7</v>
      </c>
      <c r="N1271" s="181" t="str">
        <f t="shared" si="20"/>
        <v>нет</v>
      </c>
      <c r="O1271" s="23"/>
      <c r="P1271" s="23"/>
      <c r="Q1271" s="106"/>
      <c r="R1271" s="37">
        <v>274</v>
      </c>
      <c r="S1271" s="38" t="s">
        <v>686</v>
      </c>
      <c r="T1271" s="37">
        <v>1346</v>
      </c>
      <c r="U1271" s="39" t="s">
        <v>1737</v>
      </c>
      <c r="V1271" s="69" t="s">
        <v>272</v>
      </c>
      <c r="W1271" s="89" t="s">
        <v>173</v>
      </c>
      <c r="X1271" s="106" t="s">
        <v>297</v>
      </c>
      <c r="Y1271" s="107" t="s">
        <v>12</v>
      </c>
      <c r="Z1271" s="67">
        <f>IF(База_КР_КК[[#This Row],[Таб.номер резервиста]]="-","-",IF(OR(База_КР_КК[[#This Row],[Уровень КК]]=2,База_КР_КК[[#This Row],[Уровень КК]]=3),IF(COUNTIFS($U$2:$U1271,$U1271,$F$2:$F1271,$F1271)=1,1,0),IF(COUNTIFS($U$2:$U1271,$U1271,$L$2:$L1271,$L1271)=1,1,0)))</f>
        <v>1</v>
      </c>
      <c r="AA12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1" s="106"/>
      <c r="AC1271" s="51"/>
      <c r="AD1271" s="106" t="s">
        <v>15</v>
      </c>
      <c r="AE1271" s="38" t="s">
        <v>344</v>
      </c>
    </row>
    <row r="1272" spans="1:31" ht="18" customHeight="1" x14ac:dyDescent="0.25">
      <c r="A12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2" s="79">
        <v>4</v>
      </c>
      <c r="C1272" s="23">
        <v>44890</v>
      </c>
      <c r="D1272" s="67">
        <f>IF(COUNTIF($G$2:$G1272,$G1272)=1,1,0)</f>
        <v>0</v>
      </c>
      <c r="E1272" s="67" t="str">
        <f>IFERROR(VLOOKUP(База_КР_КК[[#This Row],[ИД штатной должности (S)]],'уровень защищенности'!$B$7:$F$1095,5,0),"не защищена")</f>
        <v>средний</v>
      </c>
      <c r="F1272" s="68">
        <v>500281</v>
      </c>
      <c r="G1272" s="74" t="s">
        <v>2442</v>
      </c>
      <c r="H1272" s="181">
        <f>INDEX('Списки данных'!$D$2:$D$1048576,MATCH(База_КР_КК[[#This Row],[Структурное подразделение]],'Списки данных'!$C$2:$C$1048576,0))</f>
        <v>13</v>
      </c>
      <c r="I1272" s="80" t="s">
        <v>173</v>
      </c>
      <c r="J1272" s="80" t="s">
        <v>212</v>
      </c>
      <c r="K1272" s="80" t="s">
        <v>213</v>
      </c>
      <c r="L1272" s="30" t="s">
        <v>192</v>
      </c>
      <c r="M1272" s="68">
        <v>7</v>
      </c>
      <c r="N1272" s="181" t="str">
        <f t="shared" si="20"/>
        <v>нет</v>
      </c>
      <c r="O1272" s="23"/>
      <c r="P1272" s="23"/>
      <c r="Q1272" s="106"/>
      <c r="R1272" s="37">
        <v>274</v>
      </c>
      <c r="S1272" s="38" t="s">
        <v>686</v>
      </c>
      <c r="T1272" s="37">
        <v>1347</v>
      </c>
      <c r="U1272" s="39" t="s">
        <v>1738</v>
      </c>
      <c r="V1272" s="69" t="s">
        <v>272</v>
      </c>
      <c r="W1272" s="89" t="s">
        <v>173</v>
      </c>
      <c r="X1272" s="106" t="s">
        <v>297</v>
      </c>
      <c r="Y1272" s="107" t="s">
        <v>12</v>
      </c>
      <c r="Z1272" s="67">
        <f>IF(База_КР_КК[[#This Row],[Таб.номер резервиста]]="-","-",IF(OR(База_КР_КК[[#This Row],[Уровень КК]]=2,База_КР_КК[[#This Row],[Уровень КК]]=3),IF(COUNTIFS($U$2:$U1272,$U1272,$F$2:$F1272,$F1272)=1,1,0),IF(COUNTIFS($U$2:$U1272,$U1272,$L$2:$L1272,$L1272)=1,1,0)))</f>
        <v>1</v>
      </c>
      <c r="AA12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2" s="106"/>
      <c r="AC1272" s="51"/>
      <c r="AD1272" s="106" t="s">
        <v>15</v>
      </c>
      <c r="AE1272" s="38" t="s">
        <v>344</v>
      </c>
    </row>
    <row r="1273" spans="1:31" ht="18" customHeight="1" x14ac:dyDescent="0.25">
      <c r="A12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3" s="79">
        <v>4</v>
      </c>
      <c r="C1273" s="23">
        <v>44425</v>
      </c>
      <c r="D1273" s="67">
        <f>IF(COUNTIF($G$2:$G1273,$G1273)=1,1,0)</f>
        <v>1</v>
      </c>
      <c r="E1273" s="67" t="str">
        <f>IFERROR(VLOOKUP(База_КР_КК[[#This Row],[ИД штатной должности (S)]],'уровень защищенности'!$B$7:$F$1095,5,0),"не защищена")</f>
        <v>высокий</v>
      </c>
      <c r="F1273" s="68">
        <v>500282</v>
      </c>
      <c r="G1273" s="74" t="s">
        <v>2443</v>
      </c>
      <c r="H1273" s="181">
        <f>INDEX('Списки данных'!$D$2:$D$1048576,MATCH(База_КР_КК[[#This Row],[Структурное подразделение]],'Списки данных'!$C$2:$C$1048576,0))</f>
        <v>13</v>
      </c>
      <c r="I1273" s="80" t="s">
        <v>173</v>
      </c>
      <c r="J1273" s="80" t="s">
        <v>212</v>
      </c>
      <c r="K1273" s="80" t="s">
        <v>213</v>
      </c>
      <c r="L1273" s="30" t="s">
        <v>192</v>
      </c>
      <c r="M1273" s="68">
        <v>7</v>
      </c>
      <c r="N1273" s="181" t="str">
        <f t="shared" si="20"/>
        <v>нет</v>
      </c>
      <c r="O1273" s="23"/>
      <c r="P1273" s="23"/>
      <c r="Q1273" s="106"/>
      <c r="R1273" s="37">
        <v>275</v>
      </c>
      <c r="S1273" s="38" t="s">
        <v>687</v>
      </c>
      <c r="T1273" s="37">
        <v>1348</v>
      </c>
      <c r="U1273" s="39" t="s">
        <v>1739</v>
      </c>
      <c r="V1273" s="69" t="s">
        <v>272</v>
      </c>
      <c r="W1273" s="89" t="s">
        <v>173</v>
      </c>
      <c r="X1273" s="106" t="s">
        <v>295</v>
      </c>
      <c r="Y1273" s="107" t="s">
        <v>12</v>
      </c>
      <c r="Z1273" s="67">
        <f>IF(База_КР_КК[[#This Row],[Таб.номер резервиста]]="-","-",IF(OR(База_КР_КК[[#This Row],[Уровень КК]]=2,База_КР_КК[[#This Row],[Уровень КК]]=3),IF(COUNTIFS($U$2:$U1273,$U1273,$F$2:$F1273,$F1273)=1,1,0),IF(COUNTIFS($U$2:$U1273,$U1273,$L$2:$L1273,$L1273)=1,1,0)))</f>
        <v>1</v>
      </c>
      <c r="AA12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3" s="106"/>
      <c r="AC1273" s="51"/>
      <c r="AD1273" s="106" t="s">
        <v>15</v>
      </c>
      <c r="AE1273" s="38" t="s">
        <v>343</v>
      </c>
    </row>
    <row r="1274" spans="1:31" ht="18" customHeight="1" x14ac:dyDescent="0.25">
      <c r="A12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4" s="79">
        <v>4</v>
      </c>
      <c r="C1274" s="23">
        <v>44890</v>
      </c>
      <c r="D1274" s="67">
        <f>IF(COUNTIF($G$2:$G1274,$G1274)=1,1,0)</f>
        <v>0</v>
      </c>
      <c r="E1274" s="67" t="str">
        <f>IFERROR(VLOOKUP(База_КР_КК[[#This Row],[ИД штатной должности (S)]],'уровень защищенности'!$B$7:$F$1095,5,0),"не защищена")</f>
        <v>высокий</v>
      </c>
      <c r="F1274" s="68">
        <v>500282</v>
      </c>
      <c r="G1274" s="74" t="s">
        <v>2443</v>
      </c>
      <c r="H1274" s="181">
        <f>INDEX('Списки данных'!$D$2:$D$1048576,MATCH(База_КР_КК[[#This Row],[Структурное подразделение]],'Списки данных'!$C$2:$C$1048576,0))</f>
        <v>13</v>
      </c>
      <c r="I1274" s="80" t="s">
        <v>173</v>
      </c>
      <c r="J1274" s="80" t="s">
        <v>212</v>
      </c>
      <c r="K1274" s="80" t="s">
        <v>213</v>
      </c>
      <c r="L1274" s="30" t="s">
        <v>192</v>
      </c>
      <c r="M1274" s="68">
        <v>7</v>
      </c>
      <c r="N1274" s="181" t="str">
        <f t="shared" si="20"/>
        <v>нет</v>
      </c>
      <c r="O1274" s="23"/>
      <c r="P1274" s="23"/>
      <c r="Q1274" s="106"/>
      <c r="R1274" s="37">
        <v>275</v>
      </c>
      <c r="S1274" s="38" t="s">
        <v>687</v>
      </c>
      <c r="T1274" s="37">
        <v>1349</v>
      </c>
      <c r="U1274" s="39" t="s">
        <v>1737</v>
      </c>
      <c r="V1274" s="69" t="s">
        <v>272</v>
      </c>
      <c r="W1274" s="89" t="s">
        <v>173</v>
      </c>
      <c r="X1274" s="106" t="s">
        <v>297</v>
      </c>
      <c r="Y1274" s="107" t="s">
        <v>12</v>
      </c>
      <c r="Z1274" s="67">
        <f>IF(База_КР_КК[[#This Row],[Таб.номер резервиста]]="-","-",IF(OR(База_КР_КК[[#This Row],[Уровень КК]]=2,База_КР_КК[[#This Row],[Уровень КК]]=3),IF(COUNTIFS($U$2:$U1274,$U1274,$F$2:$F1274,$F1274)=1,1,0),IF(COUNTIFS($U$2:$U1274,$U1274,$L$2:$L1274,$L1274)=1,1,0)))</f>
        <v>0</v>
      </c>
      <c r="AA12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4" s="106"/>
      <c r="AC1274" s="51"/>
      <c r="AD1274" s="106" t="s">
        <v>15</v>
      </c>
      <c r="AE1274" s="38" t="s">
        <v>344</v>
      </c>
    </row>
    <row r="1275" spans="1:31" ht="18" customHeight="1" x14ac:dyDescent="0.25">
      <c r="A12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5" s="79">
        <v>3</v>
      </c>
      <c r="C1275" s="23">
        <v>43992</v>
      </c>
      <c r="D1275" s="67">
        <f>IF(COUNTIF($G$2:$G1275,$G1275)=1,1,0)</f>
        <v>1</v>
      </c>
      <c r="E1275" s="67" t="str">
        <f>IFERROR(VLOOKUP(База_КР_КК[[#This Row],[ИД штатной должности (S)]],'уровень защищенности'!$B$7:$F$1095,5,0),"не защищена")</f>
        <v>средний</v>
      </c>
      <c r="F1275" s="68">
        <v>500283</v>
      </c>
      <c r="G1275" s="74" t="s">
        <v>2444</v>
      </c>
      <c r="H1275" s="181">
        <f>INDEX('Списки данных'!$D$2:$D$1048576,MATCH(База_КР_КК[[#This Row],[Структурное подразделение]],'Списки данных'!$C$2:$C$1048576,0))</f>
        <v>13</v>
      </c>
      <c r="I1275" s="80" t="s">
        <v>173</v>
      </c>
      <c r="J1275" s="80" t="s">
        <v>212</v>
      </c>
      <c r="K1275" s="80" t="s">
        <v>21</v>
      </c>
      <c r="L1275" s="30" t="s">
        <v>186</v>
      </c>
      <c r="M1275" s="68">
        <v>5</v>
      </c>
      <c r="N1275" s="181" t="str">
        <f t="shared" si="20"/>
        <v>нет</v>
      </c>
      <c r="O1275" s="23"/>
      <c r="P1275" s="23"/>
      <c r="Q1275" s="106"/>
      <c r="R1275" s="37">
        <v>276</v>
      </c>
      <c r="S1275" s="39" t="s">
        <v>688</v>
      </c>
      <c r="T1275" s="37">
        <v>282</v>
      </c>
      <c r="U1275" s="39" t="s">
        <v>694</v>
      </c>
      <c r="V1275" s="89" t="s">
        <v>192</v>
      </c>
      <c r="W1275" s="89" t="s">
        <v>173</v>
      </c>
      <c r="X1275" s="106" t="s">
        <v>297</v>
      </c>
      <c r="Y1275" s="107" t="s">
        <v>12</v>
      </c>
      <c r="Z1275" s="67">
        <f>IF(База_КР_КК[[#This Row],[Таб.номер резервиста]]="-","-",IF(OR(База_КР_КК[[#This Row],[Уровень КК]]=2,База_КР_КК[[#This Row],[Уровень КК]]=3),IF(COUNTIFS($U$2:$U1275,$U1275,$F$2:$F1275,$F1275)=1,1,0),IF(COUNTIFS($U$2:$U1275,$U1275,$L$2:$L1275,$L1275)=1,1,0)))</f>
        <v>1</v>
      </c>
      <c r="AA12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5" s="106"/>
      <c r="AC1275" s="51"/>
      <c r="AD1275" s="106" t="s">
        <v>13</v>
      </c>
      <c r="AE1275" s="38" t="s">
        <v>345</v>
      </c>
    </row>
    <row r="1276" spans="1:31" ht="18" customHeight="1" x14ac:dyDescent="0.25">
      <c r="A12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6" s="79">
        <v>3</v>
      </c>
      <c r="C1276" s="23">
        <v>44343</v>
      </c>
      <c r="D1276" s="67">
        <f>IF(COUNTIF($G$2:$G1276,$G1276)=1,1,0)</f>
        <v>0</v>
      </c>
      <c r="E1276" s="67" t="str">
        <f>IFERROR(VLOOKUP(База_КР_КК[[#This Row],[ИД штатной должности (S)]],'уровень защищенности'!$B$7:$F$1095,5,0),"не защищена")</f>
        <v>средний</v>
      </c>
      <c r="F1276" s="68">
        <v>500283</v>
      </c>
      <c r="G1276" s="74" t="s">
        <v>2444</v>
      </c>
      <c r="H1276" s="181">
        <f>INDEX('Списки данных'!$D$2:$D$1048576,MATCH(База_КР_КК[[#This Row],[Структурное подразделение]],'Списки данных'!$C$2:$C$1048576,0))</f>
        <v>13</v>
      </c>
      <c r="I1276" s="80" t="s">
        <v>173</v>
      </c>
      <c r="J1276" s="80" t="s">
        <v>212</v>
      </c>
      <c r="K1276" s="80" t="s">
        <v>21</v>
      </c>
      <c r="L1276" s="30" t="s">
        <v>186</v>
      </c>
      <c r="M1276" s="68">
        <v>5</v>
      </c>
      <c r="N1276" s="181" t="str">
        <f t="shared" si="20"/>
        <v>нет</v>
      </c>
      <c r="O1276" s="23"/>
      <c r="P1276" s="23"/>
      <c r="Q1276" s="106"/>
      <c r="R1276" s="37">
        <v>276</v>
      </c>
      <c r="S1276" s="39" t="s">
        <v>688</v>
      </c>
      <c r="T1276" s="37">
        <v>281</v>
      </c>
      <c r="U1276" s="39" t="s">
        <v>693</v>
      </c>
      <c r="V1276" s="69" t="s">
        <v>192</v>
      </c>
      <c r="W1276" s="89" t="s">
        <v>173</v>
      </c>
      <c r="X1276" s="106" t="s">
        <v>296</v>
      </c>
      <c r="Y1276" s="107" t="s">
        <v>12</v>
      </c>
      <c r="Z1276" s="67">
        <f>IF(База_КР_КК[[#This Row],[Таб.номер резервиста]]="-","-",IF(OR(База_КР_КК[[#This Row],[Уровень КК]]=2,База_КР_КК[[#This Row],[Уровень КК]]=3),IF(COUNTIFS($U$2:$U1276,$U1276,$F$2:$F1276,$F1276)=1,1,0),IF(COUNTIFS($U$2:$U1276,$U1276,$L$2:$L1276,$L1276)=1,1,0)))</f>
        <v>1</v>
      </c>
      <c r="AA12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6" s="106"/>
      <c r="AC1276" s="51"/>
      <c r="AD1276" s="106" t="s">
        <v>13</v>
      </c>
      <c r="AE1276" s="38" t="s">
        <v>345</v>
      </c>
    </row>
    <row r="1277" spans="1:31" ht="18" customHeight="1" x14ac:dyDescent="0.25">
      <c r="A12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7" s="79">
        <v>3</v>
      </c>
      <c r="C1277" s="23">
        <v>44707</v>
      </c>
      <c r="D1277" s="67">
        <f>IF(COUNTIF($G$2:$G1277,$G1277)=1,1,0)</f>
        <v>0</v>
      </c>
      <c r="E1277" s="67" t="str">
        <f>IFERROR(VLOOKUP(База_КР_КК[[#This Row],[ИД штатной должности (S)]],'уровень защищенности'!$B$7:$F$1095,5,0),"не защищена")</f>
        <v>средний</v>
      </c>
      <c r="F1277" s="68">
        <v>500283</v>
      </c>
      <c r="G1277" s="74" t="s">
        <v>2444</v>
      </c>
      <c r="H1277" s="181">
        <f>INDEX('Списки данных'!$D$2:$D$1048576,MATCH(База_КР_КК[[#This Row],[Структурное подразделение]],'Списки данных'!$C$2:$C$1048576,0))</f>
        <v>13</v>
      </c>
      <c r="I1277" s="80" t="s">
        <v>173</v>
      </c>
      <c r="J1277" s="80" t="s">
        <v>212</v>
      </c>
      <c r="K1277" s="80" t="s">
        <v>21</v>
      </c>
      <c r="L1277" s="30" t="s">
        <v>186</v>
      </c>
      <c r="M1277" s="68">
        <v>5</v>
      </c>
      <c r="N1277" s="181" t="str">
        <f t="shared" si="20"/>
        <v>нет</v>
      </c>
      <c r="O1277" s="23"/>
      <c r="P1277" s="23"/>
      <c r="Q1277" s="106"/>
      <c r="R1277" s="37">
        <v>276</v>
      </c>
      <c r="S1277" s="39" t="s">
        <v>688</v>
      </c>
      <c r="T1277" s="37">
        <v>280</v>
      </c>
      <c r="U1277" s="39" t="s">
        <v>692</v>
      </c>
      <c r="V1277" s="69" t="s">
        <v>192</v>
      </c>
      <c r="W1277" s="89" t="s">
        <v>173</v>
      </c>
      <c r="X1277" s="106" t="s">
        <v>297</v>
      </c>
      <c r="Y1277" s="107" t="s">
        <v>12</v>
      </c>
      <c r="Z1277" s="67">
        <f>IF(База_КР_КК[[#This Row],[Таб.номер резервиста]]="-","-",IF(OR(База_КР_КК[[#This Row],[Уровень КК]]=2,База_КР_КК[[#This Row],[Уровень КК]]=3),IF(COUNTIFS($U$2:$U1277,$U1277,$F$2:$F1277,$F1277)=1,1,0),IF(COUNTIFS($U$2:$U1277,$U1277,$L$2:$L1277,$L1277)=1,1,0)))</f>
        <v>1</v>
      </c>
      <c r="AA12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7" s="106"/>
      <c r="AC1277" s="51"/>
      <c r="AD1277" s="106" t="s">
        <v>15</v>
      </c>
      <c r="AE1277" s="38" t="s">
        <v>345</v>
      </c>
    </row>
    <row r="1278" spans="1:31" ht="18" customHeight="1" x14ac:dyDescent="0.25">
      <c r="A12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8" s="79">
        <v>3</v>
      </c>
      <c r="C1278" s="23">
        <v>44707</v>
      </c>
      <c r="D1278" s="67">
        <f>IF(COUNTIF($G$2:$G1278,$G1278)=1,1,0)</f>
        <v>0</v>
      </c>
      <c r="E1278" s="67" t="str">
        <f>IFERROR(VLOOKUP(База_КР_КК[[#This Row],[ИД штатной должности (S)]],'уровень защищенности'!$B$7:$F$1095,5,0),"не защищена")</f>
        <v>средний</v>
      </c>
      <c r="F1278" s="68">
        <v>500283</v>
      </c>
      <c r="G1278" s="74" t="s">
        <v>2444</v>
      </c>
      <c r="H1278" s="181">
        <f>INDEX('Списки данных'!$D$2:$D$1048576,MATCH(База_КР_КК[[#This Row],[Структурное подразделение]],'Списки данных'!$C$2:$C$1048576,0))</f>
        <v>13</v>
      </c>
      <c r="I1278" s="80" t="s">
        <v>173</v>
      </c>
      <c r="J1278" s="80" t="s">
        <v>212</v>
      </c>
      <c r="K1278" s="80" t="s">
        <v>21</v>
      </c>
      <c r="L1278" s="30" t="s">
        <v>186</v>
      </c>
      <c r="M1278" s="68">
        <v>5</v>
      </c>
      <c r="N1278" s="181" t="str">
        <f t="shared" si="20"/>
        <v>нет</v>
      </c>
      <c r="O1278" s="23"/>
      <c r="P1278" s="23"/>
      <c r="Q1278" s="106"/>
      <c r="R1278" s="37">
        <v>276</v>
      </c>
      <c r="S1278" s="39" t="s">
        <v>688</v>
      </c>
      <c r="T1278" s="37">
        <v>1350</v>
      </c>
      <c r="U1278" s="39" t="s">
        <v>1740</v>
      </c>
      <c r="V1278" s="69" t="s">
        <v>272</v>
      </c>
      <c r="W1278" s="89" t="s">
        <v>173</v>
      </c>
      <c r="X1278" s="106" t="s">
        <v>296</v>
      </c>
      <c r="Y1278" s="107" t="s">
        <v>12</v>
      </c>
      <c r="Z1278" s="67">
        <f>IF(База_КР_КК[[#This Row],[Таб.номер резервиста]]="-","-",IF(OR(База_КР_КК[[#This Row],[Уровень КК]]=2,База_КР_КК[[#This Row],[Уровень КК]]=3),IF(COUNTIFS($U$2:$U1278,$U1278,$F$2:$F1278,$F1278)=1,1,0),IF(COUNTIFS($U$2:$U1278,$U1278,$L$2:$L1278,$L1278)=1,1,0)))</f>
        <v>1</v>
      </c>
      <c r="AA12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8" s="106"/>
      <c r="AC1278" s="51"/>
      <c r="AD1278" s="106" t="s">
        <v>15</v>
      </c>
      <c r="AE1278" s="38" t="s">
        <v>345</v>
      </c>
    </row>
    <row r="1279" spans="1:31" ht="18" customHeight="1" x14ac:dyDescent="0.25">
      <c r="A12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79" s="79">
        <v>3</v>
      </c>
      <c r="C1279" s="23">
        <v>43425</v>
      </c>
      <c r="D1279" s="67">
        <f>IF(COUNTIF($G$2:$G1279,$G1279)=1,1,0)</f>
        <v>0</v>
      </c>
      <c r="E1279" s="67" t="str">
        <f>IFERROR(VLOOKUP(База_КР_КК[[#This Row],[ИД штатной должности (S)]],'уровень защищенности'!$B$7:$F$1095,5,0),"не защищена")</f>
        <v>средний</v>
      </c>
      <c r="F1279" s="68">
        <v>500283</v>
      </c>
      <c r="G1279" s="74" t="s">
        <v>2444</v>
      </c>
      <c r="H1279" s="181">
        <f>INDEX('Списки данных'!$D$2:$D$1048576,MATCH(База_КР_КК[[#This Row],[Структурное подразделение]],'Списки данных'!$C$2:$C$1048576,0))</f>
        <v>13</v>
      </c>
      <c r="I1279" s="80" t="s">
        <v>173</v>
      </c>
      <c r="J1279" s="80" t="s">
        <v>212</v>
      </c>
      <c r="K1279" s="80" t="s">
        <v>21</v>
      </c>
      <c r="L1279" s="30" t="s">
        <v>186</v>
      </c>
      <c r="M1279" s="68">
        <v>5</v>
      </c>
      <c r="N1279" s="181" t="str">
        <f t="shared" si="20"/>
        <v>нет</v>
      </c>
      <c r="O1279" s="23"/>
      <c r="P1279" s="23"/>
      <c r="Q1279" s="106"/>
      <c r="R1279" s="37">
        <v>276</v>
      </c>
      <c r="S1279" s="39" t="s">
        <v>688</v>
      </c>
      <c r="T1279" s="37">
        <v>276</v>
      </c>
      <c r="U1279" s="39" t="s">
        <v>688</v>
      </c>
      <c r="V1279" s="89" t="s">
        <v>192</v>
      </c>
      <c r="W1279" s="89" t="s">
        <v>173</v>
      </c>
      <c r="X1279" s="106" t="s">
        <v>295</v>
      </c>
      <c r="Y1279" s="107" t="s">
        <v>18</v>
      </c>
      <c r="Z1279" s="67">
        <f>IF(База_КР_КК[[#This Row],[Таб.номер резервиста]]="-","-",IF(OR(База_КР_КК[[#This Row],[Уровень КК]]=2,База_КР_КК[[#This Row],[Уровень КК]]=3),IF(COUNTIFS($U$2:$U1279,$U1279,$F$2:$F1279,$F1279)=1,1,0),IF(COUNTIFS($U$2:$U1279,$U1279,$L$2:$L1279,$L1279)=1,1,0)))</f>
        <v>1</v>
      </c>
      <c r="AA12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79" s="106" t="s">
        <v>37</v>
      </c>
      <c r="AC1279" s="51">
        <v>44707</v>
      </c>
      <c r="AD1279" s="106" t="s">
        <v>31</v>
      </c>
      <c r="AE1279" s="38" t="s">
        <v>345</v>
      </c>
    </row>
    <row r="1280" spans="1:31" ht="18" customHeight="1" x14ac:dyDescent="0.25">
      <c r="A12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0" s="79">
        <v>3</v>
      </c>
      <c r="C1280" s="23">
        <v>43992</v>
      </c>
      <c r="D1280" s="67">
        <f>IF(COUNTIF($G$2:$G1280,$G1280)=1,1,0)</f>
        <v>0</v>
      </c>
      <c r="E1280" s="67" t="str">
        <f>IFERROR(VLOOKUP(База_КР_КК[[#This Row],[ИД штатной должности (S)]],'уровень защищенности'!$B$7:$F$1095,5,0),"не защищена")</f>
        <v>средний</v>
      </c>
      <c r="F1280" s="68">
        <v>500283</v>
      </c>
      <c r="G1280" s="74" t="s">
        <v>2444</v>
      </c>
      <c r="H1280" s="181">
        <f>INDEX('Списки данных'!$D$2:$D$1048576,MATCH(База_КР_КК[[#This Row],[Структурное подразделение]],'Списки данных'!$C$2:$C$1048576,0))</f>
        <v>13</v>
      </c>
      <c r="I1280" s="80" t="s">
        <v>173</v>
      </c>
      <c r="J1280" s="80" t="s">
        <v>212</v>
      </c>
      <c r="K1280" s="80" t="s">
        <v>21</v>
      </c>
      <c r="L1280" s="30" t="s">
        <v>186</v>
      </c>
      <c r="M1280" s="68">
        <v>5</v>
      </c>
      <c r="N1280" s="181" t="str">
        <f t="shared" si="20"/>
        <v>нет</v>
      </c>
      <c r="O1280" s="23"/>
      <c r="P1280" s="23"/>
      <c r="Q1280" s="106"/>
      <c r="R1280" s="37">
        <v>276</v>
      </c>
      <c r="S1280" s="39" t="s">
        <v>688</v>
      </c>
      <c r="T1280" s="37">
        <v>1351</v>
      </c>
      <c r="U1280" s="39" t="s">
        <v>1741</v>
      </c>
      <c r="V1280" s="89" t="s">
        <v>189</v>
      </c>
      <c r="W1280" s="89" t="s">
        <v>173</v>
      </c>
      <c r="X1280" s="106" t="s">
        <v>297</v>
      </c>
      <c r="Y1280" s="107" t="s">
        <v>18</v>
      </c>
      <c r="Z1280" s="67">
        <f>IF(База_КР_КК[[#This Row],[Таб.номер резервиста]]="-","-",IF(OR(База_КР_КК[[#This Row],[Уровень КК]]=2,База_КР_КК[[#This Row],[Уровень КК]]=3),IF(COUNTIFS($U$2:$U1280,$U1280,$F$2:$F1280,$F1280)=1,1,0),IF(COUNTIFS($U$2:$U1280,$U1280,$L$2:$L1280,$L1280)=1,1,0)))</f>
        <v>1</v>
      </c>
      <c r="AA12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0" s="106" t="s">
        <v>33</v>
      </c>
      <c r="AC1280" s="51">
        <v>44343</v>
      </c>
      <c r="AD1280" s="106" t="s">
        <v>31</v>
      </c>
      <c r="AE1280" s="38" t="s">
        <v>346</v>
      </c>
    </row>
    <row r="1281" spans="1:31" ht="18" customHeight="1" x14ac:dyDescent="0.25">
      <c r="A12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1" s="79">
        <v>4</v>
      </c>
      <c r="C1281" s="23">
        <v>44425</v>
      </c>
      <c r="D1281" s="67">
        <f>IF(COUNTIF($G$2:$G1281,$G1281)=1,1,0)</f>
        <v>1</v>
      </c>
      <c r="E1281" s="67" t="str">
        <f>IFERROR(VLOOKUP(База_КР_КК[[#This Row],[ИД штатной должности (S)]],'уровень защищенности'!$B$7:$F$1095,5,0),"не защищена")</f>
        <v>высокий</v>
      </c>
      <c r="F1281" s="68">
        <v>500284</v>
      </c>
      <c r="G1281" s="74" t="s">
        <v>2445</v>
      </c>
      <c r="H1281" s="181">
        <f>INDEX('Списки данных'!$D$2:$D$1048576,MATCH(База_КР_КК[[#This Row],[Структурное подразделение]],'Списки данных'!$C$2:$C$1048576,0))</f>
        <v>13</v>
      </c>
      <c r="I1281" s="80" t="s">
        <v>173</v>
      </c>
      <c r="J1281" s="80" t="s">
        <v>212</v>
      </c>
      <c r="K1281" s="80" t="s">
        <v>213</v>
      </c>
      <c r="L1281" s="30" t="s">
        <v>191</v>
      </c>
      <c r="M1281" s="68">
        <v>7</v>
      </c>
      <c r="N1281" s="181" t="str">
        <f t="shared" ref="N1281:N1344" si="21">IF(ISBLANK(O1281),"нет","да")</f>
        <v>да</v>
      </c>
      <c r="O1281" s="23">
        <v>44675</v>
      </c>
      <c r="P1281" s="23">
        <v>44805</v>
      </c>
      <c r="Q1281" s="106" t="s">
        <v>66</v>
      </c>
      <c r="R1281" s="37">
        <v>277</v>
      </c>
      <c r="S1281" s="39" t="s">
        <v>689</v>
      </c>
      <c r="T1281" s="37">
        <v>1352</v>
      </c>
      <c r="U1281" s="39" t="s">
        <v>1742</v>
      </c>
      <c r="V1281" s="69" t="s">
        <v>272</v>
      </c>
      <c r="W1281" s="89" t="s">
        <v>173</v>
      </c>
      <c r="X1281" s="106" t="s">
        <v>297</v>
      </c>
      <c r="Y1281" s="107" t="s">
        <v>12</v>
      </c>
      <c r="Z1281" s="67">
        <f>IF(База_КР_КК[[#This Row],[Таб.номер резервиста]]="-","-",IF(OR(База_КР_КК[[#This Row],[Уровень КК]]=2,База_КР_КК[[#This Row],[Уровень КК]]=3),IF(COUNTIFS($U$2:$U1281,$U1281,$F$2:$F1281,$F1281)=1,1,0),IF(COUNTIFS($U$2:$U1281,$U1281,$L$2:$L1281,$L1281)=1,1,0)))</f>
        <v>1</v>
      </c>
      <c r="AA12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1" s="106"/>
      <c r="AC1281" s="51"/>
      <c r="AD1281" s="106" t="s">
        <v>15</v>
      </c>
      <c r="AE1281" s="38" t="s">
        <v>343</v>
      </c>
    </row>
    <row r="1282" spans="1:31" ht="18" customHeight="1" x14ac:dyDescent="0.25">
      <c r="A12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2" s="79">
        <v>4</v>
      </c>
      <c r="C1282" s="23">
        <v>44425</v>
      </c>
      <c r="D1282" s="67">
        <f>IF(COUNTIF($G$2:$G1282,$G1282)=1,1,0)</f>
        <v>0</v>
      </c>
      <c r="E1282" s="67" t="str">
        <f>IFERROR(VLOOKUP(База_КР_КК[[#This Row],[ИД штатной должности (S)]],'уровень защищенности'!$B$7:$F$1095,5,0),"не защищена")</f>
        <v>высокий</v>
      </c>
      <c r="F1282" s="68">
        <v>500284</v>
      </c>
      <c r="G1282" s="74" t="s">
        <v>2445</v>
      </c>
      <c r="H1282" s="181">
        <f>INDEX('Списки данных'!$D$2:$D$1048576,MATCH(База_КР_КК[[#This Row],[Структурное подразделение]],'Списки данных'!$C$2:$C$1048576,0))</f>
        <v>13</v>
      </c>
      <c r="I1282" s="80" t="s">
        <v>173</v>
      </c>
      <c r="J1282" s="80" t="s">
        <v>212</v>
      </c>
      <c r="K1282" s="80" t="s">
        <v>213</v>
      </c>
      <c r="L1282" s="30" t="s">
        <v>191</v>
      </c>
      <c r="M1282" s="68">
        <v>7</v>
      </c>
      <c r="N1282" s="181" t="str">
        <f t="shared" si="21"/>
        <v>да</v>
      </c>
      <c r="O1282" s="23">
        <v>44675</v>
      </c>
      <c r="P1282" s="23">
        <v>44805</v>
      </c>
      <c r="Q1282" s="106" t="s">
        <v>66</v>
      </c>
      <c r="R1282" s="37">
        <v>277</v>
      </c>
      <c r="S1282" s="39" t="s">
        <v>689</v>
      </c>
      <c r="T1282" s="37">
        <v>1353</v>
      </c>
      <c r="U1282" s="39" t="s">
        <v>1743</v>
      </c>
      <c r="V1282" s="69" t="s">
        <v>272</v>
      </c>
      <c r="W1282" s="89" t="s">
        <v>173</v>
      </c>
      <c r="X1282" s="106" t="s">
        <v>296</v>
      </c>
      <c r="Y1282" s="107" t="s">
        <v>12</v>
      </c>
      <c r="Z1282" s="67">
        <f>IF(База_КР_КК[[#This Row],[Таб.номер резервиста]]="-","-",IF(OR(База_КР_КК[[#This Row],[Уровень КК]]=2,База_КР_КК[[#This Row],[Уровень КК]]=3),IF(COUNTIFS($U$2:$U1282,$U1282,$F$2:$F1282,$F1282)=1,1,0),IF(COUNTIFS($U$2:$U1282,$U1282,$L$2:$L1282,$L1282)=1,1,0)))</f>
        <v>1</v>
      </c>
      <c r="AA12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2" s="106"/>
      <c r="AC1282" s="51"/>
      <c r="AD1282" s="106" t="s">
        <v>15</v>
      </c>
      <c r="AE1282" s="38" t="s">
        <v>343</v>
      </c>
    </row>
    <row r="1283" spans="1:31" ht="18" customHeight="1" x14ac:dyDescent="0.25">
      <c r="A12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3" s="79">
        <v>4</v>
      </c>
      <c r="C1283" s="23">
        <v>44425</v>
      </c>
      <c r="D1283" s="67">
        <f>IF(COUNTIF($G$2:$G1283,$G1283)=1,1,0)</f>
        <v>0</v>
      </c>
      <c r="E1283" s="67" t="str">
        <f>IFERROR(VLOOKUP(База_КР_КК[[#This Row],[ИД штатной должности (S)]],'уровень защищенности'!$B$7:$F$1095,5,0),"не защищена")</f>
        <v>высокий</v>
      </c>
      <c r="F1283" s="68">
        <v>500284</v>
      </c>
      <c r="G1283" s="74" t="s">
        <v>2445</v>
      </c>
      <c r="H1283" s="181">
        <f>INDEX('Списки данных'!$D$2:$D$1048576,MATCH(База_КР_КК[[#This Row],[Структурное подразделение]],'Списки данных'!$C$2:$C$1048576,0))</f>
        <v>13</v>
      </c>
      <c r="I1283" s="80" t="s">
        <v>173</v>
      </c>
      <c r="J1283" s="80" t="s">
        <v>212</v>
      </c>
      <c r="K1283" s="80" t="s">
        <v>213</v>
      </c>
      <c r="L1283" s="30" t="s">
        <v>191</v>
      </c>
      <c r="M1283" s="68">
        <v>7</v>
      </c>
      <c r="N1283" s="181" t="str">
        <f t="shared" si="21"/>
        <v>да</v>
      </c>
      <c r="O1283" s="23">
        <v>44675</v>
      </c>
      <c r="P1283" s="23">
        <v>44805</v>
      </c>
      <c r="Q1283" s="106" t="s">
        <v>66</v>
      </c>
      <c r="R1283" s="37">
        <v>277</v>
      </c>
      <c r="S1283" s="39" t="s">
        <v>689</v>
      </c>
      <c r="T1283" s="37">
        <v>1354</v>
      </c>
      <c r="U1283" s="39" t="s">
        <v>1744</v>
      </c>
      <c r="V1283" s="69" t="s">
        <v>272</v>
      </c>
      <c r="W1283" s="89" t="s">
        <v>173</v>
      </c>
      <c r="X1283" s="106" t="s">
        <v>297</v>
      </c>
      <c r="Y1283" s="107" t="s">
        <v>12</v>
      </c>
      <c r="Z1283" s="67">
        <f>IF(База_КР_КК[[#This Row],[Таб.номер резервиста]]="-","-",IF(OR(База_КР_КК[[#This Row],[Уровень КК]]=2,База_КР_КК[[#This Row],[Уровень КК]]=3),IF(COUNTIFS($U$2:$U1283,$U1283,$F$2:$F1283,$F1283)=1,1,0),IF(COUNTIFS($U$2:$U1283,$U1283,$L$2:$L1283,$L1283)=1,1,0)))</f>
        <v>1</v>
      </c>
      <c r="AA12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3" s="106"/>
      <c r="AC1283" s="51"/>
      <c r="AD1283" s="106" t="s">
        <v>15</v>
      </c>
      <c r="AE1283" s="38" t="s">
        <v>343</v>
      </c>
    </row>
    <row r="1284" spans="1:31" ht="18" customHeight="1" x14ac:dyDescent="0.25">
      <c r="A12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4" s="79">
        <v>4</v>
      </c>
      <c r="C1284" s="23">
        <v>44890</v>
      </c>
      <c r="D1284" s="67">
        <f>IF(COUNTIF($G$2:$G1284,$G1284)=1,1,0)</f>
        <v>0</v>
      </c>
      <c r="E1284" s="67" t="str">
        <f>IFERROR(VLOOKUP(База_КР_КК[[#This Row],[ИД штатной должности (S)]],'уровень защищенности'!$B$7:$F$1095,5,0),"не защищена")</f>
        <v>высокий</v>
      </c>
      <c r="F1284" s="68">
        <v>500284</v>
      </c>
      <c r="G1284" s="74" t="s">
        <v>2445</v>
      </c>
      <c r="H1284" s="181">
        <f>INDEX('Списки данных'!$D$2:$D$1048576,MATCH(База_КР_КК[[#This Row],[Структурное подразделение]],'Списки данных'!$C$2:$C$1048576,0))</f>
        <v>13</v>
      </c>
      <c r="I1284" s="80" t="s">
        <v>173</v>
      </c>
      <c r="J1284" s="80" t="s">
        <v>212</v>
      </c>
      <c r="K1284" s="80" t="s">
        <v>213</v>
      </c>
      <c r="L1284" s="30" t="s">
        <v>191</v>
      </c>
      <c r="M1284" s="68">
        <v>7</v>
      </c>
      <c r="N1284" s="181" t="str">
        <f t="shared" si="21"/>
        <v>да</v>
      </c>
      <c r="O1284" s="23">
        <v>44675</v>
      </c>
      <c r="P1284" s="23">
        <v>44805</v>
      </c>
      <c r="Q1284" s="106" t="s">
        <v>66</v>
      </c>
      <c r="R1284" s="37">
        <v>277</v>
      </c>
      <c r="S1284" s="39" t="s">
        <v>689</v>
      </c>
      <c r="T1284" s="37">
        <v>1355</v>
      </c>
      <c r="U1284" s="39" t="s">
        <v>1500</v>
      </c>
      <c r="V1284" s="69" t="s">
        <v>272</v>
      </c>
      <c r="W1284" s="89" t="s">
        <v>173</v>
      </c>
      <c r="X1284" s="106" t="s">
        <v>297</v>
      </c>
      <c r="Y1284" s="107" t="s">
        <v>12</v>
      </c>
      <c r="Z1284" s="67">
        <f>IF(База_КР_КК[[#This Row],[Таб.номер резервиста]]="-","-",IF(OR(База_КР_КК[[#This Row],[Уровень КК]]=2,База_КР_КК[[#This Row],[Уровень КК]]=3),IF(COUNTIFS($U$2:$U1284,$U1284,$F$2:$F1284,$F1284)=1,1,0),IF(COUNTIFS($U$2:$U1284,$U1284,$L$2:$L1284,$L1284)=1,1,0)))</f>
        <v>1</v>
      </c>
      <c r="AA12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4" s="106"/>
      <c r="AC1284" s="51"/>
      <c r="AD1284" s="106" t="s">
        <v>15</v>
      </c>
      <c r="AE1284" s="38" t="s">
        <v>344</v>
      </c>
    </row>
    <row r="1285" spans="1:31" ht="18" customHeight="1" x14ac:dyDescent="0.25">
      <c r="A12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5" s="79">
        <v>4</v>
      </c>
      <c r="C1285" s="23">
        <v>44890</v>
      </c>
      <c r="D1285" s="67">
        <f>IF(COUNTIF($G$2:$G1285,$G1285)=1,1,0)</f>
        <v>0</v>
      </c>
      <c r="E1285" s="67" t="str">
        <f>IFERROR(VLOOKUP(База_КР_КК[[#This Row],[ИД штатной должности (S)]],'уровень защищенности'!$B$7:$F$1095,5,0),"не защищена")</f>
        <v>высокий</v>
      </c>
      <c r="F1285" s="68">
        <v>500284</v>
      </c>
      <c r="G1285" s="74" t="s">
        <v>2445</v>
      </c>
      <c r="H1285" s="181">
        <f>INDEX('Списки данных'!$D$2:$D$1048576,MATCH(База_КР_КК[[#This Row],[Структурное подразделение]],'Списки данных'!$C$2:$C$1048576,0))</f>
        <v>13</v>
      </c>
      <c r="I1285" s="80" t="s">
        <v>173</v>
      </c>
      <c r="J1285" s="80" t="s">
        <v>212</v>
      </c>
      <c r="K1285" s="80" t="s">
        <v>213</v>
      </c>
      <c r="L1285" s="30" t="s">
        <v>191</v>
      </c>
      <c r="M1285" s="68">
        <v>7</v>
      </c>
      <c r="N1285" s="181" t="str">
        <f t="shared" si="21"/>
        <v>да</v>
      </c>
      <c r="O1285" s="23">
        <v>44675</v>
      </c>
      <c r="P1285" s="23">
        <v>44805</v>
      </c>
      <c r="Q1285" s="106" t="s">
        <v>66</v>
      </c>
      <c r="R1285" s="37">
        <v>277</v>
      </c>
      <c r="S1285" s="39" t="s">
        <v>689</v>
      </c>
      <c r="T1285" s="37">
        <v>1356</v>
      </c>
      <c r="U1285" s="39" t="s">
        <v>1745</v>
      </c>
      <c r="V1285" s="69" t="s">
        <v>272</v>
      </c>
      <c r="W1285" s="89" t="s">
        <v>173</v>
      </c>
      <c r="X1285" s="106" t="s">
        <v>295</v>
      </c>
      <c r="Y1285" s="107" t="s">
        <v>12</v>
      </c>
      <c r="Z1285" s="67">
        <f>IF(База_КР_КК[[#This Row],[Таб.номер резервиста]]="-","-",IF(OR(База_КР_КК[[#This Row],[Уровень КК]]=2,База_КР_КК[[#This Row],[Уровень КК]]=3),IF(COUNTIFS($U$2:$U1285,$U1285,$F$2:$F1285,$F1285)=1,1,0),IF(COUNTIFS($U$2:$U1285,$U1285,$L$2:$L1285,$L1285)=1,1,0)))</f>
        <v>1</v>
      </c>
      <c r="AA12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5" s="106"/>
      <c r="AC1285" s="51"/>
      <c r="AD1285" s="106" t="s">
        <v>15</v>
      </c>
      <c r="AE1285" s="38" t="s">
        <v>344</v>
      </c>
    </row>
    <row r="1286" spans="1:31" ht="18" customHeight="1" x14ac:dyDescent="0.25">
      <c r="A12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6" s="79">
        <v>4</v>
      </c>
      <c r="C1286" s="23">
        <v>44425</v>
      </c>
      <c r="D1286" s="67">
        <f>IF(COUNTIF($G$2:$G1286,$G1286)=1,1,0)</f>
        <v>0</v>
      </c>
      <c r="E1286" s="67" t="str">
        <f>IFERROR(VLOOKUP(База_КР_КК[[#This Row],[ИД штатной должности (S)]],'уровень защищенности'!$B$7:$F$1095,5,0),"не защищена")</f>
        <v>высокий</v>
      </c>
      <c r="F1286" s="68">
        <v>500284</v>
      </c>
      <c r="G1286" s="74" t="s">
        <v>2445</v>
      </c>
      <c r="H1286" s="181">
        <f>INDEX('Списки данных'!$D$2:$D$1048576,MATCH(База_КР_КК[[#This Row],[Структурное подразделение]],'Списки данных'!$C$2:$C$1048576,0))</f>
        <v>13</v>
      </c>
      <c r="I1286" s="80" t="s">
        <v>173</v>
      </c>
      <c r="J1286" s="83" t="s">
        <v>212</v>
      </c>
      <c r="K1286" s="83" t="s">
        <v>213</v>
      </c>
      <c r="L1286" s="30" t="s">
        <v>191</v>
      </c>
      <c r="M1286" s="68">
        <v>7</v>
      </c>
      <c r="N1286" s="181" t="str">
        <f t="shared" si="21"/>
        <v>да</v>
      </c>
      <c r="O1286" s="23">
        <v>44675</v>
      </c>
      <c r="P1286" s="23">
        <v>44805</v>
      </c>
      <c r="Q1286" s="106" t="s">
        <v>66</v>
      </c>
      <c r="R1286" s="37">
        <v>277</v>
      </c>
      <c r="S1286" s="39" t="s">
        <v>689</v>
      </c>
      <c r="T1286" s="37">
        <v>407</v>
      </c>
      <c r="U1286" s="39" t="s">
        <v>819</v>
      </c>
      <c r="V1286" s="69" t="s">
        <v>192</v>
      </c>
      <c r="W1286" s="89" t="s">
        <v>173</v>
      </c>
      <c r="X1286" s="106" t="s">
        <v>295</v>
      </c>
      <c r="Y1286" s="107" t="s">
        <v>14</v>
      </c>
      <c r="Z1286" s="67">
        <f>IF(База_КР_КК[[#This Row],[Таб.номер резервиста]]="-","-",IF(OR(База_КР_КК[[#This Row],[Уровень КК]]=2,База_КР_КК[[#This Row],[Уровень КК]]=3),IF(COUNTIFS($U$2:$U1286,$U1286,$F$2:$F1286,$F1286)=1,1,0),IF(COUNTIFS($U$2:$U1286,$U1286,$L$2:$L1286,$L1286)=1,1,0)))</f>
        <v>1</v>
      </c>
      <c r="AA12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6" s="106" t="s">
        <v>24</v>
      </c>
      <c r="AC1286" s="51">
        <v>44539</v>
      </c>
      <c r="AD1286" s="106" t="s">
        <v>15</v>
      </c>
      <c r="AE1286" s="38" t="s">
        <v>343</v>
      </c>
    </row>
    <row r="1287" spans="1:31" ht="18" customHeight="1" x14ac:dyDescent="0.25">
      <c r="A12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7" s="79">
        <v>4</v>
      </c>
      <c r="C1287" s="23">
        <v>44425</v>
      </c>
      <c r="D1287" s="67">
        <f>IF(COUNTIF($G$2:$G1287,$G1287)=1,1,0)</f>
        <v>0</v>
      </c>
      <c r="E1287" s="67" t="str">
        <f>IFERROR(VLOOKUP(База_КР_КК[[#This Row],[ИД штатной должности (S)]],'уровень защищенности'!$B$7:$F$1095,5,0),"не защищена")</f>
        <v>высокий</v>
      </c>
      <c r="F1287" s="68">
        <v>500284</v>
      </c>
      <c r="G1287" s="74" t="s">
        <v>2445</v>
      </c>
      <c r="H1287" s="181">
        <f>INDEX('Списки данных'!$D$2:$D$1048576,MATCH(База_КР_КК[[#This Row],[Структурное подразделение]],'Списки данных'!$C$2:$C$1048576,0))</f>
        <v>13</v>
      </c>
      <c r="I1287" s="80" t="s">
        <v>173</v>
      </c>
      <c r="J1287" s="80" t="s">
        <v>212</v>
      </c>
      <c r="K1287" s="80" t="s">
        <v>213</v>
      </c>
      <c r="L1287" s="30" t="s">
        <v>191</v>
      </c>
      <c r="M1287" s="68">
        <v>7</v>
      </c>
      <c r="N1287" s="181" t="str">
        <f t="shared" si="21"/>
        <v>да</v>
      </c>
      <c r="O1287" s="23">
        <v>44675</v>
      </c>
      <c r="P1287" s="23">
        <v>44805</v>
      </c>
      <c r="Q1287" s="106" t="s">
        <v>66</v>
      </c>
      <c r="R1287" s="37">
        <v>277</v>
      </c>
      <c r="S1287" s="39" t="s">
        <v>689</v>
      </c>
      <c r="T1287" s="37">
        <v>277</v>
      </c>
      <c r="U1287" s="39" t="s">
        <v>689</v>
      </c>
      <c r="V1287" s="69" t="s">
        <v>272</v>
      </c>
      <c r="W1287" s="89" t="s">
        <v>173</v>
      </c>
      <c r="X1287" s="106" t="s">
        <v>297</v>
      </c>
      <c r="Y1287" s="107" t="s">
        <v>14</v>
      </c>
      <c r="Z1287" s="67">
        <f>IF(База_КР_КК[[#This Row],[Таб.номер резервиста]]="-","-",IF(OR(База_КР_КК[[#This Row],[Уровень КК]]=2,База_КР_КК[[#This Row],[Уровень КК]]=3),IF(COUNTIFS($U$2:$U1287,$U1287,$F$2:$F1287,$F1287)=1,1,0),IF(COUNTIFS($U$2:$U1287,$U1287,$L$2:$L1287,$L1287)=1,1,0)))</f>
        <v>1</v>
      </c>
      <c r="AA12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287" s="106" t="s">
        <v>24</v>
      </c>
      <c r="AC1287" s="51">
        <v>44805</v>
      </c>
      <c r="AD1287" s="106" t="s">
        <v>15</v>
      </c>
      <c r="AE1287" s="38" t="s">
        <v>343</v>
      </c>
    </row>
    <row r="1288" spans="1:31" ht="18" customHeight="1" x14ac:dyDescent="0.25">
      <c r="A12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8" s="79">
        <v>4</v>
      </c>
      <c r="C1288" s="23">
        <v>44425</v>
      </c>
      <c r="D1288" s="67">
        <f>IF(COUNTIF($G$2:$G1288,$G1288)=1,1,0)</f>
        <v>0</v>
      </c>
      <c r="E1288" s="67" t="str">
        <f>IFERROR(VLOOKUP(База_КР_КК[[#This Row],[ИД штатной должности (S)]],'уровень защищенности'!$B$7:$F$1095,5,0),"не защищена")</f>
        <v>высокий</v>
      </c>
      <c r="F1288" s="68">
        <v>500284</v>
      </c>
      <c r="G1288" s="74" t="s">
        <v>2445</v>
      </c>
      <c r="H1288" s="181">
        <f>INDEX('Списки данных'!$D$2:$D$1048576,MATCH(База_КР_КК[[#This Row],[Структурное подразделение]],'Списки данных'!$C$2:$C$1048576,0))</f>
        <v>13</v>
      </c>
      <c r="I1288" s="80" t="s">
        <v>173</v>
      </c>
      <c r="J1288" s="80" t="s">
        <v>212</v>
      </c>
      <c r="K1288" s="80" t="s">
        <v>213</v>
      </c>
      <c r="L1288" s="30" t="s">
        <v>191</v>
      </c>
      <c r="M1288" s="68">
        <v>7</v>
      </c>
      <c r="N1288" s="181" t="str">
        <f t="shared" si="21"/>
        <v>да</v>
      </c>
      <c r="O1288" s="23">
        <v>44675</v>
      </c>
      <c r="P1288" s="23">
        <v>44805</v>
      </c>
      <c r="Q1288" s="106" t="s">
        <v>66</v>
      </c>
      <c r="R1288" s="37">
        <v>277</v>
      </c>
      <c r="S1288" s="39" t="s">
        <v>689</v>
      </c>
      <c r="T1288" s="37">
        <v>278</v>
      </c>
      <c r="U1288" s="39" t="s">
        <v>690</v>
      </c>
      <c r="V1288" s="69" t="s">
        <v>272</v>
      </c>
      <c r="W1288" s="89" t="s">
        <v>173</v>
      </c>
      <c r="X1288" s="106" t="s">
        <v>295</v>
      </c>
      <c r="Y1288" s="107" t="s">
        <v>14</v>
      </c>
      <c r="Z1288" s="67">
        <f>IF(База_КР_КК[[#This Row],[Таб.номер резервиста]]="-","-",IF(OR(База_КР_КК[[#This Row],[Уровень КК]]=2,База_КР_КК[[#This Row],[Уровень КК]]=3),IF(COUNTIFS($U$2:$U1288,$U1288,$F$2:$F1288,$F1288)=1,1,0),IF(COUNTIFS($U$2:$U1288,$U1288,$L$2:$L1288,$L1288)=1,1,0)))</f>
        <v>1</v>
      </c>
      <c r="AA12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8" s="106" t="s">
        <v>24</v>
      </c>
      <c r="AC1288" s="51">
        <v>44756</v>
      </c>
      <c r="AD1288" s="106" t="s">
        <v>15</v>
      </c>
      <c r="AE1288" s="38" t="s">
        <v>343</v>
      </c>
    </row>
    <row r="1289" spans="1:31" ht="18" customHeight="1" x14ac:dyDescent="0.25">
      <c r="A12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89" s="79">
        <v>4</v>
      </c>
      <c r="C1289" s="23">
        <v>44425</v>
      </c>
      <c r="D1289" s="67">
        <f>IF(COUNTIF($G$2:$G1289,$G1289)=1,1,0)</f>
        <v>0</v>
      </c>
      <c r="E1289" s="67" t="str">
        <f>IFERROR(VLOOKUP(База_КР_КК[[#This Row],[ИД штатной должности (S)]],'уровень защищенности'!$B$7:$F$1095,5,0),"не защищена")</f>
        <v>высокий</v>
      </c>
      <c r="F1289" s="68">
        <v>500284</v>
      </c>
      <c r="G1289" s="74" t="s">
        <v>2445</v>
      </c>
      <c r="H1289" s="181">
        <f>INDEX('Списки данных'!$D$2:$D$1048576,MATCH(База_КР_КК[[#This Row],[Структурное подразделение]],'Списки данных'!$C$2:$C$1048576,0))</f>
        <v>13</v>
      </c>
      <c r="I1289" s="80" t="s">
        <v>173</v>
      </c>
      <c r="J1289" s="80" t="s">
        <v>212</v>
      </c>
      <c r="K1289" s="80" t="s">
        <v>213</v>
      </c>
      <c r="L1289" s="30" t="s">
        <v>191</v>
      </c>
      <c r="M1289" s="68">
        <v>7</v>
      </c>
      <c r="N1289" s="181" t="str">
        <f t="shared" si="21"/>
        <v>да</v>
      </c>
      <c r="O1289" s="23">
        <v>44675</v>
      </c>
      <c r="P1289" s="23">
        <v>44805</v>
      </c>
      <c r="Q1289" s="106" t="s">
        <v>66</v>
      </c>
      <c r="R1289" s="37">
        <v>277</v>
      </c>
      <c r="S1289" s="39" t="s">
        <v>689</v>
      </c>
      <c r="T1289" s="37">
        <v>1357</v>
      </c>
      <c r="U1289" s="39" t="s">
        <v>1746</v>
      </c>
      <c r="V1289" s="69" t="s">
        <v>272</v>
      </c>
      <c r="W1289" s="89" t="s">
        <v>173</v>
      </c>
      <c r="X1289" s="106" t="s">
        <v>296</v>
      </c>
      <c r="Y1289" s="107" t="s">
        <v>18</v>
      </c>
      <c r="Z1289" s="67">
        <f>IF(База_КР_КК[[#This Row],[Таб.номер резервиста]]="-","-",IF(OR(База_КР_КК[[#This Row],[Уровень КК]]=2,База_КР_КК[[#This Row],[Уровень КК]]=3),IF(COUNTIFS($U$2:$U1289,$U1289,$F$2:$F1289,$F1289)=1,1,0),IF(COUNTIFS($U$2:$U1289,$U1289,$L$2:$L1289,$L1289)=1,1,0)))</f>
        <v>1</v>
      </c>
      <c r="AA12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89" s="106" t="s">
        <v>38</v>
      </c>
      <c r="AC1289" s="51">
        <v>44890</v>
      </c>
      <c r="AD1289" s="106" t="s">
        <v>31</v>
      </c>
      <c r="AE1289" s="38" t="s">
        <v>344</v>
      </c>
    </row>
    <row r="1290" spans="1:31" ht="18" customHeight="1" x14ac:dyDescent="0.25">
      <c r="A12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0" s="79">
        <v>4</v>
      </c>
      <c r="C1290" s="23">
        <v>44425</v>
      </c>
      <c r="D1290" s="67">
        <f>IF(COUNTIF($G$2:$G1290,$G1290)=1,1,0)</f>
        <v>1</v>
      </c>
      <c r="E1290" s="67" t="str">
        <f>IFERROR(VLOOKUP(База_КР_КК[[#This Row],[ИД штатной должности (S)]],'уровень защищенности'!$B$7:$F$1095,5,0),"не защищена")</f>
        <v>высокий</v>
      </c>
      <c r="F1290" s="68">
        <v>500284</v>
      </c>
      <c r="G1290" s="74" t="s">
        <v>2446</v>
      </c>
      <c r="H1290" s="181">
        <f>INDEX('Списки данных'!$D$2:$D$1048576,MATCH(База_КР_КК[[#This Row],[Структурное подразделение]],'Списки данных'!$C$2:$C$1048576,0))</f>
        <v>13</v>
      </c>
      <c r="I1290" s="80" t="s">
        <v>173</v>
      </c>
      <c r="J1290" s="80" t="s">
        <v>212</v>
      </c>
      <c r="K1290" s="80" t="s">
        <v>213</v>
      </c>
      <c r="L1290" s="30" t="s">
        <v>191</v>
      </c>
      <c r="M1290" s="68">
        <v>7</v>
      </c>
      <c r="N1290" s="181" t="str">
        <f t="shared" si="21"/>
        <v>да</v>
      </c>
      <c r="O1290" s="23">
        <v>44713</v>
      </c>
      <c r="P1290" s="23">
        <v>44756</v>
      </c>
      <c r="Q1290" s="106" t="s">
        <v>66</v>
      </c>
      <c r="R1290" s="37">
        <v>278</v>
      </c>
      <c r="S1290" s="39" t="s">
        <v>690</v>
      </c>
      <c r="T1290" s="37">
        <v>1352</v>
      </c>
      <c r="U1290" s="39" t="s">
        <v>1742</v>
      </c>
      <c r="V1290" s="69" t="s">
        <v>272</v>
      </c>
      <c r="W1290" s="89" t="s">
        <v>173</v>
      </c>
      <c r="X1290" s="106" t="s">
        <v>297</v>
      </c>
      <c r="Y1290" s="107" t="s">
        <v>12</v>
      </c>
      <c r="Z1290" s="67">
        <f>IF(База_КР_КК[[#This Row],[Таб.номер резервиста]]="-","-",IF(OR(База_КР_КК[[#This Row],[Уровень КК]]=2,База_КР_КК[[#This Row],[Уровень КК]]=3),IF(COUNTIFS($U$2:$U1290,$U1290,$F$2:$F1290,$F1290)=1,1,0),IF(COUNTIFS($U$2:$U1290,$U1290,$L$2:$L1290,$L1290)=1,1,0)))</f>
        <v>0</v>
      </c>
      <c r="AA12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0" s="106"/>
      <c r="AC1290" s="51"/>
      <c r="AD1290" s="106" t="s">
        <v>15</v>
      </c>
      <c r="AE1290" s="38" t="s">
        <v>343</v>
      </c>
    </row>
    <row r="1291" spans="1:31" ht="18" customHeight="1" x14ac:dyDescent="0.25">
      <c r="A12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1" s="79">
        <v>4</v>
      </c>
      <c r="C1291" s="23">
        <v>44425</v>
      </c>
      <c r="D1291" s="67">
        <f>IF(COUNTIF($G$2:$G1291,$G1291)=1,1,0)</f>
        <v>0</v>
      </c>
      <c r="E1291" s="67" t="str">
        <f>IFERROR(VLOOKUP(База_КР_КК[[#This Row],[ИД штатной должности (S)]],'уровень защищенности'!$B$7:$F$1095,5,0),"не защищена")</f>
        <v>высокий</v>
      </c>
      <c r="F1291" s="68">
        <v>500284</v>
      </c>
      <c r="G1291" s="74" t="s">
        <v>2446</v>
      </c>
      <c r="H1291" s="181">
        <f>INDEX('Списки данных'!$D$2:$D$1048576,MATCH(База_КР_КК[[#This Row],[Структурное подразделение]],'Списки данных'!$C$2:$C$1048576,0))</f>
        <v>13</v>
      </c>
      <c r="I1291" s="80" t="s">
        <v>173</v>
      </c>
      <c r="J1291" s="80" t="s">
        <v>212</v>
      </c>
      <c r="K1291" s="80" t="s">
        <v>213</v>
      </c>
      <c r="L1291" s="30" t="s">
        <v>191</v>
      </c>
      <c r="M1291" s="68">
        <v>7</v>
      </c>
      <c r="N1291" s="181" t="str">
        <f t="shared" si="21"/>
        <v>да</v>
      </c>
      <c r="O1291" s="23">
        <v>44713</v>
      </c>
      <c r="P1291" s="23">
        <v>44756</v>
      </c>
      <c r="Q1291" s="106" t="s">
        <v>66</v>
      </c>
      <c r="R1291" s="37">
        <v>278</v>
      </c>
      <c r="S1291" s="39" t="s">
        <v>690</v>
      </c>
      <c r="T1291" s="37">
        <v>1353</v>
      </c>
      <c r="U1291" s="39" t="s">
        <v>1743</v>
      </c>
      <c r="V1291" s="69" t="s">
        <v>272</v>
      </c>
      <c r="W1291" s="89" t="s">
        <v>173</v>
      </c>
      <c r="X1291" s="106" t="s">
        <v>296</v>
      </c>
      <c r="Y1291" s="107" t="s">
        <v>12</v>
      </c>
      <c r="Z1291" s="67">
        <f>IF(База_КР_КК[[#This Row],[Таб.номер резервиста]]="-","-",IF(OR(База_КР_КК[[#This Row],[Уровень КК]]=2,База_КР_КК[[#This Row],[Уровень КК]]=3),IF(COUNTIFS($U$2:$U1291,$U1291,$F$2:$F1291,$F1291)=1,1,0),IF(COUNTIFS($U$2:$U1291,$U1291,$L$2:$L1291,$L1291)=1,1,0)))</f>
        <v>0</v>
      </c>
      <c r="AA12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1" s="106"/>
      <c r="AC1291" s="51"/>
      <c r="AD1291" s="106" t="s">
        <v>15</v>
      </c>
      <c r="AE1291" s="38" t="s">
        <v>343</v>
      </c>
    </row>
    <row r="1292" spans="1:31" ht="18" customHeight="1" x14ac:dyDescent="0.25">
      <c r="A12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2" s="79">
        <v>4</v>
      </c>
      <c r="C1292" s="23">
        <v>44425</v>
      </c>
      <c r="D1292" s="67">
        <f>IF(COUNTIF($G$2:$G1292,$G1292)=1,1,0)</f>
        <v>0</v>
      </c>
      <c r="E1292" s="67" t="str">
        <f>IFERROR(VLOOKUP(База_КР_КК[[#This Row],[ИД штатной должности (S)]],'уровень защищенности'!$B$7:$F$1095,5,0),"не защищена")</f>
        <v>высокий</v>
      </c>
      <c r="F1292" s="68">
        <v>500284</v>
      </c>
      <c r="G1292" s="74" t="s">
        <v>2446</v>
      </c>
      <c r="H1292" s="181">
        <f>INDEX('Списки данных'!$D$2:$D$1048576,MATCH(База_КР_КК[[#This Row],[Структурное подразделение]],'Списки данных'!$C$2:$C$1048576,0))</f>
        <v>13</v>
      </c>
      <c r="I1292" s="80" t="s">
        <v>173</v>
      </c>
      <c r="J1292" s="80" t="s">
        <v>212</v>
      </c>
      <c r="K1292" s="80" t="s">
        <v>213</v>
      </c>
      <c r="L1292" s="30" t="s">
        <v>191</v>
      </c>
      <c r="M1292" s="68">
        <v>7</v>
      </c>
      <c r="N1292" s="181" t="str">
        <f t="shared" si="21"/>
        <v>да</v>
      </c>
      <c r="O1292" s="23">
        <v>44713</v>
      </c>
      <c r="P1292" s="23">
        <v>44756</v>
      </c>
      <c r="Q1292" s="106" t="s">
        <v>66</v>
      </c>
      <c r="R1292" s="37">
        <v>278</v>
      </c>
      <c r="S1292" s="39" t="s">
        <v>690</v>
      </c>
      <c r="T1292" s="37">
        <v>1354</v>
      </c>
      <c r="U1292" s="39" t="s">
        <v>1744</v>
      </c>
      <c r="V1292" s="69" t="s">
        <v>272</v>
      </c>
      <c r="W1292" s="89" t="s">
        <v>173</v>
      </c>
      <c r="X1292" s="106" t="s">
        <v>297</v>
      </c>
      <c r="Y1292" s="107" t="s">
        <v>12</v>
      </c>
      <c r="Z1292" s="67">
        <f>IF(База_КР_КК[[#This Row],[Таб.номер резервиста]]="-","-",IF(OR(База_КР_КК[[#This Row],[Уровень КК]]=2,База_КР_КК[[#This Row],[Уровень КК]]=3),IF(COUNTIFS($U$2:$U1292,$U1292,$F$2:$F1292,$F1292)=1,1,0),IF(COUNTIFS($U$2:$U1292,$U1292,$L$2:$L1292,$L1292)=1,1,0)))</f>
        <v>0</v>
      </c>
      <c r="AA12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2" s="106"/>
      <c r="AC1292" s="51"/>
      <c r="AD1292" s="106" t="s">
        <v>15</v>
      </c>
      <c r="AE1292" s="38" t="s">
        <v>343</v>
      </c>
    </row>
    <row r="1293" spans="1:31" ht="18" customHeight="1" x14ac:dyDescent="0.25">
      <c r="A12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3" s="79">
        <v>4</v>
      </c>
      <c r="C1293" s="23">
        <v>44890</v>
      </c>
      <c r="D1293" s="67">
        <f>IF(COUNTIF($G$2:$G1293,$G1293)=1,1,0)</f>
        <v>0</v>
      </c>
      <c r="E1293" s="67" t="str">
        <f>IFERROR(VLOOKUP(База_КР_КК[[#This Row],[ИД штатной должности (S)]],'уровень защищенности'!$B$7:$F$1095,5,0),"не защищена")</f>
        <v>высокий</v>
      </c>
      <c r="F1293" s="68">
        <v>500284</v>
      </c>
      <c r="G1293" s="74" t="s">
        <v>2446</v>
      </c>
      <c r="H1293" s="181">
        <f>INDEX('Списки данных'!$D$2:$D$1048576,MATCH(База_КР_КК[[#This Row],[Структурное подразделение]],'Списки данных'!$C$2:$C$1048576,0))</f>
        <v>13</v>
      </c>
      <c r="I1293" s="80" t="s">
        <v>173</v>
      </c>
      <c r="J1293" s="80" t="s">
        <v>212</v>
      </c>
      <c r="K1293" s="80" t="s">
        <v>213</v>
      </c>
      <c r="L1293" s="30" t="s">
        <v>191</v>
      </c>
      <c r="M1293" s="68">
        <v>7</v>
      </c>
      <c r="N1293" s="181" t="str">
        <f t="shared" si="21"/>
        <v>да</v>
      </c>
      <c r="O1293" s="23">
        <v>44713</v>
      </c>
      <c r="P1293" s="23">
        <v>44756</v>
      </c>
      <c r="Q1293" s="106" t="s">
        <v>66</v>
      </c>
      <c r="R1293" s="37">
        <v>278</v>
      </c>
      <c r="S1293" s="39" t="s">
        <v>690</v>
      </c>
      <c r="T1293" s="37">
        <v>1355</v>
      </c>
      <c r="U1293" s="39" t="s">
        <v>1500</v>
      </c>
      <c r="V1293" s="69" t="s">
        <v>272</v>
      </c>
      <c r="W1293" s="89" t="s">
        <v>173</v>
      </c>
      <c r="X1293" s="106" t="s">
        <v>297</v>
      </c>
      <c r="Y1293" s="107" t="s">
        <v>12</v>
      </c>
      <c r="Z1293" s="67">
        <f>IF(База_КР_КК[[#This Row],[Таб.номер резервиста]]="-","-",IF(OR(База_КР_КК[[#This Row],[Уровень КК]]=2,База_КР_КК[[#This Row],[Уровень КК]]=3),IF(COUNTIFS($U$2:$U1293,$U1293,$F$2:$F1293,$F1293)=1,1,0),IF(COUNTIFS($U$2:$U1293,$U1293,$L$2:$L1293,$L1293)=1,1,0)))</f>
        <v>0</v>
      </c>
      <c r="AA12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3" s="106"/>
      <c r="AC1293" s="51"/>
      <c r="AD1293" s="106" t="s">
        <v>15</v>
      </c>
      <c r="AE1293" s="38" t="s">
        <v>344</v>
      </c>
    </row>
    <row r="1294" spans="1:31" ht="18" customHeight="1" x14ac:dyDescent="0.25">
      <c r="A12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4" s="79">
        <v>4</v>
      </c>
      <c r="C1294" s="23">
        <v>44890</v>
      </c>
      <c r="D1294" s="67">
        <f>IF(COUNTIF($G$2:$G1294,$G1294)=1,1,0)</f>
        <v>0</v>
      </c>
      <c r="E1294" s="67" t="str">
        <f>IFERROR(VLOOKUP(База_КР_КК[[#This Row],[ИД штатной должности (S)]],'уровень защищенности'!$B$7:$F$1095,5,0),"не защищена")</f>
        <v>высокий</v>
      </c>
      <c r="F1294" s="68">
        <v>500284</v>
      </c>
      <c r="G1294" s="74" t="s">
        <v>2446</v>
      </c>
      <c r="H1294" s="181">
        <f>INDEX('Списки данных'!$D$2:$D$1048576,MATCH(База_КР_КК[[#This Row],[Структурное подразделение]],'Списки данных'!$C$2:$C$1048576,0))</f>
        <v>13</v>
      </c>
      <c r="I1294" s="80" t="s">
        <v>173</v>
      </c>
      <c r="J1294" s="80" t="s">
        <v>212</v>
      </c>
      <c r="K1294" s="80" t="s">
        <v>213</v>
      </c>
      <c r="L1294" s="30" t="s">
        <v>191</v>
      </c>
      <c r="M1294" s="68">
        <v>7</v>
      </c>
      <c r="N1294" s="181" t="str">
        <f t="shared" si="21"/>
        <v>да</v>
      </c>
      <c r="O1294" s="23">
        <v>44713</v>
      </c>
      <c r="P1294" s="23">
        <v>44756</v>
      </c>
      <c r="Q1294" s="106" t="s">
        <v>66</v>
      </c>
      <c r="R1294" s="37">
        <v>278</v>
      </c>
      <c r="S1294" s="39" t="s">
        <v>690</v>
      </c>
      <c r="T1294" s="37">
        <v>1356</v>
      </c>
      <c r="U1294" s="39" t="s">
        <v>1745</v>
      </c>
      <c r="V1294" s="69" t="s">
        <v>272</v>
      </c>
      <c r="W1294" s="89" t="s">
        <v>173</v>
      </c>
      <c r="X1294" s="106" t="s">
        <v>295</v>
      </c>
      <c r="Y1294" s="107" t="s">
        <v>12</v>
      </c>
      <c r="Z1294" s="67">
        <f>IF(База_КР_КК[[#This Row],[Таб.номер резервиста]]="-","-",IF(OR(База_КР_КК[[#This Row],[Уровень КК]]=2,База_КР_КК[[#This Row],[Уровень КК]]=3),IF(COUNTIFS($U$2:$U1294,$U1294,$F$2:$F1294,$F1294)=1,1,0),IF(COUNTIFS($U$2:$U1294,$U1294,$L$2:$L1294,$L1294)=1,1,0)))</f>
        <v>0</v>
      </c>
      <c r="AA12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4" s="106"/>
      <c r="AC1294" s="51"/>
      <c r="AD1294" s="106" t="s">
        <v>15</v>
      </c>
      <c r="AE1294" s="38" t="s">
        <v>344</v>
      </c>
    </row>
    <row r="1295" spans="1:31" ht="18" customHeight="1" x14ac:dyDescent="0.25">
      <c r="A12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5" s="79">
        <v>4</v>
      </c>
      <c r="C1295" s="23">
        <v>44425</v>
      </c>
      <c r="D1295" s="67">
        <f>IF(COUNTIF($G$2:$G1295,$G1295)=1,1,0)</f>
        <v>0</v>
      </c>
      <c r="E1295" s="67" t="str">
        <f>IFERROR(VLOOKUP(База_КР_КК[[#This Row],[ИД штатной должности (S)]],'уровень защищенности'!$B$7:$F$1095,5,0),"не защищена")</f>
        <v>высокий</v>
      </c>
      <c r="F1295" s="68">
        <v>500284</v>
      </c>
      <c r="G1295" s="74" t="s">
        <v>2446</v>
      </c>
      <c r="H1295" s="181">
        <f>INDEX('Списки данных'!$D$2:$D$1048576,MATCH(База_КР_КК[[#This Row],[Структурное подразделение]],'Списки данных'!$C$2:$C$1048576,0))</f>
        <v>13</v>
      </c>
      <c r="I1295" s="80" t="s">
        <v>173</v>
      </c>
      <c r="J1295" s="83" t="s">
        <v>212</v>
      </c>
      <c r="K1295" s="83" t="s">
        <v>213</v>
      </c>
      <c r="L1295" s="30" t="s">
        <v>191</v>
      </c>
      <c r="M1295" s="68">
        <v>7</v>
      </c>
      <c r="N1295" s="181" t="str">
        <f t="shared" si="21"/>
        <v>да</v>
      </c>
      <c r="O1295" s="23">
        <v>44713</v>
      </c>
      <c r="P1295" s="23">
        <v>44756</v>
      </c>
      <c r="Q1295" s="106" t="s">
        <v>66</v>
      </c>
      <c r="R1295" s="37">
        <v>278</v>
      </c>
      <c r="S1295" s="39" t="s">
        <v>690</v>
      </c>
      <c r="T1295" s="37">
        <v>407</v>
      </c>
      <c r="U1295" s="39" t="s">
        <v>819</v>
      </c>
      <c r="V1295" s="69" t="s">
        <v>192</v>
      </c>
      <c r="W1295" s="89" t="s">
        <v>173</v>
      </c>
      <c r="X1295" s="106" t="s">
        <v>295</v>
      </c>
      <c r="Y1295" s="107" t="s">
        <v>14</v>
      </c>
      <c r="Z1295" s="67">
        <f>IF(База_КР_КК[[#This Row],[Таб.номер резервиста]]="-","-",IF(OR(База_КР_КК[[#This Row],[Уровень КК]]=2,База_КР_КК[[#This Row],[Уровень КК]]=3),IF(COUNTIFS($U$2:$U1295,$U1295,$F$2:$F1295,$F1295)=1,1,0),IF(COUNTIFS($U$2:$U1295,$U1295,$L$2:$L1295,$L1295)=1,1,0)))</f>
        <v>0</v>
      </c>
      <c r="AA12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5" s="106" t="s">
        <v>24</v>
      </c>
      <c r="AC1295" s="51">
        <v>44539</v>
      </c>
      <c r="AD1295" s="106" t="s">
        <v>15</v>
      </c>
      <c r="AE1295" s="38" t="s">
        <v>343</v>
      </c>
    </row>
    <row r="1296" spans="1:31" ht="18" customHeight="1" x14ac:dyDescent="0.25">
      <c r="A12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6" s="79">
        <v>4</v>
      </c>
      <c r="C1296" s="23">
        <v>44425</v>
      </c>
      <c r="D1296" s="67">
        <f>IF(COUNTIF($G$2:$G1296,$G1296)=1,1,0)</f>
        <v>0</v>
      </c>
      <c r="E1296" s="67" t="str">
        <f>IFERROR(VLOOKUP(База_КР_КК[[#This Row],[ИД штатной должности (S)]],'уровень защищенности'!$B$7:$F$1095,5,0),"не защищена")</f>
        <v>высокий</v>
      </c>
      <c r="F1296" s="68">
        <v>500284</v>
      </c>
      <c r="G1296" s="74" t="s">
        <v>2446</v>
      </c>
      <c r="H1296" s="181">
        <f>INDEX('Списки данных'!$D$2:$D$1048576,MATCH(База_КР_КК[[#This Row],[Структурное подразделение]],'Списки данных'!$C$2:$C$1048576,0))</f>
        <v>13</v>
      </c>
      <c r="I1296" s="80" t="s">
        <v>173</v>
      </c>
      <c r="J1296" s="80" t="s">
        <v>212</v>
      </c>
      <c r="K1296" s="80" t="s">
        <v>213</v>
      </c>
      <c r="L1296" s="30" t="s">
        <v>191</v>
      </c>
      <c r="M1296" s="68">
        <v>7</v>
      </c>
      <c r="N1296" s="181" t="str">
        <f t="shared" si="21"/>
        <v>да</v>
      </c>
      <c r="O1296" s="23">
        <v>44713</v>
      </c>
      <c r="P1296" s="23">
        <v>44756</v>
      </c>
      <c r="Q1296" s="106" t="s">
        <v>66</v>
      </c>
      <c r="R1296" s="37">
        <v>278</v>
      </c>
      <c r="S1296" s="39" t="s">
        <v>690</v>
      </c>
      <c r="T1296" s="37">
        <v>277</v>
      </c>
      <c r="U1296" s="39" t="s">
        <v>689</v>
      </c>
      <c r="V1296" s="69" t="s">
        <v>272</v>
      </c>
      <c r="W1296" s="89" t="s">
        <v>173</v>
      </c>
      <c r="X1296" s="106" t="s">
        <v>297</v>
      </c>
      <c r="Y1296" s="107" t="s">
        <v>14</v>
      </c>
      <c r="Z1296" s="67">
        <f>IF(База_КР_КК[[#This Row],[Таб.номер резервиста]]="-","-",IF(OR(База_КР_КК[[#This Row],[Уровень КК]]=2,База_КР_КК[[#This Row],[Уровень КК]]=3),IF(COUNTIFS($U$2:$U1296,$U1296,$F$2:$F1296,$F1296)=1,1,0),IF(COUNTIFS($U$2:$U1296,$U1296,$L$2:$L1296,$L1296)=1,1,0)))</f>
        <v>0</v>
      </c>
      <c r="AA12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6" s="106" t="s">
        <v>24</v>
      </c>
      <c r="AC1296" s="51">
        <v>44805</v>
      </c>
      <c r="AD1296" s="106" t="s">
        <v>15</v>
      </c>
      <c r="AE1296" s="38" t="s">
        <v>343</v>
      </c>
    </row>
    <row r="1297" spans="1:31" ht="18" customHeight="1" x14ac:dyDescent="0.25">
      <c r="A12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7" s="79">
        <v>4</v>
      </c>
      <c r="C1297" s="23">
        <v>44425</v>
      </c>
      <c r="D1297" s="67">
        <f>IF(COUNTIF($G$2:$G1297,$G1297)=1,1,0)</f>
        <v>0</v>
      </c>
      <c r="E1297" s="67" t="str">
        <f>IFERROR(VLOOKUP(База_КР_КК[[#This Row],[ИД штатной должности (S)]],'уровень защищенности'!$B$7:$F$1095,5,0),"не защищена")</f>
        <v>высокий</v>
      </c>
      <c r="F1297" s="68">
        <v>500284</v>
      </c>
      <c r="G1297" s="74" t="s">
        <v>2446</v>
      </c>
      <c r="H1297" s="181">
        <f>INDEX('Списки данных'!$D$2:$D$1048576,MATCH(База_КР_КК[[#This Row],[Структурное подразделение]],'Списки данных'!$C$2:$C$1048576,0))</f>
        <v>13</v>
      </c>
      <c r="I1297" s="80" t="s">
        <v>173</v>
      </c>
      <c r="J1297" s="80" t="s">
        <v>212</v>
      </c>
      <c r="K1297" s="80" t="s">
        <v>213</v>
      </c>
      <c r="L1297" s="30" t="s">
        <v>191</v>
      </c>
      <c r="M1297" s="68">
        <v>7</v>
      </c>
      <c r="N1297" s="181" t="str">
        <f t="shared" si="21"/>
        <v>да</v>
      </c>
      <c r="O1297" s="23">
        <v>44713</v>
      </c>
      <c r="P1297" s="23">
        <v>44756</v>
      </c>
      <c r="Q1297" s="106" t="s">
        <v>66</v>
      </c>
      <c r="R1297" s="37">
        <v>278</v>
      </c>
      <c r="S1297" s="39" t="s">
        <v>690</v>
      </c>
      <c r="T1297" s="37">
        <v>278</v>
      </c>
      <c r="U1297" s="39" t="s">
        <v>690</v>
      </c>
      <c r="V1297" s="69" t="s">
        <v>272</v>
      </c>
      <c r="W1297" s="89" t="s">
        <v>173</v>
      </c>
      <c r="X1297" s="106" t="s">
        <v>295</v>
      </c>
      <c r="Y1297" s="107" t="s">
        <v>14</v>
      </c>
      <c r="Z1297" s="67">
        <f>IF(База_КР_КК[[#This Row],[Таб.номер резервиста]]="-","-",IF(OR(База_КР_КК[[#This Row],[Уровень КК]]=2,База_КР_КК[[#This Row],[Уровень КК]]=3),IF(COUNTIFS($U$2:$U1297,$U1297,$F$2:$F1297,$F1297)=1,1,0),IF(COUNTIFS($U$2:$U1297,$U1297,$L$2:$L1297,$L1297)=1,1,0)))</f>
        <v>0</v>
      </c>
      <c r="AA12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297" s="106" t="s">
        <v>24</v>
      </c>
      <c r="AC1297" s="51">
        <v>44756</v>
      </c>
      <c r="AD1297" s="106" t="s">
        <v>15</v>
      </c>
      <c r="AE1297" s="38" t="s">
        <v>343</v>
      </c>
    </row>
    <row r="1298" spans="1:31" ht="18" customHeight="1" x14ac:dyDescent="0.25">
      <c r="A12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8" s="79">
        <v>4</v>
      </c>
      <c r="C1298" s="23">
        <v>44425</v>
      </c>
      <c r="D1298" s="67">
        <f>IF(COUNTIF($G$2:$G1298,$G1298)=1,1,0)</f>
        <v>0</v>
      </c>
      <c r="E1298" s="67" t="str">
        <f>IFERROR(VLOOKUP(База_КР_КК[[#This Row],[ИД штатной должности (S)]],'уровень защищенности'!$B$7:$F$1095,5,0),"не защищена")</f>
        <v>высокий</v>
      </c>
      <c r="F1298" s="68">
        <v>500284</v>
      </c>
      <c r="G1298" s="74" t="s">
        <v>2446</v>
      </c>
      <c r="H1298" s="181">
        <f>INDEX('Списки данных'!$D$2:$D$1048576,MATCH(База_КР_КК[[#This Row],[Структурное подразделение]],'Списки данных'!$C$2:$C$1048576,0))</f>
        <v>13</v>
      </c>
      <c r="I1298" s="80" t="s">
        <v>173</v>
      </c>
      <c r="J1298" s="80" t="s">
        <v>212</v>
      </c>
      <c r="K1298" s="80" t="s">
        <v>213</v>
      </c>
      <c r="L1298" s="30" t="s">
        <v>191</v>
      </c>
      <c r="M1298" s="68">
        <v>7</v>
      </c>
      <c r="N1298" s="181" t="str">
        <f t="shared" si="21"/>
        <v>да</v>
      </c>
      <c r="O1298" s="23">
        <v>44713</v>
      </c>
      <c r="P1298" s="23">
        <v>44756</v>
      </c>
      <c r="Q1298" s="106" t="s">
        <v>66</v>
      </c>
      <c r="R1298" s="37">
        <v>278</v>
      </c>
      <c r="S1298" s="39" t="s">
        <v>690</v>
      </c>
      <c r="T1298" s="37">
        <v>1357</v>
      </c>
      <c r="U1298" s="39" t="s">
        <v>1746</v>
      </c>
      <c r="V1298" s="69" t="s">
        <v>272</v>
      </c>
      <c r="W1298" s="89" t="s">
        <v>173</v>
      </c>
      <c r="X1298" s="106" t="s">
        <v>296</v>
      </c>
      <c r="Y1298" s="107" t="s">
        <v>18</v>
      </c>
      <c r="Z1298" s="67">
        <f>IF(База_КР_КК[[#This Row],[Таб.номер резервиста]]="-","-",IF(OR(База_КР_КК[[#This Row],[Уровень КК]]=2,База_КР_КК[[#This Row],[Уровень КК]]=3),IF(COUNTIFS($U$2:$U1298,$U1298,$F$2:$F1298,$F1298)=1,1,0),IF(COUNTIFS($U$2:$U1298,$U1298,$L$2:$L1298,$L1298)=1,1,0)))</f>
        <v>0</v>
      </c>
      <c r="AA12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8" s="106" t="s">
        <v>38</v>
      </c>
      <c r="AC1298" s="51">
        <v>44890</v>
      </c>
      <c r="AD1298" s="106" t="s">
        <v>31</v>
      </c>
      <c r="AE1298" s="38" t="s">
        <v>344</v>
      </c>
    </row>
    <row r="1299" spans="1:31" ht="18" customHeight="1" x14ac:dyDescent="0.25">
      <c r="A12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299" s="79">
        <v>4</v>
      </c>
      <c r="C1299" s="23">
        <v>44425</v>
      </c>
      <c r="D1299" s="67">
        <f>IF(COUNTIF($G$2:$G1299,$G1299)=1,1,0)</f>
        <v>1</v>
      </c>
      <c r="E1299" s="67" t="str">
        <f>IFERROR(VLOOKUP(База_КР_КК[[#This Row],[ИД штатной должности (S)]],'уровень защищенности'!$B$7:$F$1095,5,0),"не защищена")</f>
        <v>высокий</v>
      </c>
      <c r="F1299" s="68">
        <v>500284</v>
      </c>
      <c r="G1299" s="74" t="s">
        <v>2447</v>
      </c>
      <c r="H1299" s="181">
        <f>INDEX('Списки данных'!$D$2:$D$1048576,MATCH(База_КР_КК[[#This Row],[Структурное подразделение]],'Списки данных'!$C$2:$C$1048576,0))</f>
        <v>13</v>
      </c>
      <c r="I1299" s="80" t="s">
        <v>173</v>
      </c>
      <c r="J1299" s="80" t="s">
        <v>212</v>
      </c>
      <c r="K1299" s="80" t="s">
        <v>213</v>
      </c>
      <c r="L1299" s="30" t="s">
        <v>191</v>
      </c>
      <c r="M1299" s="68">
        <v>7</v>
      </c>
      <c r="N1299" s="181" t="str">
        <f t="shared" si="21"/>
        <v>нет</v>
      </c>
      <c r="O1299" s="23"/>
      <c r="P1299" s="23"/>
      <c r="Q1299" s="106"/>
      <c r="R1299" s="37">
        <v>279</v>
      </c>
      <c r="S1299" s="38" t="s">
        <v>691</v>
      </c>
      <c r="T1299" s="37">
        <v>1352</v>
      </c>
      <c r="U1299" s="39" t="s">
        <v>1742</v>
      </c>
      <c r="V1299" s="69" t="s">
        <v>272</v>
      </c>
      <c r="W1299" s="89" t="s">
        <v>173</v>
      </c>
      <c r="X1299" s="106" t="s">
        <v>297</v>
      </c>
      <c r="Y1299" s="107" t="s">
        <v>12</v>
      </c>
      <c r="Z1299" s="67">
        <f>IF(База_КР_КК[[#This Row],[Таб.номер резервиста]]="-","-",IF(OR(База_КР_КК[[#This Row],[Уровень КК]]=2,База_КР_КК[[#This Row],[Уровень КК]]=3),IF(COUNTIFS($U$2:$U1299,$U1299,$F$2:$F1299,$F1299)=1,1,0),IF(COUNTIFS($U$2:$U1299,$U1299,$L$2:$L1299,$L1299)=1,1,0)))</f>
        <v>0</v>
      </c>
      <c r="AA12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299" s="106"/>
      <c r="AC1299" s="51"/>
      <c r="AD1299" s="106" t="s">
        <v>15</v>
      </c>
      <c r="AE1299" s="38" t="s">
        <v>343</v>
      </c>
    </row>
    <row r="1300" spans="1:31" ht="18" customHeight="1" x14ac:dyDescent="0.25">
      <c r="A13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0" s="79">
        <v>4</v>
      </c>
      <c r="C1300" s="23">
        <v>44425</v>
      </c>
      <c r="D1300" s="67">
        <f>IF(COUNTIF($G$2:$G1300,$G1300)=1,1,0)</f>
        <v>0</v>
      </c>
      <c r="E1300" s="67" t="str">
        <f>IFERROR(VLOOKUP(База_КР_КК[[#This Row],[ИД штатной должности (S)]],'уровень защищенности'!$B$7:$F$1095,5,0),"не защищена")</f>
        <v>высокий</v>
      </c>
      <c r="F1300" s="68">
        <v>500284</v>
      </c>
      <c r="G1300" s="74" t="s">
        <v>2447</v>
      </c>
      <c r="H1300" s="181">
        <f>INDEX('Списки данных'!$D$2:$D$1048576,MATCH(База_КР_КК[[#This Row],[Структурное подразделение]],'Списки данных'!$C$2:$C$1048576,0))</f>
        <v>13</v>
      </c>
      <c r="I1300" s="80" t="s">
        <v>173</v>
      </c>
      <c r="J1300" s="80" t="s">
        <v>212</v>
      </c>
      <c r="K1300" s="80" t="s">
        <v>213</v>
      </c>
      <c r="L1300" s="30" t="s">
        <v>191</v>
      </c>
      <c r="M1300" s="68">
        <v>7</v>
      </c>
      <c r="N1300" s="181" t="str">
        <f t="shared" si="21"/>
        <v>нет</v>
      </c>
      <c r="O1300" s="23"/>
      <c r="P1300" s="23"/>
      <c r="Q1300" s="106"/>
      <c r="R1300" s="37">
        <v>279</v>
      </c>
      <c r="S1300" s="38" t="s">
        <v>691</v>
      </c>
      <c r="T1300" s="37">
        <v>1353</v>
      </c>
      <c r="U1300" s="39" t="s">
        <v>1743</v>
      </c>
      <c r="V1300" s="69" t="s">
        <v>272</v>
      </c>
      <c r="W1300" s="89" t="s">
        <v>173</v>
      </c>
      <c r="X1300" s="106" t="s">
        <v>296</v>
      </c>
      <c r="Y1300" s="107" t="s">
        <v>12</v>
      </c>
      <c r="Z1300" s="67">
        <f>IF(База_КР_КК[[#This Row],[Таб.номер резервиста]]="-","-",IF(OR(База_КР_КК[[#This Row],[Уровень КК]]=2,База_КР_КК[[#This Row],[Уровень КК]]=3),IF(COUNTIFS($U$2:$U1300,$U1300,$F$2:$F1300,$F1300)=1,1,0),IF(COUNTIFS($U$2:$U1300,$U1300,$L$2:$L1300,$L1300)=1,1,0)))</f>
        <v>0</v>
      </c>
      <c r="AA13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0" s="106"/>
      <c r="AC1300" s="51"/>
      <c r="AD1300" s="106" t="s">
        <v>15</v>
      </c>
      <c r="AE1300" s="38" t="s">
        <v>343</v>
      </c>
    </row>
    <row r="1301" spans="1:31" ht="18" customHeight="1" x14ac:dyDescent="0.25">
      <c r="A13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1" s="79">
        <v>4</v>
      </c>
      <c r="C1301" s="23">
        <v>44425</v>
      </c>
      <c r="D1301" s="67">
        <f>IF(COUNTIF($G$2:$G1301,$G1301)=1,1,0)</f>
        <v>0</v>
      </c>
      <c r="E1301" s="67" t="str">
        <f>IFERROR(VLOOKUP(База_КР_КК[[#This Row],[ИД штатной должности (S)]],'уровень защищенности'!$B$7:$F$1095,5,0),"не защищена")</f>
        <v>высокий</v>
      </c>
      <c r="F1301" s="68">
        <v>500284</v>
      </c>
      <c r="G1301" s="74" t="s">
        <v>2447</v>
      </c>
      <c r="H1301" s="181">
        <f>INDEX('Списки данных'!$D$2:$D$1048576,MATCH(База_КР_КК[[#This Row],[Структурное подразделение]],'Списки данных'!$C$2:$C$1048576,0))</f>
        <v>13</v>
      </c>
      <c r="I1301" s="80" t="s">
        <v>173</v>
      </c>
      <c r="J1301" s="80" t="s">
        <v>212</v>
      </c>
      <c r="K1301" s="80" t="s">
        <v>213</v>
      </c>
      <c r="L1301" s="30" t="s">
        <v>191</v>
      </c>
      <c r="M1301" s="68">
        <v>7</v>
      </c>
      <c r="N1301" s="181" t="str">
        <f t="shared" si="21"/>
        <v>нет</v>
      </c>
      <c r="O1301" s="23"/>
      <c r="P1301" s="23"/>
      <c r="Q1301" s="106"/>
      <c r="R1301" s="37">
        <v>279</v>
      </c>
      <c r="S1301" s="38" t="s">
        <v>691</v>
      </c>
      <c r="T1301" s="37">
        <v>1354</v>
      </c>
      <c r="U1301" s="39" t="s">
        <v>1744</v>
      </c>
      <c r="V1301" s="69" t="s">
        <v>272</v>
      </c>
      <c r="W1301" s="89" t="s">
        <v>173</v>
      </c>
      <c r="X1301" s="106" t="s">
        <v>297</v>
      </c>
      <c r="Y1301" s="107" t="s">
        <v>12</v>
      </c>
      <c r="Z1301" s="67">
        <f>IF(База_КР_КК[[#This Row],[Таб.номер резервиста]]="-","-",IF(OR(База_КР_КК[[#This Row],[Уровень КК]]=2,База_КР_КК[[#This Row],[Уровень КК]]=3),IF(COUNTIFS($U$2:$U1301,$U1301,$F$2:$F1301,$F1301)=1,1,0),IF(COUNTIFS($U$2:$U1301,$U1301,$L$2:$L1301,$L1301)=1,1,0)))</f>
        <v>0</v>
      </c>
      <c r="AA13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1" s="106"/>
      <c r="AC1301" s="51"/>
      <c r="AD1301" s="106" t="s">
        <v>15</v>
      </c>
      <c r="AE1301" s="38" t="s">
        <v>343</v>
      </c>
    </row>
    <row r="1302" spans="1:31" ht="18" customHeight="1" x14ac:dyDescent="0.25">
      <c r="A13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2" s="79">
        <v>4</v>
      </c>
      <c r="C1302" s="23">
        <v>44890</v>
      </c>
      <c r="D1302" s="67">
        <f>IF(COUNTIF($G$2:$G1302,$G1302)=1,1,0)</f>
        <v>0</v>
      </c>
      <c r="E1302" s="67" t="str">
        <f>IFERROR(VLOOKUP(База_КР_КК[[#This Row],[ИД штатной должности (S)]],'уровень защищенности'!$B$7:$F$1095,5,0),"не защищена")</f>
        <v>высокий</v>
      </c>
      <c r="F1302" s="68">
        <v>500284</v>
      </c>
      <c r="G1302" s="74" t="s">
        <v>2447</v>
      </c>
      <c r="H1302" s="181">
        <f>INDEX('Списки данных'!$D$2:$D$1048576,MATCH(База_КР_КК[[#This Row],[Структурное подразделение]],'Списки данных'!$C$2:$C$1048576,0))</f>
        <v>13</v>
      </c>
      <c r="I1302" s="80" t="s">
        <v>173</v>
      </c>
      <c r="J1302" s="80" t="s">
        <v>212</v>
      </c>
      <c r="K1302" s="80" t="s">
        <v>213</v>
      </c>
      <c r="L1302" s="30" t="s">
        <v>191</v>
      </c>
      <c r="M1302" s="68">
        <v>7</v>
      </c>
      <c r="N1302" s="181" t="str">
        <f t="shared" si="21"/>
        <v>нет</v>
      </c>
      <c r="O1302" s="23"/>
      <c r="P1302" s="23"/>
      <c r="Q1302" s="106"/>
      <c r="R1302" s="37">
        <v>279</v>
      </c>
      <c r="S1302" s="38" t="s">
        <v>691</v>
      </c>
      <c r="T1302" s="37">
        <v>1355</v>
      </c>
      <c r="U1302" s="39" t="s">
        <v>1500</v>
      </c>
      <c r="V1302" s="69" t="s">
        <v>272</v>
      </c>
      <c r="W1302" s="89" t="s">
        <v>173</v>
      </c>
      <c r="X1302" s="106" t="s">
        <v>297</v>
      </c>
      <c r="Y1302" s="107" t="s">
        <v>12</v>
      </c>
      <c r="Z1302" s="67">
        <f>IF(База_КР_КК[[#This Row],[Таб.номер резервиста]]="-","-",IF(OR(База_КР_КК[[#This Row],[Уровень КК]]=2,База_КР_КК[[#This Row],[Уровень КК]]=3),IF(COUNTIFS($U$2:$U1302,$U1302,$F$2:$F1302,$F1302)=1,1,0),IF(COUNTIFS($U$2:$U1302,$U1302,$L$2:$L1302,$L1302)=1,1,0)))</f>
        <v>0</v>
      </c>
      <c r="AA13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2" s="106"/>
      <c r="AC1302" s="51"/>
      <c r="AD1302" s="106" t="s">
        <v>15</v>
      </c>
      <c r="AE1302" s="38" t="s">
        <v>344</v>
      </c>
    </row>
    <row r="1303" spans="1:31" ht="18" customHeight="1" x14ac:dyDescent="0.25">
      <c r="A13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3" s="79">
        <v>4</v>
      </c>
      <c r="C1303" s="23">
        <v>44890</v>
      </c>
      <c r="D1303" s="67">
        <f>IF(COUNTIF($G$2:$G1303,$G1303)=1,1,0)</f>
        <v>0</v>
      </c>
      <c r="E1303" s="67" t="str">
        <f>IFERROR(VLOOKUP(База_КР_КК[[#This Row],[ИД штатной должности (S)]],'уровень защищенности'!$B$7:$F$1095,5,0),"не защищена")</f>
        <v>высокий</v>
      </c>
      <c r="F1303" s="68">
        <v>500284</v>
      </c>
      <c r="G1303" s="74" t="s">
        <v>2447</v>
      </c>
      <c r="H1303" s="181">
        <f>INDEX('Списки данных'!$D$2:$D$1048576,MATCH(База_КР_КК[[#This Row],[Структурное подразделение]],'Списки данных'!$C$2:$C$1048576,0))</f>
        <v>13</v>
      </c>
      <c r="I1303" s="80" t="s">
        <v>173</v>
      </c>
      <c r="J1303" s="80" t="s">
        <v>212</v>
      </c>
      <c r="K1303" s="80" t="s">
        <v>213</v>
      </c>
      <c r="L1303" s="30" t="s">
        <v>191</v>
      </c>
      <c r="M1303" s="68">
        <v>7</v>
      </c>
      <c r="N1303" s="181" t="str">
        <f t="shared" si="21"/>
        <v>нет</v>
      </c>
      <c r="O1303" s="23"/>
      <c r="P1303" s="23"/>
      <c r="Q1303" s="106"/>
      <c r="R1303" s="37">
        <v>279</v>
      </c>
      <c r="S1303" s="38" t="s">
        <v>691</v>
      </c>
      <c r="T1303" s="37">
        <v>1356</v>
      </c>
      <c r="U1303" s="39" t="s">
        <v>1745</v>
      </c>
      <c r="V1303" s="69" t="s">
        <v>272</v>
      </c>
      <c r="W1303" s="89" t="s">
        <v>173</v>
      </c>
      <c r="X1303" s="106" t="s">
        <v>295</v>
      </c>
      <c r="Y1303" s="107" t="s">
        <v>12</v>
      </c>
      <c r="Z1303" s="67">
        <f>IF(База_КР_КК[[#This Row],[Таб.номер резервиста]]="-","-",IF(OR(База_КР_КК[[#This Row],[Уровень КК]]=2,База_КР_КК[[#This Row],[Уровень КК]]=3),IF(COUNTIFS($U$2:$U1303,$U1303,$F$2:$F1303,$F1303)=1,1,0),IF(COUNTIFS($U$2:$U1303,$U1303,$L$2:$L1303,$L1303)=1,1,0)))</f>
        <v>0</v>
      </c>
      <c r="AA13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3" s="106"/>
      <c r="AC1303" s="51"/>
      <c r="AD1303" s="106" t="s">
        <v>15</v>
      </c>
      <c r="AE1303" s="38" t="s">
        <v>344</v>
      </c>
    </row>
    <row r="1304" spans="1:31" ht="18" customHeight="1" x14ac:dyDescent="0.25">
      <c r="A13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4" s="79">
        <v>4</v>
      </c>
      <c r="C1304" s="23">
        <v>44425</v>
      </c>
      <c r="D1304" s="67">
        <f>IF(COUNTIF($G$2:$G1304,$G1304)=1,1,0)</f>
        <v>0</v>
      </c>
      <c r="E1304" s="67" t="str">
        <f>IFERROR(VLOOKUP(База_КР_КК[[#This Row],[ИД штатной должности (S)]],'уровень защищенности'!$B$7:$F$1095,5,0),"не защищена")</f>
        <v>высокий</v>
      </c>
      <c r="F1304" s="68">
        <v>500284</v>
      </c>
      <c r="G1304" s="74" t="s">
        <v>2447</v>
      </c>
      <c r="H1304" s="181">
        <f>INDEX('Списки данных'!$D$2:$D$1048576,MATCH(База_КР_КК[[#This Row],[Структурное подразделение]],'Списки данных'!$C$2:$C$1048576,0))</f>
        <v>13</v>
      </c>
      <c r="I1304" s="80" t="s">
        <v>173</v>
      </c>
      <c r="J1304" s="83" t="s">
        <v>212</v>
      </c>
      <c r="K1304" s="83" t="s">
        <v>213</v>
      </c>
      <c r="L1304" s="30" t="s">
        <v>191</v>
      </c>
      <c r="M1304" s="68">
        <v>7</v>
      </c>
      <c r="N1304" s="181" t="str">
        <f t="shared" si="21"/>
        <v>нет</v>
      </c>
      <c r="O1304" s="23"/>
      <c r="P1304" s="23"/>
      <c r="Q1304" s="106"/>
      <c r="R1304" s="37">
        <v>279</v>
      </c>
      <c r="S1304" s="38" t="s">
        <v>691</v>
      </c>
      <c r="T1304" s="37">
        <v>407</v>
      </c>
      <c r="U1304" s="39" t="s">
        <v>819</v>
      </c>
      <c r="V1304" s="69" t="s">
        <v>192</v>
      </c>
      <c r="W1304" s="89" t="s">
        <v>173</v>
      </c>
      <c r="X1304" s="106" t="s">
        <v>295</v>
      </c>
      <c r="Y1304" s="107" t="s">
        <v>14</v>
      </c>
      <c r="Z1304" s="67">
        <f>IF(База_КР_КК[[#This Row],[Таб.номер резервиста]]="-","-",IF(OR(База_КР_КК[[#This Row],[Уровень КК]]=2,База_КР_КК[[#This Row],[Уровень КК]]=3),IF(COUNTIFS($U$2:$U1304,$U1304,$F$2:$F1304,$F1304)=1,1,0),IF(COUNTIFS($U$2:$U1304,$U1304,$L$2:$L1304,$L1304)=1,1,0)))</f>
        <v>0</v>
      </c>
      <c r="AA13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4" s="106" t="s">
        <v>24</v>
      </c>
      <c r="AC1304" s="51">
        <v>44539</v>
      </c>
      <c r="AD1304" s="106" t="s">
        <v>15</v>
      </c>
      <c r="AE1304" s="38" t="s">
        <v>343</v>
      </c>
    </row>
    <row r="1305" spans="1:31" ht="18" customHeight="1" x14ac:dyDescent="0.25">
      <c r="A13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5" s="79">
        <v>4</v>
      </c>
      <c r="C1305" s="23">
        <v>44425</v>
      </c>
      <c r="D1305" s="67">
        <f>IF(COUNTIF($G$2:$G1305,$G1305)=1,1,0)</f>
        <v>0</v>
      </c>
      <c r="E1305" s="67" t="str">
        <f>IFERROR(VLOOKUP(База_КР_КК[[#This Row],[ИД штатной должности (S)]],'уровень защищенности'!$B$7:$F$1095,5,0),"не защищена")</f>
        <v>высокий</v>
      </c>
      <c r="F1305" s="68">
        <v>500284</v>
      </c>
      <c r="G1305" s="74" t="s">
        <v>2447</v>
      </c>
      <c r="H1305" s="181">
        <f>INDEX('Списки данных'!$D$2:$D$1048576,MATCH(База_КР_КК[[#This Row],[Структурное подразделение]],'Списки данных'!$C$2:$C$1048576,0))</f>
        <v>13</v>
      </c>
      <c r="I1305" s="80" t="s">
        <v>173</v>
      </c>
      <c r="J1305" s="80" t="s">
        <v>212</v>
      </c>
      <c r="K1305" s="80" t="s">
        <v>213</v>
      </c>
      <c r="L1305" s="30" t="s">
        <v>191</v>
      </c>
      <c r="M1305" s="68">
        <v>7</v>
      </c>
      <c r="N1305" s="181" t="str">
        <f t="shared" si="21"/>
        <v>нет</v>
      </c>
      <c r="O1305" s="23"/>
      <c r="P1305" s="23"/>
      <c r="Q1305" s="106"/>
      <c r="R1305" s="37">
        <v>279</v>
      </c>
      <c r="S1305" s="38" t="s">
        <v>691</v>
      </c>
      <c r="T1305" s="37">
        <v>277</v>
      </c>
      <c r="U1305" s="39" t="s">
        <v>689</v>
      </c>
      <c r="V1305" s="69" t="s">
        <v>272</v>
      </c>
      <c r="W1305" s="89" t="s">
        <v>173</v>
      </c>
      <c r="X1305" s="106" t="s">
        <v>297</v>
      </c>
      <c r="Y1305" s="107" t="s">
        <v>14</v>
      </c>
      <c r="Z1305" s="67">
        <f>IF(База_КР_КК[[#This Row],[Таб.номер резервиста]]="-","-",IF(OR(База_КР_КК[[#This Row],[Уровень КК]]=2,База_КР_КК[[#This Row],[Уровень КК]]=3),IF(COUNTIFS($U$2:$U1305,$U1305,$F$2:$F1305,$F1305)=1,1,0),IF(COUNTIFS($U$2:$U1305,$U1305,$L$2:$L1305,$L1305)=1,1,0)))</f>
        <v>0</v>
      </c>
      <c r="AA13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5" s="106" t="s">
        <v>24</v>
      </c>
      <c r="AC1305" s="51">
        <v>44805</v>
      </c>
      <c r="AD1305" s="106" t="s">
        <v>15</v>
      </c>
      <c r="AE1305" s="38" t="s">
        <v>343</v>
      </c>
    </row>
    <row r="1306" spans="1:31" ht="18" customHeight="1" x14ac:dyDescent="0.25">
      <c r="A13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6" s="79">
        <v>4</v>
      </c>
      <c r="C1306" s="23">
        <v>44425</v>
      </c>
      <c r="D1306" s="67">
        <f>IF(COUNTIF($G$2:$G1306,$G1306)=1,1,0)</f>
        <v>0</v>
      </c>
      <c r="E1306" s="67" t="str">
        <f>IFERROR(VLOOKUP(База_КР_КК[[#This Row],[ИД штатной должности (S)]],'уровень защищенности'!$B$7:$F$1095,5,0),"не защищена")</f>
        <v>высокий</v>
      </c>
      <c r="F1306" s="68">
        <v>500284</v>
      </c>
      <c r="G1306" s="74" t="s">
        <v>2447</v>
      </c>
      <c r="H1306" s="181">
        <f>INDEX('Списки данных'!$D$2:$D$1048576,MATCH(База_КР_КК[[#This Row],[Структурное подразделение]],'Списки данных'!$C$2:$C$1048576,0))</f>
        <v>13</v>
      </c>
      <c r="I1306" s="80" t="s">
        <v>173</v>
      </c>
      <c r="J1306" s="80" t="s">
        <v>212</v>
      </c>
      <c r="K1306" s="80" t="s">
        <v>213</v>
      </c>
      <c r="L1306" s="30" t="s">
        <v>191</v>
      </c>
      <c r="M1306" s="68">
        <v>7</v>
      </c>
      <c r="N1306" s="181" t="str">
        <f t="shared" si="21"/>
        <v>нет</v>
      </c>
      <c r="O1306" s="23"/>
      <c r="P1306" s="23"/>
      <c r="Q1306" s="106"/>
      <c r="R1306" s="37">
        <v>279</v>
      </c>
      <c r="S1306" s="38" t="s">
        <v>691</v>
      </c>
      <c r="T1306" s="37">
        <v>278</v>
      </c>
      <c r="U1306" s="39" t="s">
        <v>690</v>
      </c>
      <c r="V1306" s="69" t="s">
        <v>272</v>
      </c>
      <c r="W1306" s="89" t="s">
        <v>173</v>
      </c>
      <c r="X1306" s="106" t="s">
        <v>295</v>
      </c>
      <c r="Y1306" s="107" t="s">
        <v>14</v>
      </c>
      <c r="Z1306" s="67">
        <f>IF(База_КР_КК[[#This Row],[Таб.номер резервиста]]="-","-",IF(OR(База_КР_КК[[#This Row],[Уровень КК]]=2,База_КР_КК[[#This Row],[Уровень КК]]=3),IF(COUNTIFS($U$2:$U1306,$U1306,$F$2:$F1306,$F1306)=1,1,0),IF(COUNTIFS($U$2:$U1306,$U1306,$L$2:$L1306,$L1306)=1,1,0)))</f>
        <v>0</v>
      </c>
      <c r="AA13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6" s="106" t="s">
        <v>24</v>
      </c>
      <c r="AC1306" s="51">
        <v>44756</v>
      </c>
      <c r="AD1306" s="106" t="s">
        <v>15</v>
      </c>
      <c r="AE1306" s="38" t="s">
        <v>343</v>
      </c>
    </row>
    <row r="1307" spans="1:31" ht="18" customHeight="1" x14ac:dyDescent="0.25">
      <c r="A13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7" s="79">
        <v>4</v>
      </c>
      <c r="C1307" s="23">
        <v>44425</v>
      </c>
      <c r="D1307" s="67">
        <f>IF(COUNTIF($G$2:$G1307,$G1307)=1,1,0)</f>
        <v>0</v>
      </c>
      <c r="E1307" s="67" t="str">
        <f>IFERROR(VLOOKUP(База_КР_КК[[#This Row],[ИД штатной должности (S)]],'уровень защищенности'!$B$7:$F$1095,5,0),"не защищена")</f>
        <v>высокий</v>
      </c>
      <c r="F1307" s="68">
        <v>500284</v>
      </c>
      <c r="G1307" s="74" t="s">
        <v>2447</v>
      </c>
      <c r="H1307" s="181">
        <f>INDEX('Списки данных'!$D$2:$D$1048576,MATCH(База_КР_КК[[#This Row],[Структурное подразделение]],'Списки данных'!$C$2:$C$1048576,0))</f>
        <v>13</v>
      </c>
      <c r="I1307" s="80" t="s">
        <v>173</v>
      </c>
      <c r="J1307" s="80" t="s">
        <v>212</v>
      </c>
      <c r="K1307" s="80" t="s">
        <v>213</v>
      </c>
      <c r="L1307" s="30" t="s">
        <v>191</v>
      </c>
      <c r="M1307" s="68">
        <v>7</v>
      </c>
      <c r="N1307" s="181" t="str">
        <f t="shared" si="21"/>
        <v>нет</v>
      </c>
      <c r="O1307" s="23"/>
      <c r="P1307" s="23"/>
      <c r="Q1307" s="106"/>
      <c r="R1307" s="37">
        <v>279</v>
      </c>
      <c r="S1307" s="38" t="s">
        <v>691</v>
      </c>
      <c r="T1307" s="37">
        <v>1357</v>
      </c>
      <c r="U1307" s="39" t="s">
        <v>1746</v>
      </c>
      <c r="V1307" s="69" t="s">
        <v>272</v>
      </c>
      <c r="W1307" s="89" t="s">
        <v>173</v>
      </c>
      <c r="X1307" s="106" t="s">
        <v>296</v>
      </c>
      <c r="Y1307" s="107" t="s">
        <v>18</v>
      </c>
      <c r="Z1307" s="67">
        <f>IF(База_КР_КК[[#This Row],[Таб.номер резервиста]]="-","-",IF(OR(База_КР_КК[[#This Row],[Уровень КК]]=2,База_КР_КК[[#This Row],[Уровень КК]]=3),IF(COUNTIFS($U$2:$U1307,$U1307,$F$2:$F1307,$F1307)=1,1,0),IF(COUNTIFS($U$2:$U1307,$U1307,$L$2:$L1307,$L1307)=1,1,0)))</f>
        <v>0</v>
      </c>
      <c r="AA13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7" s="106" t="s">
        <v>38</v>
      </c>
      <c r="AC1307" s="51">
        <v>44890</v>
      </c>
      <c r="AD1307" s="106" t="s">
        <v>31</v>
      </c>
      <c r="AE1307" s="38" t="s">
        <v>344</v>
      </c>
    </row>
    <row r="1308" spans="1:31" ht="18" customHeight="1" x14ac:dyDescent="0.25">
      <c r="A13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8" s="79">
        <v>4</v>
      </c>
      <c r="C1308" s="23">
        <v>44890</v>
      </c>
      <c r="D1308" s="67">
        <f>IF(COUNTIF($G$2:$G1308,$G1308)=1,1,0)</f>
        <v>1</v>
      </c>
      <c r="E1308" s="67" t="str">
        <f>IFERROR(VLOOKUP(База_КР_КК[[#This Row],[ИД штатной должности (S)]],'уровень защищенности'!$B$7:$F$1095,5,0),"не защищена")</f>
        <v>средний</v>
      </c>
      <c r="F1308" s="68">
        <v>500285</v>
      </c>
      <c r="G1308" s="74" t="s">
        <v>2448</v>
      </c>
      <c r="H1308" s="181">
        <f>INDEX('Списки данных'!$D$2:$D$1048576,MATCH(База_КР_КК[[#This Row],[Структурное подразделение]],'Списки данных'!$C$2:$C$1048576,0))</f>
        <v>13</v>
      </c>
      <c r="I1308" s="80" t="s">
        <v>173</v>
      </c>
      <c r="J1308" s="80" t="s">
        <v>212</v>
      </c>
      <c r="K1308" s="80" t="s">
        <v>213</v>
      </c>
      <c r="L1308" s="30" t="s">
        <v>192</v>
      </c>
      <c r="M1308" s="68">
        <v>7</v>
      </c>
      <c r="N1308" s="181" t="str">
        <f t="shared" si="21"/>
        <v>нет</v>
      </c>
      <c r="O1308" s="23"/>
      <c r="P1308" s="23"/>
      <c r="Q1308" s="106"/>
      <c r="R1308" s="37">
        <v>280</v>
      </c>
      <c r="S1308" s="38" t="s">
        <v>692</v>
      </c>
      <c r="T1308" s="37">
        <v>407</v>
      </c>
      <c r="U1308" s="39" t="s">
        <v>819</v>
      </c>
      <c r="V1308" s="69" t="s">
        <v>192</v>
      </c>
      <c r="W1308" s="89" t="s">
        <v>173</v>
      </c>
      <c r="X1308" s="106" t="s">
        <v>297</v>
      </c>
      <c r="Y1308" s="107" t="s">
        <v>12</v>
      </c>
      <c r="Z1308" s="67">
        <f>IF(База_КР_КК[[#This Row],[Таб.номер резервиста]]="-","-",IF(OR(База_КР_КК[[#This Row],[Уровень КК]]=2,База_КР_КК[[#This Row],[Уровень КК]]=3),IF(COUNTIFS($U$2:$U1308,$U1308,$F$2:$F1308,$F1308)=1,1,0),IF(COUNTIFS($U$2:$U1308,$U1308,$L$2:$L1308,$L1308)=1,1,0)))</f>
        <v>1</v>
      </c>
      <c r="AA13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8" s="106"/>
      <c r="AC1308" s="51"/>
      <c r="AD1308" s="106" t="s">
        <v>15</v>
      </c>
      <c r="AE1308" s="38" t="s">
        <v>344</v>
      </c>
    </row>
    <row r="1309" spans="1:31" ht="18" customHeight="1" x14ac:dyDescent="0.25">
      <c r="A13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09" s="79">
        <v>4</v>
      </c>
      <c r="C1309" s="23">
        <v>44425</v>
      </c>
      <c r="D1309" s="67">
        <f>IF(COUNTIF($G$2:$G1309,$G1309)=1,1,0)</f>
        <v>0</v>
      </c>
      <c r="E1309" s="67" t="str">
        <f>IFERROR(VLOOKUP(База_КР_КК[[#This Row],[ИД штатной должности (S)]],'уровень защищенности'!$B$7:$F$1095,5,0),"не защищена")</f>
        <v>средний</v>
      </c>
      <c r="F1309" s="68">
        <v>500285</v>
      </c>
      <c r="G1309" s="74" t="s">
        <v>2448</v>
      </c>
      <c r="H1309" s="181">
        <f>INDEX('Списки данных'!$D$2:$D$1048576,MATCH(База_КР_КК[[#This Row],[Структурное подразделение]],'Списки данных'!$C$2:$C$1048576,0))</f>
        <v>13</v>
      </c>
      <c r="I1309" s="80" t="s">
        <v>173</v>
      </c>
      <c r="J1309" s="80" t="s">
        <v>212</v>
      </c>
      <c r="K1309" s="80" t="s">
        <v>213</v>
      </c>
      <c r="L1309" s="30" t="s">
        <v>192</v>
      </c>
      <c r="M1309" s="68">
        <v>7</v>
      </c>
      <c r="N1309" s="181" t="str">
        <f t="shared" si="21"/>
        <v>нет</v>
      </c>
      <c r="O1309" s="23"/>
      <c r="P1309" s="23"/>
      <c r="Q1309" s="106"/>
      <c r="R1309" s="37">
        <v>280</v>
      </c>
      <c r="S1309" s="38" t="s">
        <v>692</v>
      </c>
      <c r="T1309" s="37">
        <v>1358</v>
      </c>
      <c r="U1309" s="39" t="s">
        <v>1747</v>
      </c>
      <c r="V1309" s="69" t="s">
        <v>192</v>
      </c>
      <c r="W1309" s="89" t="s">
        <v>173</v>
      </c>
      <c r="X1309" s="106" t="s">
        <v>295</v>
      </c>
      <c r="Y1309" s="107" t="s">
        <v>18</v>
      </c>
      <c r="Z1309" s="67">
        <f>IF(База_КР_КК[[#This Row],[Таб.номер резервиста]]="-","-",IF(OR(База_КР_КК[[#This Row],[Уровень КК]]=2,База_КР_КК[[#This Row],[Уровень КК]]=3),IF(COUNTIFS($U$2:$U1309,$U1309,$F$2:$F1309,$F1309)=1,1,0),IF(COUNTIFS($U$2:$U1309,$U1309,$L$2:$L1309,$L1309)=1,1,0)))</f>
        <v>1</v>
      </c>
      <c r="AA13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09" s="106" t="s">
        <v>37</v>
      </c>
      <c r="AC1309" s="51">
        <v>44890</v>
      </c>
      <c r="AD1309" s="106" t="s">
        <v>31</v>
      </c>
      <c r="AE1309" s="38" t="s">
        <v>344</v>
      </c>
    </row>
    <row r="1310" spans="1:31" ht="18" customHeight="1" x14ac:dyDescent="0.25">
      <c r="A13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0" s="79">
        <v>4</v>
      </c>
      <c r="C1310" s="23">
        <v>44425</v>
      </c>
      <c r="D1310" s="67">
        <f>IF(COUNTIF($G$2:$G1310,$G1310)=1,1,0)</f>
        <v>1</v>
      </c>
      <c r="E1310" s="67" t="str">
        <f>IFERROR(VLOOKUP(База_КР_КК[[#This Row],[ИД штатной должности (S)]],'уровень защищенности'!$B$7:$F$1095,5,0),"не защищена")</f>
        <v>средний</v>
      </c>
      <c r="F1310" s="68">
        <v>500286</v>
      </c>
      <c r="G1310" s="74" t="s">
        <v>2449</v>
      </c>
      <c r="H1310" s="181">
        <f>INDEX('Списки данных'!$D$2:$D$1048576,MATCH(База_КР_КК[[#This Row],[Структурное подразделение]],'Списки данных'!$C$2:$C$1048576,0))</f>
        <v>13</v>
      </c>
      <c r="I1310" s="80" t="s">
        <v>173</v>
      </c>
      <c r="J1310" s="80" t="s">
        <v>212</v>
      </c>
      <c r="K1310" s="80" t="s">
        <v>213</v>
      </c>
      <c r="L1310" s="30" t="s">
        <v>192</v>
      </c>
      <c r="M1310" s="68">
        <v>7</v>
      </c>
      <c r="N1310" s="181" t="str">
        <f t="shared" si="21"/>
        <v>да</v>
      </c>
      <c r="O1310" s="23">
        <v>44621</v>
      </c>
      <c r="P1310" s="23">
        <v>44713</v>
      </c>
      <c r="Q1310" s="106" t="s">
        <v>66</v>
      </c>
      <c r="R1310" s="37">
        <v>281</v>
      </c>
      <c r="S1310" s="39" t="s">
        <v>693</v>
      </c>
      <c r="T1310" s="37">
        <v>1359</v>
      </c>
      <c r="U1310" s="39" t="s">
        <v>1748</v>
      </c>
      <c r="V1310" s="69" t="s">
        <v>272</v>
      </c>
      <c r="W1310" s="89" t="s">
        <v>173</v>
      </c>
      <c r="X1310" s="106" t="s">
        <v>296</v>
      </c>
      <c r="Y1310" s="107" t="s">
        <v>12</v>
      </c>
      <c r="Z1310" s="67">
        <f>IF(База_КР_КК[[#This Row],[Таб.номер резервиста]]="-","-",IF(OR(База_КР_КК[[#This Row],[Уровень КК]]=2,База_КР_КК[[#This Row],[Уровень КК]]=3),IF(COUNTIFS($U$2:$U1310,$U1310,$F$2:$F1310,$F1310)=1,1,0),IF(COUNTIFS($U$2:$U1310,$U1310,$L$2:$L1310,$L1310)=1,1,0)))</f>
        <v>1</v>
      </c>
      <c r="AA13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0" s="106"/>
      <c r="AC1310" s="51"/>
      <c r="AD1310" s="106" t="s">
        <v>15</v>
      </c>
      <c r="AE1310" s="38" t="s">
        <v>343</v>
      </c>
    </row>
    <row r="1311" spans="1:31" ht="18" customHeight="1" x14ac:dyDescent="0.25">
      <c r="A13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1" s="79">
        <v>4</v>
      </c>
      <c r="C1311" s="23">
        <v>44425</v>
      </c>
      <c r="D1311" s="67">
        <f>IF(COUNTIF($G$2:$G1311,$G1311)=1,1,0)</f>
        <v>0</v>
      </c>
      <c r="E1311" s="67" t="str">
        <f>IFERROR(VLOOKUP(База_КР_КК[[#This Row],[ИД штатной должности (S)]],'уровень защищенности'!$B$7:$F$1095,5,0),"не защищена")</f>
        <v>средний</v>
      </c>
      <c r="F1311" s="68">
        <v>500286</v>
      </c>
      <c r="G1311" s="74" t="s">
        <v>2449</v>
      </c>
      <c r="H1311" s="181">
        <f>INDEX('Списки данных'!$D$2:$D$1048576,MATCH(База_КР_КК[[#This Row],[Структурное подразделение]],'Списки данных'!$C$2:$C$1048576,0))</f>
        <v>13</v>
      </c>
      <c r="I1311" s="80" t="s">
        <v>173</v>
      </c>
      <c r="J1311" s="80" t="s">
        <v>212</v>
      </c>
      <c r="K1311" s="80" t="s">
        <v>213</v>
      </c>
      <c r="L1311" s="30" t="s">
        <v>192</v>
      </c>
      <c r="M1311" s="68">
        <v>7</v>
      </c>
      <c r="N1311" s="181" t="str">
        <f t="shared" si="21"/>
        <v>да</v>
      </c>
      <c r="O1311" s="23">
        <v>44621</v>
      </c>
      <c r="P1311" s="23">
        <v>44713</v>
      </c>
      <c r="Q1311" s="106" t="s">
        <v>66</v>
      </c>
      <c r="R1311" s="37">
        <v>281</v>
      </c>
      <c r="S1311" s="39" t="s">
        <v>693</v>
      </c>
      <c r="T1311" s="37">
        <v>407</v>
      </c>
      <c r="U1311" s="39" t="s">
        <v>819</v>
      </c>
      <c r="V1311" s="69" t="s">
        <v>192</v>
      </c>
      <c r="W1311" s="89" t="s">
        <v>173</v>
      </c>
      <c r="X1311" s="106" t="s">
        <v>297</v>
      </c>
      <c r="Y1311" s="107" t="s">
        <v>12</v>
      </c>
      <c r="Z1311" s="67">
        <f>IF(База_КР_КК[[#This Row],[Таб.номер резервиста]]="-","-",IF(OR(База_КР_КК[[#This Row],[Уровень КК]]=2,База_КР_КК[[#This Row],[Уровень КК]]=3),IF(COUNTIFS($U$2:$U1311,$U1311,$F$2:$F1311,$F1311)=1,1,0),IF(COUNTIFS($U$2:$U1311,$U1311,$L$2:$L1311,$L1311)=1,1,0)))</f>
        <v>0</v>
      </c>
      <c r="AA13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1" s="106"/>
      <c r="AC1311" s="51"/>
      <c r="AD1311" s="106" t="s">
        <v>15</v>
      </c>
      <c r="AE1311" s="38" t="s">
        <v>343</v>
      </c>
    </row>
    <row r="1312" spans="1:31" ht="18" customHeight="1" x14ac:dyDescent="0.25">
      <c r="A13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2" s="79">
        <v>4</v>
      </c>
      <c r="C1312" s="23">
        <v>44425</v>
      </c>
      <c r="D1312" s="67">
        <f>IF(COUNTIF($G$2:$G1312,$G1312)=1,1,0)</f>
        <v>0</v>
      </c>
      <c r="E1312" s="67" t="str">
        <f>IFERROR(VLOOKUP(База_КР_КК[[#This Row],[ИД штатной должности (S)]],'уровень защищенности'!$B$7:$F$1095,5,0),"не защищена")</f>
        <v>средний</v>
      </c>
      <c r="F1312" s="68">
        <v>500286</v>
      </c>
      <c r="G1312" s="74" t="s">
        <v>2449</v>
      </c>
      <c r="H1312" s="181">
        <f>INDEX('Списки данных'!$D$2:$D$1048576,MATCH(База_КР_КК[[#This Row],[Структурное подразделение]],'Списки данных'!$C$2:$C$1048576,0))</f>
        <v>13</v>
      </c>
      <c r="I1312" s="80" t="s">
        <v>173</v>
      </c>
      <c r="J1312" s="80" t="s">
        <v>212</v>
      </c>
      <c r="K1312" s="80" t="s">
        <v>213</v>
      </c>
      <c r="L1312" s="30" t="s">
        <v>192</v>
      </c>
      <c r="M1312" s="68">
        <v>7</v>
      </c>
      <c r="N1312" s="181" t="str">
        <f t="shared" si="21"/>
        <v>да</v>
      </c>
      <c r="O1312" s="23">
        <v>44621</v>
      </c>
      <c r="P1312" s="23">
        <v>44713</v>
      </c>
      <c r="Q1312" s="106" t="s">
        <v>66</v>
      </c>
      <c r="R1312" s="37">
        <v>281</v>
      </c>
      <c r="S1312" s="39" t="s">
        <v>693</v>
      </c>
      <c r="T1312" s="37">
        <v>281</v>
      </c>
      <c r="U1312" s="39" t="s">
        <v>693</v>
      </c>
      <c r="V1312" s="69" t="s">
        <v>192</v>
      </c>
      <c r="W1312" s="89" t="s">
        <v>173</v>
      </c>
      <c r="X1312" s="106" t="s">
        <v>295</v>
      </c>
      <c r="Y1312" s="107" t="s">
        <v>14</v>
      </c>
      <c r="Z1312" s="67">
        <f>IF(База_КР_КК[[#This Row],[Таб.номер резервиста]]="-","-",IF(OR(База_КР_КК[[#This Row],[Уровень КК]]=2,База_КР_КК[[#This Row],[Уровень КК]]=3),IF(COUNTIFS($U$2:$U1312,$U1312,$F$2:$F1312,$F1312)=1,1,0),IF(COUNTIFS($U$2:$U1312,$U1312,$L$2:$L1312,$L1312)=1,1,0)))</f>
        <v>1</v>
      </c>
      <c r="AA13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312" s="106" t="s">
        <v>24</v>
      </c>
      <c r="AC1312" s="51">
        <v>44713</v>
      </c>
      <c r="AD1312" s="106" t="s">
        <v>15</v>
      </c>
      <c r="AE1312" s="38" t="s">
        <v>343</v>
      </c>
    </row>
    <row r="1313" spans="1:31" ht="18" customHeight="1" x14ac:dyDescent="0.25">
      <c r="A13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3" s="79">
        <v>4</v>
      </c>
      <c r="C1313" s="23">
        <v>44425</v>
      </c>
      <c r="D1313" s="67">
        <f>IF(COUNTIF($G$2:$G1313,$G1313)=1,1,0)</f>
        <v>1</v>
      </c>
      <c r="E1313" s="67" t="str">
        <f>IFERROR(VLOOKUP(База_КР_КК[[#This Row],[ИД штатной должности (S)]],'уровень защищенности'!$B$7:$F$1095,5,0),"не защищена")</f>
        <v>высокий</v>
      </c>
      <c r="F1313" s="68">
        <v>500287</v>
      </c>
      <c r="G1313" s="74" t="s">
        <v>2450</v>
      </c>
      <c r="H1313" s="181">
        <f>INDEX('Списки данных'!$D$2:$D$1048576,MATCH(База_КР_КК[[#This Row],[Структурное подразделение]],'Списки данных'!$C$2:$C$1048576,0))</f>
        <v>13</v>
      </c>
      <c r="I1313" s="80" t="s">
        <v>173</v>
      </c>
      <c r="J1313" s="80" t="s">
        <v>212</v>
      </c>
      <c r="K1313" s="80" t="s">
        <v>213</v>
      </c>
      <c r="L1313" s="30" t="s">
        <v>192</v>
      </c>
      <c r="M1313" s="68">
        <v>7</v>
      </c>
      <c r="N1313" s="181" t="str">
        <f t="shared" si="21"/>
        <v>нет</v>
      </c>
      <c r="O1313" s="23"/>
      <c r="P1313" s="23"/>
      <c r="Q1313" s="106"/>
      <c r="R1313" s="37">
        <v>282</v>
      </c>
      <c r="S1313" s="38" t="s">
        <v>694</v>
      </c>
      <c r="T1313" s="37">
        <v>1360</v>
      </c>
      <c r="U1313" s="39" t="s">
        <v>1749</v>
      </c>
      <c r="V1313" s="69" t="s">
        <v>272</v>
      </c>
      <c r="W1313" s="89" t="s">
        <v>173</v>
      </c>
      <c r="X1313" s="106" t="s">
        <v>297</v>
      </c>
      <c r="Y1313" s="107" t="s">
        <v>12</v>
      </c>
      <c r="Z1313" s="67">
        <f>IF(База_КР_КК[[#This Row],[Таб.номер резервиста]]="-","-",IF(OR(База_КР_КК[[#This Row],[Уровень КК]]=2,База_КР_КК[[#This Row],[Уровень КК]]=3),IF(COUNTIFS($U$2:$U1313,$U1313,$F$2:$F1313,$F1313)=1,1,0),IF(COUNTIFS($U$2:$U1313,$U1313,$L$2:$L1313,$L1313)=1,1,0)))</f>
        <v>1</v>
      </c>
      <c r="AA13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3" s="106"/>
      <c r="AC1313" s="51"/>
      <c r="AD1313" s="106" t="s">
        <v>15</v>
      </c>
      <c r="AE1313" s="38" t="s">
        <v>343</v>
      </c>
    </row>
    <row r="1314" spans="1:31" ht="18" customHeight="1" x14ac:dyDescent="0.25">
      <c r="A13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4" s="79">
        <v>4</v>
      </c>
      <c r="C1314" s="23">
        <v>44425</v>
      </c>
      <c r="D1314" s="67">
        <f>IF(COUNTIF($G$2:$G1314,$G1314)=1,1,0)</f>
        <v>0</v>
      </c>
      <c r="E1314" s="67" t="str">
        <f>IFERROR(VLOOKUP(База_КР_КК[[#This Row],[ИД штатной должности (S)]],'уровень защищенности'!$B$7:$F$1095,5,0),"не защищена")</f>
        <v>высокий</v>
      </c>
      <c r="F1314" s="68">
        <v>500287</v>
      </c>
      <c r="G1314" s="74" t="s">
        <v>2450</v>
      </c>
      <c r="H1314" s="181">
        <f>INDEX('Списки данных'!$D$2:$D$1048576,MATCH(База_КР_КК[[#This Row],[Структурное подразделение]],'Списки данных'!$C$2:$C$1048576,0))</f>
        <v>13</v>
      </c>
      <c r="I1314" s="80" t="s">
        <v>173</v>
      </c>
      <c r="J1314" s="80" t="s">
        <v>212</v>
      </c>
      <c r="K1314" s="80" t="s">
        <v>213</v>
      </c>
      <c r="L1314" s="30" t="s">
        <v>192</v>
      </c>
      <c r="M1314" s="68">
        <v>7</v>
      </c>
      <c r="N1314" s="181" t="str">
        <f t="shared" si="21"/>
        <v>нет</v>
      </c>
      <c r="O1314" s="23"/>
      <c r="P1314" s="23"/>
      <c r="Q1314" s="106"/>
      <c r="R1314" s="37">
        <v>282</v>
      </c>
      <c r="S1314" s="38" t="s">
        <v>694</v>
      </c>
      <c r="T1314" s="37">
        <v>1350</v>
      </c>
      <c r="U1314" s="39" t="s">
        <v>1740</v>
      </c>
      <c r="V1314" s="69" t="s">
        <v>272</v>
      </c>
      <c r="W1314" s="89" t="s">
        <v>173</v>
      </c>
      <c r="X1314" s="106" t="s">
        <v>295</v>
      </c>
      <c r="Y1314" s="107" t="s">
        <v>12</v>
      </c>
      <c r="Z1314" s="67">
        <f>IF(База_КР_КК[[#This Row],[Таб.номер резервиста]]="-","-",IF(OR(База_КР_КК[[#This Row],[Уровень КК]]=2,База_КР_КК[[#This Row],[Уровень КК]]=3),IF(COUNTIFS($U$2:$U1314,$U1314,$F$2:$F1314,$F1314)=1,1,0),IF(COUNTIFS($U$2:$U1314,$U1314,$L$2:$L1314,$L1314)=1,1,0)))</f>
        <v>1</v>
      </c>
      <c r="AA13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4" s="106"/>
      <c r="AC1314" s="51"/>
      <c r="AD1314" s="106" t="s">
        <v>15</v>
      </c>
      <c r="AE1314" s="38" t="s">
        <v>343</v>
      </c>
    </row>
    <row r="1315" spans="1:31" ht="18" customHeight="1" x14ac:dyDescent="0.25">
      <c r="A13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5" s="79">
        <v>4</v>
      </c>
      <c r="C1315" s="23">
        <v>44425</v>
      </c>
      <c r="D1315" s="67">
        <f>IF(COUNTIF($G$2:$G1315,$G1315)=1,1,0)</f>
        <v>1</v>
      </c>
      <c r="E1315" s="67" t="str">
        <f>IFERROR(VLOOKUP(База_КР_КК[[#This Row],[ИД штатной должности (S)]],'уровень защищенности'!$B$7:$F$1095,5,0),"не защищена")</f>
        <v>высокий</v>
      </c>
      <c r="F1315" s="68">
        <v>500288</v>
      </c>
      <c r="G1315" s="74" t="s">
        <v>2451</v>
      </c>
      <c r="H1315" s="181">
        <f>INDEX('Списки данных'!$D$2:$D$1048576,MATCH(База_КР_КК[[#This Row],[Структурное подразделение]],'Списки данных'!$C$2:$C$1048576,0))</f>
        <v>13</v>
      </c>
      <c r="I1315" s="80" t="s">
        <v>173</v>
      </c>
      <c r="J1315" s="80" t="s">
        <v>212</v>
      </c>
      <c r="K1315" s="80" t="s">
        <v>213</v>
      </c>
      <c r="L1315" s="30" t="s">
        <v>191</v>
      </c>
      <c r="M1315" s="68">
        <v>7</v>
      </c>
      <c r="N1315" s="181" t="str">
        <f t="shared" si="21"/>
        <v>нет</v>
      </c>
      <c r="O1315" s="23"/>
      <c r="P1315" s="23"/>
      <c r="Q1315" s="106"/>
      <c r="R1315" s="37">
        <v>283</v>
      </c>
      <c r="S1315" s="38" t="s">
        <v>695</v>
      </c>
      <c r="T1315" s="37">
        <v>1361</v>
      </c>
      <c r="U1315" s="39" t="s">
        <v>1750</v>
      </c>
      <c r="V1315" s="69" t="s">
        <v>272</v>
      </c>
      <c r="W1315" s="89" t="s">
        <v>173</v>
      </c>
      <c r="X1315" s="106" t="s">
        <v>297</v>
      </c>
      <c r="Y1315" s="107" t="s">
        <v>12</v>
      </c>
      <c r="Z1315" s="67">
        <f>IF(База_КР_КК[[#This Row],[Таб.номер резервиста]]="-","-",IF(OR(База_КР_КК[[#This Row],[Уровень КК]]=2,База_КР_КК[[#This Row],[Уровень КК]]=3),IF(COUNTIFS($U$2:$U1315,$U1315,$F$2:$F1315,$F1315)=1,1,0),IF(COUNTIFS($U$2:$U1315,$U1315,$L$2:$L1315,$L1315)=1,1,0)))</f>
        <v>1</v>
      </c>
      <c r="AA13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5" s="106"/>
      <c r="AC1315" s="51"/>
      <c r="AD1315" s="106" t="s">
        <v>15</v>
      </c>
      <c r="AE1315" s="38" t="s">
        <v>343</v>
      </c>
    </row>
    <row r="1316" spans="1:31" ht="18" customHeight="1" x14ac:dyDescent="0.25">
      <c r="A13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6" s="79">
        <v>4</v>
      </c>
      <c r="C1316" s="23">
        <v>44425</v>
      </c>
      <c r="D1316" s="67">
        <f>IF(COUNTIF($G$2:$G1316,$G1316)=1,1,0)</f>
        <v>0</v>
      </c>
      <c r="E1316" s="67" t="str">
        <f>IFERROR(VLOOKUP(База_КР_КК[[#This Row],[ИД штатной должности (S)]],'уровень защищенности'!$B$7:$F$1095,5,0),"не защищена")</f>
        <v>высокий</v>
      </c>
      <c r="F1316" s="68">
        <v>500288</v>
      </c>
      <c r="G1316" s="74" t="s">
        <v>2451</v>
      </c>
      <c r="H1316" s="181">
        <f>INDEX('Списки данных'!$D$2:$D$1048576,MATCH(База_КР_КК[[#This Row],[Структурное подразделение]],'Списки данных'!$C$2:$C$1048576,0))</f>
        <v>13</v>
      </c>
      <c r="I1316" s="80" t="s">
        <v>173</v>
      </c>
      <c r="J1316" s="80" t="s">
        <v>212</v>
      </c>
      <c r="K1316" s="80" t="s">
        <v>213</v>
      </c>
      <c r="L1316" s="30" t="s">
        <v>191</v>
      </c>
      <c r="M1316" s="68">
        <v>7</v>
      </c>
      <c r="N1316" s="181" t="str">
        <f t="shared" si="21"/>
        <v>нет</v>
      </c>
      <c r="O1316" s="23"/>
      <c r="P1316" s="23"/>
      <c r="Q1316" s="106"/>
      <c r="R1316" s="37">
        <v>283</v>
      </c>
      <c r="S1316" s="38" t="s">
        <v>695</v>
      </c>
      <c r="T1316" s="37">
        <v>1362</v>
      </c>
      <c r="U1316" s="39" t="s">
        <v>1751</v>
      </c>
      <c r="V1316" s="69" t="s">
        <v>272</v>
      </c>
      <c r="W1316" s="89" t="s">
        <v>173</v>
      </c>
      <c r="X1316" s="106" t="s">
        <v>295</v>
      </c>
      <c r="Y1316" s="107" t="s">
        <v>12</v>
      </c>
      <c r="Z1316" s="67">
        <f>IF(База_КР_КК[[#This Row],[Таб.номер резервиста]]="-","-",IF(OR(База_КР_КК[[#This Row],[Уровень КК]]=2,База_КР_КК[[#This Row],[Уровень КК]]=3),IF(COUNTIFS($U$2:$U1316,$U1316,$F$2:$F1316,$F1316)=1,1,0),IF(COUNTIFS($U$2:$U1316,$U1316,$L$2:$L1316,$L1316)=1,1,0)))</f>
        <v>1</v>
      </c>
      <c r="AA13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6" s="106"/>
      <c r="AC1316" s="51"/>
      <c r="AD1316" s="106" t="s">
        <v>15</v>
      </c>
      <c r="AE1316" s="38" t="s">
        <v>343</v>
      </c>
    </row>
    <row r="1317" spans="1:31" ht="18" customHeight="1" x14ac:dyDescent="0.25">
      <c r="A13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7" s="79">
        <v>4</v>
      </c>
      <c r="C1317" s="23">
        <v>44425</v>
      </c>
      <c r="D1317" s="67">
        <f>IF(COUNTIF($G$2:$G1317,$G1317)=1,1,0)</f>
        <v>0</v>
      </c>
      <c r="E1317" s="67" t="str">
        <f>IFERROR(VLOOKUP(База_КР_КК[[#This Row],[ИД штатной должности (S)]],'уровень защищенности'!$B$7:$F$1095,5,0),"не защищена")</f>
        <v>высокий</v>
      </c>
      <c r="F1317" s="68">
        <v>500288</v>
      </c>
      <c r="G1317" s="74" t="s">
        <v>2451</v>
      </c>
      <c r="H1317" s="181">
        <f>INDEX('Списки данных'!$D$2:$D$1048576,MATCH(База_КР_КК[[#This Row],[Структурное подразделение]],'Списки данных'!$C$2:$C$1048576,0))</f>
        <v>13</v>
      </c>
      <c r="I1317" s="80" t="s">
        <v>173</v>
      </c>
      <c r="J1317" s="80" t="s">
        <v>212</v>
      </c>
      <c r="K1317" s="80" t="s">
        <v>213</v>
      </c>
      <c r="L1317" s="30" t="s">
        <v>191</v>
      </c>
      <c r="M1317" s="68">
        <v>7</v>
      </c>
      <c r="N1317" s="181" t="str">
        <f t="shared" si="21"/>
        <v>нет</v>
      </c>
      <c r="O1317" s="23"/>
      <c r="P1317" s="23"/>
      <c r="Q1317" s="106"/>
      <c r="R1317" s="37">
        <v>283</v>
      </c>
      <c r="S1317" s="38" t="s">
        <v>695</v>
      </c>
      <c r="T1317" s="37">
        <v>1363</v>
      </c>
      <c r="U1317" s="39" t="s">
        <v>1752</v>
      </c>
      <c r="V1317" s="69" t="s">
        <v>272</v>
      </c>
      <c r="W1317" s="89" t="s">
        <v>173</v>
      </c>
      <c r="X1317" s="106" t="s">
        <v>295</v>
      </c>
      <c r="Y1317" s="107" t="s">
        <v>12</v>
      </c>
      <c r="Z1317" s="67">
        <f>IF(База_КР_КК[[#This Row],[Таб.номер резервиста]]="-","-",IF(OR(База_КР_КК[[#This Row],[Уровень КК]]=2,База_КР_КК[[#This Row],[Уровень КК]]=3),IF(COUNTIFS($U$2:$U1317,$U1317,$F$2:$F1317,$F1317)=1,1,0),IF(COUNTIFS($U$2:$U1317,$U1317,$L$2:$L1317,$L1317)=1,1,0)))</f>
        <v>1</v>
      </c>
      <c r="AA13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7" s="106"/>
      <c r="AC1317" s="51"/>
      <c r="AD1317" s="106" t="s">
        <v>15</v>
      </c>
      <c r="AE1317" s="38" t="s">
        <v>343</v>
      </c>
    </row>
    <row r="1318" spans="1:31" ht="18" customHeight="1" x14ac:dyDescent="0.25">
      <c r="A13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8" s="79">
        <v>4</v>
      </c>
      <c r="C1318" s="23">
        <v>44425</v>
      </c>
      <c r="D1318" s="67">
        <f>IF(COUNTIF($G$2:$G1318,$G1318)=1,1,0)</f>
        <v>0</v>
      </c>
      <c r="E1318" s="67" t="str">
        <f>IFERROR(VLOOKUP(База_КР_КК[[#This Row],[ИД штатной должности (S)]],'уровень защищенности'!$B$7:$F$1095,5,0),"не защищена")</f>
        <v>высокий</v>
      </c>
      <c r="F1318" s="68">
        <v>500288</v>
      </c>
      <c r="G1318" s="74" t="s">
        <v>2451</v>
      </c>
      <c r="H1318" s="181">
        <f>INDEX('Списки данных'!$D$2:$D$1048576,MATCH(База_КР_КК[[#This Row],[Структурное подразделение]],'Списки данных'!$C$2:$C$1048576,0))</f>
        <v>13</v>
      </c>
      <c r="I1318" s="80" t="s">
        <v>173</v>
      </c>
      <c r="J1318" s="80" t="s">
        <v>212</v>
      </c>
      <c r="K1318" s="80" t="s">
        <v>213</v>
      </c>
      <c r="L1318" s="30" t="s">
        <v>191</v>
      </c>
      <c r="M1318" s="68">
        <v>7</v>
      </c>
      <c r="N1318" s="181" t="str">
        <f t="shared" si="21"/>
        <v>нет</v>
      </c>
      <c r="O1318" s="23"/>
      <c r="P1318" s="23"/>
      <c r="Q1318" s="106"/>
      <c r="R1318" s="37">
        <v>283</v>
      </c>
      <c r="S1318" s="38" t="s">
        <v>695</v>
      </c>
      <c r="T1318" s="37">
        <v>1364</v>
      </c>
      <c r="U1318" s="39" t="s">
        <v>1753</v>
      </c>
      <c r="V1318" s="69" t="s">
        <v>272</v>
      </c>
      <c r="W1318" s="89" t="s">
        <v>173</v>
      </c>
      <c r="X1318" s="106" t="s">
        <v>295</v>
      </c>
      <c r="Y1318" s="107" t="s">
        <v>12</v>
      </c>
      <c r="Z1318" s="67">
        <f>IF(База_КР_КК[[#This Row],[Таб.номер резервиста]]="-","-",IF(OR(База_КР_КК[[#This Row],[Уровень КК]]=2,База_КР_КК[[#This Row],[Уровень КК]]=3),IF(COUNTIFS($U$2:$U1318,$U1318,$F$2:$F1318,$F1318)=1,1,0),IF(COUNTIFS($U$2:$U1318,$U1318,$L$2:$L1318,$L1318)=1,1,0)))</f>
        <v>1</v>
      </c>
      <c r="AA13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8" s="106"/>
      <c r="AC1318" s="51"/>
      <c r="AD1318" s="106" t="s">
        <v>15</v>
      </c>
      <c r="AE1318" s="38" t="s">
        <v>343</v>
      </c>
    </row>
    <row r="1319" spans="1:31" ht="18" customHeight="1" x14ac:dyDescent="0.25">
      <c r="A13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19" s="79">
        <v>4</v>
      </c>
      <c r="C1319" s="23">
        <v>44425</v>
      </c>
      <c r="D1319" s="67">
        <f>IF(COUNTIF($G$2:$G1319,$G1319)=1,1,0)</f>
        <v>0</v>
      </c>
      <c r="E1319" s="67" t="str">
        <f>IFERROR(VLOOKUP(База_КР_КК[[#This Row],[ИД штатной должности (S)]],'уровень защищенности'!$B$7:$F$1095,5,0),"не защищена")</f>
        <v>высокий</v>
      </c>
      <c r="F1319" s="68">
        <v>500288</v>
      </c>
      <c r="G1319" s="74" t="s">
        <v>2451</v>
      </c>
      <c r="H1319" s="181">
        <f>INDEX('Списки данных'!$D$2:$D$1048576,MATCH(База_КР_КК[[#This Row],[Структурное подразделение]],'Списки данных'!$C$2:$C$1048576,0))</f>
        <v>13</v>
      </c>
      <c r="I1319" s="80" t="s">
        <v>173</v>
      </c>
      <c r="J1319" s="80" t="s">
        <v>212</v>
      </c>
      <c r="K1319" s="80" t="s">
        <v>213</v>
      </c>
      <c r="L1319" s="30" t="s">
        <v>191</v>
      </c>
      <c r="M1319" s="68">
        <v>7</v>
      </c>
      <c r="N1319" s="181" t="str">
        <f t="shared" si="21"/>
        <v>нет</v>
      </c>
      <c r="O1319" s="23"/>
      <c r="P1319" s="23"/>
      <c r="Q1319" s="106"/>
      <c r="R1319" s="37">
        <v>283</v>
      </c>
      <c r="S1319" s="38" t="s">
        <v>695</v>
      </c>
      <c r="T1319" s="37">
        <v>1360</v>
      </c>
      <c r="U1319" s="39" t="s">
        <v>1749</v>
      </c>
      <c r="V1319" s="69" t="s">
        <v>272</v>
      </c>
      <c r="W1319" s="89" t="s">
        <v>173</v>
      </c>
      <c r="X1319" s="106" t="s">
        <v>297</v>
      </c>
      <c r="Y1319" s="107" t="s">
        <v>12</v>
      </c>
      <c r="Z1319" s="67">
        <f>IF(База_КР_КК[[#This Row],[Таб.номер резервиста]]="-","-",IF(OR(База_КР_КК[[#This Row],[Уровень КК]]=2,База_КР_КК[[#This Row],[Уровень КК]]=3),IF(COUNTIFS($U$2:$U1319,$U1319,$F$2:$F1319,$F1319)=1,1,0),IF(COUNTIFS($U$2:$U1319,$U1319,$L$2:$L1319,$L1319)=1,1,0)))</f>
        <v>1</v>
      </c>
      <c r="AA13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19" s="106"/>
      <c r="AC1319" s="51"/>
      <c r="AD1319" s="106" t="s">
        <v>15</v>
      </c>
      <c r="AE1319" s="38" t="s">
        <v>343</v>
      </c>
    </row>
    <row r="1320" spans="1:31" ht="18" customHeight="1" x14ac:dyDescent="0.25">
      <c r="A13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0" s="79">
        <v>4</v>
      </c>
      <c r="C1320" s="23">
        <v>44890</v>
      </c>
      <c r="D1320" s="67">
        <f>IF(COUNTIF($G$2:$G1320,$G1320)=1,1,0)</f>
        <v>0</v>
      </c>
      <c r="E1320" s="67" t="str">
        <f>IFERROR(VLOOKUP(База_КР_КК[[#This Row],[ИД штатной должности (S)]],'уровень защищенности'!$B$7:$F$1095,5,0),"не защищена")</f>
        <v>высокий</v>
      </c>
      <c r="F1320" s="68">
        <v>500288</v>
      </c>
      <c r="G1320" s="74" t="s">
        <v>2451</v>
      </c>
      <c r="H1320" s="181">
        <f>INDEX('Списки данных'!$D$2:$D$1048576,MATCH(База_КР_КК[[#This Row],[Структурное подразделение]],'Списки данных'!$C$2:$C$1048576,0))</f>
        <v>13</v>
      </c>
      <c r="I1320" s="80" t="s">
        <v>173</v>
      </c>
      <c r="J1320" s="80" t="s">
        <v>212</v>
      </c>
      <c r="K1320" s="80" t="s">
        <v>213</v>
      </c>
      <c r="L1320" s="30" t="s">
        <v>191</v>
      </c>
      <c r="M1320" s="68">
        <v>7</v>
      </c>
      <c r="N1320" s="181" t="str">
        <f t="shared" si="21"/>
        <v>нет</v>
      </c>
      <c r="O1320" s="23"/>
      <c r="P1320" s="23"/>
      <c r="Q1320" s="106"/>
      <c r="R1320" s="37">
        <v>283</v>
      </c>
      <c r="S1320" s="38" t="s">
        <v>695</v>
      </c>
      <c r="T1320" s="37">
        <v>1365</v>
      </c>
      <c r="U1320" s="39" t="s">
        <v>1754</v>
      </c>
      <c r="V1320" s="69" t="s">
        <v>272</v>
      </c>
      <c r="W1320" s="89" t="s">
        <v>173</v>
      </c>
      <c r="X1320" s="106" t="s">
        <v>295</v>
      </c>
      <c r="Y1320" s="107" t="s">
        <v>12</v>
      </c>
      <c r="Z1320" s="67">
        <f>IF(База_КР_КК[[#This Row],[Таб.номер резервиста]]="-","-",IF(OR(База_КР_КК[[#This Row],[Уровень КК]]=2,База_КР_КК[[#This Row],[Уровень КК]]=3),IF(COUNTIFS($U$2:$U1320,$U1320,$F$2:$F1320,$F1320)=1,1,0),IF(COUNTIFS($U$2:$U1320,$U1320,$L$2:$L1320,$L1320)=1,1,0)))</f>
        <v>1</v>
      </c>
      <c r="AA13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0" s="106"/>
      <c r="AC1320" s="51"/>
      <c r="AD1320" s="106" t="s">
        <v>15</v>
      </c>
      <c r="AE1320" s="38" t="s">
        <v>344</v>
      </c>
    </row>
    <row r="1321" spans="1:31" ht="18" customHeight="1" x14ac:dyDescent="0.25">
      <c r="A13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1" s="79">
        <v>4</v>
      </c>
      <c r="C1321" s="23">
        <v>44890</v>
      </c>
      <c r="D1321" s="67">
        <f>IF(COUNTIF($G$2:$G1321,$G1321)=1,1,0)</f>
        <v>0</v>
      </c>
      <c r="E1321" s="67" t="str">
        <f>IFERROR(VLOOKUP(База_КР_КК[[#This Row],[ИД штатной должности (S)]],'уровень защищенности'!$B$7:$F$1095,5,0),"не защищена")</f>
        <v>высокий</v>
      </c>
      <c r="F1321" s="68">
        <v>500288</v>
      </c>
      <c r="G1321" s="74" t="s">
        <v>2451</v>
      </c>
      <c r="H1321" s="181">
        <f>INDEX('Списки данных'!$D$2:$D$1048576,MATCH(База_КР_КК[[#This Row],[Структурное подразделение]],'Списки данных'!$C$2:$C$1048576,0))</f>
        <v>13</v>
      </c>
      <c r="I1321" s="80" t="s">
        <v>173</v>
      </c>
      <c r="J1321" s="80" t="s">
        <v>212</v>
      </c>
      <c r="K1321" s="80" t="s">
        <v>213</v>
      </c>
      <c r="L1321" s="30" t="s">
        <v>191</v>
      </c>
      <c r="M1321" s="68">
        <v>7</v>
      </c>
      <c r="N1321" s="181" t="str">
        <f t="shared" si="21"/>
        <v>нет</v>
      </c>
      <c r="O1321" s="23"/>
      <c r="P1321" s="23"/>
      <c r="Q1321" s="106"/>
      <c r="R1321" s="37">
        <v>283</v>
      </c>
      <c r="S1321" s="38" t="s">
        <v>695</v>
      </c>
      <c r="T1321" s="37">
        <v>1366</v>
      </c>
      <c r="U1321" s="39" t="s">
        <v>1755</v>
      </c>
      <c r="V1321" s="69" t="s">
        <v>272</v>
      </c>
      <c r="W1321" s="89" t="s">
        <v>173</v>
      </c>
      <c r="X1321" s="106" t="s">
        <v>295</v>
      </c>
      <c r="Y1321" s="107" t="s">
        <v>12</v>
      </c>
      <c r="Z1321" s="67">
        <f>IF(База_КР_КК[[#This Row],[Таб.номер резервиста]]="-","-",IF(OR(База_КР_КК[[#This Row],[Уровень КК]]=2,База_КР_КК[[#This Row],[Уровень КК]]=3),IF(COUNTIFS($U$2:$U1321,$U1321,$F$2:$F1321,$F1321)=1,1,0),IF(COUNTIFS($U$2:$U1321,$U1321,$L$2:$L1321,$L1321)=1,1,0)))</f>
        <v>1</v>
      </c>
      <c r="AA13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1" s="106"/>
      <c r="AC1321" s="51"/>
      <c r="AD1321" s="106" t="s">
        <v>15</v>
      </c>
      <c r="AE1321" s="38" t="s">
        <v>344</v>
      </c>
    </row>
    <row r="1322" spans="1:31" ht="18" customHeight="1" x14ac:dyDescent="0.25">
      <c r="A13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2" s="79">
        <v>4</v>
      </c>
      <c r="C1322" s="23">
        <v>44425</v>
      </c>
      <c r="D1322" s="67">
        <f>IF(COUNTIF($G$2:$G1322,$G1322)=1,1,0)</f>
        <v>0</v>
      </c>
      <c r="E1322" s="67" t="str">
        <f>IFERROR(VLOOKUP(База_КР_КК[[#This Row],[ИД штатной должности (S)]],'уровень защищенности'!$B$7:$F$1095,5,0),"не защищена")</f>
        <v>высокий</v>
      </c>
      <c r="F1322" s="68">
        <v>500288</v>
      </c>
      <c r="G1322" s="74" t="s">
        <v>2451</v>
      </c>
      <c r="H1322" s="181">
        <f>INDEX('Списки данных'!$D$2:$D$1048576,MATCH(База_КР_КК[[#This Row],[Структурное подразделение]],'Списки данных'!$C$2:$C$1048576,0))</f>
        <v>13</v>
      </c>
      <c r="I1322" s="80" t="s">
        <v>173</v>
      </c>
      <c r="J1322" s="80" t="s">
        <v>212</v>
      </c>
      <c r="K1322" s="80" t="s">
        <v>213</v>
      </c>
      <c r="L1322" s="30" t="s">
        <v>191</v>
      </c>
      <c r="M1322" s="68">
        <v>7</v>
      </c>
      <c r="N1322" s="181" t="str">
        <f t="shared" si="21"/>
        <v>нет</v>
      </c>
      <c r="O1322" s="23"/>
      <c r="P1322" s="23"/>
      <c r="Q1322" s="106"/>
      <c r="R1322" s="37">
        <v>283</v>
      </c>
      <c r="S1322" s="38" t="s">
        <v>695</v>
      </c>
      <c r="T1322" s="37">
        <v>1367</v>
      </c>
      <c r="U1322" s="39" t="s">
        <v>1756</v>
      </c>
      <c r="V1322" s="69" t="s">
        <v>272</v>
      </c>
      <c r="W1322" s="89" t="s">
        <v>173</v>
      </c>
      <c r="X1322" s="106" t="s">
        <v>297</v>
      </c>
      <c r="Y1322" s="107" t="s">
        <v>18</v>
      </c>
      <c r="Z1322" s="67">
        <f>IF(База_КР_КК[[#This Row],[Таб.номер резервиста]]="-","-",IF(OR(База_КР_КК[[#This Row],[Уровень КК]]=2,База_КР_КК[[#This Row],[Уровень КК]]=3),IF(COUNTIFS($U$2:$U1322,$U1322,$F$2:$F1322,$F1322)=1,1,0),IF(COUNTIFS($U$2:$U1322,$U1322,$L$2:$L1322,$L1322)=1,1,0)))</f>
        <v>1</v>
      </c>
      <c r="AA13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2" s="106" t="s">
        <v>19</v>
      </c>
      <c r="AC1322" s="51">
        <v>44836</v>
      </c>
      <c r="AD1322" s="106" t="s">
        <v>15</v>
      </c>
      <c r="AE1322" s="38" t="s">
        <v>343</v>
      </c>
    </row>
    <row r="1323" spans="1:31" ht="18" customHeight="1" x14ac:dyDescent="0.25">
      <c r="A13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3" s="79">
        <v>4</v>
      </c>
      <c r="C1323" s="23">
        <v>44425</v>
      </c>
      <c r="D1323" s="67">
        <f>IF(COUNTIF($G$2:$G1323,$G1323)=1,1,0)</f>
        <v>1</v>
      </c>
      <c r="E1323" s="67" t="str">
        <f>IFERROR(VLOOKUP(База_КР_КК[[#This Row],[ИД штатной должности (S)]],'уровень защищенности'!$B$7:$F$1095,5,0),"не защищена")</f>
        <v>высокий</v>
      </c>
      <c r="F1323" s="68">
        <v>500288</v>
      </c>
      <c r="G1323" s="74" t="s">
        <v>2452</v>
      </c>
      <c r="H1323" s="181">
        <f>INDEX('Списки данных'!$D$2:$D$1048576,MATCH(База_КР_КК[[#This Row],[Структурное подразделение]],'Списки данных'!$C$2:$C$1048576,0))</f>
        <v>13</v>
      </c>
      <c r="I1323" s="80" t="s">
        <v>173</v>
      </c>
      <c r="J1323" s="80" t="s">
        <v>212</v>
      </c>
      <c r="K1323" s="80" t="s">
        <v>213</v>
      </c>
      <c r="L1323" s="30" t="s">
        <v>191</v>
      </c>
      <c r="M1323" s="68">
        <v>7</v>
      </c>
      <c r="N1323" s="181" t="str">
        <f t="shared" si="21"/>
        <v>нет</v>
      </c>
      <c r="O1323" s="23"/>
      <c r="P1323" s="23"/>
      <c r="Q1323" s="106"/>
      <c r="R1323" s="37">
        <v>284</v>
      </c>
      <c r="S1323" s="38" t="s">
        <v>696</v>
      </c>
      <c r="T1323" s="37">
        <v>1361</v>
      </c>
      <c r="U1323" s="39" t="s">
        <v>1750</v>
      </c>
      <c r="V1323" s="69" t="s">
        <v>272</v>
      </c>
      <c r="W1323" s="89" t="s">
        <v>173</v>
      </c>
      <c r="X1323" s="106" t="s">
        <v>297</v>
      </c>
      <c r="Y1323" s="107" t="s">
        <v>12</v>
      </c>
      <c r="Z1323" s="67">
        <f>IF(База_КР_КК[[#This Row],[Таб.номер резервиста]]="-","-",IF(OR(База_КР_КК[[#This Row],[Уровень КК]]=2,База_КР_КК[[#This Row],[Уровень КК]]=3),IF(COUNTIFS($U$2:$U1323,$U1323,$F$2:$F1323,$F1323)=1,1,0),IF(COUNTIFS($U$2:$U1323,$U1323,$L$2:$L1323,$L1323)=1,1,0)))</f>
        <v>0</v>
      </c>
      <c r="AA13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3" s="106"/>
      <c r="AC1323" s="51"/>
      <c r="AD1323" s="106" t="s">
        <v>15</v>
      </c>
      <c r="AE1323" s="38" t="s">
        <v>343</v>
      </c>
    </row>
    <row r="1324" spans="1:31" ht="18" customHeight="1" x14ac:dyDescent="0.25">
      <c r="A13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4" s="79">
        <v>4</v>
      </c>
      <c r="C1324" s="23">
        <v>44425</v>
      </c>
      <c r="D1324" s="67">
        <f>IF(COUNTIF($G$2:$G1324,$G1324)=1,1,0)</f>
        <v>0</v>
      </c>
      <c r="E1324" s="67" t="str">
        <f>IFERROR(VLOOKUP(База_КР_КК[[#This Row],[ИД штатной должности (S)]],'уровень защищенности'!$B$7:$F$1095,5,0),"не защищена")</f>
        <v>высокий</v>
      </c>
      <c r="F1324" s="68">
        <v>500288</v>
      </c>
      <c r="G1324" s="74" t="s">
        <v>2452</v>
      </c>
      <c r="H1324" s="181">
        <f>INDEX('Списки данных'!$D$2:$D$1048576,MATCH(База_КР_КК[[#This Row],[Структурное подразделение]],'Списки данных'!$C$2:$C$1048576,0))</f>
        <v>13</v>
      </c>
      <c r="I1324" s="80" t="s">
        <v>173</v>
      </c>
      <c r="J1324" s="80" t="s">
        <v>212</v>
      </c>
      <c r="K1324" s="80" t="s">
        <v>213</v>
      </c>
      <c r="L1324" s="30" t="s">
        <v>191</v>
      </c>
      <c r="M1324" s="68">
        <v>7</v>
      </c>
      <c r="N1324" s="181" t="str">
        <f t="shared" si="21"/>
        <v>нет</v>
      </c>
      <c r="O1324" s="23"/>
      <c r="P1324" s="23"/>
      <c r="Q1324" s="106"/>
      <c r="R1324" s="37">
        <v>284</v>
      </c>
      <c r="S1324" s="38" t="s">
        <v>696</v>
      </c>
      <c r="T1324" s="37">
        <v>1362</v>
      </c>
      <c r="U1324" s="39" t="s">
        <v>1751</v>
      </c>
      <c r="V1324" s="69" t="s">
        <v>272</v>
      </c>
      <c r="W1324" s="89" t="s">
        <v>173</v>
      </c>
      <c r="X1324" s="106" t="s">
        <v>295</v>
      </c>
      <c r="Y1324" s="107" t="s">
        <v>12</v>
      </c>
      <c r="Z1324" s="67">
        <f>IF(База_КР_КК[[#This Row],[Таб.номер резервиста]]="-","-",IF(OR(База_КР_КК[[#This Row],[Уровень КК]]=2,База_КР_КК[[#This Row],[Уровень КК]]=3),IF(COUNTIFS($U$2:$U1324,$U1324,$F$2:$F1324,$F1324)=1,1,0),IF(COUNTIFS($U$2:$U1324,$U1324,$L$2:$L1324,$L1324)=1,1,0)))</f>
        <v>0</v>
      </c>
      <c r="AA13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4" s="106"/>
      <c r="AC1324" s="51"/>
      <c r="AD1324" s="106" t="s">
        <v>15</v>
      </c>
      <c r="AE1324" s="38" t="s">
        <v>343</v>
      </c>
    </row>
    <row r="1325" spans="1:31" ht="18" customHeight="1" x14ac:dyDescent="0.25">
      <c r="A13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5" s="79">
        <v>4</v>
      </c>
      <c r="C1325" s="23">
        <v>44425</v>
      </c>
      <c r="D1325" s="67">
        <f>IF(COUNTIF($G$2:$G1325,$G1325)=1,1,0)</f>
        <v>0</v>
      </c>
      <c r="E1325" s="67" t="str">
        <f>IFERROR(VLOOKUP(База_КР_КК[[#This Row],[ИД штатной должности (S)]],'уровень защищенности'!$B$7:$F$1095,5,0),"не защищена")</f>
        <v>высокий</v>
      </c>
      <c r="F1325" s="68">
        <v>500288</v>
      </c>
      <c r="G1325" s="74" t="s">
        <v>2452</v>
      </c>
      <c r="H1325" s="181">
        <f>INDEX('Списки данных'!$D$2:$D$1048576,MATCH(База_КР_КК[[#This Row],[Структурное подразделение]],'Списки данных'!$C$2:$C$1048576,0))</f>
        <v>13</v>
      </c>
      <c r="I1325" s="80" t="s">
        <v>173</v>
      </c>
      <c r="J1325" s="80" t="s">
        <v>212</v>
      </c>
      <c r="K1325" s="80" t="s">
        <v>213</v>
      </c>
      <c r="L1325" s="30" t="s">
        <v>191</v>
      </c>
      <c r="M1325" s="68">
        <v>7</v>
      </c>
      <c r="N1325" s="181" t="str">
        <f t="shared" si="21"/>
        <v>нет</v>
      </c>
      <c r="O1325" s="23"/>
      <c r="P1325" s="23"/>
      <c r="Q1325" s="106"/>
      <c r="R1325" s="37">
        <v>284</v>
      </c>
      <c r="S1325" s="38" t="s">
        <v>696</v>
      </c>
      <c r="T1325" s="37">
        <v>1363</v>
      </c>
      <c r="U1325" s="39" t="s">
        <v>1752</v>
      </c>
      <c r="V1325" s="69" t="s">
        <v>272</v>
      </c>
      <c r="W1325" s="89" t="s">
        <v>173</v>
      </c>
      <c r="X1325" s="106" t="s">
        <v>295</v>
      </c>
      <c r="Y1325" s="107" t="s">
        <v>12</v>
      </c>
      <c r="Z1325" s="67">
        <f>IF(База_КР_КК[[#This Row],[Таб.номер резервиста]]="-","-",IF(OR(База_КР_КК[[#This Row],[Уровень КК]]=2,База_КР_КК[[#This Row],[Уровень КК]]=3),IF(COUNTIFS($U$2:$U1325,$U1325,$F$2:$F1325,$F1325)=1,1,0),IF(COUNTIFS($U$2:$U1325,$U1325,$L$2:$L1325,$L1325)=1,1,0)))</f>
        <v>0</v>
      </c>
      <c r="AA13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5" s="106"/>
      <c r="AC1325" s="51"/>
      <c r="AD1325" s="106" t="s">
        <v>15</v>
      </c>
      <c r="AE1325" s="38" t="s">
        <v>343</v>
      </c>
    </row>
    <row r="1326" spans="1:31" ht="18" customHeight="1" x14ac:dyDescent="0.25">
      <c r="A13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6" s="79">
        <v>4</v>
      </c>
      <c r="C1326" s="23">
        <v>44425</v>
      </c>
      <c r="D1326" s="67">
        <f>IF(COUNTIF($G$2:$G1326,$G1326)=1,1,0)</f>
        <v>0</v>
      </c>
      <c r="E1326" s="67" t="str">
        <f>IFERROR(VLOOKUP(База_КР_КК[[#This Row],[ИД штатной должности (S)]],'уровень защищенности'!$B$7:$F$1095,5,0),"не защищена")</f>
        <v>высокий</v>
      </c>
      <c r="F1326" s="68">
        <v>500288</v>
      </c>
      <c r="G1326" s="74" t="s">
        <v>2452</v>
      </c>
      <c r="H1326" s="181">
        <f>INDEX('Списки данных'!$D$2:$D$1048576,MATCH(База_КР_КК[[#This Row],[Структурное подразделение]],'Списки данных'!$C$2:$C$1048576,0))</f>
        <v>13</v>
      </c>
      <c r="I1326" s="80" t="s">
        <v>173</v>
      </c>
      <c r="J1326" s="80" t="s">
        <v>212</v>
      </c>
      <c r="K1326" s="80" t="s">
        <v>213</v>
      </c>
      <c r="L1326" s="30" t="s">
        <v>191</v>
      </c>
      <c r="M1326" s="68">
        <v>7</v>
      </c>
      <c r="N1326" s="181" t="str">
        <f t="shared" si="21"/>
        <v>нет</v>
      </c>
      <c r="O1326" s="23"/>
      <c r="P1326" s="23"/>
      <c r="Q1326" s="106"/>
      <c r="R1326" s="37">
        <v>284</v>
      </c>
      <c r="S1326" s="38" t="s">
        <v>696</v>
      </c>
      <c r="T1326" s="37">
        <v>1364</v>
      </c>
      <c r="U1326" s="39" t="s">
        <v>1753</v>
      </c>
      <c r="V1326" s="69" t="s">
        <v>272</v>
      </c>
      <c r="W1326" s="89" t="s">
        <v>173</v>
      </c>
      <c r="X1326" s="106" t="s">
        <v>295</v>
      </c>
      <c r="Y1326" s="107" t="s">
        <v>12</v>
      </c>
      <c r="Z1326" s="67">
        <f>IF(База_КР_КК[[#This Row],[Таб.номер резервиста]]="-","-",IF(OR(База_КР_КК[[#This Row],[Уровень КК]]=2,База_КР_КК[[#This Row],[Уровень КК]]=3),IF(COUNTIFS($U$2:$U1326,$U1326,$F$2:$F1326,$F1326)=1,1,0),IF(COUNTIFS($U$2:$U1326,$U1326,$L$2:$L1326,$L1326)=1,1,0)))</f>
        <v>0</v>
      </c>
      <c r="AA13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6" s="106"/>
      <c r="AC1326" s="51"/>
      <c r="AD1326" s="106" t="s">
        <v>15</v>
      </c>
      <c r="AE1326" s="38" t="s">
        <v>343</v>
      </c>
    </row>
    <row r="1327" spans="1:31" ht="18" customHeight="1" x14ac:dyDescent="0.25">
      <c r="A13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7" s="79">
        <v>4</v>
      </c>
      <c r="C1327" s="23">
        <v>44425</v>
      </c>
      <c r="D1327" s="67">
        <f>IF(COUNTIF($G$2:$G1327,$G1327)=1,1,0)</f>
        <v>0</v>
      </c>
      <c r="E1327" s="67" t="str">
        <f>IFERROR(VLOOKUP(База_КР_КК[[#This Row],[ИД штатной должности (S)]],'уровень защищенности'!$B$7:$F$1095,5,0),"не защищена")</f>
        <v>высокий</v>
      </c>
      <c r="F1327" s="68">
        <v>500288</v>
      </c>
      <c r="G1327" s="74" t="s">
        <v>2452</v>
      </c>
      <c r="H1327" s="181">
        <f>INDEX('Списки данных'!$D$2:$D$1048576,MATCH(База_КР_КК[[#This Row],[Структурное подразделение]],'Списки данных'!$C$2:$C$1048576,0))</f>
        <v>13</v>
      </c>
      <c r="I1327" s="80" t="s">
        <v>173</v>
      </c>
      <c r="J1327" s="80" t="s">
        <v>212</v>
      </c>
      <c r="K1327" s="80" t="s">
        <v>213</v>
      </c>
      <c r="L1327" s="30" t="s">
        <v>191</v>
      </c>
      <c r="M1327" s="68">
        <v>7</v>
      </c>
      <c r="N1327" s="181" t="str">
        <f t="shared" si="21"/>
        <v>нет</v>
      </c>
      <c r="O1327" s="23"/>
      <c r="P1327" s="23"/>
      <c r="Q1327" s="106"/>
      <c r="R1327" s="37">
        <v>284</v>
      </c>
      <c r="S1327" s="38" t="s">
        <v>696</v>
      </c>
      <c r="T1327" s="37">
        <v>1360</v>
      </c>
      <c r="U1327" s="39" t="s">
        <v>1749</v>
      </c>
      <c r="V1327" s="69" t="s">
        <v>272</v>
      </c>
      <c r="W1327" s="89" t="s">
        <v>173</v>
      </c>
      <c r="X1327" s="106" t="s">
        <v>297</v>
      </c>
      <c r="Y1327" s="107" t="s">
        <v>12</v>
      </c>
      <c r="Z1327" s="67">
        <f>IF(База_КР_КК[[#This Row],[Таб.номер резервиста]]="-","-",IF(OR(База_КР_КК[[#This Row],[Уровень КК]]=2,База_КР_КК[[#This Row],[Уровень КК]]=3),IF(COUNTIFS($U$2:$U1327,$U1327,$F$2:$F1327,$F1327)=1,1,0),IF(COUNTIFS($U$2:$U1327,$U1327,$L$2:$L1327,$L1327)=1,1,0)))</f>
        <v>0</v>
      </c>
      <c r="AA13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7" s="106"/>
      <c r="AC1327" s="51"/>
      <c r="AD1327" s="106" t="s">
        <v>15</v>
      </c>
      <c r="AE1327" s="38" t="s">
        <v>343</v>
      </c>
    </row>
    <row r="1328" spans="1:31" ht="18" customHeight="1" x14ac:dyDescent="0.25">
      <c r="A13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8" s="79">
        <v>4</v>
      </c>
      <c r="C1328" s="23">
        <v>44890</v>
      </c>
      <c r="D1328" s="67">
        <f>IF(COUNTIF($G$2:$G1328,$G1328)=1,1,0)</f>
        <v>0</v>
      </c>
      <c r="E1328" s="67" t="str">
        <f>IFERROR(VLOOKUP(База_КР_КК[[#This Row],[ИД штатной должности (S)]],'уровень защищенности'!$B$7:$F$1095,5,0),"не защищена")</f>
        <v>высокий</v>
      </c>
      <c r="F1328" s="68">
        <v>500288</v>
      </c>
      <c r="G1328" s="74" t="s">
        <v>2452</v>
      </c>
      <c r="H1328" s="181">
        <f>INDEX('Списки данных'!$D$2:$D$1048576,MATCH(База_КР_КК[[#This Row],[Структурное подразделение]],'Списки данных'!$C$2:$C$1048576,0))</f>
        <v>13</v>
      </c>
      <c r="I1328" s="80" t="s">
        <v>173</v>
      </c>
      <c r="J1328" s="80" t="s">
        <v>212</v>
      </c>
      <c r="K1328" s="80" t="s">
        <v>213</v>
      </c>
      <c r="L1328" s="30" t="s">
        <v>191</v>
      </c>
      <c r="M1328" s="68">
        <v>7</v>
      </c>
      <c r="N1328" s="181" t="str">
        <f t="shared" si="21"/>
        <v>нет</v>
      </c>
      <c r="O1328" s="23"/>
      <c r="P1328" s="23"/>
      <c r="Q1328" s="106"/>
      <c r="R1328" s="37">
        <v>284</v>
      </c>
      <c r="S1328" s="38" t="s">
        <v>696</v>
      </c>
      <c r="T1328" s="37">
        <v>1365</v>
      </c>
      <c r="U1328" s="39" t="s">
        <v>1754</v>
      </c>
      <c r="V1328" s="69" t="s">
        <v>272</v>
      </c>
      <c r="W1328" s="89" t="s">
        <v>173</v>
      </c>
      <c r="X1328" s="106" t="s">
        <v>295</v>
      </c>
      <c r="Y1328" s="107" t="s">
        <v>12</v>
      </c>
      <c r="Z1328" s="67">
        <f>IF(База_КР_КК[[#This Row],[Таб.номер резервиста]]="-","-",IF(OR(База_КР_КК[[#This Row],[Уровень КК]]=2,База_КР_КК[[#This Row],[Уровень КК]]=3),IF(COUNTIFS($U$2:$U1328,$U1328,$F$2:$F1328,$F1328)=1,1,0),IF(COUNTIFS($U$2:$U1328,$U1328,$L$2:$L1328,$L1328)=1,1,0)))</f>
        <v>0</v>
      </c>
      <c r="AA13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8" s="106"/>
      <c r="AC1328" s="51"/>
      <c r="AD1328" s="106" t="s">
        <v>15</v>
      </c>
      <c r="AE1328" s="38" t="s">
        <v>344</v>
      </c>
    </row>
    <row r="1329" spans="1:31" ht="18" customHeight="1" x14ac:dyDescent="0.25">
      <c r="A13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29" s="79">
        <v>4</v>
      </c>
      <c r="C1329" s="23">
        <v>44890</v>
      </c>
      <c r="D1329" s="67">
        <f>IF(COUNTIF($G$2:$G1329,$G1329)=1,1,0)</f>
        <v>0</v>
      </c>
      <c r="E1329" s="67" t="str">
        <f>IFERROR(VLOOKUP(База_КР_КК[[#This Row],[ИД штатной должности (S)]],'уровень защищенности'!$B$7:$F$1095,5,0),"не защищена")</f>
        <v>высокий</v>
      </c>
      <c r="F1329" s="68">
        <v>500288</v>
      </c>
      <c r="G1329" s="74" t="s">
        <v>2452</v>
      </c>
      <c r="H1329" s="181">
        <f>INDEX('Списки данных'!$D$2:$D$1048576,MATCH(База_КР_КК[[#This Row],[Структурное подразделение]],'Списки данных'!$C$2:$C$1048576,0))</f>
        <v>13</v>
      </c>
      <c r="I1329" s="80" t="s">
        <v>173</v>
      </c>
      <c r="J1329" s="80" t="s">
        <v>212</v>
      </c>
      <c r="K1329" s="80" t="s">
        <v>213</v>
      </c>
      <c r="L1329" s="30" t="s">
        <v>191</v>
      </c>
      <c r="M1329" s="68">
        <v>7</v>
      </c>
      <c r="N1329" s="181" t="str">
        <f t="shared" si="21"/>
        <v>нет</v>
      </c>
      <c r="O1329" s="23"/>
      <c r="P1329" s="23"/>
      <c r="Q1329" s="106"/>
      <c r="R1329" s="37">
        <v>284</v>
      </c>
      <c r="S1329" s="38" t="s">
        <v>696</v>
      </c>
      <c r="T1329" s="37">
        <v>1366</v>
      </c>
      <c r="U1329" s="39" t="s">
        <v>1755</v>
      </c>
      <c r="V1329" s="69" t="s">
        <v>272</v>
      </c>
      <c r="W1329" s="89" t="s">
        <v>173</v>
      </c>
      <c r="X1329" s="106" t="s">
        <v>295</v>
      </c>
      <c r="Y1329" s="107" t="s">
        <v>12</v>
      </c>
      <c r="Z1329" s="67">
        <f>IF(База_КР_КК[[#This Row],[Таб.номер резервиста]]="-","-",IF(OR(База_КР_КК[[#This Row],[Уровень КК]]=2,База_КР_КК[[#This Row],[Уровень КК]]=3),IF(COUNTIFS($U$2:$U1329,$U1329,$F$2:$F1329,$F1329)=1,1,0),IF(COUNTIFS($U$2:$U1329,$U1329,$L$2:$L1329,$L1329)=1,1,0)))</f>
        <v>0</v>
      </c>
      <c r="AA13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29" s="106"/>
      <c r="AC1329" s="51"/>
      <c r="AD1329" s="106" t="s">
        <v>15</v>
      </c>
      <c r="AE1329" s="38" t="s">
        <v>344</v>
      </c>
    </row>
    <row r="1330" spans="1:31" ht="18" customHeight="1" x14ac:dyDescent="0.25">
      <c r="A13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0" s="79">
        <v>4</v>
      </c>
      <c r="C1330" s="23">
        <v>44425</v>
      </c>
      <c r="D1330" s="67">
        <f>IF(COUNTIF($G$2:$G1330,$G1330)=1,1,0)</f>
        <v>0</v>
      </c>
      <c r="E1330" s="67" t="str">
        <f>IFERROR(VLOOKUP(База_КР_КК[[#This Row],[ИД штатной должности (S)]],'уровень защищенности'!$B$7:$F$1095,5,0),"не защищена")</f>
        <v>высокий</v>
      </c>
      <c r="F1330" s="68">
        <v>500288</v>
      </c>
      <c r="G1330" s="74" t="s">
        <v>2452</v>
      </c>
      <c r="H1330" s="181">
        <f>INDEX('Списки данных'!$D$2:$D$1048576,MATCH(База_КР_КК[[#This Row],[Структурное подразделение]],'Списки данных'!$C$2:$C$1048576,0))</f>
        <v>13</v>
      </c>
      <c r="I1330" s="80" t="s">
        <v>173</v>
      </c>
      <c r="J1330" s="80" t="s">
        <v>212</v>
      </c>
      <c r="K1330" s="80" t="s">
        <v>213</v>
      </c>
      <c r="L1330" s="30" t="s">
        <v>191</v>
      </c>
      <c r="M1330" s="68">
        <v>7</v>
      </c>
      <c r="N1330" s="181" t="str">
        <f t="shared" si="21"/>
        <v>нет</v>
      </c>
      <c r="O1330" s="23"/>
      <c r="P1330" s="23"/>
      <c r="Q1330" s="106"/>
      <c r="R1330" s="37">
        <v>284</v>
      </c>
      <c r="S1330" s="38" t="s">
        <v>696</v>
      </c>
      <c r="T1330" s="37">
        <v>1367</v>
      </c>
      <c r="U1330" s="39" t="s">
        <v>1756</v>
      </c>
      <c r="V1330" s="69" t="s">
        <v>272</v>
      </c>
      <c r="W1330" s="89" t="s">
        <v>173</v>
      </c>
      <c r="X1330" s="106" t="s">
        <v>297</v>
      </c>
      <c r="Y1330" s="107" t="s">
        <v>18</v>
      </c>
      <c r="Z1330" s="67">
        <f>IF(База_КР_КК[[#This Row],[Таб.номер резервиста]]="-","-",IF(OR(База_КР_КК[[#This Row],[Уровень КК]]=2,База_КР_КК[[#This Row],[Уровень КК]]=3),IF(COUNTIFS($U$2:$U1330,$U1330,$F$2:$F1330,$F1330)=1,1,0),IF(COUNTIFS($U$2:$U1330,$U1330,$L$2:$L1330,$L1330)=1,1,0)))</f>
        <v>0</v>
      </c>
      <c r="AA13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0" s="106" t="s">
        <v>19</v>
      </c>
      <c r="AC1330" s="51">
        <v>44836</v>
      </c>
      <c r="AD1330" s="106" t="s">
        <v>15</v>
      </c>
      <c r="AE1330" s="38" t="s">
        <v>343</v>
      </c>
    </row>
    <row r="1331" spans="1:31" ht="18" customHeight="1" x14ac:dyDescent="0.25">
      <c r="A13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1" s="79">
        <v>4</v>
      </c>
      <c r="C1331" s="23">
        <v>44425</v>
      </c>
      <c r="D1331" s="67">
        <f>IF(COUNTIF($G$2:$G1331,$G1331)=1,1,0)</f>
        <v>1</v>
      </c>
      <c r="E1331" s="67" t="str">
        <f>IFERROR(VLOOKUP(База_КР_КК[[#This Row],[ИД штатной должности (S)]],'уровень защищенности'!$B$7:$F$1095,5,0),"не защищена")</f>
        <v>высокий</v>
      </c>
      <c r="F1331" s="68">
        <v>500288</v>
      </c>
      <c r="G1331" s="74" t="s">
        <v>2453</v>
      </c>
      <c r="H1331" s="181">
        <f>INDEX('Списки данных'!$D$2:$D$1048576,MATCH(База_КР_КК[[#This Row],[Структурное подразделение]],'Списки данных'!$C$2:$C$1048576,0))</f>
        <v>13</v>
      </c>
      <c r="I1331" s="80" t="s">
        <v>173</v>
      </c>
      <c r="J1331" s="80" t="s">
        <v>212</v>
      </c>
      <c r="K1331" s="80" t="s">
        <v>213</v>
      </c>
      <c r="L1331" s="30" t="s">
        <v>191</v>
      </c>
      <c r="M1331" s="68">
        <v>7</v>
      </c>
      <c r="N1331" s="181" t="str">
        <f t="shared" si="21"/>
        <v>нет</v>
      </c>
      <c r="O1331" s="23"/>
      <c r="P1331" s="23"/>
      <c r="Q1331" s="106"/>
      <c r="R1331" s="37">
        <v>285</v>
      </c>
      <c r="S1331" s="38" t="s">
        <v>697</v>
      </c>
      <c r="T1331" s="37">
        <v>1361</v>
      </c>
      <c r="U1331" s="39" t="s">
        <v>1750</v>
      </c>
      <c r="V1331" s="69" t="s">
        <v>272</v>
      </c>
      <c r="W1331" s="89" t="s">
        <v>173</v>
      </c>
      <c r="X1331" s="106" t="s">
        <v>297</v>
      </c>
      <c r="Y1331" s="107" t="s">
        <v>12</v>
      </c>
      <c r="Z1331" s="67">
        <f>IF(База_КР_КК[[#This Row],[Таб.номер резервиста]]="-","-",IF(OR(База_КР_КК[[#This Row],[Уровень КК]]=2,База_КР_КК[[#This Row],[Уровень КК]]=3),IF(COUNTIFS($U$2:$U1331,$U1331,$F$2:$F1331,$F1331)=1,1,0),IF(COUNTIFS($U$2:$U1331,$U1331,$L$2:$L1331,$L1331)=1,1,0)))</f>
        <v>0</v>
      </c>
      <c r="AA13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1" s="106"/>
      <c r="AC1331" s="51"/>
      <c r="AD1331" s="106" t="s">
        <v>15</v>
      </c>
      <c r="AE1331" s="38" t="s">
        <v>343</v>
      </c>
    </row>
    <row r="1332" spans="1:31" ht="18" customHeight="1" x14ac:dyDescent="0.25">
      <c r="A13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2" s="79">
        <v>4</v>
      </c>
      <c r="C1332" s="23">
        <v>44425</v>
      </c>
      <c r="D1332" s="67">
        <f>IF(COUNTIF($G$2:$G1332,$G1332)=1,1,0)</f>
        <v>0</v>
      </c>
      <c r="E1332" s="67" t="str">
        <f>IFERROR(VLOOKUP(База_КР_КК[[#This Row],[ИД штатной должности (S)]],'уровень защищенности'!$B$7:$F$1095,5,0),"не защищена")</f>
        <v>высокий</v>
      </c>
      <c r="F1332" s="68">
        <v>500288</v>
      </c>
      <c r="G1332" s="74" t="s">
        <v>2453</v>
      </c>
      <c r="H1332" s="181">
        <f>INDEX('Списки данных'!$D$2:$D$1048576,MATCH(База_КР_КК[[#This Row],[Структурное подразделение]],'Списки данных'!$C$2:$C$1048576,0))</f>
        <v>13</v>
      </c>
      <c r="I1332" s="80" t="s">
        <v>173</v>
      </c>
      <c r="J1332" s="80" t="s">
        <v>212</v>
      </c>
      <c r="K1332" s="80" t="s">
        <v>213</v>
      </c>
      <c r="L1332" s="30" t="s">
        <v>191</v>
      </c>
      <c r="M1332" s="68">
        <v>7</v>
      </c>
      <c r="N1332" s="181" t="str">
        <f t="shared" si="21"/>
        <v>нет</v>
      </c>
      <c r="O1332" s="23"/>
      <c r="P1332" s="23"/>
      <c r="Q1332" s="106"/>
      <c r="R1332" s="37">
        <v>285</v>
      </c>
      <c r="S1332" s="38" t="s">
        <v>697</v>
      </c>
      <c r="T1332" s="37">
        <v>1362</v>
      </c>
      <c r="U1332" s="39" t="s">
        <v>1751</v>
      </c>
      <c r="V1332" s="69" t="s">
        <v>272</v>
      </c>
      <c r="W1332" s="89" t="s">
        <v>173</v>
      </c>
      <c r="X1332" s="106" t="s">
        <v>295</v>
      </c>
      <c r="Y1332" s="107" t="s">
        <v>12</v>
      </c>
      <c r="Z1332" s="67">
        <f>IF(База_КР_КК[[#This Row],[Таб.номер резервиста]]="-","-",IF(OR(База_КР_КК[[#This Row],[Уровень КК]]=2,База_КР_КК[[#This Row],[Уровень КК]]=3),IF(COUNTIFS($U$2:$U1332,$U1332,$F$2:$F1332,$F1332)=1,1,0),IF(COUNTIFS($U$2:$U1332,$U1332,$L$2:$L1332,$L1332)=1,1,0)))</f>
        <v>0</v>
      </c>
      <c r="AA13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2" s="106"/>
      <c r="AC1332" s="51"/>
      <c r="AD1332" s="106" t="s">
        <v>15</v>
      </c>
      <c r="AE1332" s="38" t="s">
        <v>343</v>
      </c>
    </row>
    <row r="1333" spans="1:31" ht="18" customHeight="1" x14ac:dyDescent="0.25">
      <c r="A13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3" s="79">
        <v>4</v>
      </c>
      <c r="C1333" s="23">
        <v>44425</v>
      </c>
      <c r="D1333" s="67">
        <f>IF(COUNTIF($G$2:$G1333,$G1333)=1,1,0)</f>
        <v>0</v>
      </c>
      <c r="E1333" s="67" t="str">
        <f>IFERROR(VLOOKUP(База_КР_КК[[#This Row],[ИД штатной должности (S)]],'уровень защищенности'!$B$7:$F$1095,5,0),"не защищена")</f>
        <v>высокий</v>
      </c>
      <c r="F1333" s="68">
        <v>500288</v>
      </c>
      <c r="G1333" s="74" t="s">
        <v>2453</v>
      </c>
      <c r="H1333" s="181">
        <f>INDEX('Списки данных'!$D$2:$D$1048576,MATCH(База_КР_КК[[#This Row],[Структурное подразделение]],'Списки данных'!$C$2:$C$1048576,0))</f>
        <v>13</v>
      </c>
      <c r="I1333" s="80" t="s">
        <v>173</v>
      </c>
      <c r="J1333" s="80" t="s">
        <v>212</v>
      </c>
      <c r="K1333" s="80" t="s">
        <v>213</v>
      </c>
      <c r="L1333" s="30" t="s">
        <v>191</v>
      </c>
      <c r="M1333" s="68">
        <v>7</v>
      </c>
      <c r="N1333" s="181" t="str">
        <f t="shared" si="21"/>
        <v>нет</v>
      </c>
      <c r="O1333" s="23"/>
      <c r="P1333" s="23"/>
      <c r="Q1333" s="106"/>
      <c r="R1333" s="37">
        <v>285</v>
      </c>
      <c r="S1333" s="38" t="s">
        <v>697</v>
      </c>
      <c r="T1333" s="37">
        <v>1363</v>
      </c>
      <c r="U1333" s="39" t="s">
        <v>1752</v>
      </c>
      <c r="V1333" s="69" t="s">
        <v>272</v>
      </c>
      <c r="W1333" s="89" t="s">
        <v>173</v>
      </c>
      <c r="X1333" s="106" t="s">
        <v>295</v>
      </c>
      <c r="Y1333" s="107" t="s">
        <v>12</v>
      </c>
      <c r="Z1333" s="67">
        <f>IF(База_КР_КК[[#This Row],[Таб.номер резервиста]]="-","-",IF(OR(База_КР_КК[[#This Row],[Уровень КК]]=2,База_КР_КК[[#This Row],[Уровень КК]]=3),IF(COUNTIFS($U$2:$U1333,$U1333,$F$2:$F1333,$F1333)=1,1,0),IF(COUNTIFS($U$2:$U1333,$U1333,$L$2:$L1333,$L1333)=1,1,0)))</f>
        <v>0</v>
      </c>
      <c r="AA13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3" s="106"/>
      <c r="AC1333" s="51"/>
      <c r="AD1333" s="106" t="s">
        <v>15</v>
      </c>
      <c r="AE1333" s="38" t="s">
        <v>343</v>
      </c>
    </row>
    <row r="1334" spans="1:31" ht="18" customHeight="1" x14ac:dyDescent="0.25">
      <c r="A13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4" s="79">
        <v>4</v>
      </c>
      <c r="C1334" s="23">
        <v>44425</v>
      </c>
      <c r="D1334" s="67">
        <f>IF(COUNTIF($G$2:$G1334,$G1334)=1,1,0)</f>
        <v>0</v>
      </c>
      <c r="E1334" s="67" t="str">
        <f>IFERROR(VLOOKUP(База_КР_КК[[#This Row],[ИД штатной должности (S)]],'уровень защищенности'!$B$7:$F$1095,5,0),"не защищена")</f>
        <v>высокий</v>
      </c>
      <c r="F1334" s="68">
        <v>500288</v>
      </c>
      <c r="G1334" s="74" t="s">
        <v>2453</v>
      </c>
      <c r="H1334" s="181">
        <f>INDEX('Списки данных'!$D$2:$D$1048576,MATCH(База_КР_КК[[#This Row],[Структурное подразделение]],'Списки данных'!$C$2:$C$1048576,0))</f>
        <v>13</v>
      </c>
      <c r="I1334" s="80" t="s">
        <v>173</v>
      </c>
      <c r="J1334" s="80" t="s">
        <v>212</v>
      </c>
      <c r="K1334" s="80" t="s">
        <v>213</v>
      </c>
      <c r="L1334" s="30" t="s">
        <v>191</v>
      </c>
      <c r="M1334" s="68">
        <v>7</v>
      </c>
      <c r="N1334" s="181" t="str">
        <f t="shared" si="21"/>
        <v>нет</v>
      </c>
      <c r="O1334" s="23"/>
      <c r="P1334" s="23"/>
      <c r="Q1334" s="106"/>
      <c r="R1334" s="37">
        <v>285</v>
      </c>
      <c r="S1334" s="38" t="s">
        <v>697</v>
      </c>
      <c r="T1334" s="37">
        <v>1364</v>
      </c>
      <c r="U1334" s="39" t="s">
        <v>1753</v>
      </c>
      <c r="V1334" s="69" t="s">
        <v>272</v>
      </c>
      <c r="W1334" s="89" t="s">
        <v>173</v>
      </c>
      <c r="X1334" s="106" t="s">
        <v>295</v>
      </c>
      <c r="Y1334" s="107" t="s">
        <v>12</v>
      </c>
      <c r="Z1334" s="67">
        <f>IF(База_КР_КК[[#This Row],[Таб.номер резервиста]]="-","-",IF(OR(База_КР_КК[[#This Row],[Уровень КК]]=2,База_КР_КК[[#This Row],[Уровень КК]]=3),IF(COUNTIFS($U$2:$U1334,$U1334,$F$2:$F1334,$F1334)=1,1,0),IF(COUNTIFS($U$2:$U1334,$U1334,$L$2:$L1334,$L1334)=1,1,0)))</f>
        <v>0</v>
      </c>
      <c r="AA13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4" s="106"/>
      <c r="AC1334" s="51"/>
      <c r="AD1334" s="106" t="s">
        <v>15</v>
      </c>
      <c r="AE1334" s="38" t="s">
        <v>343</v>
      </c>
    </row>
    <row r="1335" spans="1:31" ht="18" customHeight="1" x14ac:dyDescent="0.25">
      <c r="A13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5" s="79">
        <v>4</v>
      </c>
      <c r="C1335" s="23">
        <v>44425</v>
      </c>
      <c r="D1335" s="67">
        <f>IF(COUNTIF($G$2:$G1335,$G1335)=1,1,0)</f>
        <v>0</v>
      </c>
      <c r="E1335" s="67" t="str">
        <f>IFERROR(VLOOKUP(База_КР_КК[[#This Row],[ИД штатной должности (S)]],'уровень защищенности'!$B$7:$F$1095,5,0),"не защищена")</f>
        <v>высокий</v>
      </c>
      <c r="F1335" s="68">
        <v>500288</v>
      </c>
      <c r="G1335" s="74" t="s">
        <v>2453</v>
      </c>
      <c r="H1335" s="181">
        <f>INDEX('Списки данных'!$D$2:$D$1048576,MATCH(База_КР_КК[[#This Row],[Структурное подразделение]],'Списки данных'!$C$2:$C$1048576,0))</f>
        <v>13</v>
      </c>
      <c r="I1335" s="80" t="s">
        <v>173</v>
      </c>
      <c r="J1335" s="80" t="s">
        <v>212</v>
      </c>
      <c r="K1335" s="80" t="s">
        <v>213</v>
      </c>
      <c r="L1335" s="30" t="s">
        <v>191</v>
      </c>
      <c r="M1335" s="68">
        <v>7</v>
      </c>
      <c r="N1335" s="181" t="str">
        <f t="shared" si="21"/>
        <v>нет</v>
      </c>
      <c r="O1335" s="23"/>
      <c r="P1335" s="23"/>
      <c r="Q1335" s="106"/>
      <c r="R1335" s="37">
        <v>285</v>
      </c>
      <c r="S1335" s="38" t="s">
        <v>697</v>
      </c>
      <c r="T1335" s="37">
        <v>1360</v>
      </c>
      <c r="U1335" s="39" t="s">
        <v>1749</v>
      </c>
      <c r="V1335" s="69" t="s">
        <v>272</v>
      </c>
      <c r="W1335" s="89" t="s">
        <v>173</v>
      </c>
      <c r="X1335" s="106" t="s">
        <v>297</v>
      </c>
      <c r="Y1335" s="107" t="s">
        <v>12</v>
      </c>
      <c r="Z1335" s="67">
        <f>IF(База_КР_КК[[#This Row],[Таб.номер резервиста]]="-","-",IF(OR(База_КР_КК[[#This Row],[Уровень КК]]=2,База_КР_КК[[#This Row],[Уровень КК]]=3),IF(COUNTIFS($U$2:$U1335,$U1335,$F$2:$F1335,$F1335)=1,1,0),IF(COUNTIFS($U$2:$U1335,$U1335,$L$2:$L1335,$L1335)=1,1,0)))</f>
        <v>0</v>
      </c>
      <c r="AA13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5" s="106"/>
      <c r="AC1335" s="51"/>
      <c r="AD1335" s="106" t="s">
        <v>15</v>
      </c>
      <c r="AE1335" s="38" t="s">
        <v>343</v>
      </c>
    </row>
    <row r="1336" spans="1:31" ht="18" customHeight="1" x14ac:dyDescent="0.25">
      <c r="A13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6" s="79">
        <v>4</v>
      </c>
      <c r="C1336" s="23">
        <v>44890</v>
      </c>
      <c r="D1336" s="67">
        <f>IF(COUNTIF($G$2:$G1336,$G1336)=1,1,0)</f>
        <v>0</v>
      </c>
      <c r="E1336" s="67" t="str">
        <f>IFERROR(VLOOKUP(База_КР_КК[[#This Row],[ИД штатной должности (S)]],'уровень защищенности'!$B$7:$F$1095,5,0),"не защищена")</f>
        <v>высокий</v>
      </c>
      <c r="F1336" s="68">
        <v>500288</v>
      </c>
      <c r="G1336" s="74" t="s">
        <v>2453</v>
      </c>
      <c r="H1336" s="181">
        <f>INDEX('Списки данных'!$D$2:$D$1048576,MATCH(База_КР_КК[[#This Row],[Структурное подразделение]],'Списки данных'!$C$2:$C$1048576,0))</f>
        <v>13</v>
      </c>
      <c r="I1336" s="80" t="s">
        <v>173</v>
      </c>
      <c r="J1336" s="80" t="s">
        <v>212</v>
      </c>
      <c r="K1336" s="80" t="s">
        <v>213</v>
      </c>
      <c r="L1336" s="30" t="s">
        <v>191</v>
      </c>
      <c r="M1336" s="68">
        <v>7</v>
      </c>
      <c r="N1336" s="181" t="str">
        <f t="shared" si="21"/>
        <v>нет</v>
      </c>
      <c r="O1336" s="23"/>
      <c r="P1336" s="23"/>
      <c r="Q1336" s="106"/>
      <c r="R1336" s="37">
        <v>285</v>
      </c>
      <c r="S1336" s="38" t="s">
        <v>697</v>
      </c>
      <c r="T1336" s="37">
        <v>1365</v>
      </c>
      <c r="U1336" s="39" t="s">
        <v>1754</v>
      </c>
      <c r="V1336" s="69" t="s">
        <v>272</v>
      </c>
      <c r="W1336" s="89" t="s">
        <v>173</v>
      </c>
      <c r="X1336" s="106" t="s">
        <v>295</v>
      </c>
      <c r="Y1336" s="107" t="s">
        <v>12</v>
      </c>
      <c r="Z1336" s="67">
        <f>IF(База_КР_КК[[#This Row],[Таб.номер резервиста]]="-","-",IF(OR(База_КР_КК[[#This Row],[Уровень КК]]=2,База_КР_КК[[#This Row],[Уровень КК]]=3),IF(COUNTIFS($U$2:$U1336,$U1336,$F$2:$F1336,$F1336)=1,1,0),IF(COUNTIFS($U$2:$U1336,$U1336,$L$2:$L1336,$L1336)=1,1,0)))</f>
        <v>0</v>
      </c>
      <c r="AA13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6" s="106"/>
      <c r="AC1336" s="51"/>
      <c r="AD1336" s="106" t="s">
        <v>15</v>
      </c>
      <c r="AE1336" s="38" t="s">
        <v>344</v>
      </c>
    </row>
    <row r="1337" spans="1:31" ht="18" customHeight="1" x14ac:dyDescent="0.25">
      <c r="A13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7" s="79">
        <v>4</v>
      </c>
      <c r="C1337" s="23">
        <v>44890</v>
      </c>
      <c r="D1337" s="67">
        <f>IF(COUNTIF($G$2:$G1337,$G1337)=1,1,0)</f>
        <v>0</v>
      </c>
      <c r="E1337" s="67" t="str">
        <f>IFERROR(VLOOKUP(База_КР_КК[[#This Row],[ИД штатной должности (S)]],'уровень защищенности'!$B$7:$F$1095,5,0),"не защищена")</f>
        <v>высокий</v>
      </c>
      <c r="F1337" s="68">
        <v>500288</v>
      </c>
      <c r="G1337" s="74" t="s">
        <v>2453</v>
      </c>
      <c r="H1337" s="181">
        <f>INDEX('Списки данных'!$D$2:$D$1048576,MATCH(База_КР_КК[[#This Row],[Структурное подразделение]],'Списки данных'!$C$2:$C$1048576,0))</f>
        <v>13</v>
      </c>
      <c r="I1337" s="80" t="s">
        <v>173</v>
      </c>
      <c r="J1337" s="80" t="s">
        <v>212</v>
      </c>
      <c r="K1337" s="80" t="s">
        <v>213</v>
      </c>
      <c r="L1337" s="30" t="s">
        <v>191</v>
      </c>
      <c r="M1337" s="68">
        <v>7</v>
      </c>
      <c r="N1337" s="181" t="str">
        <f t="shared" si="21"/>
        <v>нет</v>
      </c>
      <c r="O1337" s="23"/>
      <c r="P1337" s="23"/>
      <c r="Q1337" s="106"/>
      <c r="R1337" s="37">
        <v>285</v>
      </c>
      <c r="S1337" s="38" t="s">
        <v>697</v>
      </c>
      <c r="T1337" s="37">
        <v>1366</v>
      </c>
      <c r="U1337" s="39" t="s">
        <v>1755</v>
      </c>
      <c r="V1337" s="69" t="s">
        <v>272</v>
      </c>
      <c r="W1337" s="89" t="s">
        <v>173</v>
      </c>
      <c r="X1337" s="106" t="s">
        <v>295</v>
      </c>
      <c r="Y1337" s="107" t="s">
        <v>12</v>
      </c>
      <c r="Z1337" s="67">
        <f>IF(База_КР_КК[[#This Row],[Таб.номер резервиста]]="-","-",IF(OR(База_КР_КК[[#This Row],[Уровень КК]]=2,База_КР_КК[[#This Row],[Уровень КК]]=3),IF(COUNTIFS($U$2:$U1337,$U1337,$F$2:$F1337,$F1337)=1,1,0),IF(COUNTIFS($U$2:$U1337,$U1337,$L$2:$L1337,$L1337)=1,1,0)))</f>
        <v>0</v>
      </c>
      <c r="AA13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7" s="106"/>
      <c r="AC1337" s="51"/>
      <c r="AD1337" s="106" t="s">
        <v>15</v>
      </c>
      <c r="AE1337" s="38" t="s">
        <v>344</v>
      </c>
    </row>
    <row r="1338" spans="1:31" ht="18" customHeight="1" x14ac:dyDescent="0.25">
      <c r="A13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8" s="79">
        <v>4</v>
      </c>
      <c r="C1338" s="23">
        <v>44425</v>
      </c>
      <c r="D1338" s="67">
        <f>IF(COUNTIF($G$2:$G1338,$G1338)=1,1,0)</f>
        <v>0</v>
      </c>
      <c r="E1338" s="67" t="str">
        <f>IFERROR(VLOOKUP(База_КР_КК[[#This Row],[ИД штатной должности (S)]],'уровень защищенности'!$B$7:$F$1095,5,0),"не защищена")</f>
        <v>высокий</v>
      </c>
      <c r="F1338" s="68">
        <v>500288</v>
      </c>
      <c r="G1338" s="74" t="s">
        <v>2453</v>
      </c>
      <c r="H1338" s="181">
        <f>INDEX('Списки данных'!$D$2:$D$1048576,MATCH(База_КР_КК[[#This Row],[Структурное подразделение]],'Списки данных'!$C$2:$C$1048576,0))</f>
        <v>13</v>
      </c>
      <c r="I1338" s="80" t="s">
        <v>173</v>
      </c>
      <c r="J1338" s="80" t="s">
        <v>212</v>
      </c>
      <c r="K1338" s="80" t="s">
        <v>213</v>
      </c>
      <c r="L1338" s="30" t="s">
        <v>191</v>
      </c>
      <c r="M1338" s="68">
        <v>7</v>
      </c>
      <c r="N1338" s="181" t="str">
        <f t="shared" si="21"/>
        <v>нет</v>
      </c>
      <c r="O1338" s="23"/>
      <c r="P1338" s="23"/>
      <c r="Q1338" s="106"/>
      <c r="R1338" s="37">
        <v>285</v>
      </c>
      <c r="S1338" s="38" t="s">
        <v>697</v>
      </c>
      <c r="T1338" s="37">
        <v>1367</v>
      </c>
      <c r="U1338" s="39" t="s">
        <v>1756</v>
      </c>
      <c r="V1338" s="69" t="s">
        <v>272</v>
      </c>
      <c r="W1338" s="89" t="s">
        <v>173</v>
      </c>
      <c r="X1338" s="106" t="s">
        <v>297</v>
      </c>
      <c r="Y1338" s="107" t="s">
        <v>18</v>
      </c>
      <c r="Z1338" s="67">
        <f>IF(База_КР_КК[[#This Row],[Таб.номер резервиста]]="-","-",IF(OR(База_КР_КК[[#This Row],[Уровень КК]]=2,База_КР_КК[[#This Row],[Уровень КК]]=3),IF(COUNTIFS($U$2:$U1338,$U1338,$F$2:$F1338,$F1338)=1,1,0),IF(COUNTIFS($U$2:$U1338,$U1338,$L$2:$L1338,$L1338)=1,1,0)))</f>
        <v>0</v>
      </c>
      <c r="AA13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8" s="106" t="s">
        <v>19</v>
      </c>
      <c r="AC1338" s="51">
        <v>44836</v>
      </c>
      <c r="AD1338" s="106" t="s">
        <v>15</v>
      </c>
      <c r="AE1338" s="38" t="s">
        <v>343</v>
      </c>
    </row>
    <row r="1339" spans="1:31" ht="18" customHeight="1" x14ac:dyDescent="0.25">
      <c r="A13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39" s="79">
        <v>4</v>
      </c>
      <c r="C1339" s="23">
        <v>44425</v>
      </c>
      <c r="D1339" s="67">
        <f>IF(COUNTIF($G$2:$G1339,$G1339)=1,1,0)</f>
        <v>1</v>
      </c>
      <c r="E1339" s="67" t="str">
        <f>IFERROR(VLOOKUP(База_КР_КК[[#This Row],[ИД штатной должности (S)]],'уровень защищенности'!$B$7:$F$1095,5,0),"не защищена")</f>
        <v>высокий</v>
      </c>
      <c r="F1339" s="68">
        <v>500288</v>
      </c>
      <c r="G1339" s="74" t="s">
        <v>2454</v>
      </c>
      <c r="H1339" s="181">
        <f>INDEX('Списки данных'!$D$2:$D$1048576,MATCH(База_КР_КК[[#This Row],[Структурное подразделение]],'Списки данных'!$C$2:$C$1048576,0))</f>
        <v>13</v>
      </c>
      <c r="I1339" s="80" t="s">
        <v>173</v>
      </c>
      <c r="J1339" s="80" t="s">
        <v>212</v>
      </c>
      <c r="K1339" s="80" t="s">
        <v>213</v>
      </c>
      <c r="L1339" s="30" t="s">
        <v>191</v>
      </c>
      <c r="M1339" s="68">
        <v>7</v>
      </c>
      <c r="N1339" s="181" t="str">
        <f t="shared" si="21"/>
        <v>нет</v>
      </c>
      <c r="O1339" s="23"/>
      <c r="P1339" s="23"/>
      <c r="Q1339" s="106"/>
      <c r="R1339" s="37">
        <v>286</v>
      </c>
      <c r="S1339" s="38" t="s">
        <v>698</v>
      </c>
      <c r="T1339" s="37">
        <v>1361</v>
      </c>
      <c r="U1339" s="39" t="s">
        <v>1750</v>
      </c>
      <c r="V1339" s="69" t="s">
        <v>272</v>
      </c>
      <c r="W1339" s="89" t="s">
        <v>173</v>
      </c>
      <c r="X1339" s="106" t="s">
        <v>297</v>
      </c>
      <c r="Y1339" s="107" t="s">
        <v>12</v>
      </c>
      <c r="Z1339" s="67">
        <f>IF(База_КР_КК[[#This Row],[Таб.номер резервиста]]="-","-",IF(OR(База_КР_КК[[#This Row],[Уровень КК]]=2,База_КР_КК[[#This Row],[Уровень КК]]=3),IF(COUNTIFS($U$2:$U1339,$U1339,$F$2:$F1339,$F1339)=1,1,0),IF(COUNTIFS($U$2:$U1339,$U1339,$L$2:$L1339,$L1339)=1,1,0)))</f>
        <v>0</v>
      </c>
      <c r="AA13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39" s="106"/>
      <c r="AC1339" s="51"/>
      <c r="AD1339" s="106" t="s">
        <v>15</v>
      </c>
      <c r="AE1339" s="38" t="s">
        <v>343</v>
      </c>
    </row>
    <row r="1340" spans="1:31" ht="18" customHeight="1" x14ac:dyDescent="0.25">
      <c r="A13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0" s="79">
        <v>4</v>
      </c>
      <c r="C1340" s="23">
        <v>44425</v>
      </c>
      <c r="D1340" s="67">
        <f>IF(COUNTIF($G$2:$G1340,$G1340)=1,1,0)</f>
        <v>0</v>
      </c>
      <c r="E1340" s="67" t="str">
        <f>IFERROR(VLOOKUP(База_КР_КК[[#This Row],[ИД штатной должности (S)]],'уровень защищенности'!$B$7:$F$1095,5,0),"не защищена")</f>
        <v>высокий</v>
      </c>
      <c r="F1340" s="68">
        <v>500288</v>
      </c>
      <c r="G1340" s="74" t="s">
        <v>2454</v>
      </c>
      <c r="H1340" s="181">
        <f>INDEX('Списки данных'!$D$2:$D$1048576,MATCH(База_КР_КК[[#This Row],[Структурное подразделение]],'Списки данных'!$C$2:$C$1048576,0))</f>
        <v>13</v>
      </c>
      <c r="I1340" s="80" t="s">
        <v>173</v>
      </c>
      <c r="J1340" s="80" t="s">
        <v>212</v>
      </c>
      <c r="K1340" s="80" t="s">
        <v>213</v>
      </c>
      <c r="L1340" s="30" t="s">
        <v>191</v>
      </c>
      <c r="M1340" s="68">
        <v>7</v>
      </c>
      <c r="N1340" s="181" t="str">
        <f t="shared" si="21"/>
        <v>нет</v>
      </c>
      <c r="O1340" s="23"/>
      <c r="P1340" s="23"/>
      <c r="Q1340" s="106"/>
      <c r="R1340" s="37">
        <v>286</v>
      </c>
      <c r="S1340" s="38" t="s">
        <v>698</v>
      </c>
      <c r="T1340" s="37">
        <v>1362</v>
      </c>
      <c r="U1340" s="39" t="s">
        <v>1751</v>
      </c>
      <c r="V1340" s="69" t="s">
        <v>272</v>
      </c>
      <c r="W1340" s="89" t="s">
        <v>173</v>
      </c>
      <c r="X1340" s="106" t="s">
        <v>295</v>
      </c>
      <c r="Y1340" s="107" t="s">
        <v>12</v>
      </c>
      <c r="Z1340" s="67">
        <f>IF(База_КР_КК[[#This Row],[Таб.номер резервиста]]="-","-",IF(OR(База_КР_КК[[#This Row],[Уровень КК]]=2,База_КР_КК[[#This Row],[Уровень КК]]=3),IF(COUNTIFS($U$2:$U1340,$U1340,$F$2:$F1340,$F1340)=1,1,0),IF(COUNTIFS($U$2:$U1340,$U1340,$L$2:$L1340,$L1340)=1,1,0)))</f>
        <v>0</v>
      </c>
      <c r="AA13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0" s="106"/>
      <c r="AC1340" s="51"/>
      <c r="AD1340" s="106" t="s">
        <v>15</v>
      </c>
      <c r="AE1340" s="38" t="s">
        <v>343</v>
      </c>
    </row>
    <row r="1341" spans="1:31" ht="18" customHeight="1" x14ac:dyDescent="0.25">
      <c r="A13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1" s="79">
        <v>4</v>
      </c>
      <c r="C1341" s="23">
        <v>44425</v>
      </c>
      <c r="D1341" s="67">
        <f>IF(COUNTIF($G$2:$G1341,$G1341)=1,1,0)</f>
        <v>0</v>
      </c>
      <c r="E1341" s="67" t="str">
        <f>IFERROR(VLOOKUP(База_КР_КК[[#This Row],[ИД штатной должности (S)]],'уровень защищенности'!$B$7:$F$1095,5,0),"не защищена")</f>
        <v>высокий</v>
      </c>
      <c r="F1341" s="68">
        <v>500288</v>
      </c>
      <c r="G1341" s="74" t="s">
        <v>2454</v>
      </c>
      <c r="H1341" s="181">
        <f>INDEX('Списки данных'!$D$2:$D$1048576,MATCH(База_КР_КК[[#This Row],[Структурное подразделение]],'Списки данных'!$C$2:$C$1048576,0))</f>
        <v>13</v>
      </c>
      <c r="I1341" s="80" t="s">
        <v>173</v>
      </c>
      <c r="J1341" s="80" t="s">
        <v>212</v>
      </c>
      <c r="K1341" s="80" t="s">
        <v>213</v>
      </c>
      <c r="L1341" s="30" t="s">
        <v>191</v>
      </c>
      <c r="M1341" s="68">
        <v>7</v>
      </c>
      <c r="N1341" s="181" t="str">
        <f t="shared" si="21"/>
        <v>нет</v>
      </c>
      <c r="O1341" s="23"/>
      <c r="P1341" s="23"/>
      <c r="Q1341" s="106"/>
      <c r="R1341" s="37">
        <v>286</v>
      </c>
      <c r="S1341" s="38" t="s">
        <v>698</v>
      </c>
      <c r="T1341" s="37">
        <v>1363</v>
      </c>
      <c r="U1341" s="39" t="s">
        <v>1752</v>
      </c>
      <c r="V1341" s="69" t="s">
        <v>272</v>
      </c>
      <c r="W1341" s="89" t="s">
        <v>173</v>
      </c>
      <c r="X1341" s="106" t="s">
        <v>295</v>
      </c>
      <c r="Y1341" s="107" t="s">
        <v>12</v>
      </c>
      <c r="Z1341" s="67">
        <f>IF(База_КР_КК[[#This Row],[Таб.номер резервиста]]="-","-",IF(OR(База_КР_КК[[#This Row],[Уровень КК]]=2,База_КР_КК[[#This Row],[Уровень КК]]=3),IF(COUNTIFS($U$2:$U1341,$U1341,$F$2:$F1341,$F1341)=1,1,0),IF(COUNTIFS($U$2:$U1341,$U1341,$L$2:$L1341,$L1341)=1,1,0)))</f>
        <v>0</v>
      </c>
      <c r="AA13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1" s="106"/>
      <c r="AC1341" s="51"/>
      <c r="AD1341" s="106" t="s">
        <v>15</v>
      </c>
      <c r="AE1341" s="38" t="s">
        <v>343</v>
      </c>
    </row>
    <row r="1342" spans="1:31" ht="18" customHeight="1" x14ac:dyDescent="0.25">
      <c r="A13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2" s="79">
        <v>4</v>
      </c>
      <c r="C1342" s="23">
        <v>44425</v>
      </c>
      <c r="D1342" s="67">
        <f>IF(COUNTIF($G$2:$G1342,$G1342)=1,1,0)</f>
        <v>0</v>
      </c>
      <c r="E1342" s="67" t="str">
        <f>IFERROR(VLOOKUP(База_КР_КК[[#This Row],[ИД штатной должности (S)]],'уровень защищенности'!$B$7:$F$1095,5,0),"не защищена")</f>
        <v>высокий</v>
      </c>
      <c r="F1342" s="68">
        <v>500288</v>
      </c>
      <c r="G1342" s="74" t="s">
        <v>2454</v>
      </c>
      <c r="H1342" s="181">
        <f>INDEX('Списки данных'!$D$2:$D$1048576,MATCH(База_КР_КК[[#This Row],[Структурное подразделение]],'Списки данных'!$C$2:$C$1048576,0))</f>
        <v>13</v>
      </c>
      <c r="I1342" s="80" t="s">
        <v>173</v>
      </c>
      <c r="J1342" s="80" t="s">
        <v>212</v>
      </c>
      <c r="K1342" s="80" t="s">
        <v>213</v>
      </c>
      <c r="L1342" s="30" t="s">
        <v>191</v>
      </c>
      <c r="M1342" s="68">
        <v>7</v>
      </c>
      <c r="N1342" s="181" t="str">
        <f t="shared" si="21"/>
        <v>нет</v>
      </c>
      <c r="O1342" s="23"/>
      <c r="P1342" s="23"/>
      <c r="Q1342" s="106"/>
      <c r="R1342" s="37">
        <v>286</v>
      </c>
      <c r="S1342" s="38" t="s">
        <v>698</v>
      </c>
      <c r="T1342" s="37">
        <v>1364</v>
      </c>
      <c r="U1342" s="39" t="s">
        <v>1753</v>
      </c>
      <c r="V1342" s="69" t="s">
        <v>272</v>
      </c>
      <c r="W1342" s="89" t="s">
        <v>173</v>
      </c>
      <c r="X1342" s="106" t="s">
        <v>295</v>
      </c>
      <c r="Y1342" s="107" t="s">
        <v>12</v>
      </c>
      <c r="Z1342" s="67">
        <f>IF(База_КР_КК[[#This Row],[Таб.номер резервиста]]="-","-",IF(OR(База_КР_КК[[#This Row],[Уровень КК]]=2,База_КР_КК[[#This Row],[Уровень КК]]=3),IF(COUNTIFS($U$2:$U1342,$U1342,$F$2:$F1342,$F1342)=1,1,0),IF(COUNTIFS($U$2:$U1342,$U1342,$L$2:$L1342,$L1342)=1,1,0)))</f>
        <v>0</v>
      </c>
      <c r="AA13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2" s="106"/>
      <c r="AC1342" s="51"/>
      <c r="AD1342" s="106" t="s">
        <v>15</v>
      </c>
      <c r="AE1342" s="38" t="s">
        <v>343</v>
      </c>
    </row>
    <row r="1343" spans="1:31" ht="18" customHeight="1" x14ac:dyDescent="0.25">
      <c r="A13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3" s="79">
        <v>4</v>
      </c>
      <c r="C1343" s="23">
        <v>44425</v>
      </c>
      <c r="D1343" s="67">
        <f>IF(COUNTIF($G$2:$G1343,$G1343)=1,1,0)</f>
        <v>0</v>
      </c>
      <c r="E1343" s="67" t="str">
        <f>IFERROR(VLOOKUP(База_КР_КК[[#This Row],[ИД штатной должности (S)]],'уровень защищенности'!$B$7:$F$1095,5,0),"не защищена")</f>
        <v>высокий</v>
      </c>
      <c r="F1343" s="68">
        <v>500288</v>
      </c>
      <c r="G1343" s="74" t="s">
        <v>2454</v>
      </c>
      <c r="H1343" s="181">
        <f>INDEX('Списки данных'!$D$2:$D$1048576,MATCH(База_КР_КК[[#This Row],[Структурное подразделение]],'Списки данных'!$C$2:$C$1048576,0))</f>
        <v>13</v>
      </c>
      <c r="I1343" s="80" t="s">
        <v>173</v>
      </c>
      <c r="J1343" s="80" t="s">
        <v>212</v>
      </c>
      <c r="K1343" s="80" t="s">
        <v>213</v>
      </c>
      <c r="L1343" s="30" t="s">
        <v>191</v>
      </c>
      <c r="M1343" s="68">
        <v>7</v>
      </c>
      <c r="N1343" s="181" t="str">
        <f t="shared" si="21"/>
        <v>нет</v>
      </c>
      <c r="O1343" s="23"/>
      <c r="P1343" s="23"/>
      <c r="Q1343" s="106"/>
      <c r="R1343" s="37">
        <v>286</v>
      </c>
      <c r="S1343" s="38" t="s">
        <v>698</v>
      </c>
      <c r="T1343" s="37">
        <v>1360</v>
      </c>
      <c r="U1343" s="39" t="s">
        <v>1749</v>
      </c>
      <c r="V1343" s="69" t="s">
        <v>272</v>
      </c>
      <c r="W1343" s="89" t="s">
        <v>173</v>
      </c>
      <c r="X1343" s="106" t="s">
        <v>297</v>
      </c>
      <c r="Y1343" s="107" t="s">
        <v>12</v>
      </c>
      <c r="Z1343" s="67">
        <f>IF(База_КР_КК[[#This Row],[Таб.номер резервиста]]="-","-",IF(OR(База_КР_КК[[#This Row],[Уровень КК]]=2,База_КР_КК[[#This Row],[Уровень КК]]=3),IF(COUNTIFS($U$2:$U1343,$U1343,$F$2:$F1343,$F1343)=1,1,0),IF(COUNTIFS($U$2:$U1343,$U1343,$L$2:$L1343,$L1343)=1,1,0)))</f>
        <v>0</v>
      </c>
      <c r="AA13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3" s="106"/>
      <c r="AC1343" s="51"/>
      <c r="AD1343" s="106" t="s">
        <v>15</v>
      </c>
      <c r="AE1343" s="38" t="s">
        <v>343</v>
      </c>
    </row>
    <row r="1344" spans="1:31" ht="18" customHeight="1" x14ac:dyDescent="0.25">
      <c r="A13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4" s="79">
        <v>4</v>
      </c>
      <c r="C1344" s="23">
        <v>44890</v>
      </c>
      <c r="D1344" s="67">
        <f>IF(COUNTIF($G$2:$G1344,$G1344)=1,1,0)</f>
        <v>0</v>
      </c>
      <c r="E1344" s="67" t="str">
        <f>IFERROR(VLOOKUP(База_КР_КК[[#This Row],[ИД штатной должности (S)]],'уровень защищенности'!$B$7:$F$1095,5,0),"не защищена")</f>
        <v>высокий</v>
      </c>
      <c r="F1344" s="68">
        <v>500288</v>
      </c>
      <c r="G1344" s="74" t="s">
        <v>2454</v>
      </c>
      <c r="H1344" s="181">
        <f>INDEX('Списки данных'!$D$2:$D$1048576,MATCH(База_КР_КК[[#This Row],[Структурное подразделение]],'Списки данных'!$C$2:$C$1048576,0))</f>
        <v>13</v>
      </c>
      <c r="I1344" s="80" t="s">
        <v>173</v>
      </c>
      <c r="J1344" s="80" t="s">
        <v>212</v>
      </c>
      <c r="K1344" s="80" t="s">
        <v>213</v>
      </c>
      <c r="L1344" s="30" t="s">
        <v>191</v>
      </c>
      <c r="M1344" s="68">
        <v>7</v>
      </c>
      <c r="N1344" s="181" t="str">
        <f t="shared" si="21"/>
        <v>нет</v>
      </c>
      <c r="O1344" s="23"/>
      <c r="P1344" s="23"/>
      <c r="Q1344" s="106"/>
      <c r="R1344" s="37">
        <v>286</v>
      </c>
      <c r="S1344" s="38" t="s">
        <v>698</v>
      </c>
      <c r="T1344" s="37">
        <v>1365</v>
      </c>
      <c r="U1344" s="39" t="s">
        <v>1754</v>
      </c>
      <c r="V1344" s="69" t="s">
        <v>272</v>
      </c>
      <c r="W1344" s="89" t="s">
        <v>173</v>
      </c>
      <c r="X1344" s="106" t="s">
        <v>295</v>
      </c>
      <c r="Y1344" s="107" t="s">
        <v>12</v>
      </c>
      <c r="Z1344" s="67">
        <f>IF(База_КР_КК[[#This Row],[Таб.номер резервиста]]="-","-",IF(OR(База_КР_КК[[#This Row],[Уровень КК]]=2,База_КР_КК[[#This Row],[Уровень КК]]=3),IF(COUNTIFS($U$2:$U1344,$U1344,$F$2:$F1344,$F1344)=1,1,0),IF(COUNTIFS($U$2:$U1344,$U1344,$L$2:$L1344,$L1344)=1,1,0)))</f>
        <v>0</v>
      </c>
      <c r="AA13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4" s="106"/>
      <c r="AC1344" s="51"/>
      <c r="AD1344" s="106" t="s">
        <v>15</v>
      </c>
      <c r="AE1344" s="38" t="s">
        <v>344</v>
      </c>
    </row>
    <row r="1345" spans="1:31" ht="18" customHeight="1" x14ac:dyDescent="0.25">
      <c r="A13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5" s="79">
        <v>4</v>
      </c>
      <c r="C1345" s="23">
        <v>44890</v>
      </c>
      <c r="D1345" s="67">
        <f>IF(COUNTIF($G$2:$G1345,$G1345)=1,1,0)</f>
        <v>0</v>
      </c>
      <c r="E1345" s="67" t="str">
        <f>IFERROR(VLOOKUP(База_КР_КК[[#This Row],[ИД штатной должности (S)]],'уровень защищенности'!$B$7:$F$1095,5,0),"не защищена")</f>
        <v>высокий</v>
      </c>
      <c r="F1345" s="68">
        <v>500288</v>
      </c>
      <c r="G1345" s="74" t="s">
        <v>2454</v>
      </c>
      <c r="H1345" s="181">
        <f>INDEX('Списки данных'!$D$2:$D$1048576,MATCH(База_КР_КК[[#This Row],[Структурное подразделение]],'Списки данных'!$C$2:$C$1048576,0))</f>
        <v>13</v>
      </c>
      <c r="I1345" s="80" t="s">
        <v>173</v>
      </c>
      <c r="J1345" s="80" t="s">
        <v>212</v>
      </c>
      <c r="K1345" s="80" t="s">
        <v>213</v>
      </c>
      <c r="L1345" s="30" t="s">
        <v>191</v>
      </c>
      <c r="M1345" s="68">
        <v>7</v>
      </c>
      <c r="N1345" s="181" t="str">
        <f t="shared" ref="N1345:N1408" si="22">IF(ISBLANK(O1345),"нет","да")</f>
        <v>нет</v>
      </c>
      <c r="O1345" s="23"/>
      <c r="P1345" s="23"/>
      <c r="Q1345" s="106"/>
      <c r="R1345" s="37">
        <v>286</v>
      </c>
      <c r="S1345" s="38" t="s">
        <v>698</v>
      </c>
      <c r="T1345" s="37">
        <v>1366</v>
      </c>
      <c r="U1345" s="39" t="s">
        <v>1755</v>
      </c>
      <c r="V1345" s="69" t="s">
        <v>272</v>
      </c>
      <c r="W1345" s="89" t="s">
        <v>173</v>
      </c>
      <c r="X1345" s="106" t="s">
        <v>295</v>
      </c>
      <c r="Y1345" s="107" t="s">
        <v>12</v>
      </c>
      <c r="Z1345" s="67">
        <f>IF(База_КР_КК[[#This Row],[Таб.номер резервиста]]="-","-",IF(OR(База_КР_КК[[#This Row],[Уровень КК]]=2,База_КР_КК[[#This Row],[Уровень КК]]=3),IF(COUNTIFS($U$2:$U1345,$U1345,$F$2:$F1345,$F1345)=1,1,0),IF(COUNTIFS($U$2:$U1345,$U1345,$L$2:$L1345,$L1345)=1,1,0)))</f>
        <v>0</v>
      </c>
      <c r="AA13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5" s="106"/>
      <c r="AC1345" s="51"/>
      <c r="AD1345" s="106" t="s">
        <v>15</v>
      </c>
      <c r="AE1345" s="38" t="s">
        <v>344</v>
      </c>
    </row>
    <row r="1346" spans="1:31" ht="18" customHeight="1" x14ac:dyDescent="0.25">
      <c r="A13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6" s="79">
        <v>4</v>
      </c>
      <c r="C1346" s="23">
        <v>44425</v>
      </c>
      <c r="D1346" s="67">
        <f>IF(COUNTIF($G$2:$G1346,$G1346)=1,1,0)</f>
        <v>0</v>
      </c>
      <c r="E1346" s="67" t="str">
        <f>IFERROR(VLOOKUP(База_КР_КК[[#This Row],[ИД штатной должности (S)]],'уровень защищенности'!$B$7:$F$1095,5,0),"не защищена")</f>
        <v>высокий</v>
      </c>
      <c r="F1346" s="68">
        <v>500288</v>
      </c>
      <c r="G1346" s="74" t="s">
        <v>2454</v>
      </c>
      <c r="H1346" s="181">
        <f>INDEX('Списки данных'!$D$2:$D$1048576,MATCH(База_КР_КК[[#This Row],[Структурное подразделение]],'Списки данных'!$C$2:$C$1048576,0))</f>
        <v>13</v>
      </c>
      <c r="I1346" s="80" t="s">
        <v>173</v>
      </c>
      <c r="J1346" s="80" t="s">
        <v>212</v>
      </c>
      <c r="K1346" s="80" t="s">
        <v>213</v>
      </c>
      <c r="L1346" s="30" t="s">
        <v>191</v>
      </c>
      <c r="M1346" s="68">
        <v>7</v>
      </c>
      <c r="N1346" s="181" t="str">
        <f t="shared" si="22"/>
        <v>нет</v>
      </c>
      <c r="O1346" s="23"/>
      <c r="P1346" s="23"/>
      <c r="Q1346" s="106"/>
      <c r="R1346" s="37">
        <v>286</v>
      </c>
      <c r="S1346" s="38" t="s">
        <v>698</v>
      </c>
      <c r="T1346" s="37">
        <v>1367</v>
      </c>
      <c r="U1346" s="39" t="s">
        <v>1756</v>
      </c>
      <c r="V1346" s="69" t="s">
        <v>272</v>
      </c>
      <c r="W1346" s="89" t="s">
        <v>173</v>
      </c>
      <c r="X1346" s="106" t="s">
        <v>297</v>
      </c>
      <c r="Y1346" s="107" t="s">
        <v>18</v>
      </c>
      <c r="Z1346" s="67">
        <f>IF(База_КР_КК[[#This Row],[Таб.номер резервиста]]="-","-",IF(OR(База_КР_КК[[#This Row],[Уровень КК]]=2,База_КР_КК[[#This Row],[Уровень КК]]=3),IF(COUNTIFS($U$2:$U1346,$U1346,$F$2:$F1346,$F1346)=1,1,0),IF(COUNTIFS($U$2:$U1346,$U1346,$L$2:$L1346,$L1346)=1,1,0)))</f>
        <v>0</v>
      </c>
      <c r="AA13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6" s="106" t="s">
        <v>19</v>
      </c>
      <c r="AC1346" s="51">
        <v>44836</v>
      </c>
      <c r="AD1346" s="106" t="s">
        <v>15</v>
      </c>
      <c r="AE1346" s="38" t="s">
        <v>343</v>
      </c>
    </row>
    <row r="1347" spans="1:31" ht="18" customHeight="1" x14ac:dyDescent="0.25">
      <c r="A13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7" s="79">
        <v>3</v>
      </c>
      <c r="C1347" s="23">
        <v>43425</v>
      </c>
      <c r="D1347" s="67">
        <f>IF(COUNTIF($G$2:$G1347,$G1347)=1,1,0)</f>
        <v>1</v>
      </c>
      <c r="E1347" s="67" t="str">
        <f>IFERROR(VLOOKUP(База_КР_КК[[#This Row],[ИД штатной должности (S)]],'уровень защищенности'!$B$7:$F$1095,5,0),"не защищена")</f>
        <v>высокий</v>
      </c>
      <c r="F1347" s="68">
        <v>500289</v>
      </c>
      <c r="G1347" s="74" t="s">
        <v>2455</v>
      </c>
      <c r="H1347" s="181">
        <f>INDEX('Списки данных'!$D$2:$D$1048576,MATCH(База_КР_КК[[#This Row],[Структурное подразделение]],'Списки данных'!$C$2:$C$1048576,0))</f>
        <v>13</v>
      </c>
      <c r="I1347" s="80" t="s">
        <v>173</v>
      </c>
      <c r="J1347" s="80" t="s">
        <v>212</v>
      </c>
      <c r="K1347" s="80" t="s">
        <v>21</v>
      </c>
      <c r="L1347" s="30" t="s">
        <v>186</v>
      </c>
      <c r="M1347" s="68">
        <v>5</v>
      </c>
      <c r="N1347" s="181" t="str">
        <f t="shared" si="22"/>
        <v>нет</v>
      </c>
      <c r="O1347" s="23"/>
      <c r="P1347" s="23"/>
      <c r="Q1347" s="106"/>
      <c r="R1347" s="37">
        <v>287</v>
      </c>
      <c r="S1347" s="38" t="s">
        <v>699</v>
      </c>
      <c r="T1347" s="37">
        <v>1368</v>
      </c>
      <c r="U1347" s="39" t="s">
        <v>1757</v>
      </c>
      <c r="V1347" s="89" t="s">
        <v>189</v>
      </c>
      <c r="W1347" s="89" t="s">
        <v>173</v>
      </c>
      <c r="X1347" s="106" t="s">
        <v>295</v>
      </c>
      <c r="Y1347" s="107" t="s">
        <v>12</v>
      </c>
      <c r="Z1347" s="67">
        <f>IF(База_КР_КК[[#This Row],[Таб.номер резервиста]]="-","-",IF(OR(База_КР_КК[[#This Row],[Уровень КК]]=2,База_КР_КК[[#This Row],[Уровень КК]]=3),IF(COUNTIFS($U$2:$U1347,$U1347,$F$2:$F1347,$F1347)=1,1,0),IF(COUNTIFS($U$2:$U1347,$U1347,$L$2:$L1347,$L1347)=1,1,0)))</f>
        <v>1</v>
      </c>
      <c r="AA13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7" s="106"/>
      <c r="AC1347" s="51"/>
      <c r="AD1347" s="106" t="s">
        <v>13</v>
      </c>
      <c r="AE1347" s="38" t="s">
        <v>345</v>
      </c>
    </row>
    <row r="1348" spans="1:31" ht="18" customHeight="1" x14ac:dyDescent="0.25">
      <c r="A13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8" s="79">
        <v>3</v>
      </c>
      <c r="C1348" s="23">
        <v>43781</v>
      </c>
      <c r="D1348" s="67">
        <f>IF(COUNTIF($G$2:$G1348,$G1348)=1,1,0)</f>
        <v>0</v>
      </c>
      <c r="E1348" s="67" t="str">
        <f>IFERROR(VLOOKUP(База_КР_КК[[#This Row],[ИД штатной должности (S)]],'уровень защищенности'!$B$7:$F$1095,5,0),"не защищена")</f>
        <v>высокий</v>
      </c>
      <c r="F1348" s="68">
        <v>500289</v>
      </c>
      <c r="G1348" s="74" t="s">
        <v>2455</v>
      </c>
      <c r="H1348" s="181">
        <f>INDEX('Списки данных'!$D$2:$D$1048576,MATCH(База_КР_КК[[#This Row],[Структурное подразделение]],'Списки данных'!$C$2:$C$1048576,0))</f>
        <v>13</v>
      </c>
      <c r="I1348" s="80" t="s">
        <v>173</v>
      </c>
      <c r="J1348" s="80" t="s">
        <v>212</v>
      </c>
      <c r="K1348" s="80" t="s">
        <v>21</v>
      </c>
      <c r="L1348" s="30" t="s">
        <v>186</v>
      </c>
      <c r="M1348" s="68">
        <v>5</v>
      </c>
      <c r="N1348" s="181" t="str">
        <f t="shared" si="22"/>
        <v>нет</v>
      </c>
      <c r="O1348" s="23"/>
      <c r="P1348" s="23"/>
      <c r="Q1348" s="106"/>
      <c r="R1348" s="37">
        <v>287</v>
      </c>
      <c r="S1348" s="38" t="s">
        <v>699</v>
      </c>
      <c r="T1348" s="37">
        <v>290</v>
      </c>
      <c r="U1348" s="39" t="s">
        <v>702</v>
      </c>
      <c r="V1348" s="89" t="s">
        <v>192</v>
      </c>
      <c r="W1348" s="89" t="s">
        <v>173</v>
      </c>
      <c r="X1348" s="106" t="s">
        <v>297</v>
      </c>
      <c r="Y1348" s="107" t="s">
        <v>12</v>
      </c>
      <c r="Z1348" s="67">
        <f>IF(База_КР_КК[[#This Row],[Таб.номер резервиста]]="-","-",IF(OR(База_КР_КК[[#This Row],[Уровень КК]]=2,База_КР_КК[[#This Row],[Уровень КК]]=3),IF(COUNTIFS($U$2:$U1348,$U1348,$F$2:$F1348,$F1348)=1,1,0),IF(COUNTIFS($U$2:$U1348,$U1348,$L$2:$L1348,$L1348)=1,1,0)))</f>
        <v>1</v>
      </c>
      <c r="AA13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8" s="106"/>
      <c r="AC1348" s="51"/>
      <c r="AD1348" s="106" t="s">
        <v>13</v>
      </c>
      <c r="AE1348" s="38" t="s">
        <v>345</v>
      </c>
    </row>
    <row r="1349" spans="1:31" ht="18" customHeight="1" x14ac:dyDescent="0.25">
      <c r="A13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49" s="79">
        <v>3</v>
      </c>
      <c r="C1349" s="23">
        <v>44343</v>
      </c>
      <c r="D1349" s="67">
        <f>IF(COUNTIF($G$2:$G1349,$G1349)=1,1,0)</f>
        <v>0</v>
      </c>
      <c r="E1349" s="67" t="str">
        <f>IFERROR(VLOOKUP(База_КР_КК[[#This Row],[ИД штатной должности (S)]],'уровень защищенности'!$B$7:$F$1095,5,0),"не защищена")</f>
        <v>высокий</v>
      </c>
      <c r="F1349" s="68">
        <v>500289</v>
      </c>
      <c r="G1349" s="74" t="s">
        <v>2455</v>
      </c>
      <c r="H1349" s="181">
        <f>INDEX('Списки данных'!$D$2:$D$1048576,MATCH(База_КР_КК[[#This Row],[Структурное подразделение]],'Списки данных'!$C$2:$C$1048576,0))</f>
        <v>13</v>
      </c>
      <c r="I1349" s="80" t="s">
        <v>173</v>
      </c>
      <c r="J1349" s="80" t="s">
        <v>212</v>
      </c>
      <c r="K1349" s="80" t="s">
        <v>21</v>
      </c>
      <c r="L1349" s="30" t="s">
        <v>186</v>
      </c>
      <c r="M1349" s="68">
        <v>5</v>
      </c>
      <c r="N1349" s="181" t="str">
        <f t="shared" si="22"/>
        <v>нет</v>
      </c>
      <c r="O1349" s="23"/>
      <c r="P1349" s="23"/>
      <c r="Q1349" s="106"/>
      <c r="R1349" s="37">
        <v>287</v>
      </c>
      <c r="S1349" s="38" t="s">
        <v>699</v>
      </c>
      <c r="T1349" s="37">
        <v>288</v>
      </c>
      <c r="U1349" s="39" t="s">
        <v>700</v>
      </c>
      <c r="V1349" s="69" t="s">
        <v>192</v>
      </c>
      <c r="W1349" s="89" t="s">
        <v>173</v>
      </c>
      <c r="X1349" s="106" t="s">
        <v>296</v>
      </c>
      <c r="Y1349" s="107" t="s">
        <v>12</v>
      </c>
      <c r="Z1349" s="67">
        <f>IF(База_КР_КК[[#This Row],[Таб.номер резервиста]]="-","-",IF(OR(База_КР_КК[[#This Row],[Уровень КК]]=2,База_КР_КК[[#This Row],[Уровень КК]]=3),IF(COUNTIFS($U$2:$U1349,$U1349,$F$2:$F1349,$F1349)=1,1,0),IF(COUNTIFS($U$2:$U1349,$U1349,$L$2:$L1349,$L1349)=1,1,0)))</f>
        <v>1</v>
      </c>
      <c r="AA13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49" s="106"/>
      <c r="AC1349" s="51"/>
      <c r="AD1349" s="106" t="s">
        <v>13</v>
      </c>
      <c r="AE1349" s="38" t="s">
        <v>345</v>
      </c>
    </row>
    <row r="1350" spans="1:31" ht="18" customHeight="1" x14ac:dyDescent="0.25">
      <c r="A13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0" s="79">
        <v>3</v>
      </c>
      <c r="C1350" s="23">
        <v>44707</v>
      </c>
      <c r="D1350" s="67">
        <f>IF(COUNTIF($G$2:$G1350,$G1350)=1,1,0)</f>
        <v>0</v>
      </c>
      <c r="E1350" s="67" t="str">
        <f>IFERROR(VLOOKUP(База_КР_КК[[#This Row],[ИД штатной должности (S)]],'уровень защищенности'!$B$7:$F$1095,5,0),"не защищена")</f>
        <v>высокий</v>
      </c>
      <c r="F1350" s="68">
        <v>500289</v>
      </c>
      <c r="G1350" s="74" t="s">
        <v>2455</v>
      </c>
      <c r="H1350" s="181">
        <f>INDEX('Списки данных'!$D$2:$D$1048576,MATCH(База_КР_КК[[#This Row],[Структурное подразделение]],'Списки данных'!$C$2:$C$1048576,0))</f>
        <v>13</v>
      </c>
      <c r="I1350" s="80" t="s">
        <v>173</v>
      </c>
      <c r="J1350" s="80" t="s">
        <v>212</v>
      </c>
      <c r="K1350" s="80" t="s">
        <v>21</v>
      </c>
      <c r="L1350" s="30" t="s">
        <v>186</v>
      </c>
      <c r="M1350" s="68">
        <v>5</v>
      </c>
      <c r="N1350" s="181" t="str">
        <f t="shared" si="22"/>
        <v>нет</v>
      </c>
      <c r="O1350" s="23"/>
      <c r="P1350" s="23"/>
      <c r="Q1350" s="106"/>
      <c r="R1350" s="37">
        <v>287</v>
      </c>
      <c r="S1350" s="38" t="s">
        <v>699</v>
      </c>
      <c r="T1350" s="37">
        <v>291</v>
      </c>
      <c r="U1350" s="39" t="s">
        <v>703</v>
      </c>
      <c r="V1350" s="89" t="s">
        <v>192</v>
      </c>
      <c r="W1350" s="89" t="s">
        <v>173</v>
      </c>
      <c r="X1350" s="106" t="s">
        <v>296</v>
      </c>
      <c r="Y1350" s="107" t="s">
        <v>12</v>
      </c>
      <c r="Z1350" s="67">
        <f>IF(База_КР_КК[[#This Row],[Таб.номер резервиста]]="-","-",IF(OR(База_КР_КК[[#This Row],[Уровень КК]]=2,База_КР_КК[[#This Row],[Уровень КК]]=3),IF(COUNTIFS($U$2:$U1350,$U1350,$F$2:$F1350,$F1350)=1,1,0),IF(COUNTIFS($U$2:$U1350,$U1350,$L$2:$L1350,$L1350)=1,1,0)))</f>
        <v>1</v>
      </c>
      <c r="AA13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0" s="106"/>
      <c r="AC1350" s="51"/>
      <c r="AD1350" s="106" t="s">
        <v>15</v>
      </c>
      <c r="AE1350" s="38" t="s">
        <v>345</v>
      </c>
    </row>
    <row r="1351" spans="1:31" ht="18" customHeight="1" x14ac:dyDescent="0.25">
      <c r="A13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1" s="79">
        <v>3</v>
      </c>
      <c r="C1351" s="23">
        <v>44707</v>
      </c>
      <c r="D1351" s="67">
        <f>IF(COUNTIF($G$2:$G1351,$G1351)=1,1,0)</f>
        <v>0</v>
      </c>
      <c r="E1351" s="67" t="str">
        <f>IFERROR(VLOOKUP(База_КР_КК[[#This Row],[ИД штатной должности (S)]],'уровень защищенности'!$B$7:$F$1095,5,0),"не защищена")</f>
        <v>высокий</v>
      </c>
      <c r="F1351" s="68">
        <v>500289</v>
      </c>
      <c r="G1351" s="74" t="s">
        <v>2455</v>
      </c>
      <c r="H1351" s="181">
        <f>INDEX('Списки данных'!$D$2:$D$1048576,MATCH(База_КР_КК[[#This Row],[Структурное подразделение]],'Списки данных'!$C$2:$C$1048576,0))</f>
        <v>13</v>
      </c>
      <c r="I1351" s="80" t="s">
        <v>173</v>
      </c>
      <c r="J1351" s="80" t="s">
        <v>212</v>
      </c>
      <c r="K1351" s="80" t="s">
        <v>21</v>
      </c>
      <c r="L1351" s="30" t="s">
        <v>186</v>
      </c>
      <c r="M1351" s="68">
        <v>5</v>
      </c>
      <c r="N1351" s="181" t="str">
        <f t="shared" si="22"/>
        <v>нет</v>
      </c>
      <c r="O1351" s="23"/>
      <c r="P1351" s="23"/>
      <c r="Q1351" s="106"/>
      <c r="R1351" s="37">
        <v>287</v>
      </c>
      <c r="S1351" s="38" t="s">
        <v>699</v>
      </c>
      <c r="T1351" s="37">
        <v>1370</v>
      </c>
      <c r="U1351" s="39" t="s">
        <v>1758</v>
      </c>
      <c r="V1351" s="69" t="s">
        <v>272</v>
      </c>
      <c r="W1351" s="89" t="s">
        <v>173</v>
      </c>
      <c r="X1351" s="106" t="s">
        <v>296</v>
      </c>
      <c r="Y1351" s="107" t="s">
        <v>12</v>
      </c>
      <c r="Z1351" s="67">
        <f>IF(База_КР_КК[[#This Row],[Таб.номер резервиста]]="-","-",IF(OR(База_КР_КК[[#This Row],[Уровень КК]]=2,База_КР_КК[[#This Row],[Уровень КК]]=3),IF(COUNTIFS($U$2:$U1351,$U1351,$F$2:$F1351,$F1351)=1,1,0),IF(COUNTIFS($U$2:$U1351,$U1351,$L$2:$L1351,$L1351)=1,1,0)))</f>
        <v>1</v>
      </c>
      <c r="AA13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1" s="106"/>
      <c r="AC1351" s="51"/>
      <c r="AD1351" s="106" t="s">
        <v>15</v>
      </c>
      <c r="AE1351" s="38" t="s">
        <v>345</v>
      </c>
    </row>
    <row r="1352" spans="1:31" ht="18" customHeight="1" x14ac:dyDescent="0.25">
      <c r="A13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2" s="79">
        <v>4</v>
      </c>
      <c r="C1352" s="23">
        <v>44425</v>
      </c>
      <c r="D1352" s="67">
        <f>IF(COUNTIF($G$2:$G1352,$G1352)=1,1,0)</f>
        <v>1</v>
      </c>
      <c r="E1352" s="67" t="str">
        <f>IFERROR(VLOOKUP(База_КР_КК[[#This Row],[ИД штатной должности (S)]],'уровень защищенности'!$B$7:$F$1095,5,0),"не защищена")</f>
        <v>низкий</v>
      </c>
      <c r="F1352" s="68">
        <v>500290</v>
      </c>
      <c r="G1352" s="74" t="s">
        <v>2456</v>
      </c>
      <c r="H1352" s="181">
        <f>INDEX('Списки данных'!$D$2:$D$1048576,MATCH(База_КР_КК[[#This Row],[Структурное подразделение]],'Списки данных'!$C$2:$C$1048576,0))</f>
        <v>13</v>
      </c>
      <c r="I1352" s="80" t="s">
        <v>173</v>
      </c>
      <c r="J1352" s="80" t="s">
        <v>212</v>
      </c>
      <c r="K1352" s="80" t="s">
        <v>21</v>
      </c>
      <c r="L1352" s="30" t="s">
        <v>192</v>
      </c>
      <c r="M1352" s="68">
        <v>7</v>
      </c>
      <c r="N1352" s="181" t="str">
        <f t="shared" si="22"/>
        <v>да</v>
      </c>
      <c r="O1352" s="23">
        <v>44820</v>
      </c>
      <c r="P1352" s="23">
        <v>44820</v>
      </c>
      <c r="Q1352" s="106" t="s">
        <v>66</v>
      </c>
      <c r="R1352" s="37">
        <v>288</v>
      </c>
      <c r="S1352" s="39" t="s">
        <v>700</v>
      </c>
      <c r="T1352" s="37">
        <v>1370</v>
      </c>
      <c r="U1352" s="39" t="s">
        <v>1758</v>
      </c>
      <c r="V1352" s="69" t="s">
        <v>272</v>
      </c>
      <c r="W1352" s="89" t="s">
        <v>173</v>
      </c>
      <c r="X1352" s="106" t="s">
        <v>296</v>
      </c>
      <c r="Y1352" s="107" t="s">
        <v>12</v>
      </c>
      <c r="Z1352" s="67">
        <f>IF(База_КР_КК[[#This Row],[Таб.номер резервиста]]="-","-",IF(OR(База_КР_КК[[#This Row],[Уровень КК]]=2,База_КР_КК[[#This Row],[Уровень КК]]=3),IF(COUNTIFS($U$2:$U1352,$U1352,$F$2:$F1352,$F1352)=1,1,0),IF(COUNTIFS($U$2:$U1352,$U1352,$L$2:$L1352,$L1352)=1,1,0)))</f>
        <v>1</v>
      </c>
      <c r="AA13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2" s="106"/>
      <c r="AC1352" s="51"/>
      <c r="AD1352" s="106" t="s">
        <v>15</v>
      </c>
      <c r="AE1352" s="38" t="s">
        <v>343</v>
      </c>
    </row>
    <row r="1353" spans="1:31" ht="18" customHeight="1" x14ac:dyDescent="0.25">
      <c r="A13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3" s="79">
        <v>4</v>
      </c>
      <c r="C1353" s="23">
        <v>44425</v>
      </c>
      <c r="D1353" s="67">
        <f>IF(COUNTIF($G$2:$G1353,$G1353)=1,1,0)</f>
        <v>0</v>
      </c>
      <c r="E1353" s="67" t="str">
        <f>IFERROR(VLOOKUP(База_КР_КК[[#This Row],[ИД штатной должности (S)]],'уровень защищенности'!$B$7:$F$1095,5,0),"не защищена")</f>
        <v>низкий</v>
      </c>
      <c r="F1353" s="68">
        <v>500290</v>
      </c>
      <c r="G1353" s="74" t="s">
        <v>2456</v>
      </c>
      <c r="H1353" s="181">
        <f>INDEX('Списки данных'!$D$2:$D$1048576,MATCH(База_КР_КК[[#This Row],[Структурное подразделение]],'Списки данных'!$C$2:$C$1048576,0))</f>
        <v>13</v>
      </c>
      <c r="I1353" s="80" t="s">
        <v>173</v>
      </c>
      <c r="J1353" s="80" t="s">
        <v>212</v>
      </c>
      <c r="K1353" s="80" t="s">
        <v>21</v>
      </c>
      <c r="L1353" s="30" t="s">
        <v>192</v>
      </c>
      <c r="M1353" s="68">
        <v>7</v>
      </c>
      <c r="N1353" s="181" t="str">
        <f t="shared" si="22"/>
        <v>да</v>
      </c>
      <c r="O1353" s="23">
        <v>44820</v>
      </c>
      <c r="P1353" s="23">
        <v>44820</v>
      </c>
      <c r="Q1353" s="106" t="s">
        <v>66</v>
      </c>
      <c r="R1353" s="37">
        <v>288</v>
      </c>
      <c r="S1353" s="39" t="s">
        <v>700</v>
      </c>
      <c r="T1353" s="37">
        <v>288</v>
      </c>
      <c r="U1353" s="39" t="s">
        <v>700</v>
      </c>
      <c r="V1353" s="69" t="s">
        <v>192</v>
      </c>
      <c r="W1353" s="89" t="s">
        <v>173</v>
      </c>
      <c r="X1353" s="106" t="s">
        <v>297</v>
      </c>
      <c r="Y1353" s="107" t="s">
        <v>14</v>
      </c>
      <c r="Z1353" s="67">
        <f>IF(База_КР_КК[[#This Row],[Таб.номер резервиста]]="-","-",IF(OR(База_КР_КК[[#This Row],[Уровень КК]]=2,База_КР_КК[[#This Row],[Уровень КК]]=3),IF(COUNTIFS($U$2:$U1353,$U1353,$F$2:$F1353,$F1353)=1,1,0),IF(COUNTIFS($U$2:$U1353,$U1353,$L$2:$L1353,$L1353)=1,1,0)))</f>
        <v>1</v>
      </c>
      <c r="AA13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353" s="106" t="s">
        <v>24</v>
      </c>
      <c r="AC1353" s="51">
        <v>44820</v>
      </c>
      <c r="AD1353" s="106" t="s">
        <v>15</v>
      </c>
      <c r="AE1353" s="38" t="s">
        <v>343</v>
      </c>
    </row>
    <row r="1354" spans="1:31" ht="18" customHeight="1" x14ac:dyDescent="0.25">
      <c r="A13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4" s="79">
        <v>4</v>
      </c>
      <c r="C1354" s="23">
        <v>44425</v>
      </c>
      <c r="D1354" s="67">
        <f>IF(COUNTIF($G$2:$G1354,$G1354)=1,1,0)</f>
        <v>1</v>
      </c>
      <c r="E1354" s="67" t="str">
        <f>IFERROR(VLOOKUP(База_КР_КК[[#This Row],[ИД штатной должности (S)]],'уровень защищенности'!$B$7:$F$1095,5,0),"не защищена")</f>
        <v>высокий</v>
      </c>
      <c r="F1354" s="68">
        <v>500291</v>
      </c>
      <c r="G1354" s="74" t="s">
        <v>2457</v>
      </c>
      <c r="H1354" s="181">
        <f>INDEX('Списки данных'!$D$2:$D$1048576,MATCH(База_КР_КК[[#This Row],[Структурное подразделение]],'Списки данных'!$C$2:$C$1048576,0))</f>
        <v>13</v>
      </c>
      <c r="I1354" s="80" t="s">
        <v>173</v>
      </c>
      <c r="J1354" s="80" t="s">
        <v>212</v>
      </c>
      <c r="K1354" s="80" t="s">
        <v>21</v>
      </c>
      <c r="L1354" s="30" t="s">
        <v>191</v>
      </c>
      <c r="M1354" s="68">
        <v>7</v>
      </c>
      <c r="N1354" s="181" t="str">
        <f t="shared" si="22"/>
        <v>нет</v>
      </c>
      <c r="O1354" s="23"/>
      <c r="P1354" s="23"/>
      <c r="Q1354" s="106"/>
      <c r="R1354" s="37">
        <v>289</v>
      </c>
      <c r="S1354" s="38" t="s">
        <v>701</v>
      </c>
      <c r="T1354" s="37">
        <v>1371</v>
      </c>
      <c r="U1354" s="39" t="s">
        <v>1759</v>
      </c>
      <c r="V1354" s="69" t="s">
        <v>272</v>
      </c>
      <c r="W1354" s="89" t="s">
        <v>173</v>
      </c>
      <c r="X1354" s="106" t="s">
        <v>297</v>
      </c>
      <c r="Y1354" s="107" t="s">
        <v>12</v>
      </c>
      <c r="Z1354" s="67">
        <f>IF(База_КР_КК[[#This Row],[Таб.номер резервиста]]="-","-",IF(OR(База_КР_КК[[#This Row],[Уровень КК]]=2,База_КР_КК[[#This Row],[Уровень КК]]=3),IF(COUNTIFS($U$2:$U1354,$U1354,$F$2:$F1354,$F1354)=1,1,0),IF(COUNTIFS($U$2:$U1354,$U1354,$L$2:$L1354,$L1354)=1,1,0)))</f>
        <v>1</v>
      </c>
      <c r="AA13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4" s="106"/>
      <c r="AC1354" s="51"/>
      <c r="AD1354" s="106" t="s">
        <v>15</v>
      </c>
      <c r="AE1354" s="38" t="s">
        <v>343</v>
      </c>
    </row>
    <row r="1355" spans="1:31" ht="18" customHeight="1" x14ac:dyDescent="0.25">
      <c r="A13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5" s="79">
        <v>4</v>
      </c>
      <c r="C1355" s="23">
        <v>44425</v>
      </c>
      <c r="D1355" s="67">
        <f>IF(COUNTIF($G$2:$G1355,$G1355)=1,1,0)</f>
        <v>0</v>
      </c>
      <c r="E1355" s="67" t="str">
        <f>IFERROR(VLOOKUP(База_КР_КК[[#This Row],[ИД штатной должности (S)]],'уровень защищенности'!$B$7:$F$1095,5,0),"не защищена")</f>
        <v>высокий</v>
      </c>
      <c r="F1355" s="68">
        <v>500291</v>
      </c>
      <c r="G1355" s="74" t="s">
        <v>2457</v>
      </c>
      <c r="H1355" s="181">
        <f>INDEX('Списки данных'!$D$2:$D$1048576,MATCH(База_КР_КК[[#This Row],[Структурное подразделение]],'Списки данных'!$C$2:$C$1048576,0))</f>
        <v>13</v>
      </c>
      <c r="I1355" s="80" t="s">
        <v>173</v>
      </c>
      <c r="J1355" s="80" t="s">
        <v>212</v>
      </c>
      <c r="K1355" s="80" t="s">
        <v>21</v>
      </c>
      <c r="L1355" s="30" t="s">
        <v>191</v>
      </c>
      <c r="M1355" s="68">
        <v>7</v>
      </c>
      <c r="N1355" s="181" t="str">
        <f t="shared" si="22"/>
        <v>нет</v>
      </c>
      <c r="O1355" s="23"/>
      <c r="P1355" s="23"/>
      <c r="Q1355" s="106"/>
      <c r="R1355" s="37">
        <v>289</v>
      </c>
      <c r="S1355" s="38" t="s">
        <v>701</v>
      </c>
      <c r="T1355" s="37">
        <v>1370</v>
      </c>
      <c r="U1355" s="39" t="s">
        <v>1758</v>
      </c>
      <c r="V1355" s="69" t="s">
        <v>272</v>
      </c>
      <c r="W1355" s="89" t="s">
        <v>173</v>
      </c>
      <c r="X1355" s="106" t="s">
        <v>297</v>
      </c>
      <c r="Y1355" s="107" t="s">
        <v>12</v>
      </c>
      <c r="Z1355" s="67">
        <f>IF(База_КР_КК[[#This Row],[Таб.номер резервиста]]="-","-",IF(OR(База_КР_КК[[#This Row],[Уровень КК]]=2,База_КР_КК[[#This Row],[Уровень КК]]=3),IF(COUNTIFS($U$2:$U1355,$U1355,$F$2:$F1355,$F1355)=1,1,0),IF(COUNTIFS($U$2:$U1355,$U1355,$L$2:$L1355,$L1355)=1,1,0)))</f>
        <v>1</v>
      </c>
      <c r="AA13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5" s="106"/>
      <c r="AC1355" s="51"/>
      <c r="AD1355" s="106" t="s">
        <v>15</v>
      </c>
      <c r="AE1355" s="38" t="s">
        <v>343</v>
      </c>
    </row>
    <row r="1356" spans="1:31" ht="18" customHeight="1" x14ac:dyDescent="0.25">
      <c r="A13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6" s="79">
        <v>4</v>
      </c>
      <c r="C1356" s="23">
        <v>44425</v>
      </c>
      <c r="D1356" s="67">
        <f>IF(COUNTIF($G$2:$G1356,$G1356)=1,1,0)</f>
        <v>0</v>
      </c>
      <c r="E1356" s="67" t="str">
        <f>IFERROR(VLOOKUP(База_КР_КК[[#This Row],[ИД штатной должности (S)]],'уровень защищенности'!$B$7:$F$1095,5,0),"не защищена")</f>
        <v>высокий</v>
      </c>
      <c r="F1356" s="68">
        <v>500291</v>
      </c>
      <c r="G1356" s="74" t="s">
        <v>2457</v>
      </c>
      <c r="H1356" s="181">
        <f>INDEX('Списки данных'!$D$2:$D$1048576,MATCH(База_КР_КК[[#This Row],[Структурное подразделение]],'Списки данных'!$C$2:$C$1048576,0))</f>
        <v>13</v>
      </c>
      <c r="I1356" s="80" t="s">
        <v>173</v>
      </c>
      <c r="J1356" s="80" t="s">
        <v>212</v>
      </c>
      <c r="K1356" s="80" t="s">
        <v>21</v>
      </c>
      <c r="L1356" s="30" t="s">
        <v>191</v>
      </c>
      <c r="M1356" s="68">
        <v>7</v>
      </c>
      <c r="N1356" s="181" t="str">
        <f t="shared" si="22"/>
        <v>нет</v>
      </c>
      <c r="O1356" s="23"/>
      <c r="P1356" s="23"/>
      <c r="Q1356" s="106"/>
      <c r="R1356" s="37">
        <v>289</v>
      </c>
      <c r="S1356" s="38" t="s">
        <v>701</v>
      </c>
      <c r="T1356" s="37">
        <v>1372</v>
      </c>
      <c r="U1356" s="39" t="s">
        <v>1760</v>
      </c>
      <c r="V1356" s="69" t="s">
        <v>272</v>
      </c>
      <c r="W1356" s="89" t="s">
        <v>173</v>
      </c>
      <c r="X1356" s="106" t="s">
        <v>295</v>
      </c>
      <c r="Y1356" s="107" t="s">
        <v>12</v>
      </c>
      <c r="Z1356" s="67">
        <f>IF(База_КР_КК[[#This Row],[Таб.номер резервиста]]="-","-",IF(OR(База_КР_КК[[#This Row],[Уровень КК]]=2,База_КР_КК[[#This Row],[Уровень КК]]=3),IF(COUNTIFS($U$2:$U1356,$U1356,$F$2:$F1356,$F1356)=1,1,0),IF(COUNTIFS($U$2:$U1356,$U1356,$L$2:$L1356,$L1356)=1,1,0)))</f>
        <v>1</v>
      </c>
      <c r="AA13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6" s="106"/>
      <c r="AC1356" s="51"/>
      <c r="AD1356" s="106" t="s">
        <v>15</v>
      </c>
      <c r="AE1356" s="38" t="s">
        <v>343</v>
      </c>
    </row>
    <row r="1357" spans="1:31" ht="18" customHeight="1" x14ac:dyDescent="0.25">
      <c r="A13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7" s="79">
        <v>4</v>
      </c>
      <c r="C1357" s="23">
        <v>44890</v>
      </c>
      <c r="D1357" s="67">
        <f>IF(COUNTIF($G$2:$G1357,$G1357)=1,1,0)</f>
        <v>0</v>
      </c>
      <c r="E1357" s="67" t="str">
        <f>IFERROR(VLOOKUP(База_КР_КК[[#This Row],[ИД штатной должности (S)]],'уровень защищенности'!$B$7:$F$1095,5,0),"не защищена")</f>
        <v>высокий</v>
      </c>
      <c r="F1357" s="68">
        <v>500291</v>
      </c>
      <c r="G1357" s="74" t="s">
        <v>2457</v>
      </c>
      <c r="H1357" s="181">
        <f>INDEX('Списки данных'!$D$2:$D$1048576,MATCH(База_КР_КК[[#This Row],[Структурное подразделение]],'Списки данных'!$C$2:$C$1048576,0))</f>
        <v>13</v>
      </c>
      <c r="I1357" s="80" t="s">
        <v>173</v>
      </c>
      <c r="J1357" s="80" t="s">
        <v>212</v>
      </c>
      <c r="K1357" s="80" t="s">
        <v>21</v>
      </c>
      <c r="L1357" s="30" t="s">
        <v>191</v>
      </c>
      <c r="M1357" s="68">
        <v>7</v>
      </c>
      <c r="N1357" s="181" t="str">
        <f t="shared" si="22"/>
        <v>нет</v>
      </c>
      <c r="O1357" s="23"/>
      <c r="P1357" s="23"/>
      <c r="Q1357" s="106"/>
      <c r="R1357" s="37">
        <v>289</v>
      </c>
      <c r="S1357" s="38" t="s">
        <v>701</v>
      </c>
      <c r="T1357" s="37">
        <v>1373</v>
      </c>
      <c r="U1357" s="39" t="s">
        <v>1575</v>
      </c>
      <c r="V1357" s="69" t="s">
        <v>272</v>
      </c>
      <c r="W1357" s="89" t="s">
        <v>173</v>
      </c>
      <c r="X1357" s="106" t="s">
        <v>297</v>
      </c>
      <c r="Y1357" s="107" t="s">
        <v>12</v>
      </c>
      <c r="Z1357" s="67">
        <f>IF(База_КР_КК[[#This Row],[Таб.номер резервиста]]="-","-",IF(OR(База_КР_КК[[#This Row],[Уровень КК]]=2,База_КР_КК[[#This Row],[Уровень КК]]=3),IF(COUNTIFS($U$2:$U1357,$U1357,$F$2:$F1357,$F1357)=1,1,0),IF(COUNTIFS($U$2:$U1357,$U1357,$L$2:$L1357,$L1357)=1,1,0)))</f>
        <v>0</v>
      </c>
      <c r="AA13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7" s="106"/>
      <c r="AC1357" s="51"/>
      <c r="AD1357" s="106" t="s">
        <v>15</v>
      </c>
      <c r="AE1357" s="38" t="s">
        <v>344</v>
      </c>
    </row>
    <row r="1358" spans="1:31" ht="18" customHeight="1" x14ac:dyDescent="0.25">
      <c r="A13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8" s="79">
        <v>4</v>
      </c>
      <c r="C1358" s="23">
        <v>44425</v>
      </c>
      <c r="D1358" s="67">
        <f>IF(COUNTIF($G$2:$G1358,$G1358)=1,1,0)</f>
        <v>1</v>
      </c>
      <c r="E1358" s="67" t="str">
        <f>IFERROR(VLOOKUP(База_КР_КК[[#This Row],[ИД штатной должности (S)]],'уровень защищенности'!$B$7:$F$1095,5,0),"не защищена")</f>
        <v>высокий</v>
      </c>
      <c r="F1358" s="68">
        <v>500291</v>
      </c>
      <c r="G1358" s="74" t="s">
        <v>2458</v>
      </c>
      <c r="H1358" s="181">
        <f>INDEX('Списки данных'!$D$2:$D$1048576,MATCH(База_КР_КК[[#This Row],[Структурное подразделение]],'Списки данных'!$C$2:$C$1048576,0))</f>
        <v>13</v>
      </c>
      <c r="I1358" s="80" t="s">
        <v>173</v>
      </c>
      <c r="J1358" s="80" t="s">
        <v>212</v>
      </c>
      <c r="K1358" s="80" t="s">
        <v>21</v>
      </c>
      <c r="L1358" s="30" t="s">
        <v>191</v>
      </c>
      <c r="M1358" s="68">
        <v>7</v>
      </c>
      <c r="N1358" s="181" t="str">
        <f t="shared" si="22"/>
        <v>нет</v>
      </c>
      <c r="O1358" s="23"/>
      <c r="P1358" s="23"/>
      <c r="Q1358" s="106"/>
      <c r="R1358" s="37">
        <v>290</v>
      </c>
      <c r="S1358" s="38" t="s">
        <v>702</v>
      </c>
      <c r="T1358" s="37">
        <v>1371</v>
      </c>
      <c r="U1358" s="39" t="s">
        <v>1759</v>
      </c>
      <c r="V1358" s="69" t="s">
        <v>272</v>
      </c>
      <c r="W1358" s="89" t="s">
        <v>173</v>
      </c>
      <c r="X1358" s="106" t="s">
        <v>297</v>
      </c>
      <c r="Y1358" s="107" t="s">
        <v>12</v>
      </c>
      <c r="Z1358" s="67">
        <f>IF(База_КР_КК[[#This Row],[Таб.номер резервиста]]="-","-",IF(OR(База_КР_КК[[#This Row],[Уровень КК]]=2,База_КР_КК[[#This Row],[Уровень КК]]=3),IF(COUNTIFS($U$2:$U1358,$U1358,$F$2:$F1358,$F1358)=1,1,0),IF(COUNTIFS($U$2:$U1358,$U1358,$L$2:$L1358,$L1358)=1,1,0)))</f>
        <v>0</v>
      </c>
      <c r="AA13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8" s="106"/>
      <c r="AC1358" s="51"/>
      <c r="AD1358" s="106" t="s">
        <v>15</v>
      </c>
      <c r="AE1358" s="38" t="s">
        <v>343</v>
      </c>
    </row>
    <row r="1359" spans="1:31" ht="18" customHeight="1" x14ac:dyDescent="0.25">
      <c r="A13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59" s="79">
        <v>4</v>
      </c>
      <c r="C1359" s="23">
        <v>44425</v>
      </c>
      <c r="D1359" s="67">
        <f>IF(COUNTIF($G$2:$G1359,$G1359)=1,1,0)</f>
        <v>0</v>
      </c>
      <c r="E1359" s="67" t="str">
        <f>IFERROR(VLOOKUP(База_КР_КК[[#This Row],[ИД штатной должности (S)]],'уровень защищенности'!$B$7:$F$1095,5,0),"не защищена")</f>
        <v>высокий</v>
      </c>
      <c r="F1359" s="68">
        <v>500291</v>
      </c>
      <c r="G1359" s="74" t="s">
        <v>2458</v>
      </c>
      <c r="H1359" s="181">
        <f>INDEX('Списки данных'!$D$2:$D$1048576,MATCH(База_КР_КК[[#This Row],[Структурное подразделение]],'Списки данных'!$C$2:$C$1048576,0))</f>
        <v>13</v>
      </c>
      <c r="I1359" s="80" t="s">
        <v>173</v>
      </c>
      <c r="J1359" s="80" t="s">
        <v>212</v>
      </c>
      <c r="K1359" s="80" t="s">
        <v>21</v>
      </c>
      <c r="L1359" s="30" t="s">
        <v>191</v>
      </c>
      <c r="M1359" s="68">
        <v>7</v>
      </c>
      <c r="N1359" s="181" t="str">
        <f t="shared" si="22"/>
        <v>нет</v>
      </c>
      <c r="O1359" s="23"/>
      <c r="P1359" s="23"/>
      <c r="Q1359" s="106"/>
      <c r="R1359" s="37">
        <v>290</v>
      </c>
      <c r="S1359" s="38" t="s">
        <v>702</v>
      </c>
      <c r="T1359" s="37">
        <v>1370</v>
      </c>
      <c r="U1359" s="39" t="s">
        <v>1758</v>
      </c>
      <c r="V1359" s="69" t="s">
        <v>272</v>
      </c>
      <c r="W1359" s="89" t="s">
        <v>173</v>
      </c>
      <c r="X1359" s="106" t="s">
        <v>297</v>
      </c>
      <c r="Y1359" s="107" t="s">
        <v>12</v>
      </c>
      <c r="Z1359" s="67">
        <f>IF(База_КР_КК[[#This Row],[Таб.номер резервиста]]="-","-",IF(OR(База_КР_КК[[#This Row],[Уровень КК]]=2,База_КР_КК[[#This Row],[Уровень КК]]=3),IF(COUNTIFS($U$2:$U1359,$U1359,$F$2:$F1359,$F1359)=1,1,0),IF(COUNTIFS($U$2:$U1359,$U1359,$L$2:$L1359,$L1359)=1,1,0)))</f>
        <v>0</v>
      </c>
      <c r="AA13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59" s="106"/>
      <c r="AC1359" s="51"/>
      <c r="AD1359" s="106" t="s">
        <v>15</v>
      </c>
      <c r="AE1359" s="38" t="s">
        <v>343</v>
      </c>
    </row>
    <row r="1360" spans="1:31" ht="18" customHeight="1" x14ac:dyDescent="0.25">
      <c r="A13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0" s="79">
        <v>4</v>
      </c>
      <c r="C1360" s="23">
        <v>44425</v>
      </c>
      <c r="D1360" s="67">
        <f>IF(COUNTIF($G$2:$G1360,$G1360)=1,1,0)</f>
        <v>0</v>
      </c>
      <c r="E1360" s="67" t="str">
        <f>IFERROR(VLOOKUP(База_КР_КК[[#This Row],[ИД штатной должности (S)]],'уровень защищенности'!$B$7:$F$1095,5,0),"не защищена")</f>
        <v>высокий</v>
      </c>
      <c r="F1360" s="68">
        <v>500291</v>
      </c>
      <c r="G1360" s="74" t="s">
        <v>2458</v>
      </c>
      <c r="H1360" s="181">
        <f>INDEX('Списки данных'!$D$2:$D$1048576,MATCH(База_КР_КК[[#This Row],[Структурное подразделение]],'Списки данных'!$C$2:$C$1048576,0))</f>
        <v>13</v>
      </c>
      <c r="I1360" s="80" t="s">
        <v>173</v>
      </c>
      <c r="J1360" s="80" t="s">
        <v>212</v>
      </c>
      <c r="K1360" s="80" t="s">
        <v>21</v>
      </c>
      <c r="L1360" s="30" t="s">
        <v>191</v>
      </c>
      <c r="M1360" s="68">
        <v>7</v>
      </c>
      <c r="N1360" s="181" t="str">
        <f t="shared" si="22"/>
        <v>нет</v>
      </c>
      <c r="O1360" s="23"/>
      <c r="P1360" s="23"/>
      <c r="Q1360" s="106"/>
      <c r="R1360" s="37">
        <v>290</v>
      </c>
      <c r="S1360" s="38" t="s">
        <v>702</v>
      </c>
      <c r="T1360" s="37">
        <v>1372</v>
      </c>
      <c r="U1360" s="39" t="s">
        <v>1760</v>
      </c>
      <c r="V1360" s="69" t="s">
        <v>272</v>
      </c>
      <c r="W1360" s="89" t="s">
        <v>173</v>
      </c>
      <c r="X1360" s="106" t="s">
        <v>295</v>
      </c>
      <c r="Y1360" s="107" t="s">
        <v>12</v>
      </c>
      <c r="Z1360" s="67">
        <f>IF(База_КР_КК[[#This Row],[Таб.номер резервиста]]="-","-",IF(OR(База_КР_КК[[#This Row],[Уровень КК]]=2,База_КР_КК[[#This Row],[Уровень КК]]=3),IF(COUNTIFS($U$2:$U1360,$U1360,$F$2:$F1360,$F1360)=1,1,0),IF(COUNTIFS($U$2:$U1360,$U1360,$L$2:$L1360,$L1360)=1,1,0)))</f>
        <v>0</v>
      </c>
      <c r="AA13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0" s="106"/>
      <c r="AC1360" s="51"/>
      <c r="AD1360" s="106" t="s">
        <v>15</v>
      </c>
      <c r="AE1360" s="38" t="s">
        <v>343</v>
      </c>
    </row>
    <row r="1361" spans="1:31" ht="18" customHeight="1" x14ac:dyDescent="0.25">
      <c r="A13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1" s="79">
        <v>4</v>
      </c>
      <c r="C1361" s="23">
        <v>44890</v>
      </c>
      <c r="D1361" s="67">
        <f>IF(COUNTIF($G$2:$G1361,$G1361)=1,1,0)</f>
        <v>0</v>
      </c>
      <c r="E1361" s="67" t="str">
        <f>IFERROR(VLOOKUP(База_КР_КК[[#This Row],[ИД штатной должности (S)]],'уровень защищенности'!$B$7:$F$1095,5,0),"не защищена")</f>
        <v>высокий</v>
      </c>
      <c r="F1361" s="68">
        <v>500291</v>
      </c>
      <c r="G1361" s="74" t="s">
        <v>2458</v>
      </c>
      <c r="H1361" s="181">
        <f>INDEX('Списки данных'!$D$2:$D$1048576,MATCH(База_КР_КК[[#This Row],[Структурное подразделение]],'Списки данных'!$C$2:$C$1048576,0))</f>
        <v>13</v>
      </c>
      <c r="I1361" s="80" t="s">
        <v>173</v>
      </c>
      <c r="J1361" s="80" t="s">
        <v>212</v>
      </c>
      <c r="K1361" s="80" t="s">
        <v>21</v>
      </c>
      <c r="L1361" s="30" t="s">
        <v>191</v>
      </c>
      <c r="M1361" s="68">
        <v>7</v>
      </c>
      <c r="N1361" s="181" t="str">
        <f t="shared" si="22"/>
        <v>нет</v>
      </c>
      <c r="O1361" s="23"/>
      <c r="P1361" s="23"/>
      <c r="Q1361" s="106"/>
      <c r="R1361" s="37">
        <v>290</v>
      </c>
      <c r="S1361" s="38" t="s">
        <v>702</v>
      </c>
      <c r="T1361" s="37">
        <v>1373</v>
      </c>
      <c r="U1361" s="39" t="s">
        <v>1575</v>
      </c>
      <c r="V1361" s="69" t="s">
        <v>272</v>
      </c>
      <c r="W1361" s="89" t="s">
        <v>173</v>
      </c>
      <c r="X1361" s="106" t="s">
        <v>297</v>
      </c>
      <c r="Y1361" s="107" t="s">
        <v>12</v>
      </c>
      <c r="Z1361" s="67">
        <f>IF(База_КР_КК[[#This Row],[Таб.номер резервиста]]="-","-",IF(OR(База_КР_КК[[#This Row],[Уровень КК]]=2,База_КР_КК[[#This Row],[Уровень КК]]=3),IF(COUNTIFS($U$2:$U1361,$U1361,$F$2:$F1361,$F1361)=1,1,0),IF(COUNTIFS($U$2:$U1361,$U1361,$L$2:$L1361,$L1361)=1,1,0)))</f>
        <v>0</v>
      </c>
      <c r="AA13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1" s="106"/>
      <c r="AC1361" s="51"/>
      <c r="AD1361" s="106" t="s">
        <v>15</v>
      </c>
      <c r="AE1361" s="38" t="s">
        <v>344</v>
      </c>
    </row>
    <row r="1362" spans="1:31" ht="18" customHeight="1" x14ac:dyDescent="0.25">
      <c r="A13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2" s="79">
        <v>4</v>
      </c>
      <c r="C1362" s="23">
        <v>44425</v>
      </c>
      <c r="D1362" s="67">
        <f>IF(COUNTIF($G$2:$G1362,$G1362)=1,1,0)</f>
        <v>1</v>
      </c>
      <c r="E1362" s="67" t="str">
        <f>IFERROR(VLOOKUP(База_КР_КК[[#This Row],[ИД штатной должности (S)]],'уровень защищенности'!$B$7:$F$1095,5,0),"не защищена")</f>
        <v>высокий</v>
      </c>
      <c r="F1362" s="68">
        <v>500291</v>
      </c>
      <c r="G1362" s="74" t="s">
        <v>2459</v>
      </c>
      <c r="H1362" s="181">
        <f>INDEX('Списки данных'!$D$2:$D$1048576,MATCH(База_КР_КК[[#This Row],[Структурное подразделение]],'Списки данных'!$C$2:$C$1048576,0))</f>
        <v>13</v>
      </c>
      <c r="I1362" s="80" t="s">
        <v>173</v>
      </c>
      <c r="J1362" s="80" t="s">
        <v>212</v>
      </c>
      <c r="K1362" s="80" t="s">
        <v>21</v>
      </c>
      <c r="L1362" s="30" t="s">
        <v>191</v>
      </c>
      <c r="M1362" s="68">
        <v>7</v>
      </c>
      <c r="N1362" s="181" t="str">
        <f t="shared" si="22"/>
        <v>нет</v>
      </c>
      <c r="O1362" s="23"/>
      <c r="P1362" s="23"/>
      <c r="Q1362" s="106"/>
      <c r="R1362" s="37">
        <v>291</v>
      </c>
      <c r="S1362" s="38" t="s">
        <v>703</v>
      </c>
      <c r="T1362" s="37">
        <v>1371</v>
      </c>
      <c r="U1362" s="39" t="s">
        <v>1759</v>
      </c>
      <c r="V1362" s="69" t="s">
        <v>272</v>
      </c>
      <c r="W1362" s="89" t="s">
        <v>173</v>
      </c>
      <c r="X1362" s="106" t="s">
        <v>297</v>
      </c>
      <c r="Y1362" s="107" t="s">
        <v>12</v>
      </c>
      <c r="Z1362" s="67">
        <f>IF(База_КР_КК[[#This Row],[Таб.номер резервиста]]="-","-",IF(OR(База_КР_КК[[#This Row],[Уровень КК]]=2,База_КР_КК[[#This Row],[Уровень КК]]=3),IF(COUNTIFS($U$2:$U1362,$U1362,$F$2:$F1362,$F1362)=1,1,0),IF(COUNTIFS($U$2:$U1362,$U1362,$L$2:$L1362,$L1362)=1,1,0)))</f>
        <v>0</v>
      </c>
      <c r="AA13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2" s="106"/>
      <c r="AC1362" s="51"/>
      <c r="AD1362" s="106" t="s">
        <v>15</v>
      </c>
      <c r="AE1362" s="38" t="s">
        <v>343</v>
      </c>
    </row>
    <row r="1363" spans="1:31" ht="18" customHeight="1" x14ac:dyDescent="0.25">
      <c r="A13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3" s="79">
        <v>4</v>
      </c>
      <c r="C1363" s="23">
        <v>44425</v>
      </c>
      <c r="D1363" s="67">
        <f>IF(COUNTIF($G$2:$G1363,$G1363)=1,1,0)</f>
        <v>0</v>
      </c>
      <c r="E1363" s="67" t="str">
        <f>IFERROR(VLOOKUP(База_КР_КК[[#This Row],[ИД штатной должности (S)]],'уровень защищенности'!$B$7:$F$1095,5,0),"не защищена")</f>
        <v>высокий</v>
      </c>
      <c r="F1363" s="68">
        <v>500291</v>
      </c>
      <c r="G1363" s="74" t="s">
        <v>2459</v>
      </c>
      <c r="H1363" s="181">
        <f>INDEX('Списки данных'!$D$2:$D$1048576,MATCH(База_КР_КК[[#This Row],[Структурное подразделение]],'Списки данных'!$C$2:$C$1048576,0))</f>
        <v>13</v>
      </c>
      <c r="I1363" s="80" t="s">
        <v>173</v>
      </c>
      <c r="J1363" s="80" t="s">
        <v>212</v>
      </c>
      <c r="K1363" s="80" t="s">
        <v>21</v>
      </c>
      <c r="L1363" s="30" t="s">
        <v>191</v>
      </c>
      <c r="M1363" s="68">
        <v>7</v>
      </c>
      <c r="N1363" s="181" t="str">
        <f t="shared" si="22"/>
        <v>нет</v>
      </c>
      <c r="O1363" s="23"/>
      <c r="P1363" s="23"/>
      <c r="Q1363" s="106"/>
      <c r="R1363" s="37">
        <v>291</v>
      </c>
      <c r="S1363" s="38" t="s">
        <v>703</v>
      </c>
      <c r="T1363" s="37">
        <v>1370</v>
      </c>
      <c r="U1363" s="39" t="s">
        <v>1758</v>
      </c>
      <c r="V1363" s="69" t="s">
        <v>272</v>
      </c>
      <c r="W1363" s="89" t="s">
        <v>173</v>
      </c>
      <c r="X1363" s="106" t="s">
        <v>297</v>
      </c>
      <c r="Y1363" s="107" t="s">
        <v>12</v>
      </c>
      <c r="Z1363" s="67">
        <f>IF(База_КР_КК[[#This Row],[Таб.номер резервиста]]="-","-",IF(OR(База_КР_КК[[#This Row],[Уровень КК]]=2,База_КР_КК[[#This Row],[Уровень КК]]=3),IF(COUNTIFS($U$2:$U1363,$U1363,$F$2:$F1363,$F1363)=1,1,0),IF(COUNTIFS($U$2:$U1363,$U1363,$L$2:$L1363,$L1363)=1,1,0)))</f>
        <v>0</v>
      </c>
      <c r="AA13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3" s="106"/>
      <c r="AC1363" s="51"/>
      <c r="AD1363" s="106" t="s">
        <v>15</v>
      </c>
      <c r="AE1363" s="38" t="s">
        <v>343</v>
      </c>
    </row>
    <row r="1364" spans="1:31" ht="18" customHeight="1" x14ac:dyDescent="0.25">
      <c r="A13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4" s="79">
        <v>4</v>
      </c>
      <c r="C1364" s="23">
        <v>44425</v>
      </c>
      <c r="D1364" s="67">
        <f>IF(COUNTIF($G$2:$G1364,$G1364)=1,1,0)</f>
        <v>0</v>
      </c>
      <c r="E1364" s="67" t="str">
        <f>IFERROR(VLOOKUP(База_КР_КК[[#This Row],[ИД штатной должности (S)]],'уровень защищенности'!$B$7:$F$1095,5,0),"не защищена")</f>
        <v>высокий</v>
      </c>
      <c r="F1364" s="68">
        <v>500291</v>
      </c>
      <c r="G1364" s="74" t="s">
        <v>2459</v>
      </c>
      <c r="H1364" s="181">
        <f>INDEX('Списки данных'!$D$2:$D$1048576,MATCH(База_КР_КК[[#This Row],[Структурное подразделение]],'Списки данных'!$C$2:$C$1048576,0))</f>
        <v>13</v>
      </c>
      <c r="I1364" s="80" t="s">
        <v>173</v>
      </c>
      <c r="J1364" s="80" t="s">
        <v>212</v>
      </c>
      <c r="K1364" s="80" t="s">
        <v>21</v>
      </c>
      <c r="L1364" s="30" t="s">
        <v>191</v>
      </c>
      <c r="M1364" s="68">
        <v>7</v>
      </c>
      <c r="N1364" s="181" t="str">
        <f t="shared" si="22"/>
        <v>нет</v>
      </c>
      <c r="O1364" s="23"/>
      <c r="P1364" s="23"/>
      <c r="Q1364" s="106"/>
      <c r="R1364" s="37">
        <v>291</v>
      </c>
      <c r="S1364" s="38" t="s">
        <v>703</v>
      </c>
      <c r="T1364" s="37">
        <v>1372</v>
      </c>
      <c r="U1364" s="39" t="s">
        <v>1760</v>
      </c>
      <c r="V1364" s="69" t="s">
        <v>272</v>
      </c>
      <c r="W1364" s="89" t="s">
        <v>173</v>
      </c>
      <c r="X1364" s="106" t="s">
        <v>295</v>
      </c>
      <c r="Y1364" s="107" t="s">
        <v>12</v>
      </c>
      <c r="Z1364" s="67">
        <f>IF(База_КР_КК[[#This Row],[Таб.номер резервиста]]="-","-",IF(OR(База_КР_КК[[#This Row],[Уровень КК]]=2,База_КР_КК[[#This Row],[Уровень КК]]=3),IF(COUNTIFS($U$2:$U1364,$U1364,$F$2:$F1364,$F1364)=1,1,0),IF(COUNTIFS($U$2:$U1364,$U1364,$L$2:$L1364,$L1364)=1,1,0)))</f>
        <v>0</v>
      </c>
      <c r="AA13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4" s="106"/>
      <c r="AC1364" s="51"/>
      <c r="AD1364" s="106" t="s">
        <v>15</v>
      </c>
      <c r="AE1364" s="38" t="s">
        <v>343</v>
      </c>
    </row>
    <row r="1365" spans="1:31" ht="18" customHeight="1" x14ac:dyDescent="0.25">
      <c r="A13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5" s="79">
        <v>4</v>
      </c>
      <c r="C1365" s="23">
        <v>44890</v>
      </c>
      <c r="D1365" s="67">
        <f>IF(COUNTIF($G$2:$G1365,$G1365)=1,1,0)</f>
        <v>0</v>
      </c>
      <c r="E1365" s="67" t="str">
        <f>IFERROR(VLOOKUP(База_КР_КК[[#This Row],[ИД штатной должности (S)]],'уровень защищенности'!$B$7:$F$1095,5,0),"не защищена")</f>
        <v>высокий</v>
      </c>
      <c r="F1365" s="68">
        <v>500291</v>
      </c>
      <c r="G1365" s="74" t="s">
        <v>2459</v>
      </c>
      <c r="H1365" s="181">
        <f>INDEX('Списки данных'!$D$2:$D$1048576,MATCH(База_КР_КК[[#This Row],[Структурное подразделение]],'Списки данных'!$C$2:$C$1048576,0))</f>
        <v>13</v>
      </c>
      <c r="I1365" s="80" t="s">
        <v>173</v>
      </c>
      <c r="J1365" s="80" t="s">
        <v>212</v>
      </c>
      <c r="K1365" s="80" t="s">
        <v>21</v>
      </c>
      <c r="L1365" s="30" t="s">
        <v>191</v>
      </c>
      <c r="M1365" s="68">
        <v>7</v>
      </c>
      <c r="N1365" s="181" t="str">
        <f t="shared" si="22"/>
        <v>нет</v>
      </c>
      <c r="O1365" s="23"/>
      <c r="P1365" s="23"/>
      <c r="Q1365" s="106"/>
      <c r="R1365" s="37">
        <v>291</v>
      </c>
      <c r="S1365" s="38" t="s">
        <v>703</v>
      </c>
      <c r="T1365" s="37">
        <v>1373</v>
      </c>
      <c r="U1365" s="39" t="s">
        <v>1575</v>
      </c>
      <c r="V1365" s="69" t="s">
        <v>272</v>
      </c>
      <c r="W1365" s="89" t="s">
        <v>173</v>
      </c>
      <c r="X1365" s="106" t="s">
        <v>297</v>
      </c>
      <c r="Y1365" s="107" t="s">
        <v>12</v>
      </c>
      <c r="Z1365" s="67">
        <f>IF(База_КР_КК[[#This Row],[Таб.номер резервиста]]="-","-",IF(OR(База_КР_КК[[#This Row],[Уровень КК]]=2,База_КР_КК[[#This Row],[Уровень КК]]=3),IF(COUNTIFS($U$2:$U1365,$U1365,$F$2:$F1365,$F1365)=1,1,0),IF(COUNTIFS($U$2:$U1365,$U1365,$L$2:$L1365,$L1365)=1,1,0)))</f>
        <v>0</v>
      </c>
      <c r="AA13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5" s="106"/>
      <c r="AC1365" s="51"/>
      <c r="AD1365" s="106" t="s">
        <v>15</v>
      </c>
      <c r="AE1365" s="38" t="s">
        <v>344</v>
      </c>
    </row>
    <row r="1366" spans="1:31" ht="18" customHeight="1" x14ac:dyDescent="0.25">
      <c r="A13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6" s="79">
        <v>4</v>
      </c>
      <c r="C1366" s="23">
        <v>44425</v>
      </c>
      <c r="D1366" s="67">
        <f>IF(COUNTIF($G$2:$G1366,$G1366)=1,1,0)</f>
        <v>1</v>
      </c>
      <c r="E1366" s="67" t="str">
        <f>IFERROR(VLOOKUP(База_КР_КК[[#This Row],[ИД штатной должности (S)]],'уровень защищенности'!$B$7:$F$1095,5,0),"не защищена")</f>
        <v>высокий</v>
      </c>
      <c r="F1366" s="68">
        <v>500291</v>
      </c>
      <c r="G1366" s="74" t="s">
        <v>2460</v>
      </c>
      <c r="H1366" s="181">
        <f>INDEX('Списки данных'!$D$2:$D$1048576,MATCH(База_КР_КК[[#This Row],[Структурное подразделение]],'Списки данных'!$C$2:$C$1048576,0))</f>
        <v>13</v>
      </c>
      <c r="I1366" s="80" t="s">
        <v>173</v>
      </c>
      <c r="J1366" s="80" t="s">
        <v>212</v>
      </c>
      <c r="K1366" s="80" t="s">
        <v>21</v>
      </c>
      <c r="L1366" s="30" t="s">
        <v>191</v>
      </c>
      <c r="M1366" s="68">
        <v>7</v>
      </c>
      <c r="N1366" s="181" t="str">
        <f t="shared" si="22"/>
        <v>нет</v>
      </c>
      <c r="O1366" s="23"/>
      <c r="P1366" s="23"/>
      <c r="Q1366" s="106"/>
      <c r="R1366" s="37">
        <v>292</v>
      </c>
      <c r="S1366" s="38" t="s">
        <v>704</v>
      </c>
      <c r="T1366" s="37">
        <v>1371</v>
      </c>
      <c r="U1366" s="39" t="s">
        <v>1759</v>
      </c>
      <c r="V1366" s="69" t="s">
        <v>272</v>
      </c>
      <c r="W1366" s="89" t="s">
        <v>173</v>
      </c>
      <c r="X1366" s="106" t="s">
        <v>297</v>
      </c>
      <c r="Y1366" s="107" t="s">
        <v>12</v>
      </c>
      <c r="Z1366" s="67">
        <f>IF(База_КР_КК[[#This Row],[Таб.номер резервиста]]="-","-",IF(OR(База_КР_КК[[#This Row],[Уровень КК]]=2,База_КР_КК[[#This Row],[Уровень КК]]=3),IF(COUNTIFS($U$2:$U1366,$U1366,$F$2:$F1366,$F1366)=1,1,0),IF(COUNTIFS($U$2:$U1366,$U1366,$L$2:$L1366,$L1366)=1,1,0)))</f>
        <v>0</v>
      </c>
      <c r="AA13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6" s="106"/>
      <c r="AC1366" s="51"/>
      <c r="AD1366" s="106" t="s">
        <v>15</v>
      </c>
      <c r="AE1366" s="38" t="s">
        <v>343</v>
      </c>
    </row>
    <row r="1367" spans="1:31" ht="18" customHeight="1" x14ac:dyDescent="0.25">
      <c r="A13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7" s="79">
        <v>4</v>
      </c>
      <c r="C1367" s="23">
        <v>44425</v>
      </c>
      <c r="D1367" s="67">
        <f>IF(COUNTIF($G$2:$G1367,$G1367)=1,1,0)</f>
        <v>0</v>
      </c>
      <c r="E1367" s="67" t="str">
        <f>IFERROR(VLOOKUP(База_КР_КК[[#This Row],[ИД штатной должности (S)]],'уровень защищенности'!$B$7:$F$1095,5,0),"не защищена")</f>
        <v>высокий</v>
      </c>
      <c r="F1367" s="68">
        <v>500291</v>
      </c>
      <c r="G1367" s="74" t="s">
        <v>2460</v>
      </c>
      <c r="H1367" s="181">
        <f>INDEX('Списки данных'!$D$2:$D$1048576,MATCH(База_КР_КК[[#This Row],[Структурное подразделение]],'Списки данных'!$C$2:$C$1048576,0))</f>
        <v>13</v>
      </c>
      <c r="I1367" s="80" t="s">
        <v>173</v>
      </c>
      <c r="J1367" s="80" t="s">
        <v>212</v>
      </c>
      <c r="K1367" s="80" t="s">
        <v>21</v>
      </c>
      <c r="L1367" s="30" t="s">
        <v>191</v>
      </c>
      <c r="M1367" s="68">
        <v>7</v>
      </c>
      <c r="N1367" s="181" t="str">
        <f t="shared" si="22"/>
        <v>нет</v>
      </c>
      <c r="O1367" s="23"/>
      <c r="P1367" s="23"/>
      <c r="Q1367" s="106"/>
      <c r="R1367" s="37">
        <v>292</v>
      </c>
      <c r="S1367" s="38" t="s">
        <v>704</v>
      </c>
      <c r="T1367" s="37">
        <v>1370</v>
      </c>
      <c r="U1367" s="39" t="s">
        <v>1758</v>
      </c>
      <c r="V1367" s="69" t="s">
        <v>272</v>
      </c>
      <c r="W1367" s="89" t="s">
        <v>173</v>
      </c>
      <c r="X1367" s="106" t="s">
        <v>297</v>
      </c>
      <c r="Y1367" s="107" t="s">
        <v>12</v>
      </c>
      <c r="Z1367" s="67">
        <f>IF(База_КР_КК[[#This Row],[Таб.номер резервиста]]="-","-",IF(OR(База_КР_КК[[#This Row],[Уровень КК]]=2,База_КР_КК[[#This Row],[Уровень КК]]=3),IF(COUNTIFS($U$2:$U1367,$U1367,$F$2:$F1367,$F1367)=1,1,0),IF(COUNTIFS($U$2:$U1367,$U1367,$L$2:$L1367,$L1367)=1,1,0)))</f>
        <v>0</v>
      </c>
      <c r="AA13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7" s="106"/>
      <c r="AC1367" s="51"/>
      <c r="AD1367" s="106" t="s">
        <v>15</v>
      </c>
      <c r="AE1367" s="38" t="s">
        <v>343</v>
      </c>
    </row>
    <row r="1368" spans="1:31" ht="18" customHeight="1" x14ac:dyDescent="0.25">
      <c r="A13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8" s="79">
        <v>4</v>
      </c>
      <c r="C1368" s="23">
        <v>44425</v>
      </c>
      <c r="D1368" s="67">
        <f>IF(COUNTIF($G$2:$G1368,$G1368)=1,1,0)</f>
        <v>0</v>
      </c>
      <c r="E1368" s="67" t="str">
        <f>IFERROR(VLOOKUP(База_КР_КК[[#This Row],[ИД штатной должности (S)]],'уровень защищенности'!$B$7:$F$1095,5,0),"не защищена")</f>
        <v>высокий</v>
      </c>
      <c r="F1368" s="68">
        <v>500291</v>
      </c>
      <c r="G1368" s="74" t="s">
        <v>2460</v>
      </c>
      <c r="H1368" s="181">
        <f>INDEX('Списки данных'!$D$2:$D$1048576,MATCH(База_КР_КК[[#This Row],[Структурное подразделение]],'Списки данных'!$C$2:$C$1048576,0))</f>
        <v>13</v>
      </c>
      <c r="I1368" s="80" t="s">
        <v>173</v>
      </c>
      <c r="J1368" s="80" t="s">
        <v>212</v>
      </c>
      <c r="K1368" s="80" t="s">
        <v>21</v>
      </c>
      <c r="L1368" s="30" t="s">
        <v>191</v>
      </c>
      <c r="M1368" s="68">
        <v>7</v>
      </c>
      <c r="N1368" s="181" t="str">
        <f t="shared" si="22"/>
        <v>нет</v>
      </c>
      <c r="O1368" s="23"/>
      <c r="P1368" s="23"/>
      <c r="Q1368" s="106"/>
      <c r="R1368" s="37">
        <v>292</v>
      </c>
      <c r="S1368" s="38" t="s">
        <v>704</v>
      </c>
      <c r="T1368" s="37">
        <v>1372</v>
      </c>
      <c r="U1368" s="39" t="s">
        <v>1760</v>
      </c>
      <c r="V1368" s="69" t="s">
        <v>272</v>
      </c>
      <c r="W1368" s="89" t="s">
        <v>173</v>
      </c>
      <c r="X1368" s="106" t="s">
        <v>295</v>
      </c>
      <c r="Y1368" s="107" t="s">
        <v>12</v>
      </c>
      <c r="Z1368" s="67">
        <f>IF(База_КР_КК[[#This Row],[Таб.номер резервиста]]="-","-",IF(OR(База_КР_КК[[#This Row],[Уровень КК]]=2,База_КР_КК[[#This Row],[Уровень КК]]=3),IF(COUNTIFS($U$2:$U1368,$U1368,$F$2:$F1368,$F1368)=1,1,0),IF(COUNTIFS($U$2:$U1368,$U1368,$L$2:$L1368,$L1368)=1,1,0)))</f>
        <v>0</v>
      </c>
      <c r="AA13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8" s="106"/>
      <c r="AC1368" s="51"/>
      <c r="AD1368" s="106" t="s">
        <v>15</v>
      </c>
      <c r="AE1368" s="38" t="s">
        <v>343</v>
      </c>
    </row>
    <row r="1369" spans="1:31" ht="18" customHeight="1" x14ac:dyDescent="0.25">
      <c r="A13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69" s="79">
        <v>4</v>
      </c>
      <c r="C1369" s="23">
        <v>44890</v>
      </c>
      <c r="D1369" s="67">
        <f>IF(COUNTIF($G$2:$G1369,$G1369)=1,1,0)</f>
        <v>0</v>
      </c>
      <c r="E1369" s="67" t="str">
        <f>IFERROR(VLOOKUP(База_КР_КК[[#This Row],[ИД штатной должности (S)]],'уровень защищенности'!$B$7:$F$1095,5,0),"не защищена")</f>
        <v>высокий</v>
      </c>
      <c r="F1369" s="68">
        <v>500291</v>
      </c>
      <c r="G1369" s="74" t="s">
        <v>2460</v>
      </c>
      <c r="H1369" s="181">
        <f>INDEX('Списки данных'!$D$2:$D$1048576,MATCH(База_КР_КК[[#This Row],[Структурное подразделение]],'Списки данных'!$C$2:$C$1048576,0))</f>
        <v>13</v>
      </c>
      <c r="I1369" s="80" t="s">
        <v>173</v>
      </c>
      <c r="J1369" s="80" t="s">
        <v>212</v>
      </c>
      <c r="K1369" s="80" t="s">
        <v>21</v>
      </c>
      <c r="L1369" s="30" t="s">
        <v>191</v>
      </c>
      <c r="M1369" s="68">
        <v>7</v>
      </c>
      <c r="N1369" s="181" t="str">
        <f t="shared" si="22"/>
        <v>нет</v>
      </c>
      <c r="O1369" s="23"/>
      <c r="P1369" s="23"/>
      <c r="Q1369" s="106"/>
      <c r="R1369" s="37">
        <v>292</v>
      </c>
      <c r="S1369" s="38" t="s">
        <v>704</v>
      </c>
      <c r="T1369" s="37">
        <v>1373</v>
      </c>
      <c r="U1369" s="39" t="s">
        <v>1575</v>
      </c>
      <c r="V1369" s="69" t="s">
        <v>272</v>
      </c>
      <c r="W1369" s="89" t="s">
        <v>173</v>
      </c>
      <c r="X1369" s="106" t="s">
        <v>297</v>
      </c>
      <c r="Y1369" s="107" t="s">
        <v>12</v>
      </c>
      <c r="Z1369" s="67">
        <f>IF(База_КР_КК[[#This Row],[Таб.номер резервиста]]="-","-",IF(OR(База_КР_КК[[#This Row],[Уровень КК]]=2,База_КР_КК[[#This Row],[Уровень КК]]=3),IF(COUNTIFS($U$2:$U1369,$U1369,$F$2:$F1369,$F1369)=1,1,0),IF(COUNTIFS($U$2:$U1369,$U1369,$L$2:$L1369,$L1369)=1,1,0)))</f>
        <v>0</v>
      </c>
      <c r="AA13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69" s="106"/>
      <c r="AC1369" s="51"/>
      <c r="AD1369" s="106" t="s">
        <v>15</v>
      </c>
      <c r="AE1369" s="38" t="s">
        <v>344</v>
      </c>
    </row>
    <row r="1370" spans="1:31" ht="18" customHeight="1" x14ac:dyDescent="0.25">
      <c r="A13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0" s="79">
        <v>3</v>
      </c>
      <c r="C1370" s="23">
        <v>43080</v>
      </c>
      <c r="D1370" s="67">
        <f>IF(COUNTIF($G$2:$G1370,$G1370)=1,1,0)</f>
        <v>1</v>
      </c>
      <c r="E1370" s="67" t="str">
        <f>IFERROR(VLOOKUP(База_КР_КК[[#This Row],[ИД штатной должности (S)]],'уровень защищенности'!$B$7:$F$1095,5,0),"не защищена")</f>
        <v>высокий</v>
      </c>
      <c r="F1370" s="68">
        <v>500439</v>
      </c>
      <c r="G1370" s="74" t="s">
        <v>2461</v>
      </c>
      <c r="H1370" s="181">
        <f>INDEX('Списки данных'!$D$2:$D$1048576,MATCH(База_КР_КК[[#This Row],[Структурное подразделение]],'Списки данных'!$C$2:$C$1048576,0))</f>
        <v>15</v>
      </c>
      <c r="I1370" s="80" t="s">
        <v>161</v>
      </c>
      <c r="J1370" s="80" t="s">
        <v>214</v>
      </c>
      <c r="K1370" s="80" t="s">
        <v>21</v>
      </c>
      <c r="L1370" s="30" t="s">
        <v>183</v>
      </c>
      <c r="M1370" s="68">
        <v>4</v>
      </c>
      <c r="N1370" s="181" t="str">
        <f t="shared" si="22"/>
        <v>нет</v>
      </c>
      <c r="O1370" s="23"/>
      <c r="P1370" s="23"/>
      <c r="Q1370" s="106"/>
      <c r="R1370" s="37">
        <v>293</v>
      </c>
      <c r="S1370" s="38" t="s">
        <v>705</v>
      </c>
      <c r="T1370" s="37">
        <v>1374</v>
      </c>
      <c r="U1370" s="39" t="s">
        <v>1761</v>
      </c>
      <c r="V1370" s="89" t="s">
        <v>189</v>
      </c>
      <c r="W1370" s="89" t="s">
        <v>161</v>
      </c>
      <c r="X1370" s="106" t="s">
        <v>295</v>
      </c>
      <c r="Y1370" s="107" t="s">
        <v>12</v>
      </c>
      <c r="Z1370" s="67">
        <f>IF(База_КР_КК[[#This Row],[Таб.номер резервиста]]="-","-",IF(OR(База_КР_КК[[#This Row],[Уровень КК]]=2,База_КР_КК[[#This Row],[Уровень КК]]=3),IF(COUNTIFS($U$2:$U1370,$U1370,$F$2:$F1370,$F1370)=1,1,0),IF(COUNTIFS($U$2:$U1370,$U1370,$L$2:$L1370,$L1370)=1,1,0)))</f>
        <v>1</v>
      </c>
      <c r="AA13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0" s="106"/>
      <c r="AC1370" s="51"/>
      <c r="AD1370" s="106" t="s">
        <v>13</v>
      </c>
      <c r="AE1370" s="38" t="s">
        <v>303</v>
      </c>
    </row>
    <row r="1371" spans="1:31" ht="18" customHeight="1" x14ac:dyDescent="0.25">
      <c r="A13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1" s="79">
        <v>3</v>
      </c>
      <c r="C1371" s="23">
        <v>43080</v>
      </c>
      <c r="D1371" s="67">
        <f>IF(COUNTIF($G$2:$G1371,$G1371)=1,1,0)</f>
        <v>0</v>
      </c>
      <c r="E1371" s="67" t="str">
        <f>IFERROR(VLOOKUP(База_КР_КК[[#This Row],[ИД штатной должности (S)]],'уровень защищенности'!$B$7:$F$1095,5,0),"не защищена")</f>
        <v>высокий</v>
      </c>
      <c r="F1371" s="68">
        <v>500439</v>
      </c>
      <c r="G1371" s="74" t="s">
        <v>2461</v>
      </c>
      <c r="H1371" s="181">
        <f>INDEX('Списки данных'!$D$2:$D$1048576,MATCH(База_КР_КК[[#This Row],[Структурное подразделение]],'Списки данных'!$C$2:$C$1048576,0))</f>
        <v>15</v>
      </c>
      <c r="I1371" s="80" t="s">
        <v>161</v>
      </c>
      <c r="J1371" s="80" t="s">
        <v>214</v>
      </c>
      <c r="K1371" s="80" t="s">
        <v>21</v>
      </c>
      <c r="L1371" s="30" t="s">
        <v>183</v>
      </c>
      <c r="M1371" s="68">
        <v>4</v>
      </c>
      <c r="N1371" s="181" t="str">
        <f t="shared" si="22"/>
        <v>нет</v>
      </c>
      <c r="O1371" s="23"/>
      <c r="P1371" s="23"/>
      <c r="Q1371" s="106"/>
      <c r="R1371" s="37">
        <v>293</v>
      </c>
      <c r="S1371" s="38" t="s">
        <v>705</v>
      </c>
      <c r="T1371" s="37">
        <v>464</v>
      </c>
      <c r="U1371" s="39" t="s">
        <v>876</v>
      </c>
      <c r="V1371" s="89" t="s">
        <v>187</v>
      </c>
      <c r="W1371" s="89" t="s">
        <v>161</v>
      </c>
      <c r="X1371" s="106" t="s">
        <v>297</v>
      </c>
      <c r="Y1371" s="107" t="s">
        <v>12</v>
      </c>
      <c r="Z1371" s="67">
        <f>IF(База_КР_КК[[#This Row],[Таб.номер резервиста]]="-","-",IF(OR(База_КР_КК[[#This Row],[Уровень КК]]=2,База_КР_КК[[#This Row],[Уровень КК]]=3),IF(COUNTIFS($U$2:$U1371,$U1371,$F$2:$F1371,$F1371)=1,1,0),IF(COUNTIFS($U$2:$U1371,$U1371,$L$2:$L1371,$L1371)=1,1,0)))</f>
        <v>1</v>
      </c>
      <c r="AA13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1" s="106"/>
      <c r="AC1371" s="51"/>
      <c r="AD1371" s="106" t="s">
        <v>13</v>
      </c>
      <c r="AE1371" s="38" t="s">
        <v>303</v>
      </c>
    </row>
    <row r="1372" spans="1:31" ht="18" customHeight="1" x14ac:dyDescent="0.25">
      <c r="A13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2" s="79">
        <v>3</v>
      </c>
      <c r="C1372" s="23">
        <v>44707</v>
      </c>
      <c r="D1372" s="67">
        <f>IF(COUNTIF($G$2:$G1372,$G1372)=1,1,0)</f>
        <v>0</v>
      </c>
      <c r="E1372" s="67" t="str">
        <f>IFERROR(VLOOKUP(База_КР_КК[[#This Row],[ИД штатной должности (S)]],'уровень защищенности'!$B$7:$F$1095,5,0),"не защищена")</f>
        <v>высокий</v>
      </c>
      <c r="F1372" s="68">
        <v>500439</v>
      </c>
      <c r="G1372" s="74" t="s">
        <v>2461</v>
      </c>
      <c r="H1372" s="181">
        <f>INDEX('Списки данных'!$D$2:$D$1048576,MATCH(База_КР_КК[[#This Row],[Структурное подразделение]],'Списки данных'!$C$2:$C$1048576,0))</f>
        <v>15</v>
      </c>
      <c r="I1372" s="80" t="s">
        <v>161</v>
      </c>
      <c r="J1372" s="80" t="s">
        <v>214</v>
      </c>
      <c r="K1372" s="80" t="s">
        <v>21</v>
      </c>
      <c r="L1372" s="30" t="s">
        <v>183</v>
      </c>
      <c r="M1372" s="68">
        <v>4</v>
      </c>
      <c r="N1372" s="181" t="str">
        <f t="shared" si="22"/>
        <v>нет</v>
      </c>
      <c r="O1372" s="23"/>
      <c r="P1372" s="23"/>
      <c r="Q1372" s="106"/>
      <c r="R1372" s="37">
        <v>293</v>
      </c>
      <c r="S1372" s="38" t="s">
        <v>705</v>
      </c>
      <c r="T1372" s="37">
        <v>1375</v>
      </c>
      <c r="U1372" s="39" t="s">
        <v>1762</v>
      </c>
      <c r="V1372" s="89" t="s">
        <v>179</v>
      </c>
      <c r="W1372" s="89" t="s">
        <v>280</v>
      </c>
      <c r="X1372" s="106" t="s">
        <v>297</v>
      </c>
      <c r="Y1372" s="107" t="s">
        <v>12</v>
      </c>
      <c r="Z1372" s="67">
        <f>IF(База_КР_КК[[#This Row],[Таб.номер резервиста]]="-","-",IF(OR(База_КР_КК[[#This Row],[Уровень КК]]=2,База_КР_КК[[#This Row],[Уровень КК]]=3),IF(COUNTIFS($U$2:$U1372,$U1372,$F$2:$F1372,$F1372)=1,1,0),IF(COUNTIFS($U$2:$U1372,$U1372,$L$2:$L1372,$L1372)=1,1,0)))</f>
        <v>1</v>
      </c>
      <c r="AA13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2" s="106"/>
      <c r="AC1372" s="51"/>
      <c r="AD1372" s="106" t="s">
        <v>15</v>
      </c>
      <c r="AE1372" s="38" t="s">
        <v>345</v>
      </c>
    </row>
    <row r="1373" spans="1:31" ht="18" customHeight="1" x14ac:dyDescent="0.25">
      <c r="A13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3" s="79">
        <v>3</v>
      </c>
      <c r="C1373" s="23">
        <v>43781</v>
      </c>
      <c r="D1373" s="67">
        <f>IF(COUNTIF($G$2:$G1373,$G1373)=1,1,0)</f>
        <v>1</v>
      </c>
      <c r="E1373" s="67" t="str">
        <f>IFERROR(VLOOKUP(База_КР_КК[[#This Row],[ИД штатной должности (S)]],'уровень защищенности'!$B$7:$F$1095,5,0),"не защищена")</f>
        <v>высокий</v>
      </c>
      <c r="F1373" s="68">
        <v>500440</v>
      </c>
      <c r="G1373" s="74" t="s">
        <v>2462</v>
      </c>
      <c r="H1373" s="181">
        <f>INDEX('Списки данных'!$D$2:$D$1048576,MATCH(База_КР_КК[[#This Row],[Структурное подразделение]],'Списки данных'!$C$2:$C$1048576,0))</f>
        <v>15</v>
      </c>
      <c r="I1373" s="80" t="s">
        <v>161</v>
      </c>
      <c r="J1373" s="80" t="s">
        <v>214</v>
      </c>
      <c r="K1373" s="80" t="s">
        <v>21</v>
      </c>
      <c r="L1373" s="30" t="s">
        <v>187</v>
      </c>
      <c r="M1373" s="68">
        <v>5</v>
      </c>
      <c r="N1373" s="181" t="str">
        <f t="shared" si="22"/>
        <v>нет</v>
      </c>
      <c r="O1373" s="23"/>
      <c r="P1373" s="23"/>
      <c r="Q1373" s="106"/>
      <c r="R1373" s="37">
        <v>294</v>
      </c>
      <c r="S1373" s="38" t="s">
        <v>706</v>
      </c>
      <c r="T1373" s="37">
        <v>330</v>
      </c>
      <c r="U1373" s="39" t="s">
        <v>742</v>
      </c>
      <c r="V1373" s="89" t="s">
        <v>193</v>
      </c>
      <c r="W1373" s="89" t="s">
        <v>161</v>
      </c>
      <c r="X1373" s="106" t="s">
        <v>295</v>
      </c>
      <c r="Y1373" s="107" t="s">
        <v>12</v>
      </c>
      <c r="Z1373" s="67">
        <f>IF(База_КР_КК[[#This Row],[Таб.номер резервиста]]="-","-",IF(OR(База_КР_КК[[#This Row],[Уровень КК]]=2,База_КР_КК[[#This Row],[Уровень КК]]=3),IF(COUNTIFS($U$2:$U1373,$U1373,$F$2:$F1373,$F1373)=1,1,0),IF(COUNTIFS($U$2:$U1373,$U1373,$L$2:$L1373,$L1373)=1,1,0)))</f>
        <v>1</v>
      </c>
      <c r="AA13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3" s="106"/>
      <c r="AC1373" s="51"/>
      <c r="AD1373" s="106" t="s">
        <v>17</v>
      </c>
      <c r="AE1373" s="38" t="s">
        <v>345</v>
      </c>
    </row>
    <row r="1374" spans="1:31" ht="18" customHeight="1" x14ac:dyDescent="0.25">
      <c r="A13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4" s="79">
        <v>3</v>
      </c>
      <c r="C1374" s="23">
        <v>44343</v>
      </c>
      <c r="D1374" s="67">
        <f>IF(COUNTIF($G$2:$G1374,$G1374)=1,1,0)</f>
        <v>0</v>
      </c>
      <c r="E1374" s="67" t="str">
        <f>IFERROR(VLOOKUP(База_КР_КК[[#This Row],[ИД штатной должности (S)]],'уровень защищенности'!$B$7:$F$1095,5,0),"не защищена")</f>
        <v>высокий</v>
      </c>
      <c r="F1374" s="68">
        <v>500440</v>
      </c>
      <c r="G1374" s="74" t="s">
        <v>2462</v>
      </c>
      <c r="H1374" s="181">
        <f>INDEX('Списки данных'!$D$2:$D$1048576,MATCH(База_КР_КК[[#This Row],[Структурное подразделение]],'Списки данных'!$C$2:$C$1048576,0))</f>
        <v>15</v>
      </c>
      <c r="I1374" s="80" t="s">
        <v>161</v>
      </c>
      <c r="J1374" s="80" t="s">
        <v>214</v>
      </c>
      <c r="K1374" s="80" t="s">
        <v>21</v>
      </c>
      <c r="L1374" s="30" t="s">
        <v>187</v>
      </c>
      <c r="M1374" s="68">
        <v>5</v>
      </c>
      <c r="N1374" s="181" t="str">
        <f t="shared" si="22"/>
        <v>нет</v>
      </c>
      <c r="O1374" s="23"/>
      <c r="P1374" s="23"/>
      <c r="Q1374" s="106"/>
      <c r="R1374" s="37">
        <v>294</v>
      </c>
      <c r="S1374" s="38" t="s">
        <v>706</v>
      </c>
      <c r="T1374" s="37">
        <v>324</v>
      </c>
      <c r="U1374" s="39" t="s">
        <v>736</v>
      </c>
      <c r="V1374" s="69" t="s">
        <v>186</v>
      </c>
      <c r="W1374" s="89" t="s">
        <v>161</v>
      </c>
      <c r="X1374" s="106" t="s">
        <v>297</v>
      </c>
      <c r="Y1374" s="107" t="s">
        <v>12</v>
      </c>
      <c r="Z1374" s="67">
        <f>IF(База_КР_КК[[#This Row],[Таб.номер резервиста]]="-","-",IF(OR(База_КР_КК[[#This Row],[Уровень КК]]=2,База_КР_КК[[#This Row],[Уровень КК]]=3),IF(COUNTIFS($U$2:$U1374,$U1374,$F$2:$F1374,$F1374)=1,1,0),IF(COUNTIFS($U$2:$U1374,$U1374,$L$2:$L1374,$L1374)=1,1,0)))</f>
        <v>1</v>
      </c>
      <c r="AA13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4" s="106"/>
      <c r="AC1374" s="51"/>
      <c r="AD1374" s="106" t="s">
        <v>17</v>
      </c>
      <c r="AE1374" s="38" t="s">
        <v>345</v>
      </c>
    </row>
    <row r="1375" spans="1:31" ht="18" customHeight="1" x14ac:dyDescent="0.25">
      <c r="A13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5" s="79">
        <v>3</v>
      </c>
      <c r="C1375" s="23">
        <v>43425</v>
      </c>
      <c r="D1375" s="67">
        <f>IF(COUNTIF($G$2:$G1375,$G1375)=1,1,0)</f>
        <v>0</v>
      </c>
      <c r="E1375" s="67" t="str">
        <f>IFERROR(VLOOKUP(База_КР_КК[[#This Row],[ИД штатной должности (S)]],'уровень защищенности'!$B$7:$F$1095,5,0),"не защищена")</f>
        <v>высокий</v>
      </c>
      <c r="F1375" s="68">
        <v>500440</v>
      </c>
      <c r="G1375" s="74" t="s">
        <v>2462</v>
      </c>
      <c r="H1375" s="181">
        <f>INDEX('Списки данных'!$D$2:$D$1048576,MATCH(База_КР_КК[[#This Row],[Структурное подразделение]],'Списки данных'!$C$2:$C$1048576,0))</f>
        <v>15</v>
      </c>
      <c r="I1375" s="80" t="s">
        <v>161</v>
      </c>
      <c r="J1375" s="80" t="s">
        <v>214</v>
      </c>
      <c r="K1375" s="80" t="s">
        <v>21</v>
      </c>
      <c r="L1375" s="30" t="s">
        <v>187</v>
      </c>
      <c r="M1375" s="68">
        <v>5</v>
      </c>
      <c r="N1375" s="181" t="str">
        <f t="shared" si="22"/>
        <v>нет</v>
      </c>
      <c r="O1375" s="23"/>
      <c r="P1375" s="23"/>
      <c r="Q1375" s="106"/>
      <c r="R1375" s="37">
        <v>294</v>
      </c>
      <c r="S1375" s="38" t="s">
        <v>706</v>
      </c>
      <c r="T1375" s="37">
        <v>1375</v>
      </c>
      <c r="U1375" s="39" t="s">
        <v>1762</v>
      </c>
      <c r="V1375" s="89" t="s">
        <v>179</v>
      </c>
      <c r="W1375" s="89" t="s">
        <v>280</v>
      </c>
      <c r="X1375" s="106" t="s">
        <v>295</v>
      </c>
      <c r="Y1375" s="107" t="s">
        <v>18</v>
      </c>
      <c r="Z1375" s="67">
        <f>IF(База_КР_КК[[#This Row],[Таб.номер резервиста]]="-","-",IF(OR(База_КР_КК[[#This Row],[Уровень КК]]=2,База_КР_КК[[#This Row],[Уровень КК]]=3),IF(COUNTIFS($U$2:$U1375,$U1375,$F$2:$F1375,$F1375)=1,1,0),IF(COUNTIFS($U$2:$U1375,$U1375,$L$2:$L1375,$L1375)=1,1,0)))</f>
        <v>1</v>
      </c>
      <c r="AA13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5" s="106" t="s">
        <v>34</v>
      </c>
      <c r="AC1375" s="51">
        <v>44900</v>
      </c>
      <c r="AD1375" s="106" t="s">
        <v>13</v>
      </c>
      <c r="AE1375" s="38" t="s">
        <v>345</v>
      </c>
    </row>
    <row r="1376" spans="1:31" ht="18" customHeight="1" x14ac:dyDescent="0.25">
      <c r="A13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6" s="79">
        <v>4</v>
      </c>
      <c r="C1376" s="23">
        <v>44424</v>
      </c>
      <c r="D1376" s="67">
        <f>IF(COUNTIF($G$2:$G1376,$G1376)=1,1,0)</f>
        <v>1</v>
      </c>
      <c r="E1376" s="67" t="str">
        <f>IFERROR(VLOOKUP(База_КР_КК[[#This Row],[ИД штатной должности (S)]],'уровень защищенности'!$B$7:$F$1095,5,0),"не защищена")</f>
        <v>средний</v>
      </c>
      <c r="F1376" s="68">
        <v>500441</v>
      </c>
      <c r="G1376" s="74" t="s">
        <v>2463</v>
      </c>
      <c r="H1376" s="181">
        <f>INDEX('Списки данных'!$D$2:$D$1048576,MATCH(База_КР_КК[[#This Row],[Структурное подразделение]],'Списки данных'!$C$2:$C$1048576,0))</f>
        <v>15</v>
      </c>
      <c r="I1376" s="80" t="s">
        <v>161</v>
      </c>
      <c r="J1376" s="80" t="s">
        <v>214</v>
      </c>
      <c r="K1376" s="80" t="s">
        <v>21</v>
      </c>
      <c r="L1376" s="30" t="s">
        <v>194</v>
      </c>
      <c r="M1376" s="68">
        <v>6</v>
      </c>
      <c r="N1376" s="181" t="str">
        <f t="shared" si="22"/>
        <v>да</v>
      </c>
      <c r="O1376" s="23">
        <v>45089</v>
      </c>
      <c r="P1376" s="23"/>
      <c r="Q1376" s="106"/>
      <c r="R1376" s="37" t="s">
        <v>23</v>
      </c>
      <c r="S1376" s="38" t="s">
        <v>23</v>
      </c>
      <c r="T1376" s="37">
        <v>318</v>
      </c>
      <c r="U1376" s="39" t="s">
        <v>730</v>
      </c>
      <c r="V1376" s="69" t="s">
        <v>192</v>
      </c>
      <c r="W1376" s="89" t="s">
        <v>161</v>
      </c>
      <c r="X1376" s="106" t="s">
        <v>297</v>
      </c>
      <c r="Y1376" s="107" t="s">
        <v>12</v>
      </c>
      <c r="Z1376" s="67">
        <f>IF(База_КР_КК[[#This Row],[Таб.номер резервиста]]="-","-",IF(OR(База_КР_КК[[#This Row],[Уровень КК]]=2,База_КР_КК[[#This Row],[Уровень КК]]=3),IF(COUNTIFS($U$2:$U1376,$U1376,$F$2:$F1376,$F1376)=1,1,0),IF(COUNTIFS($U$2:$U1376,$U1376,$L$2:$L1376,$L1376)=1,1,0)))</f>
        <v>1</v>
      </c>
      <c r="AA13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6" s="106"/>
      <c r="AC1376" s="51"/>
      <c r="AD1376" s="106" t="s">
        <v>15</v>
      </c>
      <c r="AE1376" s="38" t="s">
        <v>347</v>
      </c>
    </row>
    <row r="1377" spans="1:31" ht="18" customHeight="1" x14ac:dyDescent="0.25">
      <c r="A13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7" s="79">
        <v>4</v>
      </c>
      <c r="C1377" s="23">
        <v>44424</v>
      </c>
      <c r="D1377" s="67">
        <f>IF(COUNTIF($G$2:$G1377,$G1377)=1,1,0)</f>
        <v>0</v>
      </c>
      <c r="E1377" s="67" t="str">
        <f>IFERROR(VLOOKUP(База_КР_КК[[#This Row],[ИД штатной должности (S)]],'уровень защищенности'!$B$7:$F$1095,5,0),"не защищена")</f>
        <v>средний</v>
      </c>
      <c r="F1377" s="68">
        <v>500441</v>
      </c>
      <c r="G1377" s="74" t="s">
        <v>2463</v>
      </c>
      <c r="H1377" s="181">
        <f>INDEX('Списки данных'!$D$2:$D$1048576,MATCH(База_КР_КК[[#This Row],[Структурное подразделение]],'Списки данных'!$C$2:$C$1048576,0))</f>
        <v>15</v>
      </c>
      <c r="I1377" s="80" t="s">
        <v>161</v>
      </c>
      <c r="J1377" s="80" t="s">
        <v>214</v>
      </c>
      <c r="K1377" s="80" t="s">
        <v>21</v>
      </c>
      <c r="L1377" s="30" t="s">
        <v>194</v>
      </c>
      <c r="M1377" s="68">
        <v>6</v>
      </c>
      <c r="N1377" s="181" t="str">
        <f t="shared" si="22"/>
        <v>да</v>
      </c>
      <c r="O1377" s="23">
        <v>45089</v>
      </c>
      <c r="P1377" s="23"/>
      <c r="Q1377" s="106"/>
      <c r="R1377" s="37" t="s">
        <v>23</v>
      </c>
      <c r="S1377" s="38" t="s">
        <v>23</v>
      </c>
      <c r="T1377" s="37">
        <v>408</v>
      </c>
      <c r="U1377" s="39" t="s">
        <v>820</v>
      </c>
      <c r="V1377" s="69" t="s">
        <v>192</v>
      </c>
      <c r="W1377" s="89" t="s">
        <v>161</v>
      </c>
      <c r="X1377" s="106" t="s">
        <v>297</v>
      </c>
      <c r="Y1377" s="107" t="s">
        <v>12</v>
      </c>
      <c r="Z1377" s="67">
        <f>IF(База_КР_КК[[#This Row],[Таб.номер резервиста]]="-","-",IF(OR(База_КР_КК[[#This Row],[Уровень КК]]=2,База_КР_КК[[#This Row],[Уровень КК]]=3),IF(COUNTIFS($U$2:$U1377,$U1377,$F$2:$F1377,$F1377)=1,1,0),IF(COUNTIFS($U$2:$U1377,$U1377,$L$2:$L1377,$L1377)=1,1,0)))</f>
        <v>1</v>
      </c>
      <c r="AA13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7" s="106"/>
      <c r="AC1377" s="51"/>
      <c r="AD1377" s="106" t="s">
        <v>15</v>
      </c>
      <c r="AE1377" s="38" t="s">
        <v>347</v>
      </c>
    </row>
    <row r="1378" spans="1:31" ht="18" customHeight="1" x14ac:dyDescent="0.25">
      <c r="A13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8" s="79">
        <v>4</v>
      </c>
      <c r="C1378" s="23">
        <v>44424</v>
      </c>
      <c r="D1378" s="67">
        <f>IF(COUNTIF($G$2:$G1378,$G1378)=1,1,0)</f>
        <v>0</v>
      </c>
      <c r="E1378" s="67" t="str">
        <f>IFERROR(VLOOKUP(База_КР_КК[[#This Row],[ИД штатной должности (S)]],'уровень защищенности'!$B$7:$F$1095,5,0),"не защищена")</f>
        <v>средний</v>
      </c>
      <c r="F1378" s="68">
        <v>500441</v>
      </c>
      <c r="G1378" s="74" t="s">
        <v>2463</v>
      </c>
      <c r="H1378" s="181">
        <f>INDEX('Списки данных'!$D$2:$D$1048576,MATCH(База_КР_КК[[#This Row],[Структурное подразделение]],'Списки данных'!$C$2:$C$1048576,0))</f>
        <v>15</v>
      </c>
      <c r="I1378" s="80" t="s">
        <v>161</v>
      </c>
      <c r="J1378" s="80" t="s">
        <v>214</v>
      </c>
      <c r="K1378" s="80" t="s">
        <v>21</v>
      </c>
      <c r="L1378" s="30" t="s">
        <v>194</v>
      </c>
      <c r="M1378" s="68">
        <v>6</v>
      </c>
      <c r="N1378" s="181" t="str">
        <f t="shared" si="22"/>
        <v>да</v>
      </c>
      <c r="O1378" s="23">
        <v>45089</v>
      </c>
      <c r="P1378" s="23"/>
      <c r="Q1378" s="106"/>
      <c r="R1378" s="37" t="s">
        <v>23</v>
      </c>
      <c r="S1378" s="38" t="s">
        <v>23</v>
      </c>
      <c r="T1378" s="37">
        <v>409</v>
      </c>
      <c r="U1378" s="39" t="s">
        <v>821</v>
      </c>
      <c r="V1378" s="69" t="s">
        <v>192</v>
      </c>
      <c r="W1378" s="89" t="s">
        <v>161</v>
      </c>
      <c r="X1378" s="106" t="s">
        <v>297</v>
      </c>
      <c r="Y1378" s="107" t="s">
        <v>12</v>
      </c>
      <c r="Z1378" s="67">
        <f>IF(База_КР_КК[[#This Row],[Таб.номер резервиста]]="-","-",IF(OR(База_КР_КК[[#This Row],[Уровень КК]]=2,База_КР_КК[[#This Row],[Уровень КК]]=3),IF(COUNTIFS($U$2:$U1378,$U1378,$F$2:$F1378,$F1378)=1,1,0),IF(COUNTIFS($U$2:$U1378,$U1378,$L$2:$L1378,$L1378)=1,1,0)))</f>
        <v>1</v>
      </c>
      <c r="AA13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8" s="106"/>
      <c r="AC1378" s="51"/>
      <c r="AD1378" s="106" t="s">
        <v>15</v>
      </c>
      <c r="AE1378" s="38" t="s">
        <v>347</v>
      </c>
    </row>
    <row r="1379" spans="1:31" ht="18" customHeight="1" x14ac:dyDescent="0.25">
      <c r="A13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79" s="79">
        <v>4</v>
      </c>
      <c r="C1379" s="23">
        <v>44424</v>
      </c>
      <c r="D1379" s="67">
        <f>IF(COUNTIF($G$2:$G1379,$G1379)=1,1,0)</f>
        <v>0</v>
      </c>
      <c r="E1379" s="67" t="str">
        <f>IFERROR(VLOOKUP(База_КР_КК[[#This Row],[ИД штатной должности (S)]],'уровень защищенности'!$B$7:$F$1095,5,0),"не защищена")</f>
        <v>средний</v>
      </c>
      <c r="F1379" s="68">
        <v>500441</v>
      </c>
      <c r="G1379" s="74" t="s">
        <v>2463</v>
      </c>
      <c r="H1379" s="181">
        <f>INDEX('Списки данных'!$D$2:$D$1048576,MATCH(База_КР_КК[[#This Row],[Структурное подразделение]],'Списки данных'!$C$2:$C$1048576,0))</f>
        <v>15</v>
      </c>
      <c r="I1379" s="80" t="s">
        <v>161</v>
      </c>
      <c r="J1379" s="80" t="s">
        <v>214</v>
      </c>
      <c r="K1379" s="80" t="s">
        <v>21</v>
      </c>
      <c r="L1379" s="30" t="s">
        <v>194</v>
      </c>
      <c r="M1379" s="68">
        <v>6</v>
      </c>
      <c r="N1379" s="181" t="str">
        <f t="shared" si="22"/>
        <v>да</v>
      </c>
      <c r="O1379" s="23">
        <v>45089</v>
      </c>
      <c r="P1379" s="23"/>
      <c r="Q1379" s="106"/>
      <c r="R1379" s="37" t="s">
        <v>23</v>
      </c>
      <c r="S1379" s="38" t="s">
        <v>23</v>
      </c>
      <c r="T1379" s="37">
        <v>337</v>
      </c>
      <c r="U1379" s="39" t="s">
        <v>749</v>
      </c>
      <c r="V1379" s="69" t="s">
        <v>192</v>
      </c>
      <c r="W1379" s="89" t="s">
        <v>161</v>
      </c>
      <c r="X1379" s="106" t="s">
        <v>296</v>
      </c>
      <c r="Y1379" s="107" t="s">
        <v>12</v>
      </c>
      <c r="Z1379" s="67">
        <f>IF(База_КР_КК[[#This Row],[Таб.номер резервиста]]="-","-",IF(OR(База_КР_КК[[#This Row],[Уровень КК]]=2,База_КР_КК[[#This Row],[Уровень КК]]=3),IF(COUNTIFS($U$2:$U1379,$U1379,$F$2:$F1379,$F1379)=1,1,0),IF(COUNTIFS($U$2:$U1379,$U1379,$L$2:$L1379,$L1379)=1,1,0)))</f>
        <v>1</v>
      </c>
      <c r="AA13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79" s="106"/>
      <c r="AC1379" s="51"/>
      <c r="AD1379" s="106" t="s">
        <v>15</v>
      </c>
      <c r="AE1379" s="38" t="s">
        <v>347</v>
      </c>
    </row>
    <row r="1380" spans="1:31" ht="18" customHeight="1" x14ac:dyDescent="0.25">
      <c r="A13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0" s="79">
        <v>4</v>
      </c>
      <c r="C1380" s="23">
        <v>44424</v>
      </c>
      <c r="D1380" s="67">
        <f>IF(COUNTIF($G$2:$G1380,$G1380)=1,1,0)</f>
        <v>1</v>
      </c>
      <c r="E1380" s="67" t="str">
        <f>IFERROR(VLOOKUP(База_КР_КК[[#This Row],[ИД штатной должности (S)]],'уровень защищенности'!$B$7:$F$1095,5,0),"не защищена")</f>
        <v>средний</v>
      </c>
      <c r="F1380" s="68">
        <v>500441</v>
      </c>
      <c r="G1380" s="74" t="s">
        <v>2464</v>
      </c>
      <c r="H1380" s="181">
        <f>INDEX('Списки данных'!$D$2:$D$1048576,MATCH(База_КР_КК[[#This Row],[Структурное подразделение]],'Списки данных'!$C$2:$C$1048576,0))</f>
        <v>15</v>
      </c>
      <c r="I1380" s="80" t="s">
        <v>161</v>
      </c>
      <c r="J1380" s="80" t="s">
        <v>214</v>
      </c>
      <c r="K1380" s="80" t="s">
        <v>21</v>
      </c>
      <c r="L1380" s="30" t="s">
        <v>194</v>
      </c>
      <c r="M1380" s="68">
        <v>6</v>
      </c>
      <c r="N1380" s="181" t="str">
        <f t="shared" si="22"/>
        <v>нет</v>
      </c>
      <c r="O1380" s="23"/>
      <c r="P1380" s="23"/>
      <c r="Q1380" s="106"/>
      <c r="R1380" s="37">
        <v>295</v>
      </c>
      <c r="S1380" s="38" t="s">
        <v>707</v>
      </c>
      <c r="T1380" s="37">
        <v>318</v>
      </c>
      <c r="U1380" s="39" t="s">
        <v>730</v>
      </c>
      <c r="V1380" s="69" t="s">
        <v>192</v>
      </c>
      <c r="W1380" s="89" t="s">
        <v>161</v>
      </c>
      <c r="X1380" s="106" t="s">
        <v>297</v>
      </c>
      <c r="Y1380" s="107" t="s">
        <v>12</v>
      </c>
      <c r="Z1380" s="67">
        <f>IF(База_КР_КК[[#This Row],[Таб.номер резервиста]]="-","-",IF(OR(База_КР_КК[[#This Row],[Уровень КК]]=2,База_КР_КК[[#This Row],[Уровень КК]]=3),IF(COUNTIFS($U$2:$U1380,$U1380,$F$2:$F1380,$F1380)=1,1,0),IF(COUNTIFS($U$2:$U1380,$U1380,$L$2:$L1380,$L1380)=1,1,0)))</f>
        <v>0</v>
      </c>
      <c r="AA13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0" s="106"/>
      <c r="AC1380" s="51"/>
      <c r="AD1380" s="106" t="s">
        <v>15</v>
      </c>
      <c r="AE1380" s="38" t="s">
        <v>347</v>
      </c>
    </row>
    <row r="1381" spans="1:31" ht="18" customHeight="1" x14ac:dyDescent="0.25">
      <c r="A13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1" s="79">
        <v>4</v>
      </c>
      <c r="C1381" s="23">
        <v>44424</v>
      </c>
      <c r="D1381" s="67">
        <f>IF(COUNTIF($G$2:$G1381,$G1381)=1,1,0)</f>
        <v>0</v>
      </c>
      <c r="E1381" s="67" t="str">
        <f>IFERROR(VLOOKUP(База_КР_КК[[#This Row],[ИД штатной должности (S)]],'уровень защищенности'!$B$7:$F$1095,5,0),"не защищена")</f>
        <v>средний</v>
      </c>
      <c r="F1381" s="68">
        <v>500441</v>
      </c>
      <c r="G1381" s="74" t="s">
        <v>2464</v>
      </c>
      <c r="H1381" s="181">
        <f>INDEX('Списки данных'!$D$2:$D$1048576,MATCH(База_КР_КК[[#This Row],[Структурное подразделение]],'Списки данных'!$C$2:$C$1048576,0))</f>
        <v>15</v>
      </c>
      <c r="I1381" s="80" t="s">
        <v>161</v>
      </c>
      <c r="J1381" s="80" t="s">
        <v>214</v>
      </c>
      <c r="K1381" s="80" t="s">
        <v>21</v>
      </c>
      <c r="L1381" s="30" t="s">
        <v>194</v>
      </c>
      <c r="M1381" s="68">
        <v>6</v>
      </c>
      <c r="N1381" s="181" t="str">
        <f t="shared" si="22"/>
        <v>нет</v>
      </c>
      <c r="O1381" s="23"/>
      <c r="P1381" s="23"/>
      <c r="Q1381" s="106"/>
      <c r="R1381" s="37">
        <v>295</v>
      </c>
      <c r="S1381" s="38" t="s">
        <v>707</v>
      </c>
      <c r="T1381" s="37">
        <v>408</v>
      </c>
      <c r="U1381" s="39" t="s">
        <v>820</v>
      </c>
      <c r="V1381" s="69" t="s">
        <v>192</v>
      </c>
      <c r="W1381" s="89" t="s">
        <v>161</v>
      </c>
      <c r="X1381" s="106" t="s">
        <v>297</v>
      </c>
      <c r="Y1381" s="107" t="s">
        <v>12</v>
      </c>
      <c r="Z1381" s="67">
        <f>IF(База_КР_КК[[#This Row],[Таб.номер резервиста]]="-","-",IF(OR(База_КР_КК[[#This Row],[Уровень КК]]=2,База_КР_КК[[#This Row],[Уровень КК]]=3),IF(COUNTIFS($U$2:$U1381,$U1381,$F$2:$F1381,$F1381)=1,1,0),IF(COUNTIFS($U$2:$U1381,$U1381,$L$2:$L1381,$L1381)=1,1,0)))</f>
        <v>0</v>
      </c>
      <c r="AA13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1" s="106"/>
      <c r="AC1381" s="51"/>
      <c r="AD1381" s="106" t="s">
        <v>15</v>
      </c>
      <c r="AE1381" s="38" t="s">
        <v>347</v>
      </c>
    </row>
    <row r="1382" spans="1:31" ht="18" customHeight="1" x14ac:dyDescent="0.25">
      <c r="A13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2" s="79">
        <v>4</v>
      </c>
      <c r="C1382" s="23">
        <v>44424</v>
      </c>
      <c r="D1382" s="67">
        <f>IF(COUNTIF($G$2:$G1382,$G1382)=1,1,0)</f>
        <v>0</v>
      </c>
      <c r="E1382" s="67" t="str">
        <f>IFERROR(VLOOKUP(База_КР_КК[[#This Row],[ИД штатной должности (S)]],'уровень защищенности'!$B$7:$F$1095,5,0),"не защищена")</f>
        <v>средний</v>
      </c>
      <c r="F1382" s="68">
        <v>500441</v>
      </c>
      <c r="G1382" s="74" t="s">
        <v>2464</v>
      </c>
      <c r="H1382" s="181">
        <f>INDEX('Списки данных'!$D$2:$D$1048576,MATCH(База_КР_КК[[#This Row],[Структурное подразделение]],'Списки данных'!$C$2:$C$1048576,0))</f>
        <v>15</v>
      </c>
      <c r="I1382" s="80" t="s">
        <v>161</v>
      </c>
      <c r="J1382" s="80" t="s">
        <v>214</v>
      </c>
      <c r="K1382" s="80" t="s">
        <v>21</v>
      </c>
      <c r="L1382" s="30" t="s">
        <v>194</v>
      </c>
      <c r="M1382" s="68">
        <v>6</v>
      </c>
      <c r="N1382" s="181" t="str">
        <f t="shared" si="22"/>
        <v>нет</v>
      </c>
      <c r="O1382" s="23"/>
      <c r="P1382" s="23"/>
      <c r="Q1382" s="106"/>
      <c r="R1382" s="37">
        <v>295</v>
      </c>
      <c r="S1382" s="38" t="s">
        <v>707</v>
      </c>
      <c r="T1382" s="37">
        <v>409</v>
      </c>
      <c r="U1382" s="39" t="s">
        <v>821</v>
      </c>
      <c r="V1382" s="69" t="s">
        <v>192</v>
      </c>
      <c r="W1382" s="89" t="s">
        <v>161</v>
      </c>
      <c r="X1382" s="106" t="s">
        <v>297</v>
      </c>
      <c r="Y1382" s="107" t="s">
        <v>12</v>
      </c>
      <c r="Z1382" s="67">
        <f>IF(База_КР_КК[[#This Row],[Таб.номер резервиста]]="-","-",IF(OR(База_КР_КК[[#This Row],[Уровень КК]]=2,База_КР_КК[[#This Row],[Уровень КК]]=3),IF(COUNTIFS($U$2:$U1382,$U1382,$F$2:$F1382,$F1382)=1,1,0),IF(COUNTIFS($U$2:$U1382,$U1382,$L$2:$L1382,$L1382)=1,1,0)))</f>
        <v>0</v>
      </c>
      <c r="AA13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2" s="106"/>
      <c r="AC1382" s="51"/>
      <c r="AD1382" s="106" t="s">
        <v>15</v>
      </c>
      <c r="AE1382" s="38" t="s">
        <v>347</v>
      </c>
    </row>
    <row r="1383" spans="1:31" ht="18" customHeight="1" x14ac:dyDescent="0.25">
      <c r="A13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3" s="79">
        <v>4</v>
      </c>
      <c r="C1383" s="23">
        <v>44424</v>
      </c>
      <c r="D1383" s="67">
        <f>IF(COUNTIF($G$2:$G1383,$G1383)=1,1,0)</f>
        <v>0</v>
      </c>
      <c r="E1383" s="67" t="str">
        <f>IFERROR(VLOOKUP(База_КР_КК[[#This Row],[ИД штатной должности (S)]],'уровень защищенности'!$B$7:$F$1095,5,0),"не защищена")</f>
        <v>средний</v>
      </c>
      <c r="F1383" s="68">
        <v>500441</v>
      </c>
      <c r="G1383" s="74" t="s">
        <v>2464</v>
      </c>
      <c r="H1383" s="181">
        <f>INDEX('Списки данных'!$D$2:$D$1048576,MATCH(База_КР_КК[[#This Row],[Структурное подразделение]],'Списки данных'!$C$2:$C$1048576,0))</f>
        <v>15</v>
      </c>
      <c r="I1383" s="80" t="s">
        <v>161</v>
      </c>
      <c r="J1383" s="80" t="s">
        <v>214</v>
      </c>
      <c r="K1383" s="80" t="s">
        <v>21</v>
      </c>
      <c r="L1383" s="30" t="s">
        <v>194</v>
      </c>
      <c r="M1383" s="68">
        <v>6</v>
      </c>
      <c r="N1383" s="181" t="str">
        <f t="shared" si="22"/>
        <v>нет</v>
      </c>
      <c r="O1383" s="23"/>
      <c r="P1383" s="23"/>
      <c r="Q1383" s="106"/>
      <c r="R1383" s="37">
        <v>295</v>
      </c>
      <c r="S1383" s="38" t="s">
        <v>707</v>
      </c>
      <c r="T1383" s="37">
        <v>337</v>
      </c>
      <c r="U1383" s="39" t="s">
        <v>749</v>
      </c>
      <c r="V1383" s="69" t="s">
        <v>192</v>
      </c>
      <c r="W1383" s="89" t="s">
        <v>161</v>
      </c>
      <c r="X1383" s="106" t="s">
        <v>296</v>
      </c>
      <c r="Y1383" s="107" t="s">
        <v>12</v>
      </c>
      <c r="Z1383" s="67">
        <f>IF(База_КР_КК[[#This Row],[Таб.номер резервиста]]="-","-",IF(OR(База_КР_КК[[#This Row],[Уровень КК]]=2,База_КР_КК[[#This Row],[Уровень КК]]=3),IF(COUNTIFS($U$2:$U1383,$U1383,$F$2:$F1383,$F1383)=1,1,0),IF(COUNTIFS($U$2:$U1383,$U1383,$L$2:$L1383,$L1383)=1,1,0)))</f>
        <v>0</v>
      </c>
      <c r="AA13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3" s="106"/>
      <c r="AC1383" s="51"/>
      <c r="AD1383" s="106" t="s">
        <v>15</v>
      </c>
      <c r="AE1383" s="38" t="s">
        <v>347</v>
      </c>
    </row>
    <row r="1384" spans="1:31" ht="18" customHeight="1" x14ac:dyDescent="0.25">
      <c r="A13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4" s="79">
        <v>4</v>
      </c>
      <c r="C1384" s="23">
        <v>44424</v>
      </c>
      <c r="D1384" s="67">
        <f>IF(COUNTIF($G$2:$G1384,$G1384)=1,1,0)</f>
        <v>1</v>
      </c>
      <c r="E1384" s="67" t="str">
        <f>IFERROR(VLOOKUP(База_КР_КК[[#This Row],[ИД штатной должности (S)]],'уровень защищенности'!$B$7:$F$1095,5,0),"не защищена")</f>
        <v>средний</v>
      </c>
      <c r="F1384" s="68">
        <v>500441</v>
      </c>
      <c r="G1384" s="74" t="s">
        <v>2465</v>
      </c>
      <c r="H1384" s="181">
        <f>INDEX('Списки данных'!$D$2:$D$1048576,MATCH(База_КР_КК[[#This Row],[Структурное подразделение]],'Списки данных'!$C$2:$C$1048576,0))</f>
        <v>15</v>
      </c>
      <c r="I1384" s="80" t="s">
        <v>161</v>
      </c>
      <c r="J1384" s="80" t="s">
        <v>214</v>
      </c>
      <c r="K1384" s="80" t="s">
        <v>21</v>
      </c>
      <c r="L1384" s="30" t="s">
        <v>194</v>
      </c>
      <c r="M1384" s="68">
        <v>6</v>
      </c>
      <c r="N1384" s="181" t="str">
        <f t="shared" si="22"/>
        <v>нет</v>
      </c>
      <c r="O1384" s="23"/>
      <c r="P1384" s="23"/>
      <c r="Q1384" s="106"/>
      <c r="R1384" s="37">
        <v>296</v>
      </c>
      <c r="S1384" s="38" t="s">
        <v>708</v>
      </c>
      <c r="T1384" s="37">
        <v>318</v>
      </c>
      <c r="U1384" s="39" t="s">
        <v>730</v>
      </c>
      <c r="V1384" s="69" t="s">
        <v>192</v>
      </c>
      <c r="W1384" s="89" t="s">
        <v>161</v>
      </c>
      <c r="X1384" s="106" t="s">
        <v>297</v>
      </c>
      <c r="Y1384" s="107" t="s">
        <v>12</v>
      </c>
      <c r="Z1384" s="67">
        <f>IF(База_КР_КК[[#This Row],[Таб.номер резервиста]]="-","-",IF(OR(База_КР_КК[[#This Row],[Уровень КК]]=2,База_КР_КК[[#This Row],[Уровень КК]]=3),IF(COUNTIFS($U$2:$U1384,$U1384,$F$2:$F1384,$F1384)=1,1,0),IF(COUNTIFS($U$2:$U1384,$U1384,$L$2:$L1384,$L1384)=1,1,0)))</f>
        <v>0</v>
      </c>
      <c r="AA13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4" s="106"/>
      <c r="AC1384" s="51"/>
      <c r="AD1384" s="106" t="s">
        <v>15</v>
      </c>
      <c r="AE1384" s="38" t="s">
        <v>347</v>
      </c>
    </row>
    <row r="1385" spans="1:31" ht="18" customHeight="1" x14ac:dyDescent="0.25">
      <c r="A13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5" s="79">
        <v>4</v>
      </c>
      <c r="C1385" s="23">
        <v>44424</v>
      </c>
      <c r="D1385" s="67">
        <f>IF(COUNTIF($G$2:$G1385,$G1385)=1,1,0)</f>
        <v>0</v>
      </c>
      <c r="E1385" s="67" t="str">
        <f>IFERROR(VLOOKUP(База_КР_КК[[#This Row],[ИД штатной должности (S)]],'уровень защищенности'!$B$7:$F$1095,5,0),"не защищена")</f>
        <v>средний</v>
      </c>
      <c r="F1385" s="68">
        <v>500441</v>
      </c>
      <c r="G1385" s="74" t="s">
        <v>2465</v>
      </c>
      <c r="H1385" s="181">
        <f>INDEX('Списки данных'!$D$2:$D$1048576,MATCH(База_КР_КК[[#This Row],[Структурное подразделение]],'Списки данных'!$C$2:$C$1048576,0))</f>
        <v>15</v>
      </c>
      <c r="I1385" s="80" t="s">
        <v>161</v>
      </c>
      <c r="J1385" s="80" t="s">
        <v>214</v>
      </c>
      <c r="K1385" s="80" t="s">
        <v>21</v>
      </c>
      <c r="L1385" s="30" t="s">
        <v>194</v>
      </c>
      <c r="M1385" s="68">
        <v>6</v>
      </c>
      <c r="N1385" s="181" t="str">
        <f t="shared" si="22"/>
        <v>нет</v>
      </c>
      <c r="O1385" s="23"/>
      <c r="P1385" s="23"/>
      <c r="Q1385" s="106"/>
      <c r="R1385" s="37">
        <v>296</v>
      </c>
      <c r="S1385" s="38" t="s">
        <v>708</v>
      </c>
      <c r="T1385" s="37">
        <v>408</v>
      </c>
      <c r="U1385" s="39" t="s">
        <v>820</v>
      </c>
      <c r="V1385" s="69" t="s">
        <v>192</v>
      </c>
      <c r="W1385" s="89" t="s">
        <v>161</v>
      </c>
      <c r="X1385" s="106" t="s">
        <v>297</v>
      </c>
      <c r="Y1385" s="107" t="s">
        <v>12</v>
      </c>
      <c r="Z1385" s="67">
        <f>IF(База_КР_КК[[#This Row],[Таб.номер резервиста]]="-","-",IF(OR(База_КР_КК[[#This Row],[Уровень КК]]=2,База_КР_КК[[#This Row],[Уровень КК]]=3),IF(COUNTIFS($U$2:$U1385,$U1385,$F$2:$F1385,$F1385)=1,1,0),IF(COUNTIFS($U$2:$U1385,$U1385,$L$2:$L1385,$L1385)=1,1,0)))</f>
        <v>0</v>
      </c>
      <c r="AA13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5" s="106"/>
      <c r="AC1385" s="51"/>
      <c r="AD1385" s="106" t="s">
        <v>15</v>
      </c>
      <c r="AE1385" s="38" t="s">
        <v>347</v>
      </c>
    </row>
    <row r="1386" spans="1:31" ht="18" customHeight="1" x14ac:dyDescent="0.25">
      <c r="A13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6" s="79">
        <v>4</v>
      </c>
      <c r="C1386" s="23">
        <v>44424</v>
      </c>
      <c r="D1386" s="67">
        <f>IF(COUNTIF($G$2:$G1386,$G1386)=1,1,0)</f>
        <v>0</v>
      </c>
      <c r="E1386" s="67" t="str">
        <f>IFERROR(VLOOKUP(База_КР_КК[[#This Row],[ИД штатной должности (S)]],'уровень защищенности'!$B$7:$F$1095,5,0),"не защищена")</f>
        <v>средний</v>
      </c>
      <c r="F1386" s="68">
        <v>500441</v>
      </c>
      <c r="G1386" s="74" t="s">
        <v>2465</v>
      </c>
      <c r="H1386" s="181">
        <f>INDEX('Списки данных'!$D$2:$D$1048576,MATCH(База_КР_КК[[#This Row],[Структурное подразделение]],'Списки данных'!$C$2:$C$1048576,0))</f>
        <v>15</v>
      </c>
      <c r="I1386" s="80" t="s">
        <v>161</v>
      </c>
      <c r="J1386" s="80" t="s">
        <v>214</v>
      </c>
      <c r="K1386" s="80" t="s">
        <v>21</v>
      </c>
      <c r="L1386" s="30" t="s">
        <v>194</v>
      </c>
      <c r="M1386" s="68">
        <v>6</v>
      </c>
      <c r="N1386" s="181" t="str">
        <f t="shared" si="22"/>
        <v>нет</v>
      </c>
      <c r="O1386" s="23"/>
      <c r="P1386" s="23"/>
      <c r="Q1386" s="106"/>
      <c r="R1386" s="37">
        <v>296</v>
      </c>
      <c r="S1386" s="38" t="s">
        <v>708</v>
      </c>
      <c r="T1386" s="37">
        <v>409</v>
      </c>
      <c r="U1386" s="39" t="s">
        <v>821</v>
      </c>
      <c r="V1386" s="69" t="s">
        <v>192</v>
      </c>
      <c r="W1386" s="89" t="s">
        <v>161</v>
      </c>
      <c r="X1386" s="106" t="s">
        <v>297</v>
      </c>
      <c r="Y1386" s="107" t="s">
        <v>12</v>
      </c>
      <c r="Z1386" s="67">
        <f>IF(База_КР_КК[[#This Row],[Таб.номер резервиста]]="-","-",IF(OR(База_КР_КК[[#This Row],[Уровень КК]]=2,База_КР_КК[[#This Row],[Уровень КК]]=3),IF(COUNTIFS($U$2:$U1386,$U1386,$F$2:$F1386,$F1386)=1,1,0),IF(COUNTIFS($U$2:$U1386,$U1386,$L$2:$L1386,$L1386)=1,1,0)))</f>
        <v>0</v>
      </c>
      <c r="AA13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6" s="106"/>
      <c r="AC1386" s="51"/>
      <c r="AD1386" s="106" t="s">
        <v>15</v>
      </c>
      <c r="AE1386" s="38" t="s">
        <v>347</v>
      </c>
    </row>
    <row r="1387" spans="1:31" ht="18" customHeight="1" x14ac:dyDescent="0.25">
      <c r="A13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7" s="79">
        <v>4</v>
      </c>
      <c r="C1387" s="23">
        <v>44424</v>
      </c>
      <c r="D1387" s="67">
        <f>IF(COUNTIF($G$2:$G1387,$G1387)=1,1,0)</f>
        <v>0</v>
      </c>
      <c r="E1387" s="67" t="str">
        <f>IFERROR(VLOOKUP(База_КР_КК[[#This Row],[ИД штатной должности (S)]],'уровень защищенности'!$B$7:$F$1095,5,0),"не защищена")</f>
        <v>средний</v>
      </c>
      <c r="F1387" s="68">
        <v>500441</v>
      </c>
      <c r="G1387" s="74" t="s">
        <v>2465</v>
      </c>
      <c r="H1387" s="181">
        <f>INDEX('Списки данных'!$D$2:$D$1048576,MATCH(База_КР_КК[[#This Row],[Структурное подразделение]],'Списки данных'!$C$2:$C$1048576,0))</f>
        <v>15</v>
      </c>
      <c r="I1387" s="80" t="s">
        <v>161</v>
      </c>
      <c r="J1387" s="80" t="s">
        <v>214</v>
      </c>
      <c r="K1387" s="80" t="s">
        <v>21</v>
      </c>
      <c r="L1387" s="30" t="s">
        <v>194</v>
      </c>
      <c r="M1387" s="68">
        <v>6</v>
      </c>
      <c r="N1387" s="181" t="str">
        <f t="shared" si="22"/>
        <v>нет</v>
      </c>
      <c r="O1387" s="23"/>
      <c r="P1387" s="23"/>
      <c r="Q1387" s="106"/>
      <c r="R1387" s="37">
        <v>296</v>
      </c>
      <c r="S1387" s="38" t="s">
        <v>708</v>
      </c>
      <c r="T1387" s="37">
        <v>337</v>
      </c>
      <c r="U1387" s="39" t="s">
        <v>749</v>
      </c>
      <c r="V1387" s="69" t="s">
        <v>192</v>
      </c>
      <c r="W1387" s="89" t="s">
        <v>161</v>
      </c>
      <c r="X1387" s="106" t="s">
        <v>296</v>
      </c>
      <c r="Y1387" s="107" t="s">
        <v>12</v>
      </c>
      <c r="Z1387" s="67">
        <f>IF(База_КР_КК[[#This Row],[Таб.номер резервиста]]="-","-",IF(OR(База_КР_КК[[#This Row],[Уровень КК]]=2,База_КР_КК[[#This Row],[Уровень КК]]=3),IF(COUNTIFS($U$2:$U1387,$U1387,$F$2:$F1387,$F1387)=1,1,0),IF(COUNTIFS($U$2:$U1387,$U1387,$L$2:$L1387,$L1387)=1,1,0)))</f>
        <v>0</v>
      </c>
      <c r="AA13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7" s="106"/>
      <c r="AC1387" s="51"/>
      <c r="AD1387" s="106" t="s">
        <v>15</v>
      </c>
      <c r="AE1387" s="38" t="s">
        <v>347</v>
      </c>
    </row>
    <row r="1388" spans="1:31" ht="18" customHeight="1" x14ac:dyDescent="0.25">
      <c r="A13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8" s="79">
        <v>4</v>
      </c>
      <c r="C1388" s="23">
        <v>44424</v>
      </c>
      <c r="D1388" s="67">
        <f>IF(COUNTIF($G$2:$G1388,$G1388)=1,1,0)</f>
        <v>1</v>
      </c>
      <c r="E1388" s="67" t="str">
        <f>IFERROR(VLOOKUP(База_КР_КК[[#This Row],[ИД штатной должности (S)]],'уровень защищенности'!$B$7:$F$1095,5,0),"не защищена")</f>
        <v>средний</v>
      </c>
      <c r="F1388" s="68">
        <v>500441</v>
      </c>
      <c r="G1388" s="74" t="s">
        <v>2466</v>
      </c>
      <c r="H1388" s="181">
        <f>INDEX('Списки данных'!$D$2:$D$1048576,MATCH(База_КР_КК[[#This Row],[Структурное подразделение]],'Списки данных'!$C$2:$C$1048576,0))</f>
        <v>15</v>
      </c>
      <c r="I1388" s="80" t="s">
        <v>161</v>
      </c>
      <c r="J1388" s="80" t="s">
        <v>214</v>
      </c>
      <c r="K1388" s="80" t="s">
        <v>21</v>
      </c>
      <c r="L1388" s="30" t="s">
        <v>194</v>
      </c>
      <c r="M1388" s="68">
        <v>6</v>
      </c>
      <c r="N1388" s="181" t="str">
        <f t="shared" si="22"/>
        <v>нет</v>
      </c>
      <c r="O1388" s="23"/>
      <c r="P1388" s="23"/>
      <c r="Q1388" s="106"/>
      <c r="R1388" s="37">
        <v>297</v>
      </c>
      <c r="S1388" s="38" t="s">
        <v>709</v>
      </c>
      <c r="T1388" s="37">
        <v>318</v>
      </c>
      <c r="U1388" s="39" t="s">
        <v>730</v>
      </c>
      <c r="V1388" s="69" t="s">
        <v>192</v>
      </c>
      <c r="W1388" s="89" t="s">
        <v>161</v>
      </c>
      <c r="X1388" s="106" t="s">
        <v>297</v>
      </c>
      <c r="Y1388" s="107" t="s">
        <v>12</v>
      </c>
      <c r="Z1388" s="67">
        <f>IF(База_КР_КК[[#This Row],[Таб.номер резервиста]]="-","-",IF(OR(База_КР_КК[[#This Row],[Уровень КК]]=2,База_КР_КК[[#This Row],[Уровень КК]]=3),IF(COUNTIFS($U$2:$U1388,$U1388,$F$2:$F1388,$F1388)=1,1,0),IF(COUNTIFS($U$2:$U1388,$U1388,$L$2:$L1388,$L1388)=1,1,0)))</f>
        <v>0</v>
      </c>
      <c r="AA13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8" s="106"/>
      <c r="AC1388" s="51"/>
      <c r="AD1388" s="106" t="s">
        <v>15</v>
      </c>
      <c r="AE1388" s="38" t="s">
        <v>347</v>
      </c>
    </row>
    <row r="1389" spans="1:31" ht="18" customHeight="1" x14ac:dyDescent="0.25">
      <c r="A13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89" s="79">
        <v>4</v>
      </c>
      <c r="C1389" s="23">
        <v>44424</v>
      </c>
      <c r="D1389" s="67">
        <f>IF(COUNTIF($G$2:$G1389,$G1389)=1,1,0)</f>
        <v>0</v>
      </c>
      <c r="E1389" s="67" t="str">
        <f>IFERROR(VLOOKUP(База_КР_КК[[#This Row],[ИД штатной должности (S)]],'уровень защищенности'!$B$7:$F$1095,5,0),"не защищена")</f>
        <v>средний</v>
      </c>
      <c r="F1389" s="68">
        <v>500441</v>
      </c>
      <c r="G1389" s="74" t="s">
        <v>2466</v>
      </c>
      <c r="H1389" s="181">
        <f>INDEX('Списки данных'!$D$2:$D$1048576,MATCH(База_КР_КК[[#This Row],[Структурное подразделение]],'Списки данных'!$C$2:$C$1048576,0))</f>
        <v>15</v>
      </c>
      <c r="I1389" s="80" t="s">
        <v>161</v>
      </c>
      <c r="J1389" s="80" t="s">
        <v>214</v>
      </c>
      <c r="K1389" s="80" t="s">
        <v>21</v>
      </c>
      <c r="L1389" s="30" t="s">
        <v>194</v>
      </c>
      <c r="M1389" s="68">
        <v>6</v>
      </c>
      <c r="N1389" s="181" t="str">
        <f t="shared" si="22"/>
        <v>нет</v>
      </c>
      <c r="O1389" s="23"/>
      <c r="P1389" s="23"/>
      <c r="Q1389" s="106"/>
      <c r="R1389" s="37">
        <v>297</v>
      </c>
      <c r="S1389" s="38" t="s">
        <v>709</v>
      </c>
      <c r="T1389" s="37">
        <v>408</v>
      </c>
      <c r="U1389" s="39" t="s">
        <v>820</v>
      </c>
      <c r="V1389" s="69" t="s">
        <v>192</v>
      </c>
      <c r="W1389" s="89" t="s">
        <v>161</v>
      </c>
      <c r="X1389" s="106" t="s">
        <v>297</v>
      </c>
      <c r="Y1389" s="107" t="s">
        <v>12</v>
      </c>
      <c r="Z1389" s="67">
        <f>IF(База_КР_КК[[#This Row],[Таб.номер резервиста]]="-","-",IF(OR(База_КР_КК[[#This Row],[Уровень КК]]=2,База_КР_КК[[#This Row],[Уровень КК]]=3),IF(COUNTIFS($U$2:$U1389,$U1389,$F$2:$F1389,$F1389)=1,1,0),IF(COUNTIFS($U$2:$U1389,$U1389,$L$2:$L1389,$L1389)=1,1,0)))</f>
        <v>0</v>
      </c>
      <c r="AA13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89" s="106"/>
      <c r="AC1389" s="51"/>
      <c r="AD1389" s="106" t="s">
        <v>15</v>
      </c>
      <c r="AE1389" s="38" t="s">
        <v>347</v>
      </c>
    </row>
    <row r="1390" spans="1:31" ht="18" customHeight="1" x14ac:dyDescent="0.25">
      <c r="A13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0" s="79">
        <v>4</v>
      </c>
      <c r="C1390" s="23">
        <v>44424</v>
      </c>
      <c r="D1390" s="67">
        <f>IF(COUNTIF($G$2:$G1390,$G1390)=1,1,0)</f>
        <v>0</v>
      </c>
      <c r="E1390" s="67" t="str">
        <f>IFERROR(VLOOKUP(База_КР_КК[[#This Row],[ИД штатной должности (S)]],'уровень защищенности'!$B$7:$F$1095,5,0),"не защищена")</f>
        <v>средний</v>
      </c>
      <c r="F1390" s="68">
        <v>500441</v>
      </c>
      <c r="G1390" s="74" t="s">
        <v>2466</v>
      </c>
      <c r="H1390" s="181">
        <f>INDEX('Списки данных'!$D$2:$D$1048576,MATCH(База_КР_КК[[#This Row],[Структурное подразделение]],'Списки данных'!$C$2:$C$1048576,0))</f>
        <v>15</v>
      </c>
      <c r="I1390" s="80" t="s">
        <v>161</v>
      </c>
      <c r="J1390" s="80" t="s">
        <v>214</v>
      </c>
      <c r="K1390" s="80" t="s">
        <v>21</v>
      </c>
      <c r="L1390" s="30" t="s">
        <v>194</v>
      </c>
      <c r="M1390" s="68">
        <v>6</v>
      </c>
      <c r="N1390" s="181" t="str">
        <f t="shared" si="22"/>
        <v>нет</v>
      </c>
      <c r="O1390" s="23"/>
      <c r="P1390" s="23"/>
      <c r="Q1390" s="106"/>
      <c r="R1390" s="37">
        <v>297</v>
      </c>
      <c r="S1390" s="38" t="s">
        <v>709</v>
      </c>
      <c r="T1390" s="37">
        <v>409</v>
      </c>
      <c r="U1390" s="39" t="s">
        <v>821</v>
      </c>
      <c r="V1390" s="69" t="s">
        <v>192</v>
      </c>
      <c r="W1390" s="89" t="s">
        <v>161</v>
      </c>
      <c r="X1390" s="106" t="s">
        <v>297</v>
      </c>
      <c r="Y1390" s="107" t="s">
        <v>12</v>
      </c>
      <c r="Z1390" s="67">
        <f>IF(База_КР_КК[[#This Row],[Таб.номер резервиста]]="-","-",IF(OR(База_КР_КК[[#This Row],[Уровень КК]]=2,База_КР_КК[[#This Row],[Уровень КК]]=3),IF(COUNTIFS($U$2:$U1390,$U1390,$F$2:$F1390,$F1390)=1,1,0),IF(COUNTIFS($U$2:$U1390,$U1390,$L$2:$L1390,$L1390)=1,1,0)))</f>
        <v>0</v>
      </c>
      <c r="AA13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0" s="106"/>
      <c r="AC1390" s="51"/>
      <c r="AD1390" s="106" t="s">
        <v>15</v>
      </c>
      <c r="AE1390" s="38" t="s">
        <v>347</v>
      </c>
    </row>
    <row r="1391" spans="1:31" ht="18" customHeight="1" x14ac:dyDescent="0.25">
      <c r="A13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1" s="79">
        <v>4</v>
      </c>
      <c r="C1391" s="23">
        <v>44424</v>
      </c>
      <c r="D1391" s="67">
        <f>IF(COUNTIF($G$2:$G1391,$G1391)=1,1,0)</f>
        <v>0</v>
      </c>
      <c r="E1391" s="67" t="str">
        <f>IFERROR(VLOOKUP(База_КР_КК[[#This Row],[ИД штатной должности (S)]],'уровень защищенности'!$B$7:$F$1095,5,0),"не защищена")</f>
        <v>средний</v>
      </c>
      <c r="F1391" s="68">
        <v>500441</v>
      </c>
      <c r="G1391" s="74" t="s">
        <v>2466</v>
      </c>
      <c r="H1391" s="181">
        <f>INDEX('Списки данных'!$D$2:$D$1048576,MATCH(База_КР_КК[[#This Row],[Структурное подразделение]],'Списки данных'!$C$2:$C$1048576,0))</f>
        <v>15</v>
      </c>
      <c r="I1391" s="80" t="s">
        <v>161</v>
      </c>
      <c r="J1391" s="80" t="s">
        <v>214</v>
      </c>
      <c r="K1391" s="80" t="s">
        <v>21</v>
      </c>
      <c r="L1391" s="30" t="s">
        <v>194</v>
      </c>
      <c r="M1391" s="68">
        <v>6</v>
      </c>
      <c r="N1391" s="181" t="str">
        <f t="shared" si="22"/>
        <v>нет</v>
      </c>
      <c r="O1391" s="23"/>
      <c r="P1391" s="23"/>
      <c r="Q1391" s="106"/>
      <c r="R1391" s="37">
        <v>297</v>
      </c>
      <c r="S1391" s="38" t="s">
        <v>709</v>
      </c>
      <c r="T1391" s="37">
        <v>337</v>
      </c>
      <c r="U1391" s="39" t="s">
        <v>749</v>
      </c>
      <c r="V1391" s="69" t="s">
        <v>192</v>
      </c>
      <c r="W1391" s="89" t="s">
        <v>161</v>
      </c>
      <c r="X1391" s="106" t="s">
        <v>296</v>
      </c>
      <c r="Y1391" s="107" t="s">
        <v>12</v>
      </c>
      <c r="Z1391" s="67">
        <f>IF(База_КР_КК[[#This Row],[Таб.номер резервиста]]="-","-",IF(OR(База_КР_КК[[#This Row],[Уровень КК]]=2,База_КР_КК[[#This Row],[Уровень КК]]=3),IF(COUNTIFS($U$2:$U1391,$U1391,$F$2:$F1391,$F1391)=1,1,0),IF(COUNTIFS($U$2:$U1391,$U1391,$L$2:$L1391,$L1391)=1,1,0)))</f>
        <v>0</v>
      </c>
      <c r="AA13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1" s="106"/>
      <c r="AC1391" s="51"/>
      <c r="AD1391" s="106" t="s">
        <v>15</v>
      </c>
      <c r="AE1391" s="38" t="s">
        <v>347</v>
      </c>
    </row>
    <row r="1392" spans="1:31" ht="18" customHeight="1" x14ac:dyDescent="0.25">
      <c r="A13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2" s="79">
        <v>4</v>
      </c>
      <c r="C1392" s="23">
        <v>44424</v>
      </c>
      <c r="D1392" s="67">
        <f>IF(COUNTIF($G$2:$G1392,$G1392)=1,1,0)</f>
        <v>1</v>
      </c>
      <c r="E1392" s="67" t="str">
        <f>IFERROR(VLOOKUP(База_КР_КК[[#This Row],[ИД штатной должности (S)]],'уровень защищенности'!$B$7:$F$1095,5,0),"не защищена")</f>
        <v>высокий</v>
      </c>
      <c r="F1392" s="68">
        <v>500442</v>
      </c>
      <c r="G1392" s="74" t="s">
        <v>2467</v>
      </c>
      <c r="H1392" s="181">
        <f>INDEX('Списки данных'!$D$2:$D$1048576,MATCH(База_КР_КК[[#This Row],[Структурное подразделение]],'Списки данных'!$C$2:$C$1048576,0))</f>
        <v>15</v>
      </c>
      <c r="I1392" s="80" t="s">
        <v>161</v>
      </c>
      <c r="J1392" s="80" t="s">
        <v>214</v>
      </c>
      <c r="K1392" s="80" t="s">
        <v>215</v>
      </c>
      <c r="L1392" s="30" t="s">
        <v>193</v>
      </c>
      <c r="M1392" s="68">
        <v>7</v>
      </c>
      <c r="N1392" s="181" t="str">
        <f t="shared" si="22"/>
        <v>нет</v>
      </c>
      <c r="O1392" s="23"/>
      <c r="P1392" s="23"/>
      <c r="Q1392" s="106"/>
      <c r="R1392" s="37">
        <v>298</v>
      </c>
      <c r="S1392" s="38" t="s">
        <v>710</v>
      </c>
      <c r="T1392" s="37">
        <v>1376</v>
      </c>
      <c r="U1392" s="39" t="s">
        <v>1763</v>
      </c>
      <c r="V1392" s="69" t="s">
        <v>16</v>
      </c>
      <c r="W1392" s="89" t="s">
        <v>161</v>
      </c>
      <c r="X1392" s="106" t="s">
        <v>295</v>
      </c>
      <c r="Y1392" s="107" t="s">
        <v>12</v>
      </c>
      <c r="Z1392" s="67">
        <f>IF(База_КР_КК[[#This Row],[Таб.номер резервиста]]="-","-",IF(OR(База_КР_КК[[#This Row],[Уровень КК]]=2,База_КР_КК[[#This Row],[Уровень КК]]=3),IF(COUNTIFS($U$2:$U1392,$U1392,$F$2:$F1392,$F1392)=1,1,0),IF(COUNTIFS($U$2:$U1392,$U1392,$L$2:$L1392,$L1392)=1,1,0)))</f>
        <v>1</v>
      </c>
      <c r="AA13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2" s="106"/>
      <c r="AC1392" s="51"/>
      <c r="AD1392" s="106" t="s">
        <v>15</v>
      </c>
      <c r="AE1392" s="38" t="s">
        <v>347</v>
      </c>
    </row>
    <row r="1393" spans="1:31" ht="18" customHeight="1" x14ac:dyDescent="0.25">
      <c r="A13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3" s="79">
        <v>3</v>
      </c>
      <c r="C1393" s="23">
        <v>43425</v>
      </c>
      <c r="D1393" s="67">
        <f>IF(COUNTIF($G$2:$G1393,$G1393)=1,1,0)</f>
        <v>1</v>
      </c>
      <c r="E1393" s="67" t="str">
        <f>IFERROR(VLOOKUP(База_КР_КК[[#This Row],[ИД штатной должности (S)]],'уровень защищенности'!$B$7:$F$1095,5,0),"не защищена")</f>
        <v>высокий</v>
      </c>
      <c r="F1393" s="68">
        <v>500443</v>
      </c>
      <c r="G1393" s="74" t="s">
        <v>2468</v>
      </c>
      <c r="H1393" s="181">
        <f>INDEX('Списки данных'!$D$2:$D$1048576,MATCH(База_КР_КК[[#This Row],[Структурное подразделение]],'Списки данных'!$C$2:$C$1048576,0))</f>
        <v>15</v>
      </c>
      <c r="I1393" s="80" t="s">
        <v>161</v>
      </c>
      <c r="J1393" s="80" t="s">
        <v>214</v>
      </c>
      <c r="K1393" s="80" t="s">
        <v>21</v>
      </c>
      <c r="L1393" s="30" t="s">
        <v>186</v>
      </c>
      <c r="M1393" s="68">
        <v>5</v>
      </c>
      <c r="N1393" s="181" t="str">
        <f t="shared" si="22"/>
        <v>нет</v>
      </c>
      <c r="O1393" s="23"/>
      <c r="P1393" s="23"/>
      <c r="Q1393" s="106"/>
      <c r="R1393" s="37">
        <v>299</v>
      </c>
      <c r="S1393" s="38" t="s">
        <v>711</v>
      </c>
      <c r="T1393" s="37">
        <v>303</v>
      </c>
      <c r="U1393" s="39" t="s">
        <v>715</v>
      </c>
      <c r="V1393" s="89" t="s">
        <v>192</v>
      </c>
      <c r="W1393" s="89" t="s">
        <v>161</v>
      </c>
      <c r="X1393" s="106" t="s">
        <v>295</v>
      </c>
      <c r="Y1393" s="107" t="s">
        <v>12</v>
      </c>
      <c r="Z1393" s="67">
        <f>IF(База_КР_КК[[#This Row],[Таб.номер резервиста]]="-","-",IF(OR(База_КР_КК[[#This Row],[Уровень КК]]=2,База_КР_КК[[#This Row],[Уровень КК]]=3),IF(COUNTIFS($U$2:$U1393,$U1393,$F$2:$F1393,$F1393)=1,1,0),IF(COUNTIFS($U$2:$U1393,$U1393,$L$2:$L1393,$L1393)=1,1,0)))</f>
        <v>1</v>
      </c>
      <c r="AA13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3" s="106"/>
      <c r="AC1393" s="51"/>
      <c r="AD1393" s="106" t="s">
        <v>13</v>
      </c>
      <c r="AE1393" s="38" t="s">
        <v>345</v>
      </c>
    </row>
    <row r="1394" spans="1:31" ht="18" customHeight="1" x14ac:dyDescent="0.25">
      <c r="A13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4" s="79">
        <v>3</v>
      </c>
      <c r="C1394" s="23">
        <v>43992</v>
      </c>
      <c r="D1394" s="67">
        <f>IF(COUNTIF($G$2:$G1394,$G1394)=1,1,0)</f>
        <v>0</v>
      </c>
      <c r="E1394" s="67" t="str">
        <f>IFERROR(VLOOKUP(База_КР_КК[[#This Row],[ИД штатной должности (S)]],'уровень защищенности'!$B$7:$F$1095,5,0),"не защищена")</f>
        <v>высокий</v>
      </c>
      <c r="F1394" s="68">
        <v>500443</v>
      </c>
      <c r="G1394" s="74" t="s">
        <v>2468</v>
      </c>
      <c r="H1394" s="181">
        <f>INDEX('Списки данных'!$D$2:$D$1048576,MATCH(База_КР_КК[[#This Row],[Структурное подразделение]],'Списки данных'!$C$2:$C$1048576,0))</f>
        <v>15</v>
      </c>
      <c r="I1394" s="80" t="s">
        <v>161</v>
      </c>
      <c r="J1394" s="80" t="s">
        <v>214</v>
      </c>
      <c r="K1394" s="80" t="s">
        <v>21</v>
      </c>
      <c r="L1394" s="30" t="s">
        <v>186</v>
      </c>
      <c r="M1394" s="68">
        <v>5</v>
      </c>
      <c r="N1394" s="181" t="str">
        <f t="shared" si="22"/>
        <v>нет</v>
      </c>
      <c r="O1394" s="23"/>
      <c r="P1394" s="23"/>
      <c r="Q1394" s="106"/>
      <c r="R1394" s="37">
        <v>299</v>
      </c>
      <c r="S1394" s="38" t="s">
        <v>711</v>
      </c>
      <c r="T1394" s="37">
        <v>1377</v>
      </c>
      <c r="U1394" s="39" t="s">
        <v>1569</v>
      </c>
      <c r="V1394" s="89" t="s">
        <v>16</v>
      </c>
      <c r="W1394" s="89" t="s">
        <v>281</v>
      </c>
      <c r="X1394" s="106" t="s">
        <v>297</v>
      </c>
      <c r="Y1394" s="107" t="s">
        <v>12</v>
      </c>
      <c r="Z1394" s="67">
        <f>IF(База_КР_КК[[#This Row],[Таб.номер резервиста]]="-","-",IF(OR(База_КР_КК[[#This Row],[Уровень КК]]=2,База_КР_КК[[#This Row],[Уровень КК]]=3),IF(COUNTIFS($U$2:$U1394,$U1394,$F$2:$F1394,$F1394)=1,1,0),IF(COUNTIFS($U$2:$U1394,$U1394,$L$2:$L1394,$L1394)=1,1,0)))</f>
        <v>1</v>
      </c>
      <c r="AA13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4" s="106"/>
      <c r="AC1394" s="51"/>
      <c r="AD1394" s="106" t="s">
        <v>17</v>
      </c>
      <c r="AE1394" s="38" t="s">
        <v>345</v>
      </c>
    </row>
    <row r="1395" spans="1:31" ht="18" customHeight="1" x14ac:dyDescent="0.25">
      <c r="A13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5" s="79">
        <v>3</v>
      </c>
      <c r="C1395" s="23">
        <v>43425</v>
      </c>
      <c r="D1395" s="67">
        <f>IF(COUNTIF($G$2:$G1395,$G1395)=1,1,0)</f>
        <v>0</v>
      </c>
      <c r="E1395" s="67" t="str">
        <f>IFERROR(VLOOKUP(База_КР_КК[[#This Row],[ИД штатной должности (S)]],'уровень защищенности'!$B$7:$F$1095,5,0),"не защищена")</f>
        <v>высокий</v>
      </c>
      <c r="F1395" s="68">
        <v>500443</v>
      </c>
      <c r="G1395" s="74" t="s">
        <v>2468</v>
      </c>
      <c r="H1395" s="181">
        <f>INDEX('Списки данных'!$D$2:$D$1048576,MATCH(База_КР_КК[[#This Row],[Структурное подразделение]],'Списки данных'!$C$2:$C$1048576,0))</f>
        <v>15</v>
      </c>
      <c r="I1395" s="80" t="s">
        <v>161</v>
      </c>
      <c r="J1395" s="80" t="s">
        <v>214</v>
      </c>
      <c r="K1395" s="80" t="s">
        <v>21</v>
      </c>
      <c r="L1395" s="30" t="s">
        <v>186</v>
      </c>
      <c r="M1395" s="68">
        <v>5</v>
      </c>
      <c r="N1395" s="181" t="str">
        <f t="shared" si="22"/>
        <v>нет</v>
      </c>
      <c r="O1395" s="23"/>
      <c r="P1395" s="23"/>
      <c r="Q1395" s="106"/>
      <c r="R1395" s="37">
        <v>299</v>
      </c>
      <c r="S1395" s="38" t="s">
        <v>711</v>
      </c>
      <c r="T1395" s="37">
        <v>1378</v>
      </c>
      <c r="U1395" s="39" t="s">
        <v>1665</v>
      </c>
      <c r="V1395" s="89" t="s">
        <v>194</v>
      </c>
      <c r="W1395" s="89" t="s">
        <v>161</v>
      </c>
      <c r="X1395" s="106" t="s">
        <v>295</v>
      </c>
      <c r="Y1395" s="107" t="s">
        <v>18</v>
      </c>
      <c r="Z1395" s="67">
        <f>IF(База_КР_КК[[#This Row],[Таб.номер резервиста]]="-","-",IF(OR(База_КР_КК[[#This Row],[Уровень КК]]=2,База_КР_КК[[#This Row],[Уровень КК]]=3),IF(COUNTIFS($U$2:$U1395,$U1395,$F$2:$F1395,$F1395)=1,1,0),IF(COUNTIFS($U$2:$U1395,$U1395,$L$2:$L1395,$L1395)=1,1,0)))</f>
        <v>1</v>
      </c>
      <c r="AA13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5" s="106" t="s">
        <v>38</v>
      </c>
      <c r="AC1395" s="51">
        <v>44343</v>
      </c>
      <c r="AD1395" s="106" t="s">
        <v>13</v>
      </c>
      <c r="AE1395" s="38" t="s">
        <v>348</v>
      </c>
    </row>
    <row r="1396" spans="1:31" ht="18" customHeight="1" x14ac:dyDescent="0.25">
      <c r="A13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6" s="79">
        <v>4</v>
      </c>
      <c r="C1396" s="23">
        <v>44424</v>
      </c>
      <c r="D1396" s="67">
        <f>IF(COUNTIF($G$2:$G1396,$G1396)=1,1,0)</f>
        <v>1</v>
      </c>
      <c r="E1396" s="67" t="str">
        <f>IFERROR(VLOOKUP(База_КР_КК[[#This Row],[ИД штатной должности (S)]],'уровень защищенности'!$B$7:$F$1095,5,0),"не защищена")</f>
        <v>высокий</v>
      </c>
      <c r="F1396" s="68">
        <v>500444</v>
      </c>
      <c r="G1396" s="74" t="s">
        <v>2469</v>
      </c>
      <c r="H1396" s="181">
        <f>INDEX('Списки данных'!$D$2:$D$1048576,MATCH(База_КР_КК[[#This Row],[Структурное подразделение]],'Списки данных'!$C$2:$C$1048576,0))</f>
        <v>15</v>
      </c>
      <c r="I1396" s="80" t="s">
        <v>161</v>
      </c>
      <c r="J1396" s="80" t="s">
        <v>214</v>
      </c>
      <c r="K1396" s="80" t="s">
        <v>21</v>
      </c>
      <c r="L1396" s="30" t="s">
        <v>191</v>
      </c>
      <c r="M1396" s="68">
        <v>7</v>
      </c>
      <c r="N1396" s="181" t="str">
        <f t="shared" si="22"/>
        <v>нет</v>
      </c>
      <c r="O1396" s="23"/>
      <c r="P1396" s="23"/>
      <c r="Q1396" s="106"/>
      <c r="R1396" s="37">
        <v>300</v>
      </c>
      <c r="S1396" s="38" t="s">
        <v>712</v>
      </c>
      <c r="T1396" s="37">
        <v>1379</v>
      </c>
      <c r="U1396" s="39" t="s">
        <v>1540</v>
      </c>
      <c r="V1396" s="69" t="s">
        <v>272</v>
      </c>
      <c r="W1396" s="89" t="s">
        <v>161</v>
      </c>
      <c r="X1396" s="106" t="s">
        <v>295</v>
      </c>
      <c r="Y1396" s="107" t="s">
        <v>12</v>
      </c>
      <c r="Z1396" s="67">
        <f>IF(База_КР_КК[[#This Row],[Таб.номер резервиста]]="-","-",IF(OR(База_КР_КК[[#This Row],[Уровень КК]]=2,База_КР_КК[[#This Row],[Уровень КК]]=3),IF(COUNTIFS($U$2:$U1396,$U1396,$F$2:$F1396,$F1396)=1,1,0),IF(COUNTIFS($U$2:$U1396,$U1396,$L$2:$L1396,$L1396)=1,1,0)))</f>
        <v>1</v>
      </c>
      <c r="AA13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6" s="106"/>
      <c r="AC1396" s="51"/>
      <c r="AD1396" s="106" t="s">
        <v>15</v>
      </c>
      <c r="AE1396" s="38" t="s">
        <v>347</v>
      </c>
    </row>
    <row r="1397" spans="1:31" ht="18" customHeight="1" x14ac:dyDescent="0.25">
      <c r="A13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7" s="79">
        <v>4</v>
      </c>
      <c r="C1397" s="23">
        <v>44424</v>
      </c>
      <c r="D1397" s="67">
        <f>IF(COUNTIF($G$2:$G1397,$G1397)=1,1,0)</f>
        <v>0</v>
      </c>
      <c r="E1397" s="67" t="str">
        <f>IFERROR(VLOOKUP(База_КР_КК[[#This Row],[ИД штатной должности (S)]],'уровень защищенности'!$B$7:$F$1095,5,0),"не защищена")</f>
        <v>высокий</v>
      </c>
      <c r="F1397" s="68">
        <v>500444</v>
      </c>
      <c r="G1397" s="74" t="s">
        <v>2469</v>
      </c>
      <c r="H1397" s="181">
        <f>INDEX('Списки данных'!$D$2:$D$1048576,MATCH(База_КР_КК[[#This Row],[Структурное подразделение]],'Списки данных'!$C$2:$C$1048576,0))</f>
        <v>15</v>
      </c>
      <c r="I1397" s="80" t="s">
        <v>161</v>
      </c>
      <c r="J1397" s="80" t="s">
        <v>214</v>
      </c>
      <c r="K1397" s="80" t="s">
        <v>21</v>
      </c>
      <c r="L1397" s="30" t="s">
        <v>191</v>
      </c>
      <c r="M1397" s="68">
        <v>7</v>
      </c>
      <c r="N1397" s="181" t="str">
        <f t="shared" si="22"/>
        <v>нет</v>
      </c>
      <c r="O1397" s="23"/>
      <c r="P1397" s="23"/>
      <c r="Q1397" s="106"/>
      <c r="R1397" s="37">
        <v>300</v>
      </c>
      <c r="S1397" s="38" t="s">
        <v>712</v>
      </c>
      <c r="T1397" s="37">
        <v>1380</v>
      </c>
      <c r="U1397" s="39" t="s">
        <v>1764</v>
      </c>
      <c r="V1397" s="69" t="s">
        <v>272</v>
      </c>
      <c r="W1397" s="89" t="s">
        <v>161</v>
      </c>
      <c r="X1397" s="106" t="s">
        <v>297</v>
      </c>
      <c r="Y1397" s="107" t="s">
        <v>12</v>
      </c>
      <c r="Z1397" s="67">
        <f>IF(База_КР_КК[[#This Row],[Таб.номер резервиста]]="-","-",IF(OR(База_КР_КК[[#This Row],[Уровень КК]]=2,База_КР_КК[[#This Row],[Уровень КК]]=3),IF(COUNTIFS($U$2:$U1397,$U1397,$F$2:$F1397,$F1397)=1,1,0),IF(COUNTIFS($U$2:$U1397,$U1397,$L$2:$L1397,$L1397)=1,1,0)))</f>
        <v>1</v>
      </c>
      <c r="AA13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7" s="106"/>
      <c r="AC1397" s="51"/>
      <c r="AD1397" s="106" t="s">
        <v>15</v>
      </c>
      <c r="AE1397" s="38" t="s">
        <v>347</v>
      </c>
    </row>
    <row r="1398" spans="1:31" ht="18" customHeight="1" x14ac:dyDescent="0.25">
      <c r="A13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8" s="79">
        <v>4</v>
      </c>
      <c r="C1398" s="23">
        <v>44424</v>
      </c>
      <c r="D1398" s="67">
        <f>IF(COUNTIF($G$2:$G1398,$G1398)=1,1,0)</f>
        <v>0</v>
      </c>
      <c r="E1398" s="67" t="str">
        <f>IFERROR(VLOOKUP(База_КР_КК[[#This Row],[ИД штатной должности (S)]],'уровень защищенности'!$B$7:$F$1095,5,0),"не защищена")</f>
        <v>высокий</v>
      </c>
      <c r="F1398" s="68">
        <v>500444</v>
      </c>
      <c r="G1398" s="74" t="s">
        <v>2469</v>
      </c>
      <c r="H1398" s="181">
        <f>INDEX('Списки данных'!$D$2:$D$1048576,MATCH(База_КР_КК[[#This Row],[Структурное подразделение]],'Списки данных'!$C$2:$C$1048576,0))</f>
        <v>15</v>
      </c>
      <c r="I1398" s="80" t="s">
        <v>161</v>
      </c>
      <c r="J1398" s="80" t="s">
        <v>214</v>
      </c>
      <c r="K1398" s="80" t="s">
        <v>21</v>
      </c>
      <c r="L1398" s="30" t="s">
        <v>191</v>
      </c>
      <c r="M1398" s="68">
        <v>7</v>
      </c>
      <c r="N1398" s="181" t="str">
        <f t="shared" si="22"/>
        <v>нет</v>
      </c>
      <c r="O1398" s="23"/>
      <c r="P1398" s="23"/>
      <c r="Q1398" s="106"/>
      <c r="R1398" s="37">
        <v>300</v>
      </c>
      <c r="S1398" s="38" t="s">
        <v>712</v>
      </c>
      <c r="T1398" s="37">
        <v>1381</v>
      </c>
      <c r="U1398" s="39" t="s">
        <v>1765</v>
      </c>
      <c r="V1398" s="69" t="s">
        <v>272</v>
      </c>
      <c r="W1398" s="89" t="s">
        <v>161</v>
      </c>
      <c r="X1398" s="106" t="s">
        <v>297</v>
      </c>
      <c r="Y1398" s="107" t="s">
        <v>12</v>
      </c>
      <c r="Z1398" s="67">
        <f>IF(База_КР_КК[[#This Row],[Таб.номер резервиста]]="-","-",IF(OR(База_КР_КК[[#This Row],[Уровень КК]]=2,База_КР_КК[[#This Row],[Уровень КК]]=3),IF(COUNTIFS($U$2:$U1398,$U1398,$F$2:$F1398,$F1398)=1,1,0),IF(COUNTIFS($U$2:$U1398,$U1398,$L$2:$L1398,$L1398)=1,1,0)))</f>
        <v>1</v>
      </c>
      <c r="AA13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8" s="106"/>
      <c r="AC1398" s="51"/>
      <c r="AD1398" s="106" t="s">
        <v>15</v>
      </c>
      <c r="AE1398" s="38" t="s">
        <v>347</v>
      </c>
    </row>
    <row r="1399" spans="1:31" ht="18" customHeight="1" x14ac:dyDescent="0.25">
      <c r="A13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399" s="79">
        <v>4</v>
      </c>
      <c r="C1399" s="23">
        <v>44424</v>
      </c>
      <c r="D1399" s="67">
        <f>IF(COUNTIF($G$2:$G1399,$G1399)=1,1,0)</f>
        <v>0</v>
      </c>
      <c r="E1399" s="67" t="str">
        <f>IFERROR(VLOOKUP(База_КР_КК[[#This Row],[ИД штатной должности (S)]],'уровень защищенности'!$B$7:$F$1095,5,0),"не защищена")</f>
        <v>высокий</v>
      </c>
      <c r="F1399" s="68">
        <v>500444</v>
      </c>
      <c r="G1399" s="74" t="s">
        <v>2469</v>
      </c>
      <c r="H1399" s="181">
        <f>INDEX('Списки данных'!$D$2:$D$1048576,MATCH(База_КР_КК[[#This Row],[Структурное подразделение]],'Списки данных'!$C$2:$C$1048576,0))</f>
        <v>15</v>
      </c>
      <c r="I1399" s="80" t="s">
        <v>161</v>
      </c>
      <c r="J1399" s="80" t="s">
        <v>214</v>
      </c>
      <c r="K1399" s="80" t="s">
        <v>21</v>
      </c>
      <c r="L1399" s="30" t="s">
        <v>191</v>
      </c>
      <c r="M1399" s="68">
        <v>7</v>
      </c>
      <c r="N1399" s="181" t="str">
        <f t="shared" si="22"/>
        <v>нет</v>
      </c>
      <c r="O1399" s="23"/>
      <c r="P1399" s="23"/>
      <c r="Q1399" s="106"/>
      <c r="R1399" s="37">
        <v>300</v>
      </c>
      <c r="S1399" s="38" t="s">
        <v>712</v>
      </c>
      <c r="T1399" s="37">
        <v>1382</v>
      </c>
      <c r="U1399" s="39" t="s">
        <v>1692</v>
      </c>
      <c r="V1399" s="69" t="s">
        <v>272</v>
      </c>
      <c r="W1399" s="89" t="s">
        <v>161</v>
      </c>
      <c r="X1399" s="106" t="s">
        <v>295</v>
      </c>
      <c r="Y1399" s="107" t="s">
        <v>12</v>
      </c>
      <c r="Z1399" s="67">
        <f>IF(База_КР_КК[[#This Row],[Таб.номер резервиста]]="-","-",IF(OR(База_КР_КК[[#This Row],[Уровень КК]]=2,База_КР_КК[[#This Row],[Уровень КК]]=3),IF(COUNTIFS($U$2:$U1399,$U1399,$F$2:$F1399,$F1399)=1,1,0),IF(COUNTIFS($U$2:$U1399,$U1399,$L$2:$L1399,$L1399)=1,1,0)))</f>
        <v>1</v>
      </c>
      <c r="AA13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399" s="106"/>
      <c r="AC1399" s="51"/>
      <c r="AD1399" s="106" t="s">
        <v>15</v>
      </c>
      <c r="AE1399" s="38" t="s">
        <v>347</v>
      </c>
    </row>
    <row r="1400" spans="1:31" ht="18" customHeight="1" x14ac:dyDescent="0.25">
      <c r="A14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0" s="79">
        <v>4</v>
      </c>
      <c r="C1400" s="23">
        <v>44424</v>
      </c>
      <c r="D1400" s="67">
        <f>IF(COUNTIF($G$2:$G1400,$G1400)=1,1,0)</f>
        <v>0</v>
      </c>
      <c r="E1400" s="67" t="str">
        <f>IFERROR(VLOOKUP(База_КР_КК[[#This Row],[ИД штатной должности (S)]],'уровень защищенности'!$B$7:$F$1095,5,0),"не защищена")</f>
        <v>высокий</v>
      </c>
      <c r="F1400" s="68">
        <v>500444</v>
      </c>
      <c r="G1400" s="74" t="s">
        <v>2469</v>
      </c>
      <c r="H1400" s="181">
        <f>INDEX('Списки данных'!$D$2:$D$1048576,MATCH(База_КР_КК[[#This Row],[Структурное подразделение]],'Списки данных'!$C$2:$C$1048576,0))</f>
        <v>15</v>
      </c>
      <c r="I1400" s="80" t="s">
        <v>161</v>
      </c>
      <c r="J1400" s="80" t="s">
        <v>214</v>
      </c>
      <c r="K1400" s="80" t="s">
        <v>21</v>
      </c>
      <c r="L1400" s="30" t="s">
        <v>191</v>
      </c>
      <c r="M1400" s="68">
        <v>7</v>
      </c>
      <c r="N1400" s="181" t="str">
        <f t="shared" si="22"/>
        <v>нет</v>
      </c>
      <c r="O1400" s="23"/>
      <c r="P1400" s="23"/>
      <c r="Q1400" s="106"/>
      <c r="R1400" s="37">
        <v>300</v>
      </c>
      <c r="S1400" s="38" t="s">
        <v>712</v>
      </c>
      <c r="T1400" s="37">
        <v>1383</v>
      </c>
      <c r="U1400" s="39" t="s">
        <v>1766</v>
      </c>
      <c r="V1400" s="69" t="s">
        <v>272</v>
      </c>
      <c r="W1400" s="89" t="s">
        <v>161</v>
      </c>
      <c r="X1400" s="106" t="s">
        <v>295</v>
      </c>
      <c r="Y1400" s="107" t="s">
        <v>12</v>
      </c>
      <c r="Z1400" s="67">
        <f>IF(База_КР_КК[[#This Row],[Таб.номер резервиста]]="-","-",IF(OR(База_КР_КК[[#This Row],[Уровень КК]]=2,База_КР_КК[[#This Row],[Уровень КК]]=3),IF(COUNTIFS($U$2:$U1400,$U1400,$F$2:$F1400,$F1400)=1,1,0),IF(COUNTIFS($U$2:$U1400,$U1400,$L$2:$L1400,$L1400)=1,1,0)))</f>
        <v>1</v>
      </c>
      <c r="AA14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0" s="106"/>
      <c r="AC1400" s="51"/>
      <c r="AD1400" s="106" t="s">
        <v>15</v>
      </c>
      <c r="AE1400" s="38" t="s">
        <v>347</v>
      </c>
    </row>
    <row r="1401" spans="1:31" ht="18" customHeight="1" x14ac:dyDescent="0.25">
      <c r="A14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1" s="79">
        <v>4</v>
      </c>
      <c r="C1401" s="23">
        <v>44424</v>
      </c>
      <c r="D1401" s="67">
        <f>IF(COUNTIF($G$2:$G1401,$G1401)=1,1,0)</f>
        <v>0</v>
      </c>
      <c r="E1401" s="67" t="str">
        <f>IFERROR(VLOOKUP(База_КР_КК[[#This Row],[ИД штатной должности (S)]],'уровень защищенности'!$B$7:$F$1095,5,0),"не защищена")</f>
        <v>высокий</v>
      </c>
      <c r="F1401" s="68">
        <v>500444</v>
      </c>
      <c r="G1401" s="74" t="s">
        <v>2469</v>
      </c>
      <c r="H1401" s="181">
        <f>INDEX('Списки данных'!$D$2:$D$1048576,MATCH(База_КР_КК[[#This Row],[Структурное подразделение]],'Списки данных'!$C$2:$C$1048576,0))</f>
        <v>15</v>
      </c>
      <c r="I1401" s="80" t="s">
        <v>161</v>
      </c>
      <c r="J1401" s="80" t="s">
        <v>214</v>
      </c>
      <c r="K1401" s="80" t="s">
        <v>21</v>
      </c>
      <c r="L1401" s="30" t="s">
        <v>191</v>
      </c>
      <c r="M1401" s="68">
        <v>7</v>
      </c>
      <c r="N1401" s="181" t="str">
        <f t="shared" si="22"/>
        <v>нет</v>
      </c>
      <c r="O1401" s="23"/>
      <c r="P1401" s="23"/>
      <c r="Q1401" s="106"/>
      <c r="R1401" s="37">
        <v>300</v>
      </c>
      <c r="S1401" s="38" t="s">
        <v>712</v>
      </c>
      <c r="T1401" s="37">
        <v>1384</v>
      </c>
      <c r="U1401" s="39" t="s">
        <v>1767</v>
      </c>
      <c r="V1401" s="69" t="s">
        <v>272</v>
      </c>
      <c r="W1401" s="89" t="s">
        <v>161</v>
      </c>
      <c r="X1401" s="106" t="s">
        <v>297</v>
      </c>
      <c r="Y1401" s="107" t="s">
        <v>12</v>
      </c>
      <c r="Z1401" s="67">
        <f>IF(База_КР_КК[[#This Row],[Таб.номер резервиста]]="-","-",IF(OR(База_КР_КК[[#This Row],[Уровень КК]]=2,База_КР_КК[[#This Row],[Уровень КК]]=3),IF(COUNTIFS($U$2:$U1401,$U1401,$F$2:$F1401,$F1401)=1,1,0),IF(COUNTIFS($U$2:$U1401,$U1401,$L$2:$L1401,$L1401)=1,1,0)))</f>
        <v>1</v>
      </c>
      <c r="AA14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1" s="106"/>
      <c r="AC1401" s="51"/>
      <c r="AD1401" s="106" t="s">
        <v>15</v>
      </c>
      <c r="AE1401" s="38" t="s">
        <v>347</v>
      </c>
    </row>
    <row r="1402" spans="1:31" ht="18" customHeight="1" x14ac:dyDescent="0.25">
      <c r="A14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2" s="79">
        <v>4</v>
      </c>
      <c r="C1402" s="23">
        <v>44424</v>
      </c>
      <c r="D1402" s="67">
        <f>IF(COUNTIF($G$2:$G1402,$G1402)=1,1,0)</f>
        <v>0</v>
      </c>
      <c r="E1402" s="67" t="str">
        <f>IFERROR(VLOOKUP(База_КР_КК[[#This Row],[ИД штатной должности (S)]],'уровень защищенности'!$B$7:$F$1095,5,0),"не защищена")</f>
        <v>высокий</v>
      </c>
      <c r="F1402" s="68">
        <v>500444</v>
      </c>
      <c r="G1402" s="74" t="s">
        <v>2469</v>
      </c>
      <c r="H1402" s="181">
        <f>INDEX('Списки данных'!$D$2:$D$1048576,MATCH(База_КР_КК[[#This Row],[Структурное подразделение]],'Списки данных'!$C$2:$C$1048576,0))</f>
        <v>15</v>
      </c>
      <c r="I1402" s="80" t="s">
        <v>161</v>
      </c>
      <c r="J1402" s="80" t="s">
        <v>214</v>
      </c>
      <c r="K1402" s="80" t="s">
        <v>21</v>
      </c>
      <c r="L1402" s="30" t="s">
        <v>191</v>
      </c>
      <c r="M1402" s="68">
        <v>7</v>
      </c>
      <c r="N1402" s="181" t="str">
        <f t="shared" si="22"/>
        <v>нет</v>
      </c>
      <c r="O1402" s="23"/>
      <c r="P1402" s="23"/>
      <c r="Q1402" s="106"/>
      <c r="R1402" s="37">
        <v>300</v>
      </c>
      <c r="S1402" s="38" t="s">
        <v>712</v>
      </c>
      <c r="T1402" s="37">
        <v>302</v>
      </c>
      <c r="U1402" s="39" t="s">
        <v>714</v>
      </c>
      <c r="V1402" s="69" t="s">
        <v>272</v>
      </c>
      <c r="W1402" s="89" t="s">
        <v>161</v>
      </c>
      <c r="X1402" s="106" t="s">
        <v>295</v>
      </c>
      <c r="Y1402" s="107" t="s">
        <v>14</v>
      </c>
      <c r="Z1402" s="67">
        <f>IF(База_КР_КК[[#This Row],[Таб.номер резервиста]]="-","-",IF(OR(База_КР_КК[[#This Row],[Уровень КК]]=2,База_КР_КК[[#This Row],[Уровень КК]]=3),IF(COUNTIFS($U$2:$U1402,$U1402,$F$2:$F1402,$F1402)=1,1,0),IF(COUNTIFS($U$2:$U1402,$U1402,$L$2:$L1402,$L1402)=1,1,0)))</f>
        <v>1</v>
      </c>
      <c r="AA14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2" s="106" t="s">
        <v>24</v>
      </c>
      <c r="AC1402" s="51">
        <v>44754</v>
      </c>
      <c r="AD1402" s="106" t="s">
        <v>15</v>
      </c>
      <c r="AE1402" s="38" t="s">
        <v>347</v>
      </c>
    </row>
    <row r="1403" spans="1:31" ht="18" customHeight="1" x14ac:dyDescent="0.25">
      <c r="A14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3" s="79">
        <v>4</v>
      </c>
      <c r="C1403" s="23">
        <v>44424</v>
      </c>
      <c r="D1403" s="67">
        <f>IF(COUNTIF($G$2:$G1403,$G1403)=1,1,0)</f>
        <v>1</v>
      </c>
      <c r="E1403" s="67" t="str">
        <f>IFERROR(VLOOKUP(База_КР_КК[[#This Row],[ИД штатной должности (S)]],'уровень защищенности'!$B$7:$F$1095,5,0),"не защищена")</f>
        <v>высокий</v>
      </c>
      <c r="F1403" s="68">
        <v>500444</v>
      </c>
      <c r="G1403" s="74" t="s">
        <v>2470</v>
      </c>
      <c r="H1403" s="181">
        <f>INDEX('Списки данных'!$D$2:$D$1048576,MATCH(База_КР_КК[[#This Row],[Структурное подразделение]],'Списки данных'!$C$2:$C$1048576,0))</f>
        <v>15</v>
      </c>
      <c r="I1403" s="80" t="s">
        <v>161</v>
      </c>
      <c r="J1403" s="80" t="s">
        <v>214</v>
      </c>
      <c r="K1403" s="80" t="s">
        <v>21</v>
      </c>
      <c r="L1403" s="30" t="s">
        <v>191</v>
      </c>
      <c r="M1403" s="68">
        <v>7</v>
      </c>
      <c r="N1403" s="181" t="str">
        <f t="shared" si="22"/>
        <v>нет</v>
      </c>
      <c r="O1403" s="23"/>
      <c r="P1403" s="23"/>
      <c r="Q1403" s="106"/>
      <c r="R1403" s="37">
        <v>301</v>
      </c>
      <c r="S1403" s="38" t="s">
        <v>713</v>
      </c>
      <c r="T1403" s="37">
        <v>1379</v>
      </c>
      <c r="U1403" s="39" t="s">
        <v>1540</v>
      </c>
      <c r="V1403" s="69" t="s">
        <v>272</v>
      </c>
      <c r="W1403" s="89" t="s">
        <v>161</v>
      </c>
      <c r="X1403" s="106" t="s">
        <v>295</v>
      </c>
      <c r="Y1403" s="107" t="s">
        <v>12</v>
      </c>
      <c r="Z1403" s="67">
        <f>IF(База_КР_КК[[#This Row],[Таб.номер резервиста]]="-","-",IF(OR(База_КР_КК[[#This Row],[Уровень КК]]=2,База_КР_КК[[#This Row],[Уровень КК]]=3),IF(COUNTIFS($U$2:$U1403,$U1403,$F$2:$F1403,$F1403)=1,1,0),IF(COUNTIFS($U$2:$U1403,$U1403,$L$2:$L1403,$L1403)=1,1,0)))</f>
        <v>0</v>
      </c>
      <c r="AA14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3" s="106"/>
      <c r="AC1403" s="51"/>
      <c r="AD1403" s="106" t="s">
        <v>15</v>
      </c>
      <c r="AE1403" s="38" t="s">
        <v>347</v>
      </c>
    </row>
    <row r="1404" spans="1:31" ht="18" customHeight="1" x14ac:dyDescent="0.25">
      <c r="A14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4" s="79">
        <v>4</v>
      </c>
      <c r="C1404" s="23">
        <v>44424</v>
      </c>
      <c r="D1404" s="67">
        <f>IF(COUNTIF($G$2:$G1404,$G1404)=1,1,0)</f>
        <v>0</v>
      </c>
      <c r="E1404" s="67" t="str">
        <f>IFERROR(VLOOKUP(База_КР_КК[[#This Row],[ИД штатной должности (S)]],'уровень защищенности'!$B$7:$F$1095,5,0),"не защищена")</f>
        <v>высокий</v>
      </c>
      <c r="F1404" s="68">
        <v>500444</v>
      </c>
      <c r="G1404" s="74" t="s">
        <v>2470</v>
      </c>
      <c r="H1404" s="181">
        <f>INDEX('Списки данных'!$D$2:$D$1048576,MATCH(База_КР_КК[[#This Row],[Структурное подразделение]],'Списки данных'!$C$2:$C$1048576,0))</f>
        <v>15</v>
      </c>
      <c r="I1404" s="80" t="s">
        <v>161</v>
      </c>
      <c r="J1404" s="80" t="s">
        <v>214</v>
      </c>
      <c r="K1404" s="80" t="s">
        <v>21</v>
      </c>
      <c r="L1404" s="30" t="s">
        <v>191</v>
      </c>
      <c r="M1404" s="68">
        <v>7</v>
      </c>
      <c r="N1404" s="181" t="str">
        <f t="shared" si="22"/>
        <v>нет</v>
      </c>
      <c r="O1404" s="23"/>
      <c r="P1404" s="23"/>
      <c r="Q1404" s="106"/>
      <c r="R1404" s="37">
        <v>301</v>
      </c>
      <c r="S1404" s="38" t="s">
        <v>713</v>
      </c>
      <c r="T1404" s="37">
        <v>1380</v>
      </c>
      <c r="U1404" s="39" t="s">
        <v>1764</v>
      </c>
      <c r="V1404" s="69" t="s">
        <v>272</v>
      </c>
      <c r="W1404" s="89" t="s">
        <v>161</v>
      </c>
      <c r="X1404" s="106" t="s">
        <v>297</v>
      </c>
      <c r="Y1404" s="107" t="s">
        <v>12</v>
      </c>
      <c r="Z1404" s="67">
        <f>IF(База_КР_КК[[#This Row],[Таб.номер резервиста]]="-","-",IF(OR(База_КР_КК[[#This Row],[Уровень КК]]=2,База_КР_КК[[#This Row],[Уровень КК]]=3),IF(COUNTIFS($U$2:$U1404,$U1404,$F$2:$F1404,$F1404)=1,1,0),IF(COUNTIFS($U$2:$U1404,$U1404,$L$2:$L1404,$L1404)=1,1,0)))</f>
        <v>0</v>
      </c>
      <c r="AA14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4" s="106"/>
      <c r="AC1404" s="51"/>
      <c r="AD1404" s="106" t="s">
        <v>15</v>
      </c>
      <c r="AE1404" s="38" t="s">
        <v>347</v>
      </c>
    </row>
    <row r="1405" spans="1:31" ht="18" customHeight="1" x14ac:dyDescent="0.25">
      <c r="A14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5" s="79">
        <v>4</v>
      </c>
      <c r="C1405" s="23">
        <v>44424</v>
      </c>
      <c r="D1405" s="67">
        <f>IF(COUNTIF($G$2:$G1405,$G1405)=1,1,0)</f>
        <v>0</v>
      </c>
      <c r="E1405" s="67" t="str">
        <f>IFERROR(VLOOKUP(База_КР_КК[[#This Row],[ИД штатной должности (S)]],'уровень защищенности'!$B$7:$F$1095,5,0),"не защищена")</f>
        <v>высокий</v>
      </c>
      <c r="F1405" s="68">
        <v>500444</v>
      </c>
      <c r="G1405" s="74" t="s">
        <v>2470</v>
      </c>
      <c r="H1405" s="181">
        <f>INDEX('Списки данных'!$D$2:$D$1048576,MATCH(База_КР_КК[[#This Row],[Структурное подразделение]],'Списки данных'!$C$2:$C$1048576,0))</f>
        <v>15</v>
      </c>
      <c r="I1405" s="80" t="s">
        <v>161</v>
      </c>
      <c r="J1405" s="80" t="s">
        <v>214</v>
      </c>
      <c r="K1405" s="80" t="s">
        <v>21</v>
      </c>
      <c r="L1405" s="30" t="s">
        <v>191</v>
      </c>
      <c r="M1405" s="68">
        <v>7</v>
      </c>
      <c r="N1405" s="181" t="str">
        <f t="shared" si="22"/>
        <v>нет</v>
      </c>
      <c r="O1405" s="23"/>
      <c r="P1405" s="23"/>
      <c r="Q1405" s="106"/>
      <c r="R1405" s="37">
        <v>301</v>
      </c>
      <c r="S1405" s="38" t="s">
        <v>713</v>
      </c>
      <c r="T1405" s="37">
        <v>1381</v>
      </c>
      <c r="U1405" s="39" t="s">
        <v>1765</v>
      </c>
      <c r="V1405" s="69" t="s">
        <v>272</v>
      </c>
      <c r="W1405" s="89" t="s">
        <v>161</v>
      </c>
      <c r="X1405" s="106" t="s">
        <v>297</v>
      </c>
      <c r="Y1405" s="107" t="s">
        <v>12</v>
      </c>
      <c r="Z1405" s="67">
        <f>IF(База_КР_КК[[#This Row],[Таб.номер резервиста]]="-","-",IF(OR(База_КР_КК[[#This Row],[Уровень КК]]=2,База_КР_КК[[#This Row],[Уровень КК]]=3),IF(COUNTIFS($U$2:$U1405,$U1405,$F$2:$F1405,$F1405)=1,1,0),IF(COUNTIFS($U$2:$U1405,$U1405,$L$2:$L1405,$L1405)=1,1,0)))</f>
        <v>0</v>
      </c>
      <c r="AA14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5" s="106"/>
      <c r="AC1405" s="51"/>
      <c r="AD1405" s="106" t="s">
        <v>15</v>
      </c>
      <c r="AE1405" s="38" t="s">
        <v>347</v>
      </c>
    </row>
    <row r="1406" spans="1:31" ht="18" customHeight="1" x14ac:dyDescent="0.25">
      <c r="A14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6" s="79">
        <v>4</v>
      </c>
      <c r="C1406" s="23">
        <v>44424</v>
      </c>
      <c r="D1406" s="67">
        <f>IF(COUNTIF($G$2:$G1406,$G1406)=1,1,0)</f>
        <v>0</v>
      </c>
      <c r="E1406" s="67" t="str">
        <f>IFERROR(VLOOKUP(База_КР_КК[[#This Row],[ИД штатной должности (S)]],'уровень защищенности'!$B$7:$F$1095,5,0),"не защищена")</f>
        <v>высокий</v>
      </c>
      <c r="F1406" s="68">
        <v>500444</v>
      </c>
      <c r="G1406" s="74" t="s">
        <v>2470</v>
      </c>
      <c r="H1406" s="181">
        <f>INDEX('Списки данных'!$D$2:$D$1048576,MATCH(База_КР_КК[[#This Row],[Структурное подразделение]],'Списки данных'!$C$2:$C$1048576,0))</f>
        <v>15</v>
      </c>
      <c r="I1406" s="80" t="s">
        <v>161</v>
      </c>
      <c r="J1406" s="80" t="s">
        <v>214</v>
      </c>
      <c r="K1406" s="80" t="s">
        <v>21</v>
      </c>
      <c r="L1406" s="30" t="s">
        <v>191</v>
      </c>
      <c r="M1406" s="68">
        <v>7</v>
      </c>
      <c r="N1406" s="181" t="str">
        <f t="shared" si="22"/>
        <v>нет</v>
      </c>
      <c r="O1406" s="23"/>
      <c r="P1406" s="23"/>
      <c r="Q1406" s="106"/>
      <c r="R1406" s="37">
        <v>301</v>
      </c>
      <c r="S1406" s="38" t="s">
        <v>713</v>
      </c>
      <c r="T1406" s="37">
        <v>1382</v>
      </c>
      <c r="U1406" s="39" t="s">
        <v>1692</v>
      </c>
      <c r="V1406" s="69" t="s">
        <v>272</v>
      </c>
      <c r="W1406" s="89" t="s">
        <v>161</v>
      </c>
      <c r="X1406" s="106" t="s">
        <v>295</v>
      </c>
      <c r="Y1406" s="107" t="s">
        <v>12</v>
      </c>
      <c r="Z1406" s="67">
        <f>IF(База_КР_КК[[#This Row],[Таб.номер резервиста]]="-","-",IF(OR(База_КР_КК[[#This Row],[Уровень КК]]=2,База_КР_КК[[#This Row],[Уровень КК]]=3),IF(COUNTIFS($U$2:$U1406,$U1406,$F$2:$F1406,$F1406)=1,1,0),IF(COUNTIFS($U$2:$U1406,$U1406,$L$2:$L1406,$L1406)=1,1,0)))</f>
        <v>0</v>
      </c>
      <c r="AA14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6" s="106"/>
      <c r="AC1406" s="51"/>
      <c r="AD1406" s="106" t="s">
        <v>15</v>
      </c>
      <c r="AE1406" s="38" t="s">
        <v>347</v>
      </c>
    </row>
    <row r="1407" spans="1:31" ht="18" customHeight="1" x14ac:dyDescent="0.25">
      <c r="A14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7" s="79">
        <v>4</v>
      </c>
      <c r="C1407" s="23">
        <v>44424</v>
      </c>
      <c r="D1407" s="67">
        <f>IF(COUNTIF($G$2:$G1407,$G1407)=1,1,0)</f>
        <v>0</v>
      </c>
      <c r="E1407" s="67" t="str">
        <f>IFERROR(VLOOKUP(База_КР_КК[[#This Row],[ИД штатной должности (S)]],'уровень защищенности'!$B$7:$F$1095,5,0),"не защищена")</f>
        <v>высокий</v>
      </c>
      <c r="F1407" s="68">
        <v>500444</v>
      </c>
      <c r="G1407" s="74" t="s">
        <v>2470</v>
      </c>
      <c r="H1407" s="181">
        <f>INDEX('Списки данных'!$D$2:$D$1048576,MATCH(База_КР_КК[[#This Row],[Структурное подразделение]],'Списки данных'!$C$2:$C$1048576,0))</f>
        <v>15</v>
      </c>
      <c r="I1407" s="80" t="s">
        <v>161</v>
      </c>
      <c r="J1407" s="80" t="s">
        <v>214</v>
      </c>
      <c r="K1407" s="80" t="s">
        <v>21</v>
      </c>
      <c r="L1407" s="30" t="s">
        <v>191</v>
      </c>
      <c r="M1407" s="68">
        <v>7</v>
      </c>
      <c r="N1407" s="181" t="str">
        <f t="shared" si="22"/>
        <v>нет</v>
      </c>
      <c r="O1407" s="23"/>
      <c r="P1407" s="23"/>
      <c r="Q1407" s="106"/>
      <c r="R1407" s="37">
        <v>301</v>
      </c>
      <c r="S1407" s="38" t="s">
        <v>713</v>
      </c>
      <c r="T1407" s="37">
        <v>1383</v>
      </c>
      <c r="U1407" s="39" t="s">
        <v>1766</v>
      </c>
      <c r="V1407" s="69" t="s">
        <v>272</v>
      </c>
      <c r="W1407" s="89" t="s">
        <v>161</v>
      </c>
      <c r="X1407" s="106" t="s">
        <v>295</v>
      </c>
      <c r="Y1407" s="107" t="s">
        <v>12</v>
      </c>
      <c r="Z1407" s="67">
        <f>IF(База_КР_КК[[#This Row],[Таб.номер резервиста]]="-","-",IF(OR(База_КР_КК[[#This Row],[Уровень КК]]=2,База_КР_КК[[#This Row],[Уровень КК]]=3),IF(COUNTIFS($U$2:$U1407,$U1407,$F$2:$F1407,$F1407)=1,1,0),IF(COUNTIFS($U$2:$U1407,$U1407,$L$2:$L1407,$L1407)=1,1,0)))</f>
        <v>0</v>
      </c>
      <c r="AA14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7" s="106"/>
      <c r="AC1407" s="51"/>
      <c r="AD1407" s="106" t="s">
        <v>15</v>
      </c>
      <c r="AE1407" s="38" t="s">
        <v>347</v>
      </c>
    </row>
    <row r="1408" spans="1:31" ht="18" customHeight="1" x14ac:dyDescent="0.25">
      <c r="A14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8" s="79">
        <v>4</v>
      </c>
      <c r="C1408" s="23">
        <v>44424</v>
      </c>
      <c r="D1408" s="67">
        <f>IF(COUNTIF($G$2:$G1408,$G1408)=1,1,0)</f>
        <v>0</v>
      </c>
      <c r="E1408" s="67" t="str">
        <f>IFERROR(VLOOKUP(База_КР_КК[[#This Row],[ИД штатной должности (S)]],'уровень защищенности'!$B$7:$F$1095,5,0),"не защищена")</f>
        <v>высокий</v>
      </c>
      <c r="F1408" s="68">
        <v>500444</v>
      </c>
      <c r="G1408" s="74" t="s">
        <v>2470</v>
      </c>
      <c r="H1408" s="181">
        <f>INDEX('Списки данных'!$D$2:$D$1048576,MATCH(База_КР_КК[[#This Row],[Структурное подразделение]],'Списки данных'!$C$2:$C$1048576,0))</f>
        <v>15</v>
      </c>
      <c r="I1408" s="80" t="s">
        <v>161</v>
      </c>
      <c r="J1408" s="80" t="s">
        <v>214</v>
      </c>
      <c r="K1408" s="80" t="s">
        <v>21</v>
      </c>
      <c r="L1408" s="30" t="s">
        <v>191</v>
      </c>
      <c r="M1408" s="68">
        <v>7</v>
      </c>
      <c r="N1408" s="181" t="str">
        <f t="shared" si="22"/>
        <v>нет</v>
      </c>
      <c r="O1408" s="23"/>
      <c r="P1408" s="23"/>
      <c r="Q1408" s="106"/>
      <c r="R1408" s="37">
        <v>301</v>
      </c>
      <c r="S1408" s="38" t="s">
        <v>713</v>
      </c>
      <c r="T1408" s="37">
        <v>1384</v>
      </c>
      <c r="U1408" s="39" t="s">
        <v>1767</v>
      </c>
      <c r="V1408" s="69" t="s">
        <v>272</v>
      </c>
      <c r="W1408" s="89" t="s">
        <v>161</v>
      </c>
      <c r="X1408" s="106" t="s">
        <v>297</v>
      </c>
      <c r="Y1408" s="107" t="s">
        <v>12</v>
      </c>
      <c r="Z1408" s="67">
        <f>IF(База_КР_КК[[#This Row],[Таб.номер резервиста]]="-","-",IF(OR(База_КР_КК[[#This Row],[Уровень КК]]=2,База_КР_КК[[#This Row],[Уровень КК]]=3),IF(COUNTIFS($U$2:$U1408,$U1408,$F$2:$F1408,$F1408)=1,1,0),IF(COUNTIFS($U$2:$U1408,$U1408,$L$2:$L1408,$L1408)=1,1,0)))</f>
        <v>0</v>
      </c>
      <c r="AA14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8" s="106"/>
      <c r="AC1408" s="51"/>
      <c r="AD1408" s="106" t="s">
        <v>15</v>
      </c>
      <c r="AE1408" s="38" t="s">
        <v>347</v>
      </c>
    </row>
    <row r="1409" spans="1:31" ht="18" customHeight="1" x14ac:dyDescent="0.25">
      <c r="A14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09" s="79">
        <v>4</v>
      </c>
      <c r="C1409" s="23">
        <v>44424</v>
      </c>
      <c r="D1409" s="67">
        <f>IF(COUNTIF($G$2:$G1409,$G1409)=1,1,0)</f>
        <v>0</v>
      </c>
      <c r="E1409" s="67" t="str">
        <f>IFERROR(VLOOKUP(База_КР_КК[[#This Row],[ИД штатной должности (S)]],'уровень защищенности'!$B$7:$F$1095,5,0),"не защищена")</f>
        <v>высокий</v>
      </c>
      <c r="F1409" s="68">
        <v>500444</v>
      </c>
      <c r="G1409" s="74" t="s">
        <v>2470</v>
      </c>
      <c r="H1409" s="181">
        <f>INDEX('Списки данных'!$D$2:$D$1048576,MATCH(База_КР_КК[[#This Row],[Структурное подразделение]],'Списки данных'!$C$2:$C$1048576,0))</f>
        <v>15</v>
      </c>
      <c r="I1409" s="80" t="s">
        <v>161</v>
      </c>
      <c r="J1409" s="80" t="s">
        <v>214</v>
      </c>
      <c r="K1409" s="80" t="s">
        <v>21</v>
      </c>
      <c r="L1409" s="30" t="s">
        <v>191</v>
      </c>
      <c r="M1409" s="68">
        <v>7</v>
      </c>
      <c r="N1409" s="181" t="str">
        <f t="shared" ref="N1409:N1472" si="23">IF(ISBLANK(O1409),"нет","да")</f>
        <v>нет</v>
      </c>
      <c r="O1409" s="23"/>
      <c r="P1409" s="23"/>
      <c r="Q1409" s="106"/>
      <c r="R1409" s="37">
        <v>301</v>
      </c>
      <c r="S1409" s="38" t="s">
        <v>713</v>
      </c>
      <c r="T1409" s="37">
        <v>302</v>
      </c>
      <c r="U1409" s="39" t="s">
        <v>714</v>
      </c>
      <c r="V1409" s="69" t="s">
        <v>272</v>
      </c>
      <c r="W1409" s="89" t="s">
        <v>161</v>
      </c>
      <c r="X1409" s="106" t="s">
        <v>295</v>
      </c>
      <c r="Y1409" s="107" t="s">
        <v>14</v>
      </c>
      <c r="Z1409" s="67">
        <f>IF(База_КР_КК[[#This Row],[Таб.номер резервиста]]="-","-",IF(OR(База_КР_КК[[#This Row],[Уровень КК]]=2,База_КР_КК[[#This Row],[Уровень КК]]=3),IF(COUNTIFS($U$2:$U1409,$U1409,$F$2:$F1409,$F1409)=1,1,0),IF(COUNTIFS($U$2:$U1409,$U1409,$L$2:$L1409,$L1409)=1,1,0)))</f>
        <v>0</v>
      </c>
      <c r="AA14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09" s="106" t="s">
        <v>24</v>
      </c>
      <c r="AC1409" s="51">
        <v>44754</v>
      </c>
      <c r="AD1409" s="106" t="s">
        <v>15</v>
      </c>
      <c r="AE1409" s="38" t="s">
        <v>347</v>
      </c>
    </row>
    <row r="1410" spans="1:31" ht="18" customHeight="1" x14ac:dyDescent="0.25">
      <c r="A14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0" s="79">
        <v>4</v>
      </c>
      <c r="C1410" s="23">
        <v>44424</v>
      </c>
      <c r="D1410" s="67">
        <f>IF(COUNTIF($G$2:$G1410,$G1410)=1,1,0)</f>
        <v>1</v>
      </c>
      <c r="E1410" s="67" t="str">
        <f>IFERROR(VLOOKUP(База_КР_КК[[#This Row],[ИД штатной должности (S)]],'уровень защищенности'!$B$7:$F$1095,5,0),"не защищена")</f>
        <v>высокий</v>
      </c>
      <c r="F1410" s="68">
        <v>500444</v>
      </c>
      <c r="G1410" s="74" t="s">
        <v>2471</v>
      </c>
      <c r="H1410" s="181">
        <f>INDEX('Списки данных'!$D$2:$D$1048576,MATCH(База_КР_КК[[#This Row],[Структурное подразделение]],'Списки данных'!$C$2:$C$1048576,0))</f>
        <v>15</v>
      </c>
      <c r="I1410" s="80" t="s">
        <v>161</v>
      </c>
      <c r="J1410" s="80" t="s">
        <v>214</v>
      </c>
      <c r="K1410" s="80" t="s">
        <v>21</v>
      </c>
      <c r="L1410" s="30" t="s">
        <v>191</v>
      </c>
      <c r="M1410" s="68">
        <v>7</v>
      </c>
      <c r="N1410" s="181" t="str">
        <f t="shared" si="23"/>
        <v>да</v>
      </c>
      <c r="O1410" s="23">
        <v>44728</v>
      </c>
      <c r="P1410" s="23">
        <v>44754</v>
      </c>
      <c r="Q1410" s="106" t="s">
        <v>66</v>
      </c>
      <c r="R1410" s="37">
        <v>302</v>
      </c>
      <c r="S1410" s="39" t="s">
        <v>714</v>
      </c>
      <c r="T1410" s="37">
        <v>1379</v>
      </c>
      <c r="U1410" s="39" t="s">
        <v>1540</v>
      </c>
      <c r="V1410" s="69" t="s">
        <v>272</v>
      </c>
      <c r="W1410" s="89" t="s">
        <v>161</v>
      </c>
      <c r="X1410" s="106" t="s">
        <v>295</v>
      </c>
      <c r="Y1410" s="107" t="s">
        <v>12</v>
      </c>
      <c r="Z1410" s="67">
        <f>IF(База_КР_КК[[#This Row],[Таб.номер резервиста]]="-","-",IF(OR(База_КР_КК[[#This Row],[Уровень КК]]=2,База_КР_КК[[#This Row],[Уровень КК]]=3),IF(COUNTIFS($U$2:$U1410,$U1410,$F$2:$F1410,$F1410)=1,1,0),IF(COUNTIFS($U$2:$U1410,$U1410,$L$2:$L1410,$L1410)=1,1,0)))</f>
        <v>0</v>
      </c>
      <c r="AA14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0" s="106"/>
      <c r="AC1410" s="51"/>
      <c r="AD1410" s="106" t="s">
        <v>15</v>
      </c>
      <c r="AE1410" s="38" t="s">
        <v>347</v>
      </c>
    </row>
    <row r="1411" spans="1:31" ht="18" customHeight="1" x14ac:dyDescent="0.25">
      <c r="A14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1" s="79">
        <v>4</v>
      </c>
      <c r="C1411" s="23">
        <v>44424</v>
      </c>
      <c r="D1411" s="67">
        <f>IF(COUNTIF($G$2:$G1411,$G1411)=1,1,0)</f>
        <v>0</v>
      </c>
      <c r="E1411" s="67" t="str">
        <f>IFERROR(VLOOKUP(База_КР_КК[[#This Row],[ИД штатной должности (S)]],'уровень защищенности'!$B$7:$F$1095,5,0),"не защищена")</f>
        <v>высокий</v>
      </c>
      <c r="F1411" s="68">
        <v>500444</v>
      </c>
      <c r="G1411" s="74" t="s">
        <v>2471</v>
      </c>
      <c r="H1411" s="181">
        <f>INDEX('Списки данных'!$D$2:$D$1048576,MATCH(База_КР_КК[[#This Row],[Структурное подразделение]],'Списки данных'!$C$2:$C$1048576,0))</f>
        <v>15</v>
      </c>
      <c r="I1411" s="80" t="s">
        <v>161</v>
      </c>
      <c r="J1411" s="80" t="s">
        <v>214</v>
      </c>
      <c r="K1411" s="80" t="s">
        <v>21</v>
      </c>
      <c r="L1411" s="30" t="s">
        <v>191</v>
      </c>
      <c r="M1411" s="68">
        <v>7</v>
      </c>
      <c r="N1411" s="181" t="str">
        <f t="shared" si="23"/>
        <v>да</v>
      </c>
      <c r="O1411" s="23">
        <v>44728</v>
      </c>
      <c r="P1411" s="23">
        <v>44754</v>
      </c>
      <c r="Q1411" s="106" t="s">
        <v>66</v>
      </c>
      <c r="R1411" s="37">
        <v>302</v>
      </c>
      <c r="S1411" s="39" t="s">
        <v>714</v>
      </c>
      <c r="T1411" s="37">
        <v>1380</v>
      </c>
      <c r="U1411" s="39" t="s">
        <v>1764</v>
      </c>
      <c r="V1411" s="69" t="s">
        <v>272</v>
      </c>
      <c r="W1411" s="89" t="s">
        <v>161</v>
      </c>
      <c r="X1411" s="106" t="s">
        <v>297</v>
      </c>
      <c r="Y1411" s="107" t="s">
        <v>12</v>
      </c>
      <c r="Z1411" s="67">
        <f>IF(База_КР_КК[[#This Row],[Таб.номер резервиста]]="-","-",IF(OR(База_КР_КК[[#This Row],[Уровень КК]]=2,База_КР_КК[[#This Row],[Уровень КК]]=3),IF(COUNTIFS($U$2:$U1411,$U1411,$F$2:$F1411,$F1411)=1,1,0),IF(COUNTIFS($U$2:$U1411,$U1411,$L$2:$L1411,$L1411)=1,1,0)))</f>
        <v>0</v>
      </c>
      <c r="AA14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1" s="106"/>
      <c r="AC1411" s="51"/>
      <c r="AD1411" s="106" t="s">
        <v>15</v>
      </c>
      <c r="AE1411" s="38" t="s">
        <v>347</v>
      </c>
    </row>
    <row r="1412" spans="1:31" ht="18" customHeight="1" x14ac:dyDescent="0.25">
      <c r="A14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2" s="79">
        <v>4</v>
      </c>
      <c r="C1412" s="23">
        <v>44424</v>
      </c>
      <c r="D1412" s="67">
        <f>IF(COUNTIF($G$2:$G1412,$G1412)=1,1,0)</f>
        <v>0</v>
      </c>
      <c r="E1412" s="67" t="str">
        <f>IFERROR(VLOOKUP(База_КР_КК[[#This Row],[ИД штатной должности (S)]],'уровень защищенности'!$B$7:$F$1095,5,0),"не защищена")</f>
        <v>высокий</v>
      </c>
      <c r="F1412" s="68">
        <v>500444</v>
      </c>
      <c r="G1412" s="74" t="s">
        <v>2471</v>
      </c>
      <c r="H1412" s="181">
        <f>INDEX('Списки данных'!$D$2:$D$1048576,MATCH(База_КР_КК[[#This Row],[Структурное подразделение]],'Списки данных'!$C$2:$C$1048576,0))</f>
        <v>15</v>
      </c>
      <c r="I1412" s="80" t="s">
        <v>161</v>
      </c>
      <c r="J1412" s="80" t="s">
        <v>214</v>
      </c>
      <c r="K1412" s="80" t="s">
        <v>21</v>
      </c>
      <c r="L1412" s="30" t="s">
        <v>191</v>
      </c>
      <c r="M1412" s="68">
        <v>7</v>
      </c>
      <c r="N1412" s="181" t="str">
        <f t="shared" si="23"/>
        <v>да</v>
      </c>
      <c r="O1412" s="23">
        <v>44728</v>
      </c>
      <c r="P1412" s="23">
        <v>44754</v>
      </c>
      <c r="Q1412" s="106" t="s">
        <v>66</v>
      </c>
      <c r="R1412" s="37">
        <v>302</v>
      </c>
      <c r="S1412" s="39" t="s">
        <v>714</v>
      </c>
      <c r="T1412" s="37">
        <v>1381</v>
      </c>
      <c r="U1412" s="39" t="s">
        <v>1765</v>
      </c>
      <c r="V1412" s="69" t="s">
        <v>272</v>
      </c>
      <c r="W1412" s="89" t="s">
        <v>161</v>
      </c>
      <c r="X1412" s="106" t="s">
        <v>297</v>
      </c>
      <c r="Y1412" s="107" t="s">
        <v>12</v>
      </c>
      <c r="Z1412" s="67">
        <f>IF(База_КР_КК[[#This Row],[Таб.номер резервиста]]="-","-",IF(OR(База_КР_КК[[#This Row],[Уровень КК]]=2,База_КР_КК[[#This Row],[Уровень КК]]=3),IF(COUNTIFS($U$2:$U1412,$U1412,$F$2:$F1412,$F1412)=1,1,0),IF(COUNTIFS($U$2:$U1412,$U1412,$L$2:$L1412,$L1412)=1,1,0)))</f>
        <v>0</v>
      </c>
      <c r="AA14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2" s="106"/>
      <c r="AC1412" s="51"/>
      <c r="AD1412" s="106" t="s">
        <v>15</v>
      </c>
      <c r="AE1412" s="38" t="s">
        <v>347</v>
      </c>
    </row>
    <row r="1413" spans="1:31" ht="18" customHeight="1" x14ac:dyDescent="0.25">
      <c r="A14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3" s="79">
        <v>4</v>
      </c>
      <c r="C1413" s="23">
        <v>44424</v>
      </c>
      <c r="D1413" s="67">
        <f>IF(COUNTIF($G$2:$G1413,$G1413)=1,1,0)</f>
        <v>0</v>
      </c>
      <c r="E1413" s="67" t="str">
        <f>IFERROR(VLOOKUP(База_КР_КК[[#This Row],[ИД штатной должности (S)]],'уровень защищенности'!$B$7:$F$1095,5,0),"не защищена")</f>
        <v>высокий</v>
      </c>
      <c r="F1413" s="68">
        <v>500444</v>
      </c>
      <c r="G1413" s="74" t="s">
        <v>2471</v>
      </c>
      <c r="H1413" s="181">
        <f>INDEX('Списки данных'!$D$2:$D$1048576,MATCH(База_КР_КК[[#This Row],[Структурное подразделение]],'Списки данных'!$C$2:$C$1048576,0))</f>
        <v>15</v>
      </c>
      <c r="I1413" s="80" t="s">
        <v>161</v>
      </c>
      <c r="J1413" s="80" t="s">
        <v>214</v>
      </c>
      <c r="K1413" s="80" t="s">
        <v>21</v>
      </c>
      <c r="L1413" s="30" t="s">
        <v>191</v>
      </c>
      <c r="M1413" s="68">
        <v>7</v>
      </c>
      <c r="N1413" s="181" t="str">
        <f t="shared" si="23"/>
        <v>да</v>
      </c>
      <c r="O1413" s="23">
        <v>44728</v>
      </c>
      <c r="P1413" s="23">
        <v>44754</v>
      </c>
      <c r="Q1413" s="106" t="s">
        <v>66</v>
      </c>
      <c r="R1413" s="37">
        <v>302</v>
      </c>
      <c r="S1413" s="39" t="s">
        <v>714</v>
      </c>
      <c r="T1413" s="37">
        <v>1382</v>
      </c>
      <c r="U1413" s="39" t="s">
        <v>1692</v>
      </c>
      <c r="V1413" s="69" t="s">
        <v>272</v>
      </c>
      <c r="W1413" s="89" t="s">
        <v>161</v>
      </c>
      <c r="X1413" s="106" t="s">
        <v>295</v>
      </c>
      <c r="Y1413" s="107" t="s">
        <v>12</v>
      </c>
      <c r="Z1413" s="67">
        <f>IF(База_КР_КК[[#This Row],[Таб.номер резервиста]]="-","-",IF(OR(База_КР_КК[[#This Row],[Уровень КК]]=2,База_КР_КК[[#This Row],[Уровень КК]]=3),IF(COUNTIFS($U$2:$U1413,$U1413,$F$2:$F1413,$F1413)=1,1,0),IF(COUNTIFS($U$2:$U1413,$U1413,$L$2:$L1413,$L1413)=1,1,0)))</f>
        <v>0</v>
      </c>
      <c r="AA14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3" s="106"/>
      <c r="AC1413" s="51"/>
      <c r="AD1413" s="106" t="s">
        <v>15</v>
      </c>
      <c r="AE1413" s="38" t="s">
        <v>347</v>
      </c>
    </row>
    <row r="1414" spans="1:31" ht="18" customHeight="1" x14ac:dyDescent="0.25">
      <c r="A14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4" s="79">
        <v>4</v>
      </c>
      <c r="C1414" s="23">
        <v>44424</v>
      </c>
      <c r="D1414" s="67">
        <f>IF(COUNTIF($G$2:$G1414,$G1414)=1,1,0)</f>
        <v>0</v>
      </c>
      <c r="E1414" s="67" t="str">
        <f>IFERROR(VLOOKUP(База_КР_КК[[#This Row],[ИД штатной должности (S)]],'уровень защищенности'!$B$7:$F$1095,5,0),"не защищена")</f>
        <v>высокий</v>
      </c>
      <c r="F1414" s="68">
        <v>500444</v>
      </c>
      <c r="G1414" s="74" t="s">
        <v>2471</v>
      </c>
      <c r="H1414" s="181">
        <f>INDEX('Списки данных'!$D$2:$D$1048576,MATCH(База_КР_КК[[#This Row],[Структурное подразделение]],'Списки данных'!$C$2:$C$1048576,0))</f>
        <v>15</v>
      </c>
      <c r="I1414" s="80" t="s">
        <v>161</v>
      </c>
      <c r="J1414" s="80" t="s">
        <v>214</v>
      </c>
      <c r="K1414" s="80" t="s">
        <v>21</v>
      </c>
      <c r="L1414" s="30" t="s">
        <v>191</v>
      </c>
      <c r="M1414" s="68">
        <v>7</v>
      </c>
      <c r="N1414" s="181" t="str">
        <f t="shared" si="23"/>
        <v>да</v>
      </c>
      <c r="O1414" s="23">
        <v>44728</v>
      </c>
      <c r="P1414" s="23">
        <v>44754</v>
      </c>
      <c r="Q1414" s="106" t="s">
        <v>66</v>
      </c>
      <c r="R1414" s="37">
        <v>302</v>
      </c>
      <c r="S1414" s="39" t="s">
        <v>714</v>
      </c>
      <c r="T1414" s="37">
        <v>1383</v>
      </c>
      <c r="U1414" s="39" t="s">
        <v>1766</v>
      </c>
      <c r="V1414" s="69" t="s">
        <v>272</v>
      </c>
      <c r="W1414" s="89" t="s">
        <v>161</v>
      </c>
      <c r="X1414" s="106" t="s">
        <v>295</v>
      </c>
      <c r="Y1414" s="107" t="s">
        <v>12</v>
      </c>
      <c r="Z1414" s="67">
        <f>IF(База_КР_КК[[#This Row],[Таб.номер резервиста]]="-","-",IF(OR(База_КР_КК[[#This Row],[Уровень КК]]=2,База_КР_КК[[#This Row],[Уровень КК]]=3),IF(COUNTIFS($U$2:$U1414,$U1414,$F$2:$F1414,$F1414)=1,1,0),IF(COUNTIFS($U$2:$U1414,$U1414,$L$2:$L1414,$L1414)=1,1,0)))</f>
        <v>0</v>
      </c>
      <c r="AA14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4" s="106"/>
      <c r="AC1414" s="51"/>
      <c r="AD1414" s="106" t="s">
        <v>15</v>
      </c>
      <c r="AE1414" s="38" t="s">
        <v>347</v>
      </c>
    </row>
    <row r="1415" spans="1:31" ht="18" customHeight="1" x14ac:dyDescent="0.25">
      <c r="A14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5" s="79">
        <v>4</v>
      </c>
      <c r="C1415" s="23">
        <v>44424</v>
      </c>
      <c r="D1415" s="67">
        <f>IF(COUNTIF($G$2:$G1415,$G1415)=1,1,0)</f>
        <v>0</v>
      </c>
      <c r="E1415" s="67" t="str">
        <f>IFERROR(VLOOKUP(База_КР_КК[[#This Row],[ИД штатной должности (S)]],'уровень защищенности'!$B$7:$F$1095,5,0),"не защищена")</f>
        <v>высокий</v>
      </c>
      <c r="F1415" s="68">
        <v>500444</v>
      </c>
      <c r="G1415" s="74" t="s">
        <v>2471</v>
      </c>
      <c r="H1415" s="181">
        <f>INDEX('Списки данных'!$D$2:$D$1048576,MATCH(База_КР_КК[[#This Row],[Структурное подразделение]],'Списки данных'!$C$2:$C$1048576,0))</f>
        <v>15</v>
      </c>
      <c r="I1415" s="80" t="s">
        <v>161</v>
      </c>
      <c r="J1415" s="80" t="s">
        <v>214</v>
      </c>
      <c r="K1415" s="80" t="s">
        <v>21</v>
      </c>
      <c r="L1415" s="30" t="s">
        <v>191</v>
      </c>
      <c r="M1415" s="68">
        <v>7</v>
      </c>
      <c r="N1415" s="181" t="str">
        <f t="shared" si="23"/>
        <v>да</v>
      </c>
      <c r="O1415" s="23">
        <v>44728</v>
      </c>
      <c r="P1415" s="23">
        <v>44754</v>
      </c>
      <c r="Q1415" s="106" t="s">
        <v>66</v>
      </c>
      <c r="R1415" s="37">
        <v>302</v>
      </c>
      <c r="S1415" s="39" t="s">
        <v>714</v>
      </c>
      <c r="T1415" s="37">
        <v>1384</v>
      </c>
      <c r="U1415" s="39" t="s">
        <v>1767</v>
      </c>
      <c r="V1415" s="69" t="s">
        <v>272</v>
      </c>
      <c r="W1415" s="89" t="s">
        <v>161</v>
      </c>
      <c r="X1415" s="106" t="s">
        <v>297</v>
      </c>
      <c r="Y1415" s="107" t="s">
        <v>12</v>
      </c>
      <c r="Z1415" s="67">
        <f>IF(База_КР_КК[[#This Row],[Таб.номер резервиста]]="-","-",IF(OR(База_КР_КК[[#This Row],[Уровень КК]]=2,База_КР_КК[[#This Row],[Уровень КК]]=3),IF(COUNTIFS($U$2:$U1415,$U1415,$F$2:$F1415,$F1415)=1,1,0),IF(COUNTIFS($U$2:$U1415,$U1415,$L$2:$L1415,$L1415)=1,1,0)))</f>
        <v>0</v>
      </c>
      <c r="AA14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5" s="106"/>
      <c r="AC1415" s="51"/>
      <c r="AD1415" s="106" t="s">
        <v>15</v>
      </c>
      <c r="AE1415" s="38" t="s">
        <v>347</v>
      </c>
    </row>
    <row r="1416" spans="1:31" ht="18" customHeight="1" x14ac:dyDescent="0.25">
      <c r="A14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6" s="79">
        <v>4</v>
      </c>
      <c r="C1416" s="23">
        <v>44424</v>
      </c>
      <c r="D1416" s="67">
        <f>IF(COUNTIF($G$2:$G1416,$G1416)=1,1,0)</f>
        <v>0</v>
      </c>
      <c r="E1416" s="67" t="str">
        <f>IFERROR(VLOOKUP(База_КР_КК[[#This Row],[ИД штатной должности (S)]],'уровень защищенности'!$B$7:$F$1095,5,0),"не защищена")</f>
        <v>высокий</v>
      </c>
      <c r="F1416" s="68">
        <v>500444</v>
      </c>
      <c r="G1416" s="74" t="s">
        <v>2471</v>
      </c>
      <c r="H1416" s="181">
        <f>INDEX('Списки данных'!$D$2:$D$1048576,MATCH(База_КР_КК[[#This Row],[Структурное подразделение]],'Списки данных'!$C$2:$C$1048576,0))</f>
        <v>15</v>
      </c>
      <c r="I1416" s="80" t="s">
        <v>161</v>
      </c>
      <c r="J1416" s="80" t="s">
        <v>214</v>
      </c>
      <c r="K1416" s="80" t="s">
        <v>21</v>
      </c>
      <c r="L1416" s="30" t="s">
        <v>191</v>
      </c>
      <c r="M1416" s="68">
        <v>7</v>
      </c>
      <c r="N1416" s="181" t="str">
        <f t="shared" si="23"/>
        <v>да</v>
      </c>
      <c r="O1416" s="23">
        <v>44728</v>
      </c>
      <c r="P1416" s="23">
        <v>44754</v>
      </c>
      <c r="Q1416" s="106" t="s">
        <v>66</v>
      </c>
      <c r="R1416" s="37">
        <v>302</v>
      </c>
      <c r="S1416" s="39" t="s">
        <v>714</v>
      </c>
      <c r="T1416" s="37">
        <v>302</v>
      </c>
      <c r="U1416" s="39" t="s">
        <v>714</v>
      </c>
      <c r="V1416" s="69" t="s">
        <v>272</v>
      </c>
      <c r="W1416" s="89" t="s">
        <v>161</v>
      </c>
      <c r="X1416" s="106" t="s">
        <v>295</v>
      </c>
      <c r="Y1416" s="107" t="s">
        <v>14</v>
      </c>
      <c r="Z1416" s="67">
        <f>IF(База_КР_КК[[#This Row],[Таб.номер резервиста]]="-","-",IF(OR(База_КР_КК[[#This Row],[Уровень КК]]=2,База_КР_КК[[#This Row],[Уровень КК]]=3),IF(COUNTIFS($U$2:$U1416,$U1416,$F$2:$F1416,$F1416)=1,1,0),IF(COUNTIFS($U$2:$U1416,$U1416,$L$2:$L1416,$L1416)=1,1,0)))</f>
        <v>0</v>
      </c>
      <c r="AA14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416" s="106" t="s">
        <v>24</v>
      </c>
      <c r="AC1416" s="51">
        <v>44754</v>
      </c>
      <c r="AD1416" s="106" t="s">
        <v>15</v>
      </c>
      <c r="AE1416" s="38" t="s">
        <v>347</v>
      </c>
    </row>
    <row r="1417" spans="1:31" ht="18" customHeight="1" x14ac:dyDescent="0.25">
      <c r="A14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7" s="79">
        <v>4</v>
      </c>
      <c r="C1417" s="23">
        <v>44424</v>
      </c>
      <c r="D1417" s="67">
        <f>IF(COUNTIF($G$2:$G1417,$G1417)=1,1,0)</f>
        <v>1</v>
      </c>
      <c r="E1417" s="67" t="str">
        <f>IFERROR(VLOOKUP(База_КР_КК[[#This Row],[ИД штатной должности (S)]],'уровень защищенности'!$B$7:$F$1095,5,0),"не защищена")</f>
        <v>высокий</v>
      </c>
      <c r="F1417" s="68">
        <v>500444</v>
      </c>
      <c r="G1417" s="74" t="s">
        <v>2472</v>
      </c>
      <c r="H1417" s="181">
        <f>INDEX('Списки данных'!$D$2:$D$1048576,MATCH(База_КР_КК[[#This Row],[Структурное подразделение]],'Списки данных'!$C$2:$C$1048576,0))</f>
        <v>15</v>
      </c>
      <c r="I1417" s="80" t="s">
        <v>161</v>
      </c>
      <c r="J1417" s="80" t="s">
        <v>214</v>
      </c>
      <c r="K1417" s="80" t="s">
        <v>21</v>
      </c>
      <c r="L1417" s="30" t="s">
        <v>191</v>
      </c>
      <c r="M1417" s="68">
        <v>7</v>
      </c>
      <c r="N1417" s="181" t="str">
        <f t="shared" si="23"/>
        <v>нет</v>
      </c>
      <c r="O1417" s="23"/>
      <c r="P1417" s="23"/>
      <c r="Q1417" s="106"/>
      <c r="R1417" s="37">
        <v>303</v>
      </c>
      <c r="S1417" s="38" t="s">
        <v>715</v>
      </c>
      <c r="T1417" s="37">
        <v>1379</v>
      </c>
      <c r="U1417" s="39" t="s">
        <v>1540</v>
      </c>
      <c r="V1417" s="69" t="s">
        <v>272</v>
      </c>
      <c r="W1417" s="89" t="s">
        <v>161</v>
      </c>
      <c r="X1417" s="106" t="s">
        <v>295</v>
      </c>
      <c r="Y1417" s="107" t="s">
        <v>12</v>
      </c>
      <c r="Z1417" s="67">
        <f>IF(База_КР_КК[[#This Row],[Таб.номер резервиста]]="-","-",IF(OR(База_КР_КК[[#This Row],[Уровень КК]]=2,База_КР_КК[[#This Row],[Уровень КК]]=3),IF(COUNTIFS($U$2:$U1417,$U1417,$F$2:$F1417,$F1417)=1,1,0),IF(COUNTIFS($U$2:$U1417,$U1417,$L$2:$L1417,$L1417)=1,1,0)))</f>
        <v>0</v>
      </c>
      <c r="AA14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7" s="106"/>
      <c r="AC1417" s="51"/>
      <c r="AD1417" s="106" t="s">
        <v>15</v>
      </c>
      <c r="AE1417" s="38" t="s">
        <v>347</v>
      </c>
    </row>
    <row r="1418" spans="1:31" ht="18" customHeight="1" x14ac:dyDescent="0.25">
      <c r="A14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8" s="79">
        <v>4</v>
      </c>
      <c r="C1418" s="23">
        <v>44424</v>
      </c>
      <c r="D1418" s="67">
        <f>IF(COUNTIF($G$2:$G1418,$G1418)=1,1,0)</f>
        <v>0</v>
      </c>
      <c r="E1418" s="67" t="str">
        <f>IFERROR(VLOOKUP(База_КР_КК[[#This Row],[ИД штатной должности (S)]],'уровень защищенности'!$B$7:$F$1095,5,0),"не защищена")</f>
        <v>высокий</v>
      </c>
      <c r="F1418" s="68">
        <v>500444</v>
      </c>
      <c r="G1418" s="74" t="s">
        <v>2472</v>
      </c>
      <c r="H1418" s="181">
        <f>INDEX('Списки данных'!$D$2:$D$1048576,MATCH(База_КР_КК[[#This Row],[Структурное подразделение]],'Списки данных'!$C$2:$C$1048576,0))</f>
        <v>15</v>
      </c>
      <c r="I1418" s="80" t="s">
        <v>161</v>
      </c>
      <c r="J1418" s="80" t="s">
        <v>214</v>
      </c>
      <c r="K1418" s="80" t="s">
        <v>21</v>
      </c>
      <c r="L1418" s="30" t="s">
        <v>191</v>
      </c>
      <c r="M1418" s="68">
        <v>7</v>
      </c>
      <c r="N1418" s="181" t="str">
        <f t="shared" si="23"/>
        <v>нет</v>
      </c>
      <c r="O1418" s="23"/>
      <c r="P1418" s="23"/>
      <c r="Q1418" s="106"/>
      <c r="R1418" s="37">
        <v>303</v>
      </c>
      <c r="S1418" s="38" t="s">
        <v>715</v>
      </c>
      <c r="T1418" s="37">
        <v>1380</v>
      </c>
      <c r="U1418" s="39" t="s">
        <v>1764</v>
      </c>
      <c r="V1418" s="69" t="s">
        <v>272</v>
      </c>
      <c r="W1418" s="89" t="s">
        <v>161</v>
      </c>
      <c r="X1418" s="106" t="s">
        <v>297</v>
      </c>
      <c r="Y1418" s="107" t="s">
        <v>12</v>
      </c>
      <c r="Z1418" s="67">
        <f>IF(База_КР_КК[[#This Row],[Таб.номер резервиста]]="-","-",IF(OR(База_КР_КК[[#This Row],[Уровень КК]]=2,База_КР_КК[[#This Row],[Уровень КК]]=3),IF(COUNTIFS($U$2:$U1418,$U1418,$F$2:$F1418,$F1418)=1,1,0),IF(COUNTIFS($U$2:$U1418,$U1418,$L$2:$L1418,$L1418)=1,1,0)))</f>
        <v>0</v>
      </c>
      <c r="AA14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8" s="106"/>
      <c r="AC1418" s="51"/>
      <c r="AD1418" s="106" t="s">
        <v>15</v>
      </c>
      <c r="AE1418" s="38" t="s">
        <v>347</v>
      </c>
    </row>
    <row r="1419" spans="1:31" ht="18" customHeight="1" x14ac:dyDescent="0.25">
      <c r="A14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19" s="79">
        <v>4</v>
      </c>
      <c r="C1419" s="23">
        <v>44424</v>
      </c>
      <c r="D1419" s="67">
        <f>IF(COUNTIF($G$2:$G1419,$G1419)=1,1,0)</f>
        <v>0</v>
      </c>
      <c r="E1419" s="67" t="str">
        <f>IFERROR(VLOOKUP(База_КР_КК[[#This Row],[ИД штатной должности (S)]],'уровень защищенности'!$B$7:$F$1095,5,0),"не защищена")</f>
        <v>высокий</v>
      </c>
      <c r="F1419" s="68">
        <v>500444</v>
      </c>
      <c r="G1419" s="74" t="s">
        <v>2472</v>
      </c>
      <c r="H1419" s="181">
        <f>INDEX('Списки данных'!$D$2:$D$1048576,MATCH(База_КР_КК[[#This Row],[Структурное подразделение]],'Списки данных'!$C$2:$C$1048576,0))</f>
        <v>15</v>
      </c>
      <c r="I1419" s="80" t="s">
        <v>161</v>
      </c>
      <c r="J1419" s="80" t="s">
        <v>214</v>
      </c>
      <c r="K1419" s="80" t="s">
        <v>21</v>
      </c>
      <c r="L1419" s="30" t="s">
        <v>191</v>
      </c>
      <c r="M1419" s="68">
        <v>7</v>
      </c>
      <c r="N1419" s="181" t="str">
        <f t="shared" si="23"/>
        <v>нет</v>
      </c>
      <c r="O1419" s="23"/>
      <c r="P1419" s="23"/>
      <c r="Q1419" s="106"/>
      <c r="R1419" s="37">
        <v>303</v>
      </c>
      <c r="S1419" s="38" t="s">
        <v>715</v>
      </c>
      <c r="T1419" s="37">
        <v>1381</v>
      </c>
      <c r="U1419" s="39" t="s">
        <v>1765</v>
      </c>
      <c r="V1419" s="69" t="s">
        <v>272</v>
      </c>
      <c r="W1419" s="89" t="s">
        <v>161</v>
      </c>
      <c r="X1419" s="106" t="s">
        <v>297</v>
      </c>
      <c r="Y1419" s="107" t="s">
        <v>12</v>
      </c>
      <c r="Z1419" s="67">
        <f>IF(База_КР_КК[[#This Row],[Таб.номер резервиста]]="-","-",IF(OR(База_КР_КК[[#This Row],[Уровень КК]]=2,База_КР_КК[[#This Row],[Уровень КК]]=3),IF(COUNTIFS($U$2:$U1419,$U1419,$F$2:$F1419,$F1419)=1,1,0),IF(COUNTIFS($U$2:$U1419,$U1419,$L$2:$L1419,$L1419)=1,1,0)))</f>
        <v>0</v>
      </c>
      <c r="AA14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19" s="106"/>
      <c r="AC1419" s="51"/>
      <c r="AD1419" s="106" t="s">
        <v>15</v>
      </c>
      <c r="AE1419" s="38" t="s">
        <v>347</v>
      </c>
    </row>
    <row r="1420" spans="1:31" ht="18" customHeight="1" x14ac:dyDescent="0.25">
      <c r="A14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0" s="79">
        <v>4</v>
      </c>
      <c r="C1420" s="23">
        <v>44424</v>
      </c>
      <c r="D1420" s="67">
        <f>IF(COUNTIF($G$2:$G1420,$G1420)=1,1,0)</f>
        <v>0</v>
      </c>
      <c r="E1420" s="67" t="str">
        <f>IFERROR(VLOOKUP(База_КР_КК[[#This Row],[ИД штатной должности (S)]],'уровень защищенности'!$B$7:$F$1095,5,0),"не защищена")</f>
        <v>высокий</v>
      </c>
      <c r="F1420" s="68">
        <v>500444</v>
      </c>
      <c r="G1420" s="74" t="s">
        <v>2472</v>
      </c>
      <c r="H1420" s="181">
        <f>INDEX('Списки данных'!$D$2:$D$1048576,MATCH(База_КР_КК[[#This Row],[Структурное подразделение]],'Списки данных'!$C$2:$C$1048576,0))</f>
        <v>15</v>
      </c>
      <c r="I1420" s="80" t="s">
        <v>161</v>
      </c>
      <c r="J1420" s="80" t="s">
        <v>214</v>
      </c>
      <c r="K1420" s="80" t="s">
        <v>21</v>
      </c>
      <c r="L1420" s="30" t="s">
        <v>191</v>
      </c>
      <c r="M1420" s="68">
        <v>7</v>
      </c>
      <c r="N1420" s="181" t="str">
        <f t="shared" si="23"/>
        <v>нет</v>
      </c>
      <c r="O1420" s="23"/>
      <c r="P1420" s="23"/>
      <c r="Q1420" s="106"/>
      <c r="R1420" s="37">
        <v>303</v>
      </c>
      <c r="S1420" s="38" t="s">
        <v>715</v>
      </c>
      <c r="T1420" s="37">
        <v>1382</v>
      </c>
      <c r="U1420" s="39" t="s">
        <v>1692</v>
      </c>
      <c r="V1420" s="69" t="s">
        <v>272</v>
      </c>
      <c r="W1420" s="89" t="s">
        <v>161</v>
      </c>
      <c r="X1420" s="106" t="s">
        <v>295</v>
      </c>
      <c r="Y1420" s="107" t="s">
        <v>12</v>
      </c>
      <c r="Z1420" s="67">
        <f>IF(База_КР_КК[[#This Row],[Таб.номер резервиста]]="-","-",IF(OR(База_КР_КК[[#This Row],[Уровень КК]]=2,База_КР_КК[[#This Row],[Уровень КК]]=3),IF(COUNTIFS($U$2:$U1420,$U1420,$F$2:$F1420,$F1420)=1,1,0),IF(COUNTIFS($U$2:$U1420,$U1420,$L$2:$L1420,$L1420)=1,1,0)))</f>
        <v>0</v>
      </c>
      <c r="AA14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0" s="106"/>
      <c r="AC1420" s="51"/>
      <c r="AD1420" s="106" t="s">
        <v>15</v>
      </c>
      <c r="AE1420" s="38" t="s">
        <v>347</v>
      </c>
    </row>
    <row r="1421" spans="1:31" ht="18" customHeight="1" x14ac:dyDescent="0.25">
      <c r="A14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1" s="79">
        <v>4</v>
      </c>
      <c r="C1421" s="23">
        <v>44424</v>
      </c>
      <c r="D1421" s="67">
        <f>IF(COUNTIF($G$2:$G1421,$G1421)=1,1,0)</f>
        <v>0</v>
      </c>
      <c r="E1421" s="67" t="str">
        <f>IFERROR(VLOOKUP(База_КР_КК[[#This Row],[ИД штатной должности (S)]],'уровень защищенности'!$B$7:$F$1095,5,0),"не защищена")</f>
        <v>высокий</v>
      </c>
      <c r="F1421" s="68">
        <v>500444</v>
      </c>
      <c r="G1421" s="74" t="s">
        <v>2472</v>
      </c>
      <c r="H1421" s="181">
        <f>INDEX('Списки данных'!$D$2:$D$1048576,MATCH(База_КР_КК[[#This Row],[Структурное подразделение]],'Списки данных'!$C$2:$C$1048576,0))</f>
        <v>15</v>
      </c>
      <c r="I1421" s="80" t="s">
        <v>161</v>
      </c>
      <c r="J1421" s="80" t="s">
        <v>214</v>
      </c>
      <c r="K1421" s="80" t="s">
        <v>21</v>
      </c>
      <c r="L1421" s="30" t="s">
        <v>191</v>
      </c>
      <c r="M1421" s="68">
        <v>7</v>
      </c>
      <c r="N1421" s="181" t="str">
        <f t="shared" si="23"/>
        <v>нет</v>
      </c>
      <c r="O1421" s="23"/>
      <c r="P1421" s="23"/>
      <c r="Q1421" s="106"/>
      <c r="R1421" s="37">
        <v>303</v>
      </c>
      <c r="S1421" s="38" t="s">
        <v>715</v>
      </c>
      <c r="T1421" s="37">
        <v>1383</v>
      </c>
      <c r="U1421" s="39" t="s">
        <v>1766</v>
      </c>
      <c r="V1421" s="69" t="s">
        <v>272</v>
      </c>
      <c r="W1421" s="89" t="s">
        <v>161</v>
      </c>
      <c r="X1421" s="106" t="s">
        <v>295</v>
      </c>
      <c r="Y1421" s="107" t="s">
        <v>12</v>
      </c>
      <c r="Z1421" s="67">
        <f>IF(База_КР_КК[[#This Row],[Таб.номер резервиста]]="-","-",IF(OR(База_КР_КК[[#This Row],[Уровень КК]]=2,База_КР_КК[[#This Row],[Уровень КК]]=3),IF(COUNTIFS($U$2:$U1421,$U1421,$F$2:$F1421,$F1421)=1,1,0),IF(COUNTIFS($U$2:$U1421,$U1421,$L$2:$L1421,$L1421)=1,1,0)))</f>
        <v>0</v>
      </c>
      <c r="AA14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1" s="106"/>
      <c r="AC1421" s="51"/>
      <c r="AD1421" s="106" t="s">
        <v>15</v>
      </c>
      <c r="AE1421" s="38" t="s">
        <v>347</v>
      </c>
    </row>
    <row r="1422" spans="1:31" ht="18" customHeight="1" x14ac:dyDescent="0.25">
      <c r="A14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2" s="79">
        <v>4</v>
      </c>
      <c r="C1422" s="23">
        <v>44424</v>
      </c>
      <c r="D1422" s="67">
        <f>IF(COUNTIF($G$2:$G1422,$G1422)=1,1,0)</f>
        <v>0</v>
      </c>
      <c r="E1422" s="67" t="str">
        <f>IFERROR(VLOOKUP(База_КР_КК[[#This Row],[ИД штатной должности (S)]],'уровень защищенности'!$B$7:$F$1095,5,0),"не защищена")</f>
        <v>высокий</v>
      </c>
      <c r="F1422" s="68">
        <v>500444</v>
      </c>
      <c r="G1422" s="74" t="s">
        <v>2472</v>
      </c>
      <c r="H1422" s="181">
        <f>INDEX('Списки данных'!$D$2:$D$1048576,MATCH(База_КР_КК[[#This Row],[Структурное подразделение]],'Списки данных'!$C$2:$C$1048576,0))</f>
        <v>15</v>
      </c>
      <c r="I1422" s="80" t="s">
        <v>161</v>
      </c>
      <c r="J1422" s="80" t="s">
        <v>214</v>
      </c>
      <c r="K1422" s="80" t="s">
        <v>21</v>
      </c>
      <c r="L1422" s="30" t="s">
        <v>191</v>
      </c>
      <c r="M1422" s="68">
        <v>7</v>
      </c>
      <c r="N1422" s="181" t="str">
        <f t="shared" si="23"/>
        <v>нет</v>
      </c>
      <c r="O1422" s="23"/>
      <c r="P1422" s="23"/>
      <c r="Q1422" s="106"/>
      <c r="R1422" s="37">
        <v>303</v>
      </c>
      <c r="S1422" s="38" t="s">
        <v>715</v>
      </c>
      <c r="T1422" s="37">
        <v>1384</v>
      </c>
      <c r="U1422" s="39" t="s">
        <v>1767</v>
      </c>
      <c r="V1422" s="69" t="s">
        <v>272</v>
      </c>
      <c r="W1422" s="89" t="s">
        <v>161</v>
      </c>
      <c r="X1422" s="106" t="s">
        <v>297</v>
      </c>
      <c r="Y1422" s="107" t="s">
        <v>12</v>
      </c>
      <c r="Z1422" s="67">
        <f>IF(База_КР_КК[[#This Row],[Таб.номер резервиста]]="-","-",IF(OR(База_КР_КК[[#This Row],[Уровень КК]]=2,База_КР_КК[[#This Row],[Уровень КК]]=3),IF(COUNTIFS($U$2:$U1422,$U1422,$F$2:$F1422,$F1422)=1,1,0),IF(COUNTIFS($U$2:$U1422,$U1422,$L$2:$L1422,$L1422)=1,1,0)))</f>
        <v>0</v>
      </c>
      <c r="AA14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2" s="106"/>
      <c r="AC1422" s="51"/>
      <c r="AD1422" s="106" t="s">
        <v>15</v>
      </c>
      <c r="AE1422" s="38" t="s">
        <v>347</v>
      </c>
    </row>
    <row r="1423" spans="1:31" ht="18" customHeight="1" x14ac:dyDescent="0.25">
      <c r="A14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3" s="79">
        <v>4</v>
      </c>
      <c r="C1423" s="23">
        <v>44424</v>
      </c>
      <c r="D1423" s="67">
        <f>IF(COUNTIF($G$2:$G1423,$G1423)=1,1,0)</f>
        <v>0</v>
      </c>
      <c r="E1423" s="67" t="str">
        <f>IFERROR(VLOOKUP(База_КР_КК[[#This Row],[ИД штатной должности (S)]],'уровень защищенности'!$B$7:$F$1095,5,0),"не защищена")</f>
        <v>высокий</v>
      </c>
      <c r="F1423" s="68">
        <v>500444</v>
      </c>
      <c r="G1423" s="74" t="s">
        <v>2472</v>
      </c>
      <c r="H1423" s="181">
        <f>INDEX('Списки данных'!$D$2:$D$1048576,MATCH(База_КР_КК[[#This Row],[Структурное подразделение]],'Списки данных'!$C$2:$C$1048576,0))</f>
        <v>15</v>
      </c>
      <c r="I1423" s="80" t="s">
        <v>161</v>
      </c>
      <c r="J1423" s="80" t="s">
        <v>214</v>
      </c>
      <c r="K1423" s="80" t="s">
        <v>21</v>
      </c>
      <c r="L1423" s="30" t="s">
        <v>191</v>
      </c>
      <c r="M1423" s="68">
        <v>7</v>
      </c>
      <c r="N1423" s="181" t="str">
        <f t="shared" si="23"/>
        <v>нет</v>
      </c>
      <c r="O1423" s="23"/>
      <c r="P1423" s="23"/>
      <c r="Q1423" s="106"/>
      <c r="R1423" s="37">
        <v>303</v>
      </c>
      <c r="S1423" s="38" t="s">
        <v>715</v>
      </c>
      <c r="T1423" s="37">
        <v>302</v>
      </c>
      <c r="U1423" s="39" t="s">
        <v>714</v>
      </c>
      <c r="V1423" s="69" t="s">
        <v>272</v>
      </c>
      <c r="W1423" s="89" t="s">
        <v>161</v>
      </c>
      <c r="X1423" s="106" t="s">
        <v>295</v>
      </c>
      <c r="Y1423" s="107" t="s">
        <v>14</v>
      </c>
      <c r="Z1423" s="67">
        <f>IF(База_КР_КК[[#This Row],[Таб.номер резервиста]]="-","-",IF(OR(База_КР_КК[[#This Row],[Уровень КК]]=2,База_КР_КК[[#This Row],[Уровень КК]]=3),IF(COUNTIFS($U$2:$U1423,$U1423,$F$2:$F1423,$F1423)=1,1,0),IF(COUNTIFS($U$2:$U1423,$U1423,$L$2:$L1423,$L1423)=1,1,0)))</f>
        <v>0</v>
      </c>
      <c r="AA14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3" s="106" t="s">
        <v>24</v>
      </c>
      <c r="AC1423" s="51">
        <v>44754</v>
      </c>
      <c r="AD1423" s="106" t="s">
        <v>15</v>
      </c>
      <c r="AE1423" s="38" t="s">
        <v>347</v>
      </c>
    </row>
    <row r="1424" spans="1:31" ht="18" customHeight="1" x14ac:dyDescent="0.25">
      <c r="A14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4" s="79">
        <v>4</v>
      </c>
      <c r="C1424" s="23">
        <v>44424</v>
      </c>
      <c r="D1424" s="67">
        <f>IF(COUNTIF($G$2:$G1424,$G1424)=1,1,0)</f>
        <v>1</v>
      </c>
      <c r="E1424" s="67" t="str">
        <f>IFERROR(VLOOKUP(База_КР_КК[[#This Row],[ИД штатной должности (S)]],'уровень защищенности'!$B$7:$F$1095,5,0),"не защищена")</f>
        <v>высокий</v>
      </c>
      <c r="F1424" s="68">
        <v>500445</v>
      </c>
      <c r="G1424" s="74" t="s">
        <v>2473</v>
      </c>
      <c r="H1424" s="181">
        <f>INDEX('Списки данных'!$D$2:$D$1048576,MATCH(База_КР_КК[[#This Row],[Структурное подразделение]],'Списки данных'!$C$2:$C$1048576,0))</f>
        <v>15</v>
      </c>
      <c r="I1424" s="80" t="s">
        <v>161</v>
      </c>
      <c r="J1424" s="80" t="s">
        <v>214</v>
      </c>
      <c r="K1424" s="80" t="s">
        <v>21</v>
      </c>
      <c r="L1424" s="30" t="s">
        <v>192</v>
      </c>
      <c r="M1424" s="68">
        <v>7</v>
      </c>
      <c r="N1424" s="181" t="str">
        <f t="shared" si="23"/>
        <v>нет</v>
      </c>
      <c r="O1424" s="23"/>
      <c r="P1424" s="23"/>
      <c r="Q1424" s="106"/>
      <c r="R1424" s="37">
        <v>304</v>
      </c>
      <c r="S1424" s="38" t="s">
        <v>716</v>
      </c>
      <c r="T1424" s="37">
        <v>1385</v>
      </c>
      <c r="U1424" s="39" t="s">
        <v>1768</v>
      </c>
      <c r="V1424" s="69" t="s">
        <v>272</v>
      </c>
      <c r="W1424" s="89" t="s">
        <v>161</v>
      </c>
      <c r="X1424" s="106" t="s">
        <v>295</v>
      </c>
      <c r="Y1424" s="107" t="s">
        <v>12</v>
      </c>
      <c r="Z1424" s="67">
        <f>IF(База_КР_КК[[#This Row],[Таб.номер резервиста]]="-","-",IF(OR(База_КР_КК[[#This Row],[Уровень КК]]=2,База_КР_КК[[#This Row],[Уровень КК]]=3),IF(COUNTIFS($U$2:$U1424,$U1424,$F$2:$F1424,$F1424)=1,1,0),IF(COUNTIFS($U$2:$U1424,$U1424,$L$2:$L1424,$L1424)=1,1,0)))</f>
        <v>1</v>
      </c>
      <c r="AA14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4" s="106"/>
      <c r="AC1424" s="51"/>
      <c r="AD1424" s="106" t="s">
        <v>15</v>
      </c>
      <c r="AE1424" s="38" t="s">
        <v>347</v>
      </c>
    </row>
    <row r="1425" spans="1:31" ht="18" customHeight="1" x14ac:dyDescent="0.25">
      <c r="A14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5" s="79">
        <v>4</v>
      </c>
      <c r="C1425" s="23">
        <v>44424</v>
      </c>
      <c r="D1425" s="67">
        <f>IF(COUNTIF($G$2:$G1425,$G1425)=1,1,0)</f>
        <v>1</v>
      </c>
      <c r="E1425" s="67" t="str">
        <f>IFERROR(VLOOKUP(База_КР_КК[[#This Row],[ИД штатной должности (S)]],'уровень защищенности'!$B$7:$F$1095,5,0),"не защищена")</f>
        <v>средний</v>
      </c>
      <c r="F1425" s="68">
        <v>500446</v>
      </c>
      <c r="G1425" s="74" t="s">
        <v>2474</v>
      </c>
      <c r="H1425" s="181">
        <f>INDEX('Списки данных'!$D$2:$D$1048576,MATCH(База_КР_КК[[#This Row],[Структурное подразделение]],'Списки данных'!$C$2:$C$1048576,0))</f>
        <v>15</v>
      </c>
      <c r="I1425" s="80" t="s">
        <v>161</v>
      </c>
      <c r="J1425" s="80" t="s">
        <v>214</v>
      </c>
      <c r="K1425" s="80" t="s">
        <v>21</v>
      </c>
      <c r="L1425" s="30" t="s">
        <v>192</v>
      </c>
      <c r="M1425" s="68">
        <v>7</v>
      </c>
      <c r="N1425" s="181" t="str">
        <f t="shared" si="23"/>
        <v>нет</v>
      </c>
      <c r="O1425" s="23"/>
      <c r="P1425" s="23"/>
      <c r="Q1425" s="106"/>
      <c r="R1425" s="37">
        <v>305</v>
      </c>
      <c r="S1425" s="38" t="s">
        <v>717</v>
      </c>
      <c r="T1425" s="37">
        <v>1386</v>
      </c>
      <c r="U1425" s="39" t="s">
        <v>1769</v>
      </c>
      <c r="V1425" s="69" t="s">
        <v>272</v>
      </c>
      <c r="W1425" s="89" t="s">
        <v>161</v>
      </c>
      <c r="X1425" s="106" t="s">
        <v>296</v>
      </c>
      <c r="Y1425" s="107" t="s">
        <v>12</v>
      </c>
      <c r="Z1425" s="67">
        <f>IF(База_КР_КК[[#This Row],[Таб.номер резервиста]]="-","-",IF(OR(База_КР_КК[[#This Row],[Уровень КК]]=2,База_КР_КК[[#This Row],[Уровень КК]]=3),IF(COUNTIFS($U$2:$U1425,$U1425,$F$2:$F1425,$F1425)=1,1,0),IF(COUNTIFS($U$2:$U1425,$U1425,$L$2:$L1425,$L1425)=1,1,0)))</f>
        <v>1</v>
      </c>
      <c r="AA14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5" s="106"/>
      <c r="AC1425" s="51"/>
      <c r="AD1425" s="106" t="s">
        <v>15</v>
      </c>
      <c r="AE1425" s="38" t="s">
        <v>347</v>
      </c>
    </row>
    <row r="1426" spans="1:31" ht="18" customHeight="1" x14ac:dyDescent="0.25">
      <c r="A14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6" s="79">
        <v>4</v>
      </c>
      <c r="C1426" s="23">
        <v>44424</v>
      </c>
      <c r="D1426" s="67">
        <f>IF(COUNTIF($G$2:$G1426,$G1426)=1,1,0)</f>
        <v>0</v>
      </c>
      <c r="E1426" s="67" t="str">
        <f>IFERROR(VLOOKUP(База_КР_КК[[#This Row],[ИД штатной должности (S)]],'уровень защищенности'!$B$7:$F$1095,5,0),"не защищена")</f>
        <v>средний</v>
      </c>
      <c r="F1426" s="68">
        <v>500446</v>
      </c>
      <c r="G1426" s="74" t="s">
        <v>2474</v>
      </c>
      <c r="H1426" s="181">
        <f>INDEX('Списки данных'!$D$2:$D$1048576,MATCH(База_КР_КК[[#This Row],[Структурное подразделение]],'Списки данных'!$C$2:$C$1048576,0))</f>
        <v>15</v>
      </c>
      <c r="I1426" s="80" t="s">
        <v>161</v>
      </c>
      <c r="J1426" s="80" t="s">
        <v>214</v>
      </c>
      <c r="K1426" s="80" t="s">
        <v>21</v>
      </c>
      <c r="L1426" s="30" t="s">
        <v>192</v>
      </c>
      <c r="M1426" s="68">
        <v>7</v>
      </c>
      <c r="N1426" s="181" t="str">
        <f t="shared" si="23"/>
        <v>нет</v>
      </c>
      <c r="O1426" s="23"/>
      <c r="P1426" s="23"/>
      <c r="Q1426" s="106"/>
      <c r="R1426" s="37">
        <v>305</v>
      </c>
      <c r="S1426" s="38" t="s">
        <v>717</v>
      </c>
      <c r="T1426" s="37">
        <v>309</v>
      </c>
      <c r="U1426" s="39" t="s">
        <v>721</v>
      </c>
      <c r="V1426" s="69" t="s">
        <v>192</v>
      </c>
      <c r="W1426" s="89" t="s">
        <v>161</v>
      </c>
      <c r="X1426" s="106" t="s">
        <v>297</v>
      </c>
      <c r="Y1426" s="107" t="s">
        <v>12</v>
      </c>
      <c r="Z1426" s="67">
        <f>IF(База_КР_КК[[#This Row],[Таб.номер резервиста]]="-","-",IF(OR(База_КР_КК[[#This Row],[Уровень КК]]=2,База_КР_КК[[#This Row],[Уровень КК]]=3),IF(COUNTIFS($U$2:$U1426,$U1426,$F$2:$F1426,$F1426)=1,1,0),IF(COUNTIFS($U$2:$U1426,$U1426,$L$2:$L1426,$L1426)=1,1,0)))</f>
        <v>1</v>
      </c>
      <c r="AA14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6" s="106"/>
      <c r="AC1426" s="51"/>
      <c r="AD1426" s="106" t="s">
        <v>15</v>
      </c>
      <c r="AE1426" s="38" t="s">
        <v>347</v>
      </c>
    </row>
    <row r="1427" spans="1:31" ht="18" customHeight="1" x14ac:dyDescent="0.25">
      <c r="A14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7" s="79">
        <v>3</v>
      </c>
      <c r="C1427" s="23">
        <v>44707</v>
      </c>
      <c r="D1427" s="67">
        <f>IF(COUNTIF($G$2:$G1427,$G1427)=1,1,0)</f>
        <v>1</v>
      </c>
      <c r="E1427" s="67" t="str">
        <f>IFERROR(VLOOKUP(База_КР_КК[[#This Row],[ИД штатной должности (S)]],'уровень защищенности'!$B$7:$F$1095,5,0),"не защищена")</f>
        <v>низкий</v>
      </c>
      <c r="F1427" s="68">
        <v>500447</v>
      </c>
      <c r="G1427" s="74" t="s">
        <v>2475</v>
      </c>
      <c r="H1427" s="181">
        <f>INDEX('Списки данных'!$D$2:$D$1048576,MATCH(База_КР_КК[[#This Row],[Структурное подразделение]],'Списки данных'!$C$2:$C$1048576,0))</f>
        <v>15</v>
      </c>
      <c r="I1427" s="80" t="s">
        <v>161</v>
      </c>
      <c r="J1427" s="80" t="s">
        <v>214</v>
      </c>
      <c r="K1427" s="80" t="s">
        <v>21</v>
      </c>
      <c r="L1427" s="30" t="s">
        <v>186</v>
      </c>
      <c r="M1427" s="68">
        <v>5</v>
      </c>
      <c r="N1427" s="181" t="str">
        <f t="shared" si="23"/>
        <v>да</v>
      </c>
      <c r="O1427" s="23">
        <v>44399</v>
      </c>
      <c r="P1427" s="23">
        <v>44531</v>
      </c>
      <c r="Q1427" s="106" t="s">
        <v>66</v>
      </c>
      <c r="R1427" s="37">
        <v>306</v>
      </c>
      <c r="S1427" s="38" t="s">
        <v>718</v>
      </c>
      <c r="T1427" s="37">
        <v>312</v>
      </c>
      <c r="U1427" s="39" t="s">
        <v>724</v>
      </c>
      <c r="V1427" s="89" t="s">
        <v>192</v>
      </c>
      <c r="W1427" s="89" t="s">
        <v>161</v>
      </c>
      <c r="X1427" s="106" t="s">
        <v>296</v>
      </c>
      <c r="Y1427" s="107" t="s">
        <v>12</v>
      </c>
      <c r="Z1427" s="67">
        <f>IF(База_КР_КК[[#This Row],[Таб.номер резервиста]]="-","-",IF(OR(База_КР_КК[[#This Row],[Уровень КК]]=2,База_КР_КК[[#This Row],[Уровень КК]]=3),IF(COUNTIFS($U$2:$U1427,$U1427,$F$2:$F1427,$F1427)=1,1,0),IF(COUNTIFS($U$2:$U1427,$U1427,$L$2:$L1427,$L1427)=1,1,0)))</f>
        <v>1</v>
      </c>
      <c r="AA14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7" s="106"/>
      <c r="AC1427" s="51"/>
      <c r="AD1427" s="106" t="s">
        <v>15</v>
      </c>
      <c r="AE1427" s="38" t="s">
        <v>345</v>
      </c>
    </row>
    <row r="1428" spans="1:31" ht="18" customHeight="1" x14ac:dyDescent="0.25">
      <c r="A14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8" s="79">
        <v>3</v>
      </c>
      <c r="C1428" s="23">
        <v>44707</v>
      </c>
      <c r="D1428" s="67">
        <f>IF(COUNTIF($G$2:$G1428,$G1428)=1,1,0)</f>
        <v>0</v>
      </c>
      <c r="E1428" s="67" t="str">
        <f>IFERROR(VLOOKUP(База_КР_КК[[#This Row],[ИД штатной должности (S)]],'уровень защищенности'!$B$7:$F$1095,5,0),"не защищена")</f>
        <v>низкий</v>
      </c>
      <c r="F1428" s="68">
        <v>500447</v>
      </c>
      <c r="G1428" s="74" t="s">
        <v>2475</v>
      </c>
      <c r="H1428" s="181">
        <f>INDEX('Списки данных'!$D$2:$D$1048576,MATCH(База_КР_КК[[#This Row],[Структурное подразделение]],'Списки данных'!$C$2:$C$1048576,0))</f>
        <v>15</v>
      </c>
      <c r="I1428" s="80" t="s">
        <v>161</v>
      </c>
      <c r="J1428" s="80" t="s">
        <v>214</v>
      </c>
      <c r="K1428" s="80" t="s">
        <v>21</v>
      </c>
      <c r="L1428" s="30" t="s">
        <v>186</v>
      </c>
      <c r="M1428" s="68">
        <v>5</v>
      </c>
      <c r="N1428" s="181" t="str">
        <f t="shared" si="23"/>
        <v>да</v>
      </c>
      <c r="O1428" s="23">
        <v>44399</v>
      </c>
      <c r="P1428" s="23">
        <v>44531</v>
      </c>
      <c r="Q1428" s="106" t="s">
        <v>66</v>
      </c>
      <c r="R1428" s="37">
        <v>306</v>
      </c>
      <c r="S1428" s="38" t="s">
        <v>718</v>
      </c>
      <c r="T1428" s="37">
        <v>305</v>
      </c>
      <c r="U1428" s="39" t="s">
        <v>717</v>
      </c>
      <c r="V1428" s="89" t="s">
        <v>192</v>
      </c>
      <c r="W1428" s="89" t="s">
        <v>161</v>
      </c>
      <c r="X1428" s="106" t="s">
        <v>296</v>
      </c>
      <c r="Y1428" s="107" t="s">
        <v>12</v>
      </c>
      <c r="Z1428" s="67">
        <f>IF(База_КР_КК[[#This Row],[Таб.номер резервиста]]="-","-",IF(OR(База_КР_КК[[#This Row],[Уровень КК]]=2,База_КР_КК[[#This Row],[Уровень КК]]=3),IF(COUNTIFS($U$2:$U1428,$U1428,$F$2:$F1428,$F1428)=1,1,0),IF(COUNTIFS($U$2:$U1428,$U1428,$L$2:$L1428,$L1428)=1,1,0)))</f>
        <v>1</v>
      </c>
      <c r="AA14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28" s="106"/>
      <c r="AC1428" s="51"/>
      <c r="AD1428" s="106" t="s">
        <v>15</v>
      </c>
      <c r="AE1428" s="38" t="s">
        <v>345</v>
      </c>
    </row>
    <row r="1429" spans="1:31" ht="18" customHeight="1" x14ac:dyDescent="0.25">
      <c r="A14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29" s="79">
        <v>3</v>
      </c>
      <c r="C1429" s="23">
        <v>44343</v>
      </c>
      <c r="D1429" s="67">
        <f>IF(COUNTIF($G$2:$G1429,$G1429)=1,1,0)</f>
        <v>0</v>
      </c>
      <c r="E1429" s="67" t="str">
        <f>IFERROR(VLOOKUP(База_КР_КК[[#This Row],[ИД штатной должности (S)]],'уровень защищенности'!$B$7:$F$1095,5,0),"не защищена")</f>
        <v>низкий</v>
      </c>
      <c r="F1429" s="68">
        <v>500447</v>
      </c>
      <c r="G1429" s="74" t="s">
        <v>2475</v>
      </c>
      <c r="H1429" s="181">
        <f>INDEX('Списки данных'!$D$2:$D$1048576,MATCH(База_КР_КК[[#This Row],[Структурное подразделение]],'Списки данных'!$C$2:$C$1048576,0))</f>
        <v>15</v>
      </c>
      <c r="I1429" s="80" t="s">
        <v>161</v>
      </c>
      <c r="J1429" s="80" t="s">
        <v>214</v>
      </c>
      <c r="K1429" s="80" t="s">
        <v>21</v>
      </c>
      <c r="L1429" s="30" t="s">
        <v>186</v>
      </c>
      <c r="M1429" s="68">
        <v>5</v>
      </c>
      <c r="N1429" s="181" t="str">
        <f t="shared" si="23"/>
        <v>да</v>
      </c>
      <c r="O1429" s="23">
        <v>44399</v>
      </c>
      <c r="P1429" s="23">
        <v>44531</v>
      </c>
      <c r="Q1429" s="106" t="s">
        <v>66</v>
      </c>
      <c r="R1429" s="37">
        <v>306</v>
      </c>
      <c r="S1429" s="38" t="s">
        <v>718</v>
      </c>
      <c r="T1429" s="37">
        <v>306</v>
      </c>
      <c r="U1429" s="38" t="s">
        <v>718</v>
      </c>
      <c r="V1429" s="89" t="s">
        <v>192</v>
      </c>
      <c r="W1429" s="89" t="s">
        <v>161</v>
      </c>
      <c r="X1429" s="106" t="s">
        <v>295</v>
      </c>
      <c r="Y1429" s="107" t="s">
        <v>14</v>
      </c>
      <c r="Z1429" s="67">
        <f>IF(База_КР_КК[[#This Row],[Таб.номер резервиста]]="-","-",IF(OR(База_КР_КК[[#This Row],[Уровень КК]]=2,База_КР_КК[[#This Row],[Уровень КК]]=3),IF(COUNTIFS($U$2:$U1429,$U1429,$F$2:$F1429,$F1429)=1,1,0),IF(COUNTIFS($U$2:$U1429,$U1429,$L$2:$L1429,$L1429)=1,1,0)))</f>
        <v>1</v>
      </c>
      <c r="AA14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429" s="106" t="s">
        <v>24</v>
      </c>
      <c r="AC1429" s="51">
        <v>44531</v>
      </c>
      <c r="AD1429" s="106" t="s">
        <v>15</v>
      </c>
      <c r="AE1429" s="38" t="s">
        <v>346</v>
      </c>
    </row>
    <row r="1430" spans="1:31" ht="18" customHeight="1" x14ac:dyDescent="0.25">
      <c r="A14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0" s="79">
        <v>3</v>
      </c>
      <c r="C1430" s="23">
        <v>43425</v>
      </c>
      <c r="D1430" s="67">
        <f>IF(COUNTIF($G$2:$G1430,$G1430)=1,1,0)</f>
        <v>0</v>
      </c>
      <c r="E1430" s="67" t="str">
        <f>IFERROR(VLOOKUP(База_КР_КК[[#This Row],[ИД штатной должности (S)]],'уровень защищенности'!$B$7:$F$1095,5,0),"не защищена")</f>
        <v>низкий</v>
      </c>
      <c r="F1430" s="68">
        <v>500447</v>
      </c>
      <c r="G1430" s="74" t="s">
        <v>2475</v>
      </c>
      <c r="H1430" s="181">
        <f>INDEX('Списки данных'!$D$2:$D$1048576,MATCH(База_КР_КК[[#This Row],[Структурное подразделение]],'Списки данных'!$C$2:$C$1048576,0))</f>
        <v>15</v>
      </c>
      <c r="I1430" s="80" t="s">
        <v>161</v>
      </c>
      <c r="J1430" s="80" t="s">
        <v>214</v>
      </c>
      <c r="K1430" s="80" t="s">
        <v>21</v>
      </c>
      <c r="L1430" s="30" t="s">
        <v>186</v>
      </c>
      <c r="M1430" s="68">
        <v>5</v>
      </c>
      <c r="N1430" s="181" t="str">
        <f t="shared" si="23"/>
        <v>да</v>
      </c>
      <c r="O1430" s="23">
        <v>44399</v>
      </c>
      <c r="P1430" s="23">
        <v>44531</v>
      </c>
      <c r="Q1430" s="106" t="s">
        <v>66</v>
      </c>
      <c r="R1430" s="37">
        <v>306</v>
      </c>
      <c r="S1430" s="38" t="s">
        <v>718</v>
      </c>
      <c r="T1430" s="37">
        <v>404</v>
      </c>
      <c r="U1430" s="39" t="s">
        <v>816</v>
      </c>
      <c r="V1430" s="89" t="s">
        <v>198</v>
      </c>
      <c r="W1430" s="89" t="s">
        <v>169</v>
      </c>
      <c r="X1430" s="106" t="s">
        <v>295</v>
      </c>
      <c r="Y1430" s="107" t="s">
        <v>18</v>
      </c>
      <c r="Z1430" s="67">
        <f>IF(База_КР_КК[[#This Row],[Таб.номер резервиста]]="-","-",IF(OR(База_КР_КК[[#This Row],[Уровень КК]]=2,База_КР_КК[[#This Row],[Уровень КК]]=3),IF(COUNTIFS($U$2:$U1430,$U1430,$F$2:$F1430,$F1430)=1,1,0),IF(COUNTIFS($U$2:$U1430,$U1430,$L$2:$L1430,$L1430)=1,1,0)))</f>
        <v>1</v>
      </c>
      <c r="AA14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0" s="106" t="s">
        <v>33</v>
      </c>
      <c r="AC1430" s="51">
        <v>43998</v>
      </c>
      <c r="AD1430" s="106" t="s">
        <v>31</v>
      </c>
      <c r="AE1430" s="38" t="s">
        <v>348</v>
      </c>
    </row>
    <row r="1431" spans="1:31" ht="18" customHeight="1" x14ac:dyDescent="0.25">
      <c r="A14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1" s="79">
        <v>3</v>
      </c>
      <c r="C1431" s="23">
        <v>43425</v>
      </c>
      <c r="D1431" s="67">
        <f>IF(COUNTIF($G$2:$G1431,$G1431)=1,1,0)</f>
        <v>0</v>
      </c>
      <c r="E1431" s="67" t="str">
        <f>IFERROR(VLOOKUP(База_КР_КК[[#This Row],[ИД штатной должности (S)]],'уровень защищенности'!$B$7:$F$1095,5,0),"не защищена")</f>
        <v>низкий</v>
      </c>
      <c r="F1431" s="68">
        <v>500447</v>
      </c>
      <c r="G1431" s="74" t="s">
        <v>2475</v>
      </c>
      <c r="H1431" s="181">
        <f>INDEX('Списки данных'!$D$2:$D$1048576,MATCH(База_КР_КК[[#This Row],[Структурное подразделение]],'Списки данных'!$C$2:$C$1048576,0))</f>
        <v>15</v>
      </c>
      <c r="I1431" s="80" t="s">
        <v>161</v>
      </c>
      <c r="J1431" s="80" t="s">
        <v>214</v>
      </c>
      <c r="K1431" s="80" t="s">
        <v>21</v>
      </c>
      <c r="L1431" s="30" t="s">
        <v>186</v>
      </c>
      <c r="M1431" s="68">
        <v>5</v>
      </c>
      <c r="N1431" s="181" t="str">
        <f t="shared" si="23"/>
        <v>да</v>
      </c>
      <c r="O1431" s="23">
        <v>44399</v>
      </c>
      <c r="P1431" s="23">
        <v>44531</v>
      </c>
      <c r="Q1431" s="106" t="s">
        <v>66</v>
      </c>
      <c r="R1431" s="37">
        <v>306</v>
      </c>
      <c r="S1431" s="38" t="s">
        <v>718</v>
      </c>
      <c r="T1431" s="37">
        <v>308</v>
      </c>
      <c r="U1431" s="39" t="s">
        <v>720</v>
      </c>
      <c r="V1431" s="89" t="s">
        <v>192</v>
      </c>
      <c r="W1431" s="89" t="s">
        <v>161</v>
      </c>
      <c r="X1431" s="106" t="s">
        <v>295</v>
      </c>
      <c r="Y1431" s="107" t="s">
        <v>18</v>
      </c>
      <c r="Z1431" s="67">
        <f>IF(База_КР_КК[[#This Row],[Таб.номер резервиста]]="-","-",IF(OR(База_КР_КК[[#This Row],[Уровень КК]]=2,База_КР_КК[[#This Row],[Уровень КК]]=3),IF(COUNTIFS($U$2:$U1431,$U1431,$F$2:$F1431,$F1431)=1,1,0),IF(COUNTIFS($U$2:$U1431,$U1431,$L$2:$L1431,$L1431)=1,1,0)))</f>
        <v>1</v>
      </c>
      <c r="AA14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1" s="106" t="s">
        <v>38</v>
      </c>
      <c r="AC1431" s="51">
        <v>44707</v>
      </c>
      <c r="AD1431" s="106" t="s">
        <v>31</v>
      </c>
      <c r="AE1431" s="38" t="s">
        <v>345</v>
      </c>
    </row>
    <row r="1432" spans="1:31" ht="18" customHeight="1" x14ac:dyDescent="0.25">
      <c r="A14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2" s="79">
        <v>4</v>
      </c>
      <c r="C1432" s="23">
        <v>44424</v>
      </c>
      <c r="D1432" s="67">
        <f>IF(COUNTIF($G$2:$G1432,$G1432)=1,1,0)</f>
        <v>1</v>
      </c>
      <c r="E1432" s="67" t="str">
        <f>IFERROR(VLOOKUP(База_КР_КК[[#This Row],[ИД штатной должности (S)]],'уровень защищенности'!$B$7:$F$1095,5,0),"не защищена")</f>
        <v>средний</v>
      </c>
      <c r="F1432" s="68">
        <v>500448</v>
      </c>
      <c r="G1432" s="74" t="s">
        <v>2476</v>
      </c>
      <c r="H1432" s="181">
        <f>INDEX('Списки данных'!$D$2:$D$1048576,MATCH(База_КР_КК[[#This Row],[Структурное подразделение]],'Списки данных'!$C$2:$C$1048576,0))</f>
        <v>15</v>
      </c>
      <c r="I1432" s="80" t="s">
        <v>161</v>
      </c>
      <c r="J1432" s="80" t="s">
        <v>214</v>
      </c>
      <c r="K1432" s="80" t="s">
        <v>21</v>
      </c>
      <c r="L1432" s="30" t="s">
        <v>191</v>
      </c>
      <c r="M1432" s="68">
        <v>7</v>
      </c>
      <c r="N1432" s="181" t="str">
        <f t="shared" si="23"/>
        <v>нет</v>
      </c>
      <c r="O1432" s="23"/>
      <c r="P1432" s="23"/>
      <c r="Q1432" s="106"/>
      <c r="R1432" s="37">
        <v>307</v>
      </c>
      <c r="S1432" s="38" t="s">
        <v>719</v>
      </c>
      <c r="T1432" s="37">
        <v>1387</v>
      </c>
      <c r="U1432" s="39" t="s">
        <v>1770</v>
      </c>
      <c r="V1432" s="69" t="s">
        <v>272</v>
      </c>
      <c r="W1432" s="89" t="s">
        <v>161</v>
      </c>
      <c r="X1432" s="106" t="s">
        <v>297</v>
      </c>
      <c r="Y1432" s="107" t="s">
        <v>12</v>
      </c>
      <c r="Z1432" s="67">
        <f>IF(База_КР_КК[[#This Row],[Таб.номер резервиста]]="-","-",IF(OR(База_КР_КК[[#This Row],[Уровень КК]]=2,База_КР_КК[[#This Row],[Уровень КК]]=3),IF(COUNTIFS($U$2:$U1432,$U1432,$F$2:$F1432,$F1432)=1,1,0),IF(COUNTIFS($U$2:$U1432,$U1432,$L$2:$L1432,$L1432)=1,1,0)))</f>
        <v>1</v>
      </c>
      <c r="AA14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2" s="106"/>
      <c r="AC1432" s="51"/>
      <c r="AD1432" s="106" t="s">
        <v>15</v>
      </c>
      <c r="AE1432" s="38" t="s">
        <v>347</v>
      </c>
    </row>
    <row r="1433" spans="1:31" ht="18" customHeight="1" x14ac:dyDescent="0.25">
      <c r="A14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3" s="79">
        <v>4</v>
      </c>
      <c r="C1433" s="23">
        <v>44424</v>
      </c>
      <c r="D1433" s="67">
        <f>IF(COUNTIF($G$2:$G1433,$G1433)=1,1,0)</f>
        <v>0</v>
      </c>
      <c r="E1433" s="67" t="str">
        <f>IFERROR(VLOOKUP(База_КР_КК[[#This Row],[ИД штатной должности (S)]],'уровень защищенности'!$B$7:$F$1095,5,0),"не защищена")</f>
        <v>средний</v>
      </c>
      <c r="F1433" s="68">
        <v>500448</v>
      </c>
      <c r="G1433" s="74" t="s">
        <v>2476</v>
      </c>
      <c r="H1433" s="181">
        <f>INDEX('Списки данных'!$D$2:$D$1048576,MATCH(База_КР_КК[[#This Row],[Структурное подразделение]],'Списки данных'!$C$2:$C$1048576,0))</f>
        <v>15</v>
      </c>
      <c r="I1433" s="80" t="s">
        <v>161</v>
      </c>
      <c r="J1433" s="80" t="s">
        <v>214</v>
      </c>
      <c r="K1433" s="80" t="s">
        <v>21</v>
      </c>
      <c r="L1433" s="30" t="s">
        <v>191</v>
      </c>
      <c r="M1433" s="68">
        <v>7</v>
      </c>
      <c r="N1433" s="181" t="str">
        <f t="shared" si="23"/>
        <v>нет</v>
      </c>
      <c r="O1433" s="23"/>
      <c r="P1433" s="23"/>
      <c r="Q1433" s="106"/>
      <c r="R1433" s="37">
        <v>307</v>
      </c>
      <c r="S1433" s="38" t="s">
        <v>719</v>
      </c>
      <c r="T1433" s="37">
        <v>1388</v>
      </c>
      <c r="U1433" s="39" t="s">
        <v>1771</v>
      </c>
      <c r="V1433" s="69" t="s">
        <v>272</v>
      </c>
      <c r="W1433" s="89" t="s">
        <v>161</v>
      </c>
      <c r="X1433" s="106" t="s">
        <v>297</v>
      </c>
      <c r="Y1433" s="107" t="s">
        <v>12</v>
      </c>
      <c r="Z1433" s="67">
        <f>IF(База_КР_КК[[#This Row],[Таб.номер резервиста]]="-","-",IF(OR(База_КР_КК[[#This Row],[Уровень КК]]=2,База_КР_КК[[#This Row],[Уровень КК]]=3),IF(COUNTIFS($U$2:$U1433,$U1433,$F$2:$F1433,$F1433)=1,1,0),IF(COUNTIFS($U$2:$U1433,$U1433,$L$2:$L1433,$L1433)=1,1,0)))</f>
        <v>1</v>
      </c>
      <c r="AA14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3" s="106"/>
      <c r="AC1433" s="51"/>
      <c r="AD1433" s="106" t="s">
        <v>15</v>
      </c>
      <c r="AE1433" s="38" t="s">
        <v>347</v>
      </c>
    </row>
    <row r="1434" spans="1:31" ht="18" customHeight="1" x14ac:dyDescent="0.25">
      <c r="A14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4" s="79">
        <v>4</v>
      </c>
      <c r="C1434" s="23">
        <v>44887</v>
      </c>
      <c r="D1434" s="67">
        <f>IF(COUNTIF($G$2:$G1434,$G1434)=1,1,0)</f>
        <v>0</v>
      </c>
      <c r="E1434" s="67" t="str">
        <f>IFERROR(VLOOKUP(База_КР_КК[[#This Row],[ИД штатной должности (S)]],'уровень защищенности'!$B$7:$F$1095,5,0),"не защищена")</f>
        <v>средний</v>
      </c>
      <c r="F1434" s="68">
        <v>500448</v>
      </c>
      <c r="G1434" s="74" t="s">
        <v>2476</v>
      </c>
      <c r="H1434" s="181">
        <f>INDEX('Списки данных'!$D$2:$D$1048576,MATCH(База_КР_КК[[#This Row],[Структурное подразделение]],'Списки данных'!$C$2:$C$1048576,0))</f>
        <v>15</v>
      </c>
      <c r="I1434" s="80" t="s">
        <v>161</v>
      </c>
      <c r="J1434" s="80" t="s">
        <v>214</v>
      </c>
      <c r="K1434" s="80" t="s">
        <v>21</v>
      </c>
      <c r="L1434" s="30" t="s">
        <v>191</v>
      </c>
      <c r="M1434" s="68">
        <v>7</v>
      </c>
      <c r="N1434" s="181" t="str">
        <f t="shared" si="23"/>
        <v>нет</v>
      </c>
      <c r="O1434" s="23"/>
      <c r="P1434" s="23"/>
      <c r="Q1434" s="106"/>
      <c r="R1434" s="37">
        <v>307</v>
      </c>
      <c r="S1434" s="38" t="s">
        <v>719</v>
      </c>
      <c r="T1434" s="37">
        <v>1389</v>
      </c>
      <c r="U1434" s="39" t="s">
        <v>1772</v>
      </c>
      <c r="V1434" s="69" t="s">
        <v>272</v>
      </c>
      <c r="W1434" s="89" t="s">
        <v>161</v>
      </c>
      <c r="X1434" s="106" t="s">
        <v>297</v>
      </c>
      <c r="Y1434" s="107" t="s">
        <v>12</v>
      </c>
      <c r="Z1434" s="67">
        <f>IF(База_КР_КК[[#This Row],[Таб.номер резервиста]]="-","-",IF(OR(База_КР_КК[[#This Row],[Уровень КК]]=2,База_КР_КК[[#This Row],[Уровень КК]]=3),IF(COUNTIFS($U$2:$U1434,$U1434,$F$2:$F1434,$F1434)=1,1,0),IF(COUNTIFS($U$2:$U1434,$U1434,$L$2:$L1434,$L1434)=1,1,0)))</f>
        <v>1</v>
      </c>
      <c r="AA14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4" s="106"/>
      <c r="AC1434" s="51"/>
      <c r="AD1434" s="106" t="s">
        <v>15</v>
      </c>
      <c r="AE1434" s="40" t="s">
        <v>310</v>
      </c>
    </row>
    <row r="1435" spans="1:31" ht="18" customHeight="1" x14ac:dyDescent="0.25">
      <c r="A14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5" s="79">
        <v>4</v>
      </c>
      <c r="C1435" s="23">
        <v>44424</v>
      </c>
      <c r="D1435" s="67">
        <f>IF(COUNTIF($G$2:$G1435,$G1435)=1,1,0)</f>
        <v>0</v>
      </c>
      <c r="E1435" s="67" t="str">
        <f>IFERROR(VLOOKUP(База_КР_КК[[#This Row],[ИД штатной должности (S)]],'уровень защищенности'!$B$7:$F$1095,5,0),"не защищена")</f>
        <v>средний</v>
      </c>
      <c r="F1435" s="68">
        <v>500448</v>
      </c>
      <c r="G1435" s="74" t="s">
        <v>2476</v>
      </c>
      <c r="H1435" s="181">
        <f>INDEX('Списки данных'!$D$2:$D$1048576,MATCH(База_КР_КК[[#This Row],[Структурное подразделение]],'Списки данных'!$C$2:$C$1048576,0))</f>
        <v>15</v>
      </c>
      <c r="I1435" s="80" t="s">
        <v>161</v>
      </c>
      <c r="J1435" s="80" t="s">
        <v>214</v>
      </c>
      <c r="K1435" s="80" t="s">
        <v>21</v>
      </c>
      <c r="L1435" s="30" t="s">
        <v>191</v>
      </c>
      <c r="M1435" s="68">
        <v>7</v>
      </c>
      <c r="N1435" s="181" t="str">
        <f t="shared" si="23"/>
        <v>нет</v>
      </c>
      <c r="O1435" s="23"/>
      <c r="P1435" s="23"/>
      <c r="Q1435" s="106"/>
      <c r="R1435" s="37">
        <v>307</v>
      </c>
      <c r="S1435" s="38" t="s">
        <v>719</v>
      </c>
      <c r="T1435" s="37">
        <v>1390</v>
      </c>
      <c r="U1435" s="39" t="s">
        <v>1773</v>
      </c>
      <c r="V1435" s="69" t="s">
        <v>272</v>
      </c>
      <c r="W1435" s="89" t="s">
        <v>161</v>
      </c>
      <c r="X1435" s="106" t="s">
        <v>297</v>
      </c>
      <c r="Y1435" s="107" t="s">
        <v>18</v>
      </c>
      <c r="Z1435" s="67">
        <f>IF(База_КР_КК[[#This Row],[Таб.номер резервиста]]="-","-",IF(OR(База_КР_КК[[#This Row],[Уровень КК]]=2,База_КР_КК[[#This Row],[Уровень КК]]=3),IF(COUNTIFS($U$2:$U1435,$U1435,$F$2:$F1435,$F1435)=1,1,0),IF(COUNTIFS($U$2:$U1435,$U1435,$L$2:$L1435,$L1435)=1,1,0)))</f>
        <v>1</v>
      </c>
      <c r="AA14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5" s="106" t="s">
        <v>38</v>
      </c>
      <c r="AC1435" s="51">
        <v>44887</v>
      </c>
      <c r="AD1435" s="106" t="s">
        <v>15</v>
      </c>
      <c r="AE1435" s="38" t="s">
        <v>347</v>
      </c>
    </row>
    <row r="1436" spans="1:31" ht="18" customHeight="1" x14ac:dyDescent="0.25">
      <c r="A14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6" s="79">
        <v>4</v>
      </c>
      <c r="C1436" s="23">
        <v>44424</v>
      </c>
      <c r="D1436" s="67">
        <f>IF(COUNTIF($G$2:$G1436,$G1436)=1,1,0)</f>
        <v>1</v>
      </c>
      <c r="E1436" s="67" t="str">
        <f>IFERROR(VLOOKUP(База_КР_КК[[#This Row],[ИД штатной должности (S)]],'уровень защищенности'!$B$7:$F$1095,5,0),"не защищена")</f>
        <v>средний</v>
      </c>
      <c r="F1436" s="68">
        <v>500448</v>
      </c>
      <c r="G1436" s="74" t="s">
        <v>2477</v>
      </c>
      <c r="H1436" s="181">
        <f>INDEX('Списки данных'!$D$2:$D$1048576,MATCH(База_КР_КК[[#This Row],[Структурное подразделение]],'Списки данных'!$C$2:$C$1048576,0))</f>
        <v>15</v>
      </c>
      <c r="I1436" s="80" t="s">
        <v>161</v>
      </c>
      <c r="J1436" s="80" t="s">
        <v>214</v>
      </c>
      <c r="K1436" s="80" t="s">
        <v>21</v>
      </c>
      <c r="L1436" s="30" t="s">
        <v>191</v>
      </c>
      <c r="M1436" s="68">
        <v>7</v>
      </c>
      <c r="N1436" s="181" t="str">
        <f t="shared" si="23"/>
        <v>нет</v>
      </c>
      <c r="O1436" s="23"/>
      <c r="P1436" s="23"/>
      <c r="Q1436" s="106"/>
      <c r="R1436" s="37">
        <v>308</v>
      </c>
      <c r="S1436" s="38" t="s">
        <v>720</v>
      </c>
      <c r="T1436" s="37">
        <v>1387</v>
      </c>
      <c r="U1436" s="39" t="s">
        <v>1770</v>
      </c>
      <c r="V1436" s="69" t="s">
        <v>272</v>
      </c>
      <c r="W1436" s="89" t="s">
        <v>161</v>
      </c>
      <c r="X1436" s="106" t="s">
        <v>297</v>
      </c>
      <c r="Y1436" s="107" t="s">
        <v>12</v>
      </c>
      <c r="Z1436" s="67">
        <f>IF(База_КР_КК[[#This Row],[Таб.номер резервиста]]="-","-",IF(OR(База_КР_КК[[#This Row],[Уровень КК]]=2,База_КР_КК[[#This Row],[Уровень КК]]=3),IF(COUNTIFS($U$2:$U1436,$U1436,$F$2:$F1436,$F1436)=1,1,0),IF(COUNTIFS($U$2:$U1436,$U1436,$L$2:$L1436,$L1436)=1,1,0)))</f>
        <v>0</v>
      </c>
      <c r="AA14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6" s="106"/>
      <c r="AC1436" s="51"/>
      <c r="AD1436" s="106" t="s">
        <v>15</v>
      </c>
      <c r="AE1436" s="38" t="s">
        <v>347</v>
      </c>
    </row>
    <row r="1437" spans="1:31" ht="18" customHeight="1" x14ac:dyDescent="0.25">
      <c r="A14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7" s="79">
        <v>4</v>
      </c>
      <c r="C1437" s="23">
        <v>44424</v>
      </c>
      <c r="D1437" s="67">
        <f>IF(COUNTIF($G$2:$G1437,$G1437)=1,1,0)</f>
        <v>0</v>
      </c>
      <c r="E1437" s="67" t="str">
        <f>IFERROR(VLOOKUP(База_КР_КК[[#This Row],[ИД штатной должности (S)]],'уровень защищенности'!$B$7:$F$1095,5,0),"не защищена")</f>
        <v>средний</v>
      </c>
      <c r="F1437" s="68">
        <v>500448</v>
      </c>
      <c r="G1437" s="74" t="s">
        <v>2477</v>
      </c>
      <c r="H1437" s="181">
        <f>INDEX('Списки данных'!$D$2:$D$1048576,MATCH(База_КР_КК[[#This Row],[Структурное подразделение]],'Списки данных'!$C$2:$C$1048576,0))</f>
        <v>15</v>
      </c>
      <c r="I1437" s="80" t="s">
        <v>161</v>
      </c>
      <c r="J1437" s="80" t="s">
        <v>214</v>
      </c>
      <c r="K1437" s="80" t="s">
        <v>21</v>
      </c>
      <c r="L1437" s="30" t="s">
        <v>191</v>
      </c>
      <c r="M1437" s="68">
        <v>7</v>
      </c>
      <c r="N1437" s="181" t="str">
        <f t="shared" si="23"/>
        <v>нет</v>
      </c>
      <c r="O1437" s="23"/>
      <c r="P1437" s="23"/>
      <c r="Q1437" s="106"/>
      <c r="R1437" s="37">
        <v>308</v>
      </c>
      <c r="S1437" s="38" t="s">
        <v>720</v>
      </c>
      <c r="T1437" s="37">
        <v>1388</v>
      </c>
      <c r="U1437" s="39" t="s">
        <v>1771</v>
      </c>
      <c r="V1437" s="69" t="s">
        <v>272</v>
      </c>
      <c r="W1437" s="89" t="s">
        <v>161</v>
      </c>
      <c r="X1437" s="106" t="s">
        <v>297</v>
      </c>
      <c r="Y1437" s="107" t="s">
        <v>12</v>
      </c>
      <c r="Z1437" s="67">
        <f>IF(База_КР_КК[[#This Row],[Таб.номер резервиста]]="-","-",IF(OR(База_КР_КК[[#This Row],[Уровень КК]]=2,База_КР_КК[[#This Row],[Уровень КК]]=3),IF(COUNTIFS($U$2:$U1437,$U1437,$F$2:$F1437,$F1437)=1,1,0),IF(COUNTIFS($U$2:$U1437,$U1437,$L$2:$L1437,$L1437)=1,1,0)))</f>
        <v>0</v>
      </c>
      <c r="AA14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7" s="106"/>
      <c r="AC1437" s="51"/>
      <c r="AD1437" s="106" t="s">
        <v>15</v>
      </c>
      <c r="AE1437" s="38" t="s">
        <v>347</v>
      </c>
    </row>
    <row r="1438" spans="1:31" ht="18" customHeight="1" x14ac:dyDescent="0.25">
      <c r="A14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8" s="79">
        <v>4</v>
      </c>
      <c r="C1438" s="23">
        <v>44887</v>
      </c>
      <c r="D1438" s="67">
        <f>IF(COUNTIF($G$2:$G1438,$G1438)=1,1,0)</f>
        <v>0</v>
      </c>
      <c r="E1438" s="67" t="str">
        <f>IFERROR(VLOOKUP(База_КР_КК[[#This Row],[ИД штатной должности (S)]],'уровень защищенности'!$B$7:$F$1095,5,0),"не защищена")</f>
        <v>средний</v>
      </c>
      <c r="F1438" s="68">
        <v>500448</v>
      </c>
      <c r="G1438" s="74" t="s">
        <v>2477</v>
      </c>
      <c r="H1438" s="181">
        <f>INDEX('Списки данных'!$D$2:$D$1048576,MATCH(База_КР_КК[[#This Row],[Структурное подразделение]],'Списки данных'!$C$2:$C$1048576,0))</f>
        <v>15</v>
      </c>
      <c r="I1438" s="80" t="s">
        <v>161</v>
      </c>
      <c r="J1438" s="80" t="s">
        <v>214</v>
      </c>
      <c r="K1438" s="80" t="s">
        <v>21</v>
      </c>
      <c r="L1438" s="30" t="s">
        <v>191</v>
      </c>
      <c r="M1438" s="68">
        <v>7</v>
      </c>
      <c r="N1438" s="181" t="str">
        <f t="shared" si="23"/>
        <v>нет</v>
      </c>
      <c r="O1438" s="23"/>
      <c r="P1438" s="23"/>
      <c r="Q1438" s="106"/>
      <c r="R1438" s="37">
        <v>308</v>
      </c>
      <c r="S1438" s="38" t="s">
        <v>720</v>
      </c>
      <c r="T1438" s="37">
        <v>1389</v>
      </c>
      <c r="U1438" s="39" t="s">
        <v>1772</v>
      </c>
      <c r="V1438" s="69" t="s">
        <v>272</v>
      </c>
      <c r="W1438" s="89" t="s">
        <v>161</v>
      </c>
      <c r="X1438" s="106" t="s">
        <v>297</v>
      </c>
      <c r="Y1438" s="107" t="s">
        <v>12</v>
      </c>
      <c r="Z1438" s="67">
        <f>IF(База_КР_КК[[#This Row],[Таб.номер резервиста]]="-","-",IF(OR(База_КР_КК[[#This Row],[Уровень КК]]=2,База_КР_КК[[#This Row],[Уровень КК]]=3),IF(COUNTIFS($U$2:$U1438,$U1438,$F$2:$F1438,$F1438)=1,1,0),IF(COUNTIFS($U$2:$U1438,$U1438,$L$2:$L1438,$L1438)=1,1,0)))</f>
        <v>0</v>
      </c>
      <c r="AA14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8" s="106"/>
      <c r="AC1438" s="51"/>
      <c r="AD1438" s="106" t="s">
        <v>15</v>
      </c>
      <c r="AE1438" s="40" t="s">
        <v>310</v>
      </c>
    </row>
    <row r="1439" spans="1:31" ht="18" customHeight="1" x14ac:dyDescent="0.25">
      <c r="A14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39" s="79">
        <v>4</v>
      </c>
      <c r="C1439" s="23">
        <v>44424</v>
      </c>
      <c r="D1439" s="67">
        <f>IF(COUNTIF($G$2:$G1439,$G1439)=1,1,0)</f>
        <v>0</v>
      </c>
      <c r="E1439" s="67" t="str">
        <f>IFERROR(VLOOKUP(База_КР_КК[[#This Row],[ИД штатной должности (S)]],'уровень защищенности'!$B$7:$F$1095,5,0),"не защищена")</f>
        <v>средний</v>
      </c>
      <c r="F1439" s="68">
        <v>500448</v>
      </c>
      <c r="G1439" s="74" t="s">
        <v>2477</v>
      </c>
      <c r="H1439" s="181">
        <f>INDEX('Списки данных'!$D$2:$D$1048576,MATCH(База_КР_КК[[#This Row],[Структурное подразделение]],'Списки данных'!$C$2:$C$1048576,0))</f>
        <v>15</v>
      </c>
      <c r="I1439" s="80" t="s">
        <v>161</v>
      </c>
      <c r="J1439" s="80" t="s">
        <v>214</v>
      </c>
      <c r="K1439" s="80" t="s">
        <v>21</v>
      </c>
      <c r="L1439" s="30" t="s">
        <v>191</v>
      </c>
      <c r="M1439" s="68">
        <v>7</v>
      </c>
      <c r="N1439" s="181" t="str">
        <f t="shared" si="23"/>
        <v>нет</v>
      </c>
      <c r="O1439" s="23"/>
      <c r="P1439" s="23"/>
      <c r="Q1439" s="106"/>
      <c r="R1439" s="37">
        <v>308</v>
      </c>
      <c r="S1439" s="38" t="s">
        <v>720</v>
      </c>
      <c r="T1439" s="37">
        <v>1390</v>
      </c>
      <c r="U1439" s="39" t="s">
        <v>1773</v>
      </c>
      <c r="V1439" s="69" t="s">
        <v>272</v>
      </c>
      <c r="W1439" s="89" t="s">
        <v>161</v>
      </c>
      <c r="X1439" s="106" t="s">
        <v>297</v>
      </c>
      <c r="Y1439" s="107" t="s">
        <v>18</v>
      </c>
      <c r="Z1439" s="67">
        <f>IF(База_КР_КК[[#This Row],[Таб.номер резервиста]]="-","-",IF(OR(База_КР_КК[[#This Row],[Уровень КК]]=2,База_КР_КК[[#This Row],[Уровень КК]]=3),IF(COUNTIFS($U$2:$U1439,$U1439,$F$2:$F1439,$F1439)=1,1,0),IF(COUNTIFS($U$2:$U1439,$U1439,$L$2:$L1439,$L1439)=1,1,0)))</f>
        <v>0</v>
      </c>
      <c r="AA14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39" s="106" t="s">
        <v>38</v>
      </c>
      <c r="AC1439" s="51">
        <v>44887</v>
      </c>
      <c r="AD1439" s="106" t="s">
        <v>15</v>
      </c>
      <c r="AE1439" s="38" t="s">
        <v>347</v>
      </c>
    </row>
    <row r="1440" spans="1:31" ht="18" customHeight="1" x14ac:dyDescent="0.25">
      <c r="A14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0" s="79">
        <v>4</v>
      </c>
      <c r="C1440" s="23">
        <v>44424</v>
      </c>
      <c r="D1440" s="67">
        <f>IF(COUNTIF($G$2:$G1440,$G1440)=1,1,0)</f>
        <v>1</v>
      </c>
      <c r="E1440" s="67" t="str">
        <f>IFERROR(VLOOKUP(База_КР_КК[[#This Row],[ИД штатной должности (S)]],'уровень защищенности'!$B$7:$F$1095,5,0),"не защищена")</f>
        <v>средний</v>
      </c>
      <c r="F1440" s="68">
        <v>500448</v>
      </c>
      <c r="G1440" s="74" t="s">
        <v>2478</v>
      </c>
      <c r="H1440" s="181">
        <f>INDEX('Списки данных'!$D$2:$D$1048576,MATCH(База_КР_КК[[#This Row],[Структурное подразделение]],'Списки данных'!$C$2:$C$1048576,0))</f>
        <v>15</v>
      </c>
      <c r="I1440" s="80" t="s">
        <v>161</v>
      </c>
      <c r="J1440" s="80" t="s">
        <v>214</v>
      </c>
      <c r="K1440" s="80" t="s">
        <v>21</v>
      </c>
      <c r="L1440" s="30" t="s">
        <v>191</v>
      </c>
      <c r="M1440" s="68">
        <v>7</v>
      </c>
      <c r="N1440" s="181" t="str">
        <f t="shared" si="23"/>
        <v>нет</v>
      </c>
      <c r="O1440" s="23"/>
      <c r="P1440" s="23"/>
      <c r="Q1440" s="106"/>
      <c r="R1440" s="37">
        <v>309</v>
      </c>
      <c r="S1440" s="39" t="s">
        <v>721</v>
      </c>
      <c r="T1440" s="37">
        <v>1387</v>
      </c>
      <c r="U1440" s="39" t="s">
        <v>1770</v>
      </c>
      <c r="V1440" s="69" t="s">
        <v>272</v>
      </c>
      <c r="W1440" s="89" t="s">
        <v>161</v>
      </c>
      <c r="X1440" s="106" t="s">
        <v>297</v>
      </c>
      <c r="Y1440" s="107" t="s">
        <v>12</v>
      </c>
      <c r="Z1440" s="67">
        <f>IF(База_КР_КК[[#This Row],[Таб.номер резервиста]]="-","-",IF(OR(База_КР_КК[[#This Row],[Уровень КК]]=2,База_КР_КК[[#This Row],[Уровень КК]]=3),IF(COUNTIFS($U$2:$U1440,$U1440,$F$2:$F1440,$F1440)=1,1,0),IF(COUNTIFS($U$2:$U1440,$U1440,$L$2:$L1440,$L1440)=1,1,0)))</f>
        <v>0</v>
      </c>
      <c r="AA14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0" s="106"/>
      <c r="AC1440" s="51"/>
      <c r="AD1440" s="106" t="s">
        <v>15</v>
      </c>
      <c r="AE1440" s="38" t="s">
        <v>347</v>
      </c>
    </row>
    <row r="1441" spans="1:31" ht="18" customHeight="1" x14ac:dyDescent="0.25">
      <c r="A14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1" s="79">
        <v>4</v>
      </c>
      <c r="C1441" s="23">
        <v>44424</v>
      </c>
      <c r="D1441" s="67">
        <f>IF(COUNTIF($G$2:$G1441,$G1441)=1,1,0)</f>
        <v>0</v>
      </c>
      <c r="E1441" s="67" t="str">
        <f>IFERROR(VLOOKUP(База_КР_КК[[#This Row],[ИД штатной должности (S)]],'уровень защищенности'!$B$7:$F$1095,5,0),"не защищена")</f>
        <v>средний</v>
      </c>
      <c r="F1441" s="68">
        <v>500448</v>
      </c>
      <c r="G1441" s="74" t="s">
        <v>2478</v>
      </c>
      <c r="H1441" s="181">
        <f>INDEX('Списки данных'!$D$2:$D$1048576,MATCH(База_КР_КК[[#This Row],[Структурное подразделение]],'Списки данных'!$C$2:$C$1048576,0))</f>
        <v>15</v>
      </c>
      <c r="I1441" s="80" t="s">
        <v>161</v>
      </c>
      <c r="J1441" s="80" t="s">
        <v>214</v>
      </c>
      <c r="K1441" s="80" t="s">
        <v>21</v>
      </c>
      <c r="L1441" s="30" t="s">
        <v>191</v>
      </c>
      <c r="M1441" s="68">
        <v>7</v>
      </c>
      <c r="N1441" s="181" t="str">
        <f t="shared" si="23"/>
        <v>нет</v>
      </c>
      <c r="O1441" s="23"/>
      <c r="P1441" s="23"/>
      <c r="Q1441" s="106"/>
      <c r="R1441" s="37">
        <v>309</v>
      </c>
      <c r="S1441" s="39" t="s">
        <v>721</v>
      </c>
      <c r="T1441" s="37">
        <v>1388</v>
      </c>
      <c r="U1441" s="39" t="s">
        <v>1771</v>
      </c>
      <c r="V1441" s="69" t="s">
        <v>272</v>
      </c>
      <c r="W1441" s="89" t="s">
        <v>161</v>
      </c>
      <c r="X1441" s="106" t="s">
        <v>297</v>
      </c>
      <c r="Y1441" s="107" t="s">
        <v>12</v>
      </c>
      <c r="Z1441" s="67">
        <f>IF(База_КР_КК[[#This Row],[Таб.номер резервиста]]="-","-",IF(OR(База_КР_КК[[#This Row],[Уровень КК]]=2,База_КР_КК[[#This Row],[Уровень КК]]=3),IF(COUNTIFS($U$2:$U1441,$U1441,$F$2:$F1441,$F1441)=1,1,0),IF(COUNTIFS($U$2:$U1441,$U1441,$L$2:$L1441,$L1441)=1,1,0)))</f>
        <v>0</v>
      </c>
      <c r="AA14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1" s="106"/>
      <c r="AC1441" s="51"/>
      <c r="AD1441" s="106" t="s">
        <v>15</v>
      </c>
      <c r="AE1441" s="38" t="s">
        <v>347</v>
      </c>
    </row>
    <row r="1442" spans="1:31" ht="18" customHeight="1" x14ac:dyDescent="0.25">
      <c r="A14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2" s="79">
        <v>4</v>
      </c>
      <c r="C1442" s="23">
        <v>44887</v>
      </c>
      <c r="D1442" s="67">
        <f>IF(COUNTIF($G$2:$G1442,$G1442)=1,1,0)</f>
        <v>0</v>
      </c>
      <c r="E1442" s="67" t="str">
        <f>IFERROR(VLOOKUP(База_КР_КК[[#This Row],[ИД штатной должности (S)]],'уровень защищенности'!$B$7:$F$1095,5,0),"не защищена")</f>
        <v>средний</v>
      </c>
      <c r="F1442" s="68">
        <v>500448</v>
      </c>
      <c r="G1442" s="74" t="s">
        <v>2478</v>
      </c>
      <c r="H1442" s="181">
        <f>INDEX('Списки данных'!$D$2:$D$1048576,MATCH(База_КР_КК[[#This Row],[Структурное подразделение]],'Списки данных'!$C$2:$C$1048576,0))</f>
        <v>15</v>
      </c>
      <c r="I1442" s="80" t="s">
        <v>161</v>
      </c>
      <c r="J1442" s="80" t="s">
        <v>214</v>
      </c>
      <c r="K1442" s="80" t="s">
        <v>21</v>
      </c>
      <c r="L1442" s="30" t="s">
        <v>191</v>
      </c>
      <c r="M1442" s="68">
        <v>7</v>
      </c>
      <c r="N1442" s="181" t="str">
        <f t="shared" si="23"/>
        <v>нет</v>
      </c>
      <c r="O1442" s="23"/>
      <c r="P1442" s="23"/>
      <c r="Q1442" s="106"/>
      <c r="R1442" s="37">
        <v>309</v>
      </c>
      <c r="S1442" s="39" t="s">
        <v>721</v>
      </c>
      <c r="T1442" s="37">
        <v>1389</v>
      </c>
      <c r="U1442" s="39" t="s">
        <v>1772</v>
      </c>
      <c r="V1442" s="69" t="s">
        <v>272</v>
      </c>
      <c r="W1442" s="89" t="s">
        <v>161</v>
      </c>
      <c r="X1442" s="106" t="s">
        <v>297</v>
      </c>
      <c r="Y1442" s="107" t="s">
        <v>12</v>
      </c>
      <c r="Z1442" s="67">
        <f>IF(База_КР_КК[[#This Row],[Таб.номер резервиста]]="-","-",IF(OR(База_КР_КК[[#This Row],[Уровень КК]]=2,База_КР_КК[[#This Row],[Уровень КК]]=3),IF(COUNTIFS($U$2:$U1442,$U1442,$F$2:$F1442,$F1442)=1,1,0),IF(COUNTIFS($U$2:$U1442,$U1442,$L$2:$L1442,$L1442)=1,1,0)))</f>
        <v>0</v>
      </c>
      <c r="AA14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2" s="106"/>
      <c r="AC1442" s="51"/>
      <c r="AD1442" s="106" t="s">
        <v>15</v>
      </c>
      <c r="AE1442" s="40" t="s">
        <v>310</v>
      </c>
    </row>
    <row r="1443" spans="1:31" ht="18" customHeight="1" x14ac:dyDescent="0.25">
      <c r="A14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3" s="79">
        <v>4</v>
      </c>
      <c r="C1443" s="23">
        <v>44424</v>
      </c>
      <c r="D1443" s="67">
        <f>IF(COUNTIF($G$2:$G1443,$G1443)=1,1,0)</f>
        <v>0</v>
      </c>
      <c r="E1443" s="67" t="str">
        <f>IFERROR(VLOOKUP(База_КР_КК[[#This Row],[ИД штатной должности (S)]],'уровень защищенности'!$B$7:$F$1095,5,0),"не защищена")</f>
        <v>средний</v>
      </c>
      <c r="F1443" s="68">
        <v>500448</v>
      </c>
      <c r="G1443" s="74" t="s">
        <v>2478</v>
      </c>
      <c r="H1443" s="181">
        <f>INDEX('Списки данных'!$D$2:$D$1048576,MATCH(База_КР_КК[[#This Row],[Структурное подразделение]],'Списки данных'!$C$2:$C$1048576,0))</f>
        <v>15</v>
      </c>
      <c r="I1443" s="80" t="s">
        <v>161</v>
      </c>
      <c r="J1443" s="80" t="s">
        <v>214</v>
      </c>
      <c r="K1443" s="80" t="s">
        <v>21</v>
      </c>
      <c r="L1443" s="30" t="s">
        <v>191</v>
      </c>
      <c r="M1443" s="68">
        <v>7</v>
      </c>
      <c r="N1443" s="181" t="str">
        <f t="shared" si="23"/>
        <v>нет</v>
      </c>
      <c r="O1443" s="23"/>
      <c r="P1443" s="23"/>
      <c r="Q1443" s="106"/>
      <c r="R1443" s="37">
        <v>309</v>
      </c>
      <c r="S1443" s="39" t="s">
        <v>721</v>
      </c>
      <c r="T1443" s="37">
        <v>1390</v>
      </c>
      <c r="U1443" s="39" t="s">
        <v>1773</v>
      </c>
      <c r="V1443" s="69" t="s">
        <v>272</v>
      </c>
      <c r="W1443" s="89" t="s">
        <v>161</v>
      </c>
      <c r="X1443" s="106" t="s">
        <v>297</v>
      </c>
      <c r="Y1443" s="107" t="s">
        <v>18</v>
      </c>
      <c r="Z1443" s="67">
        <f>IF(База_КР_КК[[#This Row],[Таб.номер резервиста]]="-","-",IF(OR(База_КР_КК[[#This Row],[Уровень КК]]=2,База_КР_КК[[#This Row],[Уровень КК]]=3),IF(COUNTIFS($U$2:$U1443,$U1443,$F$2:$F1443,$F1443)=1,1,0),IF(COUNTIFS($U$2:$U1443,$U1443,$L$2:$L1443,$L1443)=1,1,0)))</f>
        <v>0</v>
      </c>
      <c r="AA14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3" s="106" t="s">
        <v>38</v>
      </c>
      <c r="AC1443" s="51">
        <v>44887</v>
      </c>
      <c r="AD1443" s="106" t="s">
        <v>15</v>
      </c>
      <c r="AE1443" s="38" t="s">
        <v>347</v>
      </c>
    </row>
    <row r="1444" spans="1:31" ht="18" customHeight="1" x14ac:dyDescent="0.25">
      <c r="A14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4" s="79">
        <v>4</v>
      </c>
      <c r="C1444" s="23">
        <v>44424</v>
      </c>
      <c r="D1444" s="67">
        <f>IF(COUNTIF($G$2:$G1444,$G1444)=1,1,0)</f>
        <v>1</v>
      </c>
      <c r="E1444" s="67" t="str">
        <f>IFERROR(VLOOKUP(База_КР_КК[[#This Row],[ИД штатной должности (S)]],'уровень защищенности'!$B$7:$F$1095,5,0),"не защищена")</f>
        <v>средний</v>
      </c>
      <c r="F1444" s="68">
        <v>500448</v>
      </c>
      <c r="G1444" s="74" t="s">
        <v>2479</v>
      </c>
      <c r="H1444" s="181">
        <f>INDEX('Списки данных'!$D$2:$D$1048576,MATCH(База_КР_КК[[#This Row],[Структурное подразделение]],'Списки данных'!$C$2:$C$1048576,0))</f>
        <v>15</v>
      </c>
      <c r="I1444" s="80" t="s">
        <v>161</v>
      </c>
      <c r="J1444" s="80" t="s">
        <v>214</v>
      </c>
      <c r="K1444" s="80" t="s">
        <v>21</v>
      </c>
      <c r="L1444" s="30" t="s">
        <v>191</v>
      </c>
      <c r="M1444" s="68">
        <v>7</v>
      </c>
      <c r="N1444" s="181" t="str">
        <f t="shared" si="23"/>
        <v>нет</v>
      </c>
      <c r="O1444" s="23"/>
      <c r="P1444" s="23"/>
      <c r="Q1444" s="106"/>
      <c r="R1444" s="37">
        <v>310</v>
      </c>
      <c r="S1444" s="38" t="s">
        <v>722</v>
      </c>
      <c r="T1444" s="37">
        <v>1387</v>
      </c>
      <c r="U1444" s="39" t="s">
        <v>1770</v>
      </c>
      <c r="V1444" s="69" t="s">
        <v>272</v>
      </c>
      <c r="W1444" s="89" t="s">
        <v>161</v>
      </c>
      <c r="X1444" s="106" t="s">
        <v>297</v>
      </c>
      <c r="Y1444" s="107" t="s">
        <v>12</v>
      </c>
      <c r="Z1444" s="67">
        <f>IF(База_КР_КК[[#This Row],[Таб.номер резервиста]]="-","-",IF(OR(База_КР_КК[[#This Row],[Уровень КК]]=2,База_КР_КК[[#This Row],[Уровень КК]]=3),IF(COUNTIFS($U$2:$U1444,$U1444,$F$2:$F1444,$F1444)=1,1,0),IF(COUNTIFS($U$2:$U1444,$U1444,$L$2:$L1444,$L1444)=1,1,0)))</f>
        <v>0</v>
      </c>
      <c r="AA14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4" s="106"/>
      <c r="AC1444" s="51"/>
      <c r="AD1444" s="106" t="s">
        <v>15</v>
      </c>
      <c r="AE1444" s="38" t="s">
        <v>347</v>
      </c>
    </row>
    <row r="1445" spans="1:31" ht="18" customHeight="1" x14ac:dyDescent="0.25">
      <c r="A14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5" s="79">
        <v>4</v>
      </c>
      <c r="C1445" s="23">
        <v>44424</v>
      </c>
      <c r="D1445" s="67">
        <f>IF(COUNTIF($G$2:$G1445,$G1445)=1,1,0)</f>
        <v>0</v>
      </c>
      <c r="E1445" s="67" t="str">
        <f>IFERROR(VLOOKUP(База_КР_КК[[#This Row],[ИД штатной должности (S)]],'уровень защищенности'!$B$7:$F$1095,5,0),"не защищена")</f>
        <v>средний</v>
      </c>
      <c r="F1445" s="68">
        <v>500448</v>
      </c>
      <c r="G1445" s="74" t="s">
        <v>2479</v>
      </c>
      <c r="H1445" s="181">
        <f>INDEX('Списки данных'!$D$2:$D$1048576,MATCH(База_КР_КК[[#This Row],[Структурное подразделение]],'Списки данных'!$C$2:$C$1048576,0))</f>
        <v>15</v>
      </c>
      <c r="I1445" s="80" t="s">
        <v>161</v>
      </c>
      <c r="J1445" s="80" t="s">
        <v>214</v>
      </c>
      <c r="K1445" s="80" t="s">
        <v>21</v>
      </c>
      <c r="L1445" s="30" t="s">
        <v>191</v>
      </c>
      <c r="M1445" s="68">
        <v>7</v>
      </c>
      <c r="N1445" s="181" t="str">
        <f t="shared" si="23"/>
        <v>нет</v>
      </c>
      <c r="O1445" s="23"/>
      <c r="P1445" s="23"/>
      <c r="Q1445" s="106"/>
      <c r="R1445" s="37">
        <v>310</v>
      </c>
      <c r="S1445" s="38" t="s">
        <v>722</v>
      </c>
      <c r="T1445" s="37">
        <v>1388</v>
      </c>
      <c r="U1445" s="39" t="s">
        <v>1771</v>
      </c>
      <c r="V1445" s="69" t="s">
        <v>272</v>
      </c>
      <c r="W1445" s="89" t="s">
        <v>161</v>
      </c>
      <c r="X1445" s="106" t="s">
        <v>297</v>
      </c>
      <c r="Y1445" s="107" t="s">
        <v>12</v>
      </c>
      <c r="Z1445" s="67">
        <f>IF(База_КР_КК[[#This Row],[Таб.номер резервиста]]="-","-",IF(OR(База_КР_КК[[#This Row],[Уровень КК]]=2,База_КР_КК[[#This Row],[Уровень КК]]=3),IF(COUNTIFS($U$2:$U1445,$U1445,$F$2:$F1445,$F1445)=1,1,0),IF(COUNTIFS($U$2:$U1445,$U1445,$L$2:$L1445,$L1445)=1,1,0)))</f>
        <v>0</v>
      </c>
      <c r="AA14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5" s="106"/>
      <c r="AC1445" s="51"/>
      <c r="AD1445" s="106" t="s">
        <v>15</v>
      </c>
      <c r="AE1445" s="38" t="s">
        <v>347</v>
      </c>
    </row>
    <row r="1446" spans="1:31" ht="18" customHeight="1" x14ac:dyDescent="0.25">
      <c r="A14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6" s="79">
        <v>4</v>
      </c>
      <c r="C1446" s="23">
        <v>44887</v>
      </c>
      <c r="D1446" s="67">
        <f>IF(COUNTIF($G$2:$G1446,$G1446)=1,1,0)</f>
        <v>0</v>
      </c>
      <c r="E1446" s="67" t="str">
        <f>IFERROR(VLOOKUP(База_КР_КК[[#This Row],[ИД штатной должности (S)]],'уровень защищенности'!$B$7:$F$1095,5,0),"не защищена")</f>
        <v>средний</v>
      </c>
      <c r="F1446" s="68">
        <v>500448</v>
      </c>
      <c r="G1446" s="74" t="s">
        <v>2479</v>
      </c>
      <c r="H1446" s="181">
        <f>INDEX('Списки данных'!$D$2:$D$1048576,MATCH(База_КР_КК[[#This Row],[Структурное подразделение]],'Списки данных'!$C$2:$C$1048576,0))</f>
        <v>15</v>
      </c>
      <c r="I1446" s="80" t="s">
        <v>161</v>
      </c>
      <c r="J1446" s="80" t="s">
        <v>214</v>
      </c>
      <c r="K1446" s="80" t="s">
        <v>21</v>
      </c>
      <c r="L1446" s="30" t="s">
        <v>191</v>
      </c>
      <c r="M1446" s="68">
        <v>7</v>
      </c>
      <c r="N1446" s="181" t="str">
        <f t="shared" si="23"/>
        <v>нет</v>
      </c>
      <c r="O1446" s="23"/>
      <c r="P1446" s="23"/>
      <c r="Q1446" s="106"/>
      <c r="R1446" s="37">
        <v>310</v>
      </c>
      <c r="S1446" s="38" t="s">
        <v>722</v>
      </c>
      <c r="T1446" s="37">
        <v>1389</v>
      </c>
      <c r="U1446" s="39" t="s">
        <v>1772</v>
      </c>
      <c r="V1446" s="69" t="s">
        <v>272</v>
      </c>
      <c r="W1446" s="89" t="s">
        <v>161</v>
      </c>
      <c r="X1446" s="106" t="s">
        <v>297</v>
      </c>
      <c r="Y1446" s="107" t="s">
        <v>12</v>
      </c>
      <c r="Z1446" s="67">
        <f>IF(База_КР_КК[[#This Row],[Таб.номер резервиста]]="-","-",IF(OR(База_КР_КК[[#This Row],[Уровень КК]]=2,База_КР_КК[[#This Row],[Уровень КК]]=3),IF(COUNTIFS($U$2:$U1446,$U1446,$F$2:$F1446,$F1446)=1,1,0),IF(COUNTIFS($U$2:$U1446,$U1446,$L$2:$L1446,$L1446)=1,1,0)))</f>
        <v>0</v>
      </c>
      <c r="AA14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6" s="106"/>
      <c r="AC1446" s="51"/>
      <c r="AD1446" s="106" t="s">
        <v>15</v>
      </c>
      <c r="AE1446" s="40" t="s">
        <v>310</v>
      </c>
    </row>
    <row r="1447" spans="1:31" ht="18" customHeight="1" x14ac:dyDescent="0.25">
      <c r="A14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7" s="79">
        <v>4</v>
      </c>
      <c r="C1447" s="23">
        <v>44424</v>
      </c>
      <c r="D1447" s="67">
        <f>IF(COUNTIF($G$2:$G1447,$G1447)=1,1,0)</f>
        <v>0</v>
      </c>
      <c r="E1447" s="67" t="str">
        <f>IFERROR(VLOOKUP(База_КР_КК[[#This Row],[ИД штатной должности (S)]],'уровень защищенности'!$B$7:$F$1095,5,0),"не защищена")</f>
        <v>средний</v>
      </c>
      <c r="F1447" s="68">
        <v>500448</v>
      </c>
      <c r="G1447" s="74" t="s">
        <v>2479</v>
      </c>
      <c r="H1447" s="181">
        <f>INDEX('Списки данных'!$D$2:$D$1048576,MATCH(База_КР_КК[[#This Row],[Структурное подразделение]],'Списки данных'!$C$2:$C$1048576,0))</f>
        <v>15</v>
      </c>
      <c r="I1447" s="80" t="s">
        <v>161</v>
      </c>
      <c r="J1447" s="80" t="s">
        <v>214</v>
      </c>
      <c r="K1447" s="80" t="s">
        <v>21</v>
      </c>
      <c r="L1447" s="30" t="s">
        <v>191</v>
      </c>
      <c r="M1447" s="68">
        <v>7</v>
      </c>
      <c r="N1447" s="181" t="str">
        <f t="shared" si="23"/>
        <v>нет</v>
      </c>
      <c r="O1447" s="23"/>
      <c r="P1447" s="23"/>
      <c r="Q1447" s="106"/>
      <c r="R1447" s="37">
        <v>310</v>
      </c>
      <c r="S1447" s="38" t="s">
        <v>722</v>
      </c>
      <c r="T1447" s="37">
        <v>1390</v>
      </c>
      <c r="U1447" s="39" t="s">
        <v>1773</v>
      </c>
      <c r="V1447" s="69" t="s">
        <v>272</v>
      </c>
      <c r="W1447" s="89" t="s">
        <v>161</v>
      </c>
      <c r="X1447" s="106" t="s">
        <v>297</v>
      </c>
      <c r="Y1447" s="107" t="s">
        <v>18</v>
      </c>
      <c r="Z1447" s="67">
        <f>IF(База_КР_КК[[#This Row],[Таб.номер резервиста]]="-","-",IF(OR(База_КР_КК[[#This Row],[Уровень КК]]=2,База_КР_КК[[#This Row],[Уровень КК]]=3),IF(COUNTIFS($U$2:$U1447,$U1447,$F$2:$F1447,$F1447)=1,1,0),IF(COUNTIFS($U$2:$U1447,$U1447,$L$2:$L1447,$L1447)=1,1,0)))</f>
        <v>0</v>
      </c>
      <c r="AA14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7" s="106" t="s">
        <v>38</v>
      </c>
      <c r="AC1447" s="51">
        <v>44887</v>
      </c>
      <c r="AD1447" s="106" t="s">
        <v>15</v>
      </c>
      <c r="AE1447" s="38" t="s">
        <v>347</v>
      </c>
    </row>
    <row r="1448" spans="1:31" ht="18" customHeight="1" x14ac:dyDescent="0.25">
      <c r="A14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8" s="79">
        <v>4</v>
      </c>
      <c r="C1448" s="23">
        <v>44424</v>
      </c>
      <c r="D1448" s="67">
        <f>IF(COUNTIF($G$2:$G1448,$G1448)=1,1,0)</f>
        <v>1</v>
      </c>
      <c r="E1448" s="67" t="str">
        <f>IFERROR(VLOOKUP(База_КР_КК[[#This Row],[ИД штатной должности (S)]],'уровень защищенности'!$B$7:$F$1095,5,0),"не защищена")</f>
        <v>низкий</v>
      </c>
      <c r="F1448" s="68">
        <v>500449</v>
      </c>
      <c r="G1448" s="74" t="s">
        <v>2480</v>
      </c>
      <c r="H1448" s="181">
        <f>INDEX('Списки данных'!$D$2:$D$1048576,MATCH(База_КР_КК[[#This Row],[Структурное подразделение]],'Списки данных'!$C$2:$C$1048576,0))</f>
        <v>15</v>
      </c>
      <c r="I1448" s="80" t="s">
        <v>161</v>
      </c>
      <c r="J1448" s="80" t="s">
        <v>214</v>
      </c>
      <c r="K1448" s="80" t="s">
        <v>21</v>
      </c>
      <c r="L1448" s="30" t="s">
        <v>192</v>
      </c>
      <c r="M1448" s="68">
        <v>7</v>
      </c>
      <c r="N1448" s="181" t="str">
        <f t="shared" si="23"/>
        <v>нет</v>
      </c>
      <c r="O1448" s="23"/>
      <c r="P1448" s="23"/>
      <c r="Q1448" s="106"/>
      <c r="R1448" s="37">
        <v>311</v>
      </c>
      <c r="S1448" s="38" t="s">
        <v>723</v>
      </c>
      <c r="T1448" s="37">
        <v>1391</v>
      </c>
      <c r="U1448" s="39" t="s">
        <v>1774</v>
      </c>
      <c r="V1448" s="69" t="s">
        <v>272</v>
      </c>
      <c r="W1448" s="89" t="s">
        <v>161</v>
      </c>
      <c r="X1448" s="106" t="s">
        <v>296</v>
      </c>
      <c r="Y1448" s="107" t="s">
        <v>12</v>
      </c>
      <c r="Z1448" s="67">
        <f>IF(База_КР_КК[[#This Row],[Таб.номер резервиста]]="-","-",IF(OR(База_КР_КК[[#This Row],[Уровень КК]]=2,База_КР_КК[[#This Row],[Уровень КК]]=3),IF(COUNTIFS($U$2:$U1448,$U1448,$F$2:$F1448,$F1448)=1,1,0),IF(COUNTIFS($U$2:$U1448,$U1448,$L$2:$L1448,$L1448)=1,1,0)))</f>
        <v>1</v>
      </c>
      <c r="AA14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8" s="106"/>
      <c r="AC1448" s="51"/>
      <c r="AD1448" s="106" t="s">
        <v>15</v>
      </c>
      <c r="AE1448" s="38" t="s">
        <v>347</v>
      </c>
    </row>
    <row r="1449" spans="1:31" ht="18" customHeight="1" x14ac:dyDescent="0.25">
      <c r="A14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49" s="79">
        <v>4</v>
      </c>
      <c r="C1449" s="23">
        <v>44424</v>
      </c>
      <c r="D1449" s="67">
        <f>IF(COUNTIF($G$2:$G1449,$G1449)=1,1,0)</f>
        <v>1</v>
      </c>
      <c r="E1449" s="67" t="str">
        <f>IFERROR(VLOOKUP(База_КР_КК[[#This Row],[ИД штатной должности (S)]],'уровень защищенности'!$B$7:$F$1095,5,0),"не защищена")</f>
        <v>низкий</v>
      </c>
      <c r="F1449" s="68">
        <v>500450</v>
      </c>
      <c r="G1449" s="74" t="s">
        <v>2481</v>
      </c>
      <c r="H1449" s="181">
        <f>INDEX('Списки данных'!$D$2:$D$1048576,MATCH(База_КР_КК[[#This Row],[Структурное подразделение]],'Списки данных'!$C$2:$C$1048576,0))</f>
        <v>15</v>
      </c>
      <c r="I1449" s="80" t="s">
        <v>161</v>
      </c>
      <c r="J1449" s="80" t="s">
        <v>214</v>
      </c>
      <c r="K1449" s="80" t="s">
        <v>21</v>
      </c>
      <c r="L1449" s="30" t="s">
        <v>192</v>
      </c>
      <c r="M1449" s="68">
        <v>7</v>
      </c>
      <c r="N1449" s="181" t="str">
        <f t="shared" si="23"/>
        <v>нет</v>
      </c>
      <c r="O1449" s="23"/>
      <c r="P1449" s="23"/>
      <c r="Q1449" s="106"/>
      <c r="R1449" s="37">
        <v>312</v>
      </c>
      <c r="S1449" s="38" t="s">
        <v>724</v>
      </c>
      <c r="T1449" s="37">
        <v>1392</v>
      </c>
      <c r="U1449" s="39" t="s">
        <v>1775</v>
      </c>
      <c r="V1449" s="69" t="s">
        <v>272</v>
      </c>
      <c r="W1449" s="89" t="s">
        <v>161</v>
      </c>
      <c r="X1449" s="106" t="s">
        <v>296</v>
      </c>
      <c r="Y1449" s="107" t="s">
        <v>12</v>
      </c>
      <c r="Z1449" s="67">
        <f>IF(База_КР_КК[[#This Row],[Таб.номер резервиста]]="-","-",IF(OR(База_КР_КК[[#This Row],[Уровень КК]]=2,База_КР_КК[[#This Row],[Уровень КК]]=3),IF(COUNTIFS($U$2:$U1449,$U1449,$F$2:$F1449,$F1449)=1,1,0),IF(COUNTIFS($U$2:$U1449,$U1449,$L$2:$L1449,$L1449)=1,1,0)))</f>
        <v>1</v>
      </c>
      <c r="AA14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49" s="106"/>
      <c r="AC1449" s="51"/>
      <c r="AD1449" s="106" t="s">
        <v>15</v>
      </c>
      <c r="AE1449" s="38" t="s">
        <v>347</v>
      </c>
    </row>
    <row r="1450" spans="1:31" ht="18" customHeight="1" x14ac:dyDescent="0.25">
      <c r="A14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0" s="79">
        <v>3</v>
      </c>
      <c r="C1450" s="23">
        <v>43557</v>
      </c>
      <c r="D1450" s="67">
        <f>IF(COUNTIF($G$2:$G1450,$G1450)=1,1,0)</f>
        <v>1</v>
      </c>
      <c r="E1450" s="67" t="str">
        <f>IFERROR(VLOOKUP(База_КР_КК[[#This Row],[ИД штатной должности (S)]],'уровень защищенности'!$B$7:$F$1095,5,0),"не защищена")</f>
        <v>высокий</v>
      </c>
      <c r="F1450" s="68">
        <v>500041</v>
      </c>
      <c r="G1450" s="74" t="s">
        <v>2482</v>
      </c>
      <c r="H1450" s="181">
        <f>INDEX('Списки данных'!$D$2:$D$1048576,MATCH(База_КР_КК[[#This Row],[Структурное подразделение]],'Списки данных'!$C$2:$C$1048576,0))</f>
        <v>238</v>
      </c>
      <c r="I1450" s="80" t="s">
        <v>170</v>
      </c>
      <c r="J1450" s="80" t="s">
        <v>216</v>
      </c>
      <c r="K1450" s="80" t="s">
        <v>21</v>
      </c>
      <c r="L1450" s="30" t="s">
        <v>183</v>
      </c>
      <c r="M1450" s="68">
        <v>5</v>
      </c>
      <c r="N1450" s="181" t="str">
        <f t="shared" si="23"/>
        <v>нет</v>
      </c>
      <c r="O1450" s="23"/>
      <c r="P1450" s="23"/>
      <c r="Q1450" s="106"/>
      <c r="R1450" s="37">
        <v>313</v>
      </c>
      <c r="S1450" s="38" t="s">
        <v>725</v>
      </c>
      <c r="T1450" s="37">
        <v>371</v>
      </c>
      <c r="U1450" s="39" t="s">
        <v>783</v>
      </c>
      <c r="V1450" s="89" t="s">
        <v>187</v>
      </c>
      <c r="W1450" s="89" t="s">
        <v>170</v>
      </c>
      <c r="X1450" s="106" t="s">
        <v>295</v>
      </c>
      <c r="Y1450" s="107" t="s">
        <v>12</v>
      </c>
      <c r="Z1450" s="67">
        <f>IF(База_КР_КК[[#This Row],[Таб.номер резервиста]]="-","-",IF(OR(База_КР_КК[[#This Row],[Уровень КК]]=2,База_КР_КК[[#This Row],[Уровень КК]]=3),IF(COUNTIFS($U$2:$U1450,$U1450,$F$2:$F1450,$F1450)=1,1,0),IF(COUNTIFS($U$2:$U1450,$U1450,$L$2:$L1450,$L1450)=1,1,0)))</f>
        <v>1</v>
      </c>
      <c r="AA14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0" s="106"/>
      <c r="AC1450" s="51"/>
      <c r="AD1450" s="106" t="s">
        <v>13</v>
      </c>
      <c r="AE1450" s="38" t="s">
        <v>303</v>
      </c>
    </row>
    <row r="1451" spans="1:31" ht="18" customHeight="1" x14ac:dyDescent="0.25">
      <c r="A14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1" s="79">
        <v>3</v>
      </c>
      <c r="C1451" s="23">
        <v>43557</v>
      </c>
      <c r="D1451" s="67">
        <f>IF(COUNTIF($G$2:$G1451,$G1451)=1,1,0)</f>
        <v>0</v>
      </c>
      <c r="E1451" s="67" t="str">
        <f>IFERROR(VLOOKUP(База_КР_КК[[#This Row],[ИД штатной должности (S)]],'уровень защищенности'!$B$7:$F$1095,5,0),"не защищена")</f>
        <v>высокий</v>
      </c>
      <c r="F1451" s="68">
        <v>500041</v>
      </c>
      <c r="G1451" s="74" t="s">
        <v>2482</v>
      </c>
      <c r="H1451" s="181">
        <f>INDEX('Списки данных'!$D$2:$D$1048576,MATCH(База_КР_КК[[#This Row],[Структурное подразделение]],'Списки данных'!$C$2:$C$1048576,0))</f>
        <v>238</v>
      </c>
      <c r="I1451" s="80" t="s">
        <v>170</v>
      </c>
      <c r="J1451" s="80" t="s">
        <v>216</v>
      </c>
      <c r="K1451" s="80" t="s">
        <v>21</v>
      </c>
      <c r="L1451" s="30" t="s">
        <v>183</v>
      </c>
      <c r="M1451" s="68">
        <v>5</v>
      </c>
      <c r="N1451" s="181" t="str">
        <f t="shared" si="23"/>
        <v>нет</v>
      </c>
      <c r="O1451" s="23"/>
      <c r="P1451" s="23"/>
      <c r="Q1451" s="106"/>
      <c r="R1451" s="37">
        <v>313</v>
      </c>
      <c r="S1451" s="38" t="s">
        <v>725</v>
      </c>
      <c r="T1451" s="37">
        <v>1393</v>
      </c>
      <c r="U1451" s="39" t="s">
        <v>1776</v>
      </c>
      <c r="V1451" s="89" t="s">
        <v>189</v>
      </c>
      <c r="W1451" s="89" t="s">
        <v>170</v>
      </c>
      <c r="X1451" s="106" t="s">
        <v>295</v>
      </c>
      <c r="Y1451" s="107" t="s">
        <v>12</v>
      </c>
      <c r="Z1451" s="67">
        <f>IF(База_КР_КК[[#This Row],[Таб.номер резервиста]]="-","-",IF(OR(База_КР_КК[[#This Row],[Уровень КК]]=2,База_КР_КК[[#This Row],[Уровень КК]]=3),IF(COUNTIFS($U$2:$U1451,$U1451,$F$2:$F1451,$F1451)=1,1,0),IF(COUNTIFS($U$2:$U1451,$U1451,$L$2:$L1451,$L1451)=1,1,0)))</f>
        <v>1</v>
      </c>
      <c r="AA14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1" s="106"/>
      <c r="AC1451" s="51"/>
      <c r="AD1451" s="106" t="s">
        <v>13</v>
      </c>
      <c r="AE1451" s="38" t="s">
        <v>303</v>
      </c>
    </row>
    <row r="1452" spans="1:31" ht="18" customHeight="1" x14ac:dyDescent="0.25">
      <c r="A14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2" s="79">
        <v>4</v>
      </c>
      <c r="C1452" s="23">
        <v>44887</v>
      </c>
      <c r="D1452" s="67">
        <f>IF(COUNTIF($G$2:$G1452,$G1452)=1,1,0)</f>
        <v>1</v>
      </c>
      <c r="E1452" s="67" t="str">
        <f>IFERROR(VLOOKUP(База_КР_КК[[#This Row],[ИД штатной должности (S)]],'уровень защищенности'!$B$7:$F$1095,5,0),"не защищена")</f>
        <v>низкий</v>
      </c>
      <c r="F1452" s="68">
        <v>500451</v>
      </c>
      <c r="G1452" s="74" t="s">
        <v>2483</v>
      </c>
      <c r="H1452" s="181">
        <f>INDEX('Списки данных'!$D$2:$D$1048576,MATCH(База_КР_КК[[#This Row],[Структурное подразделение]],'Списки данных'!$C$2:$C$1048576,0))</f>
        <v>15</v>
      </c>
      <c r="I1452" s="80" t="s">
        <v>161</v>
      </c>
      <c r="J1452" s="80" t="s">
        <v>214</v>
      </c>
      <c r="K1452" s="80" t="s">
        <v>21</v>
      </c>
      <c r="L1452" s="30" t="s">
        <v>192</v>
      </c>
      <c r="M1452" s="68">
        <v>7</v>
      </c>
      <c r="N1452" s="181" t="str">
        <f t="shared" si="23"/>
        <v>нет</v>
      </c>
      <c r="O1452" s="23"/>
      <c r="P1452" s="23"/>
      <c r="Q1452" s="107"/>
      <c r="R1452" s="37">
        <v>314</v>
      </c>
      <c r="S1452" s="38" t="s">
        <v>726</v>
      </c>
      <c r="T1452" s="37">
        <v>1394</v>
      </c>
      <c r="U1452" s="39" t="s">
        <v>1777</v>
      </c>
      <c r="V1452" s="69" t="s">
        <v>272</v>
      </c>
      <c r="W1452" s="89" t="s">
        <v>161</v>
      </c>
      <c r="X1452" s="106" t="s">
        <v>296</v>
      </c>
      <c r="Y1452" s="107" t="s">
        <v>12</v>
      </c>
      <c r="Z1452" s="67">
        <f>IF(База_КР_КК[[#This Row],[Таб.номер резервиста]]="-","-",IF(OR(База_КР_КК[[#This Row],[Уровень КК]]=2,База_КР_КК[[#This Row],[Уровень КК]]=3),IF(COUNTIFS($U$2:$U1452,$U1452,$F$2:$F1452,$F1452)=1,1,0),IF(COUNTIFS($U$2:$U1452,$U1452,$L$2:$L1452,$L1452)=1,1,0)))</f>
        <v>1</v>
      </c>
      <c r="AA14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2" s="106"/>
      <c r="AC1452" s="51"/>
      <c r="AD1452" s="106" t="s">
        <v>15</v>
      </c>
      <c r="AE1452" s="40" t="s">
        <v>310</v>
      </c>
    </row>
    <row r="1453" spans="1:31" ht="18" customHeight="1" x14ac:dyDescent="0.25">
      <c r="A14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3" s="79">
        <v>3</v>
      </c>
      <c r="C1453" s="23">
        <v>43425</v>
      </c>
      <c r="D1453" s="67">
        <f>IF(COUNTIF($G$2:$G1453,$G1453)=1,1,0)</f>
        <v>1</v>
      </c>
      <c r="E1453" s="67" t="str">
        <f>IFERROR(VLOOKUP(База_КР_КК[[#This Row],[ИД штатной должности (S)]],'уровень защищенности'!$B$7:$F$1095,5,0),"не защищена")</f>
        <v>высокий</v>
      </c>
      <c r="F1453" s="68">
        <v>500452</v>
      </c>
      <c r="G1453" s="74" t="s">
        <v>2484</v>
      </c>
      <c r="H1453" s="181">
        <f>INDEX('Списки данных'!$D$2:$D$1048576,MATCH(База_КР_КК[[#This Row],[Структурное подразделение]],'Списки данных'!$C$2:$C$1048576,0))</f>
        <v>15</v>
      </c>
      <c r="I1453" s="80" t="s">
        <v>161</v>
      </c>
      <c r="J1453" s="80" t="s">
        <v>214</v>
      </c>
      <c r="K1453" s="80" t="s">
        <v>21</v>
      </c>
      <c r="L1453" s="30" t="s">
        <v>186</v>
      </c>
      <c r="M1453" s="68">
        <v>5</v>
      </c>
      <c r="N1453" s="181" t="str">
        <f t="shared" si="23"/>
        <v>нет</v>
      </c>
      <c r="O1453" s="23"/>
      <c r="P1453" s="23"/>
      <c r="Q1453" s="106"/>
      <c r="R1453" s="37">
        <v>315</v>
      </c>
      <c r="S1453" s="38" t="s">
        <v>727</v>
      </c>
      <c r="T1453" s="37">
        <v>1299</v>
      </c>
      <c r="U1453" s="39" t="s">
        <v>1698</v>
      </c>
      <c r="V1453" s="89" t="s">
        <v>189</v>
      </c>
      <c r="W1453" s="89" t="s">
        <v>161</v>
      </c>
      <c r="X1453" s="106" t="s">
        <v>295</v>
      </c>
      <c r="Y1453" s="107" t="s">
        <v>12</v>
      </c>
      <c r="Z1453" s="67">
        <f>IF(База_КР_КК[[#This Row],[Таб.номер резервиста]]="-","-",IF(OR(База_КР_КК[[#This Row],[Уровень КК]]=2,База_КР_КК[[#This Row],[Уровень КК]]=3),IF(COUNTIFS($U$2:$U1453,$U1453,$F$2:$F1453,$F1453)=1,1,0),IF(COUNTIFS($U$2:$U1453,$U1453,$L$2:$L1453,$L1453)=1,1,0)))</f>
        <v>1</v>
      </c>
      <c r="AA14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3" s="106"/>
      <c r="AC1453" s="51"/>
      <c r="AD1453" s="106" t="s">
        <v>13</v>
      </c>
      <c r="AE1453" s="38" t="s">
        <v>345</v>
      </c>
    </row>
    <row r="1454" spans="1:31" ht="18" customHeight="1" x14ac:dyDescent="0.25">
      <c r="A14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4" s="79">
        <v>3</v>
      </c>
      <c r="C1454" s="23">
        <v>43425</v>
      </c>
      <c r="D1454" s="67">
        <f>IF(COUNTIF($G$2:$G1454,$G1454)=1,1,0)</f>
        <v>0</v>
      </c>
      <c r="E1454" s="67" t="str">
        <f>IFERROR(VLOOKUP(База_КР_КК[[#This Row],[ИД штатной должности (S)]],'уровень защищенности'!$B$7:$F$1095,5,0),"не защищена")</f>
        <v>высокий</v>
      </c>
      <c r="F1454" s="68">
        <v>500452</v>
      </c>
      <c r="G1454" s="74" t="s">
        <v>2484</v>
      </c>
      <c r="H1454" s="181">
        <f>INDEX('Списки данных'!$D$2:$D$1048576,MATCH(База_КР_КК[[#This Row],[Структурное подразделение]],'Списки данных'!$C$2:$C$1048576,0))</f>
        <v>15</v>
      </c>
      <c r="I1454" s="80" t="s">
        <v>161</v>
      </c>
      <c r="J1454" s="80" t="s">
        <v>214</v>
      </c>
      <c r="K1454" s="80" t="s">
        <v>21</v>
      </c>
      <c r="L1454" s="30" t="s">
        <v>186</v>
      </c>
      <c r="M1454" s="68">
        <v>5</v>
      </c>
      <c r="N1454" s="181" t="str">
        <f t="shared" si="23"/>
        <v>нет</v>
      </c>
      <c r="O1454" s="23"/>
      <c r="P1454" s="23"/>
      <c r="Q1454" s="106"/>
      <c r="R1454" s="37">
        <v>315</v>
      </c>
      <c r="S1454" s="38" t="s">
        <v>727</v>
      </c>
      <c r="T1454" s="37">
        <v>314</v>
      </c>
      <c r="U1454" s="39" t="s">
        <v>726</v>
      </c>
      <c r="V1454" s="89" t="s">
        <v>192</v>
      </c>
      <c r="W1454" s="89" t="s">
        <v>161</v>
      </c>
      <c r="X1454" s="106" t="s">
        <v>297</v>
      </c>
      <c r="Y1454" s="107" t="s">
        <v>12</v>
      </c>
      <c r="Z1454" s="67">
        <f>IF(База_КР_КК[[#This Row],[Таб.номер резервиста]]="-","-",IF(OR(База_КР_КК[[#This Row],[Уровень КК]]=2,База_КР_КК[[#This Row],[Уровень КК]]=3),IF(COUNTIFS($U$2:$U1454,$U1454,$F$2:$F1454,$F1454)=1,1,0),IF(COUNTIFS($U$2:$U1454,$U1454,$L$2:$L1454,$L1454)=1,1,0)))</f>
        <v>1</v>
      </c>
      <c r="AA14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4" s="106"/>
      <c r="AC1454" s="51"/>
      <c r="AD1454" s="106" t="s">
        <v>17</v>
      </c>
      <c r="AE1454" s="38" t="s">
        <v>345</v>
      </c>
    </row>
    <row r="1455" spans="1:31" ht="18" customHeight="1" x14ac:dyDescent="0.25">
      <c r="A14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5" s="79">
        <v>3</v>
      </c>
      <c r="C1455" s="23">
        <v>44707</v>
      </c>
      <c r="D1455" s="67">
        <f>IF(COUNTIF($G$2:$G1455,$G1455)=1,1,0)</f>
        <v>0</v>
      </c>
      <c r="E1455" s="67" t="str">
        <f>IFERROR(VLOOKUP(База_КР_КК[[#This Row],[ИД штатной должности (S)]],'уровень защищенности'!$B$7:$F$1095,5,0),"не защищена")</f>
        <v>высокий</v>
      </c>
      <c r="F1455" s="68">
        <v>500452</v>
      </c>
      <c r="G1455" s="74" t="s">
        <v>2484</v>
      </c>
      <c r="H1455" s="181">
        <f>INDEX('Списки данных'!$D$2:$D$1048576,MATCH(База_КР_КК[[#This Row],[Структурное подразделение]],'Списки данных'!$C$2:$C$1048576,0))</f>
        <v>15</v>
      </c>
      <c r="I1455" s="80" t="s">
        <v>161</v>
      </c>
      <c r="J1455" s="80" t="s">
        <v>214</v>
      </c>
      <c r="K1455" s="80" t="s">
        <v>21</v>
      </c>
      <c r="L1455" s="30" t="s">
        <v>186</v>
      </c>
      <c r="M1455" s="68">
        <v>5</v>
      </c>
      <c r="N1455" s="181" t="str">
        <f t="shared" si="23"/>
        <v>нет</v>
      </c>
      <c r="O1455" s="23"/>
      <c r="P1455" s="23"/>
      <c r="Q1455" s="106"/>
      <c r="R1455" s="37">
        <v>315</v>
      </c>
      <c r="S1455" s="38" t="s">
        <v>727</v>
      </c>
      <c r="T1455" s="37">
        <v>1395</v>
      </c>
      <c r="U1455" s="38" t="s">
        <v>1778</v>
      </c>
      <c r="V1455" s="89" t="s">
        <v>189</v>
      </c>
      <c r="W1455" s="89" t="s">
        <v>161</v>
      </c>
      <c r="X1455" s="106" t="s">
        <v>296</v>
      </c>
      <c r="Y1455" s="107" t="s">
        <v>12</v>
      </c>
      <c r="Z1455" s="67">
        <f>IF(База_КР_КК[[#This Row],[Таб.номер резервиста]]="-","-",IF(OR(База_КР_КК[[#This Row],[Уровень КК]]=2,База_КР_КК[[#This Row],[Уровень КК]]=3),IF(COUNTIFS($U$2:$U1455,$U1455,$F$2:$F1455,$F1455)=1,1,0),IF(COUNTIFS($U$2:$U1455,$U1455,$L$2:$L1455,$L1455)=1,1,0)))</f>
        <v>1</v>
      </c>
      <c r="AA14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5" s="106"/>
      <c r="AC1455" s="51"/>
      <c r="AD1455" s="106" t="s">
        <v>15</v>
      </c>
      <c r="AE1455" s="38" t="s">
        <v>345</v>
      </c>
    </row>
    <row r="1456" spans="1:31" ht="18" customHeight="1" x14ac:dyDescent="0.25">
      <c r="A14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6" s="79">
        <v>3</v>
      </c>
      <c r="C1456" s="23">
        <v>44707</v>
      </c>
      <c r="D1456" s="67">
        <f>IF(COUNTIF($G$2:$G1456,$G1456)=1,1,0)</f>
        <v>0</v>
      </c>
      <c r="E1456" s="67" t="str">
        <f>IFERROR(VLOOKUP(База_КР_КК[[#This Row],[ИД штатной должности (S)]],'уровень защищенности'!$B$7:$F$1095,5,0),"не защищена")</f>
        <v>высокий</v>
      </c>
      <c r="F1456" s="68">
        <v>500452</v>
      </c>
      <c r="G1456" s="74" t="s">
        <v>2484</v>
      </c>
      <c r="H1456" s="181">
        <f>INDEX('Списки данных'!$D$2:$D$1048576,MATCH(База_КР_КК[[#This Row],[Структурное подразделение]],'Списки данных'!$C$2:$C$1048576,0))</f>
        <v>15</v>
      </c>
      <c r="I1456" s="80" t="s">
        <v>161</v>
      </c>
      <c r="J1456" s="80" t="s">
        <v>214</v>
      </c>
      <c r="K1456" s="80" t="s">
        <v>21</v>
      </c>
      <c r="L1456" s="30" t="s">
        <v>186</v>
      </c>
      <c r="M1456" s="68">
        <v>5</v>
      </c>
      <c r="N1456" s="181" t="str">
        <f t="shared" si="23"/>
        <v>нет</v>
      </c>
      <c r="O1456" s="23"/>
      <c r="P1456" s="23"/>
      <c r="Q1456" s="106"/>
      <c r="R1456" s="37">
        <v>315</v>
      </c>
      <c r="S1456" s="38" t="s">
        <v>727</v>
      </c>
      <c r="T1456" s="37">
        <v>318</v>
      </c>
      <c r="U1456" s="38" t="s">
        <v>730</v>
      </c>
      <c r="V1456" s="89" t="s">
        <v>192</v>
      </c>
      <c r="W1456" s="89" t="s">
        <v>161</v>
      </c>
      <c r="X1456" s="106" t="s">
        <v>296</v>
      </c>
      <c r="Y1456" s="107" t="s">
        <v>12</v>
      </c>
      <c r="Z1456" s="67">
        <f>IF(База_КР_КК[[#This Row],[Таб.номер резервиста]]="-","-",IF(OR(База_КР_КК[[#This Row],[Уровень КК]]=2,База_КР_КК[[#This Row],[Уровень КК]]=3),IF(COUNTIFS($U$2:$U1456,$U1456,$F$2:$F1456,$F1456)=1,1,0),IF(COUNTIFS($U$2:$U1456,$U1456,$L$2:$L1456,$L1456)=1,1,0)))</f>
        <v>1</v>
      </c>
      <c r="AA14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6" s="106"/>
      <c r="AC1456" s="51"/>
      <c r="AD1456" s="106" t="s">
        <v>15</v>
      </c>
      <c r="AE1456" s="38" t="s">
        <v>345</v>
      </c>
    </row>
    <row r="1457" spans="1:31" ht="18" customHeight="1" x14ac:dyDescent="0.25">
      <c r="A14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7" s="79">
        <v>3</v>
      </c>
      <c r="C1457" s="23">
        <v>44707</v>
      </c>
      <c r="D1457" s="67">
        <f>IF(COUNTIF($G$2:$G1457,$G1457)=1,1,0)</f>
        <v>0</v>
      </c>
      <c r="E1457" s="67" t="str">
        <f>IFERROR(VLOOKUP(База_КР_КК[[#This Row],[ИД штатной должности (S)]],'уровень защищенности'!$B$7:$F$1095,5,0),"не защищена")</f>
        <v>высокий</v>
      </c>
      <c r="F1457" s="68">
        <v>500452</v>
      </c>
      <c r="G1457" s="74" t="s">
        <v>2484</v>
      </c>
      <c r="H1457" s="181">
        <f>INDEX('Списки данных'!$D$2:$D$1048576,MATCH(База_КР_КК[[#This Row],[Структурное подразделение]],'Списки данных'!$C$2:$C$1048576,0))</f>
        <v>15</v>
      </c>
      <c r="I1457" s="80" t="s">
        <v>161</v>
      </c>
      <c r="J1457" s="80" t="s">
        <v>214</v>
      </c>
      <c r="K1457" s="80" t="s">
        <v>21</v>
      </c>
      <c r="L1457" s="30" t="s">
        <v>186</v>
      </c>
      <c r="M1457" s="68">
        <v>5</v>
      </c>
      <c r="N1457" s="181" t="str">
        <f t="shared" si="23"/>
        <v>нет</v>
      </c>
      <c r="O1457" s="23"/>
      <c r="P1457" s="23"/>
      <c r="Q1457" s="106"/>
      <c r="R1457" s="37">
        <v>315</v>
      </c>
      <c r="S1457" s="38" t="s">
        <v>727</v>
      </c>
      <c r="T1457" s="37">
        <v>340</v>
      </c>
      <c r="U1457" s="38" t="s">
        <v>752</v>
      </c>
      <c r="V1457" s="89" t="s">
        <v>192</v>
      </c>
      <c r="W1457" s="89" t="s">
        <v>161</v>
      </c>
      <c r="X1457" s="106" t="s">
        <v>296</v>
      </c>
      <c r="Y1457" s="107" t="s">
        <v>12</v>
      </c>
      <c r="Z1457" s="67">
        <f>IF(База_КР_КК[[#This Row],[Таб.номер резервиста]]="-","-",IF(OR(База_КР_КК[[#This Row],[Уровень КК]]=2,База_КР_КК[[#This Row],[Уровень КК]]=3),IF(COUNTIFS($U$2:$U1457,$U1457,$F$2:$F1457,$F1457)=1,1,0),IF(COUNTIFS($U$2:$U1457,$U1457,$L$2:$L1457,$L1457)=1,1,0)))</f>
        <v>1</v>
      </c>
      <c r="AA14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7" s="106"/>
      <c r="AC1457" s="51"/>
      <c r="AD1457" s="106" t="s">
        <v>15</v>
      </c>
      <c r="AE1457" s="38" t="s">
        <v>345</v>
      </c>
    </row>
    <row r="1458" spans="1:31" ht="18" customHeight="1" x14ac:dyDescent="0.25">
      <c r="A14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8" s="79">
        <v>3</v>
      </c>
      <c r="C1458" s="23">
        <v>43425</v>
      </c>
      <c r="D1458" s="67">
        <f>IF(COUNTIF($G$2:$G1458,$G1458)=1,1,0)</f>
        <v>0</v>
      </c>
      <c r="E1458" s="67" t="str">
        <f>IFERROR(VLOOKUP(База_КР_КК[[#This Row],[ИД штатной должности (S)]],'уровень защищенности'!$B$7:$F$1095,5,0),"не защищена")</f>
        <v>высокий</v>
      </c>
      <c r="F1458" s="68">
        <v>500452</v>
      </c>
      <c r="G1458" s="74" t="s">
        <v>2484</v>
      </c>
      <c r="H1458" s="181">
        <f>INDEX('Списки данных'!$D$2:$D$1048576,MATCH(База_КР_КК[[#This Row],[Структурное подразделение]],'Списки данных'!$C$2:$C$1048576,0))</f>
        <v>15</v>
      </c>
      <c r="I1458" s="80" t="s">
        <v>161</v>
      </c>
      <c r="J1458" s="80" t="s">
        <v>214</v>
      </c>
      <c r="K1458" s="80" t="s">
        <v>21</v>
      </c>
      <c r="L1458" s="30" t="s">
        <v>186</v>
      </c>
      <c r="M1458" s="68">
        <v>5</v>
      </c>
      <c r="N1458" s="181" t="str">
        <f t="shared" si="23"/>
        <v>нет</v>
      </c>
      <c r="O1458" s="23"/>
      <c r="P1458" s="23"/>
      <c r="Q1458" s="106"/>
      <c r="R1458" s="37">
        <v>315</v>
      </c>
      <c r="S1458" s="38" t="s">
        <v>727</v>
      </c>
      <c r="T1458" s="37">
        <v>306</v>
      </c>
      <c r="U1458" s="38" t="s">
        <v>718</v>
      </c>
      <c r="V1458" s="89" t="s">
        <v>192</v>
      </c>
      <c r="W1458" s="89" t="s">
        <v>161</v>
      </c>
      <c r="X1458" s="106" t="s">
        <v>295</v>
      </c>
      <c r="Y1458" s="107" t="s">
        <v>18</v>
      </c>
      <c r="Z1458" s="67">
        <f>IF(База_КР_КК[[#This Row],[Таб.номер резервиста]]="-","-",IF(OR(База_КР_КК[[#This Row],[Уровень КК]]=2,База_КР_КК[[#This Row],[Уровень КК]]=3),IF(COUNTIFS($U$2:$U1458,$U1458,$F$2:$F1458,$F1458)=1,1,0),IF(COUNTIFS($U$2:$U1458,$U1458,$L$2:$L1458,$L1458)=1,1,0)))</f>
        <v>1</v>
      </c>
      <c r="AA14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8" s="106" t="s">
        <v>37</v>
      </c>
      <c r="AC1458" s="51">
        <v>44707</v>
      </c>
      <c r="AD1458" s="106" t="s">
        <v>31</v>
      </c>
      <c r="AE1458" s="38" t="s">
        <v>345</v>
      </c>
    </row>
    <row r="1459" spans="1:31" ht="18" customHeight="1" x14ac:dyDescent="0.25">
      <c r="A14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59" s="79">
        <v>4</v>
      </c>
      <c r="C1459" s="23">
        <v>44424</v>
      </c>
      <c r="D1459" s="67">
        <f>IF(COUNTIF($G$2:$G1459,$G1459)=1,1,0)</f>
        <v>1</v>
      </c>
      <c r="E1459" s="67" t="str">
        <f>IFERROR(VLOOKUP(База_КР_КК[[#This Row],[ИД штатной должности (S)]],'уровень защищенности'!$B$7:$F$1095,5,0),"не защищена")</f>
        <v>высокий</v>
      </c>
      <c r="F1459" s="68">
        <v>500453</v>
      </c>
      <c r="G1459" s="74" t="s">
        <v>2485</v>
      </c>
      <c r="H1459" s="181">
        <f>INDEX('Списки данных'!$D$2:$D$1048576,MATCH(База_КР_КК[[#This Row],[Структурное подразделение]],'Списки данных'!$C$2:$C$1048576,0))</f>
        <v>15</v>
      </c>
      <c r="I1459" s="80" t="s">
        <v>161</v>
      </c>
      <c r="J1459" s="80" t="s">
        <v>214</v>
      </c>
      <c r="K1459" s="80" t="s">
        <v>21</v>
      </c>
      <c r="L1459" s="30" t="s">
        <v>191</v>
      </c>
      <c r="M1459" s="68">
        <v>7</v>
      </c>
      <c r="N1459" s="181" t="str">
        <f t="shared" si="23"/>
        <v>нет</v>
      </c>
      <c r="O1459" s="23"/>
      <c r="P1459" s="23"/>
      <c r="Q1459" s="106"/>
      <c r="R1459" s="37">
        <v>316</v>
      </c>
      <c r="S1459" s="38" t="s">
        <v>728</v>
      </c>
      <c r="T1459" s="37">
        <v>1396</v>
      </c>
      <c r="U1459" s="39" t="s">
        <v>1779</v>
      </c>
      <c r="V1459" s="69" t="s">
        <v>272</v>
      </c>
      <c r="W1459" s="89" t="s">
        <v>161</v>
      </c>
      <c r="X1459" s="106" t="s">
        <v>296</v>
      </c>
      <c r="Y1459" s="107" t="s">
        <v>12</v>
      </c>
      <c r="Z1459" s="67">
        <f>IF(База_КР_КК[[#This Row],[Таб.номер резервиста]]="-","-",IF(OR(База_КР_КК[[#This Row],[Уровень КК]]=2,База_КР_КК[[#This Row],[Уровень КК]]=3),IF(COUNTIFS($U$2:$U1459,$U1459,$F$2:$F1459,$F1459)=1,1,0),IF(COUNTIFS($U$2:$U1459,$U1459,$L$2:$L1459,$L1459)=1,1,0)))</f>
        <v>1</v>
      </c>
      <c r="AA14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59" s="106"/>
      <c r="AC1459" s="51"/>
      <c r="AD1459" s="106" t="s">
        <v>15</v>
      </c>
      <c r="AE1459" s="38" t="s">
        <v>347</v>
      </c>
    </row>
    <row r="1460" spans="1:31" ht="18" customHeight="1" x14ac:dyDescent="0.25">
      <c r="A14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0" s="79">
        <v>4</v>
      </c>
      <c r="C1460" s="23">
        <v>44424</v>
      </c>
      <c r="D1460" s="67">
        <f>IF(COUNTIF($G$2:$G1460,$G1460)=1,1,0)</f>
        <v>0</v>
      </c>
      <c r="E1460" s="67" t="str">
        <f>IFERROR(VLOOKUP(База_КР_КК[[#This Row],[ИД штатной должности (S)]],'уровень защищенности'!$B$7:$F$1095,5,0),"не защищена")</f>
        <v>высокий</v>
      </c>
      <c r="F1460" s="68">
        <v>500453</v>
      </c>
      <c r="G1460" s="74" t="s">
        <v>2485</v>
      </c>
      <c r="H1460" s="181">
        <f>INDEX('Списки данных'!$D$2:$D$1048576,MATCH(База_КР_КК[[#This Row],[Структурное подразделение]],'Списки данных'!$C$2:$C$1048576,0))</f>
        <v>15</v>
      </c>
      <c r="I1460" s="80" t="s">
        <v>161</v>
      </c>
      <c r="J1460" s="80" t="s">
        <v>214</v>
      </c>
      <c r="K1460" s="80" t="s">
        <v>21</v>
      </c>
      <c r="L1460" s="30" t="s">
        <v>191</v>
      </c>
      <c r="M1460" s="68">
        <v>7</v>
      </c>
      <c r="N1460" s="181" t="str">
        <f t="shared" si="23"/>
        <v>нет</v>
      </c>
      <c r="O1460" s="23"/>
      <c r="P1460" s="23"/>
      <c r="Q1460" s="106"/>
      <c r="R1460" s="37">
        <v>316</v>
      </c>
      <c r="S1460" s="38" t="s">
        <v>728</v>
      </c>
      <c r="T1460" s="37">
        <v>1397</v>
      </c>
      <c r="U1460" s="39" t="s">
        <v>1780</v>
      </c>
      <c r="V1460" s="69" t="s">
        <v>272</v>
      </c>
      <c r="W1460" s="89" t="s">
        <v>161</v>
      </c>
      <c r="X1460" s="106" t="s">
        <v>296</v>
      </c>
      <c r="Y1460" s="107" t="s">
        <v>12</v>
      </c>
      <c r="Z1460" s="67">
        <f>IF(База_КР_КК[[#This Row],[Таб.номер резервиста]]="-","-",IF(OR(База_КР_КК[[#This Row],[Уровень КК]]=2,База_КР_КК[[#This Row],[Уровень КК]]=3),IF(COUNTIFS($U$2:$U1460,$U1460,$F$2:$F1460,$F1460)=1,1,0),IF(COUNTIFS($U$2:$U1460,$U1460,$L$2:$L1460,$L1460)=1,1,0)))</f>
        <v>1</v>
      </c>
      <c r="AA14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0" s="106"/>
      <c r="AC1460" s="51"/>
      <c r="AD1460" s="106" t="s">
        <v>15</v>
      </c>
      <c r="AE1460" s="38" t="s">
        <v>347</v>
      </c>
    </row>
    <row r="1461" spans="1:31" ht="18" customHeight="1" x14ac:dyDescent="0.25">
      <c r="A14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1" s="79">
        <v>4</v>
      </c>
      <c r="C1461" s="23">
        <v>44424</v>
      </c>
      <c r="D1461" s="67">
        <f>IF(COUNTIF($G$2:$G1461,$G1461)=1,1,0)</f>
        <v>0</v>
      </c>
      <c r="E1461" s="67" t="str">
        <f>IFERROR(VLOOKUP(База_КР_КК[[#This Row],[ИД штатной должности (S)]],'уровень защищенности'!$B$7:$F$1095,5,0),"не защищена")</f>
        <v>высокий</v>
      </c>
      <c r="F1461" s="68">
        <v>500453</v>
      </c>
      <c r="G1461" s="74" t="s">
        <v>2485</v>
      </c>
      <c r="H1461" s="181">
        <f>INDEX('Списки данных'!$D$2:$D$1048576,MATCH(База_КР_КК[[#This Row],[Структурное подразделение]],'Списки данных'!$C$2:$C$1048576,0))</f>
        <v>15</v>
      </c>
      <c r="I1461" s="80" t="s">
        <v>161</v>
      </c>
      <c r="J1461" s="80" t="s">
        <v>214</v>
      </c>
      <c r="K1461" s="80" t="s">
        <v>21</v>
      </c>
      <c r="L1461" s="30" t="s">
        <v>191</v>
      </c>
      <c r="M1461" s="68">
        <v>7</v>
      </c>
      <c r="N1461" s="181" t="str">
        <f t="shared" si="23"/>
        <v>нет</v>
      </c>
      <c r="O1461" s="23"/>
      <c r="P1461" s="23"/>
      <c r="Q1461" s="106"/>
      <c r="R1461" s="37">
        <v>316</v>
      </c>
      <c r="S1461" s="38" t="s">
        <v>728</v>
      </c>
      <c r="T1461" s="37">
        <v>1398</v>
      </c>
      <c r="U1461" s="39" t="s">
        <v>1781</v>
      </c>
      <c r="V1461" s="69" t="s">
        <v>272</v>
      </c>
      <c r="W1461" s="89" t="s">
        <v>161</v>
      </c>
      <c r="X1461" s="106" t="s">
        <v>295</v>
      </c>
      <c r="Y1461" s="107" t="s">
        <v>12</v>
      </c>
      <c r="Z1461" s="67">
        <f>IF(База_КР_КК[[#This Row],[Таб.номер резервиста]]="-","-",IF(OR(База_КР_КК[[#This Row],[Уровень КК]]=2,База_КР_КК[[#This Row],[Уровень КК]]=3),IF(COUNTIFS($U$2:$U1461,$U1461,$F$2:$F1461,$F1461)=1,1,0),IF(COUNTIFS($U$2:$U1461,$U1461,$L$2:$L1461,$L1461)=1,1,0)))</f>
        <v>1</v>
      </c>
      <c r="AA14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1" s="106"/>
      <c r="AC1461" s="51"/>
      <c r="AD1461" s="106" t="s">
        <v>15</v>
      </c>
      <c r="AE1461" s="38" t="s">
        <v>347</v>
      </c>
    </row>
    <row r="1462" spans="1:31" ht="18" customHeight="1" x14ac:dyDescent="0.25">
      <c r="A14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2" s="79">
        <v>4</v>
      </c>
      <c r="C1462" s="23">
        <v>44424</v>
      </c>
      <c r="D1462" s="67">
        <f>IF(COUNTIF($G$2:$G1462,$G1462)=1,1,0)</f>
        <v>0</v>
      </c>
      <c r="E1462" s="67" t="str">
        <f>IFERROR(VLOOKUP(База_КР_КК[[#This Row],[ИД штатной должности (S)]],'уровень защищенности'!$B$7:$F$1095,5,0),"не защищена")</f>
        <v>высокий</v>
      </c>
      <c r="F1462" s="68">
        <v>500453</v>
      </c>
      <c r="G1462" s="74" t="s">
        <v>2485</v>
      </c>
      <c r="H1462" s="181">
        <f>INDEX('Списки данных'!$D$2:$D$1048576,MATCH(База_КР_КК[[#This Row],[Структурное подразделение]],'Списки данных'!$C$2:$C$1048576,0))</f>
        <v>15</v>
      </c>
      <c r="I1462" s="80" t="s">
        <v>161</v>
      </c>
      <c r="J1462" s="80" t="s">
        <v>214</v>
      </c>
      <c r="K1462" s="80" t="s">
        <v>21</v>
      </c>
      <c r="L1462" s="30" t="s">
        <v>191</v>
      </c>
      <c r="M1462" s="68">
        <v>7</v>
      </c>
      <c r="N1462" s="181" t="str">
        <f t="shared" si="23"/>
        <v>нет</v>
      </c>
      <c r="O1462" s="23"/>
      <c r="P1462" s="23"/>
      <c r="Q1462" s="106"/>
      <c r="R1462" s="37">
        <v>316</v>
      </c>
      <c r="S1462" s="38" t="s">
        <v>728</v>
      </c>
      <c r="T1462" s="37">
        <v>1399</v>
      </c>
      <c r="U1462" s="39" t="s">
        <v>1782</v>
      </c>
      <c r="V1462" s="69" t="s">
        <v>272</v>
      </c>
      <c r="W1462" s="89" t="s">
        <v>161</v>
      </c>
      <c r="X1462" s="106" t="s">
        <v>295</v>
      </c>
      <c r="Y1462" s="107" t="s">
        <v>12</v>
      </c>
      <c r="Z1462" s="67">
        <f>IF(База_КР_КК[[#This Row],[Таб.номер резервиста]]="-","-",IF(OR(База_КР_КК[[#This Row],[Уровень КК]]=2,База_КР_КК[[#This Row],[Уровень КК]]=3),IF(COUNTIFS($U$2:$U1462,$U1462,$F$2:$F1462,$F1462)=1,1,0),IF(COUNTIFS($U$2:$U1462,$U1462,$L$2:$L1462,$L1462)=1,1,0)))</f>
        <v>1</v>
      </c>
      <c r="AA14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2" s="106"/>
      <c r="AC1462" s="51"/>
      <c r="AD1462" s="106" t="s">
        <v>15</v>
      </c>
      <c r="AE1462" s="38" t="s">
        <v>347</v>
      </c>
    </row>
    <row r="1463" spans="1:31" ht="18" customHeight="1" x14ac:dyDescent="0.25">
      <c r="A14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3" s="79">
        <v>4</v>
      </c>
      <c r="C1463" s="23">
        <v>44424</v>
      </c>
      <c r="D1463" s="67">
        <f>IF(COUNTIF($G$2:$G1463,$G1463)=1,1,0)</f>
        <v>0</v>
      </c>
      <c r="E1463" s="67" t="str">
        <f>IFERROR(VLOOKUP(База_КР_КК[[#This Row],[ИД штатной должности (S)]],'уровень защищенности'!$B$7:$F$1095,5,0),"не защищена")</f>
        <v>высокий</v>
      </c>
      <c r="F1463" s="68">
        <v>500453</v>
      </c>
      <c r="G1463" s="74" t="s">
        <v>2485</v>
      </c>
      <c r="H1463" s="181">
        <f>INDEX('Списки данных'!$D$2:$D$1048576,MATCH(База_КР_КК[[#This Row],[Структурное подразделение]],'Списки данных'!$C$2:$C$1048576,0))</f>
        <v>15</v>
      </c>
      <c r="I1463" s="80" t="s">
        <v>161</v>
      </c>
      <c r="J1463" s="80" t="s">
        <v>214</v>
      </c>
      <c r="K1463" s="80" t="s">
        <v>21</v>
      </c>
      <c r="L1463" s="30" t="s">
        <v>191</v>
      </c>
      <c r="M1463" s="68">
        <v>7</v>
      </c>
      <c r="N1463" s="181" t="str">
        <f t="shared" si="23"/>
        <v>нет</v>
      </c>
      <c r="O1463" s="23"/>
      <c r="P1463" s="23"/>
      <c r="Q1463" s="106"/>
      <c r="R1463" s="37">
        <v>316</v>
      </c>
      <c r="S1463" s="38" t="s">
        <v>728</v>
      </c>
      <c r="T1463" s="37">
        <v>1400</v>
      </c>
      <c r="U1463" s="39" t="s">
        <v>1783</v>
      </c>
      <c r="V1463" s="69" t="s">
        <v>272</v>
      </c>
      <c r="W1463" s="89" t="s">
        <v>161</v>
      </c>
      <c r="X1463" s="106" t="s">
        <v>295</v>
      </c>
      <c r="Y1463" s="107" t="s">
        <v>12</v>
      </c>
      <c r="Z1463" s="67">
        <f>IF(База_КР_КК[[#This Row],[Таб.номер резервиста]]="-","-",IF(OR(База_КР_КК[[#This Row],[Уровень КК]]=2,База_КР_КК[[#This Row],[Уровень КК]]=3),IF(COUNTIFS($U$2:$U1463,$U1463,$F$2:$F1463,$F1463)=1,1,0),IF(COUNTIFS($U$2:$U1463,$U1463,$L$2:$L1463,$L1463)=1,1,0)))</f>
        <v>1</v>
      </c>
      <c r="AA14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3" s="106"/>
      <c r="AC1463" s="51"/>
      <c r="AD1463" s="106" t="s">
        <v>15</v>
      </c>
      <c r="AE1463" s="38" t="s">
        <v>347</v>
      </c>
    </row>
    <row r="1464" spans="1:31" ht="18" customHeight="1" x14ac:dyDescent="0.25">
      <c r="A14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4" s="79">
        <v>4</v>
      </c>
      <c r="C1464" s="23">
        <v>44887</v>
      </c>
      <c r="D1464" s="67">
        <f>IF(COUNTIF($G$2:$G1464,$G1464)=1,1,0)</f>
        <v>0</v>
      </c>
      <c r="E1464" s="67" t="str">
        <f>IFERROR(VLOOKUP(База_КР_КК[[#This Row],[ИД штатной должности (S)]],'уровень защищенности'!$B$7:$F$1095,5,0),"не защищена")</f>
        <v>высокий</v>
      </c>
      <c r="F1464" s="68">
        <v>500453</v>
      </c>
      <c r="G1464" s="74" t="s">
        <v>2485</v>
      </c>
      <c r="H1464" s="181">
        <f>INDEX('Списки данных'!$D$2:$D$1048576,MATCH(База_КР_КК[[#This Row],[Структурное подразделение]],'Списки данных'!$C$2:$C$1048576,0))</f>
        <v>15</v>
      </c>
      <c r="I1464" s="80" t="s">
        <v>161</v>
      </c>
      <c r="J1464" s="80" t="s">
        <v>214</v>
      </c>
      <c r="K1464" s="80" t="s">
        <v>21</v>
      </c>
      <c r="L1464" s="30" t="s">
        <v>191</v>
      </c>
      <c r="M1464" s="68">
        <v>7</v>
      </c>
      <c r="N1464" s="181" t="str">
        <f t="shared" si="23"/>
        <v>нет</v>
      </c>
      <c r="O1464" s="23"/>
      <c r="P1464" s="23"/>
      <c r="Q1464" s="106"/>
      <c r="R1464" s="37">
        <v>316</v>
      </c>
      <c r="S1464" s="38" t="s">
        <v>728</v>
      </c>
      <c r="T1464" s="37">
        <v>1401</v>
      </c>
      <c r="U1464" s="39" t="s">
        <v>1784</v>
      </c>
      <c r="V1464" s="69" t="s">
        <v>272</v>
      </c>
      <c r="W1464" s="89" t="s">
        <v>161</v>
      </c>
      <c r="X1464" s="106" t="s">
        <v>296</v>
      </c>
      <c r="Y1464" s="107" t="s">
        <v>12</v>
      </c>
      <c r="Z1464" s="67">
        <f>IF(База_КР_КК[[#This Row],[Таб.номер резервиста]]="-","-",IF(OR(База_КР_КК[[#This Row],[Уровень КК]]=2,База_КР_КК[[#This Row],[Уровень КК]]=3),IF(COUNTIFS($U$2:$U1464,$U1464,$F$2:$F1464,$F1464)=1,1,0),IF(COUNTIFS($U$2:$U1464,$U1464,$L$2:$L1464,$L1464)=1,1,0)))</f>
        <v>1</v>
      </c>
      <c r="AA14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4" s="106"/>
      <c r="AC1464" s="51"/>
      <c r="AD1464" s="106" t="s">
        <v>15</v>
      </c>
      <c r="AE1464" s="40" t="s">
        <v>310</v>
      </c>
    </row>
    <row r="1465" spans="1:31" ht="18" customHeight="1" x14ac:dyDescent="0.25">
      <c r="A14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5" s="79">
        <v>4</v>
      </c>
      <c r="C1465" s="23">
        <v>44887</v>
      </c>
      <c r="D1465" s="67">
        <f>IF(COUNTIF($G$2:$G1465,$G1465)=1,1,0)</f>
        <v>0</v>
      </c>
      <c r="E1465" s="67" t="str">
        <f>IFERROR(VLOOKUP(База_КР_КК[[#This Row],[ИД штатной должности (S)]],'уровень защищенности'!$B$7:$F$1095,5,0),"не защищена")</f>
        <v>высокий</v>
      </c>
      <c r="F1465" s="68">
        <v>500453</v>
      </c>
      <c r="G1465" s="74" t="s">
        <v>2485</v>
      </c>
      <c r="H1465" s="181">
        <f>INDEX('Списки данных'!$D$2:$D$1048576,MATCH(База_КР_КК[[#This Row],[Структурное подразделение]],'Списки данных'!$C$2:$C$1048576,0))</f>
        <v>15</v>
      </c>
      <c r="I1465" s="80" t="s">
        <v>161</v>
      </c>
      <c r="J1465" s="80" t="s">
        <v>214</v>
      </c>
      <c r="K1465" s="80" t="s">
        <v>21</v>
      </c>
      <c r="L1465" s="30" t="s">
        <v>191</v>
      </c>
      <c r="M1465" s="68">
        <v>7</v>
      </c>
      <c r="N1465" s="181" t="str">
        <f t="shared" si="23"/>
        <v>нет</v>
      </c>
      <c r="O1465" s="23"/>
      <c r="P1465" s="23"/>
      <c r="Q1465" s="106"/>
      <c r="R1465" s="37">
        <v>316</v>
      </c>
      <c r="S1465" s="38" t="s">
        <v>728</v>
      </c>
      <c r="T1465" s="37">
        <v>1402</v>
      </c>
      <c r="U1465" s="39" t="s">
        <v>1785</v>
      </c>
      <c r="V1465" s="69" t="s">
        <v>272</v>
      </c>
      <c r="W1465" s="89" t="s">
        <v>161</v>
      </c>
      <c r="X1465" s="106" t="s">
        <v>296</v>
      </c>
      <c r="Y1465" s="107" t="s">
        <v>12</v>
      </c>
      <c r="Z1465" s="67">
        <f>IF(База_КР_КК[[#This Row],[Таб.номер резервиста]]="-","-",IF(OR(База_КР_КК[[#This Row],[Уровень КК]]=2,База_КР_КК[[#This Row],[Уровень КК]]=3),IF(COUNTIFS($U$2:$U1465,$U1465,$F$2:$F1465,$F1465)=1,1,0),IF(COUNTIFS($U$2:$U1465,$U1465,$L$2:$L1465,$L1465)=1,1,0)))</f>
        <v>1</v>
      </c>
      <c r="AA14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5" s="106"/>
      <c r="AC1465" s="51"/>
      <c r="AD1465" s="106" t="s">
        <v>15</v>
      </c>
      <c r="AE1465" s="40" t="s">
        <v>310</v>
      </c>
    </row>
    <row r="1466" spans="1:31" ht="18" customHeight="1" x14ac:dyDescent="0.25">
      <c r="A14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6" s="79">
        <v>4</v>
      </c>
      <c r="C1466" s="23">
        <v>44887</v>
      </c>
      <c r="D1466" s="67">
        <f>IF(COUNTIF($G$2:$G1466,$G1466)=1,1,0)</f>
        <v>0</v>
      </c>
      <c r="E1466" s="67" t="str">
        <f>IFERROR(VLOOKUP(База_КР_КК[[#This Row],[ИД штатной должности (S)]],'уровень защищенности'!$B$7:$F$1095,5,0),"не защищена")</f>
        <v>высокий</v>
      </c>
      <c r="F1466" s="68">
        <v>500453</v>
      </c>
      <c r="G1466" s="74" t="s">
        <v>2485</v>
      </c>
      <c r="H1466" s="181">
        <f>INDEX('Списки данных'!$D$2:$D$1048576,MATCH(База_КР_КК[[#This Row],[Структурное подразделение]],'Списки данных'!$C$2:$C$1048576,0))</f>
        <v>15</v>
      </c>
      <c r="I1466" s="80" t="s">
        <v>161</v>
      </c>
      <c r="J1466" s="80" t="s">
        <v>214</v>
      </c>
      <c r="K1466" s="80" t="s">
        <v>21</v>
      </c>
      <c r="L1466" s="30" t="s">
        <v>191</v>
      </c>
      <c r="M1466" s="68">
        <v>7</v>
      </c>
      <c r="N1466" s="181" t="str">
        <f t="shared" si="23"/>
        <v>нет</v>
      </c>
      <c r="O1466" s="23"/>
      <c r="P1466" s="23"/>
      <c r="Q1466" s="106"/>
      <c r="R1466" s="37">
        <v>316</v>
      </c>
      <c r="S1466" s="38" t="s">
        <v>728</v>
      </c>
      <c r="T1466" s="37">
        <v>1403</v>
      </c>
      <c r="U1466" s="39" t="s">
        <v>1786</v>
      </c>
      <c r="V1466" s="69" t="s">
        <v>272</v>
      </c>
      <c r="W1466" s="89" t="s">
        <v>161</v>
      </c>
      <c r="X1466" s="106" t="s">
        <v>296</v>
      </c>
      <c r="Y1466" s="107" t="s">
        <v>12</v>
      </c>
      <c r="Z1466" s="67">
        <f>IF(База_КР_КК[[#This Row],[Таб.номер резервиста]]="-","-",IF(OR(База_КР_КК[[#This Row],[Уровень КК]]=2,База_КР_КК[[#This Row],[Уровень КК]]=3),IF(COUNTIFS($U$2:$U1466,$U1466,$F$2:$F1466,$F1466)=1,1,0),IF(COUNTIFS($U$2:$U1466,$U1466,$L$2:$L1466,$L1466)=1,1,0)))</f>
        <v>1</v>
      </c>
      <c r="AA14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6" s="106"/>
      <c r="AC1466" s="51"/>
      <c r="AD1466" s="106" t="s">
        <v>15</v>
      </c>
      <c r="AE1466" s="40" t="s">
        <v>310</v>
      </c>
    </row>
    <row r="1467" spans="1:31" ht="18" customHeight="1" x14ac:dyDescent="0.25">
      <c r="A14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7" s="79">
        <v>4</v>
      </c>
      <c r="C1467" s="23">
        <v>44887</v>
      </c>
      <c r="D1467" s="67">
        <f>IF(COUNTIF($G$2:$G1467,$G1467)=1,1,0)</f>
        <v>0</v>
      </c>
      <c r="E1467" s="67" t="str">
        <f>IFERROR(VLOOKUP(База_КР_КК[[#This Row],[ИД штатной должности (S)]],'уровень защищенности'!$B$7:$F$1095,5,0),"не защищена")</f>
        <v>высокий</v>
      </c>
      <c r="F1467" s="68">
        <v>500453</v>
      </c>
      <c r="G1467" s="74" t="s">
        <v>2485</v>
      </c>
      <c r="H1467" s="181">
        <f>INDEX('Списки данных'!$D$2:$D$1048576,MATCH(База_КР_КК[[#This Row],[Структурное подразделение]],'Списки данных'!$C$2:$C$1048576,0))</f>
        <v>15</v>
      </c>
      <c r="I1467" s="80" t="s">
        <v>161</v>
      </c>
      <c r="J1467" s="80" t="s">
        <v>214</v>
      </c>
      <c r="K1467" s="80" t="s">
        <v>21</v>
      </c>
      <c r="L1467" s="30" t="s">
        <v>191</v>
      </c>
      <c r="M1467" s="68">
        <v>7</v>
      </c>
      <c r="N1467" s="181" t="str">
        <f t="shared" si="23"/>
        <v>нет</v>
      </c>
      <c r="O1467" s="23"/>
      <c r="P1467" s="23"/>
      <c r="Q1467" s="106"/>
      <c r="R1467" s="37">
        <v>316</v>
      </c>
      <c r="S1467" s="38" t="s">
        <v>728</v>
      </c>
      <c r="T1467" s="37">
        <v>1404</v>
      </c>
      <c r="U1467" s="39" t="s">
        <v>1787</v>
      </c>
      <c r="V1467" s="69" t="s">
        <v>272</v>
      </c>
      <c r="W1467" s="89" t="s">
        <v>161</v>
      </c>
      <c r="X1467" s="106" t="s">
        <v>296</v>
      </c>
      <c r="Y1467" s="107" t="s">
        <v>12</v>
      </c>
      <c r="Z1467" s="67">
        <f>IF(База_КР_КК[[#This Row],[Таб.номер резервиста]]="-","-",IF(OR(База_КР_КК[[#This Row],[Уровень КК]]=2,База_КР_КК[[#This Row],[Уровень КК]]=3),IF(COUNTIFS($U$2:$U1467,$U1467,$F$2:$F1467,$F1467)=1,1,0),IF(COUNTIFS($U$2:$U1467,$U1467,$L$2:$L1467,$L1467)=1,1,0)))</f>
        <v>1</v>
      </c>
      <c r="AA14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7" s="106"/>
      <c r="AC1467" s="51"/>
      <c r="AD1467" s="106" t="s">
        <v>15</v>
      </c>
      <c r="AE1467" s="40" t="s">
        <v>310</v>
      </c>
    </row>
    <row r="1468" spans="1:31" ht="18" customHeight="1" x14ac:dyDescent="0.25">
      <c r="A14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8" s="79">
        <v>4</v>
      </c>
      <c r="C1468" s="23">
        <v>44887</v>
      </c>
      <c r="D1468" s="67">
        <f>IF(COUNTIF($G$2:$G1468,$G1468)=1,1,0)</f>
        <v>0</v>
      </c>
      <c r="E1468" s="67" t="str">
        <f>IFERROR(VLOOKUP(База_КР_КК[[#This Row],[ИД штатной должности (S)]],'уровень защищенности'!$B$7:$F$1095,5,0),"не защищена")</f>
        <v>высокий</v>
      </c>
      <c r="F1468" s="68">
        <v>500453</v>
      </c>
      <c r="G1468" s="74" t="s">
        <v>2485</v>
      </c>
      <c r="H1468" s="181">
        <f>INDEX('Списки данных'!$D$2:$D$1048576,MATCH(База_КР_КК[[#This Row],[Структурное подразделение]],'Списки данных'!$C$2:$C$1048576,0))</f>
        <v>15</v>
      </c>
      <c r="I1468" s="80" t="s">
        <v>161</v>
      </c>
      <c r="J1468" s="80" t="s">
        <v>214</v>
      </c>
      <c r="K1468" s="80" t="s">
        <v>21</v>
      </c>
      <c r="L1468" s="30" t="s">
        <v>191</v>
      </c>
      <c r="M1468" s="68">
        <v>7</v>
      </c>
      <c r="N1468" s="181" t="str">
        <f t="shared" si="23"/>
        <v>нет</v>
      </c>
      <c r="O1468" s="23"/>
      <c r="P1468" s="23"/>
      <c r="Q1468" s="106"/>
      <c r="R1468" s="37">
        <v>316</v>
      </c>
      <c r="S1468" s="38" t="s">
        <v>728</v>
      </c>
      <c r="T1468" s="37">
        <v>1405</v>
      </c>
      <c r="U1468" s="39" t="s">
        <v>1788</v>
      </c>
      <c r="V1468" s="69" t="s">
        <v>272</v>
      </c>
      <c r="W1468" s="89" t="s">
        <v>161</v>
      </c>
      <c r="X1468" s="106" t="s">
        <v>296</v>
      </c>
      <c r="Y1468" s="107" t="s">
        <v>12</v>
      </c>
      <c r="Z1468" s="67">
        <f>IF(База_КР_КК[[#This Row],[Таб.номер резервиста]]="-","-",IF(OR(База_КР_КК[[#This Row],[Уровень КК]]=2,База_КР_КК[[#This Row],[Уровень КК]]=3),IF(COUNTIFS($U$2:$U1468,$U1468,$F$2:$F1468,$F1468)=1,1,0),IF(COUNTIFS($U$2:$U1468,$U1468,$L$2:$L1468,$L1468)=1,1,0)))</f>
        <v>1</v>
      </c>
      <c r="AA14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8" s="106"/>
      <c r="AC1468" s="51"/>
      <c r="AD1468" s="106" t="s">
        <v>15</v>
      </c>
      <c r="AE1468" s="40" t="s">
        <v>310</v>
      </c>
    </row>
    <row r="1469" spans="1:31" ht="18" customHeight="1" x14ac:dyDescent="0.25">
      <c r="A14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69" s="79">
        <v>4</v>
      </c>
      <c r="C1469" s="23">
        <v>44424</v>
      </c>
      <c r="D1469" s="67">
        <f>IF(COUNTIF($G$2:$G1469,$G1469)=1,1,0)</f>
        <v>0</v>
      </c>
      <c r="E1469" s="67" t="str">
        <f>IFERROR(VLOOKUP(База_КР_КК[[#This Row],[ИД штатной должности (S)]],'уровень защищенности'!$B$7:$F$1095,5,0),"не защищена")</f>
        <v>высокий</v>
      </c>
      <c r="F1469" s="68">
        <v>500453</v>
      </c>
      <c r="G1469" s="74" t="s">
        <v>2485</v>
      </c>
      <c r="H1469" s="181">
        <f>INDEX('Списки данных'!$D$2:$D$1048576,MATCH(База_КР_КК[[#This Row],[Структурное подразделение]],'Списки данных'!$C$2:$C$1048576,0))</f>
        <v>15</v>
      </c>
      <c r="I1469" s="80" t="s">
        <v>161</v>
      </c>
      <c r="J1469" s="80" t="s">
        <v>214</v>
      </c>
      <c r="K1469" s="80" t="s">
        <v>21</v>
      </c>
      <c r="L1469" s="30" t="s">
        <v>191</v>
      </c>
      <c r="M1469" s="68">
        <v>7</v>
      </c>
      <c r="N1469" s="181" t="str">
        <f t="shared" si="23"/>
        <v>нет</v>
      </c>
      <c r="O1469" s="23"/>
      <c r="P1469" s="23"/>
      <c r="Q1469" s="106"/>
      <c r="R1469" s="37">
        <v>316</v>
      </c>
      <c r="S1469" s="38" t="s">
        <v>728</v>
      </c>
      <c r="T1469" s="37">
        <v>317</v>
      </c>
      <c r="U1469" s="39" t="s">
        <v>729</v>
      </c>
      <c r="V1469" s="69" t="s">
        <v>191</v>
      </c>
      <c r="W1469" s="89" t="s">
        <v>161</v>
      </c>
      <c r="X1469" s="106" t="s">
        <v>295</v>
      </c>
      <c r="Y1469" s="107" t="s">
        <v>14</v>
      </c>
      <c r="Z1469" s="67">
        <f>IF(База_КР_КК[[#This Row],[Таб.номер резервиста]]="-","-",IF(OR(База_КР_КК[[#This Row],[Уровень КК]]=2,База_КР_КК[[#This Row],[Уровень КК]]=3),IF(COUNTIFS($U$2:$U1469,$U1469,$F$2:$F1469,$F1469)=1,1,0),IF(COUNTIFS($U$2:$U1469,$U1469,$L$2:$L1469,$L1469)=1,1,0)))</f>
        <v>1</v>
      </c>
      <c r="AA14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69" s="106" t="s">
        <v>24</v>
      </c>
      <c r="AC1469" s="51">
        <v>44866</v>
      </c>
      <c r="AD1469" s="106" t="s">
        <v>15</v>
      </c>
      <c r="AE1469" s="38" t="s">
        <v>347</v>
      </c>
    </row>
    <row r="1470" spans="1:31" ht="18" customHeight="1" x14ac:dyDescent="0.25">
      <c r="A14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0" s="79">
        <v>4</v>
      </c>
      <c r="C1470" s="23">
        <v>44424</v>
      </c>
      <c r="D1470" s="67">
        <f>IF(COUNTIF($G$2:$G1470,$G1470)=1,1,0)</f>
        <v>1</v>
      </c>
      <c r="E1470" s="67" t="str">
        <f>IFERROR(VLOOKUP(База_КР_КК[[#This Row],[ИД штатной должности (S)]],'уровень защищенности'!$B$7:$F$1095,5,0),"не защищена")</f>
        <v>высокий</v>
      </c>
      <c r="F1470" s="68">
        <v>500453</v>
      </c>
      <c r="G1470" s="74" t="s">
        <v>2486</v>
      </c>
      <c r="H1470" s="181">
        <f>INDEX('Списки данных'!$D$2:$D$1048576,MATCH(База_КР_КК[[#This Row],[Структурное подразделение]],'Списки данных'!$C$2:$C$1048576,0))</f>
        <v>15</v>
      </c>
      <c r="I1470" s="80" t="s">
        <v>161</v>
      </c>
      <c r="J1470" s="80" t="s">
        <v>214</v>
      </c>
      <c r="K1470" s="80" t="s">
        <v>21</v>
      </c>
      <c r="L1470" s="30" t="s">
        <v>191</v>
      </c>
      <c r="M1470" s="68">
        <v>7</v>
      </c>
      <c r="N1470" s="181" t="str">
        <f t="shared" si="23"/>
        <v>да</v>
      </c>
      <c r="O1470" s="23">
        <v>44805</v>
      </c>
      <c r="P1470" s="23">
        <v>44866</v>
      </c>
      <c r="Q1470" s="106" t="s">
        <v>66</v>
      </c>
      <c r="R1470" s="37">
        <v>317</v>
      </c>
      <c r="S1470" s="39" t="s">
        <v>729</v>
      </c>
      <c r="T1470" s="37">
        <v>1396</v>
      </c>
      <c r="U1470" s="39" t="s">
        <v>1779</v>
      </c>
      <c r="V1470" s="69" t="s">
        <v>272</v>
      </c>
      <c r="W1470" s="89" t="s">
        <v>161</v>
      </c>
      <c r="X1470" s="106" t="s">
        <v>296</v>
      </c>
      <c r="Y1470" s="107" t="s">
        <v>12</v>
      </c>
      <c r="Z1470" s="67">
        <f>IF(База_КР_КК[[#This Row],[Таб.номер резервиста]]="-","-",IF(OR(База_КР_КК[[#This Row],[Уровень КК]]=2,База_КР_КК[[#This Row],[Уровень КК]]=3),IF(COUNTIFS($U$2:$U1470,$U1470,$F$2:$F1470,$F1470)=1,1,0),IF(COUNTIFS($U$2:$U1470,$U1470,$L$2:$L1470,$L1470)=1,1,0)))</f>
        <v>0</v>
      </c>
      <c r="AA14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0" s="106"/>
      <c r="AC1470" s="51"/>
      <c r="AD1470" s="106" t="s">
        <v>15</v>
      </c>
      <c r="AE1470" s="38" t="s">
        <v>347</v>
      </c>
    </row>
    <row r="1471" spans="1:31" ht="18" customHeight="1" x14ac:dyDescent="0.25">
      <c r="A14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1" s="79">
        <v>4</v>
      </c>
      <c r="C1471" s="23">
        <v>44424</v>
      </c>
      <c r="D1471" s="67">
        <f>IF(COUNTIF($G$2:$G1471,$G1471)=1,1,0)</f>
        <v>0</v>
      </c>
      <c r="E1471" s="67" t="str">
        <f>IFERROR(VLOOKUP(База_КР_КК[[#This Row],[ИД штатной должности (S)]],'уровень защищенности'!$B$7:$F$1095,5,0),"не защищена")</f>
        <v>высокий</v>
      </c>
      <c r="F1471" s="68">
        <v>500453</v>
      </c>
      <c r="G1471" s="74" t="s">
        <v>2486</v>
      </c>
      <c r="H1471" s="181">
        <f>INDEX('Списки данных'!$D$2:$D$1048576,MATCH(База_КР_КК[[#This Row],[Структурное подразделение]],'Списки данных'!$C$2:$C$1048576,0))</f>
        <v>15</v>
      </c>
      <c r="I1471" s="80" t="s">
        <v>161</v>
      </c>
      <c r="J1471" s="80" t="s">
        <v>214</v>
      </c>
      <c r="K1471" s="80" t="s">
        <v>21</v>
      </c>
      <c r="L1471" s="30" t="s">
        <v>191</v>
      </c>
      <c r="M1471" s="68">
        <v>7</v>
      </c>
      <c r="N1471" s="181" t="str">
        <f t="shared" si="23"/>
        <v>да</v>
      </c>
      <c r="O1471" s="23">
        <v>44805</v>
      </c>
      <c r="P1471" s="23">
        <v>44866</v>
      </c>
      <c r="Q1471" s="106" t="s">
        <v>66</v>
      </c>
      <c r="R1471" s="37">
        <v>317</v>
      </c>
      <c r="S1471" s="39" t="s">
        <v>729</v>
      </c>
      <c r="T1471" s="37">
        <v>1397</v>
      </c>
      <c r="U1471" s="39" t="s">
        <v>1780</v>
      </c>
      <c r="V1471" s="69" t="s">
        <v>272</v>
      </c>
      <c r="W1471" s="89" t="s">
        <v>161</v>
      </c>
      <c r="X1471" s="106" t="s">
        <v>296</v>
      </c>
      <c r="Y1471" s="107" t="s">
        <v>12</v>
      </c>
      <c r="Z1471" s="67">
        <f>IF(База_КР_КК[[#This Row],[Таб.номер резервиста]]="-","-",IF(OR(База_КР_КК[[#This Row],[Уровень КК]]=2,База_КР_КК[[#This Row],[Уровень КК]]=3),IF(COUNTIFS($U$2:$U1471,$U1471,$F$2:$F1471,$F1471)=1,1,0),IF(COUNTIFS($U$2:$U1471,$U1471,$L$2:$L1471,$L1471)=1,1,0)))</f>
        <v>0</v>
      </c>
      <c r="AA14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1" s="106"/>
      <c r="AC1471" s="51"/>
      <c r="AD1471" s="106" t="s">
        <v>15</v>
      </c>
      <c r="AE1471" s="38" t="s">
        <v>347</v>
      </c>
    </row>
    <row r="1472" spans="1:31" ht="18" customHeight="1" x14ac:dyDescent="0.25">
      <c r="A14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2" s="79">
        <v>4</v>
      </c>
      <c r="C1472" s="23">
        <v>44424</v>
      </c>
      <c r="D1472" s="67">
        <f>IF(COUNTIF($G$2:$G1472,$G1472)=1,1,0)</f>
        <v>0</v>
      </c>
      <c r="E1472" s="67" t="str">
        <f>IFERROR(VLOOKUP(База_КР_КК[[#This Row],[ИД штатной должности (S)]],'уровень защищенности'!$B$7:$F$1095,5,0),"не защищена")</f>
        <v>высокий</v>
      </c>
      <c r="F1472" s="68">
        <v>500453</v>
      </c>
      <c r="G1472" s="74" t="s">
        <v>2486</v>
      </c>
      <c r="H1472" s="181">
        <f>INDEX('Списки данных'!$D$2:$D$1048576,MATCH(База_КР_КК[[#This Row],[Структурное подразделение]],'Списки данных'!$C$2:$C$1048576,0))</f>
        <v>15</v>
      </c>
      <c r="I1472" s="80" t="s">
        <v>161</v>
      </c>
      <c r="J1472" s="80" t="s">
        <v>214</v>
      </c>
      <c r="K1472" s="80" t="s">
        <v>21</v>
      </c>
      <c r="L1472" s="30" t="s">
        <v>191</v>
      </c>
      <c r="M1472" s="68">
        <v>7</v>
      </c>
      <c r="N1472" s="181" t="str">
        <f t="shared" si="23"/>
        <v>да</v>
      </c>
      <c r="O1472" s="23">
        <v>44805</v>
      </c>
      <c r="P1472" s="23">
        <v>44866</v>
      </c>
      <c r="Q1472" s="106" t="s">
        <v>66</v>
      </c>
      <c r="R1472" s="37">
        <v>317</v>
      </c>
      <c r="S1472" s="39" t="s">
        <v>729</v>
      </c>
      <c r="T1472" s="37">
        <v>1398</v>
      </c>
      <c r="U1472" s="39" t="s">
        <v>1781</v>
      </c>
      <c r="V1472" s="69" t="s">
        <v>272</v>
      </c>
      <c r="W1472" s="89" t="s">
        <v>161</v>
      </c>
      <c r="X1472" s="106" t="s">
        <v>295</v>
      </c>
      <c r="Y1472" s="107" t="s">
        <v>12</v>
      </c>
      <c r="Z1472" s="67">
        <f>IF(База_КР_КК[[#This Row],[Таб.номер резервиста]]="-","-",IF(OR(База_КР_КК[[#This Row],[Уровень КК]]=2,База_КР_КК[[#This Row],[Уровень КК]]=3),IF(COUNTIFS($U$2:$U1472,$U1472,$F$2:$F1472,$F1472)=1,1,0),IF(COUNTIFS($U$2:$U1472,$U1472,$L$2:$L1472,$L1472)=1,1,0)))</f>
        <v>0</v>
      </c>
      <c r="AA14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2" s="106"/>
      <c r="AC1472" s="51"/>
      <c r="AD1472" s="106" t="s">
        <v>15</v>
      </c>
      <c r="AE1472" s="38" t="s">
        <v>347</v>
      </c>
    </row>
    <row r="1473" spans="1:31" ht="18" customHeight="1" x14ac:dyDescent="0.25">
      <c r="A14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3" s="79">
        <v>4</v>
      </c>
      <c r="C1473" s="23">
        <v>44424</v>
      </c>
      <c r="D1473" s="67">
        <f>IF(COUNTIF($G$2:$G1473,$G1473)=1,1,0)</f>
        <v>0</v>
      </c>
      <c r="E1473" s="67" t="str">
        <f>IFERROR(VLOOKUP(База_КР_КК[[#This Row],[ИД штатной должности (S)]],'уровень защищенности'!$B$7:$F$1095,5,0),"не защищена")</f>
        <v>высокий</v>
      </c>
      <c r="F1473" s="68">
        <v>500453</v>
      </c>
      <c r="G1473" s="74" t="s">
        <v>2486</v>
      </c>
      <c r="H1473" s="181">
        <f>INDEX('Списки данных'!$D$2:$D$1048576,MATCH(База_КР_КК[[#This Row],[Структурное подразделение]],'Списки данных'!$C$2:$C$1048576,0))</f>
        <v>15</v>
      </c>
      <c r="I1473" s="80" t="s">
        <v>161</v>
      </c>
      <c r="J1473" s="80" t="s">
        <v>214</v>
      </c>
      <c r="K1473" s="80" t="s">
        <v>21</v>
      </c>
      <c r="L1473" s="30" t="s">
        <v>191</v>
      </c>
      <c r="M1473" s="68">
        <v>7</v>
      </c>
      <c r="N1473" s="181" t="str">
        <f t="shared" ref="N1473:N1536" si="24">IF(ISBLANK(O1473),"нет","да")</f>
        <v>да</v>
      </c>
      <c r="O1473" s="23">
        <v>44805</v>
      </c>
      <c r="P1473" s="23">
        <v>44866</v>
      </c>
      <c r="Q1473" s="106" t="s">
        <v>66</v>
      </c>
      <c r="R1473" s="37">
        <v>317</v>
      </c>
      <c r="S1473" s="39" t="s">
        <v>729</v>
      </c>
      <c r="T1473" s="37">
        <v>1399</v>
      </c>
      <c r="U1473" s="39" t="s">
        <v>1782</v>
      </c>
      <c r="V1473" s="69" t="s">
        <v>272</v>
      </c>
      <c r="W1473" s="89" t="s">
        <v>161</v>
      </c>
      <c r="X1473" s="106" t="s">
        <v>295</v>
      </c>
      <c r="Y1473" s="107" t="s">
        <v>12</v>
      </c>
      <c r="Z1473" s="67">
        <f>IF(База_КР_КК[[#This Row],[Таб.номер резервиста]]="-","-",IF(OR(База_КР_КК[[#This Row],[Уровень КК]]=2,База_КР_КК[[#This Row],[Уровень КК]]=3),IF(COUNTIFS($U$2:$U1473,$U1473,$F$2:$F1473,$F1473)=1,1,0),IF(COUNTIFS($U$2:$U1473,$U1473,$L$2:$L1473,$L1473)=1,1,0)))</f>
        <v>0</v>
      </c>
      <c r="AA14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3" s="106"/>
      <c r="AC1473" s="51"/>
      <c r="AD1473" s="106" t="s">
        <v>15</v>
      </c>
      <c r="AE1473" s="38" t="s">
        <v>347</v>
      </c>
    </row>
    <row r="1474" spans="1:31" ht="18" customHeight="1" x14ac:dyDescent="0.25">
      <c r="A14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4" s="79">
        <v>4</v>
      </c>
      <c r="C1474" s="23">
        <v>44424</v>
      </c>
      <c r="D1474" s="67">
        <f>IF(COUNTIF($G$2:$G1474,$G1474)=1,1,0)</f>
        <v>0</v>
      </c>
      <c r="E1474" s="67" t="str">
        <f>IFERROR(VLOOKUP(База_КР_КК[[#This Row],[ИД штатной должности (S)]],'уровень защищенности'!$B$7:$F$1095,5,0),"не защищена")</f>
        <v>высокий</v>
      </c>
      <c r="F1474" s="68">
        <v>500453</v>
      </c>
      <c r="G1474" s="74" t="s">
        <v>2486</v>
      </c>
      <c r="H1474" s="181">
        <f>INDEX('Списки данных'!$D$2:$D$1048576,MATCH(База_КР_КК[[#This Row],[Структурное подразделение]],'Списки данных'!$C$2:$C$1048576,0))</f>
        <v>15</v>
      </c>
      <c r="I1474" s="80" t="s">
        <v>161</v>
      </c>
      <c r="J1474" s="80" t="s">
        <v>214</v>
      </c>
      <c r="K1474" s="80" t="s">
        <v>21</v>
      </c>
      <c r="L1474" s="30" t="s">
        <v>191</v>
      </c>
      <c r="M1474" s="68">
        <v>7</v>
      </c>
      <c r="N1474" s="181" t="str">
        <f t="shared" si="24"/>
        <v>да</v>
      </c>
      <c r="O1474" s="23">
        <v>44805</v>
      </c>
      <c r="P1474" s="23">
        <v>44866</v>
      </c>
      <c r="Q1474" s="106" t="s">
        <v>66</v>
      </c>
      <c r="R1474" s="37">
        <v>317</v>
      </c>
      <c r="S1474" s="39" t="s">
        <v>729</v>
      </c>
      <c r="T1474" s="37">
        <v>1400</v>
      </c>
      <c r="U1474" s="39" t="s">
        <v>1783</v>
      </c>
      <c r="V1474" s="69" t="s">
        <v>272</v>
      </c>
      <c r="W1474" s="89" t="s">
        <v>161</v>
      </c>
      <c r="X1474" s="106" t="s">
        <v>295</v>
      </c>
      <c r="Y1474" s="107" t="s">
        <v>12</v>
      </c>
      <c r="Z1474" s="67">
        <f>IF(База_КР_КК[[#This Row],[Таб.номер резервиста]]="-","-",IF(OR(База_КР_КК[[#This Row],[Уровень КК]]=2,База_КР_КК[[#This Row],[Уровень КК]]=3),IF(COUNTIFS($U$2:$U1474,$U1474,$F$2:$F1474,$F1474)=1,1,0),IF(COUNTIFS($U$2:$U1474,$U1474,$L$2:$L1474,$L1474)=1,1,0)))</f>
        <v>0</v>
      </c>
      <c r="AA14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4" s="106"/>
      <c r="AC1474" s="51"/>
      <c r="AD1474" s="106" t="s">
        <v>15</v>
      </c>
      <c r="AE1474" s="38" t="s">
        <v>347</v>
      </c>
    </row>
    <row r="1475" spans="1:31" ht="18" customHeight="1" x14ac:dyDescent="0.25">
      <c r="A14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5" s="79">
        <v>4</v>
      </c>
      <c r="C1475" s="23">
        <v>44887</v>
      </c>
      <c r="D1475" s="67">
        <f>IF(COUNTIF($G$2:$G1475,$G1475)=1,1,0)</f>
        <v>0</v>
      </c>
      <c r="E1475" s="67" t="str">
        <f>IFERROR(VLOOKUP(База_КР_КК[[#This Row],[ИД штатной должности (S)]],'уровень защищенности'!$B$7:$F$1095,5,0),"не защищена")</f>
        <v>высокий</v>
      </c>
      <c r="F1475" s="68">
        <v>500453</v>
      </c>
      <c r="G1475" s="74" t="s">
        <v>2486</v>
      </c>
      <c r="H1475" s="181">
        <f>INDEX('Списки данных'!$D$2:$D$1048576,MATCH(База_КР_КК[[#This Row],[Структурное подразделение]],'Списки данных'!$C$2:$C$1048576,0))</f>
        <v>15</v>
      </c>
      <c r="I1475" s="80" t="s">
        <v>161</v>
      </c>
      <c r="J1475" s="80" t="s">
        <v>214</v>
      </c>
      <c r="K1475" s="80" t="s">
        <v>21</v>
      </c>
      <c r="L1475" s="30" t="s">
        <v>191</v>
      </c>
      <c r="M1475" s="68">
        <v>7</v>
      </c>
      <c r="N1475" s="181" t="str">
        <f t="shared" si="24"/>
        <v>да</v>
      </c>
      <c r="O1475" s="23">
        <v>44805</v>
      </c>
      <c r="P1475" s="23">
        <v>44866</v>
      </c>
      <c r="Q1475" s="106" t="s">
        <v>66</v>
      </c>
      <c r="R1475" s="37">
        <v>317</v>
      </c>
      <c r="S1475" s="39" t="s">
        <v>729</v>
      </c>
      <c r="T1475" s="37">
        <v>1401</v>
      </c>
      <c r="U1475" s="39" t="s">
        <v>1784</v>
      </c>
      <c r="V1475" s="69" t="s">
        <v>272</v>
      </c>
      <c r="W1475" s="89" t="s">
        <v>161</v>
      </c>
      <c r="X1475" s="106" t="s">
        <v>296</v>
      </c>
      <c r="Y1475" s="107" t="s">
        <v>12</v>
      </c>
      <c r="Z1475" s="67">
        <f>IF(База_КР_КК[[#This Row],[Таб.номер резервиста]]="-","-",IF(OR(База_КР_КК[[#This Row],[Уровень КК]]=2,База_КР_КК[[#This Row],[Уровень КК]]=3),IF(COUNTIFS($U$2:$U1475,$U1475,$F$2:$F1475,$F1475)=1,1,0),IF(COUNTIFS($U$2:$U1475,$U1475,$L$2:$L1475,$L1475)=1,1,0)))</f>
        <v>0</v>
      </c>
      <c r="AA14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5" s="106"/>
      <c r="AC1475" s="51"/>
      <c r="AD1475" s="106" t="s">
        <v>15</v>
      </c>
      <c r="AE1475" s="40" t="s">
        <v>310</v>
      </c>
    </row>
    <row r="1476" spans="1:31" ht="18" customHeight="1" x14ac:dyDescent="0.25">
      <c r="A14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6" s="79">
        <v>4</v>
      </c>
      <c r="C1476" s="23">
        <v>44887</v>
      </c>
      <c r="D1476" s="67">
        <f>IF(COUNTIF($G$2:$G1476,$G1476)=1,1,0)</f>
        <v>0</v>
      </c>
      <c r="E1476" s="67" t="str">
        <f>IFERROR(VLOOKUP(База_КР_КК[[#This Row],[ИД штатной должности (S)]],'уровень защищенности'!$B$7:$F$1095,5,0),"не защищена")</f>
        <v>высокий</v>
      </c>
      <c r="F1476" s="68">
        <v>500453</v>
      </c>
      <c r="G1476" s="74" t="s">
        <v>2486</v>
      </c>
      <c r="H1476" s="181">
        <f>INDEX('Списки данных'!$D$2:$D$1048576,MATCH(База_КР_КК[[#This Row],[Структурное подразделение]],'Списки данных'!$C$2:$C$1048576,0))</f>
        <v>15</v>
      </c>
      <c r="I1476" s="80" t="s">
        <v>161</v>
      </c>
      <c r="J1476" s="80" t="s">
        <v>214</v>
      </c>
      <c r="K1476" s="80" t="s">
        <v>21</v>
      </c>
      <c r="L1476" s="30" t="s">
        <v>191</v>
      </c>
      <c r="M1476" s="68">
        <v>7</v>
      </c>
      <c r="N1476" s="181" t="str">
        <f t="shared" si="24"/>
        <v>да</v>
      </c>
      <c r="O1476" s="23">
        <v>44805</v>
      </c>
      <c r="P1476" s="23">
        <v>44866</v>
      </c>
      <c r="Q1476" s="106" t="s">
        <v>66</v>
      </c>
      <c r="R1476" s="37">
        <v>317</v>
      </c>
      <c r="S1476" s="39" t="s">
        <v>729</v>
      </c>
      <c r="T1476" s="37">
        <v>1402</v>
      </c>
      <c r="U1476" s="39" t="s">
        <v>1785</v>
      </c>
      <c r="V1476" s="69" t="s">
        <v>272</v>
      </c>
      <c r="W1476" s="89" t="s">
        <v>161</v>
      </c>
      <c r="X1476" s="106" t="s">
        <v>296</v>
      </c>
      <c r="Y1476" s="107" t="s">
        <v>12</v>
      </c>
      <c r="Z1476" s="67">
        <f>IF(База_КР_КК[[#This Row],[Таб.номер резервиста]]="-","-",IF(OR(База_КР_КК[[#This Row],[Уровень КК]]=2,База_КР_КК[[#This Row],[Уровень КК]]=3),IF(COUNTIFS($U$2:$U1476,$U1476,$F$2:$F1476,$F1476)=1,1,0),IF(COUNTIFS($U$2:$U1476,$U1476,$L$2:$L1476,$L1476)=1,1,0)))</f>
        <v>0</v>
      </c>
      <c r="AA14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6" s="106"/>
      <c r="AC1476" s="51"/>
      <c r="AD1476" s="106" t="s">
        <v>15</v>
      </c>
      <c r="AE1476" s="40" t="s">
        <v>310</v>
      </c>
    </row>
    <row r="1477" spans="1:31" ht="18" customHeight="1" x14ac:dyDescent="0.25">
      <c r="A14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7" s="79">
        <v>4</v>
      </c>
      <c r="C1477" s="23">
        <v>44887</v>
      </c>
      <c r="D1477" s="67">
        <f>IF(COUNTIF($G$2:$G1477,$G1477)=1,1,0)</f>
        <v>0</v>
      </c>
      <c r="E1477" s="67" t="str">
        <f>IFERROR(VLOOKUP(База_КР_КК[[#This Row],[ИД штатной должности (S)]],'уровень защищенности'!$B$7:$F$1095,5,0),"не защищена")</f>
        <v>высокий</v>
      </c>
      <c r="F1477" s="68">
        <v>500453</v>
      </c>
      <c r="G1477" s="74" t="s">
        <v>2486</v>
      </c>
      <c r="H1477" s="181">
        <f>INDEX('Списки данных'!$D$2:$D$1048576,MATCH(База_КР_КК[[#This Row],[Структурное подразделение]],'Списки данных'!$C$2:$C$1048576,0))</f>
        <v>15</v>
      </c>
      <c r="I1477" s="80" t="s">
        <v>161</v>
      </c>
      <c r="J1477" s="80" t="s">
        <v>214</v>
      </c>
      <c r="K1477" s="80" t="s">
        <v>21</v>
      </c>
      <c r="L1477" s="30" t="s">
        <v>191</v>
      </c>
      <c r="M1477" s="68">
        <v>7</v>
      </c>
      <c r="N1477" s="181" t="str">
        <f t="shared" si="24"/>
        <v>да</v>
      </c>
      <c r="O1477" s="23">
        <v>44805</v>
      </c>
      <c r="P1477" s="23">
        <v>44866</v>
      </c>
      <c r="Q1477" s="106" t="s">
        <v>66</v>
      </c>
      <c r="R1477" s="37">
        <v>317</v>
      </c>
      <c r="S1477" s="39" t="s">
        <v>729</v>
      </c>
      <c r="T1477" s="37">
        <v>1403</v>
      </c>
      <c r="U1477" s="39" t="s">
        <v>1786</v>
      </c>
      <c r="V1477" s="69" t="s">
        <v>272</v>
      </c>
      <c r="W1477" s="89" t="s">
        <v>161</v>
      </c>
      <c r="X1477" s="106" t="s">
        <v>296</v>
      </c>
      <c r="Y1477" s="107" t="s">
        <v>12</v>
      </c>
      <c r="Z1477" s="67">
        <f>IF(База_КР_КК[[#This Row],[Таб.номер резервиста]]="-","-",IF(OR(База_КР_КК[[#This Row],[Уровень КК]]=2,База_КР_КК[[#This Row],[Уровень КК]]=3),IF(COUNTIFS($U$2:$U1477,$U1477,$F$2:$F1477,$F1477)=1,1,0),IF(COUNTIFS($U$2:$U1477,$U1477,$L$2:$L1477,$L1477)=1,1,0)))</f>
        <v>0</v>
      </c>
      <c r="AA14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7" s="106"/>
      <c r="AC1477" s="51"/>
      <c r="AD1477" s="106" t="s">
        <v>15</v>
      </c>
      <c r="AE1477" s="40" t="s">
        <v>310</v>
      </c>
    </row>
    <row r="1478" spans="1:31" ht="18" customHeight="1" x14ac:dyDescent="0.25">
      <c r="A14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8" s="79">
        <v>4</v>
      </c>
      <c r="C1478" s="23">
        <v>44887</v>
      </c>
      <c r="D1478" s="67">
        <f>IF(COUNTIF($G$2:$G1478,$G1478)=1,1,0)</f>
        <v>0</v>
      </c>
      <c r="E1478" s="67" t="str">
        <f>IFERROR(VLOOKUP(База_КР_КК[[#This Row],[ИД штатной должности (S)]],'уровень защищенности'!$B$7:$F$1095,5,0),"не защищена")</f>
        <v>высокий</v>
      </c>
      <c r="F1478" s="68">
        <v>500453</v>
      </c>
      <c r="G1478" s="74" t="s">
        <v>2486</v>
      </c>
      <c r="H1478" s="181">
        <f>INDEX('Списки данных'!$D$2:$D$1048576,MATCH(База_КР_КК[[#This Row],[Структурное подразделение]],'Списки данных'!$C$2:$C$1048576,0))</f>
        <v>15</v>
      </c>
      <c r="I1478" s="80" t="s">
        <v>161</v>
      </c>
      <c r="J1478" s="80" t="s">
        <v>214</v>
      </c>
      <c r="K1478" s="80" t="s">
        <v>21</v>
      </c>
      <c r="L1478" s="30" t="s">
        <v>191</v>
      </c>
      <c r="M1478" s="68">
        <v>7</v>
      </c>
      <c r="N1478" s="181" t="str">
        <f t="shared" si="24"/>
        <v>да</v>
      </c>
      <c r="O1478" s="23">
        <v>44805</v>
      </c>
      <c r="P1478" s="23">
        <v>44866</v>
      </c>
      <c r="Q1478" s="106" t="s">
        <v>66</v>
      </c>
      <c r="R1478" s="37">
        <v>317</v>
      </c>
      <c r="S1478" s="39" t="s">
        <v>729</v>
      </c>
      <c r="T1478" s="37">
        <v>1404</v>
      </c>
      <c r="U1478" s="39" t="s">
        <v>1787</v>
      </c>
      <c r="V1478" s="69" t="s">
        <v>272</v>
      </c>
      <c r="W1478" s="89" t="s">
        <v>161</v>
      </c>
      <c r="X1478" s="106" t="s">
        <v>296</v>
      </c>
      <c r="Y1478" s="107" t="s">
        <v>12</v>
      </c>
      <c r="Z1478" s="67">
        <f>IF(База_КР_КК[[#This Row],[Таб.номер резервиста]]="-","-",IF(OR(База_КР_КК[[#This Row],[Уровень КК]]=2,База_КР_КК[[#This Row],[Уровень КК]]=3),IF(COUNTIFS($U$2:$U1478,$U1478,$F$2:$F1478,$F1478)=1,1,0),IF(COUNTIFS($U$2:$U1478,$U1478,$L$2:$L1478,$L1478)=1,1,0)))</f>
        <v>0</v>
      </c>
      <c r="AA14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8" s="106"/>
      <c r="AC1478" s="51"/>
      <c r="AD1478" s="106" t="s">
        <v>15</v>
      </c>
      <c r="AE1478" s="40" t="s">
        <v>310</v>
      </c>
    </row>
    <row r="1479" spans="1:31" ht="18" customHeight="1" x14ac:dyDescent="0.25">
      <c r="A14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79" s="79">
        <v>4</v>
      </c>
      <c r="C1479" s="23">
        <v>44887</v>
      </c>
      <c r="D1479" s="67">
        <f>IF(COUNTIF($G$2:$G1479,$G1479)=1,1,0)</f>
        <v>0</v>
      </c>
      <c r="E1479" s="67" t="str">
        <f>IFERROR(VLOOKUP(База_КР_КК[[#This Row],[ИД штатной должности (S)]],'уровень защищенности'!$B$7:$F$1095,5,0),"не защищена")</f>
        <v>высокий</v>
      </c>
      <c r="F1479" s="68">
        <v>500453</v>
      </c>
      <c r="G1479" s="74" t="s">
        <v>2486</v>
      </c>
      <c r="H1479" s="181">
        <f>INDEX('Списки данных'!$D$2:$D$1048576,MATCH(База_КР_КК[[#This Row],[Структурное подразделение]],'Списки данных'!$C$2:$C$1048576,0))</f>
        <v>15</v>
      </c>
      <c r="I1479" s="80" t="s">
        <v>161</v>
      </c>
      <c r="J1479" s="80" t="s">
        <v>214</v>
      </c>
      <c r="K1479" s="80" t="s">
        <v>21</v>
      </c>
      <c r="L1479" s="30" t="s">
        <v>191</v>
      </c>
      <c r="M1479" s="68">
        <v>7</v>
      </c>
      <c r="N1479" s="181" t="str">
        <f t="shared" si="24"/>
        <v>да</v>
      </c>
      <c r="O1479" s="23">
        <v>44805</v>
      </c>
      <c r="P1479" s="23">
        <v>44866</v>
      </c>
      <c r="Q1479" s="106" t="s">
        <v>66</v>
      </c>
      <c r="R1479" s="37">
        <v>317</v>
      </c>
      <c r="S1479" s="39" t="s">
        <v>729</v>
      </c>
      <c r="T1479" s="37">
        <v>1405</v>
      </c>
      <c r="U1479" s="39" t="s">
        <v>1788</v>
      </c>
      <c r="V1479" s="69" t="s">
        <v>272</v>
      </c>
      <c r="W1479" s="89" t="s">
        <v>161</v>
      </c>
      <c r="X1479" s="106" t="s">
        <v>296</v>
      </c>
      <c r="Y1479" s="107" t="s">
        <v>12</v>
      </c>
      <c r="Z1479" s="67">
        <f>IF(База_КР_КК[[#This Row],[Таб.номер резервиста]]="-","-",IF(OR(База_КР_КК[[#This Row],[Уровень КК]]=2,База_КР_КК[[#This Row],[Уровень КК]]=3),IF(COUNTIFS($U$2:$U1479,$U1479,$F$2:$F1479,$F1479)=1,1,0),IF(COUNTIFS($U$2:$U1479,$U1479,$L$2:$L1479,$L1479)=1,1,0)))</f>
        <v>0</v>
      </c>
      <c r="AA14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79" s="106"/>
      <c r="AC1479" s="51"/>
      <c r="AD1479" s="106" t="s">
        <v>15</v>
      </c>
      <c r="AE1479" s="40" t="s">
        <v>310</v>
      </c>
    </row>
    <row r="1480" spans="1:31" ht="18" customHeight="1" x14ac:dyDescent="0.25">
      <c r="A14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0" s="79">
        <v>4</v>
      </c>
      <c r="C1480" s="23">
        <v>44424</v>
      </c>
      <c r="D1480" s="67">
        <f>IF(COUNTIF($G$2:$G1480,$G1480)=1,1,0)</f>
        <v>0</v>
      </c>
      <c r="E1480" s="67" t="str">
        <f>IFERROR(VLOOKUP(База_КР_КК[[#This Row],[ИД штатной должности (S)]],'уровень защищенности'!$B$7:$F$1095,5,0),"не защищена")</f>
        <v>высокий</v>
      </c>
      <c r="F1480" s="68">
        <v>500453</v>
      </c>
      <c r="G1480" s="74" t="s">
        <v>2486</v>
      </c>
      <c r="H1480" s="181">
        <f>INDEX('Списки данных'!$D$2:$D$1048576,MATCH(База_КР_КК[[#This Row],[Структурное подразделение]],'Списки данных'!$C$2:$C$1048576,0))</f>
        <v>15</v>
      </c>
      <c r="I1480" s="80" t="s">
        <v>161</v>
      </c>
      <c r="J1480" s="80" t="s">
        <v>214</v>
      </c>
      <c r="K1480" s="80" t="s">
        <v>21</v>
      </c>
      <c r="L1480" s="30" t="s">
        <v>191</v>
      </c>
      <c r="M1480" s="68">
        <v>7</v>
      </c>
      <c r="N1480" s="181" t="str">
        <f t="shared" si="24"/>
        <v>да</v>
      </c>
      <c r="O1480" s="23">
        <v>44805</v>
      </c>
      <c r="P1480" s="23">
        <v>44866</v>
      </c>
      <c r="Q1480" s="106" t="s">
        <v>66</v>
      </c>
      <c r="R1480" s="37">
        <v>317</v>
      </c>
      <c r="S1480" s="39" t="s">
        <v>729</v>
      </c>
      <c r="T1480" s="37">
        <v>317</v>
      </c>
      <c r="U1480" s="39" t="s">
        <v>729</v>
      </c>
      <c r="V1480" s="69" t="s">
        <v>191</v>
      </c>
      <c r="W1480" s="89" t="s">
        <v>161</v>
      </c>
      <c r="X1480" s="106" t="s">
        <v>295</v>
      </c>
      <c r="Y1480" s="107" t="s">
        <v>14</v>
      </c>
      <c r="Z1480" s="67">
        <f>IF(База_КР_КК[[#This Row],[Таб.номер резервиста]]="-","-",IF(OR(База_КР_КК[[#This Row],[Уровень КК]]=2,База_КР_КК[[#This Row],[Уровень КК]]=3),IF(COUNTIFS($U$2:$U1480,$U1480,$F$2:$F1480,$F1480)=1,1,0),IF(COUNTIFS($U$2:$U1480,$U1480,$L$2:$L1480,$L1480)=1,1,0)))</f>
        <v>0</v>
      </c>
      <c r="AA14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480" s="106" t="s">
        <v>24</v>
      </c>
      <c r="AC1480" s="51">
        <v>44866</v>
      </c>
      <c r="AD1480" s="106" t="s">
        <v>15</v>
      </c>
      <c r="AE1480" s="38" t="s">
        <v>347</v>
      </c>
    </row>
    <row r="1481" spans="1:31" ht="18" customHeight="1" x14ac:dyDescent="0.25">
      <c r="A14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1" s="79">
        <v>4</v>
      </c>
      <c r="C1481" s="23">
        <v>44424</v>
      </c>
      <c r="D1481" s="67">
        <f>IF(COUNTIF($G$2:$G1481,$G1481)=1,1,0)</f>
        <v>1</v>
      </c>
      <c r="E1481" s="67" t="str">
        <f>IFERROR(VLOOKUP(База_КР_КК[[#This Row],[ИД штатной должности (S)]],'уровень защищенности'!$B$7:$F$1095,5,0),"не защищена")</f>
        <v>высокий</v>
      </c>
      <c r="F1481" s="68">
        <v>500453</v>
      </c>
      <c r="G1481" s="74" t="s">
        <v>2487</v>
      </c>
      <c r="H1481" s="181">
        <f>INDEX('Списки данных'!$D$2:$D$1048576,MATCH(База_КР_КК[[#This Row],[Структурное подразделение]],'Списки данных'!$C$2:$C$1048576,0))</f>
        <v>15</v>
      </c>
      <c r="I1481" s="80" t="s">
        <v>161</v>
      </c>
      <c r="J1481" s="80" t="s">
        <v>214</v>
      </c>
      <c r="K1481" s="80" t="s">
        <v>21</v>
      </c>
      <c r="L1481" s="30" t="s">
        <v>191</v>
      </c>
      <c r="M1481" s="68">
        <v>7</v>
      </c>
      <c r="N1481" s="181" t="str">
        <f t="shared" si="24"/>
        <v>нет</v>
      </c>
      <c r="O1481" s="23"/>
      <c r="P1481" s="23"/>
      <c r="Q1481" s="106"/>
      <c r="R1481" s="37">
        <v>318</v>
      </c>
      <c r="S1481" s="38" t="s">
        <v>730</v>
      </c>
      <c r="T1481" s="37">
        <v>1396</v>
      </c>
      <c r="U1481" s="39" t="s">
        <v>1779</v>
      </c>
      <c r="V1481" s="69" t="s">
        <v>272</v>
      </c>
      <c r="W1481" s="89" t="s">
        <v>161</v>
      </c>
      <c r="X1481" s="106" t="s">
        <v>296</v>
      </c>
      <c r="Y1481" s="107" t="s">
        <v>12</v>
      </c>
      <c r="Z1481" s="67">
        <f>IF(База_КР_КК[[#This Row],[Таб.номер резервиста]]="-","-",IF(OR(База_КР_КК[[#This Row],[Уровень КК]]=2,База_КР_КК[[#This Row],[Уровень КК]]=3),IF(COUNTIFS($U$2:$U1481,$U1481,$F$2:$F1481,$F1481)=1,1,0),IF(COUNTIFS($U$2:$U1481,$U1481,$L$2:$L1481,$L1481)=1,1,0)))</f>
        <v>0</v>
      </c>
      <c r="AA14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1" s="106"/>
      <c r="AC1481" s="51"/>
      <c r="AD1481" s="106" t="s">
        <v>15</v>
      </c>
      <c r="AE1481" s="38" t="s">
        <v>347</v>
      </c>
    </row>
    <row r="1482" spans="1:31" ht="18" customHeight="1" x14ac:dyDescent="0.25">
      <c r="A14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2" s="79">
        <v>4</v>
      </c>
      <c r="C1482" s="23">
        <v>44424</v>
      </c>
      <c r="D1482" s="67">
        <f>IF(COUNTIF($G$2:$G1482,$G1482)=1,1,0)</f>
        <v>0</v>
      </c>
      <c r="E1482" s="67" t="str">
        <f>IFERROR(VLOOKUP(База_КР_КК[[#This Row],[ИД штатной должности (S)]],'уровень защищенности'!$B$7:$F$1095,5,0),"не защищена")</f>
        <v>высокий</v>
      </c>
      <c r="F1482" s="68">
        <v>500453</v>
      </c>
      <c r="G1482" s="74" t="s">
        <v>2487</v>
      </c>
      <c r="H1482" s="181">
        <f>INDEX('Списки данных'!$D$2:$D$1048576,MATCH(База_КР_КК[[#This Row],[Структурное подразделение]],'Списки данных'!$C$2:$C$1048576,0))</f>
        <v>15</v>
      </c>
      <c r="I1482" s="80" t="s">
        <v>161</v>
      </c>
      <c r="J1482" s="80" t="s">
        <v>214</v>
      </c>
      <c r="K1482" s="80" t="s">
        <v>21</v>
      </c>
      <c r="L1482" s="30" t="s">
        <v>191</v>
      </c>
      <c r="M1482" s="68">
        <v>7</v>
      </c>
      <c r="N1482" s="181" t="str">
        <f t="shared" si="24"/>
        <v>нет</v>
      </c>
      <c r="O1482" s="23"/>
      <c r="P1482" s="23"/>
      <c r="Q1482" s="106"/>
      <c r="R1482" s="37">
        <v>318</v>
      </c>
      <c r="S1482" s="38" t="s">
        <v>730</v>
      </c>
      <c r="T1482" s="37">
        <v>1397</v>
      </c>
      <c r="U1482" s="39" t="s">
        <v>1780</v>
      </c>
      <c r="V1482" s="69" t="s">
        <v>272</v>
      </c>
      <c r="W1482" s="89" t="s">
        <v>161</v>
      </c>
      <c r="X1482" s="106" t="s">
        <v>296</v>
      </c>
      <c r="Y1482" s="107" t="s">
        <v>12</v>
      </c>
      <c r="Z1482" s="67">
        <f>IF(База_КР_КК[[#This Row],[Таб.номер резервиста]]="-","-",IF(OR(База_КР_КК[[#This Row],[Уровень КК]]=2,База_КР_КК[[#This Row],[Уровень КК]]=3),IF(COUNTIFS($U$2:$U1482,$U1482,$F$2:$F1482,$F1482)=1,1,0),IF(COUNTIFS($U$2:$U1482,$U1482,$L$2:$L1482,$L1482)=1,1,0)))</f>
        <v>0</v>
      </c>
      <c r="AA14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2" s="106"/>
      <c r="AC1482" s="51"/>
      <c r="AD1482" s="106" t="s">
        <v>15</v>
      </c>
      <c r="AE1482" s="38" t="s">
        <v>347</v>
      </c>
    </row>
    <row r="1483" spans="1:31" ht="18" customHeight="1" x14ac:dyDescent="0.25">
      <c r="A14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3" s="79">
        <v>4</v>
      </c>
      <c r="C1483" s="23">
        <v>44424</v>
      </c>
      <c r="D1483" s="67">
        <f>IF(COUNTIF($G$2:$G1483,$G1483)=1,1,0)</f>
        <v>0</v>
      </c>
      <c r="E1483" s="67" t="str">
        <f>IFERROR(VLOOKUP(База_КР_КК[[#This Row],[ИД штатной должности (S)]],'уровень защищенности'!$B$7:$F$1095,5,0),"не защищена")</f>
        <v>высокий</v>
      </c>
      <c r="F1483" s="68">
        <v>500453</v>
      </c>
      <c r="G1483" s="74" t="s">
        <v>2487</v>
      </c>
      <c r="H1483" s="181">
        <f>INDEX('Списки данных'!$D$2:$D$1048576,MATCH(База_КР_КК[[#This Row],[Структурное подразделение]],'Списки данных'!$C$2:$C$1048576,0))</f>
        <v>15</v>
      </c>
      <c r="I1483" s="80" t="s">
        <v>161</v>
      </c>
      <c r="J1483" s="80" t="s">
        <v>214</v>
      </c>
      <c r="K1483" s="80" t="s">
        <v>21</v>
      </c>
      <c r="L1483" s="30" t="s">
        <v>191</v>
      </c>
      <c r="M1483" s="68">
        <v>7</v>
      </c>
      <c r="N1483" s="181" t="str">
        <f t="shared" si="24"/>
        <v>нет</v>
      </c>
      <c r="O1483" s="23"/>
      <c r="P1483" s="23"/>
      <c r="Q1483" s="106"/>
      <c r="R1483" s="37">
        <v>318</v>
      </c>
      <c r="S1483" s="38" t="s">
        <v>730</v>
      </c>
      <c r="T1483" s="37">
        <v>1398</v>
      </c>
      <c r="U1483" s="39" t="s">
        <v>1781</v>
      </c>
      <c r="V1483" s="69" t="s">
        <v>272</v>
      </c>
      <c r="W1483" s="89" t="s">
        <v>161</v>
      </c>
      <c r="X1483" s="106" t="s">
        <v>295</v>
      </c>
      <c r="Y1483" s="107" t="s">
        <v>12</v>
      </c>
      <c r="Z1483" s="67">
        <f>IF(База_КР_КК[[#This Row],[Таб.номер резервиста]]="-","-",IF(OR(База_КР_КК[[#This Row],[Уровень КК]]=2,База_КР_КК[[#This Row],[Уровень КК]]=3),IF(COUNTIFS($U$2:$U1483,$U1483,$F$2:$F1483,$F1483)=1,1,0),IF(COUNTIFS($U$2:$U1483,$U1483,$L$2:$L1483,$L1483)=1,1,0)))</f>
        <v>0</v>
      </c>
      <c r="AA14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3" s="106"/>
      <c r="AC1483" s="51"/>
      <c r="AD1483" s="106" t="s">
        <v>15</v>
      </c>
      <c r="AE1483" s="38" t="s">
        <v>347</v>
      </c>
    </row>
    <row r="1484" spans="1:31" ht="18" customHeight="1" x14ac:dyDescent="0.25">
      <c r="A14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4" s="79">
        <v>4</v>
      </c>
      <c r="C1484" s="23">
        <v>44424</v>
      </c>
      <c r="D1484" s="67">
        <f>IF(COUNTIF($G$2:$G1484,$G1484)=1,1,0)</f>
        <v>0</v>
      </c>
      <c r="E1484" s="67" t="str">
        <f>IFERROR(VLOOKUP(База_КР_КК[[#This Row],[ИД штатной должности (S)]],'уровень защищенности'!$B$7:$F$1095,5,0),"не защищена")</f>
        <v>высокий</v>
      </c>
      <c r="F1484" s="68">
        <v>500453</v>
      </c>
      <c r="G1484" s="74" t="s">
        <v>2487</v>
      </c>
      <c r="H1484" s="181">
        <f>INDEX('Списки данных'!$D$2:$D$1048576,MATCH(База_КР_КК[[#This Row],[Структурное подразделение]],'Списки данных'!$C$2:$C$1048576,0))</f>
        <v>15</v>
      </c>
      <c r="I1484" s="80" t="s">
        <v>161</v>
      </c>
      <c r="J1484" s="80" t="s">
        <v>214</v>
      </c>
      <c r="K1484" s="80" t="s">
        <v>21</v>
      </c>
      <c r="L1484" s="30" t="s">
        <v>191</v>
      </c>
      <c r="M1484" s="68">
        <v>7</v>
      </c>
      <c r="N1484" s="181" t="str">
        <f t="shared" si="24"/>
        <v>нет</v>
      </c>
      <c r="O1484" s="23"/>
      <c r="P1484" s="23"/>
      <c r="Q1484" s="106"/>
      <c r="R1484" s="37">
        <v>318</v>
      </c>
      <c r="S1484" s="38" t="s">
        <v>730</v>
      </c>
      <c r="T1484" s="37">
        <v>1399</v>
      </c>
      <c r="U1484" s="39" t="s">
        <v>1782</v>
      </c>
      <c r="V1484" s="69" t="s">
        <v>272</v>
      </c>
      <c r="W1484" s="89" t="s">
        <v>161</v>
      </c>
      <c r="X1484" s="106" t="s">
        <v>295</v>
      </c>
      <c r="Y1484" s="107" t="s">
        <v>12</v>
      </c>
      <c r="Z1484" s="67">
        <f>IF(База_КР_КК[[#This Row],[Таб.номер резервиста]]="-","-",IF(OR(База_КР_КК[[#This Row],[Уровень КК]]=2,База_КР_КК[[#This Row],[Уровень КК]]=3),IF(COUNTIFS($U$2:$U1484,$U1484,$F$2:$F1484,$F1484)=1,1,0),IF(COUNTIFS($U$2:$U1484,$U1484,$L$2:$L1484,$L1484)=1,1,0)))</f>
        <v>0</v>
      </c>
      <c r="AA14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4" s="106"/>
      <c r="AC1484" s="51"/>
      <c r="AD1484" s="106" t="s">
        <v>15</v>
      </c>
      <c r="AE1484" s="38" t="s">
        <v>347</v>
      </c>
    </row>
    <row r="1485" spans="1:31" ht="18" customHeight="1" x14ac:dyDescent="0.25">
      <c r="A14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5" s="79">
        <v>4</v>
      </c>
      <c r="C1485" s="23">
        <v>44424</v>
      </c>
      <c r="D1485" s="67">
        <f>IF(COUNTIF($G$2:$G1485,$G1485)=1,1,0)</f>
        <v>0</v>
      </c>
      <c r="E1485" s="67" t="str">
        <f>IFERROR(VLOOKUP(База_КР_КК[[#This Row],[ИД штатной должности (S)]],'уровень защищенности'!$B$7:$F$1095,5,0),"не защищена")</f>
        <v>высокий</v>
      </c>
      <c r="F1485" s="68">
        <v>500453</v>
      </c>
      <c r="G1485" s="74" t="s">
        <v>2487</v>
      </c>
      <c r="H1485" s="181">
        <f>INDEX('Списки данных'!$D$2:$D$1048576,MATCH(База_КР_КК[[#This Row],[Структурное подразделение]],'Списки данных'!$C$2:$C$1048576,0))</f>
        <v>15</v>
      </c>
      <c r="I1485" s="80" t="s">
        <v>161</v>
      </c>
      <c r="J1485" s="80" t="s">
        <v>214</v>
      </c>
      <c r="K1485" s="80" t="s">
        <v>21</v>
      </c>
      <c r="L1485" s="30" t="s">
        <v>191</v>
      </c>
      <c r="M1485" s="68">
        <v>7</v>
      </c>
      <c r="N1485" s="181" t="str">
        <f t="shared" si="24"/>
        <v>нет</v>
      </c>
      <c r="O1485" s="23"/>
      <c r="P1485" s="23"/>
      <c r="Q1485" s="106"/>
      <c r="R1485" s="37">
        <v>318</v>
      </c>
      <c r="S1485" s="38" t="s">
        <v>730</v>
      </c>
      <c r="T1485" s="37">
        <v>1400</v>
      </c>
      <c r="U1485" s="39" t="s">
        <v>1783</v>
      </c>
      <c r="V1485" s="69" t="s">
        <v>272</v>
      </c>
      <c r="W1485" s="89" t="s">
        <v>161</v>
      </c>
      <c r="X1485" s="106" t="s">
        <v>295</v>
      </c>
      <c r="Y1485" s="107" t="s">
        <v>12</v>
      </c>
      <c r="Z1485" s="67">
        <f>IF(База_КР_КК[[#This Row],[Таб.номер резервиста]]="-","-",IF(OR(База_КР_КК[[#This Row],[Уровень КК]]=2,База_КР_КК[[#This Row],[Уровень КК]]=3),IF(COUNTIFS($U$2:$U1485,$U1485,$F$2:$F1485,$F1485)=1,1,0),IF(COUNTIFS($U$2:$U1485,$U1485,$L$2:$L1485,$L1485)=1,1,0)))</f>
        <v>0</v>
      </c>
      <c r="AA14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5" s="106"/>
      <c r="AC1485" s="51"/>
      <c r="AD1485" s="106" t="s">
        <v>15</v>
      </c>
      <c r="AE1485" s="38" t="s">
        <v>347</v>
      </c>
    </row>
    <row r="1486" spans="1:31" ht="18" customHeight="1" x14ac:dyDescent="0.25">
      <c r="A14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6" s="79">
        <v>4</v>
      </c>
      <c r="C1486" s="23">
        <v>44887</v>
      </c>
      <c r="D1486" s="67">
        <f>IF(COUNTIF($G$2:$G1486,$G1486)=1,1,0)</f>
        <v>0</v>
      </c>
      <c r="E1486" s="67" t="str">
        <f>IFERROR(VLOOKUP(База_КР_КК[[#This Row],[ИД штатной должности (S)]],'уровень защищенности'!$B$7:$F$1095,5,0),"не защищена")</f>
        <v>высокий</v>
      </c>
      <c r="F1486" s="68">
        <v>500453</v>
      </c>
      <c r="G1486" s="74" t="s">
        <v>2487</v>
      </c>
      <c r="H1486" s="181">
        <f>INDEX('Списки данных'!$D$2:$D$1048576,MATCH(База_КР_КК[[#This Row],[Структурное подразделение]],'Списки данных'!$C$2:$C$1048576,0))</f>
        <v>15</v>
      </c>
      <c r="I1486" s="80" t="s">
        <v>161</v>
      </c>
      <c r="J1486" s="80" t="s">
        <v>214</v>
      </c>
      <c r="K1486" s="80" t="s">
        <v>21</v>
      </c>
      <c r="L1486" s="30" t="s">
        <v>191</v>
      </c>
      <c r="M1486" s="68">
        <v>7</v>
      </c>
      <c r="N1486" s="181" t="str">
        <f t="shared" si="24"/>
        <v>нет</v>
      </c>
      <c r="O1486" s="23"/>
      <c r="P1486" s="23"/>
      <c r="Q1486" s="106"/>
      <c r="R1486" s="37">
        <v>318</v>
      </c>
      <c r="S1486" s="38" t="s">
        <v>730</v>
      </c>
      <c r="T1486" s="37">
        <v>1401</v>
      </c>
      <c r="U1486" s="39" t="s">
        <v>1784</v>
      </c>
      <c r="V1486" s="69" t="s">
        <v>272</v>
      </c>
      <c r="W1486" s="89" t="s">
        <v>161</v>
      </c>
      <c r="X1486" s="106" t="s">
        <v>296</v>
      </c>
      <c r="Y1486" s="107" t="s">
        <v>12</v>
      </c>
      <c r="Z1486" s="67">
        <f>IF(База_КР_КК[[#This Row],[Таб.номер резервиста]]="-","-",IF(OR(База_КР_КК[[#This Row],[Уровень КК]]=2,База_КР_КК[[#This Row],[Уровень КК]]=3),IF(COUNTIFS($U$2:$U1486,$U1486,$F$2:$F1486,$F1486)=1,1,0),IF(COUNTIFS($U$2:$U1486,$U1486,$L$2:$L1486,$L1486)=1,1,0)))</f>
        <v>0</v>
      </c>
      <c r="AA14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6" s="106"/>
      <c r="AC1486" s="51"/>
      <c r="AD1486" s="106" t="s">
        <v>15</v>
      </c>
      <c r="AE1486" s="40" t="s">
        <v>310</v>
      </c>
    </row>
    <row r="1487" spans="1:31" ht="18" customHeight="1" x14ac:dyDescent="0.25">
      <c r="A14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7" s="79">
        <v>4</v>
      </c>
      <c r="C1487" s="23">
        <v>44887</v>
      </c>
      <c r="D1487" s="67">
        <f>IF(COUNTIF($G$2:$G1487,$G1487)=1,1,0)</f>
        <v>0</v>
      </c>
      <c r="E1487" s="67" t="str">
        <f>IFERROR(VLOOKUP(База_КР_КК[[#This Row],[ИД штатной должности (S)]],'уровень защищенности'!$B$7:$F$1095,5,0),"не защищена")</f>
        <v>высокий</v>
      </c>
      <c r="F1487" s="68">
        <v>500453</v>
      </c>
      <c r="G1487" s="74" t="s">
        <v>2487</v>
      </c>
      <c r="H1487" s="181">
        <f>INDEX('Списки данных'!$D$2:$D$1048576,MATCH(База_КР_КК[[#This Row],[Структурное подразделение]],'Списки данных'!$C$2:$C$1048576,0))</f>
        <v>15</v>
      </c>
      <c r="I1487" s="80" t="s">
        <v>161</v>
      </c>
      <c r="J1487" s="80" t="s">
        <v>214</v>
      </c>
      <c r="K1487" s="80" t="s">
        <v>21</v>
      </c>
      <c r="L1487" s="30" t="s">
        <v>191</v>
      </c>
      <c r="M1487" s="68">
        <v>7</v>
      </c>
      <c r="N1487" s="181" t="str">
        <f t="shared" si="24"/>
        <v>нет</v>
      </c>
      <c r="O1487" s="23"/>
      <c r="P1487" s="23"/>
      <c r="Q1487" s="106"/>
      <c r="R1487" s="37">
        <v>318</v>
      </c>
      <c r="S1487" s="38" t="s">
        <v>730</v>
      </c>
      <c r="T1487" s="37">
        <v>1402</v>
      </c>
      <c r="U1487" s="39" t="s">
        <v>1785</v>
      </c>
      <c r="V1487" s="69" t="s">
        <v>272</v>
      </c>
      <c r="W1487" s="89" t="s">
        <v>161</v>
      </c>
      <c r="X1487" s="106" t="s">
        <v>296</v>
      </c>
      <c r="Y1487" s="107" t="s">
        <v>12</v>
      </c>
      <c r="Z1487" s="67">
        <f>IF(База_КР_КК[[#This Row],[Таб.номер резервиста]]="-","-",IF(OR(База_КР_КК[[#This Row],[Уровень КК]]=2,База_КР_КК[[#This Row],[Уровень КК]]=3),IF(COUNTIFS($U$2:$U1487,$U1487,$F$2:$F1487,$F1487)=1,1,0),IF(COUNTIFS($U$2:$U1487,$U1487,$L$2:$L1487,$L1487)=1,1,0)))</f>
        <v>0</v>
      </c>
      <c r="AA14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7" s="106"/>
      <c r="AC1487" s="51"/>
      <c r="AD1487" s="106" t="s">
        <v>15</v>
      </c>
      <c r="AE1487" s="40" t="s">
        <v>310</v>
      </c>
    </row>
    <row r="1488" spans="1:31" ht="18" customHeight="1" x14ac:dyDescent="0.25">
      <c r="A14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8" s="79">
        <v>4</v>
      </c>
      <c r="C1488" s="23">
        <v>44887</v>
      </c>
      <c r="D1488" s="67">
        <f>IF(COUNTIF($G$2:$G1488,$G1488)=1,1,0)</f>
        <v>0</v>
      </c>
      <c r="E1488" s="67" t="str">
        <f>IFERROR(VLOOKUP(База_КР_КК[[#This Row],[ИД штатной должности (S)]],'уровень защищенности'!$B$7:$F$1095,5,0),"не защищена")</f>
        <v>высокий</v>
      </c>
      <c r="F1488" s="68">
        <v>500453</v>
      </c>
      <c r="G1488" s="74" t="s">
        <v>2487</v>
      </c>
      <c r="H1488" s="181">
        <f>INDEX('Списки данных'!$D$2:$D$1048576,MATCH(База_КР_КК[[#This Row],[Структурное подразделение]],'Списки данных'!$C$2:$C$1048576,0))</f>
        <v>15</v>
      </c>
      <c r="I1488" s="80" t="s">
        <v>161</v>
      </c>
      <c r="J1488" s="80" t="s">
        <v>214</v>
      </c>
      <c r="K1488" s="80" t="s">
        <v>21</v>
      </c>
      <c r="L1488" s="30" t="s">
        <v>191</v>
      </c>
      <c r="M1488" s="68">
        <v>7</v>
      </c>
      <c r="N1488" s="181" t="str">
        <f t="shared" si="24"/>
        <v>нет</v>
      </c>
      <c r="O1488" s="23"/>
      <c r="P1488" s="23"/>
      <c r="Q1488" s="106"/>
      <c r="R1488" s="37">
        <v>318</v>
      </c>
      <c r="S1488" s="38" t="s">
        <v>730</v>
      </c>
      <c r="T1488" s="37">
        <v>1403</v>
      </c>
      <c r="U1488" s="39" t="s">
        <v>1786</v>
      </c>
      <c r="V1488" s="69" t="s">
        <v>272</v>
      </c>
      <c r="W1488" s="89" t="s">
        <v>161</v>
      </c>
      <c r="X1488" s="106" t="s">
        <v>296</v>
      </c>
      <c r="Y1488" s="107" t="s">
        <v>12</v>
      </c>
      <c r="Z1488" s="67">
        <f>IF(База_КР_КК[[#This Row],[Таб.номер резервиста]]="-","-",IF(OR(База_КР_КК[[#This Row],[Уровень КК]]=2,База_КР_КК[[#This Row],[Уровень КК]]=3),IF(COUNTIFS($U$2:$U1488,$U1488,$F$2:$F1488,$F1488)=1,1,0),IF(COUNTIFS($U$2:$U1488,$U1488,$L$2:$L1488,$L1488)=1,1,0)))</f>
        <v>0</v>
      </c>
      <c r="AA14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8" s="106"/>
      <c r="AC1488" s="51"/>
      <c r="AD1488" s="106" t="s">
        <v>15</v>
      </c>
      <c r="AE1488" s="40" t="s">
        <v>310</v>
      </c>
    </row>
    <row r="1489" spans="1:31" ht="18" customHeight="1" x14ac:dyDescent="0.25">
      <c r="A14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89" s="79">
        <v>4</v>
      </c>
      <c r="C1489" s="23">
        <v>44887</v>
      </c>
      <c r="D1489" s="67">
        <f>IF(COUNTIF($G$2:$G1489,$G1489)=1,1,0)</f>
        <v>0</v>
      </c>
      <c r="E1489" s="67" t="str">
        <f>IFERROR(VLOOKUP(База_КР_КК[[#This Row],[ИД штатной должности (S)]],'уровень защищенности'!$B$7:$F$1095,5,0),"не защищена")</f>
        <v>высокий</v>
      </c>
      <c r="F1489" s="68">
        <v>500453</v>
      </c>
      <c r="G1489" s="74" t="s">
        <v>2487</v>
      </c>
      <c r="H1489" s="181">
        <f>INDEX('Списки данных'!$D$2:$D$1048576,MATCH(База_КР_КК[[#This Row],[Структурное подразделение]],'Списки данных'!$C$2:$C$1048576,0))</f>
        <v>15</v>
      </c>
      <c r="I1489" s="80" t="s">
        <v>161</v>
      </c>
      <c r="J1489" s="80" t="s">
        <v>214</v>
      </c>
      <c r="K1489" s="80" t="s">
        <v>21</v>
      </c>
      <c r="L1489" s="30" t="s">
        <v>191</v>
      </c>
      <c r="M1489" s="68">
        <v>7</v>
      </c>
      <c r="N1489" s="181" t="str">
        <f t="shared" si="24"/>
        <v>нет</v>
      </c>
      <c r="O1489" s="23"/>
      <c r="P1489" s="23"/>
      <c r="Q1489" s="106"/>
      <c r="R1489" s="37">
        <v>318</v>
      </c>
      <c r="S1489" s="38" t="s">
        <v>730</v>
      </c>
      <c r="T1489" s="37">
        <v>1404</v>
      </c>
      <c r="U1489" s="39" t="s">
        <v>1787</v>
      </c>
      <c r="V1489" s="69" t="s">
        <v>272</v>
      </c>
      <c r="W1489" s="89" t="s">
        <v>161</v>
      </c>
      <c r="X1489" s="106" t="s">
        <v>296</v>
      </c>
      <c r="Y1489" s="107" t="s">
        <v>12</v>
      </c>
      <c r="Z1489" s="67">
        <f>IF(База_КР_КК[[#This Row],[Таб.номер резервиста]]="-","-",IF(OR(База_КР_КК[[#This Row],[Уровень КК]]=2,База_КР_КК[[#This Row],[Уровень КК]]=3),IF(COUNTIFS($U$2:$U1489,$U1489,$F$2:$F1489,$F1489)=1,1,0),IF(COUNTIFS($U$2:$U1489,$U1489,$L$2:$L1489,$L1489)=1,1,0)))</f>
        <v>0</v>
      </c>
      <c r="AA14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89" s="106"/>
      <c r="AC1489" s="51"/>
      <c r="AD1489" s="106" t="s">
        <v>15</v>
      </c>
      <c r="AE1489" s="40" t="s">
        <v>310</v>
      </c>
    </row>
    <row r="1490" spans="1:31" ht="18" customHeight="1" x14ac:dyDescent="0.25">
      <c r="A14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0" s="79">
        <v>4</v>
      </c>
      <c r="C1490" s="23">
        <v>44887</v>
      </c>
      <c r="D1490" s="67">
        <f>IF(COUNTIF($G$2:$G1490,$G1490)=1,1,0)</f>
        <v>0</v>
      </c>
      <c r="E1490" s="67" t="str">
        <f>IFERROR(VLOOKUP(База_КР_КК[[#This Row],[ИД штатной должности (S)]],'уровень защищенности'!$B$7:$F$1095,5,0),"не защищена")</f>
        <v>высокий</v>
      </c>
      <c r="F1490" s="68">
        <v>500453</v>
      </c>
      <c r="G1490" s="74" t="s">
        <v>2487</v>
      </c>
      <c r="H1490" s="181">
        <f>INDEX('Списки данных'!$D$2:$D$1048576,MATCH(База_КР_КК[[#This Row],[Структурное подразделение]],'Списки данных'!$C$2:$C$1048576,0))</f>
        <v>15</v>
      </c>
      <c r="I1490" s="80" t="s">
        <v>161</v>
      </c>
      <c r="J1490" s="80" t="s">
        <v>214</v>
      </c>
      <c r="K1490" s="80" t="s">
        <v>21</v>
      </c>
      <c r="L1490" s="30" t="s">
        <v>191</v>
      </c>
      <c r="M1490" s="68">
        <v>7</v>
      </c>
      <c r="N1490" s="181" t="str">
        <f t="shared" si="24"/>
        <v>нет</v>
      </c>
      <c r="O1490" s="23"/>
      <c r="P1490" s="23"/>
      <c r="Q1490" s="106"/>
      <c r="R1490" s="37">
        <v>318</v>
      </c>
      <c r="S1490" s="38" t="s">
        <v>730</v>
      </c>
      <c r="T1490" s="37">
        <v>1405</v>
      </c>
      <c r="U1490" s="39" t="s">
        <v>1788</v>
      </c>
      <c r="V1490" s="69" t="s">
        <v>272</v>
      </c>
      <c r="W1490" s="89" t="s">
        <v>161</v>
      </c>
      <c r="X1490" s="106" t="s">
        <v>296</v>
      </c>
      <c r="Y1490" s="107" t="s">
        <v>12</v>
      </c>
      <c r="Z1490" s="67">
        <f>IF(База_КР_КК[[#This Row],[Таб.номер резервиста]]="-","-",IF(OR(База_КР_КК[[#This Row],[Уровень КК]]=2,База_КР_КК[[#This Row],[Уровень КК]]=3),IF(COUNTIFS($U$2:$U1490,$U1490,$F$2:$F1490,$F1490)=1,1,0),IF(COUNTIFS($U$2:$U1490,$U1490,$L$2:$L1490,$L1490)=1,1,0)))</f>
        <v>0</v>
      </c>
      <c r="AA14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0" s="106"/>
      <c r="AC1490" s="51"/>
      <c r="AD1490" s="106" t="s">
        <v>15</v>
      </c>
      <c r="AE1490" s="40" t="s">
        <v>310</v>
      </c>
    </row>
    <row r="1491" spans="1:31" ht="18" customHeight="1" x14ac:dyDescent="0.25">
      <c r="A14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1" s="79">
        <v>4</v>
      </c>
      <c r="C1491" s="23">
        <v>44424</v>
      </c>
      <c r="D1491" s="67">
        <f>IF(COUNTIF($G$2:$G1491,$G1491)=1,1,0)</f>
        <v>0</v>
      </c>
      <c r="E1491" s="67" t="str">
        <f>IFERROR(VLOOKUP(База_КР_КК[[#This Row],[ИД штатной должности (S)]],'уровень защищенности'!$B$7:$F$1095,5,0),"не защищена")</f>
        <v>высокий</v>
      </c>
      <c r="F1491" s="68">
        <v>500453</v>
      </c>
      <c r="G1491" s="74" t="s">
        <v>2487</v>
      </c>
      <c r="H1491" s="181">
        <f>INDEX('Списки данных'!$D$2:$D$1048576,MATCH(База_КР_КК[[#This Row],[Структурное подразделение]],'Списки данных'!$C$2:$C$1048576,0))</f>
        <v>15</v>
      </c>
      <c r="I1491" s="80" t="s">
        <v>161</v>
      </c>
      <c r="J1491" s="80" t="s">
        <v>214</v>
      </c>
      <c r="K1491" s="80" t="s">
        <v>21</v>
      </c>
      <c r="L1491" s="30" t="s">
        <v>191</v>
      </c>
      <c r="M1491" s="68">
        <v>7</v>
      </c>
      <c r="N1491" s="181" t="str">
        <f t="shared" si="24"/>
        <v>нет</v>
      </c>
      <c r="O1491" s="23"/>
      <c r="P1491" s="23"/>
      <c r="Q1491" s="106"/>
      <c r="R1491" s="37">
        <v>318</v>
      </c>
      <c r="S1491" s="38" t="s">
        <v>730</v>
      </c>
      <c r="T1491" s="37">
        <v>317</v>
      </c>
      <c r="U1491" s="39" t="s">
        <v>729</v>
      </c>
      <c r="V1491" s="69" t="s">
        <v>191</v>
      </c>
      <c r="W1491" s="89" t="s">
        <v>161</v>
      </c>
      <c r="X1491" s="106" t="s">
        <v>295</v>
      </c>
      <c r="Y1491" s="107" t="s">
        <v>14</v>
      </c>
      <c r="Z1491" s="67">
        <f>IF(База_КР_КК[[#This Row],[Таб.номер резервиста]]="-","-",IF(OR(База_КР_КК[[#This Row],[Уровень КК]]=2,База_КР_КК[[#This Row],[Уровень КК]]=3),IF(COUNTIFS($U$2:$U1491,$U1491,$F$2:$F1491,$F1491)=1,1,0),IF(COUNTIFS($U$2:$U1491,$U1491,$L$2:$L1491,$L1491)=1,1,0)))</f>
        <v>0</v>
      </c>
      <c r="AA14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1" s="106" t="s">
        <v>24</v>
      </c>
      <c r="AC1491" s="51">
        <v>44866</v>
      </c>
      <c r="AD1491" s="106" t="s">
        <v>15</v>
      </c>
      <c r="AE1491" s="38" t="s">
        <v>347</v>
      </c>
    </row>
    <row r="1492" spans="1:31" ht="18" customHeight="1" x14ac:dyDescent="0.25">
      <c r="A14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2" s="79">
        <v>4</v>
      </c>
      <c r="C1492" s="23">
        <v>44424</v>
      </c>
      <c r="D1492" s="67">
        <f>IF(COUNTIF($G$2:$G1492,$G1492)=1,1,0)</f>
        <v>1</v>
      </c>
      <c r="E1492" s="67" t="str">
        <f>IFERROR(VLOOKUP(База_КР_КК[[#This Row],[ИД штатной должности (S)]],'уровень защищенности'!$B$7:$F$1095,5,0),"не защищена")</f>
        <v>не защищена</v>
      </c>
      <c r="F1492" s="68">
        <v>500454</v>
      </c>
      <c r="G1492" s="74" t="s">
        <v>2488</v>
      </c>
      <c r="H1492" s="181">
        <f>INDEX('Списки данных'!$D$2:$D$1048576,MATCH(База_КР_КК[[#This Row],[Структурное подразделение]],'Списки данных'!$C$2:$C$1048576,0))</f>
        <v>15</v>
      </c>
      <c r="I1492" s="80" t="s">
        <v>161</v>
      </c>
      <c r="J1492" s="80" t="s">
        <v>214</v>
      </c>
      <c r="K1492" s="80" t="s">
        <v>21</v>
      </c>
      <c r="L1492" s="30" t="s">
        <v>192</v>
      </c>
      <c r="M1492" s="68">
        <v>7</v>
      </c>
      <c r="N1492" s="181" t="str">
        <f t="shared" si="24"/>
        <v>нет</v>
      </c>
      <c r="O1492" s="23"/>
      <c r="P1492" s="23"/>
      <c r="Q1492" s="106"/>
      <c r="R1492" s="37">
        <v>319</v>
      </c>
      <c r="S1492" s="38" t="s">
        <v>731</v>
      </c>
      <c r="T1492" s="37" t="s">
        <v>21</v>
      </c>
      <c r="U1492" s="37" t="s">
        <v>21</v>
      </c>
      <c r="V1492" s="88" t="s">
        <v>21</v>
      </c>
      <c r="W1492" s="88" t="s">
        <v>21</v>
      </c>
      <c r="X1492" s="106"/>
      <c r="Y1492" s="107"/>
      <c r="Z1492" s="67" t="str">
        <f>IF(База_КР_КК[[#This Row],[Таб.номер резервиста]]="-","-",IF(OR(База_КР_КК[[#This Row],[Уровень КК]]=2,База_КР_КК[[#This Row],[Уровень КК]]=3),IF(COUNTIFS($U$2:$U1492,$U1492,$F$2:$F1492,$F1492)=1,1,0),IF(COUNTIFS($U$2:$U1492,$U1492,$L$2:$L1492,$L1492)=1,1,0)))</f>
        <v>-</v>
      </c>
      <c r="AA1492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1492" s="106"/>
      <c r="AC1492" s="51"/>
      <c r="AD1492" s="106"/>
      <c r="AE1492" s="38" t="s">
        <v>347</v>
      </c>
    </row>
    <row r="1493" spans="1:31" ht="18" customHeight="1" x14ac:dyDescent="0.25">
      <c r="A14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3" s="79">
        <v>4</v>
      </c>
      <c r="C1493" s="23">
        <v>44424</v>
      </c>
      <c r="D1493" s="67">
        <f>IF(COUNTIF($G$2:$G1493,$G1493)=1,1,0)</f>
        <v>1</v>
      </c>
      <c r="E1493" s="67" t="str">
        <f>IFERROR(VLOOKUP(База_КР_КК[[#This Row],[ИД штатной должности (S)]],'уровень защищенности'!$B$7:$F$1095,5,0),"не защищена")</f>
        <v>высокий</v>
      </c>
      <c r="F1493" s="68">
        <v>500455</v>
      </c>
      <c r="G1493" s="74" t="s">
        <v>2489</v>
      </c>
      <c r="H1493" s="181">
        <f>INDEX('Списки данных'!$D$2:$D$1048576,MATCH(База_КР_КК[[#This Row],[Структурное подразделение]],'Списки данных'!$C$2:$C$1048576,0))</f>
        <v>15</v>
      </c>
      <c r="I1493" s="80" t="s">
        <v>161</v>
      </c>
      <c r="J1493" s="80" t="s">
        <v>214</v>
      </c>
      <c r="K1493" s="80" t="s">
        <v>21</v>
      </c>
      <c r="L1493" s="30" t="s">
        <v>191</v>
      </c>
      <c r="M1493" s="68">
        <v>6</v>
      </c>
      <c r="N1493" s="181" t="str">
        <f t="shared" si="24"/>
        <v>нет</v>
      </c>
      <c r="O1493" s="23"/>
      <c r="P1493" s="23"/>
      <c r="Q1493" s="106"/>
      <c r="R1493" s="37">
        <v>320</v>
      </c>
      <c r="S1493" s="38" t="s">
        <v>732</v>
      </c>
      <c r="T1493" s="37">
        <v>1406</v>
      </c>
      <c r="U1493" s="39" t="s">
        <v>1789</v>
      </c>
      <c r="V1493" s="69" t="s">
        <v>272</v>
      </c>
      <c r="W1493" s="89" t="s">
        <v>161</v>
      </c>
      <c r="X1493" s="106" t="s">
        <v>296</v>
      </c>
      <c r="Y1493" s="107" t="s">
        <v>12</v>
      </c>
      <c r="Z1493" s="67">
        <f>IF(База_КР_КК[[#This Row],[Таб.номер резервиста]]="-","-",IF(OR(База_КР_КК[[#This Row],[Уровень КК]]=2,База_КР_КК[[#This Row],[Уровень КК]]=3),IF(COUNTIFS($U$2:$U1493,$U1493,$F$2:$F1493,$F1493)=1,1,0),IF(COUNTIFS($U$2:$U1493,$U1493,$L$2:$L1493,$L1493)=1,1,0)))</f>
        <v>1</v>
      </c>
      <c r="AA14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3" s="106"/>
      <c r="AC1493" s="51"/>
      <c r="AD1493" s="106" t="s">
        <v>15</v>
      </c>
      <c r="AE1493" s="38" t="s">
        <v>347</v>
      </c>
    </row>
    <row r="1494" spans="1:31" ht="18" customHeight="1" x14ac:dyDescent="0.25">
      <c r="A14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4" s="79">
        <v>4</v>
      </c>
      <c r="C1494" s="23">
        <v>44424</v>
      </c>
      <c r="D1494" s="67">
        <f>IF(COUNTIF($G$2:$G1494,$G1494)=1,1,0)</f>
        <v>0</v>
      </c>
      <c r="E1494" s="67" t="str">
        <f>IFERROR(VLOOKUP(База_КР_КК[[#This Row],[ИД штатной должности (S)]],'уровень защищенности'!$B$7:$F$1095,5,0),"не защищена")</f>
        <v>высокий</v>
      </c>
      <c r="F1494" s="68">
        <v>500455</v>
      </c>
      <c r="G1494" s="74" t="s">
        <v>2489</v>
      </c>
      <c r="H1494" s="181">
        <f>INDEX('Списки данных'!$D$2:$D$1048576,MATCH(База_КР_КК[[#This Row],[Структурное подразделение]],'Списки данных'!$C$2:$C$1048576,0))</f>
        <v>15</v>
      </c>
      <c r="I1494" s="80" t="s">
        <v>161</v>
      </c>
      <c r="J1494" s="80" t="s">
        <v>214</v>
      </c>
      <c r="K1494" s="80" t="s">
        <v>21</v>
      </c>
      <c r="L1494" s="30" t="s">
        <v>191</v>
      </c>
      <c r="M1494" s="68">
        <v>6</v>
      </c>
      <c r="N1494" s="181" t="str">
        <f t="shared" si="24"/>
        <v>нет</v>
      </c>
      <c r="O1494" s="23"/>
      <c r="P1494" s="23"/>
      <c r="Q1494" s="106"/>
      <c r="R1494" s="37">
        <v>320</v>
      </c>
      <c r="S1494" s="38" t="s">
        <v>732</v>
      </c>
      <c r="T1494" s="37">
        <v>1407</v>
      </c>
      <c r="U1494" s="39" t="s">
        <v>1731</v>
      </c>
      <c r="V1494" s="69" t="s">
        <v>272</v>
      </c>
      <c r="W1494" s="89" t="s">
        <v>161</v>
      </c>
      <c r="X1494" s="106" t="s">
        <v>296</v>
      </c>
      <c r="Y1494" s="107" t="s">
        <v>12</v>
      </c>
      <c r="Z1494" s="67">
        <f>IF(База_КР_КК[[#This Row],[Таб.номер резервиста]]="-","-",IF(OR(База_КР_КК[[#This Row],[Уровень КК]]=2,База_КР_КК[[#This Row],[Уровень КК]]=3),IF(COUNTIFS($U$2:$U1494,$U1494,$F$2:$F1494,$F1494)=1,1,0),IF(COUNTIFS($U$2:$U1494,$U1494,$L$2:$L1494,$L1494)=1,1,0)))</f>
        <v>1</v>
      </c>
      <c r="AA14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4" s="106"/>
      <c r="AC1494" s="51"/>
      <c r="AD1494" s="106" t="s">
        <v>15</v>
      </c>
      <c r="AE1494" s="38" t="s">
        <v>347</v>
      </c>
    </row>
    <row r="1495" spans="1:31" ht="18" customHeight="1" x14ac:dyDescent="0.25">
      <c r="A14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5" s="79">
        <v>4</v>
      </c>
      <c r="C1495" s="23">
        <v>44424</v>
      </c>
      <c r="D1495" s="67">
        <f>IF(COUNTIF($G$2:$G1495,$G1495)=1,1,0)</f>
        <v>0</v>
      </c>
      <c r="E1495" s="67" t="str">
        <f>IFERROR(VLOOKUP(База_КР_КК[[#This Row],[ИД штатной должности (S)]],'уровень защищенности'!$B$7:$F$1095,5,0),"не защищена")</f>
        <v>высокий</v>
      </c>
      <c r="F1495" s="68">
        <v>500455</v>
      </c>
      <c r="G1495" s="74" t="s">
        <v>2489</v>
      </c>
      <c r="H1495" s="181">
        <f>INDEX('Списки данных'!$D$2:$D$1048576,MATCH(База_КР_КК[[#This Row],[Структурное подразделение]],'Списки данных'!$C$2:$C$1048576,0))</f>
        <v>15</v>
      </c>
      <c r="I1495" s="80" t="s">
        <v>161</v>
      </c>
      <c r="J1495" s="80" t="s">
        <v>214</v>
      </c>
      <c r="K1495" s="80" t="s">
        <v>21</v>
      </c>
      <c r="L1495" s="30" t="s">
        <v>191</v>
      </c>
      <c r="M1495" s="68">
        <v>6</v>
      </c>
      <c r="N1495" s="181" t="str">
        <f t="shared" si="24"/>
        <v>нет</v>
      </c>
      <c r="O1495" s="23"/>
      <c r="P1495" s="23"/>
      <c r="Q1495" s="106"/>
      <c r="R1495" s="37">
        <v>320</v>
      </c>
      <c r="S1495" s="38" t="s">
        <v>732</v>
      </c>
      <c r="T1495" s="37">
        <v>1408</v>
      </c>
      <c r="U1495" s="39" t="s">
        <v>1790</v>
      </c>
      <c r="V1495" s="69" t="s">
        <v>272</v>
      </c>
      <c r="W1495" s="89" t="s">
        <v>161</v>
      </c>
      <c r="X1495" s="106" t="s">
        <v>296</v>
      </c>
      <c r="Y1495" s="107" t="s">
        <v>12</v>
      </c>
      <c r="Z1495" s="67">
        <f>IF(База_КР_КК[[#This Row],[Таб.номер резервиста]]="-","-",IF(OR(База_КР_КК[[#This Row],[Уровень КК]]=2,База_КР_КК[[#This Row],[Уровень КК]]=3),IF(COUNTIFS($U$2:$U1495,$U1495,$F$2:$F1495,$F1495)=1,1,0),IF(COUNTIFS($U$2:$U1495,$U1495,$L$2:$L1495,$L1495)=1,1,0)))</f>
        <v>1</v>
      </c>
      <c r="AA14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5" s="106"/>
      <c r="AC1495" s="51"/>
      <c r="AD1495" s="106" t="s">
        <v>15</v>
      </c>
      <c r="AE1495" s="38" t="s">
        <v>347</v>
      </c>
    </row>
    <row r="1496" spans="1:31" ht="18" customHeight="1" x14ac:dyDescent="0.25">
      <c r="A14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6" s="79">
        <v>4</v>
      </c>
      <c r="C1496" s="23">
        <v>44424</v>
      </c>
      <c r="D1496" s="67">
        <f>IF(COUNTIF($G$2:$G1496,$G1496)=1,1,0)</f>
        <v>0</v>
      </c>
      <c r="E1496" s="67" t="str">
        <f>IFERROR(VLOOKUP(База_КР_КК[[#This Row],[ИД штатной должности (S)]],'уровень защищенности'!$B$7:$F$1095,5,0),"не защищена")</f>
        <v>высокий</v>
      </c>
      <c r="F1496" s="68">
        <v>500455</v>
      </c>
      <c r="G1496" s="74" t="s">
        <v>2489</v>
      </c>
      <c r="H1496" s="181">
        <f>INDEX('Списки данных'!$D$2:$D$1048576,MATCH(База_КР_КК[[#This Row],[Структурное подразделение]],'Списки данных'!$C$2:$C$1048576,0))</f>
        <v>15</v>
      </c>
      <c r="I1496" s="80" t="s">
        <v>161</v>
      </c>
      <c r="J1496" s="80" t="s">
        <v>214</v>
      </c>
      <c r="K1496" s="80" t="s">
        <v>21</v>
      </c>
      <c r="L1496" s="30" t="s">
        <v>191</v>
      </c>
      <c r="M1496" s="68">
        <v>6</v>
      </c>
      <c r="N1496" s="181" t="str">
        <f t="shared" si="24"/>
        <v>нет</v>
      </c>
      <c r="O1496" s="23"/>
      <c r="P1496" s="23"/>
      <c r="Q1496" s="106"/>
      <c r="R1496" s="37">
        <v>320</v>
      </c>
      <c r="S1496" s="38" t="s">
        <v>732</v>
      </c>
      <c r="T1496" s="37">
        <v>1409</v>
      </c>
      <c r="U1496" s="39" t="s">
        <v>1791</v>
      </c>
      <c r="V1496" s="69" t="s">
        <v>272</v>
      </c>
      <c r="W1496" s="89" t="s">
        <v>161</v>
      </c>
      <c r="X1496" s="106" t="s">
        <v>296</v>
      </c>
      <c r="Y1496" s="107" t="s">
        <v>12</v>
      </c>
      <c r="Z1496" s="67">
        <f>IF(База_КР_КК[[#This Row],[Таб.номер резервиста]]="-","-",IF(OR(База_КР_КК[[#This Row],[Уровень КК]]=2,База_КР_КК[[#This Row],[Уровень КК]]=3),IF(COUNTIFS($U$2:$U1496,$U1496,$F$2:$F1496,$F1496)=1,1,0),IF(COUNTIFS($U$2:$U1496,$U1496,$L$2:$L1496,$L1496)=1,1,0)))</f>
        <v>1</v>
      </c>
      <c r="AA14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6" s="106"/>
      <c r="AC1496" s="51"/>
      <c r="AD1496" s="106" t="s">
        <v>15</v>
      </c>
      <c r="AE1496" s="38" t="s">
        <v>347</v>
      </c>
    </row>
    <row r="1497" spans="1:31" ht="18" customHeight="1" x14ac:dyDescent="0.25">
      <c r="A14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7" s="79">
        <v>4</v>
      </c>
      <c r="C1497" s="23">
        <v>44424</v>
      </c>
      <c r="D1497" s="67">
        <f>IF(COUNTIF($G$2:$G1497,$G1497)=1,1,0)</f>
        <v>0</v>
      </c>
      <c r="E1497" s="67" t="str">
        <f>IFERROR(VLOOKUP(База_КР_КК[[#This Row],[ИД штатной должности (S)]],'уровень защищенности'!$B$7:$F$1095,5,0),"не защищена")</f>
        <v>высокий</v>
      </c>
      <c r="F1497" s="68">
        <v>500455</v>
      </c>
      <c r="G1497" s="74" t="s">
        <v>2489</v>
      </c>
      <c r="H1497" s="181">
        <f>INDEX('Списки данных'!$D$2:$D$1048576,MATCH(База_КР_КК[[#This Row],[Структурное подразделение]],'Списки данных'!$C$2:$C$1048576,0))</f>
        <v>15</v>
      </c>
      <c r="I1497" s="80" t="s">
        <v>161</v>
      </c>
      <c r="J1497" s="80" t="s">
        <v>214</v>
      </c>
      <c r="K1497" s="80" t="s">
        <v>21</v>
      </c>
      <c r="L1497" s="30" t="s">
        <v>191</v>
      </c>
      <c r="M1497" s="68">
        <v>6</v>
      </c>
      <c r="N1497" s="181" t="str">
        <f t="shared" si="24"/>
        <v>нет</v>
      </c>
      <c r="O1497" s="23"/>
      <c r="P1497" s="23"/>
      <c r="Q1497" s="106"/>
      <c r="R1497" s="37">
        <v>320</v>
      </c>
      <c r="S1497" s="38" t="s">
        <v>732</v>
      </c>
      <c r="T1497" s="37">
        <v>1410</v>
      </c>
      <c r="U1497" s="39" t="s">
        <v>1792</v>
      </c>
      <c r="V1497" s="69" t="s">
        <v>272</v>
      </c>
      <c r="W1497" s="89" t="s">
        <v>161</v>
      </c>
      <c r="X1497" s="106" t="s">
        <v>295</v>
      </c>
      <c r="Y1497" s="107" t="s">
        <v>12</v>
      </c>
      <c r="Z1497" s="67">
        <f>IF(База_КР_КК[[#This Row],[Таб.номер резервиста]]="-","-",IF(OR(База_КР_КК[[#This Row],[Уровень КК]]=2,База_КР_КК[[#This Row],[Уровень КК]]=3),IF(COUNTIFS($U$2:$U1497,$U1497,$F$2:$F1497,$F1497)=1,1,0),IF(COUNTIFS($U$2:$U1497,$U1497,$L$2:$L1497,$L1497)=1,1,0)))</f>
        <v>1</v>
      </c>
      <c r="AA14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7" s="106"/>
      <c r="AC1497" s="51"/>
      <c r="AD1497" s="106" t="s">
        <v>15</v>
      </c>
      <c r="AE1497" s="38" t="s">
        <v>347</v>
      </c>
    </row>
    <row r="1498" spans="1:31" ht="18" customHeight="1" x14ac:dyDescent="0.25">
      <c r="A14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8" s="79">
        <v>4</v>
      </c>
      <c r="C1498" s="23">
        <v>44424</v>
      </c>
      <c r="D1498" s="67">
        <f>IF(COUNTIF($G$2:$G1498,$G1498)=1,1,0)</f>
        <v>0</v>
      </c>
      <c r="E1498" s="67" t="str">
        <f>IFERROR(VLOOKUP(База_КР_КК[[#This Row],[ИД штатной должности (S)]],'уровень защищенности'!$B$7:$F$1095,5,0),"не защищена")</f>
        <v>высокий</v>
      </c>
      <c r="F1498" s="68">
        <v>500455</v>
      </c>
      <c r="G1498" s="74" t="s">
        <v>2489</v>
      </c>
      <c r="H1498" s="181">
        <f>INDEX('Списки данных'!$D$2:$D$1048576,MATCH(База_КР_КК[[#This Row],[Структурное подразделение]],'Списки данных'!$C$2:$C$1048576,0))</f>
        <v>15</v>
      </c>
      <c r="I1498" s="80" t="s">
        <v>161</v>
      </c>
      <c r="J1498" s="80" t="s">
        <v>214</v>
      </c>
      <c r="K1498" s="80" t="s">
        <v>21</v>
      </c>
      <c r="L1498" s="30" t="s">
        <v>191</v>
      </c>
      <c r="M1498" s="68">
        <v>6</v>
      </c>
      <c r="N1498" s="181" t="str">
        <f t="shared" si="24"/>
        <v>нет</v>
      </c>
      <c r="O1498" s="23"/>
      <c r="P1498" s="23"/>
      <c r="Q1498" s="106"/>
      <c r="R1498" s="37">
        <v>320</v>
      </c>
      <c r="S1498" s="38" t="s">
        <v>732</v>
      </c>
      <c r="T1498" s="37">
        <v>1411</v>
      </c>
      <c r="U1498" s="39" t="s">
        <v>1793</v>
      </c>
      <c r="V1498" s="69" t="s">
        <v>272</v>
      </c>
      <c r="W1498" s="89" t="s">
        <v>161</v>
      </c>
      <c r="X1498" s="106" t="s">
        <v>295</v>
      </c>
      <c r="Y1498" s="107" t="s">
        <v>12</v>
      </c>
      <c r="Z1498" s="67">
        <f>IF(База_КР_КК[[#This Row],[Таб.номер резервиста]]="-","-",IF(OR(База_КР_КК[[#This Row],[Уровень КК]]=2,База_КР_КК[[#This Row],[Уровень КК]]=3),IF(COUNTIFS($U$2:$U1498,$U1498,$F$2:$F1498,$F1498)=1,1,0),IF(COUNTIFS($U$2:$U1498,$U1498,$L$2:$L1498,$L1498)=1,1,0)))</f>
        <v>1</v>
      </c>
      <c r="AA14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8" s="106"/>
      <c r="AC1498" s="51"/>
      <c r="AD1498" s="106" t="s">
        <v>15</v>
      </c>
      <c r="AE1498" s="38" t="s">
        <v>347</v>
      </c>
    </row>
    <row r="1499" spans="1:31" ht="18" customHeight="1" x14ac:dyDescent="0.25">
      <c r="A14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499" s="79">
        <v>4</v>
      </c>
      <c r="C1499" s="23">
        <v>44424</v>
      </c>
      <c r="D1499" s="67">
        <f>IF(COUNTIF($G$2:$G1499,$G1499)=1,1,0)</f>
        <v>0</v>
      </c>
      <c r="E1499" s="67" t="str">
        <f>IFERROR(VLOOKUP(База_КР_КК[[#This Row],[ИД штатной должности (S)]],'уровень защищенности'!$B$7:$F$1095,5,0),"не защищена")</f>
        <v>высокий</v>
      </c>
      <c r="F1499" s="68">
        <v>500455</v>
      </c>
      <c r="G1499" s="74" t="s">
        <v>2489</v>
      </c>
      <c r="H1499" s="181">
        <f>INDEX('Списки данных'!$D$2:$D$1048576,MATCH(База_КР_КК[[#This Row],[Структурное подразделение]],'Списки данных'!$C$2:$C$1048576,0))</f>
        <v>15</v>
      </c>
      <c r="I1499" s="80" t="s">
        <v>161</v>
      </c>
      <c r="J1499" s="80" t="s">
        <v>214</v>
      </c>
      <c r="K1499" s="80" t="s">
        <v>21</v>
      </c>
      <c r="L1499" s="30" t="s">
        <v>191</v>
      </c>
      <c r="M1499" s="68">
        <v>6</v>
      </c>
      <c r="N1499" s="181" t="str">
        <f t="shared" si="24"/>
        <v>нет</v>
      </c>
      <c r="O1499" s="23"/>
      <c r="P1499" s="23"/>
      <c r="Q1499" s="106"/>
      <c r="R1499" s="37">
        <v>320</v>
      </c>
      <c r="S1499" s="38" t="s">
        <v>732</v>
      </c>
      <c r="T1499" s="37">
        <v>1412</v>
      </c>
      <c r="U1499" s="39" t="s">
        <v>1794</v>
      </c>
      <c r="V1499" s="69" t="s">
        <v>272</v>
      </c>
      <c r="W1499" s="89" t="s">
        <v>161</v>
      </c>
      <c r="X1499" s="106" t="s">
        <v>295</v>
      </c>
      <c r="Y1499" s="107" t="s">
        <v>12</v>
      </c>
      <c r="Z1499" s="67">
        <f>IF(База_КР_КК[[#This Row],[Таб.номер резервиста]]="-","-",IF(OR(База_КР_КК[[#This Row],[Уровень КК]]=2,База_КР_КК[[#This Row],[Уровень КК]]=3),IF(COUNTIFS($U$2:$U1499,$U1499,$F$2:$F1499,$F1499)=1,1,0),IF(COUNTIFS($U$2:$U1499,$U1499,$L$2:$L1499,$L1499)=1,1,0)))</f>
        <v>1</v>
      </c>
      <c r="AA14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499" s="106"/>
      <c r="AC1499" s="51"/>
      <c r="AD1499" s="106" t="s">
        <v>15</v>
      </c>
      <c r="AE1499" s="38" t="s">
        <v>347</v>
      </c>
    </row>
    <row r="1500" spans="1:31" ht="18" customHeight="1" x14ac:dyDescent="0.25">
      <c r="A15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0" s="79">
        <v>4</v>
      </c>
      <c r="C1500" s="23">
        <v>44424</v>
      </c>
      <c r="D1500" s="67">
        <f>IF(COUNTIF($G$2:$G1500,$G1500)=1,1,0)</f>
        <v>0</v>
      </c>
      <c r="E1500" s="67" t="str">
        <f>IFERROR(VLOOKUP(База_КР_КК[[#This Row],[ИД штатной должности (S)]],'уровень защищенности'!$B$7:$F$1095,5,0),"не защищена")</f>
        <v>высокий</v>
      </c>
      <c r="F1500" s="68">
        <v>500455</v>
      </c>
      <c r="G1500" s="74" t="s">
        <v>2489</v>
      </c>
      <c r="H1500" s="181">
        <f>INDEX('Списки данных'!$D$2:$D$1048576,MATCH(База_КР_КК[[#This Row],[Структурное подразделение]],'Списки данных'!$C$2:$C$1048576,0))</f>
        <v>15</v>
      </c>
      <c r="I1500" s="80" t="s">
        <v>161</v>
      </c>
      <c r="J1500" s="80" t="s">
        <v>214</v>
      </c>
      <c r="K1500" s="80" t="s">
        <v>21</v>
      </c>
      <c r="L1500" s="30" t="s">
        <v>191</v>
      </c>
      <c r="M1500" s="68">
        <v>6</v>
      </c>
      <c r="N1500" s="181" t="str">
        <f t="shared" si="24"/>
        <v>нет</v>
      </c>
      <c r="O1500" s="23"/>
      <c r="P1500" s="23"/>
      <c r="Q1500" s="106"/>
      <c r="R1500" s="37">
        <v>320</v>
      </c>
      <c r="S1500" s="38" t="s">
        <v>732</v>
      </c>
      <c r="T1500" s="37">
        <v>1413</v>
      </c>
      <c r="U1500" s="39" t="s">
        <v>1795</v>
      </c>
      <c r="V1500" s="69" t="s">
        <v>272</v>
      </c>
      <c r="W1500" s="89" t="s">
        <v>161</v>
      </c>
      <c r="X1500" s="106" t="s">
        <v>295</v>
      </c>
      <c r="Y1500" s="107" t="s">
        <v>12</v>
      </c>
      <c r="Z1500" s="67">
        <f>IF(База_КР_КК[[#This Row],[Таб.номер резервиста]]="-","-",IF(OR(База_КР_КК[[#This Row],[Уровень КК]]=2,База_КР_КК[[#This Row],[Уровень КК]]=3),IF(COUNTIFS($U$2:$U1500,$U1500,$F$2:$F1500,$F1500)=1,1,0),IF(COUNTIFS($U$2:$U1500,$U1500,$L$2:$L1500,$L1500)=1,1,0)))</f>
        <v>1</v>
      </c>
      <c r="AA15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0" s="106"/>
      <c r="AC1500" s="51"/>
      <c r="AD1500" s="106" t="s">
        <v>15</v>
      </c>
      <c r="AE1500" s="38" t="s">
        <v>347</v>
      </c>
    </row>
    <row r="1501" spans="1:31" ht="18" customHeight="1" x14ac:dyDescent="0.25">
      <c r="A15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1" s="79">
        <v>4</v>
      </c>
      <c r="C1501" s="23">
        <v>44424</v>
      </c>
      <c r="D1501" s="67">
        <f>IF(COUNTIF($G$2:$G1501,$G1501)=1,1,0)</f>
        <v>0</v>
      </c>
      <c r="E1501" s="67" t="str">
        <f>IFERROR(VLOOKUP(База_КР_КК[[#This Row],[ИД штатной должности (S)]],'уровень защищенности'!$B$7:$F$1095,5,0),"не защищена")</f>
        <v>высокий</v>
      </c>
      <c r="F1501" s="68">
        <v>500455</v>
      </c>
      <c r="G1501" s="74" t="s">
        <v>2489</v>
      </c>
      <c r="H1501" s="181">
        <f>INDEX('Списки данных'!$D$2:$D$1048576,MATCH(База_КР_КК[[#This Row],[Структурное подразделение]],'Списки данных'!$C$2:$C$1048576,0))</f>
        <v>15</v>
      </c>
      <c r="I1501" s="80" t="s">
        <v>161</v>
      </c>
      <c r="J1501" s="80" t="s">
        <v>214</v>
      </c>
      <c r="K1501" s="80" t="s">
        <v>21</v>
      </c>
      <c r="L1501" s="30" t="s">
        <v>191</v>
      </c>
      <c r="M1501" s="68">
        <v>6</v>
      </c>
      <c r="N1501" s="181" t="str">
        <f t="shared" si="24"/>
        <v>нет</v>
      </c>
      <c r="O1501" s="23"/>
      <c r="P1501" s="23"/>
      <c r="Q1501" s="106"/>
      <c r="R1501" s="37">
        <v>320</v>
      </c>
      <c r="S1501" s="38" t="s">
        <v>732</v>
      </c>
      <c r="T1501" s="37">
        <v>1414</v>
      </c>
      <c r="U1501" s="39" t="s">
        <v>1796</v>
      </c>
      <c r="V1501" s="69" t="s">
        <v>272</v>
      </c>
      <c r="W1501" s="89" t="s">
        <v>161</v>
      </c>
      <c r="X1501" s="106" t="s">
        <v>296</v>
      </c>
      <c r="Y1501" s="107" t="s">
        <v>12</v>
      </c>
      <c r="Z1501" s="67">
        <f>IF(База_КР_КК[[#This Row],[Таб.номер резервиста]]="-","-",IF(OR(База_КР_КК[[#This Row],[Уровень КК]]=2,База_КР_КК[[#This Row],[Уровень КК]]=3),IF(COUNTIFS($U$2:$U1501,$U1501,$F$2:$F1501,$F1501)=1,1,0),IF(COUNTIFS($U$2:$U1501,$U1501,$L$2:$L1501,$L1501)=1,1,0)))</f>
        <v>1</v>
      </c>
      <c r="AA15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1" s="106"/>
      <c r="AC1501" s="51"/>
      <c r="AD1501" s="106" t="s">
        <v>15</v>
      </c>
      <c r="AE1501" s="38" t="s">
        <v>347</v>
      </c>
    </row>
    <row r="1502" spans="1:31" ht="18" customHeight="1" x14ac:dyDescent="0.25">
      <c r="A15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2" s="79">
        <v>4</v>
      </c>
      <c r="C1502" s="23">
        <v>44424</v>
      </c>
      <c r="D1502" s="67">
        <f>IF(COUNTIF($G$2:$G1502,$G1502)=1,1,0)</f>
        <v>0</v>
      </c>
      <c r="E1502" s="67" t="str">
        <f>IFERROR(VLOOKUP(База_КР_КК[[#This Row],[ИД штатной должности (S)]],'уровень защищенности'!$B$7:$F$1095,5,0),"не защищена")</f>
        <v>высокий</v>
      </c>
      <c r="F1502" s="68">
        <v>500455</v>
      </c>
      <c r="G1502" s="74" t="s">
        <v>2489</v>
      </c>
      <c r="H1502" s="181">
        <f>INDEX('Списки данных'!$D$2:$D$1048576,MATCH(База_КР_КК[[#This Row],[Структурное подразделение]],'Списки данных'!$C$2:$C$1048576,0))</f>
        <v>15</v>
      </c>
      <c r="I1502" s="80" t="s">
        <v>161</v>
      </c>
      <c r="J1502" s="80" t="s">
        <v>214</v>
      </c>
      <c r="K1502" s="80" t="s">
        <v>21</v>
      </c>
      <c r="L1502" s="30" t="s">
        <v>191</v>
      </c>
      <c r="M1502" s="68">
        <v>6</v>
      </c>
      <c r="N1502" s="181" t="str">
        <f t="shared" si="24"/>
        <v>нет</v>
      </c>
      <c r="O1502" s="23"/>
      <c r="P1502" s="23"/>
      <c r="Q1502" s="106"/>
      <c r="R1502" s="37">
        <v>320</v>
      </c>
      <c r="S1502" s="38" t="s">
        <v>732</v>
      </c>
      <c r="T1502" s="37">
        <v>1415</v>
      </c>
      <c r="U1502" s="39" t="s">
        <v>1797</v>
      </c>
      <c r="V1502" s="69" t="s">
        <v>272</v>
      </c>
      <c r="W1502" s="89" t="s">
        <v>161</v>
      </c>
      <c r="X1502" s="106" t="s">
        <v>295</v>
      </c>
      <c r="Y1502" s="107" t="s">
        <v>12</v>
      </c>
      <c r="Z1502" s="67">
        <f>IF(База_КР_КК[[#This Row],[Таб.номер резервиста]]="-","-",IF(OR(База_КР_КК[[#This Row],[Уровень КК]]=2,База_КР_КК[[#This Row],[Уровень КК]]=3),IF(COUNTIFS($U$2:$U1502,$U1502,$F$2:$F1502,$F1502)=1,1,0),IF(COUNTIFS($U$2:$U1502,$U1502,$L$2:$L1502,$L1502)=1,1,0)))</f>
        <v>1</v>
      </c>
      <c r="AA15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2" s="106"/>
      <c r="AC1502" s="51"/>
      <c r="AD1502" s="106" t="s">
        <v>15</v>
      </c>
      <c r="AE1502" s="38" t="s">
        <v>347</v>
      </c>
    </row>
    <row r="1503" spans="1:31" ht="18" customHeight="1" x14ac:dyDescent="0.25">
      <c r="A15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3" s="79">
        <v>4</v>
      </c>
      <c r="C1503" s="23">
        <v>44424</v>
      </c>
      <c r="D1503" s="67">
        <f>IF(COUNTIF($G$2:$G1503,$G1503)=1,1,0)</f>
        <v>0</v>
      </c>
      <c r="E1503" s="67" t="str">
        <f>IFERROR(VLOOKUP(База_КР_КК[[#This Row],[ИД штатной должности (S)]],'уровень защищенности'!$B$7:$F$1095,5,0),"не защищена")</f>
        <v>высокий</v>
      </c>
      <c r="F1503" s="68">
        <v>500455</v>
      </c>
      <c r="G1503" s="74" t="s">
        <v>2489</v>
      </c>
      <c r="H1503" s="181">
        <f>INDEX('Списки данных'!$D$2:$D$1048576,MATCH(База_КР_КК[[#This Row],[Структурное подразделение]],'Списки данных'!$C$2:$C$1048576,0))</f>
        <v>15</v>
      </c>
      <c r="I1503" s="80" t="s">
        <v>161</v>
      </c>
      <c r="J1503" s="80" t="s">
        <v>214</v>
      </c>
      <c r="K1503" s="80" t="s">
        <v>21</v>
      </c>
      <c r="L1503" s="30" t="s">
        <v>191</v>
      </c>
      <c r="M1503" s="68">
        <v>7</v>
      </c>
      <c r="N1503" s="181" t="str">
        <f t="shared" si="24"/>
        <v>нет</v>
      </c>
      <c r="O1503" s="23"/>
      <c r="P1503" s="23"/>
      <c r="Q1503" s="106"/>
      <c r="R1503" s="37">
        <v>320</v>
      </c>
      <c r="S1503" s="38" t="s">
        <v>732</v>
      </c>
      <c r="T1503" s="37">
        <v>322</v>
      </c>
      <c r="U1503" s="39" t="s">
        <v>734</v>
      </c>
      <c r="V1503" s="69" t="s">
        <v>272</v>
      </c>
      <c r="W1503" s="89" t="s">
        <v>161</v>
      </c>
      <c r="X1503" s="106" t="s">
        <v>295</v>
      </c>
      <c r="Y1503" s="107" t="s">
        <v>14</v>
      </c>
      <c r="Z1503" s="67">
        <f>IF(База_КР_КК[[#This Row],[Таб.номер резервиста]]="-","-",IF(OR(База_КР_КК[[#This Row],[Уровень КК]]=2,База_КР_КК[[#This Row],[Уровень КК]]=3),IF(COUNTIFS($U$2:$U1503,$U1503,$F$2:$F1503,$F1503)=1,1,0),IF(COUNTIFS($U$2:$U1503,$U1503,$L$2:$L1503,$L1503)=1,1,0)))</f>
        <v>1</v>
      </c>
      <c r="AA15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3" s="106" t="s">
        <v>24</v>
      </c>
      <c r="AC1503" s="51">
        <v>44986</v>
      </c>
      <c r="AD1503" s="106" t="s">
        <v>15</v>
      </c>
      <c r="AE1503" s="38" t="s">
        <v>347</v>
      </c>
    </row>
    <row r="1504" spans="1:31" ht="18" customHeight="1" x14ac:dyDescent="0.25">
      <c r="A15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4" s="79">
        <v>4</v>
      </c>
      <c r="C1504" s="23">
        <v>44424</v>
      </c>
      <c r="D1504" s="67">
        <f>IF(COUNTIF($G$2:$G1504,$G1504)=1,1,0)</f>
        <v>0</v>
      </c>
      <c r="E1504" s="67" t="str">
        <f>IFERROR(VLOOKUP(База_КР_КК[[#This Row],[ИД штатной должности (S)]],'уровень защищенности'!$B$7:$F$1095,5,0),"не защищена")</f>
        <v>высокий</v>
      </c>
      <c r="F1504" s="68">
        <v>500455</v>
      </c>
      <c r="G1504" s="74" t="s">
        <v>2489</v>
      </c>
      <c r="H1504" s="181">
        <f>INDEX('Списки данных'!$D$2:$D$1048576,MATCH(База_КР_КК[[#This Row],[Структурное подразделение]],'Списки данных'!$C$2:$C$1048576,0))</f>
        <v>15</v>
      </c>
      <c r="I1504" s="80" t="s">
        <v>161</v>
      </c>
      <c r="J1504" s="80" t="s">
        <v>214</v>
      </c>
      <c r="K1504" s="80" t="s">
        <v>21</v>
      </c>
      <c r="L1504" s="30" t="s">
        <v>191</v>
      </c>
      <c r="M1504" s="68">
        <v>7</v>
      </c>
      <c r="N1504" s="181" t="str">
        <f t="shared" si="24"/>
        <v>нет</v>
      </c>
      <c r="O1504" s="23"/>
      <c r="P1504" s="23"/>
      <c r="Q1504" s="106"/>
      <c r="R1504" s="37">
        <v>320</v>
      </c>
      <c r="S1504" s="38" t="s">
        <v>732</v>
      </c>
      <c r="T1504" s="37">
        <v>1416</v>
      </c>
      <c r="U1504" s="39" t="s">
        <v>1798</v>
      </c>
      <c r="V1504" s="69" t="s">
        <v>272</v>
      </c>
      <c r="W1504" s="89" t="s">
        <v>161</v>
      </c>
      <c r="X1504" s="106" t="s">
        <v>295</v>
      </c>
      <c r="Y1504" s="107" t="s">
        <v>18</v>
      </c>
      <c r="Z1504" s="67">
        <f>IF(База_КР_КК[[#This Row],[Таб.номер резервиста]]="-","-",IF(OR(База_КР_КК[[#This Row],[Уровень КК]]=2,База_КР_КК[[#This Row],[Уровень КК]]=3),IF(COUNTIFS($U$2:$U1504,$U1504,$F$2:$F1504,$F1504)=1,1,0),IF(COUNTIFS($U$2:$U1504,$U1504,$L$2:$L1504,$L1504)=1,1,0)))</f>
        <v>1</v>
      </c>
      <c r="AA15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4" s="106" t="s">
        <v>33</v>
      </c>
      <c r="AC1504" s="51">
        <v>44551</v>
      </c>
      <c r="AD1504" s="106" t="s">
        <v>15</v>
      </c>
      <c r="AE1504" s="38" t="s">
        <v>347</v>
      </c>
    </row>
    <row r="1505" spans="1:31" ht="18" customHeight="1" x14ac:dyDescent="0.25">
      <c r="A15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5" s="79">
        <v>4</v>
      </c>
      <c r="C1505" s="23">
        <v>44424</v>
      </c>
      <c r="D1505" s="67">
        <f>IF(COUNTIF($G$2:$G1505,$G1505)=1,1,0)</f>
        <v>1</v>
      </c>
      <c r="E1505" s="67" t="str">
        <f>IFERROR(VLOOKUP(База_КР_КК[[#This Row],[ИД штатной должности (S)]],'уровень защищенности'!$B$7:$F$1095,5,0),"не защищена")</f>
        <v>высокий</v>
      </c>
      <c r="F1505" s="68">
        <v>500455</v>
      </c>
      <c r="G1505" s="74" t="s">
        <v>2490</v>
      </c>
      <c r="H1505" s="181">
        <f>INDEX('Списки данных'!$D$2:$D$1048576,MATCH(База_КР_КК[[#This Row],[Структурное подразделение]],'Списки данных'!$C$2:$C$1048576,0))</f>
        <v>15</v>
      </c>
      <c r="I1505" s="80" t="s">
        <v>161</v>
      </c>
      <c r="J1505" s="80" t="s">
        <v>214</v>
      </c>
      <c r="K1505" s="80" t="s">
        <v>21</v>
      </c>
      <c r="L1505" s="30" t="s">
        <v>191</v>
      </c>
      <c r="M1505" s="68">
        <v>6</v>
      </c>
      <c r="N1505" s="181" t="str">
        <f t="shared" si="24"/>
        <v>нет</v>
      </c>
      <c r="O1505" s="23"/>
      <c r="P1505" s="23"/>
      <c r="Q1505" s="106"/>
      <c r="R1505" s="37">
        <v>321</v>
      </c>
      <c r="S1505" s="38" t="s">
        <v>733</v>
      </c>
      <c r="T1505" s="37">
        <v>1406</v>
      </c>
      <c r="U1505" s="39" t="s">
        <v>1789</v>
      </c>
      <c r="V1505" s="69" t="s">
        <v>272</v>
      </c>
      <c r="W1505" s="89" t="s">
        <v>161</v>
      </c>
      <c r="X1505" s="106" t="s">
        <v>296</v>
      </c>
      <c r="Y1505" s="107" t="s">
        <v>12</v>
      </c>
      <c r="Z1505" s="67">
        <f>IF(База_КР_КК[[#This Row],[Таб.номер резервиста]]="-","-",IF(OR(База_КР_КК[[#This Row],[Уровень КК]]=2,База_КР_КК[[#This Row],[Уровень КК]]=3),IF(COUNTIFS($U$2:$U1505,$U1505,$F$2:$F1505,$F1505)=1,1,0),IF(COUNTIFS($U$2:$U1505,$U1505,$L$2:$L1505,$L1505)=1,1,0)))</f>
        <v>0</v>
      </c>
      <c r="AA15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5" s="106"/>
      <c r="AC1505" s="51"/>
      <c r="AD1505" s="106" t="s">
        <v>15</v>
      </c>
      <c r="AE1505" s="38" t="s">
        <v>347</v>
      </c>
    </row>
    <row r="1506" spans="1:31" ht="18" customHeight="1" x14ac:dyDescent="0.25">
      <c r="A15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6" s="79">
        <v>4</v>
      </c>
      <c r="C1506" s="23">
        <v>44424</v>
      </c>
      <c r="D1506" s="67">
        <f>IF(COUNTIF($G$2:$G1506,$G1506)=1,1,0)</f>
        <v>0</v>
      </c>
      <c r="E1506" s="67" t="str">
        <f>IFERROR(VLOOKUP(База_КР_КК[[#This Row],[ИД штатной должности (S)]],'уровень защищенности'!$B$7:$F$1095,5,0),"не защищена")</f>
        <v>высокий</v>
      </c>
      <c r="F1506" s="68">
        <v>500455</v>
      </c>
      <c r="G1506" s="74" t="s">
        <v>2490</v>
      </c>
      <c r="H1506" s="181">
        <f>INDEX('Списки данных'!$D$2:$D$1048576,MATCH(База_КР_КК[[#This Row],[Структурное подразделение]],'Списки данных'!$C$2:$C$1048576,0))</f>
        <v>15</v>
      </c>
      <c r="I1506" s="80" t="s">
        <v>161</v>
      </c>
      <c r="J1506" s="80" t="s">
        <v>214</v>
      </c>
      <c r="K1506" s="80" t="s">
        <v>21</v>
      </c>
      <c r="L1506" s="30" t="s">
        <v>191</v>
      </c>
      <c r="M1506" s="68">
        <v>6</v>
      </c>
      <c r="N1506" s="181" t="str">
        <f t="shared" si="24"/>
        <v>нет</v>
      </c>
      <c r="O1506" s="23"/>
      <c r="P1506" s="23"/>
      <c r="Q1506" s="106"/>
      <c r="R1506" s="37">
        <v>321</v>
      </c>
      <c r="S1506" s="38" t="s">
        <v>733</v>
      </c>
      <c r="T1506" s="37">
        <v>1407</v>
      </c>
      <c r="U1506" s="39" t="s">
        <v>1731</v>
      </c>
      <c r="V1506" s="69" t="s">
        <v>272</v>
      </c>
      <c r="W1506" s="89" t="s">
        <v>161</v>
      </c>
      <c r="X1506" s="106" t="s">
        <v>296</v>
      </c>
      <c r="Y1506" s="107" t="s">
        <v>12</v>
      </c>
      <c r="Z1506" s="67">
        <f>IF(База_КР_КК[[#This Row],[Таб.номер резервиста]]="-","-",IF(OR(База_КР_КК[[#This Row],[Уровень КК]]=2,База_КР_КК[[#This Row],[Уровень КК]]=3),IF(COUNTIFS($U$2:$U1506,$U1506,$F$2:$F1506,$F1506)=1,1,0),IF(COUNTIFS($U$2:$U1506,$U1506,$L$2:$L1506,$L1506)=1,1,0)))</f>
        <v>0</v>
      </c>
      <c r="AA15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6" s="106"/>
      <c r="AC1506" s="51"/>
      <c r="AD1506" s="106" t="s">
        <v>15</v>
      </c>
      <c r="AE1506" s="38" t="s">
        <v>347</v>
      </c>
    </row>
    <row r="1507" spans="1:31" ht="18" customHeight="1" x14ac:dyDescent="0.25">
      <c r="A15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7" s="79">
        <v>4</v>
      </c>
      <c r="C1507" s="23">
        <v>44424</v>
      </c>
      <c r="D1507" s="67">
        <f>IF(COUNTIF($G$2:$G1507,$G1507)=1,1,0)</f>
        <v>0</v>
      </c>
      <c r="E1507" s="67" t="str">
        <f>IFERROR(VLOOKUP(База_КР_КК[[#This Row],[ИД штатной должности (S)]],'уровень защищенности'!$B$7:$F$1095,5,0),"не защищена")</f>
        <v>высокий</v>
      </c>
      <c r="F1507" s="68">
        <v>500455</v>
      </c>
      <c r="G1507" s="74" t="s">
        <v>2490</v>
      </c>
      <c r="H1507" s="181">
        <f>INDEX('Списки данных'!$D$2:$D$1048576,MATCH(База_КР_КК[[#This Row],[Структурное подразделение]],'Списки данных'!$C$2:$C$1048576,0))</f>
        <v>15</v>
      </c>
      <c r="I1507" s="80" t="s">
        <v>161</v>
      </c>
      <c r="J1507" s="80" t="s">
        <v>214</v>
      </c>
      <c r="K1507" s="80" t="s">
        <v>21</v>
      </c>
      <c r="L1507" s="30" t="s">
        <v>191</v>
      </c>
      <c r="M1507" s="68">
        <v>6</v>
      </c>
      <c r="N1507" s="181" t="str">
        <f t="shared" si="24"/>
        <v>нет</v>
      </c>
      <c r="O1507" s="23"/>
      <c r="P1507" s="23"/>
      <c r="Q1507" s="106"/>
      <c r="R1507" s="37">
        <v>321</v>
      </c>
      <c r="S1507" s="38" t="s">
        <v>733</v>
      </c>
      <c r="T1507" s="37">
        <v>1408</v>
      </c>
      <c r="U1507" s="39" t="s">
        <v>1790</v>
      </c>
      <c r="V1507" s="69" t="s">
        <v>272</v>
      </c>
      <c r="W1507" s="89" t="s">
        <v>161</v>
      </c>
      <c r="X1507" s="106" t="s">
        <v>296</v>
      </c>
      <c r="Y1507" s="107" t="s">
        <v>12</v>
      </c>
      <c r="Z1507" s="67">
        <f>IF(База_КР_КК[[#This Row],[Таб.номер резервиста]]="-","-",IF(OR(База_КР_КК[[#This Row],[Уровень КК]]=2,База_КР_КК[[#This Row],[Уровень КК]]=3),IF(COUNTIFS($U$2:$U1507,$U1507,$F$2:$F1507,$F1507)=1,1,0),IF(COUNTIFS($U$2:$U1507,$U1507,$L$2:$L1507,$L1507)=1,1,0)))</f>
        <v>0</v>
      </c>
      <c r="AA15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7" s="106"/>
      <c r="AC1507" s="51"/>
      <c r="AD1507" s="106" t="s">
        <v>15</v>
      </c>
      <c r="AE1507" s="38" t="s">
        <v>347</v>
      </c>
    </row>
    <row r="1508" spans="1:31" ht="18" customHeight="1" x14ac:dyDescent="0.25">
      <c r="A15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8" s="79">
        <v>4</v>
      </c>
      <c r="C1508" s="23">
        <v>44424</v>
      </c>
      <c r="D1508" s="67">
        <f>IF(COUNTIF($G$2:$G1508,$G1508)=1,1,0)</f>
        <v>0</v>
      </c>
      <c r="E1508" s="67" t="str">
        <f>IFERROR(VLOOKUP(База_КР_КК[[#This Row],[ИД штатной должности (S)]],'уровень защищенности'!$B$7:$F$1095,5,0),"не защищена")</f>
        <v>высокий</v>
      </c>
      <c r="F1508" s="68">
        <v>500455</v>
      </c>
      <c r="G1508" s="74" t="s">
        <v>2490</v>
      </c>
      <c r="H1508" s="181">
        <f>INDEX('Списки данных'!$D$2:$D$1048576,MATCH(База_КР_КК[[#This Row],[Структурное подразделение]],'Списки данных'!$C$2:$C$1048576,0))</f>
        <v>15</v>
      </c>
      <c r="I1508" s="80" t="s">
        <v>161</v>
      </c>
      <c r="J1508" s="80" t="s">
        <v>214</v>
      </c>
      <c r="K1508" s="80" t="s">
        <v>21</v>
      </c>
      <c r="L1508" s="30" t="s">
        <v>191</v>
      </c>
      <c r="M1508" s="68">
        <v>6</v>
      </c>
      <c r="N1508" s="181" t="str">
        <f t="shared" si="24"/>
        <v>нет</v>
      </c>
      <c r="O1508" s="23"/>
      <c r="P1508" s="23"/>
      <c r="Q1508" s="106"/>
      <c r="R1508" s="37">
        <v>321</v>
      </c>
      <c r="S1508" s="38" t="s">
        <v>733</v>
      </c>
      <c r="T1508" s="37">
        <v>1409</v>
      </c>
      <c r="U1508" s="39" t="s">
        <v>1791</v>
      </c>
      <c r="V1508" s="69" t="s">
        <v>272</v>
      </c>
      <c r="W1508" s="89" t="s">
        <v>161</v>
      </c>
      <c r="X1508" s="106" t="s">
        <v>296</v>
      </c>
      <c r="Y1508" s="107" t="s">
        <v>12</v>
      </c>
      <c r="Z1508" s="67">
        <f>IF(База_КР_КК[[#This Row],[Таб.номер резервиста]]="-","-",IF(OR(База_КР_КК[[#This Row],[Уровень КК]]=2,База_КР_КК[[#This Row],[Уровень КК]]=3),IF(COUNTIFS($U$2:$U1508,$U1508,$F$2:$F1508,$F1508)=1,1,0),IF(COUNTIFS($U$2:$U1508,$U1508,$L$2:$L1508,$L1508)=1,1,0)))</f>
        <v>0</v>
      </c>
      <c r="AA15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8" s="106"/>
      <c r="AC1508" s="51"/>
      <c r="AD1508" s="106" t="s">
        <v>15</v>
      </c>
      <c r="AE1508" s="38" t="s">
        <v>347</v>
      </c>
    </row>
    <row r="1509" spans="1:31" ht="18" customHeight="1" x14ac:dyDescent="0.25">
      <c r="A15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09" s="79">
        <v>4</v>
      </c>
      <c r="C1509" s="23">
        <v>44424</v>
      </c>
      <c r="D1509" s="67">
        <f>IF(COUNTIF($G$2:$G1509,$G1509)=1,1,0)</f>
        <v>0</v>
      </c>
      <c r="E1509" s="67" t="str">
        <f>IFERROR(VLOOKUP(База_КР_КК[[#This Row],[ИД штатной должности (S)]],'уровень защищенности'!$B$7:$F$1095,5,0),"не защищена")</f>
        <v>высокий</v>
      </c>
      <c r="F1509" s="68">
        <v>500455</v>
      </c>
      <c r="G1509" s="74" t="s">
        <v>2490</v>
      </c>
      <c r="H1509" s="181">
        <f>INDEX('Списки данных'!$D$2:$D$1048576,MATCH(База_КР_КК[[#This Row],[Структурное подразделение]],'Списки данных'!$C$2:$C$1048576,0))</f>
        <v>15</v>
      </c>
      <c r="I1509" s="80" t="s">
        <v>161</v>
      </c>
      <c r="J1509" s="80" t="s">
        <v>214</v>
      </c>
      <c r="K1509" s="80" t="s">
        <v>21</v>
      </c>
      <c r="L1509" s="30" t="s">
        <v>191</v>
      </c>
      <c r="M1509" s="68">
        <v>6</v>
      </c>
      <c r="N1509" s="181" t="str">
        <f t="shared" si="24"/>
        <v>нет</v>
      </c>
      <c r="O1509" s="23"/>
      <c r="P1509" s="23"/>
      <c r="Q1509" s="106"/>
      <c r="R1509" s="37">
        <v>321</v>
      </c>
      <c r="S1509" s="38" t="s">
        <v>733</v>
      </c>
      <c r="T1509" s="37">
        <v>1410</v>
      </c>
      <c r="U1509" s="39" t="s">
        <v>1792</v>
      </c>
      <c r="V1509" s="69" t="s">
        <v>272</v>
      </c>
      <c r="W1509" s="89" t="s">
        <v>161</v>
      </c>
      <c r="X1509" s="106" t="s">
        <v>295</v>
      </c>
      <c r="Y1509" s="107" t="s">
        <v>12</v>
      </c>
      <c r="Z1509" s="67">
        <f>IF(База_КР_КК[[#This Row],[Таб.номер резервиста]]="-","-",IF(OR(База_КР_КК[[#This Row],[Уровень КК]]=2,База_КР_КК[[#This Row],[Уровень КК]]=3),IF(COUNTIFS($U$2:$U1509,$U1509,$F$2:$F1509,$F1509)=1,1,0),IF(COUNTIFS($U$2:$U1509,$U1509,$L$2:$L1509,$L1509)=1,1,0)))</f>
        <v>0</v>
      </c>
      <c r="AA15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09" s="106"/>
      <c r="AC1509" s="51"/>
      <c r="AD1509" s="106" t="s">
        <v>15</v>
      </c>
      <c r="AE1509" s="38" t="s">
        <v>347</v>
      </c>
    </row>
    <row r="1510" spans="1:31" ht="18" customHeight="1" x14ac:dyDescent="0.25">
      <c r="A15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0" s="79">
        <v>4</v>
      </c>
      <c r="C1510" s="23">
        <v>44424</v>
      </c>
      <c r="D1510" s="67">
        <f>IF(COUNTIF($G$2:$G1510,$G1510)=1,1,0)</f>
        <v>0</v>
      </c>
      <c r="E1510" s="67" t="str">
        <f>IFERROR(VLOOKUP(База_КР_КК[[#This Row],[ИД штатной должности (S)]],'уровень защищенности'!$B$7:$F$1095,5,0),"не защищена")</f>
        <v>высокий</v>
      </c>
      <c r="F1510" s="68">
        <v>500455</v>
      </c>
      <c r="G1510" s="74" t="s">
        <v>2490</v>
      </c>
      <c r="H1510" s="181">
        <f>INDEX('Списки данных'!$D$2:$D$1048576,MATCH(База_КР_КК[[#This Row],[Структурное подразделение]],'Списки данных'!$C$2:$C$1048576,0))</f>
        <v>15</v>
      </c>
      <c r="I1510" s="80" t="s">
        <v>161</v>
      </c>
      <c r="J1510" s="80" t="s">
        <v>214</v>
      </c>
      <c r="K1510" s="80" t="s">
        <v>21</v>
      </c>
      <c r="L1510" s="30" t="s">
        <v>191</v>
      </c>
      <c r="M1510" s="68">
        <v>6</v>
      </c>
      <c r="N1510" s="181" t="str">
        <f t="shared" si="24"/>
        <v>нет</v>
      </c>
      <c r="O1510" s="23"/>
      <c r="P1510" s="23"/>
      <c r="Q1510" s="106"/>
      <c r="R1510" s="37">
        <v>321</v>
      </c>
      <c r="S1510" s="38" t="s">
        <v>733</v>
      </c>
      <c r="T1510" s="37">
        <v>1411</v>
      </c>
      <c r="U1510" s="39" t="s">
        <v>1793</v>
      </c>
      <c r="V1510" s="69" t="s">
        <v>272</v>
      </c>
      <c r="W1510" s="89" t="s">
        <v>161</v>
      </c>
      <c r="X1510" s="106" t="s">
        <v>295</v>
      </c>
      <c r="Y1510" s="107" t="s">
        <v>12</v>
      </c>
      <c r="Z1510" s="67">
        <f>IF(База_КР_КК[[#This Row],[Таб.номер резервиста]]="-","-",IF(OR(База_КР_КК[[#This Row],[Уровень КК]]=2,База_КР_КК[[#This Row],[Уровень КК]]=3),IF(COUNTIFS($U$2:$U1510,$U1510,$F$2:$F1510,$F1510)=1,1,0),IF(COUNTIFS($U$2:$U1510,$U1510,$L$2:$L1510,$L1510)=1,1,0)))</f>
        <v>0</v>
      </c>
      <c r="AA15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0" s="106"/>
      <c r="AC1510" s="51"/>
      <c r="AD1510" s="106" t="s">
        <v>15</v>
      </c>
      <c r="AE1510" s="38" t="s">
        <v>347</v>
      </c>
    </row>
    <row r="1511" spans="1:31" ht="18" customHeight="1" x14ac:dyDescent="0.25">
      <c r="A15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1" s="79">
        <v>4</v>
      </c>
      <c r="C1511" s="23">
        <v>44424</v>
      </c>
      <c r="D1511" s="67">
        <f>IF(COUNTIF($G$2:$G1511,$G1511)=1,1,0)</f>
        <v>0</v>
      </c>
      <c r="E1511" s="67" t="str">
        <f>IFERROR(VLOOKUP(База_КР_КК[[#This Row],[ИД штатной должности (S)]],'уровень защищенности'!$B$7:$F$1095,5,0),"не защищена")</f>
        <v>высокий</v>
      </c>
      <c r="F1511" s="68">
        <v>500455</v>
      </c>
      <c r="G1511" s="74" t="s">
        <v>2490</v>
      </c>
      <c r="H1511" s="181">
        <f>INDEX('Списки данных'!$D$2:$D$1048576,MATCH(База_КР_КК[[#This Row],[Структурное подразделение]],'Списки данных'!$C$2:$C$1048576,0))</f>
        <v>15</v>
      </c>
      <c r="I1511" s="80" t="s">
        <v>161</v>
      </c>
      <c r="J1511" s="80" t="s">
        <v>214</v>
      </c>
      <c r="K1511" s="80" t="s">
        <v>21</v>
      </c>
      <c r="L1511" s="30" t="s">
        <v>191</v>
      </c>
      <c r="M1511" s="68">
        <v>6</v>
      </c>
      <c r="N1511" s="181" t="str">
        <f t="shared" si="24"/>
        <v>нет</v>
      </c>
      <c r="O1511" s="23"/>
      <c r="P1511" s="23"/>
      <c r="Q1511" s="106"/>
      <c r="R1511" s="37">
        <v>321</v>
      </c>
      <c r="S1511" s="38" t="s">
        <v>733</v>
      </c>
      <c r="T1511" s="37">
        <v>1412</v>
      </c>
      <c r="U1511" s="39" t="s">
        <v>1794</v>
      </c>
      <c r="V1511" s="69" t="s">
        <v>272</v>
      </c>
      <c r="W1511" s="89" t="s">
        <v>161</v>
      </c>
      <c r="X1511" s="106" t="s">
        <v>295</v>
      </c>
      <c r="Y1511" s="107" t="s">
        <v>12</v>
      </c>
      <c r="Z1511" s="67">
        <f>IF(База_КР_КК[[#This Row],[Таб.номер резервиста]]="-","-",IF(OR(База_КР_КК[[#This Row],[Уровень КК]]=2,База_КР_КК[[#This Row],[Уровень КК]]=3),IF(COUNTIFS($U$2:$U1511,$U1511,$F$2:$F1511,$F1511)=1,1,0),IF(COUNTIFS($U$2:$U1511,$U1511,$L$2:$L1511,$L1511)=1,1,0)))</f>
        <v>0</v>
      </c>
      <c r="AA15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1" s="106"/>
      <c r="AC1511" s="51"/>
      <c r="AD1511" s="106" t="s">
        <v>15</v>
      </c>
      <c r="AE1511" s="38" t="s">
        <v>347</v>
      </c>
    </row>
    <row r="1512" spans="1:31" ht="18" customHeight="1" x14ac:dyDescent="0.25">
      <c r="A15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2" s="79">
        <v>4</v>
      </c>
      <c r="C1512" s="23">
        <v>44424</v>
      </c>
      <c r="D1512" s="67">
        <f>IF(COUNTIF($G$2:$G1512,$G1512)=1,1,0)</f>
        <v>0</v>
      </c>
      <c r="E1512" s="67" t="str">
        <f>IFERROR(VLOOKUP(База_КР_КК[[#This Row],[ИД штатной должности (S)]],'уровень защищенности'!$B$7:$F$1095,5,0),"не защищена")</f>
        <v>высокий</v>
      </c>
      <c r="F1512" s="68">
        <v>500455</v>
      </c>
      <c r="G1512" s="74" t="s">
        <v>2490</v>
      </c>
      <c r="H1512" s="181">
        <f>INDEX('Списки данных'!$D$2:$D$1048576,MATCH(База_КР_КК[[#This Row],[Структурное подразделение]],'Списки данных'!$C$2:$C$1048576,0))</f>
        <v>15</v>
      </c>
      <c r="I1512" s="80" t="s">
        <v>161</v>
      </c>
      <c r="J1512" s="80" t="s">
        <v>214</v>
      </c>
      <c r="K1512" s="80" t="s">
        <v>21</v>
      </c>
      <c r="L1512" s="30" t="s">
        <v>191</v>
      </c>
      <c r="M1512" s="68">
        <v>6</v>
      </c>
      <c r="N1512" s="181" t="str">
        <f t="shared" si="24"/>
        <v>нет</v>
      </c>
      <c r="O1512" s="23"/>
      <c r="P1512" s="23"/>
      <c r="Q1512" s="106"/>
      <c r="R1512" s="37">
        <v>321</v>
      </c>
      <c r="S1512" s="38" t="s">
        <v>733</v>
      </c>
      <c r="T1512" s="37">
        <v>1413</v>
      </c>
      <c r="U1512" s="39" t="s">
        <v>1795</v>
      </c>
      <c r="V1512" s="69" t="s">
        <v>272</v>
      </c>
      <c r="W1512" s="89" t="s">
        <v>161</v>
      </c>
      <c r="X1512" s="106" t="s">
        <v>295</v>
      </c>
      <c r="Y1512" s="107" t="s">
        <v>12</v>
      </c>
      <c r="Z1512" s="67">
        <f>IF(База_КР_КК[[#This Row],[Таб.номер резервиста]]="-","-",IF(OR(База_КР_КК[[#This Row],[Уровень КК]]=2,База_КР_КК[[#This Row],[Уровень КК]]=3),IF(COUNTIFS($U$2:$U1512,$U1512,$F$2:$F1512,$F1512)=1,1,0),IF(COUNTIFS($U$2:$U1512,$U1512,$L$2:$L1512,$L1512)=1,1,0)))</f>
        <v>0</v>
      </c>
      <c r="AA15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2" s="106"/>
      <c r="AC1512" s="51"/>
      <c r="AD1512" s="106" t="s">
        <v>15</v>
      </c>
      <c r="AE1512" s="38" t="s">
        <v>347</v>
      </c>
    </row>
    <row r="1513" spans="1:31" ht="18" customHeight="1" x14ac:dyDescent="0.25">
      <c r="A15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3" s="79">
        <v>4</v>
      </c>
      <c r="C1513" s="23">
        <v>44424</v>
      </c>
      <c r="D1513" s="67">
        <f>IF(COUNTIF($G$2:$G1513,$G1513)=1,1,0)</f>
        <v>0</v>
      </c>
      <c r="E1513" s="67" t="str">
        <f>IFERROR(VLOOKUP(База_КР_КК[[#This Row],[ИД штатной должности (S)]],'уровень защищенности'!$B$7:$F$1095,5,0),"не защищена")</f>
        <v>высокий</v>
      </c>
      <c r="F1513" s="68">
        <v>500455</v>
      </c>
      <c r="G1513" s="74" t="s">
        <v>2490</v>
      </c>
      <c r="H1513" s="181">
        <f>INDEX('Списки данных'!$D$2:$D$1048576,MATCH(База_КР_КК[[#This Row],[Структурное подразделение]],'Списки данных'!$C$2:$C$1048576,0))</f>
        <v>15</v>
      </c>
      <c r="I1513" s="80" t="s">
        <v>161</v>
      </c>
      <c r="J1513" s="80" t="s">
        <v>214</v>
      </c>
      <c r="K1513" s="80" t="s">
        <v>21</v>
      </c>
      <c r="L1513" s="30" t="s">
        <v>191</v>
      </c>
      <c r="M1513" s="68">
        <v>6</v>
      </c>
      <c r="N1513" s="181" t="str">
        <f t="shared" si="24"/>
        <v>нет</v>
      </c>
      <c r="O1513" s="23"/>
      <c r="P1513" s="23"/>
      <c r="Q1513" s="106"/>
      <c r="R1513" s="37">
        <v>321</v>
      </c>
      <c r="S1513" s="38" t="s">
        <v>733</v>
      </c>
      <c r="T1513" s="37">
        <v>1414</v>
      </c>
      <c r="U1513" s="39" t="s">
        <v>1796</v>
      </c>
      <c r="V1513" s="69" t="s">
        <v>272</v>
      </c>
      <c r="W1513" s="89" t="s">
        <v>161</v>
      </c>
      <c r="X1513" s="106" t="s">
        <v>296</v>
      </c>
      <c r="Y1513" s="107" t="s">
        <v>12</v>
      </c>
      <c r="Z1513" s="67">
        <f>IF(База_КР_КК[[#This Row],[Таб.номер резервиста]]="-","-",IF(OR(База_КР_КК[[#This Row],[Уровень КК]]=2,База_КР_КК[[#This Row],[Уровень КК]]=3),IF(COUNTIFS($U$2:$U1513,$U1513,$F$2:$F1513,$F1513)=1,1,0),IF(COUNTIFS($U$2:$U1513,$U1513,$L$2:$L1513,$L1513)=1,1,0)))</f>
        <v>0</v>
      </c>
      <c r="AA15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3" s="106"/>
      <c r="AC1513" s="51"/>
      <c r="AD1513" s="106" t="s">
        <v>15</v>
      </c>
      <c r="AE1513" s="38" t="s">
        <v>347</v>
      </c>
    </row>
    <row r="1514" spans="1:31" ht="18" customHeight="1" x14ac:dyDescent="0.25">
      <c r="A15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4" s="79">
        <v>4</v>
      </c>
      <c r="C1514" s="23">
        <v>44424</v>
      </c>
      <c r="D1514" s="67">
        <f>IF(COUNTIF($G$2:$G1514,$G1514)=1,1,0)</f>
        <v>0</v>
      </c>
      <c r="E1514" s="67" t="str">
        <f>IFERROR(VLOOKUP(База_КР_КК[[#This Row],[ИД штатной должности (S)]],'уровень защищенности'!$B$7:$F$1095,5,0),"не защищена")</f>
        <v>высокий</v>
      </c>
      <c r="F1514" s="68">
        <v>500455</v>
      </c>
      <c r="G1514" s="74" t="s">
        <v>2490</v>
      </c>
      <c r="H1514" s="181">
        <f>INDEX('Списки данных'!$D$2:$D$1048576,MATCH(База_КР_КК[[#This Row],[Структурное подразделение]],'Списки данных'!$C$2:$C$1048576,0))</f>
        <v>15</v>
      </c>
      <c r="I1514" s="80" t="s">
        <v>161</v>
      </c>
      <c r="J1514" s="80" t="s">
        <v>214</v>
      </c>
      <c r="K1514" s="80" t="s">
        <v>21</v>
      </c>
      <c r="L1514" s="30" t="s">
        <v>191</v>
      </c>
      <c r="M1514" s="68">
        <v>6</v>
      </c>
      <c r="N1514" s="181" t="str">
        <f t="shared" si="24"/>
        <v>нет</v>
      </c>
      <c r="O1514" s="23"/>
      <c r="P1514" s="23"/>
      <c r="Q1514" s="106"/>
      <c r="R1514" s="37">
        <v>321</v>
      </c>
      <c r="S1514" s="38" t="s">
        <v>733</v>
      </c>
      <c r="T1514" s="37">
        <v>1415</v>
      </c>
      <c r="U1514" s="39" t="s">
        <v>1797</v>
      </c>
      <c r="V1514" s="69" t="s">
        <v>272</v>
      </c>
      <c r="W1514" s="89" t="s">
        <v>161</v>
      </c>
      <c r="X1514" s="106" t="s">
        <v>295</v>
      </c>
      <c r="Y1514" s="107" t="s">
        <v>12</v>
      </c>
      <c r="Z1514" s="67">
        <f>IF(База_КР_КК[[#This Row],[Таб.номер резервиста]]="-","-",IF(OR(База_КР_КК[[#This Row],[Уровень КК]]=2,База_КР_КК[[#This Row],[Уровень КК]]=3),IF(COUNTIFS($U$2:$U1514,$U1514,$F$2:$F1514,$F1514)=1,1,0),IF(COUNTIFS($U$2:$U1514,$U1514,$L$2:$L1514,$L1514)=1,1,0)))</f>
        <v>0</v>
      </c>
      <c r="AA15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4" s="106"/>
      <c r="AC1514" s="51"/>
      <c r="AD1514" s="106" t="s">
        <v>15</v>
      </c>
      <c r="AE1514" s="38" t="s">
        <v>347</v>
      </c>
    </row>
    <row r="1515" spans="1:31" ht="18" customHeight="1" x14ac:dyDescent="0.25">
      <c r="A15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5" s="79">
        <v>4</v>
      </c>
      <c r="C1515" s="23">
        <v>44424</v>
      </c>
      <c r="D1515" s="67">
        <f>IF(COUNTIF($G$2:$G1515,$G1515)=1,1,0)</f>
        <v>0</v>
      </c>
      <c r="E1515" s="67" t="str">
        <f>IFERROR(VLOOKUP(База_КР_КК[[#This Row],[ИД штатной должности (S)]],'уровень защищенности'!$B$7:$F$1095,5,0),"не защищена")</f>
        <v>высокий</v>
      </c>
      <c r="F1515" s="68">
        <v>500455</v>
      </c>
      <c r="G1515" s="74" t="s">
        <v>2490</v>
      </c>
      <c r="H1515" s="181">
        <f>INDEX('Списки данных'!$D$2:$D$1048576,MATCH(База_КР_КК[[#This Row],[Структурное подразделение]],'Списки данных'!$C$2:$C$1048576,0))</f>
        <v>15</v>
      </c>
      <c r="I1515" s="80" t="s">
        <v>161</v>
      </c>
      <c r="J1515" s="80" t="s">
        <v>214</v>
      </c>
      <c r="K1515" s="80" t="s">
        <v>21</v>
      </c>
      <c r="L1515" s="30" t="s">
        <v>191</v>
      </c>
      <c r="M1515" s="68">
        <v>7</v>
      </c>
      <c r="N1515" s="181" t="str">
        <f t="shared" si="24"/>
        <v>нет</v>
      </c>
      <c r="O1515" s="23"/>
      <c r="P1515" s="23"/>
      <c r="Q1515" s="106"/>
      <c r="R1515" s="37">
        <v>321</v>
      </c>
      <c r="S1515" s="38" t="s">
        <v>733</v>
      </c>
      <c r="T1515" s="37">
        <v>322</v>
      </c>
      <c r="U1515" s="39" t="s">
        <v>734</v>
      </c>
      <c r="V1515" s="69" t="s">
        <v>272</v>
      </c>
      <c r="W1515" s="89" t="s">
        <v>161</v>
      </c>
      <c r="X1515" s="106" t="s">
        <v>295</v>
      </c>
      <c r="Y1515" s="107" t="s">
        <v>14</v>
      </c>
      <c r="Z1515" s="67">
        <f>IF(База_КР_КК[[#This Row],[Таб.номер резервиста]]="-","-",IF(OR(База_КР_КК[[#This Row],[Уровень КК]]=2,База_КР_КК[[#This Row],[Уровень КК]]=3),IF(COUNTIFS($U$2:$U1515,$U1515,$F$2:$F1515,$F1515)=1,1,0),IF(COUNTIFS($U$2:$U1515,$U1515,$L$2:$L1515,$L1515)=1,1,0)))</f>
        <v>0</v>
      </c>
      <c r="AA15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5" s="106" t="s">
        <v>24</v>
      </c>
      <c r="AC1515" s="51">
        <v>44986</v>
      </c>
      <c r="AD1515" s="106" t="s">
        <v>15</v>
      </c>
      <c r="AE1515" s="38" t="s">
        <v>347</v>
      </c>
    </row>
    <row r="1516" spans="1:31" ht="18" customHeight="1" x14ac:dyDescent="0.25">
      <c r="A15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6" s="79">
        <v>4</v>
      </c>
      <c r="C1516" s="23">
        <v>44424</v>
      </c>
      <c r="D1516" s="67">
        <f>IF(COUNTIF($G$2:$G1516,$G1516)=1,1,0)</f>
        <v>0</v>
      </c>
      <c r="E1516" s="67" t="str">
        <f>IFERROR(VLOOKUP(База_КР_КК[[#This Row],[ИД штатной должности (S)]],'уровень защищенности'!$B$7:$F$1095,5,0),"не защищена")</f>
        <v>высокий</v>
      </c>
      <c r="F1516" s="68">
        <v>500455</v>
      </c>
      <c r="G1516" s="74" t="s">
        <v>2490</v>
      </c>
      <c r="H1516" s="181">
        <f>INDEX('Списки данных'!$D$2:$D$1048576,MATCH(База_КР_КК[[#This Row],[Структурное подразделение]],'Списки данных'!$C$2:$C$1048576,0))</f>
        <v>15</v>
      </c>
      <c r="I1516" s="80" t="s">
        <v>161</v>
      </c>
      <c r="J1516" s="80" t="s">
        <v>214</v>
      </c>
      <c r="K1516" s="80" t="s">
        <v>21</v>
      </c>
      <c r="L1516" s="30" t="s">
        <v>191</v>
      </c>
      <c r="M1516" s="68">
        <v>7</v>
      </c>
      <c r="N1516" s="181" t="str">
        <f t="shared" si="24"/>
        <v>нет</v>
      </c>
      <c r="O1516" s="23"/>
      <c r="P1516" s="23"/>
      <c r="Q1516" s="106"/>
      <c r="R1516" s="37">
        <v>321</v>
      </c>
      <c r="S1516" s="38" t="s">
        <v>733</v>
      </c>
      <c r="T1516" s="37">
        <v>1416</v>
      </c>
      <c r="U1516" s="39" t="s">
        <v>1798</v>
      </c>
      <c r="V1516" s="69" t="s">
        <v>272</v>
      </c>
      <c r="W1516" s="89" t="s">
        <v>161</v>
      </c>
      <c r="X1516" s="106" t="s">
        <v>295</v>
      </c>
      <c r="Y1516" s="107" t="s">
        <v>18</v>
      </c>
      <c r="Z1516" s="67">
        <f>IF(База_КР_КК[[#This Row],[Таб.номер резервиста]]="-","-",IF(OR(База_КР_КК[[#This Row],[Уровень КК]]=2,База_КР_КК[[#This Row],[Уровень КК]]=3),IF(COUNTIFS($U$2:$U1516,$U1516,$F$2:$F1516,$F1516)=1,1,0),IF(COUNTIFS($U$2:$U1516,$U1516,$L$2:$L1516,$L1516)=1,1,0)))</f>
        <v>0</v>
      </c>
      <c r="AA15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6" s="106" t="s">
        <v>33</v>
      </c>
      <c r="AC1516" s="51">
        <v>44551</v>
      </c>
      <c r="AD1516" s="106" t="s">
        <v>15</v>
      </c>
      <c r="AE1516" s="38" t="s">
        <v>347</v>
      </c>
    </row>
    <row r="1517" spans="1:31" ht="18" customHeight="1" x14ac:dyDescent="0.25">
      <c r="A15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7" s="79">
        <v>4</v>
      </c>
      <c r="C1517" s="23">
        <v>44424</v>
      </c>
      <c r="D1517" s="67">
        <f>IF(COUNTIF($G$2:$G1517,$G1517)=1,1,0)</f>
        <v>1</v>
      </c>
      <c r="E1517" s="67" t="str">
        <f>IFERROR(VLOOKUP(База_КР_КК[[#This Row],[ИД штатной должности (S)]],'уровень защищенности'!$B$7:$F$1095,5,0),"не защищена")</f>
        <v>высокий</v>
      </c>
      <c r="F1517" s="68">
        <v>500455</v>
      </c>
      <c r="G1517" s="74" t="s">
        <v>2491</v>
      </c>
      <c r="H1517" s="181">
        <f>INDEX('Списки данных'!$D$2:$D$1048576,MATCH(База_КР_КК[[#This Row],[Структурное подразделение]],'Списки данных'!$C$2:$C$1048576,0))</f>
        <v>15</v>
      </c>
      <c r="I1517" s="80" t="s">
        <v>161</v>
      </c>
      <c r="J1517" s="80" t="s">
        <v>214</v>
      </c>
      <c r="K1517" s="80" t="s">
        <v>21</v>
      </c>
      <c r="L1517" s="30" t="s">
        <v>191</v>
      </c>
      <c r="M1517" s="68">
        <v>6</v>
      </c>
      <c r="N1517" s="181" t="str">
        <f t="shared" si="24"/>
        <v>да</v>
      </c>
      <c r="O1517" s="23">
        <v>44918</v>
      </c>
      <c r="P1517" s="23">
        <v>44986</v>
      </c>
      <c r="Q1517" s="106" t="s">
        <v>66</v>
      </c>
      <c r="R1517" s="37">
        <v>322</v>
      </c>
      <c r="S1517" s="39" t="s">
        <v>734</v>
      </c>
      <c r="T1517" s="37">
        <v>1406</v>
      </c>
      <c r="U1517" s="39" t="s">
        <v>1789</v>
      </c>
      <c r="V1517" s="69" t="s">
        <v>272</v>
      </c>
      <c r="W1517" s="89" t="s">
        <v>161</v>
      </c>
      <c r="X1517" s="106" t="s">
        <v>296</v>
      </c>
      <c r="Y1517" s="107" t="s">
        <v>12</v>
      </c>
      <c r="Z1517" s="67">
        <f>IF(База_КР_КК[[#This Row],[Таб.номер резервиста]]="-","-",IF(OR(База_КР_КК[[#This Row],[Уровень КК]]=2,База_КР_КК[[#This Row],[Уровень КК]]=3),IF(COUNTIFS($U$2:$U1517,$U1517,$F$2:$F1517,$F1517)=1,1,0),IF(COUNTIFS($U$2:$U1517,$U1517,$L$2:$L1517,$L1517)=1,1,0)))</f>
        <v>0</v>
      </c>
      <c r="AA15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7" s="106"/>
      <c r="AC1517" s="51"/>
      <c r="AD1517" s="106" t="s">
        <v>15</v>
      </c>
      <c r="AE1517" s="38" t="s">
        <v>347</v>
      </c>
    </row>
    <row r="1518" spans="1:31" ht="18" customHeight="1" x14ac:dyDescent="0.25">
      <c r="A15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8" s="79">
        <v>4</v>
      </c>
      <c r="C1518" s="23">
        <v>44424</v>
      </c>
      <c r="D1518" s="67">
        <f>IF(COUNTIF($G$2:$G1518,$G1518)=1,1,0)</f>
        <v>0</v>
      </c>
      <c r="E1518" s="67" t="str">
        <f>IFERROR(VLOOKUP(База_КР_КК[[#This Row],[ИД штатной должности (S)]],'уровень защищенности'!$B$7:$F$1095,5,0),"не защищена")</f>
        <v>высокий</v>
      </c>
      <c r="F1518" s="68">
        <v>500455</v>
      </c>
      <c r="G1518" s="74" t="s">
        <v>2491</v>
      </c>
      <c r="H1518" s="181">
        <f>INDEX('Списки данных'!$D$2:$D$1048576,MATCH(База_КР_КК[[#This Row],[Структурное подразделение]],'Списки данных'!$C$2:$C$1048576,0))</f>
        <v>15</v>
      </c>
      <c r="I1518" s="80" t="s">
        <v>161</v>
      </c>
      <c r="J1518" s="80" t="s">
        <v>214</v>
      </c>
      <c r="K1518" s="80" t="s">
        <v>21</v>
      </c>
      <c r="L1518" s="30" t="s">
        <v>191</v>
      </c>
      <c r="M1518" s="68">
        <v>6</v>
      </c>
      <c r="N1518" s="181" t="str">
        <f t="shared" si="24"/>
        <v>да</v>
      </c>
      <c r="O1518" s="23">
        <v>44918</v>
      </c>
      <c r="P1518" s="23">
        <v>44986</v>
      </c>
      <c r="Q1518" s="106" t="s">
        <v>66</v>
      </c>
      <c r="R1518" s="37">
        <v>322</v>
      </c>
      <c r="S1518" s="39" t="s">
        <v>734</v>
      </c>
      <c r="T1518" s="37">
        <v>1407</v>
      </c>
      <c r="U1518" s="39" t="s">
        <v>1731</v>
      </c>
      <c r="V1518" s="69" t="s">
        <v>272</v>
      </c>
      <c r="W1518" s="89" t="s">
        <v>161</v>
      </c>
      <c r="X1518" s="106" t="s">
        <v>296</v>
      </c>
      <c r="Y1518" s="107" t="s">
        <v>12</v>
      </c>
      <c r="Z1518" s="67">
        <f>IF(База_КР_КК[[#This Row],[Таб.номер резервиста]]="-","-",IF(OR(База_КР_КК[[#This Row],[Уровень КК]]=2,База_КР_КК[[#This Row],[Уровень КК]]=3),IF(COUNTIFS($U$2:$U1518,$U1518,$F$2:$F1518,$F1518)=1,1,0),IF(COUNTIFS($U$2:$U1518,$U1518,$L$2:$L1518,$L1518)=1,1,0)))</f>
        <v>0</v>
      </c>
      <c r="AA15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8" s="106"/>
      <c r="AC1518" s="51"/>
      <c r="AD1518" s="106" t="s">
        <v>15</v>
      </c>
      <c r="AE1518" s="38" t="s">
        <v>347</v>
      </c>
    </row>
    <row r="1519" spans="1:31" ht="18" customHeight="1" x14ac:dyDescent="0.25">
      <c r="A15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19" s="79">
        <v>4</v>
      </c>
      <c r="C1519" s="23">
        <v>44424</v>
      </c>
      <c r="D1519" s="67">
        <f>IF(COUNTIF($G$2:$G1519,$G1519)=1,1,0)</f>
        <v>0</v>
      </c>
      <c r="E1519" s="67" t="str">
        <f>IFERROR(VLOOKUP(База_КР_КК[[#This Row],[ИД штатной должности (S)]],'уровень защищенности'!$B$7:$F$1095,5,0),"не защищена")</f>
        <v>высокий</v>
      </c>
      <c r="F1519" s="68">
        <v>500455</v>
      </c>
      <c r="G1519" s="74" t="s">
        <v>2491</v>
      </c>
      <c r="H1519" s="181">
        <f>INDEX('Списки данных'!$D$2:$D$1048576,MATCH(База_КР_КК[[#This Row],[Структурное подразделение]],'Списки данных'!$C$2:$C$1048576,0))</f>
        <v>15</v>
      </c>
      <c r="I1519" s="80" t="s">
        <v>161</v>
      </c>
      <c r="J1519" s="80" t="s">
        <v>214</v>
      </c>
      <c r="K1519" s="80" t="s">
        <v>21</v>
      </c>
      <c r="L1519" s="30" t="s">
        <v>191</v>
      </c>
      <c r="M1519" s="68">
        <v>6</v>
      </c>
      <c r="N1519" s="181" t="str">
        <f t="shared" si="24"/>
        <v>да</v>
      </c>
      <c r="O1519" s="23">
        <v>44918</v>
      </c>
      <c r="P1519" s="23">
        <v>44986</v>
      </c>
      <c r="Q1519" s="106" t="s">
        <v>66</v>
      </c>
      <c r="R1519" s="37">
        <v>322</v>
      </c>
      <c r="S1519" s="39" t="s">
        <v>734</v>
      </c>
      <c r="T1519" s="37">
        <v>1408</v>
      </c>
      <c r="U1519" s="39" t="s">
        <v>1790</v>
      </c>
      <c r="V1519" s="69" t="s">
        <v>272</v>
      </c>
      <c r="W1519" s="89" t="s">
        <v>161</v>
      </c>
      <c r="X1519" s="106" t="s">
        <v>296</v>
      </c>
      <c r="Y1519" s="107" t="s">
        <v>12</v>
      </c>
      <c r="Z1519" s="67">
        <f>IF(База_КР_КК[[#This Row],[Таб.номер резервиста]]="-","-",IF(OR(База_КР_КК[[#This Row],[Уровень КК]]=2,База_КР_КК[[#This Row],[Уровень КК]]=3),IF(COUNTIFS($U$2:$U1519,$U1519,$F$2:$F1519,$F1519)=1,1,0),IF(COUNTIFS($U$2:$U1519,$U1519,$L$2:$L1519,$L1519)=1,1,0)))</f>
        <v>0</v>
      </c>
      <c r="AA15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19" s="106"/>
      <c r="AC1519" s="51"/>
      <c r="AD1519" s="106" t="s">
        <v>15</v>
      </c>
      <c r="AE1519" s="38" t="s">
        <v>347</v>
      </c>
    </row>
    <row r="1520" spans="1:31" ht="18" customHeight="1" x14ac:dyDescent="0.25">
      <c r="A15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0" s="79">
        <v>4</v>
      </c>
      <c r="C1520" s="23">
        <v>44424</v>
      </c>
      <c r="D1520" s="67">
        <f>IF(COUNTIF($G$2:$G1520,$G1520)=1,1,0)</f>
        <v>0</v>
      </c>
      <c r="E1520" s="67" t="str">
        <f>IFERROR(VLOOKUP(База_КР_КК[[#This Row],[ИД штатной должности (S)]],'уровень защищенности'!$B$7:$F$1095,5,0),"не защищена")</f>
        <v>высокий</v>
      </c>
      <c r="F1520" s="68">
        <v>500455</v>
      </c>
      <c r="G1520" s="74" t="s">
        <v>2491</v>
      </c>
      <c r="H1520" s="181">
        <f>INDEX('Списки данных'!$D$2:$D$1048576,MATCH(База_КР_КК[[#This Row],[Структурное подразделение]],'Списки данных'!$C$2:$C$1048576,0))</f>
        <v>15</v>
      </c>
      <c r="I1520" s="80" t="s">
        <v>161</v>
      </c>
      <c r="J1520" s="80" t="s">
        <v>214</v>
      </c>
      <c r="K1520" s="80" t="s">
        <v>21</v>
      </c>
      <c r="L1520" s="30" t="s">
        <v>191</v>
      </c>
      <c r="M1520" s="68">
        <v>6</v>
      </c>
      <c r="N1520" s="181" t="str">
        <f t="shared" si="24"/>
        <v>да</v>
      </c>
      <c r="O1520" s="23">
        <v>44918</v>
      </c>
      <c r="P1520" s="23">
        <v>44986</v>
      </c>
      <c r="Q1520" s="106" t="s">
        <v>66</v>
      </c>
      <c r="R1520" s="37">
        <v>322</v>
      </c>
      <c r="S1520" s="39" t="s">
        <v>734</v>
      </c>
      <c r="T1520" s="37">
        <v>1409</v>
      </c>
      <c r="U1520" s="39" t="s">
        <v>1791</v>
      </c>
      <c r="V1520" s="69" t="s">
        <v>272</v>
      </c>
      <c r="W1520" s="89" t="s">
        <v>161</v>
      </c>
      <c r="X1520" s="106" t="s">
        <v>296</v>
      </c>
      <c r="Y1520" s="107" t="s">
        <v>12</v>
      </c>
      <c r="Z1520" s="67">
        <f>IF(База_КР_КК[[#This Row],[Таб.номер резервиста]]="-","-",IF(OR(База_КР_КК[[#This Row],[Уровень КК]]=2,База_КР_КК[[#This Row],[Уровень КК]]=3),IF(COUNTIFS($U$2:$U1520,$U1520,$F$2:$F1520,$F1520)=1,1,0),IF(COUNTIFS($U$2:$U1520,$U1520,$L$2:$L1520,$L1520)=1,1,0)))</f>
        <v>0</v>
      </c>
      <c r="AA15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0" s="106"/>
      <c r="AC1520" s="51"/>
      <c r="AD1520" s="106" t="s">
        <v>15</v>
      </c>
      <c r="AE1520" s="38" t="s">
        <v>347</v>
      </c>
    </row>
    <row r="1521" spans="1:31" ht="18" customHeight="1" x14ac:dyDescent="0.25">
      <c r="A15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1" s="79">
        <v>4</v>
      </c>
      <c r="C1521" s="23">
        <v>44424</v>
      </c>
      <c r="D1521" s="67">
        <f>IF(COUNTIF($G$2:$G1521,$G1521)=1,1,0)</f>
        <v>0</v>
      </c>
      <c r="E1521" s="67" t="str">
        <f>IFERROR(VLOOKUP(База_КР_КК[[#This Row],[ИД штатной должности (S)]],'уровень защищенности'!$B$7:$F$1095,5,0),"не защищена")</f>
        <v>высокий</v>
      </c>
      <c r="F1521" s="68">
        <v>500455</v>
      </c>
      <c r="G1521" s="74" t="s">
        <v>2491</v>
      </c>
      <c r="H1521" s="181">
        <f>INDEX('Списки данных'!$D$2:$D$1048576,MATCH(База_КР_КК[[#This Row],[Структурное подразделение]],'Списки данных'!$C$2:$C$1048576,0))</f>
        <v>15</v>
      </c>
      <c r="I1521" s="80" t="s">
        <v>161</v>
      </c>
      <c r="J1521" s="80" t="s">
        <v>214</v>
      </c>
      <c r="K1521" s="80" t="s">
        <v>21</v>
      </c>
      <c r="L1521" s="30" t="s">
        <v>191</v>
      </c>
      <c r="M1521" s="68">
        <v>6</v>
      </c>
      <c r="N1521" s="181" t="str">
        <f t="shared" si="24"/>
        <v>да</v>
      </c>
      <c r="O1521" s="23">
        <v>44918</v>
      </c>
      <c r="P1521" s="23">
        <v>44986</v>
      </c>
      <c r="Q1521" s="106" t="s">
        <v>66</v>
      </c>
      <c r="R1521" s="37">
        <v>322</v>
      </c>
      <c r="S1521" s="39" t="s">
        <v>734</v>
      </c>
      <c r="T1521" s="37">
        <v>1410</v>
      </c>
      <c r="U1521" s="39" t="s">
        <v>1792</v>
      </c>
      <c r="V1521" s="69" t="s">
        <v>272</v>
      </c>
      <c r="W1521" s="89" t="s">
        <v>161</v>
      </c>
      <c r="X1521" s="106" t="s">
        <v>295</v>
      </c>
      <c r="Y1521" s="107" t="s">
        <v>12</v>
      </c>
      <c r="Z1521" s="67">
        <f>IF(База_КР_КК[[#This Row],[Таб.номер резервиста]]="-","-",IF(OR(База_КР_КК[[#This Row],[Уровень КК]]=2,База_КР_КК[[#This Row],[Уровень КК]]=3),IF(COUNTIFS($U$2:$U1521,$U1521,$F$2:$F1521,$F1521)=1,1,0),IF(COUNTIFS($U$2:$U1521,$U1521,$L$2:$L1521,$L1521)=1,1,0)))</f>
        <v>0</v>
      </c>
      <c r="AA15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1" s="106"/>
      <c r="AC1521" s="51"/>
      <c r="AD1521" s="106" t="s">
        <v>15</v>
      </c>
      <c r="AE1521" s="38" t="s">
        <v>347</v>
      </c>
    </row>
    <row r="1522" spans="1:31" ht="18" customHeight="1" x14ac:dyDescent="0.25">
      <c r="A15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2" s="79">
        <v>4</v>
      </c>
      <c r="C1522" s="23">
        <v>44424</v>
      </c>
      <c r="D1522" s="67">
        <f>IF(COUNTIF($G$2:$G1522,$G1522)=1,1,0)</f>
        <v>0</v>
      </c>
      <c r="E1522" s="67" t="str">
        <f>IFERROR(VLOOKUP(База_КР_КК[[#This Row],[ИД штатной должности (S)]],'уровень защищенности'!$B$7:$F$1095,5,0),"не защищена")</f>
        <v>высокий</v>
      </c>
      <c r="F1522" s="68">
        <v>500455</v>
      </c>
      <c r="G1522" s="74" t="s">
        <v>2491</v>
      </c>
      <c r="H1522" s="181">
        <f>INDEX('Списки данных'!$D$2:$D$1048576,MATCH(База_КР_КК[[#This Row],[Структурное подразделение]],'Списки данных'!$C$2:$C$1048576,0))</f>
        <v>15</v>
      </c>
      <c r="I1522" s="80" t="s">
        <v>161</v>
      </c>
      <c r="J1522" s="80" t="s">
        <v>214</v>
      </c>
      <c r="K1522" s="80" t="s">
        <v>21</v>
      </c>
      <c r="L1522" s="30" t="s">
        <v>191</v>
      </c>
      <c r="M1522" s="68">
        <v>6</v>
      </c>
      <c r="N1522" s="181" t="str">
        <f t="shared" si="24"/>
        <v>да</v>
      </c>
      <c r="O1522" s="23">
        <v>44918</v>
      </c>
      <c r="P1522" s="23">
        <v>44986</v>
      </c>
      <c r="Q1522" s="106" t="s">
        <v>66</v>
      </c>
      <c r="R1522" s="37">
        <v>322</v>
      </c>
      <c r="S1522" s="39" t="s">
        <v>734</v>
      </c>
      <c r="T1522" s="37">
        <v>1411</v>
      </c>
      <c r="U1522" s="39" t="s">
        <v>1793</v>
      </c>
      <c r="V1522" s="69" t="s">
        <v>272</v>
      </c>
      <c r="W1522" s="89" t="s">
        <v>161</v>
      </c>
      <c r="X1522" s="106" t="s">
        <v>295</v>
      </c>
      <c r="Y1522" s="107" t="s">
        <v>12</v>
      </c>
      <c r="Z1522" s="67">
        <f>IF(База_КР_КК[[#This Row],[Таб.номер резервиста]]="-","-",IF(OR(База_КР_КК[[#This Row],[Уровень КК]]=2,База_КР_КК[[#This Row],[Уровень КК]]=3),IF(COUNTIFS($U$2:$U1522,$U1522,$F$2:$F1522,$F1522)=1,1,0),IF(COUNTIFS($U$2:$U1522,$U1522,$L$2:$L1522,$L1522)=1,1,0)))</f>
        <v>0</v>
      </c>
      <c r="AA15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2" s="106"/>
      <c r="AC1522" s="51"/>
      <c r="AD1522" s="106" t="s">
        <v>15</v>
      </c>
      <c r="AE1522" s="38" t="s">
        <v>347</v>
      </c>
    </row>
    <row r="1523" spans="1:31" ht="18" customHeight="1" x14ac:dyDescent="0.25">
      <c r="A15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3" s="79">
        <v>4</v>
      </c>
      <c r="C1523" s="23">
        <v>44424</v>
      </c>
      <c r="D1523" s="67">
        <f>IF(COUNTIF($G$2:$G1523,$G1523)=1,1,0)</f>
        <v>0</v>
      </c>
      <c r="E1523" s="67" t="str">
        <f>IFERROR(VLOOKUP(База_КР_КК[[#This Row],[ИД штатной должности (S)]],'уровень защищенности'!$B$7:$F$1095,5,0),"не защищена")</f>
        <v>высокий</v>
      </c>
      <c r="F1523" s="68">
        <v>500455</v>
      </c>
      <c r="G1523" s="74" t="s">
        <v>2491</v>
      </c>
      <c r="H1523" s="181">
        <f>INDEX('Списки данных'!$D$2:$D$1048576,MATCH(База_КР_КК[[#This Row],[Структурное подразделение]],'Списки данных'!$C$2:$C$1048576,0))</f>
        <v>15</v>
      </c>
      <c r="I1523" s="80" t="s">
        <v>161</v>
      </c>
      <c r="J1523" s="80" t="s">
        <v>214</v>
      </c>
      <c r="K1523" s="80" t="s">
        <v>21</v>
      </c>
      <c r="L1523" s="30" t="s">
        <v>191</v>
      </c>
      <c r="M1523" s="68">
        <v>6</v>
      </c>
      <c r="N1523" s="181" t="str">
        <f t="shared" si="24"/>
        <v>да</v>
      </c>
      <c r="O1523" s="23">
        <v>44918</v>
      </c>
      <c r="P1523" s="23">
        <v>44986</v>
      </c>
      <c r="Q1523" s="106" t="s">
        <v>66</v>
      </c>
      <c r="R1523" s="37">
        <v>322</v>
      </c>
      <c r="S1523" s="39" t="s">
        <v>734</v>
      </c>
      <c r="T1523" s="37">
        <v>1412</v>
      </c>
      <c r="U1523" s="39" t="s">
        <v>1794</v>
      </c>
      <c r="V1523" s="69" t="s">
        <v>272</v>
      </c>
      <c r="W1523" s="89" t="s">
        <v>161</v>
      </c>
      <c r="X1523" s="106" t="s">
        <v>295</v>
      </c>
      <c r="Y1523" s="107" t="s">
        <v>12</v>
      </c>
      <c r="Z1523" s="67">
        <f>IF(База_КР_КК[[#This Row],[Таб.номер резервиста]]="-","-",IF(OR(База_КР_КК[[#This Row],[Уровень КК]]=2,База_КР_КК[[#This Row],[Уровень КК]]=3),IF(COUNTIFS($U$2:$U1523,$U1523,$F$2:$F1523,$F1523)=1,1,0),IF(COUNTIFS($U$2:$U1523,$U1523,$L$2:$L1523,$L1523)=1,1,0)))</f>
        <v>0</v>
      </c>
      <c r="AA15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3" s="106"/>
      <c r="AC1523" s="51"/>
      <c r="AD1523" s="106" t="s">
        <v>15</v>
      </c>
      <c r="AE1523" s="38" t="s">
        <v>347</v>
      </c>
    </row>
    <row r="1524" spans="1:31" ht="18" customHeight="1" x14ac:dyDescent="0.25">
      <c r="A15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4" s="79">
        <v>4</v>
      </c>
      <c r="C1524" s="23">
        <v>44424</v>
      </c>
      <c r="D1524" s="67">
        <f>IF(COUNTIF($G$2:$G1524,$G1524)=1,1,0)</f>
        <v>0</v>
      </c>
      <c r="E1524" s="67" t="str">
        <f>IFERROR(VLOOKUP(База_КР_КК[[#This Row],[ИД штатной должности (S)]],'уровень защищенности'!$B$7:$F$1095,5,0),"не защищена")</f>
        <v>высокий</v>
      </c>
      <c r="F1524" s="68">
        <v>500455</v>
      </c>
      <c r="G1524" s="74" t="s">
        <v>2491</v>
      </c>
      <c r="H1524" s="181">
        <f>INDEX('Списки данных'!$D$2:$D$1048576,MATCH(База_КР_КК[[#This Row],[Структурное подразделение]],'Списки данных'!$C$2:$C$1048576,0))</f>
        <v>15</v>
      </c>
      <c r="I1524" s="80" t="s">
        <v>161</v>
      </c>
      <c r="J1524" s="80" t="s">
        <v>214</v>
      </c>
      <c r="K1524" s="80" t="s">
        <v>21</v>
      </c>
      <c r="L1524" s="30" t="s">
        <v>191</v>
      </c>
      <c r="M1524" s="68">
        <v>6</v>
      </c>
      <c r="N1524" s="181" t="str">
        <f t="shared" si="24"/>
        <v>да</v>
      </c>
      <c r="O1524" s="23">
        <v>44918</v>
      </c>
      <c r="P1524" s="23">
        <v>44986</v>
      </c>
      <c r="Q1524" s="106" t="s">
        <v>66</v>
      </c>
      <c r="R1524" s="37">
        <v>322</v>
      </c>
      <c r="S1524" s="39" t="s">
        <v>734</v>
      </c>
      <c r="T1524" s="37">
        <v>1413</v>
      </c>
      <c r="U1524" s="39" t="s">
        <v>1795</v>
      </c>
      <c r="V1524" s="69" t="s">
        <v>272</v>
      </c>
      <c r="W1524" s="89" t="s">
        <v>161</v>
      </c>
      <c r="X1524" s="106" t="s">
        <v>295</v>
      </c>
      <c r="Y1524" s="107" t="s">
        <v>12</v>
      </c>
      <c r="Z1524" s="67">
        <f>IF(База_КР_КК[[#This Row],[Таб.номер резервиста]]="-","-",IF(OR(База_КР_КК[[#This Row],[Уровень КК]]=2,База_КР_КК[[#This Row],[Уровень КК]]=3),IF(COUNTIFS($U$2:$U1524,$U1524,$F$2:$F1524,$F1524)=1,1,0),IF(COUNTIFS($U$2:$U1524,$U1524,$L$2:$L1524,$L1524)=1,1,0)))</f>
        <v>0</v>
      </c>
      <c r="AA15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4" s="106"/>
      <c r="AC1524" s="51"/>
      <c r="AD1524" s="106" t="s">
        <v>15</v>
      </c>
      <c r="AE1524" s="38" t="s">
        <v>347</v>
      </c>
    </row>
    <row r="1525" spans="1:31" ht="18" customHeight="1" x14ac:dyDescent="0.25">
      <c r="A15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5" s="79">
        <v>4</v>
      </c>
      <c r="C1525" s="23">
        <v>44424</v>
      </c>
      <c r="D1525" s="67">
        <f>IF(COUNTIF($G$2:$G1525,$G1525)=1,1,0)</f>
        <v>0</v>
      </c>
      <c r="E1525" s="67" t="str">
        <f>IFERROR(VLOOKUP(База_КР_КК[[#This Row],[ИД штатной должности (S)]],'уровень защищенности'!$B$7:$F$1095,5,0),"не защищена")</f>
        <v>высокий</v>
      </c>
      <c r="F1525" s="68">
        <v>500455</v>
      </c>
      <c r="G1525" s="74" t="s">
        <v>2491</v>
      </c>
      <c r="H1525" s="181">
        <f>INDEX('Списки данных'!$D$2:$D$1048576,MATCH(База_КР_КК[[#This Row],[Структурное подразделение]],'Списки данных'!$C$2:$C$1048576,0))</f>
        <v>15</v>
      </c>
      <c r="I1525" s="80" t="s">
        <v>161</v>
      </c>
      <c r="J1525" s="80" t="s">
        <v>214</v>
      </c>
      <c r="K1525" s="80" t="s">
        <v>21</v>
      </c>
      <c r="L1525" s="30" t="s">
        <v>191</v>
      </c>
      <c r="M1525" s="68">
        <v>6</v>
      </c>
      <c r="N1525" s="181" t="str">
        <f t="shared" si="24"/>
        <v>да</v>
      </c>
      <c r="O1525" s="23">
        <v>44918</v>
      </c>
      <c r="P1525" s="23">
        <v>44986</v>
      </c>
      <c r="Q1525" s="106" t="s">
        <v>66</v>
      </c>
      <c r="R1525" s="37">
        <v>322</v>
      </c>
      <c r="S1525" s="39" t="s">
        <v>734</v>
      </c>
      <c r="T1525" s="37">
        <v>1414</v>
      </c>
      <c r="U1525" s="39" t="s">
        <v>1796</v>
      </c>
      <c r="V1525" s="69" t="s">
        <v>272</v>
      </c>
      <c r="W1525" s="89" t="s">
        <v>161</v>
      </c>
      <c r="X1525" s="106" t="s">
        <v>296</v>
      </c>
      <c r="Y1525" s="107" t="s">
        <v>12</v>
      </c>
      <c r="Z1525" s="67">
        <f>IF(База_КР_КК[[#This Row],[Таб.номер резервиста]]="-","-",IF(OR(База_КР_КК[[#This Row],[Уровень КК]]=2,База_КР_КК[[#This Row],[Уровень КК]]=3),IF(COUNTIFS($U$2:$U1525,$U1525,$F$2:$F1525,$F1525)=1,1,0),IF(COUNTIFS($U$2:$U1525,$U1525,$L$2:$L1525,$L1525)=1,1,0)))</f>
        <v>0</v>
      </c>
      <c r="AA15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5" s="106"/>
      <c r="AC1525" s="51"/>
      <c r="AD1525" s="106" t="s">
        <v>15</v>
      </c>
      <c r="AE1525" s="38" t="s">
        <v>347</v>
      </c>
    </row>
    <row r="1526" spans="1:31" ht="18" customHeight="1" x14ac:dyDescent="0.25">
      <c r="A15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6" s="79">
        <v>4</v>
      </c>
      <c r="C1526" s="23">
        <v>44424</v>
      </c>
      <c r="D1526" s="67">
        <f>IF(COUNTIF($G$2:$G1526,$G1526)=1,1,0)</f>
        <v>0</v>
      </c>
      <c r="E1526" s="67" t="str">
        <f>IFERROR(VLOOKUP(База_КР_КК[[#This Row],[ИД штатной должности (S)]],'уровень защищенности'!$B$7:$F$1095,5,0),"не защищена")</f>
        <v>высокий</v>
      </c>
      <c r="F1526" s="68">
        <v>500455</v>
      </c>
      <c r="G1526" s="74" t="s">
        <v>2491</v>
      </c>
      <c r="H1526" s="181">
        <f>INDEX('Списки данных'!$D$2:$D$1048576,MATCH(База_КР_КК[[#This Row],[Структурное подразделение]],'Списки данных'!$C$2:$C$1048576,0))</f>
        <v>15</v>
      </c>
      <c r="I1526" s="80" t="s">
        <v>161</v>
      </c>
      <c r="J1526" s="80" t="s">
        <v>214</v>
      </c>
      <c r="K1526" s="80" t="s">
        <v>21</v>
      </c>
      <c r="L1526" s="30" t="s">
        <v>191</v>
      </c>
      <c r="M1526" s="68">
        <v>6</v>
      </c>
      <c r="N1526" s="181" t="str">
        <f t="shared" si="24"/>
        <v>да</v>
      </c>
      <c r="O1526" s="23">
        <v>44918</v>
      </c>
      <c r="P1526" s="23">
        <v>44986</v>
      </c>
      <c r="Q1526" s="106" t="s">
        <v>66</v>
      </c>
      <c r="R1526" s="37">
        <v>322</v>
      </c>
      <c r="S1526" s="39" t="s">
        <v>734</v>
      </c>
      <c r="T1526" s="37">
        <v>1415</v>
      </c>
      <c r="U1526" s="39" t="s">
        <v>1797</v>
      </c>
      <c r="V1526" s="69" t="s">
        <v>272</v>
      </c>
      <c r="W1526" s="89" t="s">
        <v>161</v>
      </c>
      <c r="X1526" s="106" t="s">
        <v>295</v>
      </c>
      <c r="Y1526" s="107" t="s">
        <v>12</v>
      </c>
      <c r="Z1526" s="67">
        <f>IF(База_КР_КК[[#This Row],[Таб.номер резервиста]]="-","-",IF(OR(База_КР_КК[[#This Row],[Уровень КК]]=2,База_КР_КК[[#This Row],[Уровень КК]]=3),IF(COUNTIFS($U$2:$U1526,$U1526,$F$2:$F1526,$F1526)=1,1,0),IF(COUNTIFS($U$2:$U1526,$U1526,$L$2:$L1526,$L1526)=1,1,0)))</f>
        <v>0</v>
      </c>
      <c r="AA15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6" s="106"/>
      <c r="AC1526" s="51"/>
      <c r="AD1526" s="106" t="s">
        <v>15</v>
      </c>
      <c r="AE1526" s="38" t="s">
        <v>347</v>
      </c>
    </row>
    <row r="1527" spans="1:31" ht="18" customHeight="1" x14ac:dyDescent="0.25">
      <c r="A15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7" s="79">
        <v>4</v>
      </c>
      <c r="C1527" s="23">
        <v>44424</v>
      </c>
      <c r="D1527" s="67">
        <f>IF(COUNTIF($G$2:$G1527,$G1527)=1,1,0)</f>
        <v>0</v>
      </c>
      <c r="E1527" s="67" t="str">
        <f>IFERROR(VLOOKUP(База_КР_КК[[#This Row],[ИД штатной должности (S)]],'уровень защищенности'!$B$7:$F$1095,5,0),"не защищена")</f>
        <v>высокий</v>
      </c>
      <c r="F1527" s="68">
        <v>500455</v>
      </c>
      <c r="G1527" s="74" t="s">
        <v>2491</v>
      </c>
      <c r="H1527" s="181">
        <f>INDEX('Списки данных'!$D$2:$D$1048576,MATCH(База_КР_КК[[#This Row],[Структурное подразделение]],'Списки данных'!$C$2:$C$1048576,0))</f>
        <v>15</v>
      </c>
      <c r="I1527" s="80" t="s">
        <v>161</v>
      </c>
      <c r="J1527" s="80" t="s">
        <v>214</v>
      </c>
      <c r="K1527" s="80" t="s">
        <v>21</v>
      </c>
      <c r="L1527" s="30" t="s">
        <v>191</v>
      </c>
      <c r="M1527" s="68">
        <v>7</v>
      </c>
      <c r="N1527" s="181" t="str">
        <f t="shared" si="24"/>
        <v>да</v>
      </c>
      <c r="O1527" s="23">
        <v>44918</v>
      </c>
      <c r="P1527" s="23">
        <v>44986</v>
      </c>
      <c r="Q1527" s="106" t="s">
        <v>66</v>
      </c>
      <c r="R1527" s="37">
        <v>322</v>
      </c>
      <c r="S1527" s="39" t="s">
        <v>734</v>
      </c>
      <c r="T1527" s="37">
        <v>322</v>
      </c>
      <c r="U1527" s="39" t="s">
        <v>734</v>
      </c>
      <c r="V1527" s="69" t="s">
        <v>272</v>
      </c>
      <c r="W1527" s="89" t="s">
        <v>161</v>
      </c>
      <c r="X1527" s="106" t="s">
        <v>295</v>
      </c>
      <c r="Y1527" s="107" t="s">
        <v>14</v>
      </c>
      <c r="Z1527" s="67">
        <f>IF(База_КР_КК[[#This Row],[Таб.номер резервиста]]="-","-",IF(OR(База_КР_КК[[#This Row],[Уровень КК]]=2,База_КР_КК[[#This Row],[Уровень КК]]=3),IF(COUNTIFS($U$2:$U1527,$U1527,$F$2:$F1527,$F1527)=1,1,0),IF(COUNTIFS($U$2:$U1527,$U1527,$L$2:$L1527,$L1527)=1,1,0)))</f>
        <v>0</v>
      </c>
      <c r="AA15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527" s="106" t="s">
        <v>24</v>
      </c>
      <c r="AC1527" s="51">
        <v>44986</v>
      </c>
      <c r="AD1527" s="106" t="s">
        <v>15</v>
      </c>
      <c r="AE1527" s="38" t="s">
        <v>347</v>
      </c>
    </row>
    <row r="1528" spans="1:31" ht="18" customHeight="1" x14ac:dyDescent="0.25">
      <c r="A15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8" s="79">
        <v>4</v>
      </c>
      <c r="C1528" s="23">
        <v>44424</v>
      </c>
      <c r="D1528" s="67">
        <f>IF(COUNTIF($G$2:$G1528,$G1528)=1,1,0)</f>
        <v>0</v>
      </c>
      <c r="E1528" s="67" t="str">
        <f>IFERROR(VLOOKUP(База_КР_КК[[#This Row],[ИД штатной должности (S)]],'уровень защищенности'!$B$7:$F$1095,5,0),"не защищена")</f>
        <v>высокий</v>
      </c>
      <c r="F1528" s="68">
        <v>500455</v>
      </c>
      <c r="G1528" s="74" t="s">
        <v>2491</v>
      </c>
      <c r="H1528" s="181">
        <f>INDEX('Списки данных'!$D$2:$D$1048576,MATCH(База_КР_КК[[#This Row],[Структурное подразделение]],'Списки данных'!$C$2:$C$1048576,0))</f>
        <v>15</v>
      </c>
      <c r="I1528" s="80" t="s">
        <v>161</v>
      </c>
      <c r="J1528" s="80" t="s">
        <v>214</v>
      </c>
      <c r="K1528" s="80" t="s">
        <v>21</v>
      </c>
      <c r="L1528" s="30" t="s">
        <v>191</v>
      </c>
      <c r="M1528" s="68">
        <v>7</v>
      </c>
      <c r="N1528" s="181" t="str">
        <f t="shared" si="24"/>
        <v>да</v>
      </c>
      <c r="O1528" s="23">
        <v>44918</v>
      </c>
      <c r="P1528" s="23">
        <v>44986</v>
      </c>
      <c r="Q1528" s="106" t="s">
        <v>66</v>
      </c>
      <c r="R1528" s="37">
        <v>322</v>
      </c>
      <c r="S1528" s="39" t="s">
        <v>734</v>
      </c>
      <c r="T1528" s="37">
        <v>1416</v>
      </c>
      <c r="U1528" s="39" t="s">
        <v>1798</v>
      </c>
      <c r="V1528" s="69" t="s">
        <v>272</v>
      </c>
      <c r="W1528" s="89" t="s">
        <v>161</v>
      </c>
      <c r="X1528" s="106" t="s">
        <v>295</v>
      </c>
      <c r="Y1528" s="107" t="s">
        <v>18</v>
      </c>
      <c r="Z1528" s="67">
        <f>IF(База_КР_КК[[#This Row],[Таб.номер резервиста]]="-","-",IF(OR(База_КР_КК[[#This Row],[Уровень КК]]=2,База_КР_КК[[#This Row],[Уровень КК]]=3),IF(COUNTIFS($U$2:$U1528,$U1528,$F$2:$F1528,$F1528)=1,1,0),IF(COUNTIFS($U$2:$U1528,$U1528,$L$2:$L1528,$L1528)=1,1,0)))</f>
        <v>0</v>
      </c>
      <c r="AA15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8" s="106" t="s">
        <v>33</v>
      </c>
      <c r="AC1528" s="51">
        <v>44551</v>
      </c>
      <c r="AD1528" s="106" t="s">
        <v>15</v>
      </c>
      <c r="AE1528" s="38" t="s">
        <v>347</v>
      </c>
    </row>
    <row r="1529" spans="1:31" ht="18" customHeight="1" x14ac:dyDescent="0.25">
      <c r="A15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29" s="79">
        <v>4</v>
      </c>
      <c r="C1529" s="23">
        <v>44424</v>
      </c>
      <c r="D1529" s="67">
        <f>IF(COUNTIF($G$2:$G1529,$G1529)=1,1,0)</f>
        <v>1</v>
      </c>
      <c r="E1529" s="67" t="str">
        <f>IFERROR(VLOOKUP(База_КР_КК[[#This Row],[ИД штатной должности (S)]],'уровень защищенности'!$B$7:$F$1095,5,0),"не защищена")</f>
        <v>высокий</v>
      </c>
      <c r="F1529" s="68">
        <v>500455</v>
      </c>
      <c r="G1529" s="74" t="s">
        <v>2492</v>
      </c>
      <c r="H1529" s="181">
        <f>INDEX('Списки данных'!$D$2:$D$1048576,MATCH(База_КР_КК[[#This Row],[Структурное подразделение]],'Списки данных'!$C$2:$C$1048576,0))</f>
        <v>15</v>
      </c>
      <c r="I1529" s="80" t="s">
        <v>161</v>
      </c>
      <c r="J1529" s="80" t="s">
        <v>214</v>
      </c>
      <c r="K1529" s="80" t="s">
        <v>21</v>
      </c>
      <c r="L1529" s="30" t="s">
        <v>191</v>
      </c>
      <c r="M1529" s="68">
        <v>6</v>
      </c>
      <c r="N1529" s="181" t="str">
        <f t="shared" si="24"/>
        <v>нет</v>
      </c>
      <c r="O1529" s="23"/>
      <c r="P1529" s="23"/>
      <c r="Q1529" s="106"/>
      <c r="R1529" s="37">
        <v>323</v>
      </c>
      <c r="S1529" s="38" t="s">
        <v>735</v>
      </c>
      <c r="T1529" s="37">
        <v>1406</v>
      </c>
      <c r="U1529" s="39" t="s">
        <v>1789</v>
      </c>
      <c r="V1529" s="69" t="s">
        <v>272</v>
      </c>
      <c r="W1529" s="89" t="s">
        <v>161</v>
      </c>
      <c r="X1529" s="106" t="s">
        <v>296</v>
      </c>
      <c r="Y1529" s="107" t="s">
        <v>12</v>
      </c>
      <c r="Z1529" s="67">
        <f>IF(База_КР_КК[[#This Row],[Таб.номер резервиста]]="-","-",IF(OR(База_КР_КК[[#This Row],[Уровень КК]]=2,База_КР_КК[[#This Row],[Уровень КК]]=3),IF(COUNTIFS($U$2:$U1529,$U1529,$F$2:$F1529,$F1529)=1,1,0),IF(COUNTIFS($U$2:$U1529,$U1529,$L$2:$L1529,$L1529)=1,1,0)))</f>
        <v>0</v>
      </c>
      <c r="AA15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29" s="106"/>
      <c r="AC1529" s="51"/>
      <c r="AD1529" s="106" t="s">
        <v>15</v>
      </c>
      <c r="AE1529" s="38" t="s">
        <v>347</v>
      </c>
    </row>
    <row r="1530" spans="1:31" ht="18" customHeight="1" x14ac:dyDescent="0.25">
      <c r="A15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0" s="79">
        <v>4</v>
      </c>
      <c r="C1530" s="23">
        <v>44424</v>
      </c>
      <c r="D1530" s="67">
        <f>IF(COUNTIF($G$2:$G1530,$G1530)=1,1,0)</f>
        <v>0</v>
      </c>
      <c r="E1530" s="67" t="str">
        <f>IFERROR(VLOOKUP(База_КР_КК[[#This Row],[ИД штатной должности (S)]],'уровень защищенности'!$B$7:$F$1095,5,0),"не защищена")</f>
        <v>высокий</v>
      </c>
      <c r="F1530" s="68">
        <v>500455</v>
      </c>
      <c r="G1530" s="74" t="s">
        <v>2492</v>
      </c>
      <c r="H1530" s="181">
        <f>INDEX('Списки данных'!$D$2:$D$1048576,MATCH(База_КР_КК[[#This Row],[Структурное подразделение]],'Списки данных'!$C$2:$C$1048576,0))</f>
        <v>15</v>
      </c>
      <c r="I1530" s="80" t="s">
        <v>161</v>
      </c>
      <c r="J1530" s="80" t="s">
        <v>214</v>
      </c>
      <c r="K1530" s="80" t="s">
        <v>21</v>
      </c>
      <c r="L1530" s="30" t="s">
        <v>191</v>
      </c>
      <c r="M1530" s="68">
        <v>6</v>
      </c>
      <c r="N1530" s="181" t="str">
        <f t="shared" si="24"/>
        <v>нет</v>
      </c>
      <c r="O1530" s="23"/>
      <c r="P1530" s="23"/>
      <c r="Q1530" s="106"/>
      <c r="R1530" s="37">
        <v>323</v>
      </c>
      <c r="S1530" s="38" t="s">
        <v>735</v>
      </c>
      <c r="T1530" s="37">
        <v>1407</v>
      </c>
      <c r="U1530" s="39" t="s">
        <v>1731</v>
      </c>
      <c r="V1530" s="69" t="s">
        <v>272</v>
      </c>
      <c r="W1530" s="89" t="s">
        <v>161</v>
      </c>
      <c r="X1530" s="106" t="s">
        <v>296</v>
      </c>
      <c r="Y1530" s="107" t="s">
        <v>12</v>
      </c>
      <c r="Z1530" s="67">
        <f>IF(База_КР_КК[[#This Row],[Таб.номер резервиста]]="-","-",IF(OR(База_КР_КК[[#This Row],[Уровень КК]]=2,База_КР_КК[[#This Row],[Уровень КК]]=3),IF(COUNTIFS($U$2:$U1530,$U1530,$F$2:$F1530,$F1530)=1,1,0),IF(COUNTIFS($U$2:$U1530,$U1530,$L$2:$L1530,$L1530)=1,1,0)))</f>
        <v>0</v>
      </c>
      <c r="AA15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0" s="106"/>
      <c r="AC1530" s="51"/>
      <c r="AD1530" s="106" t="s">
        <v>15</v>
      </c>
      <c r="AE1530" s="38" t="s">
        <v>347</v>
      </c>
    </row>
    <row r="1531" spans="1:31" ht="18" customHeight="1" x14ac:dyDescent="0.25">
      <c r="A15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1" s="79">
        <v>4</v>
      </c>
      <c r="C1531" s="23">
        <v>44424</v>
      </c>
      <c r="D1531" s="67">
        <f>IF(COUNTIF($G$2:$G1531,$G1531)=1,1,0)</f>
        <v>0</v>
      </c>
      <c r="E1531" s="67" t="str">
        <f>IFERROR(VLOOKUP(База_КР_КК[[#This Row],[ИД штатной должности (S)]],'уровень защищенности'!$B$7:$F$1095,5,0),"не защищена")</f>
        <v>высокий</v>
      </c>
      <c r="F1531" s="68">
        <v>500455</v>
      </c>
      <c r="G1531" s="74" t="s">
        <v>2492</v>
      </c>
      <c r="H1531" s="181">
        <f>INDEX('Списки данных'!$D$2:$D$1048576,MATCH(База_КР_КК[[#This Row],[Структурное подразделение]],'Списки данных'!$C$2:$C$1048576,0))</f>
        <v>15</v>
      </c>
      <c r="I1531" s="80" t="s">
        <v>161</v>
      </c>
      <c r="J1531" s="80" t="s">
        <v>214</v>
      </c>
      <c r="K1531" s="80" t="s">
        <v>21</v>
      </c>
      <c r="L1531" s="30" t="s">
        <v>191</v>
      </c>
      <c r="M1531" s="68">
        <v>6</v>
      </c>
      <c r="N1531" s="181" t="str">
        <f t="shared" si="24"/>
        <v>нет</v>
      </c>
      <c r="O1531" s="23"/>
      <c r="P1531" s="23"/>
      <c r="Q1531" s="106"/>
      <c r="R1531" s="37">
        <v>323</v>
      </c>
      <c r="S1531" s="38" t="s">
        <v>735</v>
      </c>
      <c r="T1531" s="37">
        <v>1408</v>
      </c>
      <c r="U1531" s="39" t="s">
        <v>1790</v>
      </c>
      <c r="V1531" s="69" t="s">
        <v>272</v>
      </c>
      <c r="W1531" s="89" t="s">
        <v>161</v>
      </c>
      <c r="X1531" s="106" t="s">
        <v>296</v>
      </c>
      <c r="Y1531" s="107" t="s">
        <v>12</v>
      </c>
      <c r="Z1531" s="67">
        <f>IF(База_КР_КК[[#This Row],[Таб.номер резервиста]]="-","-",IF(OR(База_КР_КК[[#This Row],[Уровень КК]]=2,База_КР_КК[[#This Row],[Уровень КК]]=3),IF(COUNTIFS($U$2:$U1531,$U1531,$F$2:$F1531,$F1531)=1,1,0),IF(COUNTIFS($U$2:$U1531,$U1531,$L$2:$L1531,$L1531)=1,1,0)))</f>
        <v>0</v>
      </c>
      <c r="AA15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1" s="106"/>
      <c r="AC1531" s="51"/>
      <c r="AD1531" s="106" t="s">
        <v>15</v>
      </c>
      <c r="AE1531" s="38" t="s">
        <v>347</v>
      </c>
    </row>
    <row r="1532" spans="1:31" ht="18" customHeight="1" x14ac:dyDescent="0.25">
      <c r="A15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2" s="79">
        <v>4</v>
      </c>
      <c r="C1532" s="23">
        <v>44424</v>
      </c>
      <c r="D1532" s="67">
        <f>IF(COUNTIF($G$2:$G1532,$G1532)=1,1,0)</f>
        <v>0</v>
      </c>
      <c r="E1532" s="67" t="str">
        <f>IFERROR(VLOOKUP(База_КР_КК[[#This Row],[ИД штатной должности (S)]],'уровень защищенности'!$B$7:$F$1095,5,0),"не защищена")</f>
        <v>высокий</v>
      </c>
      <c r="F1532" s="68">
        <v>500455</v>
      </c>
      <c r="G1532" s="74" t="s">
        <v>2492</v>
      </c>
      <c r="H1532" s="181">
        <f>INDEX('Списки данных'!$D$2:$D$1048576,MATCH(База_КР_КК[[#This Row],[Структурное подразделение]],'Списки данных'!$C$2:$C$1048576,0))</f>
        <v>15</v>
      </c>
      <c r="I1532" s="80" t="s">
        <v>161</v>
      </c>
      <c r="J1532" s="80" t="s">
        <v>214</v>
      </c>
      <c r="K1532" s="80" t="s">
        <v>21</v>
      </c>
      <c r="L1532" s="30" t="s">
        <v>191</v>
      </c>
      <c r="M1532" s="68">
        <v>6</v>
      </c>
      <c r="N1532" s="181" t="str">
        <f t="shared" si="24"/>
        <v>нет</v>
      </c>
      <c r="O1532" s="23"/>
      <c r="P1532" s="23"/>
      <c r="Q1532" s="106"/>
      <c r="R1532" s="37">
        <v>323</v>
      </c>
      <c r="S1532" s="38" t="s">
        <v>735</v>
      </c>
      <c r="T1532" s="37">
        <v>1409</v>
      </c>
      <c r="U1532" s="39" t="s">
        <v>1791</v>
      </c>
      <c r="V1532" s="69" t="s">
        <v>272</v>
      </c>
      <c r="W1532" s="89" t="s">
        <v>161</v>
      </c>
      <c r="X1532" s="106" t="s">
        <v>296</v>
      </c>
      <c r="Y1532" s="107" t="s">
        <v>12</v>
      </c>
      <c r="Z1532" s="67">
        <f>IF(База_КР_КК[[#This Row],[Таб.номер резервиста]]="-","-",IF(OR(База_КР_КК[[#This Row],[Уровень КК]]=2,База_КР_КК[[#This Row],[Уровень КК]]=3),IF(COUNTIFS($U$2:$U1532,$U1532,$F$2:$F1532,$F1532)=1,1,0),IF(COUNTIFS($U$2:$U1532,$U1532,$L$2:$L1532,$L1532)=1,1,0)))</f>
        <v>0</v>
      </c>
      <c r="AA15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2" s="106"/>
      <c r="AC1532" s="51"/>
      <c r="AD1532" s="106" t="s">
        <v>15</v>
      </c>
      <c r="AE1532" s="38" t="s">
        <v>347</v>
      </c>
    </row>
    <row r="1533" spans="1:31" ht="18" customHeight="1" x14ac:dyDescent="0.25">
      <c r="A15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3" s="79">
        <v>4</v>
      </c>
      <c r="C1533" s="23">
        <v>44424</v>
      </c>
      <c r="D1533" s="67">
        <f>IF(COUNTIF($G$2:$G1533,$G1533)=1,1,0)</f>
        <v>0</v>
      </c>
      <c r="E1533" s="67" t="str">
        <f>IFERROR(VLOOKUP(База_КР_КК[[#This Row],[ИД штатной должности (S)]],'уровень защищенности'!$B$7:$F$1095,5,0),"не защищена")</f>
        <v>высокий</v>
      </c>
      <c r="F1533" s="68">
        <v>500455</v>
      </c>
      <c r="G1533" s="74" t="s">
        <v>2492</v>
      </c>
      <c r="H1533" s="181">
        <f>INDEX('Списки данных'!$D$2:$D$1048576,MATCH(База_КР_КК[[#This Row],[Структурное подразделение]],'Списки данных'!$C$2:$C$1048576,0))</f>
        <v>15</v>
      </c>
      <c r="I1533" s="80" t="s">
        <v>161</v>
      </c>
      <c r="J1533" s="80" t="s">
        <v>214</v>
      </c>
      <c r="K1533" s="80" t="s">
        <v>21</v>
      </c>
      <c r="L1533" s="30" t="s">
        <v>191</v>
      </c>
      <c r="M1533" s="68">
        <v>6</v>
      </c>
      <c r="N1533" s="181" t="str">
        <f t="shared" si="24"/>
        <v>нет</v>
      </c>
      <c r="O1533" s="23"/>
      <c r="P1533" s="23"/>
      <c r="Q1533" s="106"/>
      <c r="R1533" s="37">
        <v>323</v>
      </c>
      <c r="S1533" s="38" t="s">
        <v>735</v>
      </c>
      <c r="T1533" s="37">
        <v>1410</v>
      </c>
      <c r="U1533" s="39" t="s">
        <v>1792</v>
      </c>
      <c r="V1533" s="69" t="s">
        <v>272</v>
      </c>
      <c r="W1533" s="89" t="s">
        <v>161</v>
      </c>
      <c r="X1533" s="106" t="s">
        <v>295</v>
      </c>
      <c r="Y1533" s="107" t="s">
        <v>12</v>
      </c>
      <c r="Z1533" s="67">
        <f>IF(База_КР_КК[[#This Row],[Таб.номер резервиста]]="-","-",IF(OR(База_КР_КК[[#This Row],[Уровень КК]]=2,База_КР_КК[[#This Row],[Уровень КК]]=3),IF(COUNTIFS($U$2:$U1533,$U1533,$F$2:$F1533,$F1533)=1,1,0),IF(COUNTIFS($U$2:$U1533,$U1533,$L$2:$L1533,$L1533)=1,1,0)))</f>
        <v>0</v>
      </c>
      <c r="AA15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3" s="106"/>
      <c r="AC1533" s="51"/>
      <c r="AD1533" s="106" t="s">
        <v>15</v>
      </c>
      <c r="AE1533" s="38" t="s">
        <v>347</v>
      </c>
    </row>
    <row r="1534" spans="1:31" ht="18" customHeight="1" x14ac:dyDescent="0.25">
      <c r="A15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4" s="79">
        <v>4</v>
      </c>
      <c r="C1534" s="23">
        <v>44424</v>
      </c>
      <c r="D1534" s="67">
        <f>IF(COUNTIF($G$2:$G1534,$G1534)=1,1,0)</f>
        <v>0</v>
      </c>
      <c r="E1534" s="67" t="str">
        <f>IFERROR(VLOOKUP(База_КР_КК[[#This Row],[ИД штатной должности (S)]],'уровень защищенности'!$B$7:$F$1095,5,0),"не защищена")</f>
        <v>высокий</v>
      </c>
      <c r="F1534" s="68">
        <v>500455</v>
      </c>
      <c r="G1534" s="74" t="s">
        <v>2492</v>
      </c>
      <c r="H1534" s="181">
        <f>INDEX('Списки данных'!$D$2:$D$1048576,MATCH(База_КР_КК[[#This Row],[Структурное подразделение]],'Списки данных'!$C$2:$C$1048576,0))</f>
        <v>15</v>
      </c>
      <c r="I1534" s="80" t="s">
        <v>161</v>
      </c>
      <c r="J1534" s="80" t="s">
        <v>214</v>
      </c>
      <c r="K1534" s="80" t="s">
        <v>21</v>
      </c>
      <c r="L1534" s="30" t="s">
        <v>191</v>
      </c>
      <c r="M1534" s="68">
        <v>6</v>
      </c>
      <c r="N1534" s="181" t="str">
        <f t="shared" si="24"/>
        <v>нет</v>
      </c>
      <c r="O1534" s="23"/>
      <c r="P1534" s="23"/>
      <c r="Q1534" s="106"/>
      <c r="R1534" s="37">
        <v>323</v>
      </c>
      <c r="S1534" s="38" t="s">
        <v>735</v>
      </c>
      <c r="T1534" s="37">
        <v>1411</v>
      </c>
      <c r="U1534" s="39" t="s">
        <v>1793</v>
      </c>
      <c r="V1534" s="69" t="s">
        <v>272</v>
      </c>
      <c r="W1534" s="89" t="s">
        <v>161</v>
      </c>
      <c r="X1534" s="106" t="s">
        <v>295</v>
      </c>
      <c r="Y1534" s="107" t="s">
        <v>12</v>
      </c>
      <c r="Z1534" s="67">
        <f>IF(База_КР_КК[[#This Row],[Таб.номер резервиста]]="-","-",IF(OR(База_КР_КК[[#This Row],[Уровень КК]]=2,База_КР_КК[[#This Row],[Уровень КК]]=3),IF(COUNTIFS($U$2:$U1534,$U1534,$F$2:$F1534,$F1534)=1,1,0),IF(COUNTIFS($U$2:$U1534,$U1534,$L$2:$L1534,$L1534)=1,1,0)))</f>
        <v>0</v>
      </c>
      <c r="AA15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4" s="106"/>
      <c r="AC1534" s="51"/>
      <c r="AD1534" s="106" t="s">
        <v>15</v>
      </c>
      <c r="AE1534" s="38" t="s">
        <v>347</v>
      </c>
    </row>
    <row r="1535" spans="1:31" ht="18" customHeight="1" x14ac:dyDescent="0.25">
      <c r="A15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5" s="79">
        <v>4</v>
      </c>
      <c r="C1535" s="23">
        <v>44424</v>
      </c>
      <c r="D1535" s="67">
        <f>IF(COUNTIF($G$2:$G1535,$G1535)=1,1,0)</f>
        <v>0</v>
      </c>
      <c r="E1535" s="67" t="str">
        <f>IFERROR(VLOOKUP(База_КР_КК[[#This Row],[ИД штатной должности (S)]],'уровень защищенности'!$B$7:$F$1095,5,0),"не защищена")</f>
        <v>высокий</v>
      </c>
      <c r="F1535" s="68">
        <v>500455</v>
      </c>
      <c r="G1535" s="74" t="s">
        <v>2492</v>
      </c>
      <c r="H1535" s="181">
        <f>INDEX('Списки данных'!$D$2:$D$1048576,MATCH(База_КР_КК[[#This Row],[Структурное подразделение]],'Списки данных'!$C$2:$C$1048576,0))</f>
        <v>15</v>
      </c>
      <c r="I1535" s="80" t="s">
        <v>161</v>
      </c>
      <c r="J1535" s="80" t="s">
        <v>214</v>
      </c>
      <c r="K1535" s="80" t="s">
        <v>21</v>
      </c>
      <c r="L1535" s="30" t="s">
        <v>191</v>
      </c>
      <c r="M1535" s="68">
        <v>6</v>
      </c>
      <c r="N1535" s="181" t="str">
        <f t="shared" si="24"/>
        <v>нет</v>
      </c>
      <c r="O1535" s="23"/>
      <c r="P1535" s="23"/>
      <c r="Q1535" s="106"/>
      <c r="R1535" s="37">
        <v>323</v>
      </c>
      <c r="S1535" s="38" t="s">
        <v>735</v>
      </c>
      <c r="T1535" s="37">
        <v>1412</v>
      </c>
      <c r="U1535" s="39" t="s">
        <v>1794</v>
      </c>
      <c r="V1535" s="69" t="s">
        <v>272</v>
      </c>
      <c r="W1535" s="89" t="s">
        <v>161</v>
      </c>
      <c r="X1535" s="106" t="s">
        <v>295</v>
      </c>
      <c r="Y1535" s="107" t="s">
        <v>12</v>
      </c>
      <c r="Z1535" s="67">
        <f>IF(База_КР_КК[[#This Row],[Таб.номер резервиста]]="-","-",IF(OR(База_КР_КК[[#This Row],[Уровень КК]]=2,База_КР_КК[[#This Row],[Уровень КК]]=3),IF(COUNTIFS($U$2:$U1535,$U1535,$F$2:$F1535,$F1535)=1,1,0),IF(COUNTIFS($U$2:$U1535,$U1535,$L$2:$L1535,$L1535)=1,1,0)))</f>
        <v>0</v>
      </c>
      <c r="AA15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5" s="106"/>
      <c r="AC1535" s="51"/>
      <c r="AD1535" s="106" t="s">
        <v>15</v>
      </c>
      <c r="AE1535" s="38" t="s">
        <v>347</v>
      </c>
    </row>
    <row r="1536" spans="1:31" ht="18" customHeight="1" x14ac:dyDescent="0.25">
      <c r="A15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6" s="79">
        <v>4</v>
      </c>
      <c r="C1536" s="23">
        <v>44424</v>
      </c>
      <c r="D1536" s="67">
        <f>IF(COUNTIF($G$2:$G1536,$G1536)=1,1,0)</f>
        <v>0</v>
      </c>
      <c r="E1536" s="67" t="str">
        <f>IFERROR(VLOOKUP(База_КР_КК[[#This Row],[ИД штатной должности (S)]],'уровень защищенности'!$B$7:$F$1095,5,0),"не защищена")</f>
        <v>высокий</v>
      </c>
      <c r="F1536" s="68">
        <v>500455</v>
      </c>
      <c r="G1536" s="74" t="s">
        <v>2492</v>
      </c>
      <c r="H1536" s="181">
        <f>INDEX('Списки данных'!$D$2:$D$1048576,MATCH(База_КР_КК[[#This Row],[Структурное подразделение]],'Списки данных'!$C$2:$C$1048576,0))</f>
        <v>15</v>
      </c>
      <c r="I1536" s="80" t="s">
        <v>161</v>
      </c>
      <c r="J1536" s="80" t="s">
        <v>214</v>
      </c>
      <c r="K1536" s="80" t="s">
        <v>21</v>
      </c>
      <c r="L1536" s="30" t="s">
        <v>191</v>
      </c>
      <c r="M1536" s="68">
        <v>6</v>
      </c>
      <c r="N1536" s="181" t="str">
        <f t="shared" si="24"/>
        <v>нет</v>
      </c>
      <c r="O1536" s="23"/>
      <c r="P1536" s="23"/>
      <c r="Q1536" s="106"/>
      <c r="R1536" s="37">
        <v>323</v>
      </c>
      <c r="S1536" s="38" t="s">
        <v>735</v>
      </c>
      <c r="T1536" s="37">
        <v>1413</v>
      </c>
      <c r="U1536" s="39" t="s">
        <v>1795</v>
      </c>
      <c r="V1536" s="69" t="s">
        <v>272</v>
      </c>
      <c r="W1536" s="89" t="s">
        <v>161</v>
      </c>
      <c r="X1536" s="106" t="s">
        <v>295</v>
      </c>
      <c r="Y1536" s="107" t="s">
        <v>12</v>
      </c>
      <c r="Z1536" s="67">
        <f>IF(База_КР_КК[[#This Row],[Таб.номер резервиста]]="-","-",IF(OR(База_КР_КК[[#This Row],[Уровень КК]]=2,База_КР_КК[[#This Row],[Уровень КК]]=3),IF(COUNTIFS($U$2:$U1536,$U1536,$F$2:$F1536,$F1536)=1,1,0),IF(COUNTIFS($U$2:$U1536,$U1536,$L$2:$L1536,$L1536)=1,1,0)))</f>
        <v>0</v>
      </c>
      <c r="AA15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6" s="106"/>
      <c r="AC1536" s="51"/>
      <c r="AD1536" s="106" t="s">
        <v>15</v>
      </c>
      <c r="AE1536" s="38" t="s">
        <v>347</v>
      </c>
    </row>
    <row r="1537" spans="1:31" ht="18" customHeight="1" x14ac:dyDescent="0.25">
      <c r="A15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7" s="79">
        <v>4</v>
      </c>
      <c r="C1537" s="23">
        <v>44424</v>
      </c>
      <c r="D1537" s="67">
        <f>IF(COUNTIF($G$2:$G1537,$G1537)=1,1,0)</f>
        <v>0</v>
      </c>
      <c r="E1537" s="67" t="str">
        <f>IFERROR(VLOOKUP(База_КР_КК[[#This Row],[ИД штатной должности (S)]],'уровень защищенности'!$B$7:$F$1095,5,0),"не защищена")</f>
        <v>высокий</v>
      </c>
      <c r="F1537" s="68">
        <v>500455</v>
      </c>
      <c r="G1537" s="74" t="s">
        <v>2492</v>
      </c>
      <c r="H1537" s="181">
        <f>INDEX('Списки данных'!$D$2:$D$1048576,MATCH(База_КР_КК[[#This Row],[Структурное подразделение]],'Списки данных'!$C$2:$C$1048576,0))</f>
        <v>15</v>
      </c>
      <c r="I1537" s="80" t="s">
        <v>161</v>
      </c>
      <c r="J1537" s="80" t="s">
        <v>214</v>
      </c>
      <c r="K1537" s="80" t="s">
        <v>21</v>
      </c>
      <c r="L1537" s="30" t="s">
        <v>191</v>
      </c>
      <c r="M1537" s="68">
        <v>6</v>
      </c>
      <c r="N1537" s="181" t="str">
        <f t="shared" ref="N1537:N1600" si="25">IF(ISBLANK(O1537),"нет","да")</f>
        <v>нет</v>
      </c>
      <c r="O1537" s="23"/>
      <c r="P1537" s="23"/>
      <c r="Q1537" s="106"/>
      <c r="R1537" s="37">
        <v>323</v>
      </c>
      <c r="S1537" s="38" t="s">
        <v>735</v>
      </c>
      <c r="T1537" s="37">
        <v>1414</v>
      </c>
      <c r="U1537" s="39" t="s">
        <v>1796</v>
      </c>
      <c r="V1537" s="69" t="s">
        <v>272</v>
      </c>
      <c r="W1537" s="89" t="s">
        <v>161</v>
      </c>
      <c r="X1537" s="106" t="s">
        <v>296</v>
      </c>
      <c r="Y1537" s="107" t="s">
        <v>12</v>
      </c>
      <c r="Z1537" s="67">
        <f>IF(База_КР_КК[[#This Row],[Таб.номер резервиста]]="-","-",IF(OR(База_КР_КК[[#This Row],[Уровень КК]]=2,База_КР_КК[[#This Row],[Уровень КК]]=3),IF(COUNTIFS($U$2:$U1537,$U1537,$F$2:$F1537,$F1537)=1,1,0),IF(COUNTIFS($U$2:$U1537,$U1537,$L$2:$L1537,$L1537)=1,1,0)))</f>
        <v>0</v>
      </c>
      <c r="AA15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7" s="106"/>
      <c r="AC1537" s="51"/>
      <c r="AD1537" s="106" t="s">
        <v>15</v>
      </c>
      <c r="AE1537" s="38" t="s">
        <v>347</v>
      </c>
    </row>
    <row r="1538" spans="1:31" ht="18" customHeight="1" x14ac:dyDescent="0.25">
      <c r="A15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8" s="79">
        <v>4</v>
      </c>
      <c r="C1538" s="23">
        <v>44424</v>
      </c>
      <c r="D1538" s="67">
        <f>IF(COUNTIF($G$2:$G1538,$G1538)=1,1,0)</f>
        <v>0</v>
      </c>
      <c r="E1538" s="67" t="str">
        <f>IFERROR(VLOOKUP(База_КР_КК[[#This Row],[ИД штатной должности (S)]],'уровень защищенности'!$B$7:$F$1095,5,0),"не защищена")</f>
        <v>высокий</v>
      </c>
      <c r="F1538" s="68">
        <v>500455</v>
      </c>
      <c r="G1538" s="74" t="s">
        <v>2492</v>
      </c>
      <c r="H1538" s="181">
        <f>INDEX('Списки данных'!$D$2:$D$1048576,MATCH(База_КР_КК[[#This Row],[Структурное подразделение]],'Списки данных'!$C$2:$C$1048576,0))</f>
        <v>15</v>
      </c>
      <c r="I1538" s="80" t="s">
        <v>161</v>
      </c>
      <c r="J1538" s="80" t="s">
        <v>214</v>
      </c>
      <c r="K1538" s="80" t="s">
        <v>21</v>
      </c>
      <c r="L1538" s="30" t="s">
        <v>191</v>
      </c>
      <c r="M1538" s="68">
        <v>6</v>
      </c>
      <c r="N1538" s="181" t="str">
        <f t="shared" si="25"/>
        <v>нет</v>
      </c>
      <c r="O1538" s="23"/>
      <c r="P1538" s="23"/>
      <c r="Q1538" s="106"/>
      <c r="R1538" s="37">
        <v>323</v>
      </c>
      <c r="S1538" s="38" t="s">
        <v>735</v>
      </c>
      <c r="T1538" s="37">
        <v>1415</v>
      </c>
      <c r="U1538" s="39" t="s">
        <v>1797</v>
      </c>
      <c r="V1538" s="69" t="s">
        <v>272</v>
      </c>
      <c r="W1538" s="89" t="s">
        <v>161</v>
      </c>
      <c r="X1538" s="106" t="s">
        <v>295</v>
      </c>
      <c r="Y1538" s="107" t="s">
        <v>12</v>
      </c>
      <c r="Z1538" s="67">
        <f>IF(База_КР_КК[[#This Row],[Таб.номер резервиста]]="-","-",IF(OR(База_КР_КК[[#This Row],[Уровень КК]]=2,База_КР_КК[[#This Row],[Уровень КК]]=3),IF(COUNTIFS($U$2:$U1538,$U1538,$F$2:$F1538,$F1538)=1,1,0),IF(COUNTIFS($U$2:$U1538,$U1538,$L$2:$L1538,$L1538)=1,1,0)))</f>
        <v>0</v>
      </c>
      <c r="AA15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8" s="106"/>
      <c r="AC1538" s="51"/>
      <c r="AD1538" s="106" t="s">
        <v>15</v>
      </c>
      <c r="AE1538" s="38" t="s">
        <v>347</v>
      </c>
    </row>
    <row r="1539" spans="1:31" ht="18" customHeight="1" x14ac:dyDescent="0.25">
      <c r="A15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39" s="79">
        <v>4</v>
      </c>
      <c r="C1539" s="23">
        <v>44424</v>
      </c>
      <c r="D1539" s="67">
        <f>IF(COUNTIF($G$2:$G1539,$G1539)=1,1,0)</f>
        <v>0</v>
      </c>
      <c r="E1539" s="67" t="str">
        <f>IFERROR(VLOOKUP(База_КР_КК[[#This Row],[ИД штатной должности (S)]],'уровень защищенности'!$B$7:$F$1095,5,0),"не защищена")</f>
        <v>высокий</v>
      </c>
      <c r="F1539" s="68">
        <v>500455</v>
      </c>
      <c r="G1539" s="74" t="s">
        <v>2492</v>
      </c>
      <c r="H1539" s="181">
        <f>INDEX('Списки данных'!$D$2:$D$1048576,MATCH(База_КР_КК[[#This Row],[Структурное подразделение]],'Списки данных'!$C$2:$C$1048576,0))</f>
        <v>15</v>
      </c>
      <c r="I1539" s="80" t="s">
        <v>161</v>
      </c>
      <c r="J1539" s="80" t="s">
        <v>214</v>
      </c>
      <c r="K1539" s="80" t="s">
        <v>21</v>
      </c>
      <c r="L1539" s="30" t="s">
        <v>191</v>
      </c>
      <c r="M1539" s="68">
        <v>7</v>
      </c>
      <c r="N1539" s="181" t="str">
        <f t="shared" si="25"/>
        <v>нет</v>
      </c>
      <c r="O1539" s="23"/>
      <c r="P1539" s="23"/>
      <c r="Q1539" s="106"/>
      <c r="R1539" s="37">
        <v>323</v>
      </c>
      <c r="S1539" s="38" t="s">
        <v>735</v>
      </c>
      <c r="T1539" s="37">
        <v>322</v>
      </c>
      <c r="U1539" s="39" t="s">
        <v>734</v>
      </c>
      <c r="V1539" s="69" t="s">
        <v>272</v>
      </c>
      <c r="W1539" s="89" t="s">
        <v>161</v>
      </c>
      <c r="X1539" s="106" t="s">
        <v>295</v>
      </c>
      <c r="Y1539" s="107" t="s">
        <v>14</v>
      </c>
      <c r="Z1539" s="67">
        <f>IF(База_КР_КК[[#This Row],[Таб.номер резервиста]]="-","-",IF(OR(База_КР_КК[[#This Row],[Уровень КК]]=2,База_КР_КК[[#This Row],[Уровень КК]]=3),IF(COUNTIFS($U$2:$U1539,$U1539,$F$2:$F1539,$F1539)=1,1,0),IF(COUNTIFS($U$2:$U1539,$U1539,$L$2:$L1539,$L1539)=1,1,0)))</f>
        <v>0</v>
      </c>
      <c r="AA15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39" s="106" t="s">
        <v>24</v>
      </c>
      <c r="AC1539" s="51">
        <v>44986</v>
      </c>
      <c r="AD1539" s="106" t="s">
        <v>15</v>
      </c>
      <c r="AE1539" s="38" t="s">
        <v>347</v>
      </c>
    </row>
    <row r="1540" spans="1:31" ht="18" customHeight="1" x14ac:dyDescent="0.25">
      <c r="A15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0" s="79">
        <v>4</v>
      </c>
      <c r="C1540" s="23">
        <v>44424</v>
      </c>
      <c r="D1540" s="67">
        <f>IF(COUNTIF($G$2:$G1540,$G1540)=1,1,0)</f>
        <v>0</v>
      </c>
      <c r="E1540" s="67" t="str">
        <f>IFERROR(VLOOKUP(База_КР_КК[[#This Row],[ИД штатной должности (S)]],'уровень защищенности'!$B$7:$F$1095,5,0),"не защищена")</f>
        <v>высокий</v>
      </c>
      <c r="F1540" s="68">
        <v>500455</v>
      </c>
      <c r="G1540" s="74" t="s">
        <v>2492</v>
      </c>
      <c r="H1540" s="181">
        <f>INDEX('Списки данных'!$D$2:$D$1048576,MATCH(База_КР_КК[[#This Row],[Структурное подразделение]],'Списки данных'!$C$2:$C$1048576,0))</f>
        <v>15</v>
      </c>
      <c r="I1540" s="80" t="s">
        <v>161</v>
      </c>
      <c r="J1540" s="80" t="s">
        <v>214</v>
      </c>
      <c r="K1540" s="80" t="s">
        <v>21</v>
      </c>
      <c r="L1540" s="30" t="s">
        <v>191</v>
      </c>
      <c r="M1540" s="68">
        <v>7</v>
      </c>
      <c r="N1540" s="181" t="str">
        <f t="shared" si="25"/>
        <v>нет</v>
      </c>
      <c r="O1540" s="23"/>
      <c r="P1540" s="23"/>
      <c r="Q1540" s="106"/>
      <c r="R1540" s="37">
        <v>323</v>
      </c>
      <c r="S1540" s="38" t="s">
        <v>735</v>
      </c>
      <c r="T1540" s="37">
        <v>1416</v>
      </c>
      <c r="U1540" s="39" t="s">
        <v>1798</v>
      </c>
      <c r="V1540" s="69" t="s">
        <v>272</v>
      </c>
      <c r="W1540" s="89" t="s">
        <v>161</v>
      </c>
      <c r="X1540" s="106" t="s">
        <v>295</v>
      </c>
      <c r="Y1540" s="107" t="s">
        <v>18</v>
      </c>
      <c r="Z1540" s="67">
        <f>IF(База_КР_КК[[#This Row],[Таб.номер резервиста]]="-","-",IF(OR(База_КР_КК[[#This Row],[Уровень КК]]=2,База_КР_КК[[#This Row],[Уровень КК]]=3),IF(COUNTIFS($U$2:$U1540,$U1540,$F$2:$F1540,$F1540)=1,1,0),IF(COUNTIFS($U$2:$U1540,$U1540,$L$2:$L1540,$L1540)=1,1,0)))</f>
        <v>0</v>
      </c>
      <c r="AA15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0" s="106" t="s">
        <v>33</v>
      </c>
      <c r="AC1540" s="51">
        <v>44551</v>
      </c>
      <c r="AD1540" s="106" t="s">
        <v>15</v>
      </c>
      <c r="AE1540" s="38" t="s">
        <v>347</v>
      </c>
    </row>
    <row r="1541" spans="1:31" ht="18" customHeight="1" x14ac:dyDescent="0.25">
      <c r="A15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1" s="79">
        <v>3</v>
      </c>
      <c r="C1541" s="23">
        <v>43425</v>
      </c>
      <c r="D1541" s="67">
        <f>IF(COUNTIF($G$2:$G1541,$G1541)=1,1,0)</f>
        <v>1</v>
      </c>
      <c r="E1541" s="67" t="str">
        <f>IFERROR(VLOOKUP(База_КР_КК[[#This Row],[ИД штатной должности (S)]],'уровень защищенности'!$B$7:$F$1095,5,0),"не защищена")</f>
        <v>высокий</v>
      </c>
      <c r="F1541" s="68">
        <v>500456</v>
      </c>
      <c r="G1541" s="74" t="s">
        <v>2493</v>
      </c>
      <c r="H1541" s="181">
        <f>INDEX('Списки данных'!$D$2:$D$1048576,MATCH(База_КР_КК[[#This Row],[Структурное подразделение]],'Списки данных'!$C$2:$C$1048576,0))</f>
        <v>15</v>
      </c>
      <c r="I1541" s="80" t="s">
        <v>161</v>
      </c>
      <c r="J1541" s="80" t="s">
        <v>214</v>
      </c>
      <c r="K1541" s="80" t="s">
        <v>21</v>
      </c>
      <c r="L1541" s="30" t="s">
        <v>186</v>
      </c>
      <c r="M1541" s="68">
        <v>5</v>
      </c>
      <c r="N1541" s="181" t="str">
        <f t="shared" si="25"/>
        <v>нет</v>
      </c>
      <c r="O1541" s="23"/>
      <c r="P1541" s="23"/>
      <c r="Q1541" s="106"/>
      <c r="R1541" s="37">
        <v>324</v>
      </c>
      <c r="S1541" s="38" t="s">
        <v>736</v>
      </c>
      <c r="T1541" s="37">
        <v>328</v>
      </c>
      <c r="U1541" s="39" t="s">
        <v>740</v>
      </c>
      <c r="V1541" s="89" t="s">
        <v>192</v>
      </c>
      <c r="W1541" s="89" t="s">
        <v>161</v>
      </c>
      <c r="X1541" s="106" t="s">
        <v>295</v>
      </c>
      <c r="Y1541" s="107" t="s">
        <v>12</v>
      </c>
      <c r="Z1541" s="67">
        <f>IF(База_КР_КК[[#This Row],[Таб.номер резервиста]]="-","-",IF(OR(База_КР_КК[[#This Row],[Уровень КК]]=2,База_КР_КК[[#This Row],[Уровень КК]]=3),IF(COUNTIFS($U$2:$U1541,$U1541,$F$2:$F1541,$F1541)=1,1,0),IF(COUNTIFS($U$2:$U1541,$U1541,$L$2:$L1541,$L1541)=1,1,0)))</f>
        <v>1</v>
      </c>
      <c r="AA15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1" s="106"/>
      <c r="AC1541" s="51"/>
      <c r="AD1541" s="106" t="s">
        <v>13</v>
      </c>
      <c r="AE1541" s="38" t="s">
        <v>345</v>
      </c>
    </row>
    <row r="1542" spans="1:31" ht="18" customHeight="1" x14ac:dyDescent="0.25">
      <c r="A15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2" s="79">
        <v>3</v>
      </c>
      <c r="C1542" s="23">
        <v>43425</v>
      </c>
      <c r="D1542" s="67">
        <f>IF(COUNTIF($G$2:$G1542,$G1542)=1,1,0)</f>
        <v>0</v>
      </c>
      <c r="E1542" s="67" t="str">
        <f>IFERROR(VLOOKUP(База_КР_КК[[#This Row],[ИД штатной должности (S)]],'уровень защищенности'!$B$7:$F$1095,5,0),"не защищена")</f>
        <v>высокий</v>
      </c>
      <c r="F1542" s="68">
        <v>500456</v>
      </c>
      <c r="G1542" s="74" t="s">
        <v>2493</v>
      </c>
      <c r="H1542" s="181">
        <f>INDEX('Списки данных'!$D$2:$D$1048576,MATCH(База_КР_КК[[#This Row],[Структурное подразделение]],'Списки данных'!$C$2:$C$1048576,0))</f>
        <v>15</v>
      </c>
      <c r="I1542" s="80" t="s">
        <v>161</v>
      </c>
      <c r="J1542" s="80" t="s">
        <v>214</v>
      </c>
      <c r="K1542" s="80" t="s">
        <v>21</v>
      </c>
      <c r="L1542" s="30" t="s">
        <v>186</v>
      </c>
      <c r="M1542" s="68">
        <v>5</v>
      </c>
      <c r="N1542" s="181" t="str">
        <f t="shared" si="25"/>
        <v>нет</v>
      </c>
      <c r="O1542" s="23"/>
      <c r="P1542" s="23"/>
      <c r="Q1542" s="106"/>
      <c r="R1542" s="37">
        <v>324</v>
      </c>
      <c r="S1542" s="38" t="s">
        <v>736</v>
      </c>
      <c r="T1542" s="37">
        <v>327</v>
      </c>
      <c r="U1542" s="39" t="s">
        <v>739</v>
      </c>
      <c r="V1542" s="89" t="s">
        <v>192</v>
      </c>
      <c r="W1542" s="89" t="s">
        <v>161</v>
      </c>
      <c r="X1542" s="106" t="s">
        <v>295</v>
      </c>
      <c r="Y1542" s="107" t="s">
        <v>12</v>
      </c>
      <c r="Z1542" s="67">
        <f>IF(База_КР_КК[[#This Row],[Таб.номер резервиста]]="-","-",IF(OR(База_КР_КК[[#This Row],[Уровень КК]]=2,База_КР_КК[[#This Row],[Уровень КК]]=3),IF(COUNTIFS($U$2:$U1542,$U1542,$F$2:$F1542,$F1542)=1,1,0),IF(COUNTIFS($U$2:$U1542,$U1542,$L$2:$L1542,$L1542)=1,1,0)))</f>
        <v>1</v>
      </c>
      <c r="AA15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2" s="106"/>
      <c r="AC1542" s="51"/>
      <c r="AD1542" s="106" t="s">
        <v>13</v>
      </c>
      <c r="AE1542" s="38" t="s">
        <v>345</v>
      </c>
    </row>
    <row r="1543" spans="1:31" ht="18" customHeight="1" x14ac:dyDescent="0.25">
      <c r="A15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3" s="79">
        <v>4</v>
      </c>
      <c r="C1543" s="23">
        <v>44424</v>
      </c>
      <c r="D1543" s="67">
        <f>IF(COUNTIF($G$2:$G1543,$G1543)=1,1,0)</f>
        <v>1</v>
      </c>
      <c r="E1543" s="67" t="str">
        <f>IFERROR(VLOOKUP(База_КР_КК[[#This Row],[ИД штатной должности (S)]],'уровень защищенности'!$B$7:$F$1095,5,0),"не защищена")</f>
        <v>высокий</v>
      </c>
      <c r="F1543" s="68">
        <v>500457</v>
      </c>
      <c r="G1543" s="74" t="s">
        <v>2494</v>
      </c>
      <c r="H1543" s="181">
        <f>INDEX('Списки данных'!$D$2:$D$1048576,MATCH(База_КР_КК[[#This Row],[Структурное подразделение]],'Списки данных'!$C$2:$C$1048576,0))</f>
        <v>15</v>
      </c>
      <c r="I1543" s="80" t="s">
        <v>161</v>
      </c>
      <c r="J1543" s="80" t="s">
        <v>214</v>
      </c>
      <c r="K1543" s="80" t="s">
        <v>21</v>
      </c>
      <c r="L1543" s="30" t="s">
        <v>191</v>
      </c>
      <c r="M1543" s="68">
        <v>7</v>
      </c>
      <c r="N1543" s="181" t="str">
        <f t="shared" si="25"/>
        <v>нет</v>
      </c>
      <c r="O1543" s="23"/>
      <c r="P1543" s="23"/>
      <c r="Q1543" s="106"/>
      <c r="R1543" s="37">
        <v>325</v>
      </c>
      <c r="S1543" s="38" t="s">
        <v>737</v>
      </c>
      <c r="T1543" s="37">
        <v>1418</v>
      </c>
      <c r="U1543" s="39" t="s">
        <v>1799</v>
      </c>
      <c r="V1543" s="69" t="s">
        <v>272</v>
      </c>
      <c r="W1543" s="89" t="s">
        <v>161</v>
      </c>
      <c r="X1543" s="106" t="s">
        <v>296</v>
      </c>
      <c r="Y1543" s="107" t="s">
        <v>12</v>
      </c>
      <c r="Z1543" s="67">
        <f>IF(База_КР_КК[[#This Row],[Таб.номер резервиста]]="-","-",IF(OR(База_КР_КК[[#This Row],[Уровень КК]]=2,База_КР_КК[[#This Row],[Уровень КК]]=3),IF(COUNTIFS($U$2:$U1543,$U1543,$F$2:$F1543,$F1543)=1,1,0),IF(COUNTIFS($U$2:$U1543,$U1543,$L$2:$L1543,$L1543)=1,1,0)))</f>
        <v>1</v>
      </c>
      <c r="AA15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3" s="106"/>
      <c r="AC1543" s="51"/>
      <c r="AD1543" s="106" t="s">
        <v>15</v>
      </c>
      <c r="AE1543" s="38" t="s">
        <v>347</v>
      </c>
    </row>
    <row r="1544" spans="1:31" ht="18" customHeight="1" x14ac:dyDescent="0.25">
      <c r="A15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4" s="79">
        <v>4</v>
      </c>
      <c r="C1544" s="23">
        <v>44424</v>
      </c>
      <c r="D1544" s="67">
        <f>IF(COUNTIF($G$2:$G1544,$G1544)=1,1,0)</f>
        <v>0</v>
      </c>
      <c r="E1544" s="67" t="str">
        <f>IFERROR(VLOOKUP(База_КР_КК[[#This Row],[ИД штатной должности (S)]],'уровень защищенности'!$B$7:$F$1095,5,0),"не защищена")</f>
        <v>высокий</v>
      </c>
      <c r="F1544" s="68">
        <v>500457</v>
      </c>
      <c r="G1544" s="74" t="s">
        <v>2494</v>
      </c>
      <c r="H1544" s="181">
        <f>INDEX('Списки данных'!$D$2:$D$1048576,MATCH(База_КР_КК[[#This Row],[Структурное подразделение]],'Списки данных'!$C$2:$C$1048576,0))</f>
        <v>15</v>
      </c>
      <c r="I1544" s="80" t="s">
        <v>161</v>
      </c>
      <c r="J1544" s="80" t="s">
        <v>214</v>
      </c>
      <c r="K1544" s="80" t="s">
        <v>21</v>
      </c>
      <c r="L1544" s="30" t="s">
        <v>191</v>
      </c>
      <c r="M1544" s="68">
        <v>7</v>
      </c>
      <c r="N1544" s="181" t="str">
        <f t="shared" si="25"/>
        <v>нет</v>
      </c>
      <c r="O1544" s="23"/>
      <c r="P1544" s="23"/>
      <c r="Q1544" s="106"/>
      <c r="R1544" s="37">
        <v>325</v>
      </c>
      <c r="S1544" s="38" t="s">
        <v>737</v>
      </c>
      <c r="T1544" s="37">
        <v>1419</v>
      </c>
      <c r="U1544" s="39" t="s">
        <v>1800</v>
      </c>
      <c r="V1544" s="69" t="s">
        <v>272</v>
      </c>
      <c r="W1544" s="89" t="s">
        <v>161</v>
      </c>
      <c r="X1544" s="106" t="s">
        <v>296</v>
      </c>
      <c r="Y1544" s="107" t="s">
        <v>12</v>
      </c>
      <c r="Z1544" s="67">
        <f>IF(База_КР_КК[[#This Row],[Таб.номер резервиста]]="-","-",IF(OR(База_КР_КК[[#This Row],[Уровень КК]]=2,База_КР_КК[[#This Row],[Уровень КК]]=3),IF(COUNTIFS($U$2:$U1544,$U1544,$F$2:$F1544,$F1544)=1,1,0),IF(COUNTIFS($U$2:$U1544,$U1544,$L$2:$L1544,$L1544)=1,1,0)))</f>
        <v>1</v>
      </c>
      <c r="AA15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4" s="106"/>
      <c r="AC1544" s="51"/>
      <c r="AD1544" s="106" t="s">
        <v>15</v>
      </c>
      <c r="AE1544" s="38" t="s">
        <v>347</v>
      </c>
    </row>
    <row r="1545" spans="1:31" ht="18" customHeight="1" x14ac:dyDescent="0.25">
      <c r="A15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5" s="79">
        <v>4</v>
      </c>
      <c r="C1545" s="23">
        <v>44424</v>
      </c>
      <c r="D1545" s="67">
        <f>IF(COUNTIF($G$2:$G1545,$G1545)=1,1,0)</f>
        <v>0</v>
      </c>
      <c r="E1545" s="67" t="str">
        <f>IFERROR(VLOOKUP(База_КР_КК[[#This Row],[ИД штатной должности (S)]],'уровень защищенности'!$B$7:$F$1095,5,0),"не защищена")</f>
        <v>высокий</v>
      </c>
      <c r="F1545" s="68">
        <v>500457</v>
      </c>
      <c r="G1545" s="74" t="s">
        <v>2494</v>
      </c>
      <c r="H1545" s="181">
        <f>INDEX('Списки данных'!$D$2:$D$1048576,MATCH(База_КР_КК[[#This Row],[Структурное подразделение]],'Списки данных'!$C$2:$C$1048576,0))</f>
        <v>15</v>
      </c>
      <c r="I1545" s="80" t="s">
        <v>161</v>
      </c>
      <c r="J1545" s="80" t="s">
        <v>214</v>
      </c>
      <c r="K1545" s="80" t="s">
        <v>21</v>
      </c>
      <c r="L1545" s="30" t="s">
        <v>191</v>
      </c>
      <c r="M1545" s="68">
        <v>7</v>
      </c>
      <c r="N1545" s="181" t="str">
        <f t="shared" si="25"/>
        <v>нет</v>
      </c>
      <c r="O1545" s="23"/>
      <c r="P1545" s="23"/>
      <c r="Q1545" s="106"/>
      <c r="R1545" s="37">
        <v>325</v>
      </c>
      <c r="S1545" s="38" t="s">
        <v>737</v>
      </c>
      <c r="T1545" s="37">
        <v>1420</v>
      </c>
      <c r="U1545" s="39" t="s">
        <v>1801</v>
      </c>
      <c r="V1545" s="69" t="s">
        <v>272</v>
      </c>
      <c r="W1545" s="89" t="s">
        <v>161</v>
      </c>
      <c r="X1545" s="106" t="s">
        <v>295</v>
      </c>
      <c r="Y1545" s="107" t="s">
        <v>12</v>
      </c>
      <c r="Z1545" s="67">
        <f>IF(База_КР_КК[[#This Row],[Таб.номер резервиста]]="-","-",IF(OR(База_КР_КК[[#This Row],[Уровень КК]]=2,База_КР_КК[[#This Row],[Уровень КК]]=3),IF(COUNTIFS($U$2:$U1545,$U1545,$F$2:$F1545,$F1545)=1,1,0),IF(COUNTIFS($U$2:$U1545,$U1545,$L$2:$L1545,$L1545)=1,1,0)))</f>
        <v>1</v>
      </c>
      <c r="AA15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5" s="106"/>
      <c r="AC1545" s="51"/>
      <c r="AD1545" s="106" t="s">
        <v>15</v>
      </c>
      <c r="AE1545" s="38" t="s">
        <v>347</v>
      </c>
    </row>
    <row r="1546" spans="1:31" ht="18" customHeight="1" x14ac:dyDescent="0.25">
      <c r="A15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6" s="79">
        <v>4</v>
      </c>
      <c r="C1546" s="23">
        <v>44424</v>
      </c>
      <c r="D1546" s="67">
        <f>IF(COUNTIF($G$2:$G1546,$G1546)=1,1,0)</f>
        <v>0</v>
      </c>
      <c r="E1546" s="67" t="str">
        <f>IFERROR(VLOOKUP(База_КР_КК[[#This Row],[ИД штатной должности (S)]],'уровень защищенности'!$B$7:$F$1095,5,0),"не защищена")</f>
        <v>высокий</v>
      </c>
      <c r="F1546" s="68">
        <v>500457</v>
      </c>
      <c r="G1546" s="74" t="s">
        <v>2494</v>
      </c>
      <c r="H1546" s="181">
        <f>INDEX('Списки данных'!$D$2:$D$1048576,MATCH(База_КР_КК[[#This Row],[Структурное подразделение]],'Списки данных'!$C$2:$C$1048576,0))</f>
        <v>15</v>
      </c>
      <c r="I1546" s="80" t="s">
        <v>161</v>
      </c>
      <c r="J1546" s="80" t="s">
        <v>214</v>
      </c>
      <c r="K1546" s="80" t="s">
        <v>21</v>
      </c>
      <c r="L1546" s="30" t="s">
        <v>191</v>
      </c>
      <c r="M1546" s="68">
        <v>7</v>
      </c>
      <c r="N1546" s="181" t="str">
        <f t="shared" si="25"/>
        <v>нет</v>
      </c>
      <c r="O1546" s="23"/>
      <c r="P1546" s="23"/>
      <c r="Q1546" s="106"/>
      <c r="R1546" s="37">
        <v>325</v>
      </c>
      <c r="S1546" s="38" t="s">
        <v>737</v>
      </c>
      <c r="T1546" s="37">
        <v>1421</v>
      </c>
      <c r="U1546" s="39" t="s">
        <v>1674</v>
      </c>
      <c r="V1546" s="69" t="s">
        <v>272</v>
      </c>
      <c r="W1546" s="89" t="s">
        <v>161</v>
      </c>
      <c r="X1546" s="106" t="s">
        <v>295</v>
      </c>
      <c r="Y1546" s="107" t="s">
        <v>12</v>
      </c>
      <c r="Z1546" s="67">
        <f>IF(База_КР_КК[[#This Row],[Таб.номер резервиста]]="-","-",IF(OR(База_КР_КК[[#This Row],[Уровень КК]]=2,База_КР_КК[[#This Row],[Уровень КК]]=3),IF(COUNTIFS($U$2:$U1546,$U1546,$F$2:$F1546,$F1546)=1,1,0),IF(COUNTIFS($U$2:$U1546,$U1546,$L$2:$L1546,$L1546)=1,1,0)))</f>
        <v>0</v>
      </c>
      <c r="AA15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6" s="106"/>
      <c r="AC1546" s="51"/>
      <c r="AD1546" s="106" t="s">
        <v>15</v>
      </c>
      <c r="AE1546" s="38" t="s">
        <v>347</v>
      </c>
    </row>
    <row r="1547" spans="1:31" ht="18" customHeight="1" x14ac:dyDescent="0.25">
      <c r="A15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7" s="79">
        <v>4</v>
      </c>
      <c r="C1547" s="23">
        <v>44887</v>
      </c>
      <c r="D1547" s="67">
        <f>IF(COUNTIF($G$2:$G1547,$G1547)=1,1,0)</f>
        <v>0</v>
      </c>
      <c r="E1547" s="67" t="str">
        <f>IFERROR(VLOOKUP(База_КР_КК[[#This Row],[ИД штатной должности (S)]],'уровень защищенности'!$B$7:$F$1095,5,0),"не защищена")</f>
        <v>высокий</v>
      </c>
      <c r="F1547" s="68">
        <v>500457</v>
      </c>
      <c r="G1547" s="74" t="s">
        <v>2494</v>
      </c>
      <c r="H1547" s="181">
        <f>INDEX('Списки данных'!$D$2:$D$1048576,MATCH(База_КР_КК[[#This Row],[Структурное подразделение]],'Списки данных'!$C$2:$C$1048576,0))</f>
        <v>15</v>
      </c>
      <c r="I1547" s="80" t="s">
        <v>161</v>
      </c>
      <c r="J1547" s="80" t="s">
        <v>214</v>
      </c>
      <c r="K1547" s="80" t="s">
        <v>21</v>
      </c>
      <c r="L1547" s="30" t="s">
        <v>191</v>
      </c>
      <c r="M1547" s="68">
        <v>7</v>
      </c>
      <c r="N1547" s="181" t="str">
        <f t="shared" si="25"/>
        <v>нет</v>
      </c>
      <c r="O1547" s="23"/>
      <c r="P1547" s="23"/>
      <c r="Q1547" s="106"/>
      <c r="R1547" s="37">
        <v>325</v>
      </c>
      <c r="S1547" s="38" t="s">
        <v>737</v>
      </c>
      <c r="T1547" s="37">
        <v>1422</v>
      </c>
      <c r="U1547" s="39" t="s">
        <v>1802</v>
      </c>
      <c r="V1547" s="69" t="s">
        <v>272</v>
      </c>
      <c r="W1547" s="89" t="s">
        <v>161</v>
      </c>
      <c r="X1547" s="106" t="s">
        <v>296</v>
      </c>
      <c r="Y1547" s="107" t="s">
        <v>12</v>
      </c>
      <c r="Z1547" s="67">
        <f>IF(База_КР_КК[[#This Row],[Таб.номер резервиста]]="-","-",IF(OR(База_КР_КК[[#This Row],[Уровень КК]]=2,База_КР_КК[[#This Row],[Уровень КК]]=3),IF(COUNTIFS($U$2:$U1547,$U1547,$F$2:$F1547,$F1547)=1,1,0),IF(COUNTIFS($U$2:$U1547,$U1547,$L$2:$L1547,$L1547)=1,1,0)))</f>
        <v>1</v>
      </c>
      <c r="AA15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7" s="106"/>
      <c r="AC1547" s="51"/>
      <c r="AD1547" s="106" t="s">
        <v>15</v>
      </c>
      <c r="AE1547" s="40" t="s">
        <v>310</v>
      </c>
    </row>
    <row r="1548" spans="1:31" ht="18" customHeight="1" x14ac:dyDescent="0.25">
      <c r="A15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8" s="79">
        <v>4</v>
      </c>
      <c r="C1548" s="23">
        <v>44424</v>
      </c>
      <c r="D1548" s="67">
        <f>IF(COUNTIF($G$2:$G1548,$G1548)=1,1,0)</f>
        <v>1</v>
      </c>
      <c r="E1548" s="67" t="str">
        <f>IFERROR(VLOOKUP(База_КР_КК[[#This Row],[ИД штатной должности (S)]],'уровень защищенности'!$B$7:$F$1095,5,0),"не защищена")</f>
        <v>высокий</v>
      </c>
      <c r="F1548" s="68">
        <v>500457</v>
      </c>
      <c r="G1548" s="74" t="s">
        <v>2495</v>
      </c>
      <c r="H1548" s="181">
        <f>INDEX('Списки данных'!$D$2:$D$1048576,MATCH(База_КР_КК[[#This Row],[Структурное подразделение]],'Списки данных'!$C$2:$C$1048576,0))</f>
        <v>15</v>
      </c>
      <c r="I1548" s="80" t="s">
        <v>161</v>
      </c>
      <c r="J1548" s="80" t="s">
        <v>214</v>
      </c>
      <c r="K1548" s="80" t="s">
        <v>21</v>
      </c>
      <c r="L1548" s="30" t="s">
        <v>191</v>
      </c>
      <c r="M1548" s="68">
        <v>7</v>
      </c>
      <c r="N1548" s="181" t="str">
        <f t="shared" si="25"/>
        <v>нет</v>
      </c>
      <c r="O1548" s="23"/>
      <c r="P1548" s="23"/>
      <c r="Q1548" s="106"/>
      <c r="R1548" s="37">
        <v>326</v>
      </c>
      <c r="S1548" s="38" t="s">
        <v>738</v>
      </c>
      <c r="T1548" s="37">
        <v>1418</v>
      </c>
      <c r="U1548" s="39" t="s">
        <v>1799</v>
      </c>
      <c r="V1548" s="69" t="s">
        <v>272</v>
      </c>
      <c r="W1548" s="89" t="s">
        <v>161</v>
      </c>
      <c r="X1548" s="106" t="s">
        <v>296</v>
      </c>
      <c r="Y1548" s="107" t="s">
        <v>12</v>
      </c>
      <c r="Z1548" s="67">
        <f>IF(База_КР_КК[[#This Row],[Таб.номер резервиста]]="-","-",IF(OR(База_КР_КК[[#This Row],[Уровень КК]]=2,База_КР_КК[[#This Row],[Уровень КК]]=3),IF(COUNTIFS($U$2:$U1548,$U1548,$F$2:$F1548,$F1548)=1,1,0),IF(COUNTIFS($U$2:$U1548,$U1548,$L$2:$L1548,$L1548)=1,1,0)))</f>
        <v>0</v>
      </c>
      <c r="AA15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8" s="106"/>
      <c r="AC1548" s="51"/>
      <c r="AD1548" s="106" t="s">
        <v>15</v>
      </c>
      <c r="AE1548" s="38" t="s">
        <v>347</v>
      </c>
    </row>
    <row r="1549" spans="1:31" ht="18" customHeight="1" x14ac:dyDescent="0.25">
      <c r="A15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49" s="79">
        <v>4</v>
      </c>
      <c r="C1549" s="23">
        <v>44424</v>
      </c>
      <c r="D1549" s="67">
        <f>IF(COUNTIF($G$2:$G1549,$G1549)=1,1,0)</f>
        <v>0</v>
      </c>
      <c r="E1549" s="67" t="str">
        <f>IFERROR(VLOOKUP(База_КР_КК[[#This Row],[ИД штатной должности (S)]],'уровень защищенности'!$B$7:$F$1095,5,0),"не защищена")</f>
        <v>высокий</v>
      </c>
      <c r="F1549" s="68">
        <v>500457</v>
      </c>
      <c r="G1549" s="74" t="s">
        <v>2495</v>
      </c>
      <c r="H1549" s="181">
        <f>INDEX('Списки данных'!$D$2:$D$1048576,MATCH(База_КР_КК[[#This Row],[Структурное подразделение]],'Списки данных'!$C$2:$C$1048576,0))</f>
        <v>15</v>
      </c>
      <c r="I1549" s="80" t="s">
        <v>161</v>
      </c>
      <c r="J1549" s="80" t="s">
        <v>214</v>
      </c>
      <c r="K1549" s="80" t="s">
        <v>21</v>
      </c>
      <c r="L1549" s="30" t="s">
        <v>191</v>
      </c>
      <c r="M1549" s="68">
        <v>7</v>
      </c>
      <c r="N1549" s="181" t="str">
        <f t="shared" si="25"/>
        <v>нет</v>
      </c>
      <c r="O1549" s="23"/>
      <c r="P1549" s="23"/>
      <c r="Q1549" s="106"/>
      <c r="R1549" s="37">
        <v>326</v>
      </c>
      <c r="S1549" s="38" t="s">
        <v>738</v>
      </c>
      <c r="T1549" s="37">
        <v>1419</v>
      </c>
      <c r="U1549" s="39" t="s">
        <v>1800</v>
      </c>
      <c r="V1549" s="69" t="s">
        <v>272</v>
      </c>
      <c r="W1549" s="89" t="s">
        <v>161</v>
      </c>
      <c r="X1549" s="106" t="s">
        <v>296</v>
      </c>
      <c r="Y1549" s="107" t="s">
        <v>12</v>
      </c>
      <c r="Z1549" s="67">
        <f>IF(База_КР_КК[[#This Row],[Таб.номер резервиста]]="-","-",IF(OR(База_КР_КК[[#This Row],[Уровень КК]]=2,База_КР_КК[[#This Row],[Уровень КК]]=3),IF(COUNTIFS($U$2:$U1549,$U1549,$F$2:$F1549,$F1549)=1,1,0),IF(COUNTIFS($U$2:$U1549,$U1549,$L$2:$L1549,$L1549)=1,1,0)))</f>
        <v>0</v>
      </c>
      <c r="AA15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49" s="106"/>
      <c r="AC1549" s="51"/>
      <c r="AD1549" s="106" t="s">
        <v>15</v>
      </c>
      <c r="AE1549" s="38" t="s">
        <v>347</v>
      </c>
    </row>
    <row r="1550" spans="1:31" ht="18" customHeight="1" x14ac:dyDescent="0.25">
      <c r="A15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0" s="79">
        <v>4</v>
      </c>
      <c r="C1550" s="23">
        <v>44424</v>
      </c>
      <c r="D1550" s="67">
        <f>IF(COUNTIF($G$2:$G1550,$G1550)=1,1,0)</f>
        <v>0</v>
      </c>
      <c r="E1550" s="67" t="str">
        <f>IFERROR(VLOOKUP(База_КР_КК[[#This Row],[ИД штатной должности (S)]],'уровень защищенности'!$B$7:$F$1095,5,0),"не защищена")</f>
        <v>высокий</v>
      </c>
      <c r="F1550" s="68">
        <v>500457</v>
      </c>
      <c r="G1550" s="74" t="s">
        <v>2495</v>
      </c>
      <c r="H1550" s="181">
        <f>INDEX('Списки данных'!$D$2:$D$1048576,MATCH(База_КР_КК[[#This Row],[Структурное подразделение]],'Списки данных'!$C$2:$C$1048576,0))</f>
        <v>15</v>
      </c>
      <c r="I1550" s="80" t="s">
        <v>161</v>
      </c>
      <c r="J1550" s="80" t="s">
        <v>214</v>
      </c>
      <c r="K1550" s="80" t="s">
        <v>21</v>
      </c>
      <c r="L1550" s="30" t="s">
        <v>191</v>
      </c>
      <c r="M1550" s="68">
        <v>7</v>
      </c>
      <c r="N1550" s="181" t="str">
        <f t="shared" si="25"/>
        <v>нет</v>
      </c>
      <c r="O1550" s="23"/>
      <c r="P1550" s="23"/>
      <c r="Q1550" s="106"/>
      <c r="R1550" s="37">
        <v>326</v>
      </c>
      <c r="S1550" s="38" t="s">
        <v>738</v>
      </c>
      <c r="T1550" s="37">
        <v>1420</v>
      </c>
      <c r="U1550" s="39" t="s">
        <v>1801</v>
      </c>
      <c r="V1550" s="69" t="s">
        <v>272</v>
      </c>
      <c r="W1550" s="89" t="s">
        <v>161</v>
      </c>
      <c r="X1550" s="106" t="s">
        <v>295</v>
      </c>
      <c r="Y1550" s="107" t="s">
        <v>12</v>
      </c>
      <c r="Z1550" s="67">
        <f>IF(База_КР_КК[[#This Row],[Таб.номер резервиста]]="-","-",IF(OR(База_КР_КК[[#This Row],[Уровень КК]]=2,База_КР_КК[[#This Row],[Уровень КК]]=3),IF(COUNTIFS($U$2:$U1550,$U1550,$F$2:$F1550,$F1550)=1,1,0),IF(COUNTIFS($U$2:$U1550,$U1550,$L$2:$L1550,$L1550)=1,1,0)))</f>
        <v>0</v>
      </c>
      <c r="AA15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0" s="106"/>
      <c r="AC1550" s="51"/>
      <c r="AD1550" s="106" t="s">
        <v>15</v>
      </c>
      <c r="AE1550" s="38" t="s">
        <v>347</v>
      </c>
    </row>
    <row r="1551" spans="1:31" ht="18" customHeight="1" x14ac:dyDescent="0.25">
      <c r="A15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1" s="79">
        <v>4</v>
      </c>
      <c r="C1551" s="23">
        <v>44424</v>
      </c>
      <c r="D1551" s="67">
        <f>IF(COUNTIF($G$2:$G1551,$G1551)=1,1,0)</f>
        <v>0</v>
      </c>
      <c r="E1551" s="67" t="str">
        <f>IFERROR(VLOOKUP(База_КР_КК[[#This Row],[ИД штатной должности (S)]],'уровень защищенности'!$B$7:$F$1095,5,0),"не защищена")</f>
        <v>высокий</v>
      </c>
      <c r="F1551" s="68">
        <v>500457</v>
      </c>
      <c r="G1551" s="74" t="s">
        <v>2495</v>
      </c>
      <c r="H1551" s="181">
        <f>INDEX('Списки данных'!$D$2:$D$1048576,MATCH(База_КР_КК[[#This Row],[Структурное подразделение]],'Списки данных'!$C$2:$C$1048576,0))</f>
        <v>15</v>
      </c>
      <c r="I1551" s="80" t="s">
        <v>161</v>
      </c>
      <c r="J1551" s="80" t="s">
        <v>214</v>
      </c>
      <c r="K1551" s="80" t="s">
        <v>21</v>
      </c>
      <c r="L1551" s="30" t="s">
        <v>191</v>
      </c>
      <c r="M1551" s="68">
        <v>7</v>
      </c>
      <c r="N1551" s="181" t="str">
        <f t="shared" si="25"/>
        <v>нет</v>
      </c>
      <c r="O1551" s="23"/>
      <c r="P1551" s="23"/>
      <c r="Q1551" s="106"/>
      <c r="R1551" s="37">
        <v>326</v>
      </c>
      <c r="S1551" s="38" t="s">
        <v>738</v>
      </c>
      <c r="T1551" s="37">
        <v>1421</v>
      </c>
      <c r="U1551" s="39" t="s">
        <v>1674</v>
      </c>
      <c r="V1551" s="69" t="s">
        <v>272</v>
      </c>
      <c r="W1551" s="89" t="s">
        <v>161</v>
      </c>
      <c r="X1551" s="106" t="s">
        <v>295</v>
      </c>
      <c r="Y1551" s="107" t="s">
        <v>12</v>
      </c>
      <c r="Z1551" s="67">
        <f>IF(База_КР_КК[[#This Row],[Таб.номер резервиста]]="-","-",IF(OR(База_КР_КК[[#This Row],[Уровень КК]]=2,База_КР_КК[[#This Row],[Уровень КК]]=3),IF(COUNTIFS($U$2:$U1551,$U1551,$F$2:$F1551,$F1551)=1,1,0),IF(COUNTIFS($U$2:$U1551,$U1551,$L$2:$L1551,$L1551)=1,1,0)))</f>
        <v>0</v>
      </c>
      <c r="AA15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1" s="106"/>
      <c r="AC1551" s="51"/>
      <c r="AD1551" s="106" t="s">
        <v>15</v>
      </c>
      <c r="AE1551" s="38" t="s">
        <v>347</v>
      </c>
    </row>
    <row r="1552" spans="1:31" ht="18" customHeight="1" x14ac:dyDescent="0.25">
      <c r="A15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2" s="79">
        <v>4</v>
      </c>
      <c r="C1552" s="23">
        <v>44887</v>
      </c>
      <c r="D1552" s="67">
        <f>IF(COUNTIF($G$2:$G1552,$G1552)=1,1,0)</f>
        <v>0</v>
      </c>
      <c r="E1552" s="67" t="str">
        <f>IFERROR(VLOOKUP(База_КР_КК[[#This Row],[ИД штатной должности (S)]],'уровень защищенности'!$B$7:$F$1095,5,0),"не защищена")</f>
        <v>высокий</v>
      </c>
      <c r="F1552" s="68">
        <v>500457</v>
      </c>
      <c r="G1552" s="74" t="s">
        <v>2495</v>
      </c>
      <c r="H1552" s="181">
        <f>INDEX('Списки данных'!$D$2:$D$1048576,MATCH(База_КР_КК[[#This Row],[Структурное подразделение]],'Списки данных'!$C$2:$C$1048576,0))</f>
        <v>15</v>
      </c>
      <c r="I1552" s="80" t="s">
        <v>161</v>
      </c>
      <c r="J1552" s="80" t="s">
        <v>214</v>
      </c>
      <c r="K1552" s="80" t="s">
        <v>21</v>
      </c>
      <c r="L1552" s="30" t="s">
        <v>191</v>
      </c>
      <c r="M1552" s="68">
        <v>7</v>
      </c>
      <c r="N1552" s="181" t="str">
        <f t="shared" si="25"/>
        <v>нет</v>
      </c>
      <c r="O1552" s="23"/>
      <c r="P1552" s="23"/>
      <c r="Q1552" s="106"/>
      <c r="R1552" s="37">
        <v>326</v>
      </c>
      <c r="S1552" s="38" t="s">
        <v>738</v>
      </c>
      <c r="T1552" s="37">
        <v>1422</v>
      </c>
      <c r="U1552" s="39" t="s">
        <v>1802</v>
      </c>
      <c r="V1552" s="69" t="s">
        <v>272</v>
      </c>
      <c r="W1552" s="89" t="s">
        <v>161</v>
      </c>
      <c r="X1552" s="106" t="s">
        <v>296</v>
      </c>
      <c r="Y1552" s="107" t="s">
        <v>12</v>
      </c>
      <c r="Z1552" s="67">
        <f>IF(База_КР_КК[[#This Row],[Таб.номер резервиста]]="-","-",IF(OR(База_КР_КК[[#This Row],[Уровень КК]]=2,База_КР_КК[[#This Row],[Уровень КК]]=3),IF(COUNTIFS($U$2:$U1552,$U1552,$F$2:$F1552,$F1552)=1,1,0),IF(COUNTIFS($U$2:$U1552,$U1552,$L$2:$L1552,$L1552)=1,1,0)))</f>
        <v>0</v>
      </c>
      <c r="AA15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2" s="106"/>
      <c r="AC1552" s="51"/>
      <c r="AD1552" s="106" t="s">
        <v>15</v>
      </c>
      <c r="AE1552" s="40" t="s">
        <v>310</v>
      </c>
    </row>
    <row r="1553" spans="1:31" ht="18" customHeight="1" x14ac:dyDescent="0.25">
      <c r="A15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3" s="79">
        <v>4</v>
      </c>
      <c r="C1553" s="23">
        <v>44424</v>
      </c>
      <c r="D1553" s="67">
        <f>IF(COUNTIF($G$2:$G1553,$G1553)=1,1,0)</f>
        <v>1</v>
      </c>
      <c r="E1553" s="67" t="str">
        <f>IFERROR(VLOOKUP(База_КР_КК[[#This Row],[ИД штатной должности (S)]],'уровень защищенности'!$B$7:$F$1095,5,0),"не защищена")</f>
        <v>высокий</v>
      </c>
      <c r="F1553" s="68">
        <v>500457</v>
      </c>
      <c r="G1553" s="74" t="s">
        <v>2496</v>
      </c>
      <c r="H1553" s="181">
        <f>INDEX('Списки данных'!$D$2:$D$1048576,MATCH(База_КР_КК[[#This Row],[Структурное подразделение]],'Списки данных'!$C$2:$C$1048576,0))</f>
        <v>15</v>
      </c>
      <c r="I1553" s="80" t="s">
        <v>161</v>
      </c>
      <c r="J1553" s="80" t="s">
        <v>214</v>
      </c>
      <c r="K1553" s="80" t="s">
        <v>21</v>
      </c>
      <c r="L1553" s="30" t="s">
        <v>191</v>
      </c>
      <c r="M1553" s="68">
        <v>7</v>
      </c>
      <c r="N1553" s="181" t="str">
        <f t="shared" si="25"/>
        <v>нет</v>
      </c>
      <c r="O1553" s="23"/>
      <c r="P1553" s="23"/>
      <c r="Q1553" s="106"/>
      <c r="R1553" s="37">
        <v>327</v>
      </c>
      <c r="S1553" s="38" t="s">
        <v>739</v>
      </c>
      <c r="T1553" s="37">
        <v>1418</v>
      </c>
      <c r="U1553" s="39" t="s">
        <v>1799</v>
      </c>
      <c r="V1553" s="69" t="s">
        <v>272</v>
      </c>
      <c r="W1553" s="89" t="s">
        <v>161</v>
      </c>
      <c r="X1553" s="106" t="s">
        <v>296</v>
      </c>
      <c r="Y1553" s="107" t="s">
        <v>12</v>
      </c>
      <c r="Z1553" s="67">
        <f>IF(База_КР_КК[[#This Row],[Таб.номер резервиста]]="-","-",IF(OR(База_КР_КК[[#This Row],[Уровень КК]]=2,База_КР_КК[[#This Row],[Уровень КК]]=3),IF(COUNTIFS($U$2:$U1553,$U1553,$F$2:$F1553,$F1553)=1,1,0),IF(COUNTIFS($U$2:$U1553,$U1553,$L$2:$L1553,$L1553)=1,1,0)))</f>
        <v>0</v>
      </c>
      <c r="AA15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3" s="106"/>
      <c r="AC1553" s="51"/>
      <c r="AD1553" s="106" t="s">
        <v>15</v>
      </c>
      <c r="AE1553" s="38" t="s">
        <v>347</v>
      </c>
    </row>
    <row r="1554" spans="1:31" ht="18" customHeight="1" x14ac:dyDescent="0.25">
      <c r="A15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4" s="79">
        <v>4</v>
      </c>
      <c r="C1554" s="23">
        <v>44424</v>
      </c>
      <c r="D1554" s="67">
        <f>IF(COUNTIF($G$2:$G1554,$G1554)=1,1,0)</f>
        <v>0</v>
      </c>
      <c r="E1554" s="67" t="str">
        <f>IFERROR(VLOOKUP(База_КР_КК[[#This Row],[ИД штатной должности (S)]],'уровень защищенности'!$B$7:$F$1095,5,0),"не защищена")</f>
        <v>высокий</v>
      </c>
      <c r="F1554" s="68">
        <v>500457</v>
      </c>
      <c r="G1554" s="74" t="s">
        <v>2496</v>
      </c>
      <c r="H1554" s="181">
        <f>INDEX('Списки данных'!$D$2:$D$1048576,MATCH(База_КР_КК[[#This Row],[Структурное подразделение]],'Списки данных'!$C$2:$C$1048576,0))</f>
        <v>15</v>
      </c>
      <c r="I1554" s="80" t="s">
        <v>161</v>
      </c>
      <c r="J1554" s="80" t="s">
        <v>214</v>
      </c>
      <c r="K1554" s="80" t="s">
        <v>21</v>
      </c>
      <c r="L1554" s="30" t="s">
        <v>191</v>
      </c>
      <c r="M1554" s="68">
        <v>7</v>
      </c>
      <c r="N1554" s="181" t="str">
        <f t="shared" si="25"/>
        <v>нет</v>
      </c>
      <c r="O1554" s="23"/>
      <c r="P1554" s="23"/>
      <c r="Q1554" s="106"/>
      <c r="R1554" s="37">
        <v>327</v>
      </c>
      <c r="S1554" s="38" t="s">
        <v>739</v>
      </c>
      <c r="T1554" s="37">
        <v>1419</v>
      </c>
      <c r="U1554" s="39" t="s">
        <v>1800</v>
      </c>
      <c r="V1554" s="69" t="s">
        <v>272</v>
      </c>
      <c r="W1554" s="89" t="s">
        <v>161</v>
      </c>
      <c r="X1554" s="106" t="s">
        <v>296</v>
      </c>
      <c r="Y1554" s="107" t="s">
        <v>12</v>
      </c>
      <c r="Z1554" s="67">
        <f>IF(База_КР_КК[[#This Row],[Таб.номер резервиста]]="-","-",IF(OR(База_КР_КК[[#This Row],[Уровень КК]]=2,База_КР_КК[[#This Row],[Уровень КК]]=3),IF(COUNTIFS($U$2:$U1554,$U1554,$F$2:$F1554,$F1554)=1,1,0),IF(COUNTIFS($U$2:$U1554,$U1554,$L$2:$L1554,$L1554)=1,1,0)))</f>
        <v>0</v>
      </c>
      <c r="AA15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4" s="106"/>
      <c r="AC1554" s="51"/>
      <c r="AD1554" s="106" t="s">
        <v>15</v>
      </c>
      <c r="AE1554" s="38" t="s">
        <v>347</v>
      </c>
    </row>
    <row r="1555" spans="1:31" ht="18" customHeight="1" x14ac:dyDescent="0.25">
      <c r="A15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5" s="79">
        <v>4</v>
      </c>
      <c r="C1555" s="23">
        <v>44424</v>
      </c>
      <c r="D1555" s="67">
        <f>IF(COUNTIF($G$2:$G1555,$G1555)=1,1,0)</f>
        <v>0</v>
      </c>
      <c r="E1555" s="67" t="str">
        <f>IFERROR(VLOOKUP(База_КР_КК[[#This Row],[ИД штатной должности (S)]],'уровень защищенности'!$B$7:$F$1095,5,0),"не защищена")</f>
        <v>высокий</v>
      </c>
      <c r="F1555" s="68">
        <v>500457</v>
      </c>
      <c r="G1555" s="74" t="s">
        <v>2496</v>
      </c>
      <c r="H1555" s="181">
        <f>INDEX('Списки данных'!$D$2:$D$1048576,MATCH(База_КР_КК[[#This Row],[Структурное подразделение]],'Списки данных'!$C$2:$C$1048576,0))</f>
        <v>15</v>
      </c>
      <c r="I1555" s="80" t="s">
        <v>161</v>
      </c>
      <c r="J1555" s="80" t="s">
        <v>214</v>
      </c>
      <c r="K1555" s="80" t="s">
        <v>21</v>
      </c>
      <c r="L1555" s="30" t="s">
        <v>191</v>
      </c>
      <c r="M1555" s="68">
        <v>7</v>
      </c>
      <c r="N1555" s="181" t="str">
        <f t="shared" si="25"/>
        <v>нет</v>
      </c>
      <c r="O1555" s="23"/>
      <c r="P1555" s="23"/>
      <c r="Q1555" s="106"/>
      <c r="R1555" s="37">
        <v>327</v>
      </c>
      <c r="S1555" s="38" t="s">
        <v>739</v>
      </c>
      <c r="T1555" s="37">
        <v>1420</v>
      </c>
      <c r="U1555" s="39" t="s">
        <v>1801</v>
      </c>
      <c r="V1555" s="69" t="s">
        <v>272</v>
      </c>
      <c r="W1555" s="89" t="s">
        <v>161</v>
      </c>
      <c r="X1555" s="106" t="s">
        <v>295</v>
      </c>
      <c r="Y1555" s="107" t="s">
        <v>12</v>
      </c>
      <c r="Z1555" s="67">
        <f>IF(База_КР_КК[[#This Row],[Таб.номер резервиста]]="-","-",IF(OR(База_КР_КК[[#This Row],[Уровень КК]]=2,База_КР_КК[[#This Row],[Уровень КК]]=3),IF(COUNTIFS($U$2:$U1555,$U1555,$F$2:$F1555,$F1555)=1,1,0),IF(COUNTIFS($U$2:$U1555,$U1555,$L$2:$L1555,$L1555)=1,1,0)))</f>
        <v>0</v>
      </c>
      <c r="AA15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5" s="106"/>
      <c r="AC1555" s="51"/>
      <c r="AD1555" s="106" t="s">
        <v>15</v>
      </c>
      <c r="AE1555" s="38" t="s">
        <v>347</v>
      </c>
    </row>
    <row r="1556" spans="1:31" ht="18" customHeight="1" x14ac:dyDescent="0.25">
      <c r="A15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6" s="79">
        <v>4</v>
      </c>
      <c r="C1556" s="23">
        <v>44424</v>
      </c>
      <c r="D1556" s="67">
        <f>IF(COUNTIF($G$2:$G1556,$G1556)=1,1,0)</f>
        <v>0</v>
      </c>
      <c r="E1556" s="67" t="str">
        <f>IFERROR(VLOOKUP(База_КР_КК[[#This Row],[ИД штатной должности (S)]],'уровень защищенности'!$B$7:$F$1095,5,0),"не защищена")</f>
        <v>высокий</v>
      </c>
      <c r="F1556" s="68">
        <v>500457</v>
      </c>
      <c r="G1556" s="74" t="s">
        <v>2496</v>
      </c>
      <c r="H1556" s="181">
        <f>INDEX('Списки данных'!$D$2:$D$1048576,MATCH(База_КР_КК[[#This Row],[Структурное подразделение]],'Списки данных'!$C$2:$C$1048576,0))</f>
        <v>15</v>
      </c>
      <c r="I1556" s="80" t="s">
        <v>161</v>
      </c>
      <c r="J1556" s="80" t="s">
        <v>214</v>
      </c>
      <c r="K1556" s="80" t="s">
        <v>21</v>
      </c>
      <c r="L1556" s="30" t="s">
        <v>191</v>
      </c>
      <c r="M1556" s="68">
        <v>7</v>
      </c>
      <c r="N1556" s="181" t="str">
        <f t="shared" si="25"/>
        <v>нет</v>
      </c>
      <c r="O1556" s="23"/>
      <c r="P1556" s="23"/>
      <c r="Q1556" s="106"/>
      <c r="R1556" s="37">
        <v>327</v>
      </c>
      <c r="S1556" s="38" t="s">
        <v>739</v>
      </c>
      <c r="T1556" s="37">
        <v>1421</v>
      </c>
      <c r="U1556" s="39" t="s">
        <v>1674</v>
      </c>
      <c r="V1556" s="69" t="s">
        <v>272</v>
      </c>
      <c r="W1556" s="89" t="s">
        <v>161</v>
      </c>
      <c r="X1556" s="106" t="s">
        <v>295</v>
      </c>
      <c r="Y1556" s="107" t="s">
        <v>12</v>
      </c>
      <c r="Z1556" s="67">
        <f>IF(База_КР_КК[[#This Row],[Таб.номер резервиста]]="-","-",IF(OR(База_КР_КК[[#This Row],[Уровень КК]]=2,База_КР_КК[[#This Row],[Уровень КК]]=3),IF(COUNTIFS($U$2:$U1556,$U1556,$F$2:$F1556,$F1556)=1,1,0),IF(COUNTIFS($U$2:$U1556,$U1556,$L$2:$L1556,$L1556)=1,1,0)))</f>
        <v>0</v>
      </c>
      <c r="AA15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6" s="106"/>
      <c r="AC1556" s="51"/>
      <c r="AD1556" s="106" t="s">
        <v>15</v>
      </c>
      <c r="AE1556" s="38" t="s">
        <v>347</v>
      </c>
    </row>
    <row r="1557" spans="1:31" ht="18" customHeight="1" x14ac:dyDescent="0.25">
      <c r="A15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7" s="79">
        <v>4</v>
      </c>
      <c r="C1557" s="23">
        <v>44887</v>
      </c>
      <c r="D1557" s="67">
        <f>IF(COUNTIF($G$2:$G1557,$G1557)=1,1,0)</f>
        <v>0</v>
      </c>
      <c r="E1557" s="67" t="str">
        <f>IFERROR(VLOOKUP(База_КР_КК[[#This Row],[ИД штатной должности (S)]],'уровень защищенности'!$B$7:$F$1095,5,0),"не защищена")</f>
        <v>высокий</v>
      </c>
      <c r="F1557" s="68">
        <v>500457</v>
      </c>
      <c r="G1557" s="74" t="s">
        <v>2496</v>
      </c>
      <c r="H1557" s="181">
        <f>INDEX('Списки данных'!$D$2:$D$1048576,MATCH(База_КР_КК[[#This Row],[Структурное подразделение]],'Списки данных'!$C$2:$C$1048576,0))</f>
        <v>15</v>
      </c>
      <c r="I1557" s="80" t="s">
        <v>161</v>
      </c>
      <c r="J1557" s="80" t="s">
        <v>214</v>
      </c>
      <c r="K1557" s="80" t="s">
        <v>21</v>
      </c>
      <c r="L1557" s="30" t="s">
        <v>191</v>
      </c>
      <c r="M1557" s="68">
        <v>7</v>
      </c>
      <c r="N1557" s="181" t="str">
        <f t="shared" si="25"/>
        <v>нет</v>
      </c>
      <c r="O1557" s="23"/>
      <c r="P1557" s="23"/>
      <c r="Q1557" s="106"/>
      <c r="R1557" s="37">
        <v>327</v>
      </c>
      <c r="S1557" s="38" t="s">
        <v>739</v>
      </c>
      <c r="T1557" s="37">
        <v>1422</v>
      </c>
      <c r="U1557" s="39" t="s">
        <v>1802</v>
      </c>
      <c r="V1557" s="69" t="s">
        <v>272</v>
      </c>
      <c r="W1557" s="89" t="s">
        <v>161</v>
      </c>
      <c r="X1557" s="106" t="s">
        <v>296</v>
      </c>
      <c r="Y1557" s="107" t="s">
        <v>12</v>
      </c>
      <c r="Z1557" s="67">
        <f>IF(База_КР_КК[[#This Row],[Таб.номер резервиста]]="-","-",IF(OR(База_КР_КК[[#This Row],[Уровень КК]]=2,База_КР_КК[[#This Row],[Уровень КК]]=3),IF(COUNTIFS($U$2:$U1557,$U1557,$F$2:$F1557,$F1557)=1,1,0),IF(COUNTIFS($U$2:$U1557,$U1557,$L$2:$L1557,$L1557)=1,1,0)))</f>
        <v>0</v>
      </c>
      <c r="AA15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7" s="106"/>
      <c r="AC1557" s="51"/>
      <c r="AD1557" s="106" t="s">
        <v>15</v>
      </c>
      <c r="AE1557" s="40" t="s">
        <v>310</v>
      </c>
    </row>
    <row r="1558" spans="1:31" ht="18" customHeight="1" x14ac:dyDescent="0.25">
      <c r="A15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8" s="79">
        <v>4</v>
      </c>
      <c r="C1558" s="23">
        <v>44424</v>
      </c>
      <c r="D1558" s="67">
        <f>IF(COUNTIF($G$2:$G1558,$G1558)=1,1,0)</f>
        <v>1</v>
      </c>
      <c r="E1558" s="67" t="str">
        <f>IFERROR(VLOOKUP(База_КР_КК[[#This Row],[ИД штатной должности (S)]],'уровень защищенности'!$B$7:$F$1095,5,0),"не защищена")</f>
        <v>низкий</v>
      </c>
      <c r="F1558" s="68">
        <v>500458</v>
      </c>
      <c r="G1558" s="74" t="s">
        <v>2497</v>
      </c>
      <c r="H1558" s="181">
        <f>INDEX('Списки данных'!$D$2:$D$1048576,MATCH(База_КР_КК[[#This Row],[Структурное подразделение]],'Списки данных'!$C$2:$C$1048576,0))</f>
        <v>15</v>
      </c>
      <c r="I1558" s="80" t="s">
        <v>161</v>
      </c>
      <c r="J1558" s="80" t="s">
        <v>214</v>
      </c>
      <c r="K1558" s="80" t="s">
        <v>21</v>
      </c>
      <c r="L1558" s="30" t="s">
        <v>192</v>
      </c>
      <c r="M1558" s="68">
        <v>7</v>
      </c>
      <c r="N1558" s="181" t="str">
        <f t="shared" si="25"/>
        <v>нет</v>
      </c>
      <c r="O1558" s="23"/>
      <c r="P1558" s="23"/>
      <c r="Q1558" s="106"/>
      <c r="R1558" s="37">
        <v>328</v>
      </c>
      <c r="S1558" s="38" t="s">
        <v>740</v>
      </c>
      <c r="T1558" s="37">
        <v>1423</v>
      </c>
      <c r="U1558" s="39" t="s">
        <v>1803</v>
      </c>
      <c r="V1558" s="69" t="s">
        <v>272</v>
      </c>
      <c r="W1558" s="89" t="s">
        <v>161</v>
      </c>
      <c r="X1558" s="106" t="s">
        <v>296</v>
      </c>
      <c r="Y1558" s="107" t="s">
        <v>12</v>
      </c>
      <c r="Z1558" s="67">
        <f>IF(База_КР_КК[[#This Row],[Таб.номер резервиста]]="-","-",IF(OR(База_КР_КК[[#This Row],[Уровень КК]]=2,База_КР_КК[[#This Row],[Уровень КК]]=3),IF(COUNTIFS($U$2:$U1558,$U1558,$F$2:$F1558,$F1558)=1,1,0),IF(COUNTIFS($U$2:$U1558,$U1558,$L$2:$L1558,$L1558)=1,1,0)))</f>
        <v>1</v>
      </c>
      <c r="AA15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8" s="106"/>
      <c r="AC1558" s="51"/>
      <c r="AD1558" s="106" t="s">
        <v>15</v>
      </c>
      <c r="AE1558" s="38" t="s">
        <v>347</v>
      </c>
    </row>
    <row r="1559" spans="1:31" ht="18" customHeight="1" x14ac:dyDescent="0.25">
      <c r="A15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59" s="79">
        <v>4</v>
      </c>
      <c r="C1559" s="23">
        <v>44424</v>
      </c>
      <c r="D1559" s="67">
        <f>IF(COUNTIF($G$2:$G1559,$G1559)=1,1,0)</f>
        <v>1</v>
      </c>
      <c r="E1559" s="67" t="str">
        <f>IFERROR(VLOOKUP(База_КР_КК[[#This Row],[ИД штатной должности (S)]],'уровень защищенности'!$B$7:$F$1095,5,0),"не защищена")</f>
        <v>высокий</v>
      </c>
      <c r="F1559" s="68">
        <v>500459</v>
      </c>
      <c r="G1559" s="74" t="s">
        <v>2498</v>
      </c>
      <c r="H1559" s="181">
        <f>INDEX('Списки данных'!$D$2:$D$1048576,MATCH(База_КР_КК[[#This Row],[Структурное подразделение]],'Списки данных'!$C$2:$C$1048576,0))</f>
        <v>15</v>
      </c>
      <c r="I1559" s="80" t="s">
        <v>161</v>
      </c>
      <c r="J1559" s="80" t="s">
        <v>214</v>
      </c>
      <c r="K1559" s="80" t="s">
        <v>21</v>
      </c>
      <c r="L1559" s="30" t="s">
        <v>192</v>
      </c>
      <c r="M1559" s="68">
        <v>7</v>
      </c>
      <c r="N1559" s="181" t="str">
        <f t="shared" si="25"/>
        <v>нет</v>
      </c>
      <c r="O1559" s="23"/>
      <c r="P1559" s="23"/>
      <c r="Q1559" s="106"/>
      <c r="R1559" s="37">
        <v>329</v>
      </c>
      <c r="S1559" s="38" t="s">
        <v>741</v>
      </c>
      <c r="T1559" s="37">
        <v>1424</v>
      </c>
      <c r="U1559" s="39" t="s">
        <v>1804</v>
      </c>
      <c r="V1559" s="69" t="s">
        <v>272</v>
      </c>
      <c r="W1559" s="89" t="s">
        <v>161</v>
      </c>
      <c r="X1559" s="106" t="s">
        <v>295</v>
      </c>
      <c r="Y1559" s="107" t="s">
        <v>12</v>
      </c>
      <c r="Z1559" s="67">
        <f>IF(База_КР_КК[[#This Row],[Таб.номер резервиста]]="-","-",IF(OR(База_КР_КК[[#This Row],[Уровень КК]]=2,База_КР_КК[[#This Row],[Уровень КК]]=3),IF(COUNTIFS($U$2:$U1559,$U1559,$F$2:$F1559,$F1559)=1,1,0),IF(COUNTIFS($U$2:$U1559,$U1559,$L$2:$L1559,$L1559)=1,1,0)))</f>
        <v>1</v>
      </c>
      <c r="AA15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59" s="106"/>
      <c r="AC1559" s="51"/>
      <c r="AD1559" s="106" t="s">
        <v>15</v>
      </c>
      <c r="AE1559" s="38" t="s">
        <v>347</v>
      </c>
    </row>
    <row r="1560" spans="1:31" ht="18" customHeight="1" x14ac:dyDescent="0.25">
      <c r="A15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0" s="79">
        <v>4</v>
      </c>
      <c r="C1560" s="23">
        <v>44424</v>
      </c>
      <c r="D1560" s="67">
        <f>IF(COUNTIF($G$2:$G1560,$G1560)=1,1,0)</f>
        <v>1</v>
      </c>
      <c r="E1560" s="67" t="str">
        <f>IFERROR(VLOOKUP(База_КР_КК[[#This Row],[ИД штатной должности (S)]],'уровень защищенности'!$B$7:$F$1095,5,0),"не защищена")</f>
        <v>высокий</v>
      </c>
      <c r="F1560" s="68">
        <v>500460</v>
      </c>
      <c r="G1560" s="74" t="s">
        <v>2499</v>
      </c>
      <c r="H1560" s="181">
        <f>INDEX('Списки данных'!$D$2:$D$1048576,MATCH(База_КР_КК[[#This Row],[Структурное подразделение]],'Списки данных'!$C$2:$C$1048576,0))</f>
        <v>15</v>
      </c>
      <c r="I1560" s="80" t="s">
        <v>161</v>
      </c>
      <c r="J1560" s="80" t="s">
        <v>214</v>
      </c>
      <c r="K1560" s="80" t="s">
        <v>215</v>
      </c>
      <c r="L1560" s="30" t="s">
        <v>193</v>
      </c>
      <c r="M1560" s="68">
        <v>7</v>
      </c>
      <c r="N1560" s="181" t="str">
        <f t="shared" si="25"/>
        <v>нет</v>
      </c>
      <c r="O1560" s="23"/>
      <c r="P1560" s="23"/>
      <c r="Q1560" s="106"/>
      <c r="R1560" s="37">
        <v>330</v>
      </c>
      <c r="S1560" s="38" t="s">
        <v>742</v>
      </c>
      <c r="T1560" s="37">
        <v>1425</v>
      </c>
      <c r="U1560" s="39" t="s">
        <v>1805</v>
      </c>
      <c r="V1560" s="69" t="s">
        <v>16</v>
      </c>
      <c r="W1560" s="89" t="s">
        <v>161</v>
      </c>
      <c r="X1560" s="106" t="s">
        <v>295</v>
      </c>
      <c r="Y1560" s="107" t="s">
        <v>12</v>
      </c>
      <c r="Z1560" s="67">
        <f>IF(База_КР_КК[[#This Row],[Таб.номер резервиста]]="-","-",IF(OR(База_КР_КК[[#This Row],[Уровень КК]]=2,База_КР_КК[[#This Row],[Уровень КК]]=3),IF(COUNTIFS($U$2:$U1560,$U1560,$F$2:$F1560,$F1560)=1,1,0),IF(COUNTIFS($U$2:$U1560,$U1560,$L$2:$L1560,$L1560)=1,1,0)))</f>
        <v>1</v>
      </c>
      <c r="AA15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0" s="106"/>
      <c r="AC1560" s="51"/>
      <c r="AD1560" s="106" t="s">
        <v>15</v>
      </c>
      <c r="AE1560" s="38" t="s">
        <v>347</v>
      </c>
    </row>
    <row r="1561" spans="1:31" ht="18" customHeight="1" x14ac:dyDescent="0.25">
      <c r="A15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1" s="79">
        <v>4</v>
      </c>
      <c r="C1561" s="23">
        <v>44424</v>
      </c>
      <c r="D1561" s="67">
        <f>IF(COUNTIF($G$2:$G1561,$G1561)=1,1,0)</f>
        <v>1</v>
      </c>
      <c r="E1561" s="67" t="str">
        <f>IFERROR(VLOOKUP(База_КР_КК[[#This Row],[ИД штатной должности (S)]],'уровень защищенности'!$B$7:$F$1095,5,0),"не защищена")</f>
        <v>высокий</v>
      </c>
      <c r="F1561" s="68">
        <v>500461</v>
      </c>
      <c r="G1561" s="74" t="s">
        <v>2500</v>
      </c>
      <c r="H1561" s="181">
        <f>INDEX('Списки данных'!$D$2:$D$1048576,MATCH(База_КР_КК[[#This Row],[Структурное подразделение]],'Списки данных'!$C$2:$C$1048576,0))</f>
        <v>15</v>
      </c>
      <c r="I1561" s="80" t="s">
        <v>161</v>
      </c>
      <c r="J1561" s="80" t="s">
        <v>214</v>
      </c>
      <c r="K1561" s="80" t="s">
        <v>21</v>
      </c>
      <c r="L1561" s="30" t="s">
        <v>191</v>
      </c>
      <c r="M1561" s="68">
        <v>7</v>
      </c>
      <c r="N1561" s="181" t="str">
        <f t="shared" si="25"/>
        <v>нет</v>
      </c>
      <c r="O1561" s="23"/>
      <c r="P1561" s="23"/>
      <c r="Q1561" s="106"/>
      <c r="R1561" s="37">
        <v>331</v>
      </c>
      <c r="S1561" s="38" t="s">
        <v>743</v>
      </c>
      <c r="T1561" s="37">
        <v>1426</v>
      </c>
      <c r="U1561" s="39" t="s">
        <v>1806</v>
      </c>
      <c r="V1561" s="69" t="s">
        <v>272</v>
      </c>
      <c r="W1561" s="89" t="s">
        <v>161</v>
      </c>
      <c r="X1561" s="106" t="s">
        <v>295</v>
      </c>
      <c r="Y1561" s="107" t="s">
        <v>12</v>
      </c>
      <c r="Z1561" s="67">
        <f>IF(База_КР_КК[[#This Row],[Таб.номер резервиста]]="-","-",IF(OR(База_КР_КК[[#This Row],[Уровень КК]]=2,База_КР_КК[[#This Row],[Уровень КК]]=3),IF(COUNTIFS($U$2:$U1561,$U1561,$F$2:$F1561,$F1561)=1,1,0),IF(COUNTIFS($U$2:$U1561,$U1561,$L$2:$L1561,$L1561)=1,1,0)))</f>
        <v>1</v>
      </c>
      <c r="AA15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1" s="106"/>
      <c r="AC1561" s="51"/>
      <c r="AD1561" s="106" t="s">
        <v>15</v>
      </c>
      <c r="AE1561" s="38" t="s">
        <v>347</v>
      </c>
    </row>
    <row r="1562" spans="1:31" ht="18" customHeight="1" x14ac:dyDescent="0.25">
      <c r="A15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2" s="79">
        <v>4</v>
      </c>
      <c r="C1562" s="23">
        <v>44424</v>
      </c>
      <c r="D1562" s="67">
        <f>IF(COUNTIF($G$2:$G1562,$G1562)=1,1,0)</f>
        <v>0</v>
      </c>
      <c r="E1562" s="67" t="str">
        <f>IFERROR(VLOOKUP(База_КР_КК[[#This Row],[ИД штатной должности (S)]],'уровень защищенности'!$B$7:$F$1095,5,0),"не защищена")</f>
        <v>высокий</v>
      </c>
      <c r="F1562" s="68">
        <v>500461</v>
      </c>
      <c r="G1562" s="74" t="s">
        <v>2500</v>
      </c>
      <c r="H1562" s="181">
        <f>INDEX('Списки данных'!$D$2:$D$1048576,MATCH(База_КР_КК[[#This Row],[Структурное подразделение]],'Списки данных'!$C$2:$C$1048576,0))</f>
        <v>15</v>
      </c>
      <c r="I1562" s="80" t="s">
        <v>161</v>
      </c>
      <c r="J1562" s="80" t="s">
        <v>214</v>
      </c>
      <c r="K1562" s="80" t="s">
        <v>21</v>
      </c>
      <c r="L1562" s="30" t="s">
        <v>191</v>
      </c>
      <c r="M1562" s="68">
        <v>7</v>
      </c>
      <c r="N1562" s="181" t="str">
        <f t="shared" si="25"/>
        <v>нет</v>
      </c>
      <c r="O1562" s="23"/>
      <c r="P1562" s="23"/>
      <c r="Q1562" s="106"/>
      <c r="R1562" s="37">
        <v>331</v>
      </c>
      <c r="S1562" s="38" t="s">
        <v>743</v>
      </c>
      <c r="T1562" s="37">
        <v>1427</v>
      </c>
      <c r="U1562" s="39" t="s">
        <v>1807</v>
      </c>
      <c r="V1562" s="69" t="s">
        <v>272</v>
      </c>
      <c r="W1562" s="89" t="s">
        <v>161</v>
      </c>
      <c r="X1562" s="106" t="s">
        <v>295</v>
      </c>
      <c r="Y1562" s="107" t="s">
        <v>12</v>
      </c>
      <c r="Z1562" s="67">
        <f>IF(База_КР_КК[[#This Row],[Таб.номер резервиста]]="-","-",IF(OR(База_КР_КК[[#This Row],[Уровень КК]]=2,База_КР_КК[[#This Row],[Уровень КК]]=3),IF(COUNTIFS($U$2:$U1562,$U1562,$F$2:$F1562,$F1562)=1,1,0),IF(COUNTIFS($U$2:$U1562,$U1562,$L$2:$L1562,$L1562)=1,1,0)))</f>
        <v>1</v>
      </c>
      <c r="AA15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2" s="106"/>
      <c r="AC1562" s="51"/>
      <c r="AD1562" s="106" t="s">
        <v>15</v>
      </c>
      <c r="AE1562" s="38" t="s">
        <v>347</v>
      </c>
    </row>
    <row r="1563" spans="1:31" ht="18" customHeight="1" x14ac:dyDescent="0.25">
      <c r="A15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3" s="79">
        <v>4</v>
      </c>
      <c r="C1563" s="23">
        <v>44424</v>
      </c>
      <c r="D1563" s="67">
        <f>IF(COUNTIF($G$2:$G1563,$G1563)=1,1,0)</f>
        <v>0</v>
      </c>
      <c r="E1563" s="67" t="str">
        <f>IFERROR(VLOOKUP(База_КР_КК[[#This Row],[ИД штатной должности (S)]],'уровень защищенности'!$B$7:$F$1095,5,0),"не защищена")</f>
        <v>высокий</v>
      </c>
      <c r="F1563" s="68">
        <v>500461</v>
      </c>
      <c r="G1563" s="74" t="s">
        <v>2500</v>
      </c>
      <c r="H1563" s="181">
        <f>INDEX('Списки данных'!$D$2:$D$1048576,MATCH(База_КР_КК[[#This Row],[Структурное подразделение]],'Списки данных'!$C$2:$C$1048576,0))</f>
        <v>15</v>
      </c>
      <c r="I1563" s="80" t="s">
        <v>161</v>
      </c>
      <c r="J1563" s="80" t="s">
        <v>214</v>
      </c>
      <c r="K1563" s="80" t="s">
        <v>21</v>
      </c>
      <c r="L1563" s="30" t="s">
        <v>191</v>
      </c>
      <c r="M1563" s="68">
        <v>7</v>
      </c>
      <c r="N1563" s="181" t="str">
        <f t="shared" si="25"/>
        <v>нет</v>
      </c>
      <c r="O1563" s="23"/>
      <c r="P1563" s="23"/>
      <c r="Q1563" s="106"/>
      <c r="R1563" s="37">
        <v>331</v>
      </c>
      <c r="S1563" s="38" t="s">
        <v>743</v>
      </c>
      <c r="T1563" s="37">
        <v>1428</v>
      </c>
      <c r="U1563" s="39" t="s">
        <v>1808</v>
      </c>
      <c r="V1563" s="69" t="s">
        <v>272</v>
      </c>
      <c r="W1563" s="89" t="s">
        <v>161</v>
      </c>
      <c r="X1563" s="106" t="s">
        <v>296</v>
      </c>
      <c r="Y1563" s="107" t="s">
        <v>12</v>
      </c>
      <c r="Z1563" s="67">
        <f>IF(База_КР_КК[[#This Row],[Таб.номер резервиста]]="-","-",IF(OR(База_КР_КК[[#This Row],[Уровень КК]]=2,База_КР_КК[[#This Row],[Уровень КК]]=3),IF(COUNTIFS($U$2:$U1563,$U1563,$F$2:$F1563,$F1563)=1,1,0),IF(COUNTIFS($U$2:$U1563,$U1563,$L$2:$L1563,$L1563)=1,1,0)))</f>
        <v>1</v>
      </c>
      <c r="AA15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3" s="106"/>
      <c r="AC1563" s="51"/>
      <c r="AD1563" s="106" t="s">
        <v>15</v>
      </c>
      <c r="AE1563" s="38" t="s">
        <v>347</v>
      </c>
    </row>
    <row r="1564" spans="1:31" ht="18" customHeight="1" x14ac:dyDescent="0.25">
      <c r="A15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4" s="79">
        <v>4</v>
      </c>
      <c r="C1564" s="23">
        <v>44424</v>
      </c>
      <c r="D1564" s="67">
        <f>IF(COUNTIF($G$2:$G1564,$G1564)=1,1,0)</f>
        <v>1</v>
      </c>
      <c r="E1564" s="67" t="str">
        <f>IFERROR(VLOOKUP(База_КР_КК[[#This Row],[ИД штатной должности (S)]],'уровень защищенности'!$B$7:$F$1095,5,0),"не защищена")</f>
        <v>высокий</v>
      </c>
      <c r="F1564" s="68">
        <v>500461</v>
      </c>
      <c r="G1564" s="74" t="s">
        <v>2501</v>
      </c>
      <c r="H1564" s="181">
        <f>INDEX('Списки данных'!$D$2:$D$1048576,MATCH(База_КР_КК[[#This Row],[Структурное подразделение]],'Списки данных'!$C$2:$C$1048576,0))</f>
        <v>15</v>
      </c>
      <c r="I1564" s="80" t="s">
        <v>161</v>
      </c>
      <c r="J1564" s="80" t="s">
        <v>214</v>
      </c>
      <c r="K1564" s="80" t="s">
        <v>21</v>
      </c>
      <c r="L1564" s="30" t="s">
        <v>191</v>
      </c>
      <c r="M1564" s="68">
        <v>7</v>
      </c>
      <c r="N1564" s="181" t="str">
        <f t="shared" si="25"/>
        <v>нет</v>
      </c>
      <c r="O1564" s="23"/>
      <c r="P1564" s="23"/>
      <c r="Q1564" s="106"/>
      <c r="R1564" s="37">
        <v>332</v>
      </c>
      <c r="S1564" s="38" t="s">
        <v>744</v>
      </c>
      <c r="T1564" s="37">
        <v>1426</v>
      </c>
      <c r="U1564" s="39" t="s">
        <v>1806</v>
      </c>
      <c r="V1564" s="69" t="s">
        <v>272</v>
      </c>
      <c r="W1564" s="89" t="s">
        <v>161</v>
      </c>
      <c r="X1564" s="106" t="s">
        <v>295</v>
      </c>
      <c r="Y1564" s="107" t="s">
        <v>12</v>
      </c>
      <c r="Z1564" s="67">
        <f>IF(База_КР_КК[[#This Row],[Таб.номер резервиста]]="-","-",IF(OR(База_КР_КК[[#This Row],[Уровень КК]]=2,База_КР_КК[[#This Row],[Уровень КК]]=3),IF(COUNTIFS($U$2:$U1564,$U1564,$F$2:$F1564,$F1564)=1,1,0),IF(COUNTIFS($U$2:$U1564,$U1564,$L$2:$L1564,$L1564)=1,1,0)))</f>
        <v>0</v>
      </c>
      <c r="AA15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4" s="106"/>
      <c r="AC1564" s="51"/>
      <c r="AD1564" s="106" t="s">
        <v>15</v>
      </c>
      <c r="AE1564" s="38" t="s">
        <v>347</v>
      </c>
    </row>
    <row r="1565" spans="1:31" ht="18" customHeight="1" x14ac:dyDescent="0.25">
      <c r="A15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5" s="79">
        <v>4</v>
      </c>
      <c r="C1565" s="23">
        <v>44424</v>
      </c>
      <c r="D1565" s="67">
        <f>IF(COUNTIF($G$2:$G1565,$G1565)=1,1,0)</f>
        <v>0</v>
      </c>
      <c r="E1565" s="67" t="str">
        <f>IFERROR(VLOOKUP(База_КР_КК[[#This Row],[ИД штатной должности (S)]],'уровень защищенности'!$B$7:$F$1095,5,0),"не защищена")</f>
        <v>высокий</v>
      </c>
      <c r="F1565" s="68">
        <v>500461</v>
      </c>
      <c r="G1565" s="74" t="s">
        <v>2501</v>
      </c>
      <c r="H1565" s="181">
        <f>INDEX('Списки данных'!$D$2:$D$1048576,MATCH(База_КР_КК[[#This Row],[Структурное подразделение]],'Списки данных'!$C$2:$C$1048576,0))</f>
        <v>15</v>
      </c>
      <c r="I1565" s="80" t="s">
        <v>161</v>
      </c>
      <c r="J1565" s="80" t="s">
        <v>214</v>
      </c>
      <c r="K1565" s="80" t="s">
        <v>21</v>
      </c>
      <c r="L1565" s="30" t="s">
        <v>191</v>
      </c>
      <c r="M1565" s="68">
        <v>7</v>
      </c>
      <c r="N1565" s="181" t="str">
        <f t="shared" si="25"/>
        <v>нет</v>
      </c>
      <c r="O1565" s="23"/>
      <c r="P1565" s="23"/>
      <c r="Q1565" s="106"/>
      <c r="R1565" s="37">
        <v>332</v>
      </c>
      <c r="S1565" s="38" t="s">
        <v>744</v>
      </c>
      <c r="T1565" s="37">
        <v>1427</v>
      </c>
      <c r="U1565" s="39" t="s">
        <v>1807</v>
      </c>
      <c r="V1565" s="69" t="s">
        <v>272</v>
      </c>
      <c r="W1565" s="89" t="s">
        <v>161</v>
      </c>
      <c r="X1565" s="106" t="s">
        <v>295</v>
      </c>
      <c r="Y1565" s="107" t="s">
        <v>12</v>
      </c>
      <c r="Z1565" s="67">
        <f>IF(База_КР_КК[[#This Row],[Таб.номер резервиста]]="-","-",IF(OR(База_КР_КК[[#This Row],[Уровень КК]]=2,База_КР_КК[[#This Row],[Уровень КК]]=3),IF(COUNTIFS($U$2:$U1565,$U1565,$F$2:$F1565,$F1565)=1,1,0),IF(COUNTIFS($U$2:$U1565,$U1565,$L$2:$L1565,$L1565)=1,1,0)))</f>
        <v>0</v>
      </c>
      <c r="AA15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5" s="106"/>
      <c r="AC1565" s="51"/>
      <c r="AD1565" s="106" t="s">
        <v>15</v>
      </c>
      <c r="AE1565" s="38" t="s">
        <v>347</v>
      </c>
    </row>
    <row r="1566" spans="1:31" ht="18" customHeight="1" x14ac:dyDescent="0.25">
      <c r="A15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6" s="79">
        <v>4</v>
      </c>
      <c r="C1566" s="23">
        <v>44424</v>
      </c>
      <c r="D1566" s="67">
        <f>IF(COUNTIF($G$2:$G1566,$G1566)=1,1,0)</f>
        <v>0</v>
      </c>
      <c r="E1566" s="67" t="str">
        <f>IFERROR(VLOOKUP(База_КР_КК[[#This Row],[ИД штатной должности (S)]],'уровень защищенности'!$B$7:$F$1095,5,0),"не защищена")</f>
        <v>высокий</v>
      </c>
      <c r="F1566" s="68">
        <v>500461</v>
      </c>
      <c r="G1566" s="74" t="s">
        <v>2501</v>
      </c>
      <c r="H1566" s="181">
        <f>INDEX('Списки данных'!$D$2:$D$1048576,MATCH(База_КР_КК[[#This Row],[Структурное подразделение]],'Списки данных'!$C$2:$C$1048576,0))</f>
        <v>15</v>
      </c>
      <c r="I1566" s="80" t="s">
        <v>161</v>
      </c>
      <c r="J1566" s="80" t="s">
        <v>214</v>
      </c>
      <c r="K1566" s="80" t="s">
        <v>21</v>
      </c>
      <c r="L1566" s="30" t="s">
        <v>191</v>
      </c>
      <c r="M1566" s="68">
        <v>7</v>
      </c>
      <c r="N1566" s="181" t="str">
        <f t="shared" si="25"/>
        <v>нет</v>
      </c>
      <c r="O1566" s="23"/>
      <c r="P1566" s="23"/>
      <c r="Q1566" s="106"/>
      <c r="R1566" s="37">
        <v>332</v>
      </c>
      <c r="S1566" s="38" t="s">
        <v>744</v>
      </c>
      <c r="T1566" s="37">
        <v>1428</v>
      </c>
      <c r="U1566" s="39" t="s">
        <v>1808</v>
      </c>
      <c r="V1566" s="69" t="s">
        <v>272</v>
      </c>
      <c r="W1566" s="89" t="s">
        <v>161</v>
      </c>
      <c r="X1566" s="106" t="s">
        <v>296</v>
      </c>
      <c r="Y1566" s="107" t="s">
        <v>12</v>
      </c>
      <c r="Z1566" s="67">
        <f>IF(База_КР_КК[[#This Row],[Таб.номер резервиста]]="-","-",IF(OR(База_КР_КК[[#This Row],[Уровень КК]]=2,База_КР_КК[[#This Row],[Уровень КК]]=3),IF(COUNTIFS($U$2:$U1566,$U1566,$F$2:$F1566,$F1566)=1,1,0),IF(COUNTIFS($U$2:$U1566,$U1566,$L$2:$L1566,$L1566)=1,1,0)))</f>
        <v>0</v>
      </c>
      <c r="AA15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6" s="106"/>
      <c r="AC1566" s="51"/>
      <c r="AD1566" s="106" t="s">
        <v>15</v>
      </c>
      <c r="AE1566" s="38" t="s">
        <v>347</v>
      </c>
    </row>
    <row r="1567" spans="1:31" ht="18" customHeight="1" x14ac:dyDescent="0.25">
      <c r="A15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7" s="79">
        <v>4</v>
      </c>
      <c r="C1567" s="23">
        <v>44424</v>
      </c>
      <c r="D1567" s="67">
        <f>IF(COUNTIF($G$2:$G1567,$G1567)=1,1,0)</f>
        <v>1</v>
      </c>
      <c r="E1567" s="67" t="str">
        <f>IFERROR(VLOOKUP(База_КР_КК[[#This Row],[ИД штатной должности (S)]],'уровень защищенности'!$B$7:$F$1095,5,0),"не защищена")</f>
        <v>высокий</v>
      </c>
      <c r="F1567" s="68">
        <v>500461</v>
      </c>
      <c r="G1567" s="74" t="s">
        <v>2502</v>
      </c>
      <c r="H1567" s="181">
        <f>INDEX('Списки данных'!$D$2:$D$1048576,MATCH(База_КР_КК[[#This Row],[Структурное подразделение]],'Списки данных'!$C$2:$C$1048576,0))</f>
        <v>15</v>
      </c>
      <c r="I1567" s="80" t="s">
        <v>161</v>
      </c>
      <c r="J1567" s="80" t="s">
        <v>214</v>
      </c>
      <c r="K1567" s="80" t="s">
        <v>21</v>
      </c>
      <c r="L1567" s="30" t="s">
        <v>191</v>
      </c>
      <c r="M1567" s="68">
        <v>7</v>
      </c>
      <c r="N1567" s="181" t="str">
        <f t="shared" si="25"/>
        <v>нет</v>
      </c>
      <c r="O1567" s="23"/>
      <c r="P1567" s="23"/>
      <c r="Q1567" s="106"/>
      <c r="R1567" s="37">
        <v>333</v>
      </c>
      <c r="S1567" s="38" t="s">
        <v>745</v>
      </c>
      <c r="T1567" s="37">
        <v>1426</v>
      </c>
      <c r="U1567" s="39" t="s">
        <v>1806</v>
      </c>
      <c r="V1567" s="69" t="s">
        <v>272</v>
      </c>
      <c r="W1567" s="89" t="s">
        <v>161</v>
      </c>
      <c r="X1567" s="106" t="s">
        <v>295</v>
      </c>
      <c r="Y1567" s="107" t="s">
        <v>12</v>
      </c>
      <c r="Z1567" s="67">
        <f>IF(База_КР_КК[[#This Row],[Таб.номер резервиста]]="-","-",IF(OR(База_КР_КК[[#This Row],[Уровень КК]]=2,База_КР_КК[[#This Row],[Уровень КК]]=3),IF(COUNTIFS($U$2:$U1567,$U1567,$F$2:$F1567,$F1567)=1,1,0),IF(COUNTIFS($U$2:$U1567,$U1567,$L$2:$L1567,$L1567)=1,1,0)))</f>
        <v>0</v>
      </c>
      <c r="AA15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7" s="106"/>
      <c r="AC1567" s="51"/>
      <c r="AD1567" s="106" t="s">
        <v>15</v>
      </c>
      <c r="AE1567" s="38" t="s">
        <v>347</v>
      </c>
    </row>
    <row r="1568" spans="1:31" ht="18" customHeight="1" x14ac:dyDescent="0.25">
      <c r="A15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8" s="79">
        <v>4</v>
      </c>
      <c r="C1568" s="23">
        <v>44424</v>
      </c>
      <c r="D1568" s="67">
        <f>IF(COUNTIF($G$2:$G1568,$G1568)=1,1,0)</f>
        <v>0</v>
      </c>
      <c r="E1568" s="67" t="str">
        <f>IFERROR(VLOOKUP(База_КР_КК[[#This Row],[ИД штатной должности (S)]],'уровень защищенности'!$B$7:$F$1095,5,0),"не защищена")</f>
        <v>высокий</v>
      </c>
      <c r="F1568" s="68">
        <v>500461</v>
      </c>
      <c r="G1568" s="74" t="s">
        <v>2502</v>
      </c>
      <c r="H1568" s="181">
        <f>INDEX('Списки данных'!$D$2:$D$1048576,MATCH(База_КР_КК[[#This Row],[Структурное подразделение]],'Списки данных'!$C$2:$C$1048576,0))</f>
        <v>15</v>
      </c>
      <c r="I1568" s="80" t="s">
        <v>161</v>
      </c>
      <c r="J1568" s="80" t="s">
        <v>214</v>
      </c>
      <c r="K1568" s="80" t="s">
        <v>21</v>
      </c>
      <c r="L1568" s="30" t="s">
        <v>191</v>
      </c>
      <c r="M1568" s="68">
        <v>7</v>
      </c>
      <c r="N1568" s="181" t="str">
        <f t="shared" si="25"/>
        <v>нет</v>
      </c>
      <c r="O1568" s="23"/>
      <c r="P1568" s="23"/>
      <c r="Q1568" s="106"/>
      <c r="R1568" s="37">
        <v>333</v>
      </c>
      <c r="S1568" s="38" t="s">
        <v>745</v>
      </c>
      <c r="T1568" s="37">
        <v>1427</v>
      </c>
      <c r="U1568" s="39" t="s">
        <v>1807</v>
      </c>
      <c r="V1568" s="69" t="s">
        <v>272</v>
      </c>
      <c r="W1568" s="89" t="s">
        <v>161</v>
      </c>
      <c r="X1568" s="106" t="s">
        <v>295</v>
      </c>
      <c r="Y1568" s="107" t="s">
        <v>12</v>
      </c>
      <c r="Z1568" s="67">
        <f>IF(База_КР_КК[[#This Row],[Таб.номер резервиста]]="-","-",IF(OR(База_КР_КК[[#This Row],[Уровень КК]]=2,База_КР_КК[[#This Row],[Уровень КК]]=3),IF(COUNTIFS($U$2:$U1568,$U1568,$F$2:$F1568,$F1568)=1,1,0),IF(COUNTIFS($U$2:$U1568,$U1568,$L$2:$L1568,$L1568)=1,1,0)))</f>
        <v>0</v>
      </c>
      <c r="AA15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8" s="106"/>
      <c r="AC1568" s="51"/>
      <c r="AD1568" s="106" t="s">
        <v>15</v>
      </c>
      <c r="AE1568" s="38" t="s">
        <v>347</v>
      </c>
    </row>
    <row r="1569" spans="1:31" ht="18" customHeight="1" x14ac:dyDescent="0.25">
      <c r="A15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69" s="79">
        <v>4</v>
      </c>
      <c r="C1569" s="23">
        <v>44424</v>
      </c>
      <c r="D1569" s="67">
        <f>IF(COUNTIF($G$2:$G1569,$G1569)=1,1,0)</f>
        <v>0</v>
      </c>
      <c r="E1569" s="67" t="str">
        <f>IFERROR(VLOOKUP(База_КР_КК[[#This Row],[ИД штатной должности (S)]],'уровень защищенности'!$B$7:$F$1095,5,0),"не защищена")</f>
        <v>высокий</v>
      </c>
      <c r="F1569" s="68">
        <v>500461</v>
      </c>
      <c r="G1569" s="74" t="s">
        <v>2502</v>
      </c>
      <c r="H1569" s="181">
        <f>INDEX('Списки данных'!$D$2:$D$1048576,MATCH(База_КР_КК[[#This Row],[Структурное подразделение]],'Списки данных'!$C$2:$C$1048576,0))</f>
        <v>15</v>
      </c>
      <c r="I1569" s="80" t="s">
        <v>161</v>
      </c>
      <c r="J1569" s="80" t="s">
        <v>214</v>
      </c>
      <c r="K1569" s="80" t="s">
        <v>21</v>
      </c>
      <c r="L1569" s="30" t="s">
        <v>191</v>
      </c>
      <c r="M1569" s="68">
        <v>7</v>
      </c>
      <c r="N1569" s="181" t="str">
        <f t="shared" si="25"/>
        <v>нет</v>
      </c>
      <c r="O1569" s="23"/>
      <c r="P1569" s="23"/>
      <c r="Q1569" s="106"/>
      <c r="R1569" s="37">
        <v>333</v>
      </c>
      <c r="S1569" s="38" t="s">
        <v>745</v>
      </c>
      <c r="T1569" s="37">
        <v>1428</v>
      </c>
      <c r="U1569" s="39" t="s">
        <v>1808</v>
      </c>
      <c r="V1569" s="69" t="s">
        <v>272</v>
      </c>
      <c r="W1569" s="89" t="s">
        <v>161</v>
      </c>
      <c r="X1569" s="106" t="s">
        <v>296</v>
      </c>
      <c r="Y1569" s="107" t="s">
        <v>12</v>
      </c>
      <c r="Z1569" s="67">
        <f>IF(База_КР_КК[[#This Row],[Таб.номер резервиста]]="-","-",IF(OR(База_КР_КК[[#This Row],[Уровень КК]]=2,База_КР_КК[[#This Row],[Уровень КК]]=3),IF(COUNTIFS($U$2:$U1569,$U1569,$F$2:$F1569,$F1569)=1,1,0),IF(COUNTIFS($U$2:$U1569,$U1569,$L$2:$L1569,$L1569)=1,1,0)))</f>
        <v>0</v>
      </c>
      <c r="AA15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69" s="106"/>
      <c r="AC1569" s="51"/>
      <c r="AD1569" s="106" t="s">
        <v>15</v>
      </c>
      <c r="AE1569" s="38" t="s">
        <v>347</v>
      </c>
    </row>
    <row r="1570" spans="1:31" ht="18" customHeight="1" x14ac:dyDescent="0.25">
      <c r="A15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0" s="79">
        <v>4</v>
      </c>
      <c r="C1570" s="23">
        <v>44424</v>
      </c>
      <c r="D1570" s="67">
        <f>IF(COUNTIF($G$2:$G1570,$G1570)=1,1,0)</f>
        <v>1</v>
      </c>
      <c r="E1570" s="67" t="str">
        <f>IFERROR(VLOOKUP(База_КР_КК[[#This Row],[ИД штатной должности (S)]],'уровень защищенности'!$B$7:$F$1095,5,0),"не защищена")</f>
        <v>высокий</v>
      </c>
      <c r="F1570" s="68">
        <v>500461</v>
      </c>
      <c r="G1570" s="74" t="s">
        <v>2503</v>
      </c>
      <c r="H1570" s="181">
        <f>INDEX('Списки данных'!$D$2:$D$1048576,MATCH(База_КР_КК[[#This Row],[Структурное подразделение]],'Списки данных'!$C$2:$C$1048576,0))</f>
        <v>15</v>
      </c>
      <c r="I1570" s="80" t="s">
        <v>161</v>
      </c>
      <c r="J1570" s="80" t="s">
        <v>214</v>
      </c>
      <c r="K1570" s="80" t="s">
        <v>21</v>
      </c>
      <c r="L1570" s="30" t="s">
        <v>191</v>
      </c>
      <c r="M1570" s="68">
        <v>7</v>
      </c>
      <c r="N1570" s="181" t="str">
        <f t="shared" si="25"/>
        <v>нет</v>
      </c>
      <c r="O1570" s="23"/>
      <c r="P1570" s="23"/>
      <c r="Q1570" s="106"/>
      <c r="R1570" s="37">
        <v>334</v>
      </c>
      <c r="S1570" s="38" t="s">
        <v>746</v>
      </c>
      <c r="T1570" s="37">
        <v>1426</v>
      </c>
      <c r="U1570" s="39" t="s">
        <v>1806</v>
      </c>
      <c r="V1570" s="69" t="s">
        <v>272</v>
      </c>
      <c r="W1570" s="89" t="s">
        <v>161</v>
      </c>
      <c r="X1570" s="106" t="s">
        <v>295</v>
      </c>
      <c r="Y1570" s="107" t="s">
        <v>12</v>
      </c>
      <c r="Z1570" s="67">
        <f>IF(База_КР_КК[[#This Row],[Таб.номер резервиста]]="-","-",IF(OR(База_КР_КК[[#This Row],[Уровень КК]]=2,База_КР_КК[[#This Row],[Уровень КК]]=3),IF(COUNTIFS($U$2:$U1570,$U1570,$F$2:$F1570,$F1570)=1,1,0),IF(COUNTIFS($U$2:$U1570,$U1570,$L$2:$L1570,$L1570)=1,1,0)))</f>
        <v>0</v>
      </c>
      <c r="AA15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0" s="106"/>
      <c r="AC1570" s="51"/>
      <c r="AD1570" s="106" t="s">
        <v>15</v>
      </c>
      <c r="AE1570" s="38" t="s">
        <v>347</v>
      </c>
    </row>
    <row r="1571" spans="1:31" ht="18" customHeight="1" x14ac:dyDescent="0.25">
      <c r="A15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1" s="79">
        <v>4</v>
      </c>
      <c r="C1571" s="23">
        <v>44424</v>
      </c>
      <c r="D1571" s="67">
        <f>IF(COUNTIF($G$2:$G1571,$G1571)=1,1,0)</f>
        <v>0</v>
      </c>
      <c r="E1571" s="67" t="str">
        <f>IFERROR(VLOOKUP(База_КР_КК[[#This Row],[ИД штатной должности (S)]],'уровень защищенности'!$B$7:$F$1095,5,0),"не защищена")</f>
        <v>высокий</v>
      </c>
      <c r="F1571" s="68">
        <v>500461</v>
      </c>
      <c r="G1571" s="74" t="s">
        <v>2503</v>
      </c>
      <c r="H1571" s="181">
        <f>INDEX('Списки данных'!$D$2:$D$1048576,MATCH(База_КР_КК[[#This Row],[Структурное подразделение]],'Списки данных'!$C$2:$C$1048576,0))</f>
        <v>15</v>
      </c>
      <c r="I1571" s="80" t="s">
        <v>161</v>
      </c>
      <c r="J1571" s="80" t="s">
        <v>214</v>
      </c>
      <c r="K1571" s="80" t="s">
        <v>21</v>
      </c>
      <c r="L1571" s="30" t="s">
        <v>191</v>
      </c>
      <c r="M1571" s="68">
        <v>7</v>
      </c>
      <c r="N1571" s="181" t="str">
        <f t="shared" si="25"/>
        <v>нет</v>
      </c>
      <c r="O1571" s="23"/>
      <c r="P1571" s="23"/>
      <c r="Q1571" s="106"/>
      <c r="R1571" s="37">
        <v>334</v>
      </c>
      <c r="S1571" s="38" t="s">
        <v>746</v>
      </c>
      <c r="T1571" s="37">
        <v>1427</v>
      </c>
      <c r="U1571" s="39" t="s">
        <v>1807</v>
      </c>
      <c r="V1571" s="69" t="s">
        <v>272</v>
      </c>
      <c r="W1571" s="89" t="s">
        <v>161</v>
      </c>
      <c r="X1571" s="106" t="s">
        <v>295</v>
      </c>
      <c r="Y1571" s="107" t="s">
        <v>12</v>
      </c>
      <c r="Z1571" s="67">
        <f>IF(База_КР_КК[[#This Row],[Таб.номер резервиста]]="-","-",IF(OR(База_КР_КК[[#This Row],[Уровень КК]]=2,База_КР_КК[[#This Row],[Уровень КК]]=3),IF(COUNTIFS($U$2:$U1571,$U1571,$F$2:$F1571,$F1571)=1,1,0),IF(COUNTIFS($U$2:$U1571,$U1571,$L$2:$L1571,$L1571)=1,1,0)))</f>
        <v>0</v>
      </c>
      <c r="AA15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1" s="106"/>
      <c r="AC1571" s="51"/>
      <c r="AD1571" s="106" t="s">
        <v>15</v>
      </c>
      <c r="AE1571" s="38" t="s">
        <v>347</v>
      </c>
    </row>
    <row r="1572" spans="1:31" ht="18" customHeight="1" x14ac:dyDescent="0.25">
      <c r="A15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2" s="79">
        <v>4</v>
      </c>
      <c r="C1572" s="23">
        <v>44424</v>
      </c>
      <c r="D1572" s="67">
        <f>IF(COUNTIF($G$2:$G1572,$G1572)=1,1,0)</f>
        <v>0</v>
      </c>
      <c r="E1572" s="67" t="str">
        <f>IFERROR(VLOOKUP(База_КР_КК[[#This Row],[ИД штатной должности (S)]],'уровень защищенности'!$B$7:$F$1095,5,0),"не защищена")</f>
        <v>высокий</v>
      </c>
      <c r="F1572" s="68">
        <v>500461</v>
      </c>
      <c r="G1572" s="74" t="s">
        <v>2503</v>
      </c>
      <c r="H1572" s="181">
        <f>INDEX('Списки данных'!$D$2:$D$1048576,MATCH(База_КР_КК[[#This Row],[Структурное подразделение]],'Списки данных'!$C$2:$C$1048576,0))</f>
        <v>15</v>
      </c>
      <c r="I1572" s="80" t="s">
        <v>161</v>
      </c>
      <c r="J1572" s="80" t="s">
        <v>214</v>
      </c>
      <c r="K1572" s="80" t="s">
        <v>21</v>
      </c>
      <c r="L1572" s="30" t="s">
        <v>191</v>
      </c>
      <c r="M1572" s="68">
        <v>7</v>
      </c>
      <c r="N1572" s="181" t="str">
        <f t="shared" si="25"/>
        <v>нет</v>
      </c>
      <c r="O1572" s="23"/>
      <c r="P1572" s="23"/>
      <c r="Q1572" s="106"/>
      <c r="R1572" s="37">
        <v>334</v>
      </c>
      <c r="S1572" s="38" t="s">
        <v>746</v>
      </c>
      <c r="T1572" s="37">
        <v>1428</v>
      </c>
      <c r="U1572" s="39" t="s">
        <v>1808</v>
      </c>
      <c r="V1572" s="69" t="s">
        <v>272</v>
      </c>
      <c r="W1572" s="89" t="s">
        <v>161</v>
      </c>
      <c r="X1572" s="106" t="s">
        <v>296</v>
      </c>
      <c r="Y1572" s="107" t="s">
        <v>12</v>
      </c>
      <c r="Z1572" s="67">
        <f>IF(База_КР_КК[[#This Row],[Таб.номер резервиста]]="-","-",IF(OR(База_КР_КК[[#This Row],[Уровень КК]]=2,База_КР_КК[[#This Row],[Уровень КК]]=3),IF(COUNTIFS($U$2:$U1572,$U1572,$F$2:$F1572,$F1572)=1,1,0),IF(COUNTIFS($U$2:$U1572,$U1572,$L$2:$L1572,$L1572)=1,1,0)))</f>
        <v>0</v>
      </c>
      <c r="AA15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2" s="106"/>
      <c r="AC1572" s="51"/>
      <c r="AD1572" s="106" t="s">
        <v>15</v>
      </c>
      <c r="AE1572" s="38" t="s">
        <v>347</v>
      </c>
    </row>
    <row r="1573" spans="1:31" ht="18" customHeight="1" x14ac:dyDescent="0.25">
      <c r="A15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3" s="79">
        <v>3</v>
      </c>
      <c r="C1573" s="23">
        <v>43781</v>
      </c>
      <c r="D1573" s="67">
        <f>IF(COUNTIF($G$2:$G1573,$G1573)=1,1,0)</f>
        <v>1</v>
      </c>
      <c r="E1573" s="67" t="str">
        <f>IFERROR(VLOOKUP(База_КР_КК[[#This Row],[ИД штатной должности (S)]],'уровень защищенности'!$B$7:$F$1095,5,0),"не защищена")</f>
        <v>низкий</v>
      </c>
      <c r="F1573" s="68">
        <v>500462</v>
      </c>
      <c r="G1573" s="74" t="s">
        <v>2504</v>
      </c>
      <c r="H1573" s="181">
        <f>INDEX('Списки данных'!$D$2:$D$1048576,MATCH(База_КР_КК[[#This Row],[Структурное подразделение]],'Списки данных'!$C$2:$C$1048576,0))</f>
        <v>15</v>
      </c>
      <c r="I1573" s="80" t="s">
        <v>161</v>
      </c>
      <c r="J1573" s="80" t="s">
        <v>214</v>
      </c>
      <c r="K1573" s="80" t="s">
        <v>21</v>
      </c>
      <c r="L1573" s="30" t="s">
        <v>198</v>
      </c>
      <c r="M1573" s="68">
        <v>6</v>
      </c>
      <c r="N1573" s="181" t="str">
        <f t="shared" si="25"/>
        <v>нет</v>
      </c>
      <c r="O1573" s="23"/>
      <c r="P1573" s="23"/>
      <c r="Q1573" s="106"/>
      <c r="R1573" s="37">
        <v>335</v>
      </c>
      <c r="S1573" s="38" t="s">
        <v>747</v>
      </c>
      <c r="T1573" s="37">
        <v>1377</v>
      </c>
      <c r="U1573" s="39" t="s">
        <v>1569</v>
      </c>
      <c r="V1573" s="89" t="s">
        <v>16</v>
      </c>
      <c r="W1573" s="89" t="s">
        <v>281</v>
      </c>
      <c r="X1573" s="106" t="s">
        <v>296</v>
      </c>
      <c r="Y1573" s="107" t="s">
        <v>12</v>
      </c>
      <c r="Z1573" s="67">
        <f>IF(База_КР_КК[[#This Row],[Таб.номер резервиста]]="-","-",IF(OR(База_КР_КК[[#This Row],[Уровень КК]]=2,База_КР_КК[[#This Row],[Уровень КК]]=3),IF(COUNTIFS($U$2:$U1573,$U1573,$F$2:$F1573,$F1573)=1,1,0),IF(COUNTIFS($U$2:$U1573,$U1573,$L$2:$L1573,$L1573)=1,1,0)))</f>
        <v>1</v>
      </c>
      <c r="AA15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3" s="106"/>
      <c r="AC1573" s="51"/>
      <c r="AD1573" s="106" t="s">
        <v>13</v>
      </c>
      <c r="AE1573" s="38" t="s">
        <v>345</v>
      </c>
    </row>
    <row r="1574" spans="1:31" ht="18" customHeight="1" x14ac:dyDescent="0.25">
      <c r="A15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4" s="79">
        <v>3</v>
      </c>
      <c r="C1574" s="23">
        <v>44707</v>
      </c>
      <c r="D1574" s="67">
        <f>IF(COUNTIF($G$2:$G1574,$G1574)=1,1,0)</f>
        <v>0</v>
      </c>
      <c r="E1574" s="67" t="str">
        <f>IFERROR(VLOOKUP(База_КР_КК[[#This Row],[ИД штатной должности (S)]],'уровень защищенности'!$B$7:$F$1095,5,0),"не защищена")</f>
        <v>низкий</v>
      </c>
      <c r="F1574" s="68">
        <v>500462</v>
      </c>
      <c r="G1574" s="74" t="s">
        <v>2504</v>
      </c>
      <c r="H1574" s="181">
        <f>INDEX('Списки данных'!$D$2:$D$1048576,MATCH(База_КР_КК[[#This Row],[Структурное подразделение]],'Списки данных'!$C$2:$C$1048576,0))</f>
        <v>15</v>
      </c>
      <c r="I1574" s="80" t="s">
        <v>161</v>
      </c>
      <c r="J1574" s="80" t="s">
        <v>214</v>
      </c>
      <c r="K1574" s="80" t="s">
        <v>21</v>
      </c>
      <c r="L1574" s="30" t="s">
        <v>198</v>
      </c>
      <c r="M1574" s="68">
        <v>6</v>
      </c>
      <c r="N1574" s="181" t="str">
        <f t="shared" si="25"/>
        <v>нет</v>
      </c>
      <c r="O1574" s="23"/>
      <c r="P1574" s="23"/>
      <c r="Q1574" s="106"/>
      <c r="R1574" s="37">
        <v>335</v>
      </c>
      <c r="S1574" s="38" t="s">
        <v>747</v>
      </c>
      <c r="T1574" s="37">
        <v>336</v>
      </c>
      <c r="U1574" s="39" t="s">
        <v>748</v>
      </c>
      <c r="V1574" s="69" t="s">
        <v>192</v>
      </c>
      <c r="W1574" s="89" t="s">
        <v>161</v>
      </c>
      <c r="X1574" s="106" t="s">
        <v>296</v>
      </c>
      <c r="Y1574" s="107" t="s">
        <v>12</v>
      </c>
      <c r="Z1574" s="67">
        <f>IF(База_КР_КК[[#This Row],[Таб.номер резервиста]]="-","-",IF(OR(База_КР_КК[[#This Row],[Уровень КК]]=2,База_КР_КК[[#This Row],[Уровень КК]]=3),IF(COUNTIFS($U$2:$U1574,$U1574,$F$2:$F1574,$F1574)=1,1,0),IF(COUNTIFS($U$2:$U1574,$U1574,$L$2:$L1574,$L1574)=1,1,0)))</f>
        <v>1</v>
      </c>
      <c r="AA15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4" s="106"/>
      <c r="AC1574" s="51"/>
      <c r="AD1574" s="106" t="s">
        <v>15</v>
      </c>
      <c r="AE1574" s="38" t="s">
        <v>345</v>
      </c>
    </row>
    <row r="1575" spans="1:31" ht="18" customHeight="1" x14ac:dyDescent="0.25">
      <c r="A15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5" s="79">
        <v>3</v>
      </c>
      <c r="C1575" s="23">
        <v>44707</v>
      </c>
      <c r="D1575" s="67">
        <f>IF(COUNTIF($G$2:$G1575,$G1575)=1,1,0)</f>
        <v>0</v>
      </c>
      <c r="E1575" s="67" t="str">
        <f>IFERROR(VLOOKUP(База_КР_КК[[#This Row],[ИД штатной должности (S)]],'уровень защищенности'!$B$7:$F$1095,5,0),"не защищена")</f>
        <v>низкий</v>
      </c>
      <c r="F1575" s="68">
        <v>500462</v>
      </c>
      <c r="G1575" s="74" t="s">
        <v>2504</v>
      </c>
      <c r="H1575" s="181">
        <f>INDEX('Списки данных'!$D$2:$D$1048576,MATCH(База_КР_КК[[#This Row],[Структурное подразделение]],'Списки данных'!$C$2:$C$1048576,0))</f>
        <v>15</v>
      </c>
      <c r="I1575" s="80" t="s">
        <v>161</v>
      </c>
      <c r="J1575" s="80" t="s">
        <v>214</v>
      </c>
      <c r="K1575" s="80" t="s">
        <v>21</v>
      </c>
      <c r="L1575" s="30" t="s">
        <v>198</v>
      </c>
      <c r="M1575" s="68">
        <v>6</v>
      </c>
      <c r="N1575" s="181" t="str">
        <f t="shared" si="25"/>
        <v>нет</v>
      </c>
      <c r="O1575" s="23"/>
      <c r="P1575" s="23"/>
      <c r="Q1575" s="106"/>
      <c r="R1575" s="37">
        <v>335</v>
      </c>
      <c r="S1575" s="38" t="s">
        <v>747</v>
      </c>
      <c r="T1575" s="37">
        <v>1427</v>
      </c>
      <c r="U1575" s="39" t="s">
        <v>1807</v>
      </c>
      <c r="V1575" s="69" t="s">
        <v>272</v>
      </c>
      <c r="W1575" s="89" t="s">
        <v>161</v>
      </c>
      <c r="X1575" s="106" t="s">
        <v>296</v>
      </c>
      <c r="Y1575" s="107" t="s">
        <v>12</v>
      </c>
      <c r="Z1575" s="67">
        <f>IF(База_КР_КК[[#This Row],[Таб.номер резервиста]]="-","-",IF(OR(База_КР_КК[[#This Row],[Уровень КК]]=2,База_КР_КК[[#This Row],[Уровень КК]]=3),IF(COUNTIFS($U$2:$U1575,$U1575,$F$2:$F1575,$F1575)=1,1,0),IF(COUNTIFS($U$2:$U1575,$U1575,$L$2:$L1575,$L1575)=1,1,0)))</f>
        <v>1</v>
      </c>
      <c r="AA15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5" s="106"/>
      <c r="AC1575" s="51"/>
      <c r="AD1575" s="106" t="s">
        <v>15</v>
      </c>
      <c r="AE1575" s="38" t="s">
        <v>345</v>
      </c>
    </row>
    <row r="1576" spans="1:31" ht="18" customHeight="1" x14ac:dyDescent="0.25">
      <c r="A15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6" s="79">
        <v>3</v>
      </c>
      <c r="C1576" s="23">
        <v>43781</v>
      </c>
      <c r="D1576" s="67">
        <f>IF(COUNTIF($G$2:$G1576,$G1576)=1,1,0)</f>
        <v>0</v>
      </c>
      <c r="E1576" s="67" t="str">
        <f>IFERROR(VLOOKUP(База_КР_КК[[#This Row],[ИД штатной должности (S)]],'уровень защищенности'!$B$7:$F$1095,5,0),"не защищена")</f>
        <v>низкий</v>
      </c>
      <c r="F1576" s="68">
        <v>500462</v>
      </c>
      <c r="G1576" s="74" t="s">
        <v>2504</v>
      </c>
      <c r="H1576" s="181">
        <f>INDEX('Списки данных'!$D$2:$D$1048576,MATCH(База_КР_КК[[#This Row],[Структурное подразделение]],'Списки данных'!$C$2:$C$1048576,0))</f>
        <v>15</v>
      </c>
      <c r="I1576" s="80" t="s">
        <v>161</v>
      </c>
      <c r="J1576" s="80" t="s">
        <v>214</v>
      </c>
      <c r="K1576" s="80" t="s">
        <v>21</v>
      </c>
      <c r="L1576" s="30" t="s">
        <v>198</v>
      </c>
      <c r="M1576" s="68">
        <v>6</v>
      </c>
      <c r="N1576" s="181" t="str">
        <f t="shared" si="25"/>
        <v>нет</v>
      </c>
      <c r="O1576" s="23"/>
      <c r="P1576" s="23"/>
      <c r="Q1576" s="106"/>
      <c r="R1576" s="37">
        <v>335</v>
      </c>
      <c r="S1576" s="38" t="s">
        <v>747</v>
      </c>
      <c r="T1576" s="37">
        <v>1429</v>
      </c>
      <c r="U1576" s="39" t="s">
        <v>1809</v>
      </c>
      <c r="V1576" s="89" t="s">
        <v>272</v>
      </c>
      <c r="W1576" s="89" t="s">
        <v>161</v>
      </c>
      <c r="X1576" s="106" t="s">
        <v>296</v>
      </c>
      <c r="Y1576" s="107" t="s">
        <v>18</v>
      </c>
      <c r="Z1576" s="67">
        <f>IF(База_КР_КК[[#This Row],[Таб.номер резервиста]]="-","-",IF(OR(База_КР_КК[[#This Row],[Уровень КК]]=2,База_КР_КК[[#This Row],[Уровень КК]]=3),IF(COUNTIFS($U$2:$U1576,$U1576,$F$2:$F1576,$F1576)=1,1,0),IF(COUNTIFS($U$2:$U1576,$U1576,$L$2:$L1576,$L1576)=1,1,0)))</f>
        <v>1</v>
      </c>
      <c r="AA15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6" s="106" t="s">
        <v>19</v>
      </c>
      <c r="AC1576" s="51">
        <v>44509</v>
      </c>
      <c r="AD1576" s="106" t="s">
        <v>13</v>
      </c>
      <c r="AE1576" s="38" t="s">
        <v>348</v>
      </c>
    </row>
    <row r="1577" spans="1:31" ht="18" customHeight="1" x14ac:dyDescent="0.25">
      <c r="A15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7" s="79">
        <v>3</v>
      </c>
      <c r="C1577" s="23">
        <v>43425</v>
      </c>
      <c r="D1577" s="67">
        <f>IF(COUNTIF($G$2:$G1577,$G1577)=1,1,0)</f>
        <v>0</v>
      </c>
      <c r="E1577" s="67" t="str">
        <f>IFERROR(VLOOKUP(База_КР_КК[[#This Row],[ИД штатной должности (S)]],'уровень защищенности'!$B$7:$F$1095,5,0),"не защищена")</f>
        <v>низкий</v>
      </c>
      <c r="F1577" s="68">
        <v>500462</v>
      </c>
      <c r="G1577" s="74" t="s">
        <v>2504</v>
      </c>
      <c r="H1577" s="181">
        <f>INDEX('Списки данных'!$D$2:$D$1048576,MATCH(База_КР_КК[[#This Row],[Структурное подразделение]],'Списки данных'!$C$2:$C$1048576,0))</f>
        <v>15</v>
      </c>
      <c r="I1577" s="80" t="s">
        <v>161</v>
      </c>
      <c r="J1577" s="80" t="s">
        <v>214</v>
      </c>
      <c r="K1577" s="80" t="s">
        <v>21</v>
      </c>
      <c r="L1577" s="30" t="s">
        <v>198</v>
      </c>
      <c r="M1577" s="68">
        <v>6</v>
      </c>
      <c r="N1577" s="181" t="str">
        <f t="shared" si="25"/>
        <v>нет</v>
      </c>
      <c r="O1577" s="23"/>
      <c r="P1577" s="23"/>
      <c r="Q1577" s="106"/>
      <c r="R1577" s="37">
        <v>335</v>
      </c>
      <c r="S1577" s="38" t="s">
        <v>747</v>
      </c>
      <c r="T1577" s="37">
        <v>1430</v>
      </c>
      <c r="U1577" s="39" t="s">
        <v>1810</v>
      </c>
      <c r="V1577" s="89" t="s">
        <v>192</v>
      </c>
      <c r="W1577" s="89" t="s">
        <v>161</v>
      </c>
      <c r="X1577" s="106" t="s">
        <v>295</v>
      </c>
      <c r="Y1577" s="107" t="s">
        <v>18</v>
      </c>
      <c r="Z1577" s="67">
        <f>IF(База_КР_КК[[#This Row],[Таб.номер резервиста]]="-","-",IF(OR(База_КР_КК[[#This Row],[Уровень КК]]=2,База_КР_КК[[#This Row],[Уровень КК]]=3),IF(COUNTIFS($U$2:$U1577,$U1577,$F$2:$F1577,$F1577)=1,1,0),IF(COUNTIFS($U$2:$U1577,$U1577,$L$2:$L1577,$L1577)=1,1,0)))</f>
        <v>1</v>
      </c>
      <c r="AA15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7" s="106" t="s">
        <v>44</v>
      </c>
      <c r="AC1577" s="51">
        <v>43781</v>
      </c>
      <c r="AD1577" s="106" t="s">
        <v>15</v>
      </c>
      <c r="AE1577" s="41" t="s">
        <v>349</v>
      </c>
    </row>
    <row r="1578" spans="1:31" ht="18" customHeight="1" x14ac:dyDescent="0.25">
      <c r="A15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8" s="79">
        <v>3</v>
      </c>
      <c r="C1578" s="23">
        <v>43781</v>
      </c>
      <c r="D1578" s="67">
        <f>IF(COUNTIF($G$2:$G1578,$G1578)=1,1,0)</f>
        <v>0</v>
      </c>
      <c r="E1578" s="67" t="str">
        <f>IFERROR(VLOOKUP(База_КР_КК[[#This Row],[ИД штатной должности (S)]],'уровень защищенности'!$B$7:$F$1095,5,0),"не защищена")</f>
        <v>низкий</v>
      </c>
      <c r="F1578" s="68">
        <v>500462</v>
      </c>
      <c r="G1578" s="74" t="s">
        <v>2504</v>
      </c>
      <c r="H1578" s="181">
        <f>INDEX('Списки данных'!$D$2:$D$1048576,MATCH(База_КР_КК[[#This Row],[Структурное подразделение]],'Списки данных'!$C$2:$C$1048576,0))</f>
        <v>15</v>
      </c>
      <c r="I1578" s="80" t="s">
        <v>161</v>
      </c>
      <c r="J1578" s="80" t="s">
        <v>214</v>
      </c>
      <c r="K1578" s="80" t="s">
        <v>21</v>
      </c>
      <c r="L1578" s="30" t="s">
        <v>198</v>
      </c>
      <c r="M1578" s="68">
        <v>6</v>
      </c>
      <c r="N1578" s="181" t="str">
        <f t="shared" si="25"/>
        <v>нет</v>
      </c>
      <c r="O1578" s="23"/>
      <c r="P1578" s="23"/>
      <c r="Q1578" s="106"/>
      <c r="R1578" s="37">
        <v>335</v>
      </c>
      <c r="S1578" s="38" t="s">
        <v>747</v>
      </c>
      <c r="T1578" s="37">
        <v>340</v>
      </c>
      <c r="U1578" s="39" t="s">
        <v>752</v>
      </c>
      <c r="V1578" s="69" t="s">
        <v>192</v>
      </c>
      <c r="W1578" s="89" t="s">
        <v>161</v>
      </c>
      <c r="X1578" s="106" t="s">
        <v>296</v>
      </c>
      <c r="Y1578" s="107" t="s">
        <v>18</v>
      </c>
      <c r="Z1578" s="67">
        <f>IF(База_КР_КК[[#This Row],[Таб.номер резервиста]]="-","-",IF(OR(База_КР_КК[[#This Row],[Уровень КК]]=2,База_КР_КК[[#This Row],[Уровень КК]]=3),IF(COUNTIFS($U$2:$U1578,$U1578,$F$2:$F1578,$F1578)=1,1,0),IF(COUNTIFS($U$2:$U1578,$U1578,$L$2:$L1578,$L1578)=1,1,0)))</f>
        <v>1</v>
      </c>
      <c r="AA15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8" s="106" t="s">
        <v>38</v>
      </c>
      <c r="AC1578" s="51">
        <v>44707</v>
      </c>
      <c r="AD1578" s="106" t="s">
        <v>31</v>
      </c>
      <c r="AE1578" s="38" t="s">
        <v>345</v>
      </c>
    </row>
    <row r="1579" spans="1:31" ht="18" customHeight="1" x14ac:dyDescent="0.25">
      <c r="A15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79" s="79">
        <v>4</v>
      </c>
      <c r="C1579" s="23">
        <v>44424</v>
      </c>
      <c r="D1579" s="67">
        <f>IF(COUNTIF($G$2:$G1579,$G1579)=1,1,0)</f>
        <v>1</v>
      </c>
      <c r="E1579" s="67" t="str">
        <f>IFERROR(VLOOKUP(База_КР_КК[[#This Row],[ИД штатной должности (S)]],'уровень защищенности'!$B$7:$F$1095,5,0),"не защищена")</f>
        <v>не защищена</v>
      </c>
      <c r="F1579" s="68">
        <v>500463</v>
      </c>
      <c r="G1579" s="74" t="s">
        <v>2505</v>
      </c>
      <c r="H1579" s="181">
        <f>INDEX('Списки данных'!$D$2:$D$1048576,MATCH(База_КР_КК[[#This Row],[Структурное подразделение]],'Списки данных'!$C$2:$C$1048576,0))</f>
        <v>15</v>
      </c>
      <c r="I1579" s="80" t="s">
        <v>161</v>
      </c>
      <c r="J1579" s="80" t="s">
        <v>214</v>
      </c>
      <c r="K1579" s="80" t="s">
        <v>21</v>
      </c>
      <c r="L1579" s="30" t="s">
        <v>192</v>
      </c>
      <c r="M1579" s="68">
        <v>7</v>
      </c>
      <c r="N1579" s="181" t="str">
        <f t="shared" si="25"/>
        <v>нет</v>
      </c>
      <c r="O1579" s="23"/>
      <c r="P1579" s="23"/>
      <c r="Q1579" s="106"/>
      <c r="R1579" s="37">
        <v>336</v>
      </c>
      <c r="S1579" s="38" t="s">
        <v>748</v>
      </c>
      <c r="T1579" s="37">
        <v>1429</v>
      </c>
      <c r="U1579" s="39" t="s">
        <v>1809</v>
      </c>
      <c r="V1579" s="69" t="s">
        <v>272</v>
      </c>
      <c r="W1579" s="89" t="s">
        <v>161</v>
      </c>
      <c r="X1579" s="106" t="s">
        <v>295</v>
      </c>
      <c r="Y1579" s="107" t="s">
        <v>18</v>
      </c>
      <c r="Z1579" s="67">
        <f>IF(База_КР_КК[[#This Row],[Таб.номер резервиста]]="-","-",IF(OR(База_КР_КК[[#This Row],[Уровень КК]]=2,База_КР_КК[[#This Row],[Уровень КК]]=3),IF(COUNTIFS($U$2:$U1579,$U1579,$F$2:$F1579,$F1579)=1,1,0),IF(COUNTIFS($U$2:$U1579,$U1579,$L$2:$L1579,$L1579)=1,1,0)))</f>
        <v>1</v>
      </c>
      <c r="AA15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79" s="106" t="s">
        <v>19</v>
      </c>
      <c r="AC1579" s="51">
        <v>44509</v>
      </c>
      <c r="AD1579" s="106" t="s">
        <v>15</v>
      </c>
      <c r="AE1579" s="38" t="s">
        <v>347</v>
      </c>
    </row>
    <row r="1580" spans="1:31" ht="18" customHeight="1" x14ac:dyDescent="0.25">
      <c r="A15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0" s="79">
        <v>4</v>
      </c>
      <c r="C1580" s="23">
        <v>44424</v>
      </c>
      <c r="D1580" s="67">
        <f>IF(COUNTIF($G$2:$G1580,$G1580)=1,1,0)</f>
        <v>1</v>
      </c>
      <c r="E1580" s="67" t="str">
        <f>IFERROR(VLOOKUP(База_КР_КК[[#This Row],[ИД штатной должности (S)]],'уровень защищенности'!$B$7:$F$1095,5,0),"не защищена")</f>
        <v>высокий</v>
      </c>
      <c r="F1580" s="68">
        <v>500464</v>
      </c>
      <c r="G1580" s="74" t="s">
        <v>2506</v>
      </c>
      <c r="H1580" s="181">
        <f>INDEX('Списки данных'!$D$2:$D$1048576,MATCH(База_КР_КК[[#This Row],[Структурное подразделение]],'Списки данных'!$C$2:$C$1048576,0))</f>
        <v>15</v>
      </c>
      <c r="I1580" s="80" t="s">
        <v>161</v>
      </c>
      <c r="J1580" s="80" t="s">
        <v>214</v>
      </c>
      <c r="K1580" s="80" t="s">
        <v>21</v>
      </c>
      <c r="L1580" s="30" t="s">
        <v>192</v>
      </c>
      <c r="M1580" s="68">
        <v>7</v>
      </c>
      <c r="N1580" s="181" t="str">
        <f t="shared" si="25"/>
        <v>да</v>
      </c>
      <c r="O1580" s="23">
        <v>44805</v>
      </c>
      <c r="P1580" s="23">
        <v>44805</v>
      </c>
      <c r="Q1580" s="106" t="s">
        <v>66</v>
      </c>
      <c r="R1580" s="37">
        <v>337</v>
      </c>
      <c r="S1580" s="39" t="s">
        <v>749</v>
      </c>
      <c r="T1580" s="37">
        <v>1394</v>
      </c>
      <c r="U1580" s="39" t="s">
        <v>1777</v>
      </c>
      <c r="V1580" s="69" t="s">
        <v>272</v>
      </c>
      <c r="W1580" s="89" t="s">
        <v>161</v>
      </c>
      <c r="X1580" s="106" t="s">
        <v>295</v>
      </c>
      <c r="Y1580" s="107" t="s">
        <v>12</v>
      </c>
      <c r="Z1580" s="67">
        <f>IF(База_КР_КК[[#This Row],[Таб.номер резервиста]]="-","-",IF(OR(База_КР_КК[[#This Row],[Уровень КК]]=2,База_КР_КК[[#This Row],[Уровень КК]]=3),IF(COUNTIFS($U$2:$U1580,$U1580,$F$2:$F1580,$F1580)=1,1,0),IF(COUNTIFS($U$2:$U1580,$U1580,$L$2:$L1580,$L1580)=1,1,0)))</f>
        <v>0</v>
      </c>
      <c r="AA15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80" s="106"/>
      <c r="AC1580" s="51"/>
      <c r="AD1580" s="106" t="s">
        <v>15</v>
      </c>
      <c r="AE1580" s="38" t="s">
        <v>347</v>
      </c>
    </row>
    <row r="1581" spans="1:31" ht="18" customHeight="1" x14ac:dyDescent="0.25">
      <c r="A15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1" s="79">
        <v>4</v>
      </c>
      <c r="C1581" s="23">
        <v>44887</v>
      </c>
      <c r="D1581" s="67">
        <f>IF(COUNTIF($G$2:$G1581,$G1581)=1,1,0)</f>
        <v>0</v>
      </c>
      <c r="E1581" s="67" t="str">
        <f>IFERROR(VLOOKUP(База_КР_КК[[#This Row],[ИД штатной должности (S)]],'уровень защищенности'!$B$7:$F$1095,5,0),"не защищена")</f>
        <v>высокий</v>
      </c>
      <c r="F1581" s="68">
        <v>500464</v>
      </c>
      <c r="G1581" s="74" t="s">
        <v>2506</v>
      </c>
      <c r="H1581" s="181">
        <f>INDEX('Списки данных'!$D$2:$D$1048576,MATCH(База_КР_КК[[#This Row],[Структурное подразделение]],'Списки данных'!$C$2:$C$1048576,0))</f>
        <v>15</v>
      </c>
      <c r="I1581" s="80" t="s">
        <v>161</v>
      </c>
      <c r="J1581" s="80" t="s">
        <v>214</v>
      </c>
      <c r="K1581" s="80" t="s">
        <v>21</v>
      </c>
      <c r="L1581" s="30" t="s">
        <v>192</v>
      </c>
      <c r="M1581" s="68">
        <v>7</v>
      </c>
      <c r="N1581" s="181" t="str">
        <f t="shared" si="25"/>
        <v>да</v>
      </c>
      <c r="O1581" s="23">
        <v>44805</v>
      </c>
      <c r="P1581" s="23">
        <v>44805</v>
      </c>
      <c r="Q1581" s="106" t="s">
        <v>66</v>
      </c>
      <c r="R1581" s="37">
        <v>337</v>
      </c>
      <c r="S1581" s="39" t="s">
        <v>749</v>
      </c>
      <c r="T1581" s="37">
        <v>1431</v>
      </c>
      <c r="U1581" s="39" t="s">
        <v>1811</v>
      </c>
      <c r="V1581" s="69" t="s">
        <v>272</v>
      </c>
      <c r="W1581" s="89" t="s">
        <v>161</v>
      </c>
      <c r="X1581" s="106" t="s">
        <v>296</v>
      </c>
      <c r="Y1581" s="107" t="s">
        <v>12</v>
      </c>
      <c r="Z1581" s="67">
        <f>IF(База_КР_КК[[#This Row],[Таб.номер резервиста]]="-","-",IF(OR(База_КР_КК[[#This Row],[Уровень КК]]=2,База_КР_КК[[#This Row],[Уровень КК]]=3),IF(COUNTIFS($U$2:$U1581,$U1581,$F$2:$F1581,$F1581)=1,1,0),IF(COUNTIFS($U$2:$U1581,$U1581,$L$2:$L1581,$L1581)=1,1,0)))</f>
        <v>1</v>
      </c>
      <c r="AA15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81" s="106"/>
      <c r="AC1581" s="51"/>
      <c r="AD1581" s="106" t="s">
        <v>15</v>
      </c>
      <c r="AE1581" s="40" t="s">
        <v>310</v>
      </c>
    </row>
    <row r="1582" spans="1:31" ht="18" customHeight="1" x14ac:dyDescent="0.25">
      <c r="A15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2" s="79">
        <v>4</v>
      </c>
      <c r="C1582" s="23">
        <v>44424</v>
      </c>
      <c r="D1582" s="67">
        <f>IF(COUNTIF($G$2:$G1582,$G1582)=1,1,0)</f>
        <v>0</v>
      </c>
      <c r="E1582" s="67" t="str">
        <f>IFERROR(VLOOKUP(База_КР_КК[[#This Row],[ИД штатной должности (S)]],'уровень защищенности'!$B$7:$F$1095,5,0),"не защищена")</f>
        <v>высокий</v>
      </c>
      <c r="F1582" s="68">
        <v>500464</v>
      </c>
      <c r="G1582" s="74" t="s">
        <v>2506</v>
      </c>
      <c r="H1582" s="181">
        <f>INDEX('Списки данных'!$D$2:$D$1048576,MATCH(База_КР_КК[[#This Row],[Структурное подразделение]],'Списки данных'!$C$2:$C$1048576,0))</f>
        <v>15</v>
      </c>
      <c r="I1582" s="80" t="s">
        <v>161</v>
      </c>
      <c r="J1582" s="80" t="s">
        <v>214</v>
      </c>
      <c r="K1582" s="80" t="s">
        <v>21</v>
      </c>
      <c r="L1582" s="30" t="s">
        <v>192</v>
      </c>
      <c r="M1582" s="68">
        <v>7</v>
      </c>
      <c r="N1582" s="181" t="str">
        <f t="shared" si="25"/>
        <v>да</v>
      </c>
      <c r="O1582" s="23">
        <v>44805</v>
      </c>
      <c r="P1582" s="23">
        <v>44805</v>
      </c>
      <c r="Q1582" s="106" t="s">
        <v>66</v>
      </c>
      <c r="R1582" s="37">
        <v>337</v>
      </c>
      <c r="S1582" s="39" t="s">
        <v>749</v>
      </c>
      <c r="T1582" s="37">
        <v>337</v>
      </c>
      <c r="U1582" s="39" t="s">
        <v>749</v>
      </c>
      <c r="V1582" s="69" t="s">
        <v>192</v>
      </c>
      <c r="W1582" s="89" t="s">
        <v>161</v>
      </c>
      <c r="X1582" s="106" t="s">
        <v>295</v>
      </c>
      <c r="Y1582" s="107" t="s">
        <v>14</v>
      </c>
      <c r="Z1582" s="67">
        <f>IF(База_КР_КК[[#This Row],[Таб.номер резервиста]]="-","-",IF(OR(База_КР_КК[[#This Row],[Уровень КК]]=2,База_КР_КК[[#This Row],[Уровень КК]]=3),IF(COUNTIFS($U$2:$U1582,$U1582,$F$2:$F1582,$F1582)=1,1,0),IF(COUNTIFS($U$2:$U1582,$U1582,$L$2:$L1582,$L1582)=1,1,0)))</f>
        <v>1</v>
      </c>
      <c r="AA15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582" s="106" t="s">
        <v>24</v>
      </c>
      <c r="AC1582" s="51">
        <v>44805</v>
      </c>
      <c r="AD1582" s="106" t="s">
        <v>15</v>
      </c>
      <c r="AE1582" s="38" t="s">
        <v>347</v>
      </c>
    </row>
    <row r="1583" spans="1:31" ht="18" customHeight="1" x14ac:dyDescent="0.25">
      <c r="A15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3" s="79">
        <v>4</v>
      </c>
      <c r="C1583" s="23">
        <v>44887</v>
      </c>
      <c r="D1583" s="67">
        <f>IF(COUNTIF($G$2:$G1583,$G1583)=1,1,0)</f>
        <v>1</v>
      </c>
      <c r="E1583" s="67" t="str">
        <f>IFERROR(VLOOKUP(База_КР_КК[[#This Row],[ИД штатной должности (S)]],'уровень защищенности'!$B$7:$F$1095,5,0),"не защищена")</f>
        <v>низкий</v>
      </c>
      <c r="F1583" s="68">
        <v>500465</v>
      </c>
      <c r="G1583" s="74" t="s">
        <v>2507</v>
      </c>
      <c r="H1583" s="181">
        <f>INDEX('Списки данных'!$D$2:$D$1048576,MATCH(База_КР_КК[[#This Row],[Структурное подразделение]],'Списки данных'!$C$2:$C$1048576,0))</f>
        <v>15</v>
      </c>
      <c r="I1583" s="80" t="s">
        <v>161</v>
      </c>
      <c r="J1583" s="80" t="s">
        <v>214</v>
      </c>
      <c r="K1583" s="80" t="s">
        <v>21</v>
      </c>
      <c r="L1583" s="30" t="s">
        <v>192</v>
      </c>
      <c r="M1583" s="68">
        <v>7</v>
      </c>
      <c r="N1583" s="181" t="str">
        <f t="shared" si="25"/>
        <v>да</v>
      </c>
      <c r="O1583" s="23">
        <v>44851</v>
      </c>
      <c r="P1583" s="23">
        <v>44851</v>
      </c>
      <c r="Q1583" s="106" t="s">
        <v>66</v>
      </c>
      <c r="R1583" s="37">
        <v>338</v>
      </c>
      <c r="S1583" s="39" t="s">
        <v>750</v>
      </c>
      <c r="T1583" s="37">
        <v>1432</v>
      </c>
      <c r="U1583" s="39" t="s">
        <v>1812</v>
      </c>
      <c r="V1583" s="69" t="s">
        <v>272</v>
      </c>
      <c r="W1583" s="89" t="s">
        <v>161</v>
      </c>
      <c r="X1583" s="106" t="s">
        <v>296</v>
      </c>
      <c r="Y1583" s="107" t="s">
        <v>12</v>
      </c>
      <c r="Z1583" s="67">
        <f>IF(База_КР_КК[[#This Row],[Таб.номер резервиста]]="-","-",IF(OR(База_КР_КК[[#This Row],[Уровень КК]]=2,База_КР_КК[[#This Row],[Уровень КК]]=3),IF(COUNTIFS($U$2:$U1583,$U1583,$F$2:$F1583,$F1583)=1,1,0),IF(COUNTIFS($U$2:$U1583,$U1583,$L$2:$L1583,$L1583)=1,1,0)))</f>
        <v>1</v>
      </c>
      <c r="AA15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83" s="106"/>
      <c r="AC1583" s="51"/>
      <c r="AD1583" s="106" t="s">
        <v>15</v>
      </c>
      <c r="AE1583" s="40" t="s">
        <v>310</v>
      </c>
    </row>
    <row r="1584" spans="1:31" ht="18" customHeight="1" x14ac:dyDescent="0.25">
      <c r="A15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4" s="79">
        <v>4</v>
      </c>
      <c r="C1584" s="23">
        <v>44887</v>
      </c>
      <c r="D1584" s="67">
        <f>IF(COUNTIF($G$2:$G1584,$G1584)=1,1,0)</f>
        <v>0</v>
      </c>
      <c r="E1584" s="67" t="str">
        <f>IFERROR(VLOOKUP(База_КР_КК[[#This Row],[ИД штатной должности (S)]],'уровень защищенности'!$B$7:$F$1095,5,0),"не защищена")</f>
        <v>низкий</v>
      </c>
      <c r="F1584" s="68">
        <v>500465</v>
      </c>
      <c r="G1584" s="74" t="s">
        <v>2507</v>
      </c>
      <c r="H1584" s="181">
        <f>INDEX('Списки данных'!$D$2:$D$1048576,MATCH(База_КР_КК[[#This Row],[Структурное подразделение]],'Списки данных'!$C$2:$C$1048576,0))</f>
        <v>15</v>
      </c>
      <c r="I1584" s="80" t="s">
        <v>161</v>
      </c>
      <c r="J1584" s="80" t="s">
        <v>214</v>
      </c>
      <c r="K1584" s="80" t="s">
        <v>21</v>
      </c>
      <c r="L1584" s="30" t="s">
        <v>192</v>
      </c>
      <c r="M1584" s="68">
        <v>7</v>
      </c>
      <c r="N1584" s="181" t="str">
        <f t="shared" si="25"/>
        <v>да</v>
      </c>
      <c r="O1584" s="23">
        <v>44851</v>
      </c>
      <c r="P1584" s="23">
        <v>44851</v>
      </c>
      <c r="Q1584" s="106" t="s">
        <v>66</v>
      </c>
      <c r="R1584" s="37">
        <v>338</v>
      </c>
      <c r="S1584" s="39" t="s">
        <v>750</v>
      </c>
      <c r="T1584" s="37">
        <v>1433</v>
      </c>
      <c r="U1584" s="39" t="s">
        <v>1813</v>
      </c>
      <c r="V1584" s="69" t="s">
        <v>272</v>
      </c>
      <c r="W1584" s="89" t="s">
        <v>161</v>
      </c>
      <c r="X1584" s="106" t="s">
        <v>296</v>
      </c>
      <c r="Y1584" s="107" t="s">
        <v>12</v>
      </c>
      <c r="Z1584" s="67">
        <f>IF(База_КР_КК[[#This Row],[Таб.номер резервиста]]="-","-",IF(OR(База_КР_КК[[#This Row],[Уровень КК]]=2,База_КР_КК[[#This Row],[Уровень КК]]=3),IF(COUNTIFS($U$2:$U1584,$U1584,$F$2:$F1584,$F1584)=1,1,0),IF(COUNTIFS($U$2:$U1584,$U1584,$L$2:$L1584,$L1584)=1,1,0)))</f>
        <v>1</v>
      </c>
      <c r="AA15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84" s="106"/>
      <c r="AC1584" s="51"/>
      <c r="AD1584" s="106" t="s">
        <v>15</v>
      </c>
      <c r="AE1584" s="40" t="s">
        <v>310</v>
      </c>
    </row>
    <row r="1585" spans="1:31" ht="18" customHeight="1" x14ac:dyDescent="0.25">
      <c r="A15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5" s="79">
        <v>4</v>
      </c>
      <c r="C1585" s="23">
        <v>44424</v>
      </c>
      <c r="D1585" s="67">
        <f>IF(COUNTIF($G$2:$G1585,$G1585)=1,1,0)</f>
        <v>0</v>
      </c>
      <c r="E1585" s="67" t="str">
        <f>IFERROR(VLOOKUP(База_КР_КК[[#This Row],[ИД штатной должности (S)]],'уровень защищенности'!$B$7:$F$1095,5,0),"не защищена")</f>
        <v>низкий</v>
      </c>
      <c r="F1585" s="68">
        <v>500465</v>
      </c>
      <c r="G1585" s="74" t="s">
        <v>2507</v>
      </c>
      <c r="H1585" s="181">
        <f>INDEX('Списки данных'!$D$2:$D$1048576,MATCH(База_КР_КК[[#This Row],[Структурное подразделение]],'Списки данных'!$C$2:$C$1048576,0))</f>
        <v>15</v>
      </c>
      <c r="I1585" s="80" t="s">
        <v>161</v>
      </c>
      <c r="J1585" s="80" t="s">
        <v>214</v>
      </c>
      <c r="K1585" s="80" t="s">
        <v>21</v>
      </c>
      <c r="L1585" s="30" t="s">
        <v>192</v>
      </c>
      <c r="M1585" s="68">
        <v>7</v>
      </c>
      <c r="N1585" s="181" t="str">
        <f t="shared" si="25"/>
        <v>да</v>
      </c>
      <c r="O1585" s="23">
        <v>44851</v>
      </c>
      <c r="P1585" s="23">
        <v>44851</v>
      </c>
      <c r="Q1585" s="106" t="s">
        <v>66</v>
      </c>
      <c r="R1585" s="37">
        <v>338</v>
      </c>
      <c r="S1585" s="39" t="s">
        <v>750</v>
      </c>
      <c r="T1585" s="37">
        <v>338</v>
      </c>
      <c r="U1585" s="39" t="s">
        <v>750</v>
      </c>
      <c r="V1585" s="69" t="s">
        <v>272</v>
      </c>
      <c r="W1585" s="89" t="s">
        <v>161</v>
      </c>
      <c r="X1585" s="106" t="s">
        <v>295</v>
      </c>
      <c r="Y1585" s="107" t="s">
        <v>14</v>
      </c>
      <c r="Z1585" s="67">
        <f>IF(База_КР_КК[[#This Row],[Таб.номер резервиста]]="-","-",IF(OR(База_КР_КК[[#This Row],[Уровень КК]]=2,База_КР_КК[[#This Row],[Уровень КК]]=3),IF(COUNTIFS($U$2:$U1585,$U1585,$F$2:$F1585,$F1585)=1,1,0),IF(COUNTIFS($U$2:$U1585,$U1585,$L$2:$L1585,$L1585)=1,1,0)))</f>
        <v>1</v>
      </c>
      <c r="AA15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585" s="106" t="s">
        <v>24</v>
      </c>
      <c r="AC1585" s="51">
        <v>44851</v>
      </c>
      <c r="AD1585" s="106" t="s">
        <v>15</v>
      </c>
      <c r="AE1585" s="38" t="s">
        <v>347</v>
      </c>
    </row>
    <row r="1586" spans="1:31" ht="18" customHeight="1" x14ac:dyDescent="0.25">
      <c r="A15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6" s="79">
        <v>4</v>
      </c>
      <c r="C1586" s="23">
        <v>44424</v>
      </c>
      <c r="D1586" s="67">
        <f>IF(COUNTIF($G$2:$G1586,$G1586)=1,1,0)</f>
        <v>1</v>
      </c>
      <c r="E1586" s="67" t="str">
        <f>IFERROR(VLOOKUP(База_КР_КК[[#This Row],[ИД штатной должности (S)]],'уровень защищенности'!$B$7:$F$1095,5,0),"не защищена")</f>
        <v>высокий</v>
      </c>
      <c r="F1586" s="68">
        <v>500466</v>
      </c>
      <c r="G1586" s="74" t="s">
        <v>2508</v>
      </c>
      <c r="H1586" s="181">
        <f>INDEX('Списки данных'!$D$2:$D$1048576,MATCH(База_КР_КК[[#This Row],[Структурное подразделение]],'Списки данных'!$C$2:$C$1048576,0))</f>
        <v>15</v>
      </c>
      <c r="I1586" s="80" t="s">
        <v>161</v>
      </c>
      <c r="J1586" s="80" t="s">
        <v>214</v>
      </c>
      <c r="K1586" s="80" t="s">
        <v>21</v>
      </c>
      <c r="L1586" s="30" t="s">
        <v>192</v>
      </c>
      <c r="M1586" s="68">
        <v>7</v>
      </c>
      <c r="N1586" s="181" t="str">
        <f t="shared" si="25"/>
        <v>нет</v>
      </c>
      <c r="O1586" s="23"/>
      <c r="P1586" s="23"/>
      <c r="Q1586" s="106"/>
      <c r="R1586" s="37">
        <v>339</v>
      </c>
      <c r="S1586" s="38" t="s">
        <v>751</v>
      </c>
      <c r="T1586" s="37">
        <v>1434</v>
      </c>
      <c r="U1586" s="39" t="s">
        <v>1814</v>
      </c>
      <c r="V1586" s="69" t="s">
        <v>272</v>
      </c>
      <c r="W1586" s="89" t="s">
        <v>161</v>
      </c>
      <c r="X1586" s="106" t="s">
        <v>295</v>
      </c>
      <c r="Y1586" s="107" t="s">
        <v>12</v>
      </c>
      <c r="Z1586" s="67">
        <f>IF(База_КР_КК[[#This Row],[Таб.номер резервиста]]="-","-",IF(OR(База_КР_КК[[#This Row],[Уровень КК]]=2,База_КР_КК[[#This Row],[Уровень КК]]=3),IF(COUNTIFS($U$2:$U1586,$U1586,$F$2:$F1586,$F1586)=1,1,0),IF(COUNTIFS($U$2:$U1586,$U1586,$L$2:$L1586,$L1586)=1,1,0)))</f>
        <v>1</v>
      </c>
      <c r="AA15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86" s="106"/>
      <c r="AC1586" s="51"/>
      <c r="AD1586" s="106" t="s">
        <v>15</v>
      </c>
      <c r="AE1586" s="38" t="s">
        <v>347</v>
      </c>
    </row>
    <row r="1587" spans="1:31" ht="18" customHeight="1" x14ac:dyDescent="0.25">
      <c r="A15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7" s="79">
        <v>4</v>
      </c>
      <c r="C1587" s="23">
        <v>44887</v>
      </c>
      <c r="D1587" s="67">
        <f>IF(COUNTIF($G$2:$G1587,$G1587)=1,1,0)</f>
        <v>0</v>
      </c>
      <c r="E1587" s="67" t="str">
        <f>IFERROR(VLOOKUP(База_КР_КК[[#This Row],[ИД штатной должности (S)]],'уровень защищенности'!$B$7:$F$1095,5,0),"не защищена")</f>
        <v>высокий</v>
      </c>
      <c r="F1587" s="68">
        <v>500466</v>
      </c>
      <c r="G1587" s="74" t="s">
        <v>2508</v>
      </c>
      <c r="H1587" s="181">
        <f>INDEX('Списки данных'!$D$2:$D$1048576,MATCH(База_КР_КК[[#This Row],[Структурное подразделение]],'Списки данных'!$C$2:$C$1048576,0))</f>
        <v>15</v>
      </c>
      <c r="I1587" s="80" t="s">
        <v>161</v>
      </c>
      <c r="J1587" s="80" t="s">
        <v>214</v>
      </c>
      <c r="K1587" s="80" t="s">
        <v>21</v>
      </c>
      <c r="L1587" s="30" t="s">
        <v>192</v>
      </c>
      <c r="M1587" s="68">
        <v>7</v>
      </c>
      <c r="N1587" s="181" t="str">
        <f t="shared" si="25"/>
        <v>нет</v>
      </c>
      <c r="O1587" s="23"/>
      <c r="P1587" s="23"/>
      <c r="Q1587" s="106"/>
      <c r="R1587" s="37">
        <v>339</v>
      </c>
      <c r="S1587" s="38" t="s">
        <v>751</v>
      </c>
      <c r="T1587" s="37">
        <v>1432</v>
      </c>
      <c r="U1587" s="39" t="s">
        <v>1812</v>
      </c>
      <c r="V1587" s="69" t="s">
        <v>272</v>
      </c>
      <c r="W1587" s="89" t="s">
        <v>161</v>
      </c>
      <c r="X1587" s="106" t="s">
        <v>296</v>
      </c>
      <c r="Y1587" s="107" t="s">
        <v>12</v>
      </c>
      <c r="Z1587" s="67">
        <f>IF(База_КР_КК[[#This Row],[Таб.номер резервиста]]="-","-",IF(OR(База_КР_КК[[#This Row],[Уровень КК]]=2,База_КР_КК[[#This Row],[Уровень КК]]=3),IF(COUNTIFS($U$2:$U1587,$U1587,$F$2:$F1587,$F1587)=1,1,0),IF(COUNTIFS($U$2:$U1587,$U1587,$L$2:$L1587,$L1587)=1,1,0)))</f>
        <v>0</v>
      </c>
      <c r="AA15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87" s="106"/>
      <c r="AC1587" s="51"/>
      <c r="AD1587" s="106" t="s">
        <v>15</v>
      </c>
      <c r="AE1587" s="40" t="s">
        <v>310</v>
      </c>
    </row>
    <row r="1588" spans="1:31" ht="18" customHeight="1" x14ac:dyDescent="0.25">
      <c r="A15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8" s="79">
        <v>4</v>
      </c>
      <c r="C1588" s="23">
        <v>44424</v>
      </c>
      <c r="D1588" s="67">
        <f>IF(COUNTIF($G$2:$G1588,$G1588)=1,1,0)</f>
        <v>1</v>
      </c>
      <c r="E1588" s="67" t="str">
        <f>IFERROR(VLOOKUP(База_КР_КК[[#This Row],[ИД штатной должности (S)]],'уровень защищенности'!$B$7:$F$1095,5,0),"не защищена")</f>
        <v>низкий</v>
      </c>
      <c r="F1588" s="68">
        <v>500467</v>
      </c>
      <c r="G1588" s="74" t="s">
        <v>2509</v>
      </c>
      <c r="H1588" s="181">
        <f>INDEX('Списки данных'!$D$2:$D$1048576,MATCH(База_КР_КК[[#This Row],[Структурное подразделение]],'Списки данных'!$C$2:$C$1048576,0))</f>
        <v>15</v>
      </c>
      <c r="I1588" s="80" t="s">
        <v>161</v>
      </c>
      <c r="J1588" s="80" t="s">
        <v>214</v>
      </c>
      <c r="K1588" s="80" t="s">
        <v>21</v>
      </c>
      <c r="L1588" s="30" t="s">
        <v>192</v>
      </c>
      <c r="M1588" s="68">
        <v>7</v>
      </c>
      <c r="N1588" s="181" t="str">
        <f t="shared" si="25"/>
        <v>да</v>
      </c>
      <c r="O1588" s="23">
        <v>44531</v>
      </c>
      <c r="P1588" s="23">
        <v>44562</v>
      </c>
      <c r="Q1588" s="106" t="s">
        <v>66</v>
      </c>
      <c r="R1588" s="37">
        <v>340</v>
      </c>
      <c r="S1588" s="39" t="s">
        <v>752</v>
      </c>
      <c r="T1588" s="37">
        <v>1435</v>
      </c>
      <c r="U1588" s="39" t="s">
        <v>1815</v>
      </c>
      <c r="V1588" s="69" t="s">
        <v>272</v>
      </c>
      <c r="W1588" s="89" t="s">
        <v>161</v>
      </c>
      <c r="X1588" s="106" t="s">
        <v>296</v>
      </c>
      <c r="Y1588" s="107" t="s">
        <v>12</v>
      </c>
      <c r="Z1588" s="67">
        <f>IF(База_КР_КК[[#This Row],[Таб.номер резервиста]]="-","-",IF(OR(База_КР_КК[[#This Row],[Уровень КК]]=2,База_КР_КК[[#This Row],[Уровень КК]]=3),IF(COUNTIFS($U$2:$U1588,$U1588,$F$2:$F1588,$F1588)=1,1,0),IF(COUNTIFS($U$2:$U1588,$U1588,$L$2:$L1588,$L1588)=1,1,0)))</f>
        <v>1</v>
      </c>
      <c r="AA15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88" s="106"/>
      <c r="AC1588" s="51"/>
      <c r="AD1588" s="106" t="s">
        <v>15</v>
      </c>
      <c r="AE1588" s="38" t="s">
        <v>347</v>
      </c>
    </row>
    <row r="1589" spans="1:31" ht="18" customHeight="1" x14ac:dyDescent="0.25">
      <c r="A15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89" s="79">
        <v>4</v>
      </c>
      <c r="C1589" s="23">
        <v>44424</v>
      </c>
      <c r="D1589" s="67">
        <f>IF(COUNTIF($G$2:$G1589,$G1589)=1,1,0)</f>
        <v>0</v>
      </c>
      <c r="E1589" s="67" t="str">
        <f>IFERROR(VLOOKUP(База_КР_КК[[#This Row],[ИД штатной должности (S)]],'уровень защищенности'!$B$7:$F$1095,5,0),"не защищена")</f>
        <v>низкий</v>
      </c>
      <c r="F1589" s="68">
        <v>500467</v>
      </c>
      <c r="G1589" s="74" t="s">
        <v>2509</v>
      </c>
      <c r="H1589" s="181">
        <f>INDEX('Списки данных'!$D$2:$D$1048576,MATCH(База_КР_КК[[#This Row],[Структурное подразделение]],'Списки данных'!$C$2:$C$1048576,0))</f>
        <v>15</v>
      </c>
      <c r="I1589" s="80" t="s">
        <v>161</v>
      </c>
      <c r="J1589" s="80" t="s">
        <v>214</v>
      </c>
      <c r="K1589" s="80" t="s">
        <v>21</v>
      </c>
      <c r="L1589" s="30" t="s">
        <v>192</v>
      </c>
      <c r="M1589" s="68">
        <v>7</v>
      </c>
      <c r="N1589" s="181" t="str">
        <f t="shared" si="25"/>
        <v>да</v>
      </c>
      <c r="O1589" s="23">
        <v>44531</v>
      </c>
      <c r="P1589" s="23">
        <v>44562</v>
      </c>
      <c r="Q1589" s="106" t="s">
        <v>66</v>
      </c>
      <c r="R1589" s="37">
        <v>340</v>
      </c>
      <c r="S1589" s="39" t="s">
        <v>752</v>
      </c>
      <c r="T1589" s="37">
        <v>1436</v>
      </c>
      <c r="U1589" s="42" t="s">
        <v>1816</v>
      </c>
      <c r="V1589" s="69" t="s">
        <v>189</v>
      </c>
      <c r="W1589" s="89" t="s">
        <v>161</v>
      </c>
      <c r="X1589" s="106" t="s">
        <v>296</v>
      </c>
      <c r="Y1589" s="107" t="s">
        <v>12</v>
      </c>
      <c r="Z1589" s="67">
        <f>IF(База_КР_КК[[#This Row],[Таб.номер резервиста]]="-","-",IF(OR(База_КР_КК[[#This Row],[Уровень КК]]=2,База_КР_КК[[#This Row],[Уровень КК]]=3),IF(COUNTIFS($U$2:$U1589,$U1589,$F$2:$F1589,$F1589)=1,1,0),IF(COUNTIFS($U$2:$U1589,$U1589,$L$2:$L1589,$L1589)=1,1,0)))</f>
        <v>1</v>
      </c>
      <c r="AA15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89" s="106"/>
      <c r="AC1589" s="51"/>
      <c r="AD1589" s="106" t="s">
        <v>15</v>
      </c>
      <c r="AE1589" s="38" t="s">
        <v>347</v>
      </c>
    </row>
    <row r="1590" spans="1:31" ht="18" customHeight="1" x14ac:dyDescent="0.25">
      <c r="A15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0" s="79">
        <v>4</v>
      </c>
      <c r="C1590" s="23">
        <v>44424</v>
      </c>
      <c r="D1590" s="67">
        <f>IF(COUNTIF($G$2:$G1590,$G1590)=1,1,0)</f>
        <v>0</v>
      </c>
      <c r="E1590" s="67" t="str">
        <f>IFERROR(VLOOKUP(База_КР_КК[[#This Row],[ИД штатной должности (S)]],'уровень защищенности'!$B$7:$F$1095,5,0),"не защищена")</f>
        <v>низкий</v>
      </c>
      <c r="F1590" s="68">
        <v>500467</v>
      </c>
      <c r="G1590" s="74" t="s">
        <v>2509</v>
      </c>
      <c r="H1590" s="181">
        <f>INDEX('Списки данных'!$D$2:$D$1048576,MATCH(База_КР_КК[[#This Row],[Структурное подразделение]],'Списки данных'!$C$2:$C$1048576,0))</f>
        <v>15</v>
      </c>
      <c r="I1590" s="80" t="s">
        <v>161</v>
      </c>
      <c r="J1590" s="80" t="s">
        <v>214</v>
      </c>
      <c r="K1590" s="80" t="s">
        <v>21</v>
      </c>
      <c r="L1590" s="30" t="s">
        <v>192</v>
      </c>
      <c r="M1590" s="68">
        <v>7</v>
      </c>
      <c r="N1590" s="181" t="str">
        <f t="shared" si="25"/>
        <v>да</v>
      </c>
      <c r="O1590" s="23">
        <v>44531</v>
      </c>
      <c r="P1590" s="23">
        <v>44562</v>
      </c>
      <c r="Q1590" s="106" t="s">
        <v>66</v>
      </c>
      <c r="R1590" s="37">
        <v>340</v>
      </c>
      <c r="S1590" s="39" t="s">
        <v>752</v>
      </c>
      <c r="T1590" s="37">
        <v>340</v>
      </c>
      <c r="U1590" s="39" t="s">
        <v>752</v>
      </c>
      <c r="V1590" s="69" t="s">
        <v>192</v>
      </c>
      <c r="W1590" s="89" t="s">
        <v>161</v>
      </c>
      <c r="X1590" s="106" t="s">
        <v>295</v>
      </c>
      <c r="Y1590" s="107" t="s">
        <v>14</v>
      </c>
      <c r="Z1590" s="67">
        <f>IF(База_КР_КК[[#This Row],[Таб.номер резервиста]]="-","-",IF(OR(База_КР_КК[[#This Row],[Уровень КК]]=2,База_КР_КК[[#This Row],[Уровень КК]]=3),IF(COUNTIFS($U$2:$U1590,$U1590,$F$2:$F1590,$F1590)=1,1,0),IF(COUNTIFS($U$2:$U1590,$U1590,$L$2:$L1590,$L1590)=1,1,0)))</f>
        <v>1</v>
      </c>
      <c r="AA15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590" s="106" t="s">
        <v>24</v>
      </c>
      <c r="AC1590" s="51">
        <v>44562</v>
      </c>
      <c r="AD1590" s="106" t="s">
        <v>15</v>
      </c>
      <c r="AE1590" s="38" t="s">
        <v>347</v>
      </c>
    </row>
    <row r="1591" spans="1:31" ht="18" customHeight="1" x14ac:dyDescent="0.25">
      <c r="A15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1" s="79">
        <v>3</v>
      </c>
      <c r="C1591" s="23">
        <v>43992</v>
      </c>
      <c r="D1591" s="67">
        <f>IF(COUNTIF($G$2:$G1591,$G1591)=1,1,0)</f>
        <v>1</v>
      </c>
      <c r="E1591" s="67" t="str">
        <f>IFERROR(VLOOKUP(База_КР_КК[[#This Row],[ИД штатной должности (S)]],'уровень защищенности'!$B$7:$F$1095,5,0),"не защищена")</f>
        <v>высокий</v>
      </c>
      <c r="F1591" s="68">
        <v>500192</v>
      </c>
      <c r="G1591" s="74" t="s">
        <v>2510</v>
      </c>
      <c r="H1591" s="181">
        <f>INDEX('Списки данных'!$D$2:$D$1048576,MATCH(База_КР_КК[[#This Row],[Структурное подразделение]],'Списки данных'!$C$2:$C$1048576,0))</f>
        <v>12</v>
      </c>
      <c r="I1591" s="80" t="s">
        <v>160</v>
      </c>
      <c r="J1591" s="80" t="s">
        <v>217</v>
      </c>
      <c r="K1591" s="80" t="s">
        <v>21</v>
      </c>
      <c r="L1591" s="30" t="s">
        <v>198</v>
      </c>
      <c r="M1591" s="68">
        <v>5</v>
      </c>
      <c r="N1591" s="181" t="str">
        <f t="shared" si="25"/>
        <v>нет</v>
      </c>
      <c r="O1591" s="23"/>
      <c r="P1591" s="23"/>
      <c r="Q1591" s="106"/>
      <c r="R1591" s="37">
        <v>341</v>
      </c>
      <c r="S1591" s="38" t="s">
        <v>753</v>
      </c>
      <c r="T1591" s="37">
        <v>1437</v>
      </c>
      <c r="U1591" s="39" t="s">
        <v>1817</v>
      </c>
      <c r="V1591" s="89" t="s">
        <v>189</v>
      </c>
      <c r="W1591" s="89" t="s">
        <v>160</v>
      </c>
      <c r="X1591" s="106" t="s">
        <v>296</v>
      </c>
      <c r="Y1591" s="107" t="s">
        <v>12</v>
      </c>
      <c r="Z1591" s="67">
        <f>IF(База_КР_КК[[#This Row],[Таб.номер резервиста]]="-","-",IF(OR(База_КР_КК[[#This Row],[Уровень КК]]=2,База_КР_КК[[#This Row],[Уровень КК]]=3),IF(COUNTIFS($U$2:$U1591,$U1591,$F$2:$F1591,$F1591)=1,1,0),IF(COUNTIFS($U$2:$U1591,$U1591,$L$2:$L1591,$L1591)=1,1,0)))</f>
        <v>1</v>
      </c>
      <c r="AA15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1" s="106"/>
      <c r="AC1591" s="51"/>
      <c r="AD1591" s="106" t="s">
        <v>13</v>
      </c>
      <c r="AE1591" s="38" t="s">
        <v>345</v>
      </c>
    </row>
    <row r="1592" spans="1:31" ht="18" customHeight="1" x14ac:dyDescent="0.25">
      <c r="A15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2" s="79">
        <v>3</v>
      </c>
      <c r="C1592" s="23">
        <v>43425</v>
      </c>
      <c r="D1592" s="67">
        <f>IF(COUNTIF($G$2:$G1592,$G1592)=1,1,0)</f>
        <v>0</v>
      </c>
      <c r="E1592" s="67" t="str">
        <f>IFERROR(VLOOKUP(База_КР_КК[[#This Row],[ИД штатной должности (S)]],'уровень защищенности'!$B$7:$F$1095,5,0),"не защищена")</f>
        <v>высокий</v>
      </c>
      <c r="F1592" s="68">
        <v>500192</v>
      </c>
      <c r="G1592" s="74" t="s">
        <v>2510</v>
      </c>
      <c r="H1592" s="181">
        <f>INDEX('Списки данных'!$D$2:$D$1048576,MATCH(База_КР_КК[[#This Row],[Структурное подразделение]],'Списки данных'!$C$2:$C$1048576,0))</f>
        <v>12</v>
      </c>
      <c r="I1592" s="80" t="s">
        <v>160</v>
      </c>
      <c r="J1592" s="80" t="s">
        <v>217</v>
      </c>
      <c r="K1592" s="80" t="s">
        <v>21</v>
      </c>
      <c r="L1592" s="30" t="s">
        <v>198</v>
      </c>
      <c r="M1592" s="68">
        <v>5</v>
      </c>
      <c r="N1592" s="181" t="str">
        <f t="shared" si="25"/>
        <v>нет</v>
      </c>
      <c r="O1592" s="23"/>
      <c r="P1592" s="23"/>
      <c r="Q1592" s="106"/>
      <c r="R1592" s="37">
        <v>341</v>
      </c>
      <c r="S1592" s="38" t="s">
        <v>753</v>
      </c>
      <c r="T1592" s="37">
        <v>360</v>
      </c>
      <c r="U1592" s="39" t="s">
        <v>772</v>
      </c>
      <c r="V1592" s="89" t="s">
        <v>192</v>
      </c>
      <c r="W1592" s="89" t="s">
        <v>160</v>
      </c>
      <c r="X1592" s="106" t="s">
        <v>297</v>
      </c>
      <c r="Y1592" s="107" t="s">
        <v>12</v>
      </c>
      <c r="Z1592" s="67">
        <f>IF(База_КР_КК[[#This Row],[Таб.номер резервиста]]="-","-",IF(OR(База_КР_КК[[#This Row],[Уровень КК]]=2,База_КР_КК[[#This Row],[Уровень КК]]=3),IF(COUNTIFS($U$2:$U1592,$U1592,$F$2:$F1592,$F1592)=1,1,0),IF(COUNTIFS($U$2:$U1592,$U1592,$L$2:$L1592,$L1592)=1,1,0)))</f>
        <v>1</v>
      </c>
      <c r="AA15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2" s="106"/>
      <c r="AC1592" s="51"/>
      <c r="AD1592" s="106" t="s">
        <v>13</v>
      </c>
      <c r="AE1592" s="38" t="s">
        <v>345</v>
      </c>
    </row>
    <row r="1593" spans="1:31" ht="18" customHeight="1" x14ac:dyDescent="0.25">
      <c r="A15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3" s="79">
        <v>3</v>
      </c>
      <c r="C1593" s="23">
        <v>43425</v>
      </c>
      <c r="D1593" s="67">
        <f>IF(COUNTIF($G$2:$G1593,$G1593)=1,1,0)</f>
        <v>0</v>
      </c>
      <c r="E1593" s="67" t="str">
        <f>IFERROR(VLOOKUP(База_КР_КК[[#This Row],[ИД штатной должности (S)]],'уровень защищенности'!$B$7:$F$1095,5,0),"не защищена")</f>
        <v>высокий</v>
      </c>
      <c r="F1593" s="68">
        <v>500192</v>
      </c>
      <c r="G1593" s="74" t="s">
        <v>2510</v>
      </c>
      <c r="H1593" s="181">
        <f>INDEX('Списки данных'!$D$2:$D$1048576,MATCH(База_КР_КК[[#This Row],[Структурное подразделение]],'Списки данных'!$C$2:$C$1048576,0))</f>
        <v>12</v>
      </c>
      <c r="I1593" s="80" t="s">
        <v>160</v>
      </c>
      <c r="J1593" s="80" t="s">
        <v>217</v>
      </c>
      <c r="K1593" s="80" t="s">
        <v>21</v>
      </c>
      <c r="L1593" s="30" t="s">
        <v>198</v>
      </c>
      <c r="M1593" s="68">
        <v>5</v>
      </c>
      <c r="N1593" s="181" t="str">
        <f t="shared" si="25"/>
        <v>нет</v>
      </c>
      <c r="O1593" s="23"/>
      <c r="P1593" s="23"/>
      <c r="Q1593" s="106"/>
      <c r="R1593" s="37">
        <v>341</v>
      </c>
      <c r="S1593" s="38" t="s">
        <v>753</v>
      </c>
      <c r="T1593" s="37">
        <v>355</v>
      </c>
      <c r="U1593" s="39" t="s">
        <v>767</v>
      </c>
      <c r="V1593" s="89" t="s">
        <v>194</v>
      </c>
      <c r="W1593" s="89" t="s">
        <v>160</v>
      </c>
      <c r="X1593" s="106" t="s">
        <v>295</v>
      </c>
      <c r="Y1593" s="107" t="s">
        <v>12</v>
      </c>
      <c r="Z1593" s="67">
        <f>IF(База_КР_КК[[#This Row],[Таб.номер резервиста]]="-","-",IF(OR(База_КР_КК[[#This Row],[Уровень КК]]=2,База_КР_КК[[#This Row],[Уровень КК]]=3),IF(COUNTIFS($U$2:$U1593,$U1593,$F$2:$F1593,$F1593)=1,1,0),IF(COUNTIFS($U$2:$U1593,$U1593,$L$2:$L1593,$L1593)=1,1,0)))</f>
        <v>1</v>
      </c>
      <c r="AA15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3" s="106"/>
      <c r="AC1593" s="51"/>
      <c r="AD1593" s="106" t="s">
        <v>17</v>
      </c>
      <c r="AE1593" s="38" t="s">
        <v>345</v>
      </c>
    </row>
    <row r="1594" spans="1:31" ht="18" customHeight="1" x14ac:dyDescent="0.25">
      <c r="A15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4" s="79">
        <v>3</v>
      </c>
      <c r="C1594" s="23">
        <v>44343</v>
      </c>
      <c r="D1594" s="67">
        <f>IF(COUNTIF($G$2:$G1594,$G1594)=1,1,0)</f>
        <v>0</v>
      </c>
      <c r="E1594" s="67" t="str">
        <f>IFERROR(VLOOKUP(База_КР_КК[[#This Row],[ИД штатной должности (S)]],'уровень защищенности'!$B$7:$F$1095,5,0),"не защищена")</f>
        <v>высокий</v>
      </c>
      <c r="F1594" s="68">
        <v>500192</v>
      </c>
      <c r="G1594" s="74" t="s">
        <v>2510</v>
      </c>
      <c r="H1594" s="181">
        <f>INDEX('Списки данных'!$D$2:$D$1048576,MATCH(База_КР_КК[[#This Row],[Структурное подразделение]],'Списки данных'!$C$2:$C$1048576,0))</f>
        <v>12</v>
      </c>
      <c r="I1594" s="80" t="s">
        <v>160</v>
      </c>
      <c r="J1594" s="80" t="s">
        <v>217</v>
      </c>
      <c r="K1594" s="80" t="s">
        <v>21</v>
      </c>
      <c r="L1594" s="30" t="s">
        <v>198</v>
      </c>
      <c r="M1594" s="68">
        <v>5</v>
      </c>
      <c r="N1594" s="181" t="str">
        <f t="shared" si="25"/>
        <v>нет</v>
      </c>
      <c r="O1594" s="23"/>
      <c r="P1594" s="23"/>
      <c r="Q1594" s="106"/>
      <c r="R1594" s="37">
        <v>341</v>
      </c>
      <c r="S1594" s="38" t="s">
        <v>753</v>
      </c>
      <c r="T1594" s="37">
        <v>1438</v>
      </c>
      <c r="U1594" s="39" t="s">
        <v>1818</v>
      </c>
      <c r="V1594" s="69" t="s">
        <v>189</v>
      </c>
      <c r="W1594" s="89" t="s">
        <v>160</v>
      </c>
      <c r="X1594" s="106" t="s">
        <v>297</v>
      </c>
      <c r="Y1594" s="107" t="s">
        <v>12</v>
      </c>
      <c r="Z1594" s="67">
        <f>IF(База_КР_КК[[#This Row],[Таб.номер резервиста]]="-","-",IF(OR(База_КР_КК[[#This Row],[Уровень КК]]=2,База_КР_КК[[#This Row],[Уровень КК]]=3),IF(COUNTIFS($U$2:$U1594,$U1594,$F$2:$F1594,$F1594)=1,1,0),IF(COUNTIFS($U$2:$U1594,$U1594,$L$2:$L1594,$L1594)=1,1,0)))</f>
        <v>1</v>
      </c>
      <c r="AA15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4" s="106"/>
      <c r="AC1594" s="51"/>
      <c r="AD1594" s="106" t="s">
        <v>17</v>
      </c>
      <c r="AE1594" s="38" t="s">
        <v>345</v>
      </c>
    </row>
    <row r="1595" spans="1:31" ht="18" customHeight="1" x14ac:dyDescent="0.25">
      <c r="A15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5" s="79">
        <v>3</v>
      </c>
      <c r="C1595" s="23">
        <v>44707</v>
      </c>
      <c r="D1595" s="67">
        <f>IF(COUNTIF($G$2:$G1595,$G1595)=1,1,0)</f>
        <v>0</v>
      </c>
      <c r="E1595" s="67" t="str">
        <f>IFERROR(VLOOKUP(База_КР_КК[[#This Row],[ИД штатной должности (S)]],'уровень защищенности'!$B$7:$F$1095,5,0),"не защищена")</f>
        <v>высокий</v>
      </c>
      <c r="F1595" s="68">
        <v>500192</v>
      </c>
      <c r="G1595" s="74" t="s">
        <v>2510</v>
      </c>
      <c r="H1595" s="181">
        <f>INDEX('Списки данных'!$D$2:$D$1048576,MATCH(База_КР_КК[[#This Row],[Структурное подразделение]],'Списки данных'!$C$2:$C$1048576,0))</f>
        <v>12</v>
      </c>
      <c r="I1595" s="80" t="s">
        <v>160</v>
      </c>
      <c r="J1595" s="80" t="s">
        <v>217</v>
      </c>
      <c r="K1595" s="80" t="s">
        <v>21</v>
      </c>
      <c r="L1595" s="30" t="s">
        <v>198</v>
      </c>
      <c r="M1595" s="68">
        <v>5</v>
      </c>
      <c r="N1595" s="181" t="str">
        <f t="shared" si="25"/>
        <v>нет</v>
      </c>
      <c r="O1595" s="23"/>
      <c r="P1595" s="23"/>
      <c r="Q1595" s="106"/>
      <c r="R1595" s="37">
        <v>341</v>
      </c>
      <c r="S1595" s="38" t="s">
        <v>753</v>
      </c>
      <c r="T1595" s="37">
        <v>350</v>
      </c>
      <c r="U1595" s="39" t="s">
        <v>762</v>
      </c>
      <c r="V1595" s="89" t="s">
        <v>192</v>
      </c>
      <c r="W1595" s="89" t="s">
        <v>160</v>
      </c>
      <c r="X1595" s="106" t="s">
        <v>296</v>
      </c>
      <c r="Y1595" s="107" t="s">
        <v>12</v>
      </c>
      <c r="Z1595" s="67">
        <f>IF(База_КР_КК[[#This Row],[Таб.номер резервиста]]="-","-",IF(OR(База_КР_КК[[#This Row],[Уровень КК]]=2,База_КР_КК[[#This Row],[Уровень КК]]=3),IF(COUNTIFS($U$2:$U1595,$U1595,$F$2:$F1595,$F1595)=1,1,0),IF(COUNTIFS($U$2:$U1595,$U1595,$L$2:$L1595,$L1595)=1,1,0)))</f>
        <v>1</v>
      </c>
      <c r="AA15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5" s="106"/>
      <c r="AC1595" s="51"/>
      <c r="AD1595" s="106" t="s">
        <v>15</v>
      </c>
      <c r="AE1595" s="38" t="s">
        <v>345</v>
      </c>
    </row>
    <row r="1596" spans="1:31" ht="18" customHeight="1" x14ac:dyDescent="0.25">
      <c r="A15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6" s="79">
        <v>3</v>
      </c>
      <c r="C1596" s="23">
        <v>43425</v>
      </c>
      <c r="D1596" s="67">
        <f>IF(COUNTIF($G$2:$G1596,$G1596)=1,1,0)</f>
        <v>0</v>
      </c>
      <c r="E1596" s="67" t="str">
        <f>IFERROR(VLOOKUP(База_КР_КК[[#This Row],[ИД штатной должности (S)]],'уровень защищенности'!$B$7:$F$1095,5,0),"не защищена")</f>
        <v>высокий</v>
      </c>
      <c r="F1596" s="68">
        <v>500192</v>
      </c>
      <c r="G1596" s="74" t="s">
        <v>2510</v>
      </c>
      <c r="H1596" s="181">
        <f>INDEX('Списки данных'!$D$2:$D$1048576,MATCH(База_КР_КК[[#This Row],[Структурное подразделение]],'Списки данных'!$C$2:$C$1048576,0))</f>
        <v>12</v>
      </c>
      <c r="I1596" s="80" t="s">
        <v>160</v>
      </c>
      <c r="J1596" s="80" t="s">
        <v>217</v>
      </c>
      <c r="K1596" s="80" t="s">
        <v>21</v>
      </c>
      <c r="L1596" s="30" t="s">
        <v>198</v>
      </c>
      <c r="M1596" s="68">
        <v>5</v>
      </c>
      <c r="N1596" s="181" t="str">
        <f t="shared" si="25"/>
        <v>нет</v>
      </c>
      <c r="O1596" s="23"/>
      <c r="P1596" s="23"/>
      <c r="Q1596" s="106"/>
      <c r="R1596" s="37">
        <v>341</v>
      </c>
      <c r="S1596" s="38" t="s">
        <v>753</v>
      </c>
      <c r="T1596" s="37">
        <v>351</v>
      </c>
      <c r="U1596" s="39" t="s">
        <v>763</v>
      </c>
      <c r="V1596" s="89" t="s">
        <v>189</v>
      </c>
      <c r="W1596" s="89" t="s">
        <v>160</v>
      </c>
      <c r="X1596" s="106" t="s">
        <v>295</v>
      </c>
      <c r="Y1596" s="107" t="s">
        <v>18</v>
      </c>
      <c r="Z1596" s="67">
        <f>IF(База_КР_КК[[#This Row],[Таб.номер резервиста]]="-","-",IF(OR(База_КР_КК[[#This Row],[Уровень КК]]=2,База_КР_КК[[#This Row],[Уровень КК]]=3),IF(COUNTIFS($U$2:$U1596,$U1596,$F$2:$F1596,$F1596)=1,1,0),IF(COUNTIFS($U$2:$U1596,$U1596,$L$2:$L1596,$L1596)=1,1,0)))</f>
        <v>1</v>
      </c>
      <c r="AA15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6" s="106" t="s">
        <v>34</v>
      </c>
      <c r="AC1596" s="51">
        <v>44901</v>
      </c>
      <c r="AD1596" s="106" t="s">
        <v>13</v>
      </c>
      <c r="AE1596" s="38" t="s">
        <v>345</v>
      </c>
    </row>
    <row r="1597" spans="1:31" ht="18" customHeight="1" x14ac:dyDescent="0.25">
      <c r="A15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7" s="79">
        <v>4</v>
      </c>
      <c r="C1597" s="23">
        <v>44431</v>
      </c>
      <c r="D1597" s="67">
        <f>IF(COUNTIF($G$2:$G1597,$G1597)=1,1,0)</f>
        <v>1</v>
      </c>
      <c r="E1597" s="67" t="str">
        <f>IFERROR(VLOOKUP(База_КР_КК[[#This Row],[ИД штатной должности (S)]],'уровень защищенности'!$B$7:$F$1095,5,0),"не защищена")</f>
        <v>высокий</v>
      </c>
      <c r="F1597" s="68">
        <v>500193</v>
      </c>
      <c r="G1597" s="74" t="s">
        <v>2511</v>
      </c>
      <c r="H1597" s="181">
        <f>INDEX('Списки данных'!$D$2:$D$1048576,MATCH(База_КР_КК[[#This Row],[Структурное подразделение]],'Списки данных'!$C$2:$C$1048576,0))</f>
        <v>12</v>
      </c>
      <c r="I1597" s="80" t="s">
        <v>160</v>
      </c>
      <c r="J1597" s="80" t="s">
        <v>217</v>
      </c>
      <c r="K1597" s="80" t="s">
        <v>218</v>
      </c>
      <c r="L1597" s="30" t="s">
        <v>192</v>
      </c>
      <c r="M1597" s="68">
        <v>7</v>
      </c>
      <c r="N1597" s="181" t="str">
        <f t="shared" si="25"/>
        <v>нет</v>
      </c>
      <c r="O1597" s="23"/>
      <c r="P1597" s="23"/>
      <c r="Q1597" s="106"/>
      <c r="R1597" s="37">
        <v>342</v>
      </c>
      <c r="S1597" s="38" t="s">
        <v>754</v>
      </c>
      <c r="T1597" s="37">
        <v>1439</v>
      </c>
      <c r="U1597" s="39" t="s">
        <v>1819</v>
      </c>
      <c r="V1597" s="69" t="s">
        <v>272</v>
      </c>
      <c r="W1597" s="89" t="s">
        <v>160</v>
      </c>
      <c r="X1597" s="106" t="s">
        <v>295</v>
      </c>
      <c r="Y1597" s="107" t="s">
        <v>12</v>
      </c>
      <c r="Z1597" s="67">
        <f>IF(База_КР_КК[[#This Row],[Таб.номер резервиста]]="-","-",IF(OR(База_КР_КК[[#This Row],[Уровень КК]]=2,База_КР_КК[[#This Row],[Уровень КК]]=3),IF(COUNTIFS($U$2:$U1597,$U1597,$F$2:$F1597,$F1597)=1,1,0),IF(COUNTIFS($U$2:$U1597,$U1597,$L$2:$L1597,$L1597)=1,1,0)))</f>
        <v>1</v>
      </c>
      <c r="AA15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7" s="106"/>
      <c r="AC1597" s="51"/>
      <c r="AD1597" s="106" t="s">
        <v>15</v>
      </c>
      <c r="AE1597" s="38" t="s">
        <v>350</v>
      </c>
    </row>
    <row r="1598" spans="1:31" ht="18" customHeight="1" x14ac:dyDescent="0.25">
      <c r="A15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8" s="79">
        <v>4</v>
      </c>
      <c r="C1598" s="23">
        <v>44431</v>
      </c>
      <c r="D1598" s="67">
        <f>IF(COUNTIF($G$2:$G1598,$G1598)=1,1,0)</f>
        <v>0</v>
      </c>
      <c r="E1598" s="67" t="str">
        <f>IFERROR(VLOOKUP(База_КР_КК[[#This Row],[ИД штатной должности (S)]],'уровень защищенности'!$B$7:$F$1095,5,0),"не защищена")</f>
        <v>высокий</v>
      </c>
      <c r="F1598" s="68">
        <v>500193</v>
      </c>
      <c r="G1598" s="74" t="s">
        <v>2511</v>
      </c>
      <c r="H1598" s="181">
        <f>INDEX('Списки данных'!$D$2:$D$1048576,MATCH(База_КР_КК[[#This Row],[Структурное подразделение]],'Списки данных'!$C$2:$C$1048576,0))</f>
        <v>12</v>
      </c>
      <c r="I1598" s="80" t="s">
        <v>160</v>
      </c>
      <c r="J1598" s="80" t="s">
        <v>217</v>
      </c>
      <c r="K1598" s="80" t="s">
        <v>218</v>
      </c>
      <c r="L1598" s="30" t="s">
        <v>192</v>
      </c>
      <c r="M1598" s="68">
        <v>7</v>
      </c>
      <c r="N1598" s="181" t="str">
        <f t="shared" si="25"/>
        <v>нет</v>
      </c>
      <c r="O1598" s="23"/>
      <c r="P1598" s="23"/>
      <c r="Q1598" s="106"/>
      <c r="R1598" s="37">
        <v>342</v>
      </c>
      <c r="S1598" s="38" t="s">
        <v>754</v>
      </c>
      <c r="T1598" s="37">
        <v>1440</v>
      </c>
      <c r="U1598" s="39" t="s">
        <v>1820</v>
      </c>
      <c r="V1598" s="69" t="s">
        <v>272</v>
      </c>
      <c r="W1598" s="89" t="s">
        <v>160</v>
      </c>
      <c r="X1598" s="106" t="s">
        <v>297</v>
      </c>
      <c r="Y1598" s="107" t="s">
        <v>12</v>
      </c>
      <c r="Z1598" s="67">
        <f>IF(База_КР_КК[[#This Row],[Таб.номер резервиста]]="-","-",IF(OR(База_КР_КК[[#This Row],[Уровень КК]]=2,База_КР_КК[[#This Row],[Уровень КК]]=3),IF(COUNTIFS($U$2:$U1598,$U1598,$F$2:$F1598,$F1598)=1,1,0),IF(COUNTIFS($U$2:$U1598,$U1598,$L$2:$L1598,$L1598)=1,1,0)))</f>
        <v>1</v>
      </c>
      <c r="AA15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8" s="106"/>
      <c r="AC1598" s="51"/>
      <c r="AD1598" s="106" t="s">
        <v>15</v>
      </c>
      <c r="AE1598" s="38" t="s">
        <v>350</v>
      </c>
    </row>
    <row r="1599" spans="1:31" ht="18" customHeight="1" x14ac:dyDescent="0.25">
      <c r="A15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599" s="79">
        <v>3</v>
      </c>
      <c r="C1599" s="23">
        <v>43425</v>
      </c>
      <c r="D1599" s="67">
        <f>IF(COUNTIF($G$2:$G1599,$G1599)=1,1,0)</f>
        <v>1</v>
      </c>
      <c r="E1599" s="67" t="str">
        <f>IFERROR(VLOOKUP(База_КР_КК[[#This Row],[ИД штатной должности (S)]],'уровень защищенности'!$B$7:$F$1095,5,0),"не защищена")</f>
        <v>высокий</v>
      </c>
      <c r="F1599" s="68">
        <v>500194</v>
      </c>
      <c r="G1599" s="74" t="s">
        <v>2512</v>
      </c>
      <c r="H1599" s="181">
        <f>INDEX('Списки данных'!$D$2:$D$1048576,MATCH(База_КР_КК[[#This Row],[Структурное подразделение]],'Списки данных'!$C$2:$C$1048576,0))</f>
        <v>12</v>
      </c>
      <c r="I1599" s="80" t="s">
        <v>160</v>
      </c>
      <c r="J1599" s="80" t="s">
        <v>217</v>
      </c>
      <c r="K1599" s="80" t="s">
        <v>21</v>
      </c>
      <c r="L1599" s="30" t="s">
        <v>198</v>
      </c>
      <c r="M1599" s="68">
        <v>5</v>
      </c>
      <c r="N1599" s="181" t="str">
        <f t="shared" si="25"/>
        <v>нет</v>
      </c>
      <c r="O1599" s="23"/>
      <c r="P1599" s="23"/>
      <c r="Q1599" s="106"/>
      <c r="R1599" s="37">
        <v>343</v>
      </c>
      <c r="S1599" s="38" t="s">
        <v>755</v>
      </c>
      <c r="T1599" s="37">
        <v>342</v>
      </c>
      <c r="U1599" s="39" t="s">
        <v>754</v>
      </c>
      <c r="V1599" s="89" t="s">
        <v>192</v>
      </c>
      <c r="W1599" s="89" t="s">
        <v>160</v>
      </c>
      <c r="X1599" s="106" t="s">
        <v>295</v>
      </c>
      <c r="Y1599" s="107" t="s">
        <v>12</v>
      </c>
      <c r="Z1599" s="67">
        <f>IF(База_КР_КК[[#This Row],[Таб.номер резервиста]]="-","-",IF(OR(База_КР_КК[[#This Row],[Уровень КК]]=2,База_КР_КК[[#This Row],[Уровень КК]]=3),IF(COUNTIFS($U$2:$U1599,$U1599,$F$2:$F1599,$F1599)=1,1,0),IF(COUNTIFS($U$2:$U1599,$U1599,$L$2:$L1599,$L1599)=1,1,0)))</f>
        <v>1</v>
      </c>
      <c r="AA15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599" s="106"/>
      <c r="AC1599" s="51"/>
      <c r="AD1599" s="106" t="s">
        <v>13</v>
      </c>
      <c r="AE1599" s="38" t="s">
        <v>345</v>
      </c>
    </row>
    <row r="1600" spans="1:31" ht="18" customHeight="1" x14ac:dyDescent="0.25">
      <c r="A16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0" s="79">
        <v>3</v>
      </c>
      <c r="C1600" s="23">
        <v>43425</v>
      </c>
      <c r="D1600" s="67">
        <f>IF(COUNTIF($G$2:$G1600,$G1600)=1,1,0)</f>
        <v>0</v>
      </c>
      <c r="E1600" s="67" t="str">
        <f>IFERROR(VLOOKUP(База_КР_КК[[#This Row],[ИД штатной должности (S)]],'уровень защищенности'!$B$7:$F$1095,5,0),"не защищена")</f>
        <v>высокий</v>
      </c>
      <c r="F1600" s="68">
        <v>500194</v>
      </c>
      <c r="G1600" s="74" t="s">
        <v>2512</v>
      </c>
      <c r="H1600" s="181">
        <f>INDEX('Списки данных'!$D$2:$D$1048576,MATCH(База_КР_КК[[#This Row],[Структурное подразделение]],'Списки данных'!$C$2:$C$1048576,0))</f>
        <v>12</v>
      </c>
      <c r="I1600" s="80" t="s">
        <v>160</v>
      </c>
      <c r="J1600" s="80" t="s">
        <v>217</v>
      </c>
      <c r="K1600" s="80" t="s">
        <v>21</v>
      </c>
      <c r="L1600" s="30" t="s">
        <v>198</v>
      </c>
      <c r="M1600" s="68">
        <v>5</v>
      </c>
      <c r="N1600" s="181" t="str">
        <f t="shared" si="25"/>
        <v>нет</v>
      </c>
      <c r="O1600" s="23"/>
      <c r="P1600" s="23"/>
      <c r="Q1600" s="106"/>
      <c r="R1600" s="37">
        <v>343</v>
      </c>
      <c r="S1600" s="38" t="s">
        <v>755</v>
      </c>
      <c r="T1600" s="37">
        <v>344</v>
      </c>
      <c r="U1600" s="39" t="s">
        <v>756</v>
      </c>
      <c r="V1600" s="89" t="s">
        <v>192</v>
      </c>
      <c r="W1600" s="89" t="s">
        <v>160</v>
      </c>
      <c r="X1600" s="106" t="s">
        <v>295</v>
      </c>
      <c r="Y1600" s="107" t="s">
        <v>12</v>
      </c>
      <c r="Z1600" s="67">
        <f>IF(База_КР_КК[[#This Row],[Таб.номер резервиста]]="-","-",IF(OR(База_КР_КК[[#This Row],[Уровень КК]]=2,База_КР_КК[[#This Row],[Уровень КК]]=3),IF(COUNTIFS($U$2:$U1600,$U1600,$F$2:$F1600,$F1600)=1,1,0),IF(COUNTIFS($U$2:$U1600,$U1600,$L$2:$L1600,$L1600)=1,1,0)))</f>
        <v>1</v>
      </c>
      <c r="AA16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0" s="106"/>
      <c r="AC1600" s="51"/>
      <c r="AD1600" s="106" t="s">
        <v>13</v>
      </c>
      <c r="AE1600" s="38" t="s">
        <v>345</v>
      </c>
    </row>
    <row r="1601" spans="1:31" ht="18" customHeight="1" x14ac:dyDescent="0.25">
      <c r="A16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1" s="79">
        <v>3</v>
      </c>
      <c r="C1601" s="23">
        <v>43992</v>
      </c>
      <c r="D1601" s="67">
        <f>IF(COUNTIF($G$2:$G1601,$G1601)=1,1,0)</f>
        <v>0</v>
      </c>
      <c r="E1601" s="67" t="str">
        <f>IFERROR(VLOOKUP(База_КР_КК[[#This Row],[ИД штатной должности (S)]],'уровень защищенности'!$B$7:$F$1095,5,0),"не защищена")</f>
        <v>высокий</v>
      </c>
      <c r="F1601" s="68">
        <v>500194</v>
      </c>
      <c r="G1601" s="74" t="s">
        <v>2512</v>
      </c>
      <c r="H1601" s="181">
        <f>INDEX('Списки данных'!$D$2:$D$1048576,MATCH(База_КР_КК[[#This Row],[Структурное подразделение]],'Списки данных'!$C$2:$C$1048576,0))</f>
        <v>12</v>
      </c>
      <c r="I1601" s="80" t="s">
        <v>160</v>
      </c>
      <c r="J1601" s="80" t="s">
        <v>217</v>
      </c>
      <c r="K1601" s="80" t="s">
        <v>21</v>
      </c>
      <c r="L1601" s="30" t="s">
        <v>198</v>
      </c>
      <c r="M1601" s="68">
        <v>5</v>
      </c>
      <c r="N1601" s="181" t="str">
        <f t="shared" ref="N1601:N1664" si="26">IF(ISBLANK(O1601),"нет","да")</f>
        <v>нет</v>
      </c>
      <c r="O1601" s="23"/>
      <c r="P1601" s="23"/>
      <c r="Q1601" s="106"/>
      <c r="R1601" s="37">
        <v>343</v>
      </c>
      <c r="S1601" s="38" t="s">
        <v>755</v>
      </c>
      <c r="T1601" s="37">
        <v>457</v>
      </c>
      <c r="U1601" s="39" t="s">
        <v>869</v>
      </c>
      <c r="V1601" s="89" t="s">
        <v>192</v>
      </c>
      <c r="W1601" s="89" t="s">
        <v>160</v>
      </c>
      <c r="X1601" s="106" t="s">
        <v>296</v>
      </c>
      <c r="Y1601" s="107" t="s">
        <v>12</v>
      </c>
      <c r="Z1601" s="67">
        <f>IF(База_КР_КК[[#This Row],[Таб.номер резервиста]]="-","-",IF(OR(База_КР_КК[[#This Row],[Уровень КК]]=2,База_КР_КК[[#This Row],[Уровень КК]]=3),IF(COUNTIFS($U$2:$U1601,$U1601,$F$2:$F1601,$F1601)=1,1,0),IF(COUNTIFS($U$2:$U1601,$U1601,$L$2:$L1601,$L1601)=1,1,0)))</f>
        <v>1</v>
      </c>
      <c r="AA16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1" s="106"/>
      <c r="AC1601" s="51"/>
      <c r="AD1601" s="106" t="s">
        <v>13</v>
      </c>
      <c r="AE1601" s="38" t="s">
        <v>345</v>
      </c>
    </row>
    <row r="1602" spans="1:31" ht="18" customHeight="1" x14ac:dyDescent="0.25">
      <c r="A16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2" s="79">
        <v>4</v>
      </c>
      <c r="C1602" s="23">
        <v>44431</v>
      </c>
      <c r="D1602" s="67">
        <f>IF(COUNTIF($G$2:$G1602,$G1602)=1,1,0)</f>
        <v>1</v>
      </c>
      <c r="E1602" s="67" t="str">
        <f>IFERROR(VLOOKUP(База_КР_КК[[#This Row],[ИД штатной должности (S)]],'уровень защищенности'!$B$7:$F$1095,5,0),"не защищена")</f>
        <v>высокий</v>
      </c>
      <c r="F1602" s="68">
        <v>500195</v>
      </c>
      <c r="G1602" s="74" t="s">
        <v>2513</v>
      </c>
      <c r="H1602" s="181">
        <f>INDEX('Списки данных'!$D$2:$D$1048576,MATCH(База_КР_КК[[#This Row],[Структурное подразделение]],'Списки данных'!$C$2:$C$1048576,0))</f>
        <v>12</v>
      </c>
      <c r="I1602" s="80" t="s">
        <v>160</v>
      </c>
      <c r="J1602" s="80" t="s">
        <v>217</v>
      </c>
      <c r="K1602" s="80" t="s">
        <v>218</v>
      </c>
      <c r="L1602" s="30" t="s">
        <v>192</v>
      </c>
      <c r="M1602" s="68">
        <v>7</v>
      </c>
      <c r="N1602" s="181" t="str">
        <f t="shared" si="26"/>
        <v>нет</v>
      </c>
      <c r="O1602" s="23"/>
      <c r="P1602" s="23"/>
      <c r="Q1602" s="106"/>
      <c r="R1602" s="37">
        <v>344</v>
      </c>
      <c r="S1602" s="38" t="s">
        <v>756</v>
      </c>
      <c r="T1602" s="37">
        <v>1443</v>
      </c>
      <c r="U1602" s="39" t="s">
        <v>1821</v>
      </c>
      <c r="V1602" s="69" t="s">
        <v>272</v>
      </c>
      <c r="W1602" s="89" t="s">
        <v>160</v>
      </c>
      <c r="X1602" s="106" t="s">
        <v>295</v>
      </c>
      <c r="Y1602" s="107" t="s">
        <v>12</v>
      </c>
      <c r="Z1602" s="67">
        <f>IF(База_КР_КК[[#This Row],[Таб.номер резервиста]]="-","-",IF(OR(База_КР_КК[[#This Row],[Уровень КК]]=2,База_КР_КК[[#This Row],[Уровень КК]]=3),IF(COUNTIFS($U$2:$U1602,$U1602,$F$2:$F1602,$F1602)=1,1,0),IF(COUNTIFS($U$2:$U1602,$U1602,$L$2:$L1602,$L1602)=1,1,0)))</f>
        <v>1</v>
      </c>
      <c r="AA16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2" s="106"/>
      <c r="AC1602" s="51"/>
      <c r="AD1602" s="106" t="s">
        <v>15</v>
      </c>
      <c r="AE1602" s="38" t="s">
        <v>350</v>
      </c>
    </row>
    <row r="1603" spans="1:31" ht="18" customHeight="1" x14ac:dyDescent="0.25">
      <c r="A16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3" s="79">
        <v>4</v>
      </c>
      <c r="C1603" s="23">
        <v>44431</v>
      </c>
      <c r="D1603" s="67">
        <f>IF(COUNTIF($G$2:$G1603,$G1603)=1,1,0)</f>
        <v>0</v>
      </c>
      <c r="E1603" s="67" t="str">
        <f>IFERROR(VLOOKUP(База_КР_КК[[#This Row],[ИД штатной должности (S)]],'уровень защищенности'!$B$7:$F$1095,5,0),"не защищена")</f>
        <v>высокий</v>
      </c>
      <c r="F1603" s="68">
        <v>500195</v>
      </c>
      <c r="G1603" s="74" t="s">
        <v>2513</v>
      </c>
      <c r="H1603" s="181">
        <f>INDEX('Списки данных'!$D$2:$D$1048576,MATCH(База_КР_КК[[#This Row],[Структурное подразделение]],'Списки данных'!$C$2:$C$1048576,0))</f>
        <v>12</v>
      </c>
      <c r="I1603" s="80" t="s">
        <v>160</v>
      </c>
      <c r="J1603" s="80" t="s">
        <v>217</v>
      </c>
      <c r="K1603" s="80" t="s">
        <v>218</v>
      </c>
      <c r="L1603" s="30" t="s">
        <v>192</v>
      </c>
      <c r="M1603" s="68">
        <v>7</v>
      </c>
      <c r="N1603" s="181" t="str">
        <f t="shared" si="26"/>
        <v>нет</v>
      </c>
      <c r="O1603" s="23"/>
      <c r="P1603" s="23"/>
      <c r="Q1603" s="106"/>
      <c r="R1603" s="37">
        <v>344</v>
      </c>
      <c r="S1603" s="38" t="s">
        <v>756</v>
      </c>
      <c r="T1603" s="37">
        <v>1444</v>
      </c>
      <c r="U1603" s="39" t="s">
        <v>1822</v>
      </c>
      <c r="V1603" s="69" t="s">
        <v>272</v>
      </c>
      <c r="W1603" s="89" t="s">
        <v>160</v>
      </c>
      <c r="X1603" s="106" t="s">
        <v>297</v>
      </c>
      <c r="Y1603" s="107" t="s">
        <v>12</v>
      </c>
      <c r="Z1603" s="67">
        <f>IF(База_КР_КК[[#This Row],[Таб.номер резервиста]]="-","-",IF(OR(База_КР_КК[[#This Row],[Уровень КК]]=2,База_КР_КК[[#This Row],[Уровень КК]]=3),IF(COUNTIFS($U$2:$U1603,$U1603,$F$2:$F1603,$F1603)=1,1,0),IF(COUNTIFS($U$2:$U1603,$U1603,$L$2:$L1603,$L1603)=1,1,0)))</f>
        <v>1</v>
      </c>
      <c r="AA16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3" s="106"/>
      <c r="AC1603" s="51"/>
      <c r="AD1603" s="106" t="s">
        <v>15</v>
      </c>
      <c r="AE1603" s="38" t="s">
        <v>350</v>
      </c>
    </row>
    <row r="1604" spans="1:31" ht="18" customHeight="1" x14ac:dyDescent="0.25">
      <c r="A16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4" s="79">
        <v>4</v>
      </c>
      <c r="C1604" s="23">
        <v>44431</v>
      </c>
      <c r="D1604" s="67">
        <f>IF(COUNTIF($G$2:$G1604,$G1604)=1,1,0)</f>
        <v>1</v>
      </c>
      <c r="E1604" s="67" t="str">
        <f>IFERROR(VLOOKUP(База_КР_КК[[#This Row],[ИД штатной должности (S)]],'уровень защищенности'!$B$7:$F$1095,5,0),"не защищена")</f>
        <v>средний</v>
      </c>
      <c r="F1604" s="68">
        <v>500196</v>
      </c>
      <c r="G1604" s="74" t="s">
        <v>2514</v>
      </c>
      <c r="H1604" s="181">
        <f>INDEX('Списки данных'!$D$2:$D$1048576,MATCH(База_КР_КК[[#This Row],[Структурное подразделение]],'Списки данных'!$C$2:$C$1048576,0))</f>
        <v>12</v>
      </c>
      <c r="I1604" s="80" t="s">
        <v>160</v>
      </c>
      <c r="J1604" s="80" t="s">
        <v>217</v>
      </c>
      <c r="K1604" s="80" t="s">
        <v>218</v>
      </c>
      <c r="L1604" s="30" t="s">
        <v>191</v>
      </c>
      <c r="M1604" s="68">
        <v>7</v>
      </c>
      <c r="N1604" s="181" t="str">
        <f t="shared" si="26"/>
        <v>нет</v>
      </c>
      <c r="O1604" s="23"/>
      <c r="P1604" s="23"/>
      <c r="Q1604" s="106"/>
      <c r="R1604" s="37">
        <v>345</v>
      </c>
      <c r="S1604" s="38" t="s">
        <v>757</v>
      </c>
      <c r="T1604" s="37">
        <v>1445</v>
      </c>
      <c r="U1604" s="39" t="s">
        <v>1823</v>
      </c>
      <c r="V1604" s="69" t="s">
        <v>272</v>
      </c>
      <c r="W1604" s="89" t="s">
        <v>160</v>
      </c>
      <c r="X1604" s="106" t="s">
        <v>297</v>
      </c>
      <c r="Y1604" s="107" t="s">
        <v>12</v>
      </c>
      <c r="Z1604" s="67">
        <f>IF(База_КР_КК[[#This Row],[Таб.номер резервиста]]="-","-",IF(OR(База_КР_КК[[#This Row],[Уровень КК]]=2,База_КР_КК[[#This Row],[Уровень КК]]=3),IF(COUNTIFS($U$2:$U1604,$U1604,$F$2:$F1604,$F1604)=1,1,0),IF(COUNTIFS($U$2:$U1604,$U1604,$L$2:$L1604,$L1604)=1,1,0)))</f>
        <v>1</v>
      </c>
      <c r="AA16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4" s="106"/>
      <c r="AC1604" s="51"/>
      <c r="AD1604" s="106" t="s">
        <v>15</v>
      </c>
      <c r="AE1604" s="38" t="s">
        <v>350</v>
      </c>
    </row>
    <row r="1605" spans="1:31" ht="18" customHeight="1" x14ac:dyDescent="0.25">
      <c r="A16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5" s="79">
        <v>4</v>
      </c>
      <c r="C1605" s="23">
        <v>44431</v>
      </c>
      <c r="D1605" s="67">
        <f>IF(COUNTIF($G$2:$G1605,$G1605)=1,1,0)</f>
        <v>0</v>
      </c>
      <c r="E1605" s="67" t="str">
        <f>IFERROR(VLOOKUP(База_КР_КК[[#This Row],[ИД штатной должности (S)]],'уровень защищенности'!$B$7:$F$1095,5,0),"не защищена")</f>
        <v>средний</v>
      </c>
      <c r="F1605" s="68">
        <v>500196</v>
      </c>
      <c r="G1605" s="74" t="s">
        <v>2514</v>
      </c>
      <c r="H1605" s="181">
        <f>INDEX('Списки данных'!$D$2:$D$1048576,MATCH(База_КР_КК[[#This Row],[Структурное подразделение]],'Списки данных'!$C$2:$C$1048576,0))</f>
        <v>12</v>
      </c>
      <c r="I1605" s="80" t="s">
        <v>160</v>
      </c>
      <c r="J1605" s="80" t="s">
        <v>217</v>
      </c>
      <c r="K1605" s="80" t="s">
        <v>218</v>
      </c>
      <c r="L1605" s="30" t="s">
        <v>191</v>
      </c>
      <c r="M1605" s="68">
        <v>7</v>
      </c>
      <c r="N1605" s="181" t="str">
        <f t="shared" si="26"/>
        <v>нет</v>
      </c>
      <c r="O1605" s="23"/>
      <c r="P1605" s="23"/>
      <c r="Q1605" s="106"/>
      <c r="R1605" s="37">
        <v>345</v>
      </c>
      <c r="S1605" s="38" t="s">
        <v>757</v>
      </c>
      <c r="T1605" s="37">
        <v>1446</v>
      </c>
      <c r="U1605" s="39" t="s">
        <v>1824</v>
      </c>
      <c r="V1605" s="69" t="s">
        <v>16</v>
      </c>
      <c r="W1605" s="89" t="s">
        <v>160</v>
      </c>
      <c r="X1605" s="106" t="s">
        <v>297</v>
      </c>
      <c r="Y1605" s="107" t="s">
        <v>12</v>
      </c>
      <c r="Z1605" s="67">
        <f>IF(База_КР_КК[[#This Row],[Таб.номер резервиста]]="-","-",IF(OR(База_КР_КК[[#This Row],[Уровень КК]]=2,База_КР_КК[[#This Row],[Уровень КК]]=3),IF(COUNTIFS($U$2:$U1605,$U1605,$F$2:$F1605,$F1605)=1,1,0),IF(COUNTIFS($U$2:$U1605,$U1605,$L$2:$L1605,$L1605)=1,1,0)))</f>
        <v>1</v>
      </c>
      <c r="AA16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5" s="106"/>
      <c r="AC1605" s="51"/>
      <c r="AD1605" s="106" t="s">
        <v>15</v>
      </c>
      <c r="AE1605" s="38" t="s">
        <v>350</v>
      </c>
    </row>
    <row r="1606" spans="1:31" ht="18" customHeight="1" x14ac:dyDescent="0.25">
      <c r="A16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6" s="79">
        <v>4</v>
      </c>
      <c r="C1606" s="23">
        <v>44431</v>
      </c>
      <c r="D1606" s="67">
        <f>IF(COUNTIF($G$2:$G1606,$G1606)=1,1,0)</f>
        <v>0</v>
      </c>
      <c r="E1606" s="67" t="str">
        <f>IFERROR(VLOOKUP(База_КР_КК[[#This Row],[ИД штатной должности (S)]],'уровень защищенности'!$B$7:$F$1095,5,0),"не защищена")</f>
        <v>средний</v>
      </c>
      <c r="F1606" s="68">
        <v>500196</v>
      </c>
      <c r="G1606" s="74" t="s">
        <v>2514</v>
      </c>
      <c r="H1606" s="181">
        <f>INDEX('Списки данных'!$D$2:$D$1048576,MATCH(База_КР_КК[[#This Row],[Структурное подразделение]],'Списки данных'!$C$2:$C$1048576,0))</f>
        <v>12</v>
      </c>
      <c r="I1606" s="80" t="s">
        <v>160</v>
      </c>
      <c r="J1606" s="80" t="s">
        <v>217</v>
      </c>
      <c r="K1606" s="80" t="s">
        <v>218</v>
      </c>
      <c r="L1606" s="30" t="s">
        <v>191</v>
      </c>
      <c r="M1606" s="68">
        <v>7</v>
      </c>
      <c r="N1606" s="181" t="str">
        <f t="shared" si="26"/>
        <v>нет</v>
      </c>
      <c r="O1606" s="23"/>
      <c r="P1606" s="23"/>
      <c r="Q1606" s="106"/>
      <c r="R1606" s="37">
        <v>345</v>
      </c>
      <c r="S1606" s="38" t="s">
        <v>757</v>
      </c>
      <c r="T1606" s="37">
        <v>1447</v>
      </c>
      <c r="U1606" s="39" t="s">
        <v>1825</v>
      </c>
      <c r="V1606" s="69" t="s">
        <v>272</v>
      </c>
      <c r="W1606" s="89" t="s">
        <v>160</v>
      </c>
      <c r="X1606" s="106" t="s">
        <v>296</v>
      </c>
      <c r="Y1606" s="107" t="s">
        <v>12</v>
      </c>
      <c r="Z1606" s="67">
        <f>IF(База_КР_КК[[#This Row],[Таб.номер резервиста]]="-","-",IF(OR(База_КР_КК[[#This Row],[Уровень КК]]=2,База_КР_КК[[#This Row],[Уровень КК]]=3),IF(COUNTIFS($U$2:$U1606,$U1606,$F$2:$F1606,$F1606)=1,1,0),IF(COUNTIFS($U$2:$U1606,$U1606,$L$2:$L1606,$L1606)=1,1,0)))</f>
        <v>1</v>
      </c>
      <c r="AA16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6" s="106"/>
      <c r="AC1606" s="51"/>
      <c r="AD1606" s="106" t="s">
        <v>15</v>
      </c>
      <c r="AE1606" s="38" t="s">
        <v>350</v>
      </c>
    </row>
    <row r="1607" spans="1:31" ht="18" customHeight="1" x14ac:dyDescent="0.25">
      <c r="A16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7" s="79">
        <v>4</v>
      </c>
      <c r="C1607" s="23">
        <v>44431</v>
      </c>
      <c r="D1607" s="67">
        <f>IF(COUNTIF($G$2:$G1607,$G1607)=1,1,0)</f>
        <v>0</v>
      </c>
      <c r="E1607" s="67" t="str">
        <f>IFERROR(VLOOKUP(База_КР_КК[[#This Row],[ИД штатной должности (S)]],'уровень защищенности'!$B$7:$F$1095,5,0),"не защищена")</f>
        <v>средний</v>
      </c>
      <c r="F1607" s="68">
        <v>500196</v>
      </c>
      <c r="G1607" s="74" t="s">
        <v>2514</v>
      </c>
      <c r="H1607" s="181">
        <f>INDEX('Списки данных'!$D$2:$D$1048576,MATCH(База_КР_КК[[#This Row],[Структурное подразделение]],'Списки данных'!$C$2:$C$1048576,0))</f>
        <v>12</v>
      </c>
      <c r="I1607" s="80" t="s">
        <v>160</v>
      </c>
      <c r="J1607" s="80" t="s">
        <v>217</v>
      </c>
      <c r="K1607" s="80" t="s">
        <v>218</v>
      </c>
      <c r="L1607" s="30" t="s">
        <v>191</v>
      </c>
      <c r="M1607" s="68">
        <v>7</v>
      </c>
      <c r="N1607" s="181" t="str">
        <f t="shared" si="26"/>
        <v>нет</v>
      </c>
      <c r="O1607" s="23"/>
      <c r="P1607" s="23"/>
      <c r="Q1607" s="106"/>
      <c r="R1607" s="37">
        <v>345</v>
      </c>
      <c r="S1607" s="38" t="s">
        <v>757</v>
      </c>
      <c r="T1607" s="37">
        <v>1448</v>
      </c>
      <c r="U1607" s="39" t="s">
        <v>1826</v>
      </c>
      <c r="V1607" s="69" t="s">
        <v>272</v>
      </c>
      <c r="W1607" s="89" t="s">
        <v>160</v>
      </c>
      <c r="X1607" s="106" t="s">
        <v>297</v>
      </c>
      <c r="Y1607" s="107" t="s">
        <v>12</v>
      </c>
      <c r="Z1607" s="67">
        <f>IF(База_КР_КК[[#This Row],[Таб.номер резервиста]]="-","-",IF(OR(База_КР_КК[[#This Row],[Уровень КК]]=2,База_КР_КК[[#This Row],[Уровень КК]]=3),IF(COUNTIFS($U$2:$U1607,$U1607,$F$2:$F1607,$F1607)=1,1,0),IF(COUNTIFS($U$2:$U1607,$U1607,$L$2:$L1607,$L1607)=1,1,0)))</f>
        <v>1</v>
      </c>
      <c r="AA16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7" s="106"/>
      <c r="AC1607" s="51"/>
      <c r="AD1607" s="106" t="s">
        <v>15</v>
      </c>
      <c r="AE1607" s="38" t="s">
        <v>350</v>
      </c>
    </row>
    <row r="1608" spans="1:31" ht="18" customHeight="1" x14ac:dyDescent="0.25">
      <c r="A16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8" s="79">
        <v>4</v>
      </c>
      <c r="C1608" s="23">
        <v>44431</v>
      </c>
      <c r="D1608" s="67">
        <f>IF(COUNTIF($G$2:$G1608,$G1608)=1,1,0)</f>
        <v>0</v>
      </c>
      <c r="E1608" s="67" t="str">
        <f>IFERROR(VLOOKUP(База_КР_КК[[#This Row],[ИД штатной должности (S)]],'уровень защищенности'!$B$7:$F$1095,5,0),"не защищена")</f>
        <v>средний</v>
      </c>
      <c r="F1608" s="68">
        <v>500196</v>
      </c>
      <c r="G1608" s="74" t="s">
        <v>2514</v>
      </c>
      <c r="H1608" s="181">
        <f>INDEX('Списки данных'!$D$2:$D$1048576,MATCH(База_КР_КК[[#This Row],[Структурное подразделение]],'Списки данных'!$C$2:$C$1048576,0))</f>
        <v>12</v>
      </c>
      <c r="I1608" s="80" t="s">
        <v>160</v>
      </c>
      <c r="J1608" s="80" t="s">
        <v>217</v>
      </c>
      <c r="K1608" s="80" t="s">
        <v>218</v>
      </c>
      <c r="L1608" s="30" t="s">
        <v>191</v>
      </c>
      <c r="M1608" s="68">
        <v>7</v>
      </c>
      <c r="N1608" s="181" t="str">
        <f t="shared" si="26"/>
        <v>нет</v>
      </c>
      <c r="O1608" s="23"/>
      <c r="P1608" s="23"/>
      <c r="Q1608" s="106"/>
      <c r="R1608" s="37">
        <v>345</v>
      </c>
      <c r="S1608" s="38" t="s">
        <v>757</v>
      </c>
      <c r="T1608" s="37">
        <v>1449</v>
      </c>
      <c r="U1608" s="39" t="s">
        <v>1827</v>
      </c>
      <c r="V1608" s="69" t="s">
        <v>272</v>
      </c>
      <c r="W1608" s="89" t="s">
        <v>160</v>
      </c>
      <c r="X1608" s="106" t="s">
        <v>296</v>
      </c>
      <c r="Y1608" s="107" t="s">
        <v>12</v>
      </c>
      <c r="Z1608" s="67">
        <f>IF(База_КР_КК[[#This Row],[Таб.номер резервиста]]="-","-",IF(OR(База_КР_КК[[#This Row],[Уровень КК]]=2,База_КР_КК[[#This Row],[Уровень КК]]=3),IF(COUNTIFS($U$2:$U1608,$U1608,$F$2:$F1608,$F1608)=1,1,0),IF(COUNTIFS($U$2:$U1608,$U1608,$L$2:$L1608,$L1608)=1,1,0)))</f>
        <v>1</v>
      </c>
      <c r="AA16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8" s="106"/>
      <c r="AC1608" s="51"/>
      <c r="AD1608" s="106" t="s">
        <v>15</v>
      </c>
      <c r="AE1608" s="38" t="s">
        <v>350</v>
      </c>
    </row>
    <row r="1609" spans="1:31" ht="18" customHeight="1" x14ac:dyDescent="0.25">
      <c r="A16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09" s="79">
        <v>4</v>
      </c>
      <c r="C1609" s="23">
        <v>44431</v>
      </c>
      <c r="D1609" s="67">
        <f>IF(COUNTIF($G$2:$G1609,$G1609)=1,1,0)</f>
        <v>0</v>
      </c>
      <c r="E1609" s="67" t="str">
        <f>IFERROR(VLOOKUP(База_КР_КК[[#This Row],[ИД штатной должности (S)]],'уровень защищенности'!$B$7:$F$1095,5,0),"не защищена")</f>
        <v>средний</v>
      </c>
      <c r="F1609" s="68">
        <v>500196</v>
      </c>
      <c r="G1609" s="74" t="s">
        <v>2514</v>
      </c>
      <c r="H1609" s="181">
        <f>INDEX('Списки данных'!$D$2:$D$1048576,MATCH(База_КР_КК[[#This Row],[Структурное подразделение]],'Списки данных'!$C$2:$C$1048576,0))</f>
        <v>12</v>
      </c>
      <c r="I1609" s="80" t="s">
        <v>160</v>
      </c>
      <c r="J1609" s="80" t="s">
        <v>217</v>
      </c>
      <c r="K1609" s="80" t="s">
        <v>218</v>
      </c>
      <c r="L1609" s="30" t="s">
        <v>191</v>
      </c>
      <c r="M1609" s="68">
        <v>7</v>
      </c>
      <c r="N1609" s="181" t="str">
        <f t="shared" si="26"/>
        <v>нет</v>
      </c>
      <c r="O1609" s="23"/>
      <c r="P1609" s="23"/>
      <c r="Q1609" s="106"/>
      <c r="R1609" s="37">
        <v>345</v>
      </c>
      <c r="S1609" s="38" t="s">
        <v>757</v>
      </c>
      <c r="T1609" s="37">
        <v>1450</v>
      </c>
      <c r="U1609" s="39" t="s">
        <v>1828</v>
      </c>
      <c r="V1609" s="69" t="s">
        <v>272</v>
      </c>
      <c r="W1609" s="89" t="s">
        <v>160</v>
      </c>
      <c r="X1609" s="106" t="s">
        <v>296</v>
      </c>
      <c r="Y1609" s="107" t="s">
        <v>12</v>
      </c>
      <c r="Z1609" s="67">
        <f>IF(База_КР_КК[[#This Row],[Таб.номер резервиста]]="-","-",IF(OR(База_КР_КК[[#This Row],[Уровень КК]]=2,База_КР_КК[[#This Row],[Уровень КК]]=3),IF(COUNTIFS($U$2:$U1609,$U1609,$F$2:$F1609,$F1609)=1,1,0),IF(COUNTIFS($U$2:$U1609,$U1609,$L$2:$L1609,$L1609)=1,1,0)))</f>
        <v>1</v>
      </c>
      <c r="AA16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09" s="106"/>
      <c r="AC1609" s="51"/>
      <c r="AD1609" s="106" t="s">
        <v>15</v>
      </c>
      <c r="AE1609" s="38" t="s">
        <v>350</v>
      </c>
    </row>
    <row r="1610" spans="1:31" ht="18" customHeight="1" x14ac:dyDescent="0.25">
      <c r="A16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0" s="79">
        <v>4</v>
      </c>
      <c r="C1610" s="23">
        <v>44431</v>
      </c>
      <c r="D1610" s="67">
        <f>IF(COUNTIF($G$2:$G1610,$G1610)=1,1,0)</f>
        <v>0</v>
      </c>
      <c r="E1610" s="67" t="str">
        <f>IFERROR(VLOOKUP(База_КР_КК[[#This Row],[ИД штатной должности (S)]],'уровень защищенности'!$B$7:$F$1095,5,0),"не защищена")</f>
        <v>средний</v>
      </c>
      <c r="F1610" s="68">
        <v>500196</v>
      </c>
      <c r="G1610" s="74" t="s">
        <v>2514</v>
      </c>
      <c r="H1610" s="181">
        <f>INDEX('Списки данных'!$D$2:$D$1048576,MATCH(База_КР_КК[[#This Row],[Структурное подразделение]],'Списки данных'!$C$2:$C$1048576,0))</f>
        <v>12</v>
      </c>
      <c r="I1610" s="80" t="s">
        <v>160</v>
      </c>
      <c r="J1610" s="80" t="s">
        <v>217</v>
      </c>
      <c r="K1610" s="80" t="s">
        <v>218</v>
      </c>
      <c r="L1610" s="30" t="s">
        <v>191</v>
      </c>
      <c r="M1610" s="68">
        <v>7</v>
      </c>
      <c r="N1610" s="181" t="str">
        <f t="shared" si="26"/>
        <v>нет</v>
      </c>
      <c r="O1610" s="23"/>
      <c r="P1610" s="23"/>
      <c r="Q1610" s="106"/>
      <c r="R1610" s="37">
        <v>345</v>
      </c>
      <c r="S1610" s="38" t="s">
        <v>757</v>
      </c>
      <c r="T1610" s="37">
        <v>1451</v>
      </c>
      <c r="U1610" s="39" t="s">
        <v>1606</v>
      </c>
      <c r="V1610" s="69" t="s">
        <v>272</v>
      </c>
      <c r="W1610" s="89" t="s">
        <v>160</v>
      </c>
      <c r="X1610" s="106" t="s">
        <v>297</v>
      </c>
      <c r="Y1610" s="107" t="s">
        <v>12</v>
      </c>
      <c r="Z1610" s="67">
        <f>IF(База_КР_КК[[#This Row],[Таб.номер резервиста]]="-","-",IF(OR(База_КР_КК[[#This Row],[Уровень КК]]=2,База_КР_КК[[#This Row],[Уровень КК]]=3),IF(COUNTIFS($U$2:$U1610,$U1610,$F$2:$F1610,$F1610)=1,1,0),IF(COUNTIFS($U$2:$U1610,$U1610,$L$2:$L1610,$L1610)=1,1,0)))</f>
        <v>0</v>
      </c>
      <c r="AA16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0" s="106"/>
      <c r="AC1610" s="51"/>
      <c r="AD1610" s="106" t="s">
        <v>15</v>
      </c>
      <c r="AE1610" s="38" t="s">
        <v>350</v>
      </c>
    </row>
    <row r="1611" spans="1:31" ht="18" customHeight="1" x14ac:dyDescent="0.25">
      <c r="A16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1" s="79">
        <v>4</v>
      </c>
      <c r="C1611" s="23">
        <v>44889</v>
      </c>
      <c r="D1611" s="67">
        <f>IF(COUNTIF($G$2:$G1611,$G1611)=1,1,0)</f>
        <v>0</v>
      </c>
      <c r="E1611" s="67" t="str">
        <f>IFERROR(VLOOKUP(База_КР_КК[[#This Row],[ИД штатной должности (S)]],'уровень защищенности'!$B$7:$F$1095,5,0),"не защищена")</f>
        <v>средний</v>
      </c>
      <c r="F1611" s="68">
        <v>500196</v>
      </c>
      <c r="G1611" s="74" t="s">
        <v>2514</v>
      </c>
      <c r="H1611" s="181">
        <f>INDEX('Списки данных'!$D$2:$D$1048576,MATCH(База_КР_КК[[#This Row],[Структурное подразделение]],'Списки данных'!$C$2:$C$1048576,0))</f>
        <v>12</v>
      </c>
      <c r="I1611" s="80" t="s">
        <v>160</v>
      </c>
      <c r="J1611" s="80" t="s">
        <v>217</v>
      </c>
      <c r="K1611" s="80" t="s">
        <v>218</v>
      </c>
      <c r="L1611" s="30" t="s">
        <v>191</v>
      </c>
      <c r="M1611" s="68">
        <v>7</v>
      </c>
      <c r="N1611" s="181" t="str">
        <f t="shared" si="26"/>
        <v>нет</v>
      </c>
      <c r="O1611" s="23"/>
      <c r="P1611" s="23"/>
      <c r="Q1611" s="106"/>
      <c r="R1611" s="37">
        <v>345</v>
      </c>
      <c r="S1611" s="38" t="s">
        <v>757</v>
      </c>
      <c r="T1611" s="37">
        <v>1452</v>
      </c>
      <c r="U1611" s="39" t="s">
        <v>1829</v>
      </c>
      <c r="V1611" s="69" t="s">
        <v>272</v>
      </c>
      <c r="W1611" s="89" t="s">
        <v>160</v>
      </c>
      <c r="X1611" s="106" t="s">
        <v>297</v>
      </c>
      <c r="Y1611" s="107" t="s">
        <v>12</v>
      </c>
      <c r="Z1611" s="67">
        <f>IF(База_КР_КК[[#This Row],[Таб.номер резервиста]]="-","-",IF(OR(База_КР_КК[[#This Row],[Уровень КК]]=2,База_КР_КК[[#This Row],[Уровень КК]]=3),IF(COUNTIFS($U$2:$U1611,$U1611,$F$2:$F1611,$F1611)=1,1,0),IF(COUNTIFS($U$2:$U1611,$U1611,$L$2:$L1611,$L1611)=1,1,0)))</f>
        <v>1</v>
      </c>
      <c r="AA16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1" s="106"/>
      <c r="AC1611" s="51"/>
      <c r="AD1611" s="106" t="s">
        <v>15</v>
      </c>
      <c r="AE1611" s="40" t="s">
        <v>344</v>
      </c>
    </row>
    <row r="1612" spans="1:31" ht="18" customHeight="1" x14ac:dyDescent="0.25">
      <c r="A16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2" s="79">
        <v>4</v>
      </c>
      <c r="C1612" s="23">
        <v>44889</v>
      </c>
      <c r="D1612" s="67">
        <f>IF(COUNTIF($G$2:$G1612,$G1612)=1,1,0)</f>
        <v>0</v>
      </c>
      <c r="E1612" s="67" t="str">
        <f>IFERROR(VLOOKUP(База_КР_КК[[#This Row],[ИД штатной должности (S)]],'уровень защищенности'!$B$7:$F$1095,5,0),"не защищена")</f>
        <v>средний</v>
      </c>
      <c r="F1612" s="68">
        <v>500196</v>
      </c>
      <c r="G1612" s="74" t="s">
        <v>2514</v>
      </c>
      <c r="H1612" s="181">
        <f>INDEX('Списки данных'!$D$2:$D$1048576,MATCH(База_КР_КК[[#This Row],[Структурное подразделение]],'Списки данных'!$C$2:$C$1048576,0))</f>
        <v>12</v>
      </c>
      <c r="I1612" s="80" t="s">
        <v>160</v>
      </c>
      <c r="J1612" s="80" t="s">
        <v>217</v>
      </c>
      <c r="K1612" s="80" t="s">
        <v>218</v>
      </c>
      <c r="L1612" s="30" t="s">
        <v>191</v>
      </c>
      <c r="M1612" s="68">
        <v>7</v>
      </c>
      <c r="N1612" s="181" t="str">
        <f t="shared" si="26"/>
        <v>нет</v>
      </c>
      <c r="O1612" s="23"/>
      <c r="P1612" s="23"/>
      <c r="Q1612" s="106"/>
      <c r="R1612" s="37">
        <v>345</v>
      </c>
      <c r="S1612" s="38" t="s">
        <v>757</v>
      </c>
      <c r="T1612" s="37">
        <v>1453</v>
      </c>
      <c r="U1612" s="39" t="s">
        <v>1830</v>
      </c>
      <c r="V1612" s="69" t="s">
        <v>272</v>
      </c>
      <c r="W1612" s="89" t="s">
        <v>160</v>
      </c>
      <c r="X1612" s="106" t="s">
        <v>296</v>
      </c>
      <c r="Y1612" s="107" t="s">
        <v>12</v>
      </c>
      <c r="Z1612" s="67">
        <f>IF(База_КР_КК[[#This Row],[Таб.номер резервиста]]="-","-",IF(OR(База_КР_КК[[#This Row],[Уровень КК]]=2,База_КР_КК[[#This Row],[Уровень КК]]=3),IF(COUNTIFS($U$2:$U1612,$U1612,$F$2:$F1612,$F1612)=1,1,0),IF(COUNTIFS($U$2:$U1612,$U1612,$L$2:$L1612,$L1612)=1,1,0)))</f>
        <v>1</v>
      </c>
      <c r="AA16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2" s="106"/>
      <c r="AC1612" s="51"/>
      <c r="AD1612" s="106" t="s">
        <v>15</v>
      </c>
      <c r="AE1612" s="40" t="s">
        <v>344</v>
      </c>
    </row>
    <row r="1613" spans="1:31" ht="18" customHeight="1" x14ac:dyDescent="0.25">
      <c r="A16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3" s="79">
        <v>4</v>
      </c>
      <c r="C1613" s="23">
        <v>44889</v>
      </c>
      <c r="D1613" s="67">
        <f>IF(COUNTIF($G$2:$G1613,$G1613)=1,1,0)</f>
        <v>0</v>
      </c>
      <c r="E1613" s="67" t="str">
        <f>IFERROR(VLOOKUP(База_КР_КК[[#This Row],[ИД штатной должности (S)]],'уровень защищенности'!$B$7:$F$1095,5,0),"не защищена")</f>
        <v>средний</v>
      </c>
      <c r="F1613" s="68">
        <v>500196</v>
      </c>
      <c r="G1613" s="74" t="s">
        <v>2514</v>
      </c>
      <c r="H1613" s="181">
        <f>INDEX('Списки данных'!$D$2:$D$1048576,MATCH(База_КР_КК[[#This Row],[Структурное подразделение]],'Списки данных'!$C$2:$C$1048576,0))</f>
        <v>12</v>
      </c>
      <c r="I1613" s="80" t="s">
        <v>160</v>
      </c>
      <c r="J1613" s="80" t="s">
        <v>217</v>
      </c>
      <c r="K1613" s="80" t="s">
        <v>218</v>
      </c>
      <c r="L1613" s="30" t="s">
        <v>191</v>
      </c>
      <c r="M1613" s="68">
        <v>7</v>
      </c>
      <c r="N1613" s="181" t="str">
        <f t="shared" si="26"/>
        <v>нет</v>
      </c>
      <c r="O1613" s="23"/>
      <c r="P1613" s="23"/>
      <c r="Q1613" s="106"/>
      <c r="R1613" s="37">
        <v>345</v>
      </c>
      <c r="S1613" s="38" t="s">
        <v>757</v>
      </c>
      <c r="T1613" s="37">
        <v>1454</v>
      </c>
      <c r="U1613" s="39" t="s">
        <v>1831</v>
      </c>
      <c r="V1613" s="69" t="s">
        <v>272</v>
      </c>
      <c r="W1613" s="89" t="s">
        <v>160</v>
      </c>
      <c r="X1613" s="106" t="s">
        <v>296</v>
      </c>
      <c r="Y1613" s="107" t="s">
        <v>12</v>
      </c>
      <c r="Z1613" s="67">
        <f>IF(База_КР_КК[[#This Row],[Таб.номер резервиста]]="-","-",IF(OR(База_КР_КК[[#This Row],[Уровень КК]]=2,База_КР_КК[[#This Row],[Уровень КК]]=3),IF(COUNTIFS($U$2:$U1613,$U1613,$F$2:$F1613,$F1613)=1,1,0),IF(COUNTIFS($U$2:$U1613,$U1613,$L$2:$L1613,$L1613)=1,1,0)))</f>
        <v>1</v>
      </c>
      <c r="AA16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3" s="106"/>
      <c r="AC1613" s="51"/>
      <c r="AD1613" s="106" t="s">
        <v>15</v>
      </c>
      <c r="AE1613" s="40" t="s">
        <v>344</v>
      </c>
    </row>
    <row r="1614" spans="1:31" ht="18" customHeight="1" x14ac:dyDescent="0.25">
      <c r="A16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4" s="79">
        <v>4</v>
      </c>
      <c r="C1614" s="23">
        <v>44431</v>
      </c>
      <c r="D1614" s="67">
        <f>IF(COUNTIF($G$2:$G1614,$G1614)=1,1,0)</f>
        <v>1</v>
      </c>
      <c r="E1614" s="67" t="str">
        <f>IFERROR(VLOOKUP(База_КР_КК[[#This Row],[ИД штатной должности (S)]],'уровень защищенности'!$B$7:$F$1095,5,0),"не защищена")</f>
        <v>средний</v>
      </c>
      <c r="F1614" s="68">
        <v>500196</v>
      </c>
      <c r="G1614" s="74" t="s">
        <v>2515</v>
      </c>
      <c r="H1614" s="181">
        <f>INDEX('Списки данных'!$D$2:$D$1048576,MATCH(База_КР_КК[[#This Row],[Структурное подразделение]],'Списки данных'!$C$2:$C$1048576,0))</f>
        <v>12</v>
      </c>
      <c r="I1614" s="80" t="s">
        <v>160</v>
      </c>
      <c r="J1614" s="80" t="s">
        <v>217</v>
      </c>
      <c r="K1614" s="80" t="s">
        <v>218</v>
      </c>
      <c r="L1614" s="30" t="s">
        <v>191</v>
      </c>
      <c r="M1614" s="68">
        <v>7</v>
      </c>
      <c r="N1614" s="181" t="str">
        <f t="shared" si="26"/>
        <v>нет</v>
      </c>
      <c r="O1614" s="23"/>
      <c r="P1614" s="23"/>
      <c r="Q1614" s="106"/>
      <c r="R1614" s="37">
        <v>346</v>
      </c>
      <c r="S1614" s="38" t="s">
        <v>758</v>
      </c>
      <c r="T1614" s="37">
        <v>1445</v>
      </c>
      <c r="U1614" s="39" t="s">
        <v>1823</v>
      </c>
      <c r="V1614" s="69" t="s">
        <v>272</v>
      </c>
      <c r="W1614" s="89" t="s">
        <v>160</v>
      </c>
      <c r="X1614" s="106" t="s">
        <v>297</v>
      </c>
      <c r="Y1614" s="107" t="s">
        <v>12</v>
      </c>
      <c r="Z1614" s="67">
        <f>IF(База_КР_КК[[#This Row],[Таб.номер резервиста]]="-","-",IF(OR(База_КР_КК[[#This Row],[Уровень КК]]=2,База_КР_КК[[#This Row],[Уровень КК]]=3),IF(COUNTIFS($U$2:$U1614,$U1614,$F$2:$F1614,$F1614)=1,1,0),IF(COUNTIFS($U$2:$U1614,$U1614,$L$2:$L1614,$L1614)=1,1,0)))</f>
        <v>0</v>
      </c>
      <c r="AA16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4" s="106"/>
      <c r="AC1614" s="51"/>
      <c r="AD1614" s="106" t="s">
        <v>15</v>
      </c>
      <c r="AE1614" s="38" t="s">
        <v>350</v>
      </c>
    </row>
    <row r="1615" spans="1:31" ht="18" customHeight="1" x14ac:dyDescent="0.25">
      <c r="A16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5" s="79">
        <v>4</v>
      </c>
      <c r="C1615" s="23">
        <v>44431</v>
      </c>
      <c r="D1615" s="67">
        <f>IF(COUNTIF($G$2:$G1615,$G1615)=1,1,0)</f>
        <v>0</v>
      </c>
      <c r="E1615" s="67" t="str">
        <f>IFERROR(VLOOKUP(База_КР_КК[[#This Row],[ИД штатной должности (S)]],'уровень защищенности'!$B$7:$F$1095,5,0),"не защищена")</f>
        <v>средний</v>
      </c>
      <c r="F1615" s="68">
        <v>500196</v>
      </c>
      <c r="G1615" s="74" t="s">
        <v>2515</v>
      </c>
      <c r="H1615" s="181">
        <f>INDEX('Списки данных'!$D$2:$D$1048576,MATCH(База_КР_КК[[#This Row],[Структурное подразделение]],'Списки данных'!$C$2:$C$1048576,0))</f>
        <v>12</v>
      </c>
      <c r="I1615" s="80" t="s">
        <v>160</v>
      </c>
      <c r="J1615" s="80" t="s">
        <v>217</v>
      </c>
      <c r="K1615" s="80" t="s">
        <v>218</v>
      </c>
      <c r="L1615" s="30" t="s">
        <v>191</v>
      </c>
      <c r="M1615" s="68">
        <v>7</v>
      </c>
      <c r="N1615" s="181" t="str">
        <f t="shared" si="26"/>
        <v>нет</v>
      </c>
      <c r="O1615" s="23"/>
      <c r="P1615" s="23"/>
      <c r="Q1615" s="106"/>
      <c r="R1615" s="37">
        <v>346</v>
      </c>
      <c r="S1615" s="38" t="s">
        <v>758</v>
      </c>
      <c r="T1615" s="37">
        <v>1446</v>
      </c>
      <c r="U1615" s="39" t="s">
        <v>1824</v>
      </c>
      <c r="V1615" s="69" t="s">
        <v>16</v>
      </c>
      <c r="W1615" s="89" t="s">
        <v>160</v>
      </c>
      <c r="X1615" s="106" t="s">
        <v>297</v>
      </c>
      <c r="Y1615" s="107" t="s">
        <v>12</v>
      </c>
      <c r="Z1615" s="67">
        <f>IF(База_КР_КК[[#This Row],[Таб.номер резервиста]]="-","-",IF(OR(База_КР_КК[[#This Row],[Уровень КК]]=2,База_КР_КК[[#This Row],[Уровень КК]]=3),IF(COUNTIFS($U$2:$U1615,$U1615,$F$2:$F1615,$F1615)=1,1,0),IF(COUNTIFS($U$2:$U1615,$U1615,$L$2:$L1615,$L1615)=1,1,0)))</f>
        <v>0</v>
      </c>
      <c r="AA16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5" s="106"/>
      <c r="AC1615" s="51"/>
      <c r="AD1615" s="106" t="s">
        <v>15</v>
      </c>
      <c r="AE1615" s="38" t="s">
        <v>350</v>
      </c>
    </row>
    <row r="1616" spans="1:31" ht="18" customHeight="1" x14ac:dyDescent="0.25">
      <c r="A16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6" s="79">
        <v>4</v>
      </c>
      <c r="C1616" s="23">
        <v>44431</v>
      </c>
      <c r="D1616" s="67">
        <f>IF(COUNTIF($G$2:$G1616,$G1616)=1,1,0)</f>
        <v>0</v>
      </c>
      <c r="E1616" s="67" t="str">
        <f>IFERROR(VLOOKUP(База_КР_КК[[#This Row],[ИД штатной должности (S)]],'уровень защищенности'!$B$7:$F$1095,5,0),"не защищена")</f>
        <v>средний</v>
      </c>
      <c r="F1616" s="68">
        <v>500196</v>
      </c>
      <c r="G1616" s="74" t="s">
        <v>2515</v>
      </c>
      <c r="H1616" s="181">
        <f>INDEX('Списки данных'!$D$2:$D$1048576,MATCH(База_КР_КК[[#This Row],[Структурное подразделение]],'Списки данных'!$C$2:$C$1048576,0))</f>
        <v>12</v>
      </c>
      <c r="I1616" s="80" t="s">
        <v>160</v>
      </c>
      <c r="J1616" s="80" t="s">
        <v>217</v>
      </c>
      <c r="K1616" s="80" t="s">
        <v>218</v>
      </c>
      <c r="L1616" s="30" t="s">
        <v>191</v>
      </c>
      <c r="M1616" s="68">
        <v>7</v>
      </c>
      <c r="N1616" s="181" t="str">
        <f t="shared" si="26"/>
        <v>нет</v>
      </c>
      <c r="O1616" s="23"/>
      <c r="P1616" s="23"/>
      <c r="Q1616" s="106"/>
      <c r="R1616" s="37">
        <v>346</v>
      </c>
      <c r="S1616" s="38" t="s">
        <v>758</v>
      </c>
      <c r="T1616" s="37">
        <v>1447</v>
      </c>
      <c r="U1616" s="39" t="s">
        <v>1825</v>
      </c>
      <c r="V1616" s="69" t="s">
        <v>272</v>
      </c>
      <c r="W1616" s="89" t="s">
        <v>160</v>
      </c>
      <c r="X1616" s="106" t="s">
        <v>296</v>
      </c>
      <c r="Y1616" s="107" t="s">
        <v>12</v>
      </c>
      <c r="Z1616" s="67">
        <f>IF(База_КР_КК[[#This Row],[Таб.номер резервиста]]="-","-",IF(OR(База_КР_КК[[#This Row],[Уровень КК]]=2,База_КР_КК[[#This Row],[Уровень КК]]=3),IF(COUNTIFS($U$2:$U1616,$U1616,$F$2:$F1616,$F1616)=1,1,0),IF(COUNTIFS($U$2:$U1616,$U1616,$L$2:$L1616,$L1616)=1,1,0)))</f>
        <v>0</v>
      </c>
      <c r="AA16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6" s="106"/>
      <c r="AC1616" s="51"/>
      <c r="AD1616" s="106" t="s">
        <v>15</v>
      </c>
      <c r="AE1616" s="38" t="s">
        <v>350</v>
      </c>
    </row>
    <row r="1617" spans="1:31" ht="18" customHeight="1" x14ac:dyDescent="0.25">
      <c r="A16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7" s="79">
        <v>4</v>
      </c>
      <c r="C1617" s="23">
        <v>44431</v>
      </c>
      <c r="D1617" s="67">
        <f>IF(COUNTIF($G$2:$G1617,$G1617)=1,1,0)</f>
        <v>0</v>
      </c>
      <c r="E1617" s="67" t="str">
        <f>IFERROR(VLOOKUP(База_КР_КК[[#This Row],[ИД штатной должности (S)]],'уровень защищенности'!$B$7:$F$1095,5,0),"не защищена")</f>
        <v>средний</v>
      </c>
      <c r="F1617" s="68">
        <v>500196</v>
      </c>
      <c r="G1617" s="74" t="s">
        <v>2515</v>
      </c>
      <c r="H1617" s="181">
        <f>INDEX('Списки данных'!$D$2:$D$1048576,MATCH(База_КР_КК[[#This Row],[Структурное подразделение]],'Списки данных'!$C$2:$C$1048576,0))</f>
        <v>12</v>
      </c>
      <c r="I1617" s="80" t="s">
        <v>160</v>
      </c>
      <c r="J1617" s="80" t="s">
        <v>217</v>
      </c>
      <c r="K1617" s="80" t="s">
        <v>218</v>
      </c>
      <c r="L1617" s="30" t="s">
        <v>191</v>
      </c>
      <c r="M1617" s="68">
        <v>7</v>
      </c>
      <c r="N1617" s="181" t="str">
        <f t="shared" si="26"/>
        <v>нет</v>
      </c>
      <c r="O1617" s="23"/>
      <c r="P1617" s="23"/>
      <c r="Q1617" s="106"/>
      <c r="R1617" s="37">
        <v>346</v>
      </c>
      <c r="S1617" s="38" t="s">
        <v>758</v>
      </c>
      <c r="T1617" s="37">
        <v>1448</v>
      </c>
      <c r="U1617" s="39" t="s">
        <v>1826</v>
      </c>
      <c r="V1617" s="69" t="s">
        <v>272</v>
      </c>
      <c r="W1617" s="89" t="s">
        <v>160</v>
      </c>
      <c r="X1617" s="106" t="s">
        <v>297</v>
      </c>
      <c r="Y1617" s="107" t="s">
        <v>12</v>
      </c>
      <c r="Z1617" s="67">
        <f>IF(База_КР_КК[[#This Row],[Таб.номер резервиста]]="-","-",IF(OR(База_КР_КК[[#This Row],[Уровень КК]]=2,База_КР_КК[[#This Row],[Уровень КК]]=3),IF(COUNTIFS($U$2:$U1617,$U1617,$F$2:$F1617,$F1617)=1,1,0),IF(COUNTIFS($U$2:$U1617,$U1617,$L$2:$L1617,$L1617)=1,1,0)))</f>
        <v>0</v>
      </c>
      <c r="AA16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7" s="106"/>
      <c r="AC1617" s="51"/>
      <c r="AD1617" s="106" t="s">
        <v>15</v>
      </c>
      <c r="AE1617" s="38" t="s">
        <v>350</v>
      </c>
    </row>
    <row r="1618" spans="1:31" ht="18" customHeight="1" x14ac:dyDescent="0.25">
      <c r="A16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8" s="79">
        <v>4</v>
      </c>
      <c r="C1618" s="23">
        <v>44431</v>
      </c>
      <c r="D1618" s="67">
        <f>IF(COUNTIF($G$2:$G1618,$G1618)=1,1,0)</f>
        <v>0</v>
      </c>
      <c r="E1618" s="67" t="str">
        <f>IFERROR(VLOOKUP(База_КР_КК[[#This Row],[ИД штатной должности (S)]],'уровень защищенности'!$B$7:$F$1095,5,0),"не защищена")</f>
        <v>средний</v>
      </c>
      <c r="F1618" s="68">
        <v>500196</v>
      </c>
      <c r="G1618" s="74" t="s">
        <v>2515</v>
      </c>
      <c r="H1618" s="181">
        <f>INDEX('Списки данных'!$D$2:$D$1048576,MATCH(База_КР_КК[[#This Row],[Структурное подразделение]],'Списки данных'!$C$2:$C$1048576,0))</f>
        <v>12</v>
      </c>
      <c r="I1618" s="80" t="s">
        <v>160</v>
      </c>
      <c r="J1618" s="80" t="s">
        <v>217</v>
      </c>
      <c r="K1618" s="80" t="s">
        <v>218</v>
      </c>
      <c r="L1618" s="30" t="s">
        <v>191</v>
      </c>
      <c r="M1618" s="68">
        <v>7</v>
      </c>
      <c r="N1618" s="181" t="str">
        <f t="shared" si="26"/>
        <v>нет</v>
      </c>
      <c r="O1618" s="23"/>
      <c r="P1618" s="23"/>
      <c r="Q1618" s="106"/>
      <c r="R1618" s="37">
        <v>346</v>
      </c>
      <c r="S1618" s="38" t="s">
        <v>758</v>
      </c>
      <c r="T1618" s="37">
        <v>1449</v>
      </c>
      <c r="U1618" s="39" t="s">
        <v>1827</v>
      </c>
      <c r="V1618" s="69" t="s">
        <v>272</v>
      </c>
      <c r="W1618" s="89" t="s">
        <v>160</v>
      </c>
      <c r="X1618" s="106" t="s">
        <v>296</v>
      </c>
      <c r="Y1618" s="107" t="s">
        <v>12</v>
      </c>
      <c r="Z1618" s="67">
        <f>IF(База_КР_КК[[#This Row],[Таб.номер резервиста]]="-","-",IF(OR(База_КР_КК[[#This Row],[Уровень КК]]=2,База_КР_КК[[#This Row],[Уровень КК]]=3),IF(COUNTIFS($U$2:$U1618,$U1618,$F$2:$F1618,$F1618)=1,1,0),IF(COUNTIFS($U$2:$U1618,$U1618,$L$2:$L1618,$L1618)=1,1,0)))</f>
        <v>0</v>
      </c>
      <c r="AA16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8" s="106"/>
      <c r="AC1618" s="51"/>
      <c r="AD1618" s="106" t="s">
        <v>15</v>
      </c>
      <c r="AE1618" s="38" t="s">
        <v>350</v>
      </c>
    </row>
    <row r="1619" spans="1:31" ht="18" customHeight="1" x14ac:dyDescent="0.25">
      <c r="A16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19" s="79">
        <v>4</v>
      </c>
      <c r="C1619" s="23">
        <v>44431</v>
      </c>
      <c r="D1619" s="67">
        <f>IF(COUNTIF($G$2:$G1619,$G1619)=1,1,0)</f>
        <v>0</v>
      </c>
      <c r="E1619" s="67" t="str">
        <f>IFERROR(VLOOKUP(База_КР_КК[[#This Row],[ИД штатной должности (S)]],'уровень защищенности'!$B$7:$F$1095,5,0),"не защищена")</f>
        <v>средний</v>
      </c>
      <c r="F1619" s="68">
        <v>500196</v>
      </c>
      <c r="G1619" s="74" t="s">
        <v>2515</v>
      </c>
      <c r="H1619" s="181">
        <f>INDEX('Списки данных'!$D$2:$D$1048576,MATCH(База_КР_КК[[#This Row],[Структурное подразделение]],'Списки данных'!$C$2:$C$1048576,0))</f>
        <v>12</v>
      </c>
      <c r="I1619" s="80" t="s">
        <v>160</v>
      </c>
      <c r="J1619" s="80" t="s">
        <v>217</v>
      </c>
      <c r="K1619" s="80" t="s">
        <v>218</v>
      </c>
      <c r="L1619" s="30" t="s">
        <v>191</v>
      </c>
      <c r="M1619" s="68">
        <v>7</v>
      </c>
      <c r="N1619" s="181" t="str">
        <f t="shared" si="26"/>
        <v>нет</v>
      </c>
      <c r="O1619" s="23"/>
      <c r="P1619" s="23"/>
      <c r="Q1619" s="106"/>
      <c r="R1619" s="37">
        <v>346</v>
      </c>
      <c r="S1619" s="38" t="s">
        <v>758</v>
      </c>
      <c r="T1619" s="37">
        <v>1450</v>
      </c>
      <c r="U1619" s="39" t="s">
        <v>1828</v>
      </c>
      <c r="V1619" s="69" t="s">
        <v>272</v>
      </c>
      <c r="W1619" s="89" t="s">
        <v>160</v>
      </c>
      <c r="X1619" s="106" t="s">
        <v>296</v>
      </c>
      <c r="Y1619" s="107" t="s">
        <v>12</v>
      </c>
      <c r="Z1619" s="67">
        <f>IF(База_КР_КК[[#This Row],[Таб.номер резервиста]]="-","-",IF(OR(База_КР_КК[[#This Row],[Уровень КК]]=2,База_КР_КК[[#This Row],[Уровень КК]]=3),IF(COUNTIFS($U$2:$U1619,$U1619,$F$2:$F1619,$F1619)=1,1,0),IF(COUNTIFS($U$2:$U1619,$U1619,$L$2:$L1619,$L1619)=1,1,0)))</f>
        <v>0</v>
      </c>
      <c r="AA16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19" s="106"/>
      <c r="AC1619" s="51"/>
      <c r="AD1619" s="106" t="s">
        <v>15</v>
      </c>
      <c r="AE1619" s="38" t="s">
        <v>350</v>
      </c>
    </row>
    <row r="1620" spans="1:31" ht="18" customHeight="1" x14ac:dyDescent="0.25">
      <c r="A16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0" s="79">
        <v>4</v>
      </c>
      <c r="C1620" s="23">
        <v>44431</v>
      </c>
      <c r="D1620" s="67">
        <f>IF(COUNTIF($G$2:$G1620,$G1620)=1,1,0)</f>
        <v>0</v>
      </c>
      <c r="E1620" s="67" t="str">
        <f>IFERROR(VLOOKUP(База_КР_КК[[#This Row],[ИД штатной должности (S)]],'уровень защищенности'!$B$7:$F$1095,5,0),"не защищена")</f>
        <v>средний</v>
      </c>
      <c r="F1620" s="68">
        <v>500196</v>
      </c>
      <c r="G1620" s="74" t="s">
        <v>2515</v>
      </c>
      <c r="H1620" s="181">
        <f>INDEX('Списки данных'!$D$2:$D$1048576,MATCH(База_КР_КК[[#This Row],[Структурное подразделение]],'Списки данных'!$C$2:$C$1048576,0))</f>
        <v>12</v>
      </c>
      <c r="I1620" s="80" t="s">
        <v>160</v>
      </c>
      <c r="J1620" s="80" t="s">
        <v>217</v>
      </c>
      <c r="K1620" s="80" t="s">
        <v>218</v>
      </c>
      <c r="L1620" s="30" t="s">
        <v>191</v>
      </c>
      <c r="M1620" s="68">
        <v>7</v>
      </c>
      <c r="N1620" s="181" t="str">
        <f t="shared" si="26"/>
        <v>нет</v>
      </c>
      <c r="O1620" s="23"/>
      <c r="P1620" s="23"/>
      <c r="Q1620" s="106"/>
      <c r="R1620" s="37">
        <v>346</v>
      </c>
      <c r="S1620" s="38" t="s">
        <v>758</v>
      </c>
      <c r="T1620" s="37">
        <v>1451</v>
      </c>
      <c r="U1620" s="39" t="s">
        <v>1606</v>
      </c>
      <c r="V1620" s="69" t="s">
        <v>272</v>
      </c>
      <c r="W1620" s="89" t="s">
        <v>160</v>
      </c>
      <c r="X1620" s="106" t="s">
        <v>297</v>
      </c>
      <c r="Y1620" s="107" t="s">
        <v>12</v>
      </c>
      <c r="Z1620" s="67">
        <f>IF(База_КР_КК[[#This Row],[Таб.номер резервиста]]="-","-",IF(OR(База_КР_КК[[#This Row],[Уровень КК]]=2,База_КР_КК[[#This Row],[Уровень КК]]=3),IF(COUNTIFS($U$2:$U1620,$U1620,$F$2:$F1620,$F1620)=1,1,0),IF(COUNTIFS($U$2:$U1620,$U1620,$L$2:$L1620,$L1620)=1,1,0)))</f>
        <v>0</v>
      </c>
      <c r="AA16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0" s="106"/>
      <c r="AC1620" s="51"/>
      <c r="AD1620" s="106" t="s">
        <v>15</v>
      </c>
      <c r="AE1620" s="38" t="s">
        <v>350</v>
      </c>
    </row>
    <row r="1621" spans="1:31" ht="18" customHeight="1" x14ac:dyDescent="0.25">
      <c r="A16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1" s="79">
        <v>4</v>
      </c>
      <c r="C1621" s="23">
        <v>44889</v>
      </c>
      <c r="D1621" s="67">
        <f>IF(COUNTIF($G$2:$G1621,$G1621)=1,1,0)</f>
        <v>0</v>
      </c>
      <c r="E1621" s="67" t="str">
        <f>IFERROR(VLOOKUP(База_КР_КК[[#This Row],[ИД штатной должности (S)]],'уровень защищенности'!$B$7:$F$1095,5,0),"не защищена")</f>
        <v>средний</v>
      </c>
      <c r="F1621" s="68">
        <v>500196</v>
      </c>
      <c r="G1621" s="74" t="s">
        <v>2515</v>
      </c>
      <c r="H1621" s="181">
        <f>INDEX('Списки данных'!$D$2:$D$1048576,MATCH(База_КР_КК[[#This Row],[Структурное подразделение]],'Списки данных'!$C$2:$C$1048576,0))</f>
        <v>12</v>
      </c>
      <c r="I1621" s="80" t="s">
        <v>160</v>
      </c>
      <c r="J1621" s="80" t="s">
        <v>217</v>
      </c>
      <c r="K1621" s="80" t="s">
        <v>218</v>
      </c>
      <c r="L1621" s="30" t="s">
        <v>191</v>
      </c>
      <c r="M1621" s="68">
        <v>7</v>
      </c>
      <c r="N1621" s="181" t="str">
        <f t="shared" si="26"/>
        <v>нет</v>
      </c>
      <c r="O1621" s="23"/>
      <c r="P1621" s="23"/>
      <c r="Q1621" s="106"/>
      <c r="R1621" s="37">
        <v>346</v>
      </c>
      <c r="S1621" s="38" t="s">
        <v>758</v>
      </c>
      <c r="T1621" s="37">
        <v>1452</v>
      </c>
      <c r="U1621" s="39" t="s">
        <v>1829</v>
      </c>
      <c r="V1621" s="69" t="s">
        <v>272</v>
      </c>
      <c r="W1621" s="89" t="s">
        <v>160</v>
      </c>
      <c r="X1621" s="106" t="s">
        <v>297</v>
      </c>
      <c r="Y1621" s="107" t="s">
        <v>12</v>
      </c>
      <c r="Z1621" s="67">
        <f>IF(База_КР_КК[[#This Row],[Таб.номер резервиста]]="-","-",IF(OR(База_КР_КК[[#This Row],[Уровень КК]]=2,База_КР_КК[[#This Row],[Уровень КК]]=3),IF(COUNTIFS($U$2:$U1621,$U1621,$F$2:$F1621,$F1621)=1,1,0),IF(COUNTIFS($U$2:$U1621,$U1621,$L$2:$L1621,$L1621)=1,1,0)))</f>
        <v>0</v>
      </c>
      <c r="AA16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1" s="106"/>
      <c r="AC1621" s="51"/>
      <c r="AD1621" s="106" t="s">
        <v>15</v>
      </c>
      <c r="AE1621" s="40" t="s">
        <v>344</v>
      </c>
    </row>
    <row r="1622" spans="1:31" ht="18" customHeight="1" x14ac:dyDescent="0.25">
      <c r="A16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2" s="79">
        <v>4</v>
      </c>
      <c r="C1622" s="23">
        <v>44889</v>
      </c>
      <c r="D1622" s="67">
        <f>IF(COUNTIF($G$2:$G1622,$G1622)=1,1,0)</f>
        <v>0</v>
      </c>
      <c r="E1622" s="67" t="str">
        <f>IFERROR(VLOOKUP(База_КР_КК[[#This Row],[ИД штатной должности (S)]],'уровень защищенности'!$B$7:$F$1095,5,0),"не защищена")</f>
        <v>средний</v>
      </c>
      <c r="F1622" s="68">
        <v>500196</v>
      </c>
      <c r="G1622" s="74" t="s">
        <v>2515</v>
      </c>
      <c r="H1622" s="181">
        <f>INDEX('Списки данных'!$D$2:$D$1048576,MATCH(База_КР_КК[[#This Row],[Структурное подразделение]],'Списки данных'!$C$2:$C$1048576,0))</f>
        <v>12</v>
      </c>
      <c r="I1622" s="80" t="s">
        <v>160</v>
      </c>
      <c r="J1622" s="80" t="s">
        <v>217</v>
      </c>
      <c r="K1622" s="80" t="s">
        <v>218</v>
      </c>
      <c r="L1622" s="30" t="s">
        <v>191</v>
      </c>
      <c r="M1622" s="68">
        <v>7</v>
      </c>
      <c r="N1622" s="181" t="str">
        <f t="shared" si="26"/>
        <v>нет</v>
      </c>
      <c r="O1622" s="23"/>
      <c r="P1622" s="23"/>
      <c r="Q1622" s="106"/>
      <c r="R1622" s="37">
        <v>346</v>
      </c>
      <c r="S1622" s="38" t="s">
        <v>758</v>
      </c>
      <c r="T1622" s="37">
        <v>1453</v>
      </c>
      <c r="U1622" s="39" t="s">
        <v>1830</v>
      </c>
      <c r="V1622" s="69" t="s">
        <v>272</v>
      </c>
      <c r="W1622" s="89" t="s">
        <v>160</v>
      </c>
      <c r="X1622" s="106" t="s">
        <v>296</v>
      </c>
      <c r="Y1622" s="107" t="s">
        <v>12</v>
      </c>
      <c r="Z1622" s="67">
        <f>IF(База_КР_КК[[#This Row],[Таб.номер резервиста]]="-","-",IF(OR(База_КР_КК[[#This Row],[Уровень КК]]=2,База_КР_КК[[#This Row],[Уровень КК]]=3),IF(COUNTIFS($U$2:$U1622,$U1622,$F$2:$F1622,$F1622)=1,1,0),IF(COUNTIFS($U$2:$U1622,$U1622,$L$2:$L1622,$L1622)=1,1,0)))</f>
        <v>0</v>
      </c>
      <c r="AA16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2" s="106"/>
      <c r="AC1622" s="51"/>
      <c r="AD1622" s="106" t="s">
        <v>15</v>
      </c>
      <c r="AE1622" s="40" t="s">
        <v>344</v>
      </c>
    </row>
    <row r="1623" spans="1:31" ht="18" customHeight="1" x14ac:dyDescent="0.25">
      <c r="A16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3" s="79">
        <v>4</v>
      </c>
      <c r="C1623" s="23">
        <v>44889</v>
      </c>
      <c r="D1623" s="67">
        <f>IF(COUNTIF($G$2:$G1623,$G1623)=1,1,0)</f>
        <v>0</v>
      </c>
      <c r="E1623" s="67" t="str">
        <f>IFERROR(VLOOKUP(База_КР_КК[[#This Row],[ИД штатной должности (S)]],'уровень защищенности'!$B$7:$F$1095,5,0),"не защищена")</f>
        <v>средний</v>
      </c>
      <c r="F1623" s="68">
        <v>500196</v>
      </c>
      <c r="G1623" s="74" t="s">
        <v>2515</v>
      </c>
      <c r="H1623" s="181">
        <f>INDEX('Списки данных'!$D$2:$D$1048576,MATCH(База_КР_КК[[#This Row],[Структурное подразделение]],'Списки данных'!$C$2:$C$1048576,0))</f>
        <v>12</v>
      </c>
      <c r="I1623" s="80" t="s">
        <v>160</v>
      </c>
      <c r="J1623" s="80" t="s">
        <v>217</v>
      </c>
      <c r="K1623" s="80" t="s">
        <v>218</v>
      </c>
      <c r="L1623" s="30" t="s">
        <v>191</v>
      </c>
      <c r="M1623" s="68">
        <v>7</v>
      </c>
      <c r="N1623" s="181" t="str">
        <f t="shared" si="26"/>
        <v>нет</v>
      </c>
      <c r="O1623" s="23"/>
      <c r="P1623" s="23"/>
      <c r="Q1623" s="106"/>
      <c r="R1623" s="37">
        <v>346</v>
      </c>
      <c r="S1623" s="38" t="s">
        <v>758</v>
      </c>
      <c r="T1623" s="37">
        <v>1454</v>
      </c>
      <c r="U1623" s="39" t="s">
        <v>1831</v>
      </c>
      <c r="V1623" s="69" t="s">
        <v>272</v>
      </c>
      <c r="W1623" s="89" t="s">
        <v>160</v>
      </c>
      <c r="X1623" s="106" t="s">
        <v>296</v>
      </c>
      <c r="Y1623" s="107" t="s">
        <v>12</v>
      </c>
      <c r="Z1623" s="67">
        <f>IF(База_КР_КК[[#This Row],[Таб.номер резервиста]]="-","-",IF(OR(База_КР_КК[[#This Row],[Уровень КК]]=2,База_КР_КК[[#This Row],[Уровень КК]]=3),IF(COUNTIFS($U$2:$U1623,$U1623,$F$2:$F1623,$F1623)=1,1,0),IF(COUNTIFS($U$2:$U1623,$U1623,$L$2:$L1623,$L1623)=1,1,0)))</f>
        <v>0</v>
      </c>
      <c r="AA16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3" s="106"/>
      <c r="AC1623" s="51"/>
      <c r="AD1623" s="106" t="s">
        <v>15</v>
      </c>
      <c r="AE1623" s="40" t="s">
        <v>344</v>
      </c>
    </row>
    <row r="1624" spans="1:31" ht="18" customHeight="1" x14ac:dyDescent="0.25">
      <c r="A16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4" s="79">
        <v>4</v>
      </c>
      <c r="C1624" s="23">
        <v>44431</v>
      </c>
      <c r="D1624" s="67">
        <f>IF(COUNTIF($G$2:$G1624,$G1624)=1,1,0)</f>
        <v>1</v>
      </c>
      <c r="E1624" s="67" t="str">
        <f>IFERROR(VLOOKUP(База_КР_КК[[#This Row],[ИД штатной должности (S)]],'уровень защищенности'!$B$7:$F$1095,5,0),"не защищена")</f>
        <v>средний</v>
      </c>
      <c r="F1624" s="68">
        <v>500196</v>
      </c>
      <c r="G1624" s="74" t="s">
        <v>2516</v>
      </c>
      <c r="H1624" s="181">
        <f>INDEX('Списки данных'!$D$2:$D$1048576,MATCH(База_КР_КК[[#This Row],[Структурное подразделение]],'Списки данных'!$C$2:$C$1048576,0))</f>
        <v>12</v>
      </c>
      <c r="I1624" s="80" t="s">
        <v>160</v>
      </c>
      <c r="J1624" s="80" t="s">
        <v>217</v>
      </c>
      <c r="K1624" s="80" t="s">
        <v>218</v>
      </c>
      <c r="L1624" s="30" t="s">
        <v>191</v>
      </c>
      <c r="M1624" s="68">
        <v>7</v>
      </c>
      <c r="N1624" s="181" t="str">
        <f t="shared" si="26"/>
        <v>нет</v>
      </c>
      <c r="O1624" s="23"/>
      <c r="P1624" s="23"/>
      <c r="Q1624" s="106"/>
      <c r="R1624" s="37">
        <v>347</v>
      </c>
      <c r="S1624" s="38" t="s">
        <v>759</v>
      </c>
      <c r="T1624" s="37">
        <v>1445</v>
      </c>
      <c r="U1624" s="39" t="s">
        <v>1823</v>
      </c>
      <c r="V1624" s="69" t="s">
        <v>272</v>
      </c>
      <c r="W1624" s="89" t="s">
        <v>160</v>
      </c>
      <c r="X1624" s="106" t="s">
        <v>297</v>
      </c>
      <c r="Y1624" s="107" t="s">
        <v>12</v>
      </c>
      <c r="Z1624" s="67">
        <f>IF(База_КР_КК[[#This Row],[Таб.номер резервиста]]="-","-",IF(OR(База_КР_КК[[#This Row],[Уровень КК]]=2,База_КР_КК[[#This Row],[Уровень КК]]=3),IF(COUNTIFS($U$2:$U1624,$U1624,$F$2:$F1624,$F1624)=1,1,0),IF(COUNTIFS($U$2:$U1624,$U1624,$L$2:$L1624,$L1624)=1,1,0)))</f>
        <v>0</v>
      </c>
      <c r="AA16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4" s="106"/>
      <c r="AC1624" s="51"/>
      <c r="AD1624" s="106" t="s">
        <v>15</v>
      </c>
      <c r="AE1624" s="38" t="s">
        <v>350</v>
      </c>
    </row>
    <row r="1625" spans="1:31" ht="18" customHeight="1" x14ac:dyDescent="0.25">
      <c r="A16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5" s="79">
        <v>4</v>
      </c>
      <c r="C1625" s="23">
        <v>44431</v>
      </c>
      <c r="D1625" s="67">
        <f>IF(COUNTIF($G$2:$G1625,$G1625)=1,1,0)</f>
        <v>0</v>
      </c>
      <c r="E1625" s="67" t="str">
        <f>IFERROR(VLOOKUP(База_КР_КК[[#This Row],[ИД штатной должности (S)]],'уровень защищенности'!$B$7:$F$1095,5,0),"не защищена")</f>
        <v>средний</v>
      </c>
      <c r="F1625" s="68">
        <v>500196</v>
      </c>
      <c r="G1625" s="74" t="s">
        <v>2516</v>
      </c>
      <c r="H1625" s="181">
        <f>INDEX('Списки данных'!$D$2:$D$1048576,MATCH(База_КР_КК[[#This Row],[Структурное подразделение]],'Списки данных'!$C$2:$C$1048576,0))</f>
        <v>12</v>
      </c>
      <c r="I1625" s="80" t="s">
        <v>160</v>
      </c>
      <c r="J1625" s="80" t="s">
        <v>217</v>
      </c>
      <c r="K1625" s="80" t="s">
        <v>218</v>
      </c>
      <c r="L1625" s="30" t="s">
        <v>191</v>
      </c>
      <c r="M1625" s="68">
        <v>7</v>
      </c>
      <c r="N1625" s="181" t="str">
        <f t="shared" si="26"/>
        <v>нет</v>
      </c>
      <c r="O1625" s="23"/>
      <c r="P1625" s="23"/>
      <c r="Q1625" s="106"/>
      <c r="R1625" s="37">
        <v>347</v>
      </c>
      <c r="S1625" s="38" t="s">
        <v>759</v>
      </c>
      <c r="T1625" s="37">
        <v>1446</v>
      </c>
      <c r="U1625" s="33" t="s">
        <v>1824</v>
      </c>
      <c r="V1625" s="69" t="s">
        <v>16</v>
      </c>
      <c r="W1625" s="89" t="s">
        <v>160</v>
      </c>
      <c r="X1625" s="106" t="s">
        <v>297</v>
      </c>
      <c r="Y1625" s="107" t="s">
        <v>12</v>
      </c>
      <c r="Z1625" s="67">
        <f>IF(База_КР_КК[[#This Row],[Таб.номер резервиста]]="-","-",IF(OR(База_КР_КК[[#This Row],[Уровень КК]]=2,База_КР_КК[[#This Row],[Уровень КК]]=3),IF(COUNTIFS($U$2:$U1625,$U1625,$F$2:$F1625,$F1625)=1,1,0),IF(COUNTIFS($U$2:$U1625,$U1625,$L$2:$L1625,$L1625)=1,1,0)))</f>
        <v>0</v>
      </c>
      <c r="AA16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5" s="106"/>
      <c r="AC1625" s="51"/>
      <c r="AD1625" s="106" t="s">
        <v>15</v>
      </c>
      <c r="AE1625" s="38" t="s">
        <v>350</v>
      </c>
    </row>
    <row r="1626" spans="1:31" ht="18" customHeight="1" x14ac:dyDescent="0.25">
      <c r="A16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6" s="79">
        <v>4</v>
      </c>
      <c r="C1626" s="23">
        <v>44431</v>
      </c>
      <c r="D1626" s="67">
        <f>IF(COUNTIF($G$2:$G1626,$G1626)=1,1,0)</f>
        <v>0</v>
      </c>
      <c r="E1626" s="67" t="str">
        <f>IFERROR(VLOOKUP(База_КР_КК[[#This Row],[ИД штатной должности (S)]],'уровень защищенности'!$B$7:$F$1095,5,0),"не защищена")</f>
        <v>средний</v>
      </c>
      <c r="F1626" s="68">
        <v>500196</v>
      </c>
      <c r="G1626" s="74" t="s">
        <v>2516</v>
      </c>
      <c r="H1626" s="181">
        <f>INDEX('Списки данных'!$D$2:$D$1048576,MATCH(База_КР_КК[[#This Row],[Структурное подразделение]],'Списки данных'!$C$2:$C$1048576,0))</f>
        <v>12</v>
      </c>
      <c r="I1626" s="80" t="s">
        <v>160</v>
      </c>
      <c r="J1626" s="80" t="s">
        <v>217</v>
      </c>
      <c r="K1626" s="80" t="s">
        <v>218</v>
      </c>
      <c r="L1626" s="30" t="s">
        <v>191</v>
      </c>
      <c r="M1626" s="68">
        <v>7</v>
      </c>
      <c r="N1626" s="181" t="str">
        <f t="shared" si="26"/>
        <v>нет</v>
      </c>
      <c r="O1626" s="23"/>
      <c r="P1626" s="23"/>
      <c r="Q1626" s="106"/>
      <c r="R1626" s="37">
        <v>347</v>
      </c>
      <c r="S1626" s="38" t="s">
        <v>759</v>
      </c>
      <c r="T1626" s="37">
        <v>1447</v>
      </c>
      <c r="U1626" s="39" t="s">
        <v>1825</v>
      </c>
      <c r="V1626" s="69" t="s">
        <v>272</v>
      </c>
      <c r="W1626" s="89" t="s">
        <v>160</v>
      </c>
      <c r="X1626" s="106" t="s">
        <v>296</v>
      </c>
      <c r="Y1626" s="107" t="s">
        <v>12</v>
      </c>
      <c r="Z1626" s="67">
        <f>IF(База_КР_КК[[#This Row],[Таб.номер резервиста]]="-","-",IF(OR(База_КР_КК[[#This Row],[Уровень КК]]=2,База_КР_КК[[#This Row],[Уровень КК]]=3),IF(COUNTIFS($U$2:$U1626,$U1626,$F$2:$F1626,$F1626)=1,1,0),IF(COUNTIFS($U$2:$U1626,$U1626,$L$2:$L1626,$L1626)=1,1,0)))</f>
        <v>0</v>
      </c>
      <c r="AA16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6" s="106"/>
      <c r="AC1626" s="51"/>
      <c r="AD1626" s="106" t="s">
        <v>15</v>
      </c>
      <c r="AE1626" s="38" t="s">
        <v>350</v>
      </c>
    </row>
    <row r="1627" spans="1:31" ht="18" customHeight="1" x14ac:dyDescent="0.25">
      <c r="A16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7" s="79">
        <v>4</v>
      </c>
      <c r="C1627" s="23">
        <v>44431</v>
      </c>
      <c r="D1627" s="67">
        <f>IF(COUNTIF($G$2:$G1627,$G1627)=1,1,0)</f>
        <v>0</v>
      </c>
      <c r="E1627" s="67" t="str">
        <f>IFERROR(VLOOKUP(База_КР_КК[[#This Row],[ИД штатной должности (S)]],'уровень защищенности'!$B$7:$F$1095,5,0),"не защищена")</f>
        <v>средний</v>
      </c>
      <c r="F1627" s="68">
        <v>500196</v>
      </c>
      <c r="G1627" s="74" t="s">
        <v>2516</v>
      </c>
      <c r="H1627" s="181">
        <f>INDEX('Списки данных'!$D$2:$D$1048576,MATCH(База_КР_КК[[#This Row],[Структурное подразделение]],'Списки данных'!$C$2:$C$1048576,0))</f>
        <v>12</v>
      </c>
      <c r="I1627" s="80" t="s">
        <v>160</v>
      </c>
      <c r="J1627" s="80" t="s">
        <v>217</v>
      </c>
      <c r="K1627" s="80" t="s">
        <v>218</v>
      </c>
      <c r="L1627" s="30" t="s">
        <v>191</v>
      </c>
      <c r="M1627" s="68">
        <v>7</v>
      </c>
      <c r="N1627" s="181" t="str">
        <f t="shared" si="26"/>
        <v>нет</v>
      </c>
      <c r="O1627" s="23"/>
      <c r="P1627" s="23"/>
      <c r="Q1627" s="106"/>
      <c r="R1627" s="37">
        <v>347</v>
      </c>
      <c r="S1627" s="38" t="s">
        <v>759</v>
      </c>
      <c r="T1627" s="37">
        <v>1448</v>
      </c>
      <c r="U1627" s="39" t="s">
        <v>1826</v>
      </c>
      <c r="V1627" s="69" t="s">
        <v>272</v>
      </c>
      <c r="W1627" s="89" t="s">
        <v>160</v>
      </c>
      <c r="X1627" s="106" t="s">
        <v>297</v>
      </c>
      <c r="Y1627" s="107" t="s">
        <v>12</v>
      </c>
      <c r="Z1627" s="67">
        <f>IF(База_КР_КК[[#This Row],[Таб.номер резервиста]]="-","-",IF(OR(База_КР_КК[[#This Row],[Уровень КК]]=2,База_КР_КК[[#This Row],[Уровень КК]]=3),IF(COUNTIFS($U$2:$U1627,$U1627,$F$2:$F1627,$F1627)=1,1,0),IF(COUNTIFS($U$2:$U1627,$U1627,$L$2:$L1627,$L1627)=1,1,0)))</f>
        <v>0</v>
      </c>
      <c r="AA16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7" s="106"/>
      <c r="AC1627" s="51"/>
      <c r="AD1627" s="106" t="s">
        <v>15</v>
      </c>
      <c r="AE1627" s="38" t="s">
        <v>350</v>
      </c>
    </row>
    <row r="1628" spans="1:31" ht="18" customHeight="1" x14ac:dyDescent="0.25">
      <c r="A16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8" s="79">
        <v>4</v>
      </c>
      <c r="C1628" s="23">
        <v>44431</v>
      </c>
      <c r="D1628" s="67">
        <f>IF(COUNTIF($G$2:$G1628,$G1628)=1,1,0)</f>
        <v>0</v>
      </c>
      <c r="E1628" s="67" t="str">
        <f>IFERROR(VLOOKUP(База_КР_КК[[#This Row],[ИД штатной должности (S)]],'уровень защищенности'!$B$7:$F$1095,5,0),"не защищена")</f>
        <v>средний</v>
      </c>
      <c r="F1628" s="68">
        <v>500196</v>
      </c>
      <c r="G1628" s="74" t="s">
        <v>2516</v>
      </c>
      <c r="H1628" s="181">
        <f>INDEX('Списки данных'!$D$2:$D$1048576,MATCH(База_КР_КК[[#This Row],[Структурное подразделение]],'Списки данных'!$C$2:$C$1048576,0))</f>
        <v>12</v>
      </c>
      <c r="I1628" s="80" t="s">
        <v>160</v>
      </c>
      <c r="J1628" s="80" t="s">
        <v>217</v>
      </c>
      <c r="K1628" s="80" t="s">
        <v>218</v>
      </c>
      <c r="L1628" s="30" t="s">
        <v>191</v>
      </c>
      <c r="M1628" s="68">
        <v>7</v>
      </c>
      <c r="N1628" s="181" t="str">
        <f t="shared" si="26"/>
        <v>нет</v>
      </c>
      <c r="O1628" s="23"/>
      <c r="P1628" s="23"/>
      <c r="Q1628" s="106"/>
      <c r="R1628" s="37">
        <v>347</v>
      </c>
      <c r="S1628" s="38" t="s">
        <v>759</v>
      </c>
      <c r="T1628" s="37">
        <v>1449</v>
      </c>
      <c r="U1628" s="39" t="s">
        <v>1827</v>
      </c>
      <c r="V1628" s="69" t="s">
        <v>272</v>
      </c>
      <c r="W1628" s="89" t="s">
        <v>160</v>
      </c>
      <c r="X1628" s="106" t="s">
        <v>296</v>
      </c>
      <c r="Y1628" s="107" t="s">
        <v>12</v>
      </c>
      <c r="Z1628" s="67">
        <f>IF(База_КР_КК[[#This Row],[Таб.номер резервиста]]="-","-",IF(OR(База_КР_КК[[#This Row],[Уровень КК]]=2,База_КР_КК[[#This Row],[Уровень КК]]=3),IF(COUNTIFS($U$2:$U1628,$U1628,$F$2:$F1628,$F1628)=1,1,0),IF(COUNTIFS($U$2:$U1628,$U1628,$L$2:$L1628,$L1628)=1,1,0)))</f>
        <v>0</v>
      </c>
      <c r="AA16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8" s="106"/>
      <c r="AC1628" s="51"/>
      <c r="AD1628" s="106" t="s">
        <v>15</v>
      </c>
      <c r="AE1628" s="38" t="s">
        <v>350</v>
      </c>
    </row>
    <row r="1629" spans="1:31" ht="18" customHeight="1" x14ac:dyDescent="0.25">
      <c r="A16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29" s="79">
        <v>4</v>
      </c>
      <c r="C1629" s="23">
        <v>44431</v>
      </c>
      <c r="D1629" s="67">
        <f>IF(COUNTIF($G$2:$G1629,$G1629)=1,1,0)</f>
        <v>0</v>
      </c>
      <c r="E1629" s="67" t="str">
        <f>IFERROR(VLOOKUP(База_КР_КК[[#This Row],[ИД штатной должности (S)]],'уровень защищенности'!$B$7:$F$1095,5,0),"не защищена")</f>
        <v>средний</v>
      </c>
      <c r="F1629" s="68">
        <v>500196</v>
      </c>
      <c r="G1629" s="74" t="s">
        <v>2516</v>
      </c>
      <c r="H1629" s="181">
        <f>INDEX('Списки данных'!$D$2:$D$1048576,MATCH(База_КР_КК[[#This Row],[Структурное подразделение]],'Списки данных'!$C$2:$C$1048576,0))</f>
        <v>12</v>
      </c>
      <c r="I1629" s="80" t="s">
        <v>160</v>
      </c>
      <c r="J1629" s="80" t="s">
        <v>217</v>
      </c>
      <c r="K1629" s="80" t="s">
        <v>218</v>
      </c>
      <c r="L1629" s="30" t="s">
        <v>191</v>
      </c>
      <c r="M1629" s="68">
        <v>7</v>
      </c>
      <c r="N1629" s="181" t="str">
        <f t="shared" si="26"/>
        <v>нет</v>
      </c>
      <c r="O1629" s="23"/>
      <c r="P1629" s="23"/>
      <c r="Q1629" s="106"/>
      <c r="R1629" s="37">
        <v>347</v>
      </c>
      <c r="S1629" s="38" t="s">
        <v>759</v>
      </c>
      <c r="T1629" s="37">
        <v>1450</v>
      </c>
      <c r="U1629" s="39" t="s">
        <v>1828</v>
      </c>
      <c r="V1629" s="69" t="s">
        <v>272</v>
      </c>
      <c r="W1629" s="89" t="s">
        <v>160</v>
      </c>
      <c r="X1629" s="106" t="s">
        <v>296</v>
      </c>
      <c r="Y1629" s="107" t="s">
        <v>12</v>
      </c>
      <c r="Z1629" s="67">
        <f>IF(База_КР_КК[[#This Row],[Таб.номер резервиста]]="-","-",IF(OR(База_КР_КК[[#This Row],[Уровень КК]]=2,База_КР_КК[[#This Row],[Уровень КК]]=3),IF(COUNTIFS($U$2:$U1629,$U1629,$F$2:$F1629,$F1629)=1,1,0),IF(COUNTIFS($U$2:$U1629,$U1629,$L$2:$L1629,$L1629)=1,1,0)))</f>
        <v>0</v>
      </c>
      <c r="AA16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29" s="106"/>
      <c r="AC1629" s="51"/>
      <c r="AD1629" s="106" t="s">
        <v>15</v>
      </c>
      <c r="AE1629" s="38" t="s">
        <v>350</v>
      </c>
    </row>
    <row r="1630" spans="1:31" ht="18" customHeight="1" x14ac:dyDescent="0.25">
      <c r="A16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0" s="79">
        <v>4</v>
      </c>
      <c r="C1630" s="23">
        <v>44431</v>
      </c>
      <c r="D1630" s="67">
        <f>IF(COUNTIF($G$2:$G1630,$G1630)=1,1,0)</f>
        <v>0</v>
      </c>
      <c r="E1630" s="67" t="str">
        <f>IFERROR(VLOOKUP(База_КР_КК[[#This Row],[ИД штатной должности (S)]],'уровень защищенности'!$B$7:$F$1095,5,0),"не защищена")</f>
        <v>средний</v>
      </c>
      <c r="F1630" s="68">
        <v>500196</v>
      </c>
      <c r="G1630" s="74" t="s">
        <v>2516</v>
      </c>
      <c r="H1630" s="181">
        <f>INDEX('Списки данных'!$D$2:$D$1048576,MATCH(База_КР_КК[[#This Row],[Структурное подразделение]],'Списки данных'!$C$2:$C$1048576,0))</f>
        <v>12</v>
      </c>
      <c r="I1630" s="80" t="s">
        <v>160</v>
      </c>
      <c r="J1630" s="80" t="s">
        <v>217</v>
      </c>
      <c r="K1630" s="80" t="s">
        <v>218</v>
      </c>
      <c r="L1630" s="30" t="s">
        <v>191</v>
      </c>
      <c r="M1630" s="68">
        <v>7</v>
      </c>
      <c r="N1630" s="181" t="str">
        <f t="shared" si="26"/>
        <v>нет</v>
      </c>
      <c r="O1630" s="23"/>
      <c r="P1630" s="23"/>
      <c r="Q1630" s="106"/>
      <c r="R1630" s="37">
        <v>347</v>
      </c>
      <c r="S1630" s="38" t="s">
        <v>759</v>
      </c>
      <c r="T1630" s="37">
        <v>1451</v>
      </c>
      <c r="U1630" s="39" t="s">
        <v>1606</v>
      </c>
      <c r="V1630" s="69" t="s">
        <v>272</v>
      </c>
      <c r="W1630" s="89" t="s">
        <v>160</v>
      </c>
      <c r="X1630" s="106" t="s">
        <v>297</v>
      </c>
      <c r="Y1630" s="107" t="s">
        <v>12</v>
      </c>
      <c r="Z1630" s="67">
        <f>IF(База_КР_КК[[#This Row],[Таб.номер резервиста]]="-","-",IF(OR(База_КР_КК[[#This Row],[Уровень КК]]=2,База_КР_КК[[#This Row],[Уровень КК]]=3),IF(COUNTIFS($U$2:$U1630,$U1630,$F$2:$F1630,$F1630)=1,1,0),IF(COUNTIFS($U$2:$U1630,$U1630,$L$2:$L1630,$L1630)=1,1,0)))</f>
        <v>0</v>
      </c>
      <c r="AA16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0" s="106"/>
      <c r="AC1630" s="51"/>
      <c r="AD1630" s="106" t="s">
        <v>15</v>
      </c>
      <c r="AE1630" s="38" t="s">
        <v>350</v>
      </c>
    </row>
    <row r="1631" spans="1:31" ht="18" customHeight="1" x14ac:dyDescent="0.25">
      <c r="A16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1" s="79">
        <v>4</v>
      </c>
      <c r="C1631" s="23">
        <v>44889</v>
      </c>
      <c r="D1631" s="67">
        <f>IF(COUNTIF($G$2:$G1631,$G1631)=1,1,0)</f>
        <v>0</v>
      </c>
      <c r="E1631" s="67" t="str">
        <f>IFERROR(VLOOKUP(База_КР_КК[[#This Row],[ИД штатной должности (S)]],'уровень защищенности'!$B$7:$F$1095,5,0),"не защищена")</f>
        <v>средний</v>
      </c>
      <c r="F1631" s="68">
        <v>500196</v>
      </c>
      <c r="G1631" s="74" t="s">
        <v>2516</v>
      </c>
      <c r="H1631" s="181">
        <f>INDEX('Списки данных'!$D$2:$D$1048576,MATCH(База_КР_КК[[#This Row],[Структурное подразделение]],'Списки данных'!$C$2:$C$1048576,0))</f>
        <v>12</v>
      </c>
      <c r="I1631" s="80" t="s">
        <v>160</v>
      </c>
      <c r="J1631" s="80" t="s">
        <v>217</v>
      </c>
      <c r="K1631" s="80" t="s">
        <v>218</v>
      </c>
      <c r="L1631" s="30" t="s">
        <v>191</v>
      </c>
      <c r="M1631" s="68">
        <v>7</v>
      </c>
      <c r="N1631" s="181" t="str">
        <f t="shared" si="26"/>
        <v>нет</v>
      </c>
      <c r="O1631" s="23"/>
      <c r="P1631" s="23"/>
      <c r="Q1631" s="106"/>
      <c r="R1631" s="37">
        <v>347</v>
      </c>
      <c r="S1631" s="38" t="s">
        <v>759</v>
      </c>
      <c r="T1631" s="37">
        <v>1452</v>
      </c>
      <c r="U1631" s="39" t="s">
        <v>1829</v>
      </c>
      <c r="V1631" s="69" t="s">
        <v>272</v>
      </c>
      <c r="W1631" s="89" t="s">
        <v>160</v>
      </c>
      <c r="X1631" s="106" t="s">
        <v>297</v>
      </c>
      <c r="Y1631" s="107" t="s">
        <v>12</v>
      </c>
      <c r="Z1631" s="67">
        <f>IF(База_КР_КК[[#This Row],[Таб.номер резервиста]]="-","-",IF(OR(База_КР_КК[[#This Row],[Уровень КК]]=2,База_КР_КК[[#This Row],[Уровень КК]]=3),IF(COUNTIFS($U$2:$U1631,$U1631,$F$2:$F1631,$F1631)=1,1,0),IF(COUNTIFS($U$2:$U1631,$U1631,$L$2:$L1631,$L1631)=1,1,0)))</f>
        <v>0</v>
      </c>
      <c r="AA16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1" s="106"/>
      <c r="AC1631" s="51"/>
      <c r="AD1631" s="106" t="s">
        <v>15</v>
      </c>
      <c r="AE1631" s="40" t="s">
        <v>344</v>
      </c>
    </row>
    <row r="1632" spans="1:31" ht="18" customHeight="1" x14ac:dyDescent="0.25">
      <c r="A16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2" s="79">
        <v>4</v>
      </c>
      <c r="C1632" s="23">
        <v>44889</v>
      </c>
      <c r="D1632" s="67">
        <f>IF(COUNTIF($G$2:$G1632,$G1632)=1,1,0)</f>
        <v>0</v>
      </c>
      <c r="E1632" s="67" t="str">
        <f>IFERROR(VLOOKUP(База_КР_КК[[#This Row],[ИД штатной должности (S)]],'уровень защищенности'!$B$7:$F$1095,5,0),"не защищена")</f>
        <v>средний</v>
      </c>
      <c r="F1632" s="68">
        <v>500196</v>
      </c>
      <c r="G1632" s="74" t="s">
        <v>2516</v>
      </c>
      <c r="H1632" s="181">
        <f>INDEX('Списки данных'!$D$2:$D$1048576,MATCH(База_КР_КК[[#This Row],[Структурное подразделение]],'Списки данных'!$C$2:$C$1048576,0))</f>
        <v>12</v>
      </c>
      <c r="I1632" s="80" t="s">
        <v>160</v>
      </c>
      <c r="J1632" s="80" t="s">
        <v>217</v>
      </c>
      <c r="K1632" s="80" t="s">
        <v>218</v>
      </c>
      <c r="L1632" s="30" t="s">
        <v>191</v>
      </c>
      <c r="M1632" s="68">
        <v>7</v>
      </c>
      <c r="N1632" s="181" t="str">
        <f t="shared" si="26"/>
        <v>нет</v>
      </c>
      <c r="O1632" s="23"/>
      <c r="P1632" s="23"/>
      <c r="Q1632" s="106"/>
      <c r="R1632" s="37">
        <v>347</v>
      </c>
      <c r="S1632" s="38" t="s">
        <v>759</v>
      </c>
      <c r="T1632" s="37">
        <v>1453</v>
      </c>
      <c r="U1632" s="39" t="s">
        <v>1830</v>
      </c>
      <c r="V1632" s="69" t="s">
        <v>272</v>
      </c>
      <c r="W1632" s="89" t="s">
        <v>160</v>
      </c>
      <c r="X1632" s="106" t="s">
        <v>296</v>
      </c>
      <c r="Y1632" s="107" t="s">
        <v>12</v>
      </c>
      <c r="Z1632" s="67">
        <f>IF(База_КР_КК[[#This Row],[Таб.номер резервиста]]="-","-",IF(OR(База_КР_КК[[#This Row],[Уровень КК]]=2,База_КР_КК[[#This Row],[Уровень КК]]=3),IF(COUNTIFS($U$2:$U1632,$U1632,$F$2:$F1632,$F1632)=1,1,0),IF(COUNTIFS($U$2:$U1632,$U1632,$L$2:$L1632,$L1632)=1,1,0)))</f>
        <v>0</v>
      </c>
      <c r="AA16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2" s="106"/>
      <c r="AC1632" s="51"/>
      <c r="AD1632" s="106" t="s">
        <v>15</v>
      </c>
      <c r="AE1632" s="40" t="s">
        <v>344</v>
      </c>
    </row>
    <row r="1633" spans="1:31" ht="18" customHeight="1" x14ac:dyDescent="0.25">
      <c r="A16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3" s="79">
        <v>4</v>
      </c>
      <c r="C1633" s="23">
        <v>44889</v>
      </c>
      <c r="D1633" s="67">
        <f>IF(COUNTIF($G$2:$G1633,$G1633)=1,1,0)</f>
        <v>0</v>
      </c>
      <c r="E1633" s="67" t="str">
        <f>IFERROR(VLOOKUP(База_КР_КК[[#This Row],[ИД штатной должности (S)]],'уровень защищенности'!$B$7:$F$1095,5,0),"не защищена")</f>
        <v>средний</v>
      </c>
      <c r="F1633" s="68">
        <v>500196</v>
      </c>
      <c r="G1633" s="74" t="s">
        <v>2516</v>
      </c>
      <c r="H1633" s="181">
        <f>INDEX('Списки данных'!$D$2:$D$1048576,MATCH(База_КР_КК[[#This Row],[Структурное подразделение]],'Списки данных'!$C$2:$C$1048576,0))</f>
        <v>12</v>
      </c>
      <c r="I1633" s="80" t="s">
        <v>160</v>
      </c>
      <c r="J1633" s="80" t="s">
        <v>217</v>
      </c>
      <c r="K1633" s="80" t="s">
        <v>218</v>
      </c>
      <c r="L1633" s="30" t="s">
        <v>191</v>
      </c>
      <c r="M1633" s="68">
        <v>7</v>
      </c>
      <c r="N1633" s="181" t="str">
        <f t="shared" si="26"/>
        <v>нет</v>
      </c>
      <c r="O1633" s="23"/>
      <c r="P1633" s="23"/>
      <c r="Q1633" s="106"/>
      <c r="R1633" s="37">
        <v>347</v>
      </c>
      <c r="S1633" s="38" t="s">
        <v>759</v>
      </c>
      <c r="T1633" s="37">
        <v>1454</v>
      </c>
      <c r="U1633" s="39" t="s">
        <v>1831</v>
      </c>
      <c r="V1633" s="69" t="s">
        <v>272</v>
      </c>
      <c r="W1633" s="89" t="s">
        <v>160</v>
      </c>
      <c r="X1633" s="106" t="s">
        <v>296</v>
      </c>
      <c r="Y1633" s="107" t="s">
        <v>12</v>
      </c>
      <c r="Z1633" s="67">
        <f>IF(База_КР_КК[[#This Row],[Таб.номер резервиста]]="-","-",IF(OR(База_КР_КК[[#This Row],[Уровень КК]]=2,База_КР_КК[[#This Row],[Уровень КК]]=3),IF(COUNTIFS($U$2:$U1633,$U1633,$F$2:$F1633,$F1633)=1,1,0),IF(COUNTIFS($U$2:$U1633,$U1633,$L$2:$L1633,$L1633)=1,1,0)))</f>
        <v>0</v>
      </c>
      <c r="AA16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3" s="106"/>
      <c r="AC1633" s="51"/>
      <c r="AD1633" s="106" t="s">
        <v>15</v>
      </c>
      <c r="AE1633" s="40" t="s">
        <v>344</v>
      </c>
    </row>
    <row r="1634" spans="1:31" ht="18" customHeight="1" x14ac:dyDescent="0.25">
      <c r="A16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4" s="79">
        <v>4</v>
      </c>
      <c r="C1634" s="23">
        <v>44431</v>
      </c>
      <c r="D1634" s="67">
        <f>IF(COUNTIF($G$2:$G1634,$G1634)=1,1,0)</f>
        <v>1</v>
      </c>
      <c r="E1634" s="67" t="str">
        <f>IFERROR(VLOOKUP(База_КР_КК[[#This Row],[ИД штатной должности (S)]],'уровень защищенности'!$B$7:$F$1095,5,0),"не защищена")</f>
        <v>средний</v>
      </c>
      <c r="F1634" s="68">
        <v>500196</v>
      </c>
      <c r="G1634" s="74" t="s">
        <v>2517</v>
      </c>
      <c r="H1634" s="181">
        <f>INDEX('Списки данных'!$D$2:$D$1048576,MATCH(База_КР_КК[[#This Row],[Структурное подразделение]],'Списки данных'!$C$2:$C$1048576,0))</f>
        <v>12</v>
      </c>
      <c r="I1634" s="80" t="s">
        <v>160</v>
      </c>
      <c r="J1634" s="80" t="s">
        <v>217</v>
      </c>
      <c r="K1634" s="80" t="s">
        <v>218</v>
      </c>
      <c r="L1634" s="30" t="s">
        <v>191</v>
      </c>
      <c r="M1634" s="68">
        <v>7</v>
      </c>
      <c r="N1634" s="181" t="str">
        <f t="shared" si="26"/>
        <v>нет</v>
      </c>
      <c r="O1634" s="23"/>
      <c r="P1634" s="23"/>
      <c r="Q1634" s="106"/>
      <c r="R1634" s="37">
        <v>348</v>
      </c>
      <c r="S1634" s="38" t="s">
        <v>760</v>
      </c>
      <c r="T1634" s="37">
        <v>1445</v>
      </c>
      <c r="U1634" s="39" t="s">
        <v>1823</v>
      </c>
      <c r="V1634" s="69" t="s">
        <v>272</v>
      </c>
      <c r="W1634" s="89" t="s">
        <v>160</v>
      </c>
      <c r="X1634" s="106" t="s">
        <v>297</v>
      </c>
      <c r="Y1634" s="107" t="s">
        <v>12</v>
      </c>
      <c r="Z1634" s="67">
        <f>IF(База_КР_КК[[#This Row],[Таб.номер резервиста]]="-","-",IF(OR(База_КР_КК[[#This Row],[Уровень КК]]=2,База_КР_КК[[#This Row],[Уровень КК]]=3),IF(COUNTIFS($U$2:$U1634,$U1634,$F$2:$F1634,$F1634)=1,1,0),IF(COUNTIFS($U$2:$U1634,$U1634,$L$2:$L1634,$L1634)=1,1,0)))</f>
        <v>0</v>
      </c>
      <c r="AA16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4" s="106"/>
      <c r="AC1634" s="51"/>
      <c r="AD1634" s="106" t="s">
        <v>15</v>
      </c>
      <c r="AE1634" s="38" t="s">
        <v>350</v>
      </c>
    </row>
    <row r="1635" spans="1:31" ht="18" customHeight="1" x14ac:dyDescent="0.25">
      <c r="A16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5" s="79">
        <v>4</v>
      </c>
      <c r="C1635" s="23">
        <v>44431</v>
      </c>
      <c r="D1635" s="67">
        <f>IF(COUNTIF($G$2:$G1635,$G1635)=1,1,0)</f>
        <v>0</v>
      </c>
      <c r="E1635" s="67" t="str">
        <f>IFERROR(VLOOKUP(База_КР_КК[[#This Row],[ИД штатной должности (S)]],'уровень защищенности'!$B$7:$F$1095,5,0),"не защищена")</f>
        <v>средний</v>
      </c>
      <c r="F1635" s="68">
        <v>500196</v>
      </c>
      <c r="G1635" s="74" t="s">
        <v>2517</v>
      </c>
      <c r="H1635" s="181">
        <f>INDEX('Списки данных'!$D$2:$D$1048576,MATCH(База_КР_КК[[#This Row],[Структурное подразделение]],'Списки данных'!$C$2:$C$1048576,0))</f>
        <v>12</v>
      </c>
      <c r="I1635" s="80" t="s">
        <v>160</v>
      </c>
      <c r="J1635" s="80" t="s">
        <v>217</v>
      </c>
      <c r="K1635" s="80" t="s">
        <v>218</v>
      </c>
      <c r="L1635" s="30" t="s">
        <v>191</v>
      </c>
      <c r="M1635" s="68">
        <v>7</v>
      </c>
      <c r="N1635" s="181" t="str">
        <f t="shared" si="26"/>
        <v>нет</v>
      </c>
      <c r="O1635" s="23"/>
      <c r="P1635" s="23"/>
      <c r="Q1635" s="106"/>
      <c r="R1635" s="37">
        <v>348</v>
      </c>
      <c r="S1635" s="38" t="s">
        <v>760</v>
      </c>
      <c r="T1635" s="37">
        <v>1446</v>
      </c>
      <c r="U1635" s="39" t="s">
        <v>1824</v>
      </c>
      <c r="V1635" s="69" t="s">
        <v>16</v>
      </c>
      <c r="W1635" s="89" t="s">
        <v>160</v>
      </c>
      <c r="X1635" s="106" t="s">
        <v>297</v>
      </c>
      <c r="Y1635" s="107" t="s">
        <v>12</v>
      </c>
      <c r="Z1635" s="67">
        <f>IF(База_КР_КК[[#This Row],[Таб.номер резервиста]]="-","-",IF(OR(База_КР_КК[[#This Row],[Уровень КК]]=2,База_КР_КК[[#This Row],[Уровень КК]]=3),IF(COUNTIFS($U$2:$U1635,$U1635,$F$2:$F1635,$F1635)=1,1,0),IF(COUNTIFS($U$2:$U1635,$U1635,$L$2:$L1635,$L1635)=1,1,0)))</f>
        <v>0</v>
      </c>
      <c r="AA16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5" s="106"/>
      <c r="AC1635" s="51"/>
      <c r="AD1635" s="106" t="s">
        <v>15</v>
      </c>
      <c r="AE1635" s="38" t="s">
        <v>350</v>
      </c>
    </row>
    <row r="1636" spans="1:31" ht="18" customHeight="1" x14ac:dyDescent="0.25">
      <c r="A16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6" s="79">
        <v>4</v>
      </c>
      <c r="C1636" s="23">
        <v>44431</v>
      </c>
      <c r="D1636" s="67">
        <f>IF(COUNTIF($G$2:$G1636,$G1636)=1,1,0)</f>
        <v>0</v>
      </c>
      <c r="E1636" s="67" t="str">
        <f>IFERROR(VLOOKUP(База_КР_КК[[#This Row],[ИД штатной должности (S)]],'уровень защищенности'!$B$7:$F$1095,5,0),"не защищена")</f>
        <v>средний</v>
      </c>
      <c r="F1636" s="68">
        <v>500196</v>
      </c>
      <c r="G1636" s="74" t="s">
        <v>2517</v>
      </c>
      <c r="H1636" s="181">
        <f>INDEX('Списки данных'!$D$2:$D$1048576,MATCH(База_КР_КК[[#This Row],[Структурное подразделение]],'Списки данных'!$C$2:$C$1048576,0))</f>
        <v>12</v>
      </c>
      <c r="I1636" s="80" t="s">
        <v>160</v>
      </c>
      <c r="J1636" s="80" t="s">
        <v>217</v>
      </c>
      <c r="K1636" s="80" t="s">
        <v>218</v>
      </c>
      <c r="L1636" s="30" t="s">
        <v>191</v>
      </c>
      <c r="M1636" s="68">
        <v>7</v>
      </c>
      <c r="N1636" s="181" t="str">
        <f t="shared" si="26"/>
        <v>нет</v>
      </c>
      <c r="O1636" s="23"/>
      <c r="P1636" s="23"/>
      <c r="Q1636" s="106"/>
      <c r="R1636" s="37">
        <v>348</v>
      </c>
      <c r="S1636" s="38" t="s">
        <v>760</v>
      </c>
      <c r="T1636" s="37">
        <v>1447</v>
      </c>
      <c r="U1636" s="39" t="s">
        <v>1825</v>
      </c>
      <c r="V1636" s="69" t="s">
        <v>272</v>
      </c>
      <c r="W1636" s="89" t="s">
        <v>160</v>
      </c>
      <c r="X1636" s="106" t="s">
        <v>296</v>
      </c>
      <c r="Y1636" s="107" t="s">
        <v>12</v>
      </c>
      <c r="Z1636" s="67">
        <f>IF(База_КР_КК[[#This Row],[Таб.номер резервиста]]="-","-",IF(OR(База_КР_КК[[#This Row],[Уровень КК]]=2,База_КР_КК[[#This Row],[Уровень КК]]=3),IF(COUNTIFS($U$2:$U1636,$U1636,$F$2:$F1636,$F1636)=1,1,0),IF(COUNTIFS($U$2:$U1636,$U1636,$L$2:$L1636,$L1636)=1,1,0)))</f>
        <v>0</v>
      </c>
      <c r="AA16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6" s="106"/>
      <c r="AC1636" s="51"/>
      <c r="AD1636" s="106" t="s">
        <v>15</v>
      </c>
      <c r="AE1636" s="38" t="s">
        <v>350</v>
      </c>
    </row>
    <row r="1637" spans="1:31" ht="18" customHeight="1" x14ac:dyDescent="0.25">
      <c r="A16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7" s="79">
        <v>4</v>
      </c>
      <c r="C1637" s="23">
        <v>44431</v>
      </c>
      <c r="D1637" s="67">
        <f>IF(COUNTIF($G$2:$G1637,$G1637)=1,1,0)</f>
        <v>0</v>
      </c>
      <c r="E1637" s="67" t="str">
        <f>IFERROR(VLOOKUP(База_КР_КК[[#This Row],[ИД штатной должности (S)]],'уровень защищенности'!$B$7:$F$1095,5,0),"не защищена")</f>
        <v>средний</v>
      </c>
      <c r="F1637" s="68">
        <v>500196</v>
      </c>
      <c r="G1637" s="74" t="s">
        <v>2517</v>
      </c>
      <c r="H1637" s="181">
        <f>INDEX('Списки данных'!$D$2:$D$1048576,MATCH(База_КР_КК[[#This Row],[Структурное подразделение]],'Списки данных'!$C$2:$C$1048576,0))</f>
        <v>12</v>
      </c>
      <c r="I1637" s="80" t="s">
        <v>160</v>
      </c>
      <c r="J1637" s="80" t="s">
        <v>217</v>
      </c>
      <c r="K1637" s="80" t="s">
        <v>218</v>
      </c>
      <c r="L1637" s="30" t="s">
        <v>191</v>
      </c>
      <c r="M1637" s="68">
        <v>7</v>
      </c>
      <c r="N1637" s="181" t="str">
        <f t="shared" si="26"/>
        <v>нет</v>
      </c>
      <c r="O1637" s="23"/>
      <c r="P1637" s="23"/>
      <c r="Q1637" s="106"/>
      <c r="R1637" s="37">
        <v>348</v>
      </c>
      <c r="S1637" s="38" t="s">
        <v>760</v>
      </c>
      <c r="T1637" s="37">
        <v>1448</v>
      </c>
      <c r="U1637" s="39" t="s">
        <v>1826</v>
      </c>
      <c r="V1637" s="69" t="s">
        <v>272</v>
      </c>
      <c r="W1637" s="89" t="s">
        <v>160</v>
      </c>
      <c r="X1637" s="106" t="s">
        <v>297</v>
      </c>
      <c r="Y1637" s="107" t="s">
        <v>12</v>
      </c>
      <c r="Z1637" s="67">
        <f>IF(База_КР_КК[[#This Row],[Таб.номер резервиста]]="-","-",IF(OR(База_КР_КК[[#This Row],[Уровень КК]]=2,База_КР_КК[[#This Row],[Уровень КК]]=3),IF(COUNTIFS($U$2:$U1637,$U1637,$F$2:$F1637,$F1637)=1,1,0),IF(COUNTIFS($U$2:$U1637,$U1637,$L$2:$L1637,$L1637)=1,1,0)))</f>
        <v>0</v>
      </c>
      <c r="AA16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7" s="106"/>
      <c r="AC1637" s="51"/>
      <c r="AD1637" s="106" t="s">
        <v>15</v>
      </c>
      <c r="AE1637" s="38" t="s">
        <v>350</v>
      </c>
    </row>
    <row r="1638" spans="1:31" ht="18" customHeight="1" x14ac:dyDescent="0.25">
      <c r="A16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8" s="79">
        <v>4</v>
      </c>
      <c r="C1638" s="23">
        <v>44431</v>
      </c>
      <c r="D1638" s="67">
        <f>IF(COUNTIF($G$2:$G1638,$G1638)=1,1,0)</f>
        <v>0</v>
      </c>
      <c r="E1638" s="67" t="str">
        <f>IFERROR(VLOOKUP(База_КР_КК[[#This Row],[ИД штатной должности (S)]],'уровень защищенности'!$B$7:$F$1095,5,0),"не защищена")</f>
        <v>средний</v>
      </c>
      <c r="F1638" s="68">
        <v>500196</v>
      </c>
      <c r="G1638" s="74" t="s">
        <v>2517</v>
      </c>
      <c r="H1638" s="181">
        <f>INDEX('Списки данных'!$D$2:$D$1048576,MATCH(База_КР_КК[[#This Row],[Структурное подразделение]],'Списки данных'!$C$2:$C$1048576,0))</f>
        <v>12</v>
      </c>
      <c r="I1638" s="80" t="s">
        <v>160</v>
      </c>
      <c r="J1638" s="80" t="s">
        <v>217</v>
      </c>
      <c r="K1638" s="80" t="s">
        <v>218</v>
      </c>
      <c r="L1638" s="30" t="s">
        <v>191</v>
      </c>
      <c r="M1638" s="68">
        <v>7</v>
      </c>
      <c r="N1638" s="181" t="str">
        <f t="shared" si="26"/>
        <v>нет</v>
      </c>
      <c r="O1638" s="23"/>
      <c r="P1638" s="23"/>
      <c r="Q1638" s="106"/>
      <c r="R1638" s="37">
        <v>348</v>
      </c>
      <c r="S1638" s="38" t="s">
        <v>760</v>
      </c>
      <c r="T1638" s="37">
        <v>1449</v>
      </c>
      <c r="U1638" s="39" t="s">
        <v>1827</v>
      </c>
      <c r="V1638" s="69" t="s">
        <v>272</v>
      </c>
      <c r="W1638" s="89" t="s">
        <v>160</v>
      </c>
      <c r="X1638" s="106" t="s">
        <v>296</v>
      </c>
      <c r="Y1638" s="107" t="s">
        <v>12</v>
      </c>
      <c r="Z1638" s="67">
        <f>IF(База_КР_КК[[#This Row],[Таб.номер резервиста]]="-","-",IF(OR(База_КР_КК[[#This Row],[Уровень КК]]=2,База_КР_КК[[#This Row],[Уровень КК]]=3),IF(COUNTIFS($U$2:$U1638,$U1638,$F$2:$F1638,$F1638)=1,1,0),IF(COUNTIFS($U$2:$U1638,$U1638,$L$2:$L1638,$L1638)=1,1,0)))</f>
        <v>0</v>
      </c>
      <c r="AA16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8" s="106"/>
      <c r="AC1638" s="51"/>
      <c r="AD1638" s="106" t="s">
        <v>15</v>
      </c>
      <c r="AE1638" s="38" t="s">
        <v>350</v>
      </c>
    </row>
    <row r="1639" spans="1:31" ht="18" customHeight="1" x14ac:dyDescent="0.25">
      <c r="A16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39" s="79">
        <v>4</v>
      </c>
      <c r="C1639" s="23">
        <v>44431</v>
      </c>
      <c r="D1639" s="67">
        <f>IF(COUNTIF($G$2:$G1639,$G1639)=1,1,0)</f>
        <v>0</v>
      </c>
      <c r="E1639" s="67" t="str">
        <f>IFERROR(VLOOKUP(База_КР_КК[[#This Row],[ИД штатной должности (S)]],'уровень защищенности'!$B$7:$F$1095,5,0),"не защищена")</f>
        <v>средний</v>
      </c>
      <c r="F1639" s="68">
        <v>500196</v>
      </c>
      <c r="G1639" s="74" t="s">
        <v>2517</v>
      </c>
      <c r="H1639" s="181">
        <f>INDEX('Списки данных'!$D$2:$D$1048576,MATCH(База_КР_КК[[#This Row],[Структурное подразделение]],'Списки данных'!$C$2:$C$1048576,0))</f>
        <v>12</v>
      </c>
      <c r="I1639" s="80" t="s">
        <v>160</v>
      </c>
      <c r="J1639" s="80" t="s">
        <v>217</v>
      </c>
      <c r="K1639" s="80" t="s">
        <v>218</v>
      </c>
      <c r="L1639" s="30" t="s">
        <v>191</v>
      </c>
      <c r="M1639" s="68">
        <v>7</v>
      </c>
      <c r="N1639" s="181" t="str">
        <f t="shared" si="26"/>
        <v>нет</v>
      </c>
      <c r="O1639" s="23"/>
      <c r="P1639" s="23"/>
      <c r="Q1639" s="106"/>
      <c r="R1639" s="37">
        <v>348</v>
      </c>
      <c r="S1639" s="38" t="s">
        <v>760</v>
      </c>
      <c r="T1639" s="37">
        <v>1450</v>
      </c>
      <c r="U1639" s="39" t="s">
        <v>1828</v>
      </c>
      <c r="V1639" s="69" t="s">
        <v>272</v>
      </c>
      <c r="W1639" s="89" t="s">
        <v>160</v>
      </c>
      <c r="X1639" s="106" t="s">
        <v>296</v>
      </c>
      <c r="Y1639" s="107" t="s">
        <v>12</v>
      </c>
      <c r="Z1639" s="67">
        <f>IF(База_КР_КК[[#This Row],[Таб.номер резервиста]]="-","-",IF(OR(База_КР_КК[[#This Row],[Уровень КК]]=2,База_КР_КК[[#This Row],[Уровень КК]]=3),IF(COUNTIFS($U$2:$U1639,$U1639,$F$2:$F1639,$F1639)=1,1,0),IF(COUNTIFS($U$2:$U1639,$U1639,$L$2:$L1639,$L1639)=1,1,0)))</f>
        <v>0</v>
      </c>
      <c r="AA16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39" s="106"/>
      <c r="AC1639" s="51"/>
      <c r="AD1639" s="106" t="s">
        <v>15</v>
      </c>
      <c r="AE1639" s="38" t="s">
        <v>350</v>
      </c>
    </row>
    <row r="1640" spans="1:31" ht="18" customHeight="1" x14ac:dyDescent="0.25">
      <c r="A16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0" s="79">
        <v>4</v>
      </c>
      <c r="C1640" s="23">
        <v>44431</v>
      </c>
      <c r="D1640" s="67">
        <f>IF(COUNTIF($G$2:$G1640,$G1640)=1,1,0)</f>
        <v>0</v>
      </c>
      <c r="E1640" s="67" t="str">
        <f>IFERROR(VLOOKUP(База_КР_КК[[#This Row],[ИД штатной должности (S)]],'уровень защищенности'!$B$7:$F$1095,5,0),"не защищена")</f>
        <v>средний</v>
      </c>
      <c r="F1640" s="68">
        <v>500196</v>
      </c>
      <c r="G1640" s="74" t="s">
        <v>2517</v>
      </c>
      <c r="H1640" s="181">
        <f>INDEX('Списки данных'!$D$2:$D$1048576,MATCH(База_КР_КК[[#This Row],[Структурное подразделение]],'Списки данных'!$C$2:$C$1048576,0))</f>
        <v>12</v>
      </c>
      <c r="I1640" s="80" t="s">
        <v>160</v>
      </c>
      <c r="J1640" s="80" t="s">
        <v>217</v>
      </c>
      <c r="K1640" s="80" t="s">
        <v>218</v>
      </c>
      <c r="L1640" s="30" t="s">
        <v>191</v>
      </c>
      <c r="M1640" s="68">
        <v>7</v>
      </c>
      <c r="N1640" s="181" t="str">
        <f t="shared" si="26"/>
        <v>нет</v>
      </c>
      <c r="O1640" s="23"/>
      <c r="P1640" s="23"/>
      <c r="Q1640" s="106"/>
      <c r="R1640" s="37">
        <v>348</v>
      </c>
      <c r="S1640" s="38" t="s">
        <v>760</v>
      </c>
      <c r="T1640" s="37">
        <v>1451</v>
      </c>
      <c r="U1640" s="39" t="s">
        <v>1606</v>
      </c>
      <c r="V1640" s="69" t="s">
        <v>272</v>
      </c>
      <c r="W1640" s="89" t="s">
        <v>160</v>
      </c>
      <c r="X1640" s="106" t="s">
        <v>297</v>
      </c>
      <c r="Y1640" s="107" t="s">
        <v>12</v>
      </c>
      <c r="Z1640" s="67">
        <f>IF(База_КР_КК[[#This Row],[Таб.номер резервиста]]="-","-",IF(OR(База_КР_КК[[#This Row],[Уровень КК]]=2,База_КР_КК[[#This Row],[Уровень КК]]=3),IF(COUNTIFS($U$2:$U1640,$U1640,$F$2:$F1640,$F1640)=1,1,0),IF(COUNTIFS($U$2:$U1640,$U1640,$L$2:$L1640,$L1640)=1,1,0)))</f>
        <v>0</v>
      </c>
      <c r="AA16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40" s="106"/>
      <c r="AC1640" s="51"/>
      <c r="AD1640" s="106" t="s">
        <v>15</v>
      </c>
      <c r="AE1640" s="38" t="s">
        <v>350</v>
      </c>
    </row>
    <row r="1641" spans="1:31" ht="18" customHeight="1" x14ac:dyDescent="0.25">
      <c r="A16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1" s="79">
        <v>4</v>
      </c>
      <c r="C1641" s="23">
        <v>44889</v>
      </c>
      <c r="D1641" s="67">
        <f>IF(COUNTIF($G$2:$G1641,$G1641)=1,1,0)</f>
        <v>0</v>
      </c>
      <c r="E1641" s="67" t="str">
        <f>IFERROR(VLOOKUP(База_КР_КК[[#This Row],[ИД штатной должности (S)]],'уровень защищенности'!$B$7:$F$1095,5,0),"не защищена")</f>
        <v>средний</v>
      </c>
      <c r="F1641" s="68">
        <v>500196</v>
      </c>
      <c r="G1641" s="74" t="s">
        <v>2517</v>
      </c>
      <c r="H1641" s="181">
        <f>INDEX('Списки данных'!$D$2:$D$1048576,MATCH(База_КР_КК[[#This Row],[Структурное подразделение]],'Списки данных'!$C$2:$C$1048576,0))</f>
        <v>12</v>
      </c>
      <c r="I1641" s="80" t="s">
        <v>160</v>
      </c>
      <c r="J1641" s="80" t="s">
        <v>217</v>
      </c>
      <c r="K1641" s="80" t="s">
        <v>218</v>
      </c>
      <c r="L1641" s="30" t="s">
        <v>191</v>
      </c>
      <c r="M1641" s="68">
        <v>7</v>
      </c>
      <c r="N1641" s="181" t="str">
        <f t="shared" si="26"/>
        <v>нет</v>
      </c>
      <c r="O1641" s="23"/>
      <c r="P1641" s="23"/>
      <c r="Q1641" s="106"/>
      <c r="R1641" s="37">
        <v>348</v>
      </c>
      <c r="S1641" s="38" t="s">
        <v>760</v>
      </c>
      <c r="T1641" s="37">
        <v>1452</v>
      </c>
      <c r="U1641" s="39" t="s">
        <v>1829</v>
      </c>
      <c r="V1641" s="69" t="s">
        <v>272</v>
      </c>
      <c r="W1641" s="89" t="s">
        <v>160</v>
      </c>
      <c r="X1641" s="106" t="s">
        <v>297</v>
      </c>
      <c r="Y1641" s="107" t="s">
        <v>12</v>
      </c>
      <c r="Z1641" s="67">
        <f>IF(База_КР_КК[[#This Row],[Таб.номер резервиста]]="-","-",IF(OR(База_КР_КК[[#This Row],[Уровень КК]]=2,База_КР_КК[[#This Row],[Уровень КК]]=3),IF(COUNTIFS($U$2:$U1641,$U1641,$F$2:$F1641,$F1641)=1,1,0),IF(COUNTIFS($U$2:$U1641,$U1641,$L$2:$L1641,$L1641)=1,1,0)))</f>
        <v>0</v>
      </c>
      <c r="AA16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41" s="106"/>
      <c r="AC1641" s="51"/>
      <c r="AD1641" s="106" t="s">
        <v>15</v>
      </c>
      <c r="AE1641" s="40" t="s">
        <v>344</v>
      </c>
    </row>
    <row r="1642" spans="1:31" ht="18" customHeight="1" x14ac:dyDescent="0.25">
      <c r="A16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2" s="79">
        <v>4</v>
      </c>
      <c r="C1642" s="23">
        <v>44889</v>
      </c>
      <c r="D1642" s="67">
        <f>IF(COUNTIF($G$2:$G1642,$G1642)=1,1,0)</f>
        <v>0</v>
      </c>
      <c r="E1642" s="67" t="str">
        <f>IFERROR(VLOOKUP(База_КР_КК[[#This Row],[ИД штатной должности (S)]],'уровень защищенности'!$B$7:$F$1095,5,0),"не защищена")</f>
        <v>средний</v>
      </c>
      <c r="F1642" s="68">
        <v>500196</v>
      </c>
      <c r="G1642" s="74" t="s">
        <v>2517</v>
      </c>
      <c r="H1642" s="181">
        <f>INDEX('Списки данных'!$D$2:$D$1048576,MATCH(База_КР_КК[[#This Row],[Структурное подразделение]],'Списки данных'!$C$2:$C$1048576,0))</f>
        <v>12</v>
      </c>
      <c r="I1642" s="80" t="s">
        <v>160</v>
      </c>
      <c r="J1642" s="80" t="s">
        <v>217</v>
      </c>
      <c r="K1642" s="80" t="s">
        <v>218</v>
      </c>
      <c r="L1642" s="30" t="s">
        <v>191</v>
      </c>
      <c r="M1642" s="68">
        <v>7</v>
      </c>
      <c r="N1642" s="181" t="str">
        <f t="shared" si="26"/>
        <v>нет</v>
      </c>
      <c r="O1642" s="23"/>
      <c r="P1642" s="23"/>
      <c r="Q1642" s="106"/>
      <c r="R1642" s="37">
        <v>348</v>
      </c>
      <c r="S1642" s="38" t="s">
        <v>760</v>
      </c>
      <c r="T1642" s="37">
        <v>1453</v>
      </c>
      <c r="U1642" s="39" t="s">
        <v>1830</v>
      </c>
      <c r="V1642" s="69" t="s">
        <v>272</v>
      </c>
      <c r="W1642" s="89" t="s">
        <v>160</v>
      </c>
      <c r="X1642" s="106" t="s">
        <v>296</v>
      </c>
      <c r="Y1642" s="107" t="s">
        <v>12</v>
      </c>
      <c r="Z1642" s="67">
        <f>IF(База_КР_КК[[#This Row],[Таб.номер резервиста]]="-","-",IF(OR(База_КР_КК[[#This Row],[Уровень КК]]=2,База_КР_КК[[#This Row],[Уровень КК]]=3),IF(COUNTIFS($U$2:$U1642,$U1642,$F$2:$F1642,$F1642)=1,1,0),IF(COUNTIFS($U$2:$U1642,$U1642,$L$2:$L1642,$L1642)=1,1,0)))</f>
        <v>0</v>
      </c>
      <c r="AA16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42" s="106"/>
      <c r="AC1642" s="51"/>
      <c r="AD1642" s="106" t="s">
        <v>15</v>
      </c>
      <c r="AE1642" s="40" t="s">
        <v>344</v>
      </c>
    </row>
    <row r="1643" spans="1:31" ht="18" customHeight="1" x14ac:dyDescent="0.25">
      <c r="A16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3" s="79">
        <v>4</v>
      </c>
      <c r="C1643" s="23">
        <v>44889</v>
      </c>
      <c r="D1643" s="67">
        <f>IF(COUNTIF($G$2:$G1643,$G1643)=1,1,0)</f>
        <v>0</v>
      </c>
      <c r="E1643" s="67" t="str">
        <f>IFERROR(VLOOKUP(База_КР_КК[[#This Row],[ИД штатной должности (S)]],'уровень защищенности'!$B$7:$F$1095,5,0),"не защищена")</f>
        <v>средний</v>
      </c>
      <c r="F1643" s="68">
        <v>500196</v>
      </c>
      <c r="G1643" s="74" t="s">
        <v>2517</v>
      </c>
      <c r="H1643" s="181">
        <f>INDEX('Списки данных'!$D$2:$D$1048576,MATCH(База_КР_КК[[#This Row],[Структурное подразделение]],'Списки данных'!$C$2:$C$1048576,0))</f>
        <v>12</v>
      </c>
      <c r="I1643" s="80" t="s">
        <v>160</v>
      </c>
      <c r="J1643" s="80" t="s">
        <v>217</v>
      </c>
      <c r="K1643" s="80" t="s">
        <v>218</v>
      </c>
      <c r="L1643" s="30" t="s">
        <v>191</v>
      </c>
      <c r="M1643" s="68">
        <v>7</v>
      </c>
      <c r="N1643" s="181" t="str">
        <f t="shared" si="26"/>
        <v>нет</v>
      </c>
      <c r="O1643" s="23"/>
      <c r="P1643" s="23"/>
      <c r="Q1643" s="106"/>
      <c r="R1643" s="37">
        <v>348</v>
      </c>
      <c r="S1643" s="38" t="s">
        <v>760</v>
      </c>
      <c r="T1643" s="37" t="s">
        <v>21</v>
      </c>
      <c r="U1643" s="37" t="s">
        <v>21</v>
      </c>
      <c r="V1643" s="88" t="s">
        <v>21</v>
      </c>
      <c r="W1643" s="88" t="s">
        <v>21</v>
      </c>
      <c r="X1643" s="106"/>
      <c r="Y1643" s="107"/>
      <c r="Z1643" s="67" t="str">
        <f>IF(База_КР_КК[[#This Row],[Таб.номер резервиста]]="-","-",IF(OR(База_КР_КК[[#This Row],[Уровень КК]]=2,База_КР_КК[[#This Row],[Уровень КК]]=3),IF(COUNTIFS($U$2:$U1643,$U1643,$F$2:$F1643,$F1643)=1,1,0),IF(COUNTIFS($U$2:$U1643,$U1643,$L$2:$L1643,$L1643)=1,1,0)))</f>
        <v>-</v>
      </c>
      <c r="AA1643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1643" s="106"/>
      <c r="AC1643" s="51"/>
      <c r="AD1643" s="106"/>
      <c r="AE1643" s="40" t="s">
        <v>344</v>
      </c>
    </row>
    <row r="1644" spans="1:31" ht="18" customHeight="1" x14ac:dyDescent="0.25">
      <c r="A16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4" s="79">
        <v>4</v>
      </c>
      <c r="C1644" s="23">
        <v>44431</v>
      </c>
      <c r="D1644" s="67">
        <f>IF(COUNTIF($G$2:$G1644,$G1644)=1,1,0)</f>
        <v>1</v>
      </c>
      <c r="E1644" s="67" t="str">
        <f>IFERROR(VLOOKUP(База_КР_КК[[#This Row],[ИД штатной должности (S)]],'уровень защищенности'!$B$7:$F$1095,5,0),"не защищена")</f>
        <v>высокий</v>
      </c>
      <c r="F1644" s="68">
        <v>500197</v>
      </c>
      <c r="G1644" s="74" t="s">
        <v>2518</v>
      </c>
      <c r="H1644" s="181">
        <f>INDEX('Списки данных'!$D$2:$D$1048576,MATCH(База_КР_КК[[#This Row],[Структурное подразделение]],'Списки данных'!$C$2:$C$1048576,0))</f>
        <v>12</v>
      </c>
      <c r="I1644" s="80" t="s">
        <v>160</v>
      </c>
      <c r="J1644" s="80" t="s">
        <v>217</v>
      </c>
      <c r="K1644" s="80" t="s">
        <v>218</v>
      </c>
      <c r="L1644" s="30" t="s">
        <v>192</v>
      </c>
      <c r="M1644" s="68">
        <v>7</v>
      </c>
      <c r="N1644" s="181" t="str">
        <f t="shared" si="26"/>
        <v>нет</v>
      </c>
      <c r="O1644" s="23"/>
      <c r="P1644" s="23"/>
      <c r="Q1644" s="106"/>
      <c r="R1644" s="37">
        <v>349</v>
      </c>
      <c r="S1644" s="38" t="s">
        <v>761</v>
      </c>
      <c r="T1644" s="37">
        <v>1455</v>
      </c>
      <c r="U1644" s="39" t="s">
        <v>1832</v>
      </c>
      <c r="V1644" s="69" t="s">
        <v>272</v>
      </c>
      <c r="W1644" s="89" t="s">
        <v>160</v>
      </c>
      <c r="X1644" s="106" t="s">
        <v>295</v>
      </c>
      <c r="Y1644" s="107" t="s">
        <v>12</v>
      </c>
      <c r="Z1644" s="67">
        <f>IF(База_КР_КК[[#This Row],[Таб.номер резервиста]]="-","-",IF(OR(База_КР_КК[[#This Row],[Уровень КК]]=2,База_КР_КК[[#This Row],[Уровень КК]]=3),IF(COUNTIFS($U$2:$U1644,$U1644,$F$2:$F1644,$F1644)=1,1,0),IF(COUNTIFS($U$2:$U1644,$U1644,$L$2:$L1644,$L1644)=1,1,0)))</f>
        <v>1</v>
      </c>
      <c r="AA16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44" s="106"/>
      <c r="AC1644" s="51"/>
      <c r="AD1644" s="106" t="s">
        <v>17</v>
      </c>
      <c r="AE1644" s="40" t="s">
        <v>344</v>
      </c>
    </row>
    <row r="1645" spans="1:31" ht="18" customHeight="1" x14ac:dyDescent="0.25">
      <c r="A16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5" s="79">
        <v>4</v>
      </c>
      <c r="C1645" s="23">
        <v>44431</v>
      </c>
      <c r="D1645" s="67">
        <f>IF(COUNTIF($G$2:$G1645,$G1645)=1,1,0)</f>
        <v>0</v>
      </c>
      <c r="E1645" s="67" t="str">
        <f>IFERROR(VLOOKUP(База_КР_КК[[#This Row],[ИД штатной должности (S)]],'уровень защищенности'!$B$7:$F$1095,5,0),"не защищена")</f>
        <v>высокий</v>
      </c>
      <c r="F1645" s="68">
        <v>500197</v>
      </c>
      <c r="G1645" s="74" t="s">
        <v>2518</v>
      </c>
      <c r="H1645" s="181">
        <f>INDEX('Списки данных'!$D$2:$D$1048576,MATCH(База_КР_КК[[#This Row],[Структурное подразделение]],'Списки данных'!$C$2:$C$1048576,0))</f>
        <v>12</v>
      </c>
      <c r="I1645" s="80" t="s">
        <v>160</v>
      </c>
      <c r="J1645" s="80" t="s">
        <v>217</v>
      </c>
      <c r="K1645" s="80" t="s">
        <v>218</v>
      </c>
      <c r="L1645" s="30" t="s">
        <v>192</v>
      </c>
      <c r="M1645" s="68">
        <v>7</v>
      </c>
      <c r="N1645" s="181" t="str">
        <f t="shared" si="26"/>
        <v>нет</v>
      </c>
      <c r="O1645" s="23"/>
      <c r="P1645" s="23"/>
      <c r="Q1645" s="106"/>
      <c r="R1645" s="37">
        <v>349</v>
      </c>
      <c r="S1645" s="38" t="s">
        <v>761</v>
      </c>
      <c r="T1645" s="37">
        <v>1456</v>
      </c>
      <c r="U1645" s="39" t="s">
        <v>1833</v>
      </c>
      <c r="V1645" s="69" t="s">
        <v>272</v>
      </c>
      <c r="W1645" s="89" t="s">
        <v>160</v>
      </c>
      <c r="X1645" s="106" t="s">
        <v>297</v>
      </c>
      <c r="Y1645" s="107" t="s">
        <v>12</v>
      </c>
      <c r="Z1645" s="67">
        <f>IF(База_КР_КК[[#This Row],[Таб.номер резервиста]]="-","-",IF(OR(База_КР_КК[[#This Row],[Уровень КК]]=2,База_КР_КК[[#This Row],[Уровень КК]]=3),IF(COUNTIFS($U$2:$U1645,$U1645,$F$2:$F1645,$F1645)=1,1,0),IF(COUNTIFS($U$2:$U1645,$U1645,$L$2:$L1645,$L1645)=1,1,0)))</f>
        <v>1</v>
      </c>
      <c r="AA16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45" s="106"/>
      <c r="AC1645" s="51"/>
      <c r="AD1645" s="106" t="s">
        <v>17</v>
      </c>
      <c r="AE1645" s="40" t="s">
        <v>344</v>
      </c>
    </row>
    <row r="1646" spans="1:31" ht="18" customHeight="1" x14ac:dyDescent="0.25">
      <c r="A16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6" s="79">
        <v>4</v>
      </c>
      <c r="C1646" s="23">
        <v>44431</v>
      </c>
      <c r="D1646" s="67">
        <f>IF(COUNTIF($G$2:$G1646,$G1646)=1,1,0)</f>
        <v>1</v>
      </c>
      <c r="E1646" s="67" t="str">
        <f>IFERROR(VLOOKUP(База_КР_КК[[#This Row],[ИД штатной должности (S)]],'уровень защищенности'!$B$7:$F$1095,5,0),"не защищена")</f>
        <v>высокий</v>
      </c>
      <c r="F1646" s="68">
        <v>500198</v>
      </c>
      <c r="G1646" s="74" t="s">
        <v>2519</v>
      </c>
      <c r="H1646" s="181">
        <f>INDEX('Списки данных'!$D$2:$D$1048576,MATCH(База_КР_КК[[#This Row],[Структурное подразделение]],'Списки данных'!$C$2:$C$1048576,0))</f>
        <v>12</v>
      </c>
      <c r="I1646" s="80" t="s">
        <v>160</v>
      </c>
      <c r="J1646" s="80" t="s">
        <v>217</v>
      </c>
      <c r="K1646" s="80" t="s">
        <v>218</v>
      </c>
      <c r="L1646" s="30" t="s">
        <v>192</v>
      </c>
      <c r="M1646" s="68">
        <v>7</v>
      </c>
      <c r="N1646" s="181" t="str">
        <f t="shared" si="26"/>
        <v>да</v>
      </c>
      <c r="O1646" s="23">
        <v>44396</v>
      </c>
      <c r="P1646" s="23">
        <v>44939</v>
      </c>
      <c r="Q1646" s="106" t="s">
        <v>65</v>
      </c>
      <c r="R1646" s="37">
        <v>350</v>
      </c>
      <c r="S1646" s="38" t="s">
        <v>762</v>
      </c>
      <c r="T1646" s="37">
        <v>1438</v>
      </c>
      <c r="U1646" s="39" t="s">
        <v>1818</v>
      </c>
      <c r="V1646" s="69" t="s">
        <v>189</v>
      </c>
      <c r="W1646" s="89" t="s">
        <v>160</v>
      </c>
      <c r="X1646" s="106" t="s">
        <v>295</v>
      </c>
      <c r="Y1646" s="107" t="s">
        <v>12</v>
      </c>
      <c r="Z1646" s="67">
        <f>IF(База_КР_КК[[#This Row],[Таб.номер резервиста]]="-","-",IF(OR(База_КР_КК[[#This Row],[Уровень КК]]=2,База_КР_КК[[#This Row],[Уровень КК]]=3),IF(COUNTIFS($U$2:$U1646,$U1646,$F$2:$F1646,$F1646)=1,1,0),IF(COUNTIFS($U$2:$U1646,$U1646,$L$2:$L1646,$L1646)=1,1,0)))</f>
        <v>1</v>
      </c>
      <c r="AA16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46" s="106"/>
      <c r="AC1646" s="51"/>
      <c r="AD1646" s="106" t="s">
        <v>15</v>
      </c>
      <c r="AE1646" s="38" t="s">
        <v>350</v>
      </c>
    </row>
    <row r="1647" spans="1:31" ht="18" customHeight="1" x14ac:dyDescent="0.25">
      <c r="A16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7" s="79">
        <v>3</v>
      </c>
      <c r="C1647" s="23">
        <v>43080</v>
      </c>
      <c r="D1647" s="67">
        <f>IF(COUNTIF($G$2:$G1647,$G1647)=1,1,0)</f>
        <v>1</v>
      </c>
      <c r="E1647" s="67" t="str">
        <f>IFERROR(VLOOKUP(База_КР_КК[[#This Row],[ИД штатной должности (S)]],'уровень защищенности'!$B$7:$F$1095,5,0),"не защищена")</f>
        <v>высокий</v>
      </c>
      <c r="F1647" s="68">
        <v>500199</v>
      </c>
      <c r="G1647" s="74" t="s">
        <v>2520</v>
      </c>
      <c r="H1647" s="181">
        <f>INDEX('Списки данных'!$D$2:$D$1048576,MATCH(База_КР_КК[[#This Row],[Структурное подразделение]],'Списки данных'!$C$2:$C$1048576,0))</f>
        <v>12</v>
      </c>
      <c r="I1647" s="80" t="s">
        <v>160</v>
      </c>
      <c r="J1647" s="80" t="s">
        <v>217</v>
      </c>
      <c r="K1647" s="80" t="s">
        <v>21</v>
      </c>
      <c r="L1647" s="30" t="s">
        <v>183</v>
      </c>
      <c r="M1647" s="68">
        <v>4</v>
      </c>
      <c r="N1647" s="181" t="str">
        <f t="shared" si="26"/>
        <v>да</v>
      </c>
      <c r="O1647" s="23">
        <v>44896</v>
      </c>
      <c r="P1647" s="23">
        <v>44901</v>
      </c>
      <c r="Q1647" s="106" t="s">
        <v>66</v>
      </c>
      <c r="R1647" s="37">
        <v>351</v>
      </c>
      <c r="S1647" s="39" t="s">
        <v>763</v>
      </c>
      <c r="T1647" s="37">
        <v>352</v>
      </c>
      <c r="U1647" s="39" t="s">
        <v>764</v>
      </c>
      <c r="V1647" s="89" t="s">
        <v>187</v>
      </c>
      <c r="W1647" s="89" t="s">
        <v>160</v>
      </c>
      <c r="X1647" s="106" t="s">
        <v>295</v>
      </c>
      <c r="Y1647" s="107" t="s">
        <v>12</v>
      </c>
      <c r="Z1647" s="67">
        <f>IF(База_КР_КК[[#This Row],[Таб.номер резервиста]]="-","-",IF(OR(База_КР_КК[[#This Row],[Уровень КК]]=2,База_КР_КК[[#This Row],[Уровень КК]]=3),IF(COUNTIFS($U$2:$U1647,$U1647,$F$2:$F1647,$F1647)=1,1,0),IF(COUNTIFS($U$2:$U1647,$U1647,$L$2:$L1647,$L1647)=1,1,0)))</f>
        <v>1</v>
      </c>
      <c r="AA16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47" s="106"/>
      <c r="AC1647" s="51"/>
      <c r="AD1647" s="106" t="s">
        <v>13</v>
      </c>
      <c r="AE1647" s="38" t="s">
        <v>303</v>
      </c>
    </row>
    <row r="1648" spans="1:31" ht="18" customHeight="1" x14ac:dyDescent="0.25">
      <c r="A16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8" s="79">
        <v>3</v>
      </c>
      <c r="C1648" s="23">
        <v>43080</v>
      </c>
      <c r="D1648" s="67">
        <f>IF(COUNTIF($G$2:$G1648,$G1648)=1,1,0)</f>
        <v>0</v>
      </c>
      <c r="E1648" s="67" t="str">
        <f>IFERROR(VLOOKUP(База_КР_КК[[#This Row],[ИД штатной должности (S)]],'уровень защищенности'!$B$7:$F$1095,5,0),"не защищена")</f>
        <v>высокий</v>
      </c>
      <c r="F1648" s="68">
        <v>500199</v>
      </c>
      <c r="G1648" s="74" t="s">
        <v>2520</v>
      </c>
      <c r="H1648" s="181">
        <f>INDEX('Списки данных'!$D$2:$D$1048576,MATCH(База_КР_КК[[#This Row],[Структурное подразделение]],'Списки данных'!$C$2:$C$1048576,0))</f>
        <v>12</v>
      </c>
      <c r="I1648" s="80" t="s">
        <v>160</v>
      </c>
      <c r="J1648" s="80" t="s">
        <v>217</v>
      </c>
      <c r="K1648" s="80" t="s">
        <v>21</v>
      </c>
      <c r="L1648" s="30" t="s">
        <v>183</v>
      </c>
      <c r="M1648" s="68">
        <v>4</v>
      </c>
      <c r="N1648" s="181" t="str">
        <f t="shared" si="26"/>
        <v>да</v>
      </c>
      <c r="O1648" s="23">
        <v>44896</v>
      </c>
      <c r="P1648" s="23">
        <v>44901</v>
      </c>
      <c r="Q1648" s="106" t="s">
        <v>66</v>
      </c>
      <c r="R1648" s="37">
        <v>351</v>
      </c>
      <c r="S1648" s="39" t="s">
        <v>763</v>
      </c>
      <c r="T1648" s="37">
        <v>363</v>
      </c>
      <c r="U1648" s="39" t="s">
        <v>775</v>
      </c>
      <c r="V1648" s="89" t="s">
        <v>198</v>
      </c>
      <c r="W1648" s="89" t="s">
        <v>160</v>
      </c>
      <c r="X1648" s="106" t="s">
        <v>295</v>
      </c>
      <c r="Y1648" s="107" t="s">
        <v>12</v>
      </c>
      <c r="Z1648" s="67">
        <f>IF(База_КР_КК[[#This Row],[Таб.номер резервиста]]="-","-",IF(OR(База_КР_КК[[#This Row],[Уровень КК]]=2,База_КР_КК[[#This Row],[Уровень КК]]=3),IF(COUNTIFS($U$2:$U1648,$U1648,$F$2:$F1648,$F1648)=1,1,0),IF(COUNTIFS($U$2:$U1648,$U1648,$L$2:$L1648,$L1648)=1,1,0)))</f>
        <v>1</v>
      </c>
      <c r="AA16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48" s="106"/>
      <c r="AC1648" s="51"/>
      <c r="AD1648" s="106" t="s">
        <v>13</v>
      </c>
      <c r="AE1648" s="38" t="s">
        <v>303</v>
      </c>
    </row>
    <row r="1649" spans="1:31" ht="18" customHeight="1" x14ac:dyDescent="0.25">
      <c r="A16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49" s="79">
        <v>3</v>
      </c>
      <c r="C1649" s="23">
        <v>44707</v>
      </c>
      <c r="D1649" s="67">
        <f>IF(COUNTIF($G$2:$G1649,$G1649)=1,1,0)</f>
        <v>0</v>
      </c>
      <c r="E1649" s="67" t="str">
        <f>IFERROR(VLOOKUP(База_КР_КК[[#This Row],[ИД штатной должности (S)]],'уровень защищенности'!$B$7:$F$1095,5,0),"не защищена")</f>
        <v>высокий</v>
      </c>
      <c r="F1649" s="68">
        <v>500199</v>
      </c>
      <c r="G1649" s="74" t="s">
        <v>2520</v>
      </c>
      <c r="H1649" s="181">
        <f>INDEX('Списки данных'!$D$2:$D$1048576,MATCH(База_КР_КК[[#This Row],[Структурное подразделение]],'Списки данных'!$C$2:$C$1048576,0))</f>
        <v>12</v>
      </c>
      <c r="I1649" s="80" t="s">
        <v>160</v>
      </c>
      <c r="J1649" s="80" t="s">
        <v>217</v>
      </c>
      <c r="K1649" s="80" t="s">
        <v>21</v>
      </c>
      <c r="L1649" s="30" t="s">
        <v>183</v>
      </c>
      <c r="M1649" s="68">
        <v>4</v>
      </c>
      <c r="N1649" s="181" t="str">
        <f t="shared" si="26"/>
        <v>да</v>
      </c>
      <c r="O1649" s="23">
        <v>44896</v>
      </c>
      <c r="P1649" s="23">
        <v>44901</v>
      </c>
      <c r="Q1649" s="106" t="s">
        <v>66</v>
      </c>
      <c r="R1649" s="37">
        <v>351</v>
      </c>
      <c r="S1649" s="39" t="s">
        <v>763</v>
      </c>
      <c r="T1649" s="37">
        <v>351</v>
      </c>
      <c r="U1649" s="39" t="s">
        <v>763</v>
      </c>
      <c r="V1649" s="89" t="s">
        <v>189</v>
      </c>
      <c r="W1649" s="89" t="s">
        <v>160</v>
      </c>
      <c r="X1649" s="106" t="s">
        <v>296</v>
      </c>
      <c r="Y1649" s="107" t="s">
        <v>14</v>
      </c>
      <c r="Z1649" s="67">
        <f>IF(База_КР_КК[[#This Row],[Таб.номер резервиста]]="-","-",IF(OR(База_КР_КК[[#This Row],[Уровень КК]]=2,База_КР_КК[[#This Row],[Уровень КК]]=3),IF(COUNTIFS($U$2:$U1649,$U1649,$F$2:$F1649,$F1649)=1,1,0),IF(COUNTIFS($U$2:$U1649,$U1649,$L$2:$L1649,$L1649)=1,1,0)))</f>
        <v>1</v>
      </c>
      <c r="AA16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649" s="106" t="s">
        <v>24</v>
      </c>
      <c r="AC1649" s="51">
        <v>44901</v>
      </c>
      <c r="AD1649" s="106" t="s">
        <v>15</v>
      </c>
      <c r="AE1649" s="38" t="s">
        <v>345</v>
      </c>
    </row>
    <row r="1650" spans="1:31" ht="18" customHeight="1" x14ac:dyDescent="0.25">
      <c r="A16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0" s="79">
        <v>3</v>
      </c>
      <c r="C1650" s="23">
        <v>43080</v>
      </c>
      <c r="D1650" s="67">
        <f>IF(COUNTIF($G$2:$G1650,$G1650)=1,1,0)</f>
        <v>0</v>
      </c>
      <c r="E1650" s="67" t="str">
        <f>IFERROR(VLOOKUP(База_КР_КК[[#This Row],[ИД штатной должности (S)]],'уровень защищенности'!$B$7:$F$1095,5,0),"не защищена")</f>
        <v>высокий</v>
      </c>
      <c r="F1650" s="68">
        <v>500199</v>
      </c>
      <c r="G1650" s="74" t="s">
        <v>2520</v>
      </c>
      <c r="H1650" s="181">
        <f>INDEX('Списки данных'!$D$2:$D$1048576,MATCH(База_КР_КК[[#This Row],[Структурное подразделение]],'Списки данных'!$C$2:$C$1048576,0))</f>
        <v>12</v>
      </c>
      <c r="I1650" s="80" t="s">
        <v>160</v>
      </c>
      <c r="J1650" s="80" t="s">
        <v>217</v>
      </c>
      <c r="K1650" s="80" t="s">
        <v>21</v>
      </c>
      <c r="L1650" s="30" t="s">
        <v>183</v>
      </c>
      <c r="M1650" s="68">
        <v>4</v>
      </c>
      <c r="N1650" s="181" t="str">
        <f t="shared" si="26"/>
        <v>да</v>
      </c>
      <c r="O1650" s="23">
        <v>44896</v>
      </c>
      <c r="P1650" s="23">
        <v>44901</v>
      </c>
      <c r="Q1650" s="106" t="s">
        <v>66</v>
      </c>
      <c r="R1650" s="37">
        <v>351</v>
      </c>
      <c r="S1650" s="39" t="s">
        <v>763</v>
      </c>
      <c r="T1650" s="37">
        <v>1457</v>
      </c>
      <c r="U1650" s="39" t="s">
        <v>1834</v>
      </c>
      <c r="V1650" s="89" t="s">
        <v>200</v>
      </c>
      <c r="W1650" s="89" t="s">
        <v>282</v>
      </c>
      <c r="X1650" s="106" t="s">
        <v>297</v>
      </c>
      <c r="Y1650" s="107" t="s">
        <v>18</v>
      </c>
      <c r="Z1650" s="67">
        <f>IF(База_КР_КК[[#This Row],[Таб.номер резервиста]]="-","-",IF(OR(База_КР_КК[[#This Row],[Уровень КК]]=2,База_КР_КК[[#This Row],[Уровень КК]]=3),IF(COUNTIFS($U$2:$U1650,$U1650,$F$2:$F1650,$F1650)=1,1,0),IF(COUNTIFS($U$2:$U1650,$U1650,$L$2:$L1650,$L1650)=1,1,0)))</f>
        <v>1</v>
      </c>
      <c r="AA16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0" s="106" t="s">
        <v>33</v>
      </c>
      <c r="AC1650" s="51">
        <v>44340</v>
      </c>
      <c r="AD1650" s="106" t="s">
        <v>31</v>
      </c>
      <c r="AE1650" s="38" t="s">
        <v>303</v>
      </c>
    </row>
    <row r="1651" spans="1:31" ht="18" customHeight="1" x14ac:dyDescent="0.25">
      <c r="A16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1" s="79">
        <v>3</v>
      </c>
      <c r="C1651" s="23">
        <v>43781</v>
      </c>
      <c r="D1651" s="67">
        <f>IF(COUNTIF($G$2:$G1651,$G1651)=1,1,0)</f>
        <v>1</v>
      </c>
      <c r="E1651" s="67" t="str">
        <f>IFERROR(VLOOKUP(База_КР_КК[[#This Row],[ИД штатной должности (S)]],'уровень защищенности'!$B$7:$F$1095,5,0),"не защищена")</f>
        <v>низкий</v>
      </c>
      <c r="F1651" s="68">
        <v>500200</v>
      </c>
      <c r="G1651" s="74" t="s">
        <v>2521</v>
      </c>
      <c r="H1651" s="181">
        <f>INDEX('Списки данных'!$D$2:$D$1048576,MATCH(База_КР_КК[[#This Row],[Структурное подразделение]],'Списки данных'!$C$2:$C$1048576,0))</f>
        <v>12</v>
      </c>
      <c r="I1651" s="80" t="s">
        <v>160</v>
      </c>
      <c r="J1651" s="80" t="s">
        <v>217</v>
      </c>
      <c r="K1651" s="80" t="s">
        <v>21</v>
      </c>
      <c r="L1651" s="30" t="s">
        <v>187</v>
      </c>
      <c r="M1651" s="68">
        <v>5</v>
      </c>
      <c r="N1651" s="181" t="str">
        <f t="shared" si="26"/>
        <v>нет</v>
      </c>
      <c r="O1651" s="23"/>
      <c r="P1651" s="23"/>
      <c r="Q1651" s="106"/>
      <c r="R1651" s="37">
        <v>352</v>
      </c>
      <c r="S1651" s="38" t="s">
        <v>764</v>
      </c>
      <c r="T1651" s="37">
        <v>341</v>
      </c>
      <c r="U1651" s="39" t="s">
        <v>753</v>
      </c>
      <c r="V1651" s="89" t="s">
        <v>198</v>
      </c>
      <c r="W1651" s="89" t="s">
        <v>160</v>
      </c>
      <c r="X1651" s="106" t="s">
        <v>296</v>
      </c>
      <c r="Y1651" s="107" t="s">
        <v>12</v>
      </c>
      <c r="Z1651" s="67">
        <f>IF(База_КР_КК[[#This Row],[Таб.номер резервиста]]="-","-",IF(OR(База_КР_КК[[#This Row],[Уровень КК]]=2,База_КР_КК[[#This Row],[Уровень КК]]=3),IF(COUNTIFS($U$2:$U1651,$U1651,$F$2:$F1651,$F1651)=1,1,0),IF(COUNTIFS($U$2:$U1651,$U1651,$L$2:$L1651,$L1651)=1,1,0)))</f>
        <v>1</v>
      </c>
      <c r="AA16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1" s="106"/>
      <c r="AC1651" s="51"/>
      <c r="AD1651" s="106" t="s">
        <v>13</v>
      </c>
      <c r="AE1651" s="38" t="s">
        <v>345</v>
      </c>
    </row>
    <row r="1652" spans="1:31" ht="18" customHeight="1" x14ac:dyDescent="0.25">
      <c r="A16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2" s="79">
        <v>3</v>
      </c>
      <c r="C1652" s="23">
        <v>44343</v>
      </c>
      <c r="D1652" s="67">
        <f>IF(COUNTIF($G$2:$G1652,$G1652)=1,1,0)</f>
        <v>0</v>
      </c>
      <c r="E1652" s="67" t="str">
        <f>IFERROR(VLOOKUP(База_КР_КК[[#This Row],[ИД штатной должности (S)]],'уровень защищенности'!$B$7:$F$1095,5,0),"не защищена")</f>
        <v>низкий</v>
      </c>
      <c r="F1652" s="68">
        <v>500200</v>
      </c>
      <c r="G1652" s="74" t="s">
        <v>2521</v>
      </c>
      <c r="H1652" s="181">
        <f>INDEX('Списки данных'!$D$2:$D$1048576,MATCH(База_КР_КК[[#This Row],[Структурное подразделение]],'Списки данных'!$C$2:$C$1048576,0))</f>
        <v>12</v>
      </c>
      <c r="I1652" s="80" t="s">
        <v>160</v>
      </c>
      <c r="J1652" s="80" t="s">
        <v>217</v>
      </c>
      <c r="K1652" s="80" t="s">
        <v>21</v>
      </c>
      <c r="L1652" s="30" t="s">
        <v>187</v>
      </c>
      <c r="M1652" s="68">
        <v>5</v>
      </c>
      <c r="N1652" s="181" t="str">
        <f t="shared" si="26"/>
        <v>нет</v>
      </c>
      <c r="O1652" s="23"/>
      <c r="P1652" s="23"/>
      <c r="Q1652" s="106"/>
      <c r="R1652" s="37">
        <v>352</v>
      </c>
      <c r="S1652" s="38" t="s">
        <v>764</v>
      </c>
      <c r="T1652" s="37">
        <v>342</v>
      </c>
      <c r="U1652" s="39" t="s">
        <v>754</v>
      </c>
      <c r="V1652" s="69" t="s">
        <v>192</v>
      </c>
      <c r="W1652" s="89" t="s">
        <v>160</v>
      </c>
      <c r="X1652" s="106" t="s">
        <v>296</v>
      </c>
      <c r="Y1652" s="107" t="s">
        <v>12</v>
      </c>
      <c r="Z1652" s="67">
        <f>IF(База_КР_КК[[#This Row],[Таб.номер резервиста]]="-","-",IF(OR(База_КР_КК[[#This Row],[Уровень КК]]=2,База_КР_КК[[#This Row],[Уровень КК]]=3),IF(COUNTIFS($U$2:$U1652,$U1652,$F$2:$F1652,$F1652)=1,1,0),IF(COUNTIFS($U$2:$U1652,$U1652,$L$2:$L1652,$L1652)=1,1,0)))</f>
        <v>1</v>
      </c>
      <c r="AA16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2" s="106"/>
      <c r="AC1652" s="51"/>
      <c r="AD1652" s="106" t="s">
        <v>13</v>
      </c>
      <c r="AE1652" s="38" t="s">
        <v>345</v>
      </c>
    </row>
    <row r="1653" spans="1:31" ht="18" customHeight="1" x14ac:dyDescent="0.25">
      <c r="A16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3" s="79">
        <v>3</v>
      </c>
      <c r="C1653" s="23">
        <v>43425</v>
      </c>
      <c r="D1653" s="67">
        <f>IF(COUNTIF($G$2:$G1653,$G1653)=1,1,0)</f>
        <v>0</v>
      </c>
      <c r="E1653" s="67" t="str">
        <f>IFERROR(VLOOKUP(База_КР_КК[[#This Row],[ИД штатной должности (S)]],'уровень защищенности'!$B$7:$F$1095,5,0),"не защищена")</f>
        <v>низкий</v>
      </c>
      <c r="F1653" s="68">
        <v>500200</v>
      </c>
      <c r="G1653" s="74" t="s">
        <v>2521</v>
      </c>
      <c r="H1653" s="181">
        <f>INDEX('Списки данных'!$D$2:$D$1048576,MATCH(База_КР_КК[[#This Row],[Структурное подразделение]],'Списки данных'!$C$2:$C$1048576,0))</f>
        <v>12</v>
      </c>
      <c r="I1653" s="80" t="s">
        <v>160</v>
      </c>
      <c r="J1653" s="80" t="s">
        <v>217</v>
      </c>
      <c r="K1653" s="80" t="s">
        <v>21</v>
      </c>
      <c r="L1653" s="30" t="s">
        <v>187</v>
      </c>
      <c r="M1653" s="68">
        <v>5</v>
      </c>
      <c r="N1653" s="181" t="str">
        <f t="shared" si="26"/>
        <v>нет</v>
      </c>
      <c r="O1653" s="23"/>
      <c r="P1653" s="23"/>
      <c r="Q1653" s="106"/>
      <c r="R1653" s="37">
        <v>352</v>
      </c>
      <c r="S1653" s="38" t="s">
        <v>764</v>
      </c>
      <c r="T1653" s="37">
        <v>351</v>
      </c>
      <c r="U1653" s="39" t="s">
        <v>763</v>
      </c>
      <c r="V1653" s="89" t="s">
        <v>189</v>
      </c>
      <c r="W1653" s="89" t="s">
        <v>160</v>
      </c>
      <c r="X1653" s="106" t="s">
        <v>297</v>
      </c>
      <c r="Y1653" s="107" t="s">
        <v>18</v>
      </c>
      <c r="Z1653" s="67">
        <f>IF(База_КР_КК[[#This Row],[Таб.номер резервиста]]="-","-",IF(OR(База_КР_КК[[#This Row],[Уровень КК]]=2,База_КР_КК[[#This Row],[Уровень КК]]=3),IF(COUNTIFS($U$2:$U1653,$U1653,$F$2:$F1653,$F1653)=1,1,0),IF(COUNTIFS($U$2:$U1653,$U1653,$L$2:$L1653,$L1653)=1,1,0)))</f>
        <v>1</v>
      </c>
      <c r="AA16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3" s="106" t="s">
        <v>34</v>
      </c>
      <c r="AC1653" s="51">
        <v>44901</v>
      </c>
      <c r="AD1653" s="106" t="s">
        <v>13</v>
      </c>
      <c r="AE1653" s="38" t="s">
        <v>345</v>
      </c>
    </row>
    <row r="1654" spans="1:31" ht="18" customHeight="1" x14ac:dyDescent="0.25">
      <c r="A16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4" s="79">
        <v>3</v>
      </c>
      <c r="C1654" s="23">
        <v>43425</v>
      </c>
      <c r="D1654" s="67">
        <f>IF(COUNTIF($G$2:$G1654,$G1654)=1,1,0)</f>
        <v>0</v>
      </c>
      <c r="E1654" s="67" t="str">
        <f>IFERROR(VLOOKUP(База_КР_КК[[#This Row],[ИД штатной должности (S)]],'уровень защищенности'!$B$7:$F$1095,5,0),"не защищена")</f>
        <v>низкий</v>
      </c>
      <c r="F1654" s="68">
        <v>500200</v>
      </c>
      <c r="G1654" s="74" t="s">
        <v>2521</v>
      </c>
      <c r="H1654" s="181">
        <f>INDEX('Списки данных'!$D$2:$D$1048576,MATCH(База_КР_КК[[#This Row],[Структурное подразделение]],'Списки данных'!$C$2:$C$1048576,0))</f>
        <v>12</v>
      </c>
      <c r="I1654" s="80" t="s">
        <v>160</v>
      </c>
      <c r="J1654" s="80" t="s">
        <v>217</v>
      </c>
      <c r="K1654" s="80" t="s">
        <v>21</v>
      </c>
      <c r="L1654" s="30" t="s">
        <v>187</v>
      </c>
      <c r="M1654" s="68">
        <v>5</v>
      </c>
      <c r="N1654" s="181" t="str">
        <f t="shared" si="26"/>
        <v>нет</v>
      </c>
      <c r="O1654" s="23"/>
      <c r="P1654" s="23"/>
      <c r="Q1654" s="106"/>
      <c r="R1654" s="37">
        <v>352</v>
      </c>
      <c r="S1654" s="38" t="s">
        <v>764</v>
      </c>
      <c r="T1654" s="37">
        <v>1300</v>
      </c>
      <c r="U1654" s="39" t="s">
        <v>1545</v>
      </c>
      <c r="V1654" s="89" t="s">
        <v>193</v>
      </c>
      <c r="W1654" s="89" t="s">
        <v>127</v>
      </c>
      <c r="X1654" s="106" t="s">
        <v>295</v>
      </c>
      <c r="Y1654" s="107" t="s">
        <v>18</v>
      </c>
      <c r="Z1654" s="67">
        <f>IF(База_КР_КК[[#This Row],[Таб.номер резервиста]]="-","-",IF(OR(База_КР_КК[[#This Row],[Уровень КК]]=2,База_КР_КК[[#This Row],[Уровень КК]]=3),IF(COUNTIFS($U$2:$U1654,$U1654,$F$2:$F1654,$F1654)=1,1,0),IF(COUNTIFS($U$2:$U1654,$U1654,$L$2:$L1654,$L1654)=1,1,0)))</f>
        <v>1</v>
      </c>
      <c r="AA16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4" s="106" t="s">
        <v>38</v>
      </c>
      <c r="AC1654" s="51">
        <v>44343</v>
      </c>
      <c r="AD1654" s="106" t="s">
        <v>31</v>
      </c>
      <c r="AE1654" s="38" t="s">
        <v>348</v>
      </c>
    </row>
    <row r="1655" spans="1:31" ht="18" customHeight="1" x14ac:dyDescent="0.25">
      <c r="A16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5" s="79">
        <v>4</v>
      </c>
      <c r="C1655" s="23">
        <v>44431</v>
      </c>
      <c r="D1655" s="67">
        <f>IF(COUNTIF($G$2:$G1655,$G1655)=1,1,0)</f>
        <v>1</v>
      </c>
      <c r="E1655" s="67" t="str">
        <f>IFERROR(VLOOKUP(База_КР_КК[[#This Row],[ИД штатной должности (S)]],'уровень защищенности'!$B$7:$F$1095,5,0),"не защищена")</f>
        <v>высокий</v>
      </c>
      <c r="F1655" s="68">
        <v>500201</v>
      </c>
      <c r="G1655" s="74" t="s">
        <v>2522</v>
      </c>
      <c r="H1655" s="181">
        <f>INDEX('Списки данных'!$D$2:$D$1048576,MATCH(База_КР_КК[[#This Row],[Структурное подразделение]],'Списки данных'!$C$2:$C$1048576,0))</f>
        <v>12</v>
      </c>
      <c r="I1655" s="80" t="s">
        <v>160</v>
      </c>
      <c r="J1655" s="80" t="s">
        <v>217</v>
      </c>
      <c r="K1655" s="80" t="s">
        <v>21</v>
      </c>
      <c r="L1655" s="30" t="s">
        <v>194</v>
      </c>
      <c r="M1655" s="68">
        <v>6</v>
      </c>
      <c r="N1655" s="181" t="str">
        <f t="shared" si="26"/>
        <v>нет</v>
      </c>
      <c r="O1655" s="23"/>
      <c r="P1655" s="23"/>
      <c r="Q1655" s="106"/>
      <c r="R1655" s="37">
        <v>353</v>
      </c>
      <c r="S1655" s="38" t="s">
        <v>765</v>
      </c>
      <c r="T1655" s="37">
        <v>357</v>
      </c>
      <c r="U1655" s="39" t="s">
        <v>769</v>
      </c>
      <c r="V1655" s="69" t="s">
        <v>192</v>
      </c>
      <c r="W1655" s="89" t="s">
        <v>160</v>
      </c>
      <c r="X1655" s="106" t="s">
        <v>295</v>
      </c>
      <c r="Y1655" s="107" t="s">
        <v>12</v>
      </c>
      <c r="Z1655" s="67">
        <f>IF(База_КР_КК[[#This Row],[Таб.номер резервиста]]="-","-",IF(OR(База_КР_КК[[#This Row],[Уровень КК]]=2,База_КР_КК[[#This Row],[Уровень КК]]=3),IF(COUNTIFS($U$2:$U1655,$U1655,$F$2:$F1655,$F1655)=1,1,0),IF(COUNTIFS($U$2:$U1655,$U1655,$L$2:$L1655,$L1655)=1,1,0)))</f>
        <v>1</v>
      </c>
      <c r="AA16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5" s="106"/>
      <c r="AC1655" s="51"/>
      <c r="AD1655" s="106" t="s">
        <v>15</v>
      </c>
      <c r="AE1655" s="38" t="s">
        <v>350</v>
      </c>
    </row>
    <row r="1656" spans="1:31" ht="18" customHeight="1" x14ac:dyDescent="0.25">
      <c r="A16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6" s="79">
        <v>4</v>
      </c>
      <c r="C1656" s="23">
        <v>44431</v>
      </c>
      <c r="D1656" s="67">
        <f>IF(COUNTIF($G$2:$G1656,$G1656)=1,1,0)</f>
        <v>0</v>
      </c>
      <c r="E1656" s="67" t="str">
        <f>IFERROR(VLOOKUP(База_КР_КК[[#This Row],[ИД штатной должности (S)]],'уровень защищенности'!$B$7:$F$1095,5,0),"не защищена")</f>
        <v>высокий</v>
      </c>
      <c r="F1656" s="68">
        <v>500201</v>
      </c>
      <c r="G1656" s="74" t="s">
        <v>2522</v>
      </c>
      <c r="H1656" s="181">
        <f>INDEX('Списки данных'!$D$2:$D$1048576,MATCH(База_КР_КК[[#This Row],[Структурное подразделение]],'Списки данных'!$C$2:$C$1048576,0))</f>
        <v>12</v>
      </c>
      <c r="I1656" s="80" t="s">
        <v>160</v>
      </c>
      <c r="J1656" s="80" t="s">
        <v>217</v>
      </c>
      <c r="K1656" s="80" t="s">
        <v>21</v>
      </c>
      <c r="L1656" s="30" t="s">
        <v>194</v>
      </c>
      <c r="M1656" s="68">
        <v>6</v>
      </c>
      <c r="N1656" s="181" t="str">
        <f t="shared" si="26"/>
        <v>нет</v>
      </c>
      <c r="O1656" s="23"/>
      <c r="P1656" s="23"/>
      <c r="Q1656" s="106"/>
      <c r="R1656" s="37">
        <v>353</v>
      </c>
      <c r="S1656" s="38" t="s">
        <v>765</v>
      </c>
      <c r="T1656" s="37">
        <v>350</v>
      </c>
      <c r="U1656" s="39" t="s">
        <v>762</v>
      </c>
      <c r="V1656" s="69" t="s">
        <v>192</v>
      </c>
      <c r="W1656" s="89" t="s">
        <v>160</v>
      </c>
      <c r="X1656" s="106" t="s">
        <v>295</v>
      </c>
      <c r="Y1656" s="107" t="s">
        <v>12</v>
      </c>
      <c r="Z1656" s="67">
        <f>IF(База_КР_КК[[#This Row],[Таб.номер резервиста]]="-","-",IF(OR(База_КР_КК[[#This Row],[Уровень КК]]=2,База_КР_КК[[#This Row],[Уровень КК]]=3),IF(COUNTIFS($U$2:$U1656,$U1656,$F$2:$F1656,$F1656)=1,1,0),IF(COUNTIFS($U$2:$U1656,$U1656,$L$2:$L1656,$L1656)=1,1,0)))</f>
        <v>1</v>
      </c>
      <c r="AA16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6" s="106"/>
      <c r="AC1656" s="51"/>
      <c r="AD1656" s="106" t="s">
        <v>15</v>
      </c>
      <c r="AE1656" s="38" t="s">
        <v>350</v>
      </c>
    </row>
    <row r="1657" spans="1:31" ht="18" customHeight="1" x14ac:dyDescent="0.25">
      <c r="A16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7" s="79">
        <v>4</v>
      </c>
      <c r="C1657" s="23">
        <v>44431</v>
      </c>
      <c r="D1657" s="67">
        <f>IF(COUNTIF($G$2:$G1657,$G1657)=1,1,0)</f>
        <v>0</v>
      </c>
      <c r="E1657" s="67" t="str">
        <f>IFERROR(VLOOKUP(База_КР_КК[[#This Row],[ИД штатной должности (S)]],'уровень защищенности'!$B$7:$F$1095,5,0),"не защищена")</f>
        <v>высокий</v>
      </c>
      <c r="F1657" s="68">
        <v>500201</v>
      </c>
      <c r="G1657" s="74" t="s">
        <v>2522</v>
      </c>
      <c r="H1657" s="181">
        <f>INDEX('Списки данных'!$D$2:$D$1048576,MATCH(База_КР_КК[[#This Row],[Структурное подразделение]],'Списки данных'!$C$2:$C$1048576,0))</f>
        <v>12</v>
      </c>
      <c r="I1657" s="80" t="s">
        <v>160</v>
      </c>
      <c r="J1657" s="80" t="s">
        <v>217</v>
      </c>
      <c r="K1657" s="80" t="s">
        <v>21</v>
      </c>
      <c r="L1657" s="30" t="s">
        <v>194</v>
      </c>
      <c r="M1657" s="68">
        <v>6</v>
      </c>
      <c r="N1657" s="181" t="str">
        <f t="shared" si="26"/>
        <v>нет</v>
      </c>
      <c r="O1657" s="23"/>
      <c r="P1657" s="23"/>
      <c r="Q1657" s="106"/>
      <c r="R1657" s="37">
        <v>353</v>
      </c>
      <c r="S1657" s="38" t="s">
        <v>765</v>
      </c>
      <c r="T1657" s="37">
        <v>359</v>
      </c>
      <c r="U1657" s="39" t="s">
        <v>771</v>
      </c>
      <c r="V1657" s="69" t="s">
        <v>192</v>
      </c>
      <c r="W1657" s="89" t="s">
        <v>160</v>
      </c>
      <c r="X1657" s="106" t="s">
        <v>295</v>
      </c>
      <c r="Y1657" s="107" t="s">
        <v>12</v>
      </c>
      <c r="Z1657" s="67">
        <f>IF(База_КР_КК[[#This Row],[Таб.номер резервиста]]="-","-",IF(OR(База_КР_КК[[#This Row],[Уровень КК]]=2,База_КР_КК[[#This Row],[Уровень КК]]=3),IF(COUNTIFS($U$2:$U1657,$U1657,$F$2:$F1657,$F1657)=1,1,0),IF(COUNTIFS($U$2:$U1657,$U1657,$L$2:$L1657,$L1657)=1,1,0)))</f>
        <v>1</v>
      </c>
      <c r="AA16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7" s="106"/>
      <c r="AC1657" s="51"/>
      <c r="AD1657" s="106" t="s">
        <v>15</v>
      </c>
      <c r="AE1657" s="38" t="s">
        <v>350</v>
      </c>
    </row>
    <row r="1658" spans="1:31" ht="18" customHeight="1" x14ac:dyDescent="0.25">
      <c r="A16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8" s="79">
        <v>4</v>
      </c>
      <c r="C1658" s="23">
        <v>44431</v>
      </c>
      <c r="D1658" s="67">
        <f>IF(COUNTIF($G$2:$G1658,$G1658)=1,1,0)</f>
        <v>0</v>
      </c>
      <c r="E1658" s="67" t="str">
        <f>IFERROR(VLOOKUP(База_КР_КК[[#This Row],[ИД штатной должности (S)]],'уровень защищенности'!$B$7:$F$1095,5,0),"не защищена")</f>
        <v>высокий</v>
      </c>
      <c r="F1658" s="68">
        <v>500201</v>
      </c>
      <c r="G1658" s="74" t="s">
        <v>2522</v>
      </c>
      <c r="H1658" s="181">
        <f>INDEX('Списки данных'!$D$2:$D$1048576,MATCH(База_КР_КК[[#This Row],[Структурное подразделение]],'Списки данных'!$C$2:$C$1048576,0))</f>
        <v>12</v>
      </c>
      <c r="I1658" s="80" t="s">
        <v>160</v>
      </c>
      <c r="J1658" s="80" t="s">
        <v>217</v>
      </c>
      <c r="K1658" s="80" t="s">
        <v>21</v>
      </c>
      <c r="L1658" s="30" t="s">
        <v>194</v>
      </c>
      <c r="M1658" s="68">
        <v>6</v>
      </c>
      <c r="N1658" s="181" t="str">
        <f t="shared" si="26"/>
        <v>нет</v>
      </c>
      <c r="O1658" s="23"/>
      <c r="P1658" s="23"/>
      <c r="Q1658" s="106"/>
      <c r="R1658" s="37">
        <v>353</v>
      </c>
      <c r="S1658" s="38" t="s">
        <v>765</v>
      </c>
      <c r="T1658" s="37">
        <v>360</v>
      </c>
      <c r="U1658" s="39" t="s">
        <v>772</v>
      </c>
      <c r="V1658" s="69" t="s">
        <v>192</v>
      </c>
      <c r="W1658" s="89" t="s">
        <v>160</v>
      </c>
      <c r="X1658" s="106" t="s">
        <v>295</v>
      </c>
      <c r="Y1658" s="107" t="s">
        <v>12</v>
      </c>
      <c r="Z1658" s="67">
        <f>IF(База_КР_КК[[#This Row],[Таб.номер резервиста]]="-","-",IF(OR(База_КР_КК[[#This Row],[Уровень КК]]=2,База_КР_КК[[#This Row],[Уровень КК]]=3),IF(COUNTIFS($U$2:$U1658,$U1658,$F$2:$F1658,$F1658)=1,1,0),IF(COUNTIFS($U$2:$U1658,$U1658,$L$2:$L1658,$L1658)=1,1,0)))</f>
        <v>1</v>
      </c>
      <c r="AA16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8" s="106"/>
      <c r="AC1658" s="51"/>
      <c r="AD1658" s="106" t="s">
        <v>15</v>
      </c>
      <c r="AE1658" s="38" t="s">
        <v>350</v>
      </c>
    </row>
    <row r="1659" spans="1:31" ht="18" customHeight="1" x14ac:dyDescent="0.25">
      <c r="A16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59" s="79">
        <v>4</v>
      </c>
      <c r="C1659" s="23">
        <v>44431</v>
      </c>
      <c r="D1659" s="67">
        <f>IF(COUNTIF($G$2:$G1659,$G1659)=1,1,0)</f>
        <v>1</v>
      </c>
      <c r="E1659" s="67" t="str">
        <f>IFERROR(VLOOKUP(База_КР_КК[[#This Row],[ИД штатной должности (S)]],'уровень защищенности'!$B$7:$F$1095,5,0),"не защищена")</f>
        <v>высокий</v>
      </c>
      <c r="F1659" s="68">
        <v>500201</v>
      </c>
      <c r="G1659" s="74" t="s">
        <v>2523</v>
      </c>
      <c r="H1659" s="181">
        <f>INDEX('Списки данных'!$D$2:$D$1048576,MATCH(База_КР_КК[[#This Row],[Структурное подразделение]],'Списки данных'!$C$2:$C$1048576,0))</f>
        <v>12</v>
      </c>
      <c r="I1659" s="80" t="s">
        <v>160</v>
      </c>
      <c r="J1659" s="80" t="s">
        <v>217</v>
      </c>
      <c r="K1659" s="80" t="s">
        <v>21</v>
      </c>
      <c r="L1659" s="30" t="s">
        <v>194</v>
      </c>
      <c r="M1659" s="68">
        <v>6</v>
      </c>
      <c r="N1659" s="181" t="str">
        <f t="shared" si="26"/>
        <v>нет</v>
      </c>
      <c r="O1659" s="23"/>
      <c r="P1659" s="23"/>
      <c r="Q1659" s="106"/>
      <c r="R1659" s="37">
        <v>354</v>
      </c>
      <c r="S1659" s="38" t="s">
        <v>766</v>
      </c>
      <c r="T1659" s="37">
        <v>357</v>
      </c>
      <c r="U1659" s="39" t="s">
        <v>769</v>
      </c>
      <c r="V1659" s="69" t="s">
        <v>192</v>
      </c>
      <c r="W1659" s="89" t="s">
        <v>160</v>
      </c>
      <c r="X1659" s="106" t="s">
        <v>295</v>
      </c>
      <c r="Y1659" s="107" t="s">
        <v>12</v>
      </c>
      <c r="Z1659" s="67">
        <f>IF(База_КР_КК[[#This Row],[Таб.номер резервиста]]="-","-",IF(OR(База_КР_КК[[#This Row],[Уровень КК]]=2,База_КР_КК[[#This Row],[Уровень КК]]=3),IF(COUNTIFS($U$2:$U1659,$U1659,$F$2:$F1659,$F1659)=1,1,0),IF(COUNTIFS($U$2:$U1659,$U1659,$L$2:$L1659,$L1659)=1,1,0)))</f>
        <v>0</v>
      </c>
      <c r="AA16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59" s="106"/>
      <c r="AC1659" s="51"/>
      <c r="AD1659" s="106" t="s">
        <v>15</v>
      </c>
      <c r="AE1659" s="38" t="s">
        <v>350</v>
      </c>
    </row>
    <row r="1660" spans="1:31" ht="18" customHeight="1" x14ac:dyDescent="0.25">
      <c r="A16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0" s="79">
        <v>4</v>
      </c>
      <c r="C1660" s="23">
        <v>44431</v>
      </c>
      <c r="D1660" s="67">
        <f>IF(COUNTIF($G$2:$G1660,$G1660)=1,1,0)</f>
        <v>0</v>
      </c>
      <c r="E1660" s="67" t="str">
        <f>IFERROR(VLOOKUP(База_КР_КК[[#This Row],[ИД штатной должности (S)]],'уровень защищенности'!$B$7:$F$1095,5,0),"не защищена")</f>
        <v>высокий</v>
      </c>
      <c r="F1660" s="68">
        <v>500201</v>
      </c>
      <c r="G1660" s="74" t="s">
        <v>2523</v>
      </c>
      <c r="H1660" s="181">
        <f>INDEX('Списки данных'!$D$2:$D$1048576,MATCH(База_КР_КК[[#This Row],[Структурное подразделение]],'Списки данных'!$C$2:$C$1048576,0))</f>
        <v>12</v>
      </c>
      <c r="I1660" s="80" t="s">
        <v>160</v>
      </c>
      <c r="J1660" s="80" t="s">
        <v>217</v>
      </c>
      <c r="K1660" s="80" t="s">
        <v>21</v>
      </c>
      <c r="L1660" s="30" t="s">
        <v>194</v>
      </c>
      <c r="M1660" s="68">
        <v>6</v>
      </c>
      <c r="N1660" s="181" t="str">
        <f t="shared" si="26"/>
        <v>нет</v>
      </c>
      <c r="O1660" s="23"/>
      <c r="P1660" s="23"/>
      <c r="Q1660" s="106"/>
      <c r="R1660" s="37">
        <v>354</v>
      </c>
      <c r="S1660" s="38" t="s">
        <v>766</v>
      </c>
      <c r="T1660" s="37">
        <v>350</v>
      </c>
      <c r="U1660" s="39" t="s">
        <v>762</v>
      </c>
      <c r="V1660" s="69" t="s">
        <v>192</v>
      </c>
      <c r="W1660" s="89" t="s">
        <v>160</v>
      </c>
      <c r="X1660" s="106" t="s">
        <v>295</v>
      </c>
      <c r="Y1660" s="107" t="s">
        <v>12</v>
      </c>
      <c r="Z1660" s="67">
        <f>IF(База_КР_КК[[#This Row],[Таб.номер резервиста]]="-","-",IF(OR(База_КР_КК[[#This Row],[Уровень КК]]=2,База_КР_КК[[#This Row],[Уровень КК]]=3),IF(COUNTIFS($U$2:$U1660,$U1660,$F$2:$F1660,$F1660)=1,1,0),IF(COUNTIFS($U$2:$U1660,$U1660,$L$2:$L1660,$L1660)=1,1,0)))</f>
        <v>0</v>
      </c>
      <c r="AA16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0" s="106"/>
      <c r="AC1660" s="51"/>
      <c r="AD1660" s="106" t="s">
        <v>15</v>
      </c>
      <c r="AE1660" s="38" t="s">
        <v>350</v>
      </c>
    </row>
    <row r="1661" spans="1:31" ht="18" customHeight="1" x14ac:dyDescent="0.25">
      <c r="A16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1" s="79">
        <v>4</v>
      </c>
      <c r="C1661" s="23">
        <v>44431</v>
      </c>
      <c r="D1661" s="67">
        <f>IF(COUNTIF($G$2:$G1661,$G1661)=1,1,0)</f>
        <v>0</v>
      </c>
      <c r="E1661" s="67" t="str">
        <f>IFERROR(VLOOKUP(База_КР_КК[[#This Row],[ИД штатной должности (S)]],'уровень защищенности'!$B$7:$F$1095,5,0),"не защищена")</f>
        <v>высокий</v>
      </c>
      <c r="F1661" s="68">
        <v>500201</v>
      </c>
      <c r="G1661" s="74" t="s">
        <v>2523</v>
      </c>
      <c r="H1661" s="181">
        <f>INDEX('Списки данных'!$D$2:$D$1048576,MATCH(База_КР_КК[[#This Row],[Структурное подразделение]],'Списки данных'!$C$2:$C$1048576,0))</f>
        <v>12</v>
      </c>
      <c r="I1661" s="80" t="s">
        <v>160</v>
      </c>
      <c r="J1661" s="80" t="s">
        <v>217</v>
      </c>
      <c r="K1661" s="80" t="s">
        <v>21</v>
      </c>
      <c r="L1661" s="30" t="s">
        <v>194</v>
      </c>
      <c r="M1661" s="68">
        <v>6</v>
      </c>
      <c r="N1661" s="181" t="str">
        <f t="shared" si="26"/>
        <v>нет</v>
      </c>
      <c r="O1661" s="23"/>
      <c r="P1661" s="23"/>
      <c r="Q1661" s="106"/>
      <c r="R1661" s="37">
        <v>354</v>
      </c>
      <c r="S1661" s="38" t="s">
        <v>766</v>
      </c>
      <c r="T1661" s="37">
        <v>359</v>
      </c>
      <c r="U1661" s="39" t="s">
        <v>771</v>
      </c>
      <c r="V1661" s="69" t="s">
        <v>192</v>
      </c>
      <c r="W1661" s="89" t="s">
        <v>160</v>
      </c>
      <c r="X1661" s="106" t="s">
        <v>295</v>
      </c>
      <c r="Y1661" s="107" t="s">
        <v>12</v>
      </c>
      <c r="Z1661" s="67">
        <f>IF(База_КР_КК[[#This Row],[Таб.номер резервиста]]="-","-",IF(OR(База_КР_КК[[#This Row],[Уровень КК]]=2,База_КР_КК[[#This Row],[Уровень КК]]=3),IF(COUNTIFS($U$2:$U1661,$U1661,$F$2:$F1661,$F1661)=1,1,0),IF(COUNTIFS($U$2:$U1661,$U1661,$L$2:$L1661,$L1661)=1,1,0)))</f>
        <v>0</v>
      </c>
      <c r="AA16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1" s="106"/>
      <c r="AC1661" s="51"/>
      <c r="AD1661" s="106" t="s">
        <v>15</v>
      </c>
      <c r="AE1661" s="38" t="s">
        <v>350</v>
      </c>
    </row>
    <row r="1662" spans="1:31" ht="18" customHeight="1" x14ac:dyDescent="0.25">
      <c r="A16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2" s="79">
        <v>4</v>
      </c>
      <c r="C1662" s="23">
        <v>44431</v>
      </c>
      <c r="D1662" s="67">
        <f>IF(COUNTIF($G$2:$G1662,$G1662)=1,1,0)</f>
        <v>0</v>
      </c>
      <c r="E1662" s="67" t="str">
        <f>IFERROR(VLOOKUP(База_КР_КК[[#This Row],[ИД штатной должности (S)]],'уровень защищенности'!$B$7:$F$1095,5,0),"не защищена")</f>
        <v>высокий</v>
      </c>
      <c r="F1662" s="68">
        <v>500201</v>
      </c>
      <c r="G1662" s="74" t="s">
        <v>2523</v>
      </c>
      <c r="H1662" s="181">
        <f>INDEX('Списки данных'!$D$2:$D$1048576,MATCH(База_КР_КК[[#This Row],[Структурное подразделение]],'Списки данных'!$C$2:$C$1048576,0))</f>
        <v>12</v>
      </c>
      <c r="I1662" s="80" t="s">
        <v>160</v>
      </c>
      <c r="J1662" s="80" t="s">
        <v>217</v>
      </c>
      <c r="K1662" s="80" t="s">
        <v>21</v>
      </c>
      <c r="L1662" s="30" t="s">
        <v>194</v>
      </c>
      <c r="M1662" s="68">
        <v>6</v>
      </c>
      <c r="N1662" s="181" t="str">
        <f t="shared" si="26"/>
        <v>нет</v>
      </c>
      <c r="O1662" s="23"/>
      <c r="P1662" s="23"/>
      <c r="Q1662" s="106"/>
      <c r="R1662" s="37">
        <v>354</v>
      </c>
      <c r="S1662" s="38" t="s">
        <v>766</v>
      </c>
      <c r="T1662" s="37">
        <v>360</v>
      </c>
      <c r="U1662" s="39" t="s">
        <v>772</v>
      </c>
      <c r="V1662" s="69" t="s">
        <v>192</v>
      </c>
      <c r="W1662" s="89" t="s">
        <v>160</v>
      </c>
      <c r="X1662" s="106" t="s">
        <v>295</v>
      </c>
      <c r="Y1662" s="107" t="s">
        <v>12</v>
      </c>
      <c r="Z1662" s="67">
        <f>IF(База_КР_КК[[#This Row],[Таб.номер резервиста]]="-","-",IF(OR(База_КР_КК[[#This Row],[Уровень КК]]=2,База_КР_КК[[#This Row],[Уровень КК]]=3),IF(COUNTIFS($U$2:$U1662,$U1662,$F$2:$F1662,$F1662)=1,1,0),IF(COUNTIFS($U$2:$U1662,$U1662,$L$2:$L1662,$L1662)=1,1,0)))</f>
        <v>0</v>
      </c>
      <c r="AA16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2" s="106"/>
      <c r="AC1662" s="51"/>
      <c r="AD1662" s="106" t="s">
        <v>15</v>
      </c>
      <c r="AE1662" s="38" t="s">
        <v>350</v>
      </c>
    </row>
    <row r="1663" spans="1:31" ht="18" customHeight="1" x14ac:dyDescent="0.25">
      <c r="A16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3" s="79">
        <v>4</v>
      </c>
      <c r="C1663" s="23">
        <v>44431</v>
      </c>
      <c r="D1663" s="67">
        <f>IF(COUNTIF($G$2:$G1663,$G1663)=1,1,0)</f>
        <v>1</v>
      </c>
      <c r="E1663" s="67" t="str">
        <f>IFERROR(VLOOKUP(База_КР_КК[[#This Row],[ИД штатной должности (S)]],'уровень защищенности'!$B$7:$F$1095,5,0),"не защищена")</f>
        <v>высокий</v>
      </c>
      <c r="F1663" s="68">
        <v>500201</v>
      </c>
      <c r="G1663" s="74" t="s">
        <v>2524</v>
      </c>
      <c r="H1663" s="181">
        <f>INDEX('Списки данных'!$D$2:$D$1048576,MATCH(База_КР_КК[[#This Row],[Структурное подразделение]],'Списки данных'!$C$2:$C$1048576,0))</f>
        <v>12</v>
      </c>
      <c r="I1663" s="80" t="s">
        <v>160</v>
      </c>
      <c r="J1663" s="80" t="s">
        <v>217</v>
      </c>
      <c r="K1663" s="80" t="s">
        <v>21</v>
      </c>
      <c r="L1663" s="30" t="s">
        <v>194</v>
      </c>
      <c r="M1663" s="68">
        <v>6</v>
      </c>
      <c r="N1663" s="181" t="str">
        <f t="shared" si="26"/>
        <v>нет</v>
      </c>
      <c r="O1663" s="23"/>
      <c r="P1663" s="23"/>
      <c r="Q1663" s="106"/>
      <c r="R1663" s="37">
        <v>355</v>
      </c>
      <c r="S1663" s="38" t="s">
        <v>767</v>
      </c>
      <c r="T1663" s="37">
        <v>357</v>
      </c>
      <c r="U1663" s="39" t="s">
        <v>769</v>
      </c>
      <c r="V1663" s="69" t="s">
        <v>192</v>
      </c>
      <c r="W1663" s="89" t="s">
        <v>160</v>
      </c>
      <c r="X1663" s="106" t="s">
        <v>295</v>
      </c>
      <c r="Y1663" s="107" t="s">
        <v>12</v>
      </c>
      <c r="Z1663" s="67">
        <f>IF(База_КР_КК[[#This Row],[Таб.номер резервиста]]="-","-",IF(OR(База_КР_КК[[#This Row],[Уровень КК]]=2,База_КР_КК[[#This Row],[Уровень КК]]=3),IF(COUNTIFS($U$2:$U1663,$U1663,$F$2:$F1663,$F1663)=1,1,0),IF(COUNTIFS($U$2:$U1663,$U1663,$L$2:$L1663,$L1663)=1,1,0)))</f>
        <v>0</v>
      </c>
      <c r="AA16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3" s="106"/>
      <c r="AC1663" s="51"/>
      <c r="AD1663" s="106" t="s">
        <v>15</v>
      </c>
      <c r="AE1663" s="38" t="s">
        <v>350</v>
      </c>
    </row>
    <row r="1664" spans="1:31" ht="18" customHeight="1" x14ac:dyDescent="0.25">
      <c r="A16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4" s="79">
        <v>4</v>
      </c>
      <c r="C1664" s="23">
        <v>44431</v>
      </c>
      <c r="D1664" s="67">
        <f>IF(COUNTIF($G$2:$G1664,$G1664)=1,1,0)</f>
        <v>0</v>
      </c>
      <c r="E1664" s="67" t="str">
        <f>IFERROR(VLOOKUP(База_КР_КК[[#This Row],[ИД штатной должности (S)]],'уровень защищенности'!$B$7:$F$1095,5,0),"не защищена")</f>
        <v>высокий</v>
      </c>
      <c r="F1664" s="68">
        <v>500201</v>
      </c>
      <c r="G1664" s="74" t="s">
        <v>2524</v>
      </c>
      <c r="H1664" s="181">
        <f>INDEX('Списки данных'!$D$2:$D$1048576,MATCH(База_КР_КК[[#This Row],[Структурное подразделение]],'Списки данных'!$C$2:$C$1048576,0))</f>
        <v>12</v>
      </c>
      <c r="I1664" s="80" t="s">
        <v>160</v>
      </c>
      <c r="J1664" s="80" t="s">
        <v>217</v>
      </c>
      <c r="K1664" s="80" t="s">
        <v>21</v>
      </c>
      <c r="L1664" s="30" t="s">
        <v>194</v>
      </c>
      <c r="M1664" s="68">
        <v>6</v>
      </c>
      <c r="N1664" s="181" t="str">
        <f t="shared" si="26"/>
        <v>нет</v>
      </c>
      <c r="O1664" s="23"/>
      <c r="P1664" s="23"/>
      <c r="Q1664" s="106"/>
      <c r="R1664" s="37">
        <v>355</v>
      </c>
      <c r="S1664" s="38" t="s">
        <v>767</v>
      </c>
      <c r="T1664" s="37">
        <v>350</v>
      </c>
      <c r="U1664" s="39" t="s">
        <v>762</v>
      </c>
      <c r="V1664" s="69" t="s">
        <v>192</v>
      </c>
      <c r="W1664" s="89" t="s">
        <v>160</v>
      </c>
      <c r="X1664" s="106" t="s">
        <v>295</v>
      </c>
      <c r="Y1664" s="107" t="s">
        <v>12</v>
      </c>
      <c r="Z1664" s="67">
        <f>IF(База_КР_КК[[#This Row],[Таб.номер резервиста]]="-","-",IF(OR(База_КР_КК[[#This Row],[Уровень КК]]=2,База_КР_КК[[#This Row],[Уровень КК]]=3),IF(COUNTIFS($U$2:$U1664,$U1664,$F$2:$F1664,$F1664)=1,1,0),IF(COUNTIFS($U$2:$U1664,$U1664,$L$2:$L1664,$L1664)=1,1,0)))</f>
        <v>0</v>
      </c>
      <c r="AA16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4" s="106"/>
      <c r="AC1664" s="51"/>
      <c r="AD1664" s="106" t="s">
        <v>15</v>
      </c>
      <c r="AE1664" s="38" t="s">
        <v>350</v>
      </c>
    </row>
    <row r="1665" spans="1:31" ht="18" customHeight="1" x14ac:dyDescent="0.25">
      <c r="A16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5" s="79">
        <v>4</v>
      </c>
      <c r="C1665" s="23">
        <v>44431</v>
      </c>
      <c r="D1665" s="67">
        <f>IF(COUNTIF($G$2:$G1665,$G1665)=1,1,0)</f>
        <v>0</v>
      </c>
      <c r="E1665" s="67" t="str">
        <f>IFERROR(VLOOKUP(База_КР_КК[[#This Row],[ИД штатной должности (S)]],'уровень защищенности'!$B$7:$F$1095,5,0),"не защищена")</f>
        <v>высокий</v>
      </c>
      <c r="F1665" s="68">
        <v>500201</v>
      </c>
      <c r="G1665" s="74" t="s">
        <v>2524</v>
      </c>
      <c r="H1665" s="181">
        <f>INDEX('Списки данных'!$D$2:$D$1048576,MATCH(База_КР_КК[[#This Row],[Структурное подразделение]],'Списки данных'!$C$2:$C$1048576,0))</f>
        <v>12</v>
      </c>
      <c r="I1665" s="80" t="s">
        <v>160</v>
      </c>
      <c r="J1665" s="80" t="s">
        <v>217</v>
      </c>
      <c r="K1665" s="80" t="s">
        <v>21</v>
      </c>
      <c r="L1665" s="30" t="s">
        <v>194</v>
      </c>
      <c r="M1665" s="68">
        <v>6</v>
      </c>
      <c r="N1665" s="181" t="str">
        <f t="shared" ref="N1665:N1728" si="27">IF(ISBLANK(O1665),"нет","да")</f>
        <v>нет</v>
      </c>
      <c r="O1665" s="23"/>
      <c r="P1665" s="23"/>
      <c r="Q1665" s="106"/>
      <c r="R1665" s="37">
        <v>355</v>
      </c>
      <c r="S1665" s="38" t="s">
        <v>767</v>
      </c>
      <c r="T1665" s="37">
        <v>359</v>
      </c>
      <c r="U1665" s="39" t="s">
        <v>771</v>
      </c>
      <c r="V1665" s="69" t="s">
        <v>192</v>
      </c>
      <c r="W1665" s="89" t="s">
        <v>160</v>
      </c>
      <c r="X1665" s="106" t="s">
        <v>295</v>
      </c>
      <c r="Y1665" s="107" t="s">
        <v>12</v>
      </c>
      <c r="Z1665" s="67">
        <f>IF(База_КР_КК[[#This Row],[Таб.номер резервиста]]="-","-",IF(OR(База_КР_КК[[#This Row],[Уровень КК]]=2,База_КР_КК[[#This Row],[Уровень КК]]=3),IF(COUNTIFS($U$2:$U1665,$U1665,$F$2:$F1665,$F1665)=1,1,0),IF(COUNTIFS($U$2:$U1665,$U1665,$L$2:$L1665,$L1665)=1,1,0)))</f>
        <v>0</v>
      </c>
      <c r="AA16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5" s="106"/>
      <c r="AC1665" s="51"/>
      <c r="AD1665" s="106" t="s">
        <v>15</v>
      </c>
      <c r="AE1665" s="38" t="s">
        <v>350</v>
      </c>
    </row>
    <row r="1666" spans="1:31" ht="18" customHeight="1" x14ac:dyDescent="0.25">
      <c r="A16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6" s="79">
        <v>4</v>
      </c>
      <c r="C1666" s="23">
        <v>44431</v>
      </c>
      <c r="D1666" s="67">
        <f>IF(COUNTIF($G$2:$G1666,$G1666)=1,1,0)</f>
        <v>0</v>
      </c>
      <c r="E1666" s="67" t="str">
        <f>IFERROR(VLOOKUP(База_КР_КК[[#This Row],[ИД штатной должности (S)]],'уровень защищенности'!$B$7:$F$1095,5,0),"не защищена")</f>
        <v>высокий</v>
      </c>
      <c r="F1666" s="68">
        <v>500201</v>
      </c>
      <c r="G1666" s="74" t="s">
        <v>2524</v>
      </c>
      <c r="H1666" s="181">
        <f>INDEX('Списки данных'!$D$2:$D$1048576,MATCH(База_КР_КК[[#This Row],[Структурное подразделение]],'Списки данных'!$C$2:$C$1048576,0))</f>
        <v>12</v>
      </c>
      <c r="I1666" s="80" t="s">
        <v>160</v>
      </c>
      <c r="J1666" s="80" t="s">
        <v>217</v>
      </c>
      <c r="K1666" s="80" t="s">
        <v>21</v>
      </c>
      <c r="L1666" s="30" t="s">
        <v>194</v>
      </c>
      <c r="M1666" s="68">
        <v>6</v>
      </c>
      <c r="N1666" s="181" t="str">
        <f t="shared" si="27"/>
        <v>нет</v>
      </c>
      <c r="O1666" s="23"/>
      <c r="P1666" s="23"/>
      <c r="Q1666" s="106"/>
      <c r="R1666" s="37">
        <v>355</v>
      </c>
      <c r="S1666" s="38" t="s">
        <v>767</v>
      </c>
      <c r="T1666" s="37">
        <v>360</v>
      </c>
      <c r="U1666" s="39" t="s">
        <v>772</v>
      </c>
      <c r="V1666" s="69" t="s">
        <v>192</v>
      </c>
      <c r="W1666" s="89" t="s">
        <v>160</v>
      </c>
      <c r="X1666" s="106" t="s">
        <v>295</v>
      </c>
      <c r="Y1666" s="107" t="s">
        <v>12</v>
      </c>
      <c r="Z1666" s="67">
        <f>IF(База_КР_КК[[#This Row],[Таб.номер резервиста]]="-","-",IF(OR(База_КР_КК[[#This Row],[Уровень КК]]=2,База_КР_КК[[#This Row],[Уровень КК]]=3),IF(COUNTIFS($U$2:$U1666,$U1666,$F$2:$F1666,$F1666)=1,1,0),IF(COUNTIFS($U$2:$U1666,$U1666,$L$2:$L1666,$L1666)=1,1,0)))</f>
        <v>0</v>
      </c>
      <c r="AA16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6" s="106"/>
      <c r="AC1666" s="51"/>
      <c r="AD1666" s="106" t="s">
        <v>15</v>
      </c>
      <c r="AE1666" s="38" t="s">
        <v>350</v>
      </c>
    </row>
    <row r="1667" spans="1:31" ht="18" customHeight="1" x14ac:dyDescent="0.25">
      <c r="A16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7" s="79">
        <v>4</v>
      </c>
      <c r="C1667" s="23">
        <v>44431</v>
      </c>
      <c r="D1667" s="67">
        <f>IF(COUNTIF($G$2:$G1667,$G1667)=1,1,0)</f>
        <v>1</v>
      </c>
      <c r="E1667" s="67" t="str">
        <f>IFERROR(VLOOKUP(База_КР_КК[[#This Row],[ИД штатной должности (S)]],'уровень защищенности'!$B$7:$F$1095,5,0),"не защищена")</f>
        <v>высокий</v>
      </c>
      <c r="F1667" s="68">
        <v>500201</v>
      </c>
      <c r="G1667" s="74" t="s">
        <v>2525</v>
      </c>
      <c r="H1667" s="181">
        <f>INDEX('Списки данных'!$D$2:$D$1048576,MATCH(База_КР_КК[[#This Row],[Структурное подразделение]],'Списки данных'!$C$2:$C$1048576,0))</f>
        <v>12</v>
      </c>
      <c r="I1667" s="80" t="s">
        <v>160</v>
      </c>
      <c r="J1667" s="80" t="s">
        <v>217</v>
      </c>
      <c r="K1667" s="80" t="s">
        <v>21</v>
      </c>
      <c r="L1667" s="30" t="s">
        <v>194</v>
      </c>
      <c r="M1667" s="68">
        <v>6</v>
      </c>
      <c r="N1667" s="181" t="str">
        <f t="shared" si="27"/>
        <v>нет</v>
      </c>
      <c r="O1667" s="23"/>
      <c r="P1667" s="23"/>
      <c r="Q1667" s="106"/>
      <c r="R1667" s="37">
        <v>356</v>
      </c>
      <c r="S1667" s="38" t="s">
        <v>768</v>
      </c>
      <c r="T1667" s="37">
        <v>357</v>
      </c>
      <c r="U1667" s="39" t="s">
        <v>769</v>
      </c>
      <c r="V1667" s="69" t="s">
        <v>192</v>
      </c>
      <c r="W1667" s="89" t="s">
        <v>160</v>
      </c>
      <c r="X1667" s="106" t="s">
        <v>295</v>
      </c>
      <c r="Y1667" s="107" t="s">
        <v>12</v>
      </c>
      <c r="Z1667" s="67">
        <f>IF(База_КР_КК[[#This Row],[Таб.номер резервиста]]="-","-",IF(OR(База_КР_КК[[#This Row],[Уровень КК]]=2,База_КР_КК[[#This Row],[Уровень КК]]=3),IF(COUNTIFS($U$2:$U1667,$U1667,$F$2:$F1667,$F1667)=1,1,0),IF(COUNTIFS($U$2:$U1667,$U1667,$L$2:$L1667,$L1667)=1,1,0)))</f>
        <v>0</v>
      </c>
      <c r="AA16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7" s="106"/>
      <c r="AC1667" s="51"/>
      <c r="AD1667" s="106" t="s">
        <v>15</v>
      </c>
      <c r="AE1667" s="38" t="s">
        <v>350</v>
      </c>
    </row>
    <row r="1668" spans="1:31" ht="18" customHeight="1" x14ac:dyDescent="0.25">
      <c r="A16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8" s="79">
        <v>4</v>
      </c>
      <c r="C1668" s="23">
        <v>44431</v>
      </c>
      <c r="D1668" s="67">
        <f>IF(COUNTIF($G$2:$G1668,$G1668)=1,1,0)</f>
        <v>0</v>
      </c>
      <c r="E1668" s="67" t="str">
        <f>IFERROR(VLOOKUP(База_КР_КК[[#This Row],[ИД штатной должности (S)]],'уровень защищенности'!$B$7:$F$1095,5,0),"не защищена")</f>
        <v>высокий</v>
      </c>
      <c r="F1668" s="68">
        <v>500201</v>
      </c>
      <c r="G1668" s="74" t="s">
        <v>2525</v>
      </c>
      <c r="H1668" s="181">
        <f>INDEX('Списки данных'!$D$2:$D$1048576,MATCH(База_КР_КК[[#This Row],[Структурное подразделение]],'Списки данных'!$C$2:$C$1048576,0))</f>
        <v>12</v>
      </c>
      <c r="I1668" s="80" t="s">
        <v>160</v>
      </c>
      <c r="J1668" s="80" t="s">
        <v>217</v>
      </c>
      <c r="K1668" s="80" t="s">
        <v>21</v>
      </c>
      <c r="L1668" s="30" t="s">
        <v>194</v>
      </c>
      <c r="M1668" s="68">
        <v>6</v>
      </c>
      <c r="N1668" s="181" t="str">
        <f t="shared" si="27"/>
        <v>нет</v>
      </c>
      <c r="O1668" s="23"/>
      <c r="P1668" s="23"/>
      <c r="Q1668" s="106"/>
      <c r="R1668" s="37">
        <v>356</v>
      </c>
      <c r="S1668" s="38" t="s">
        <v>768</v>
      </c>
      <c r="T1668" s="37">
        <v>350</v>
      </c>
      <c r="U1668" s="39" t="s">
        <v>762</v>
      </c>
      <c r="V1668" s="69" t="s">
        <v>192</v>
      </c>
      <c r="W1668" s="89" t="s">
        <v>160</v>
      </c>
      <c r="X1668" s="106" t="s">
        <v>295</v>
      </c>
      <c r="Y1668" s="107" t="s">
        <v>12</v>
      </c>
      <c r="Z1668" s="67">
        <f>IF(База_КР_КК[[#This Row],[Таб.номер резервиста]]="-","-",IF(OR(База_КР_КК[[#This Row],[Уровень КК]]=2,База_КР_КК[[#This Row],[Уровень КК]]=3),IF(COUNTIFS($U$2:$U1668,$U1668,$F$2:$F1668,$F1668)=1,1,0),IF(COUNTIFS($U$2:$U1668,$U1668,$L$2:$L1668,$L1668)=1,1,0)))</f>
        <v>0</v>
      </c>
      <c r="AA16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8" s="106"/>
      <c r="AC1668" s="51"/>
      <c r="AD1668" s="106" t="s">
        <v>15</v>
      </c>
      <c r="AE1668" s="38" t="s">
        <v>350</v>
      </c>
    </row>
    <row r="1669" spans="1:31" ht="18" customHeight="1" x14ac:dyDescent="0.25">
      <c r="A16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69" s="79">
        <v>4</v>
      </c>
      <c r="C1669" s="23">
        <v>44431</v>
      </c>
      <c r="D1669" s="67">
        <f>IF(COUNTIF($G$2:$G1669,$G1669)=1,1,0)</f>
        <v>0</v>
      </c>
      <c r="E1669" s="67" t="str">
        <f>IFERROR(VLOOKUP(База_КР_КК[[#This Row],[ИД штатной должности (S)]],'уровень защищенности'!$B$7:$F$1095,5,0),"не защищена")</f>
        <v>высокий</v>
      </c>
      <c r="F1669" s="68">
        <v>500201</v>
      </c>
      <c r="G1669" s="74" t="s">
        <v>2525</v>
      </c>
      <c r="H1669" s="181">
        <f>INDEX('Списки данных'!$D$2:$D$1048576,MATCH(База_КР_КК[[#This Row],[Структурное подразделение]],'Списки данных'!$C$2:$C$1048576,0))</f>
        <v>12</v>
      </c>
      <c r="I1669" s="80" t="s">
        <v>160</v>
      </c>
      <c r="J1669" s="80" t="s">
        <v>217</v>
      </c>
      <c r="K1669" s="80" t="s">
        <v>21</v>
      </c>
      <c r="L1669" s="30" t="s">
        <v>194</v>
      </c>
      <c r="M1669" s="68">
        <v>6</v>
      </c>
      <c r="N1669" s="181" t="str">
        <f t="shared" si="27"/>
        <v>нет</v>
      </c>
      <c r="O1669" s="23"/>
      <c r="P1669" s="23"/>
      <c r="Q1669" s="106"/>
      <c r="R1669" s="37">
        <v>356</v>
      </c>
      <c r="S1669" s="38" t="s">
        <v>768</v>
      </c>
      <c r="T1669" s="37">
        <v>359</v>
      </c>
      <c r="U1669" s="39" t="s">
        <v>771</v>
      </c>
      <c r="V1669" s="69" t="s">
        <v>192</v>
      </c>
      <c r="W1669" s="89" t="s">
        <v>160</v>
      </c>
      <c r="X1669" s="106" t="s">
        <v>295</v>
      </c>
      <c r="Y1669" s="107" t="s">
        <v>12</v>
      </c>
      <c r="Z1669" s="67">
        <f>IF(База_КР_КК[[#This Row],[Таб.номер резервиста]]="-","-",IF(OR(База_КР_КК[[#This Row],[Уровень КК]]=2,База_КР_КК[[#This Row],[Уровень КК]]=3),IF(COUNTIFS($U$2:$U1669,$U1669,$F$2:$F1669,$F1669)=1,1,0),IF(COUNTIFS($U$2:$U1669,$U1669,$L$2:$L1669,$L1669)=1,1,0)))</f>
        <v>0</v>
      </c>
      <c r="AA16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69" s="106"/>
      <c r="AC1669" s="51"/>
      <c r="AD1669" s="106" t="s">
        <v>15</v>
      </c>
      <c r="AE1669" s="38" t="s">
        <v>350</v>
      </c>
    </row>
    <row r="1670" spans="1:31" ht="18" customHeight="1" x14ac:dyDescent="0.25">
      <c r="A16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0" s="79">
        <v>4</v>
      </c>
      <c r="C1670" s="23">
        <v>44431</v>
      </c>
      <c r="D1670" s="67">
        <f>IF(COUNTIF($G$2:$G1670,$G1670)=1,1,0)</f>
        <v>0</v>
      </c>
      <c r="E1670" s="67" t="str">
        <f>IFERROR(VLOOKUP(База_КР_КК[[#This Row],[ИД штатной должности (S)]],'уровень защищенности'!$B$7:$F$1095,5,0),"не защищена")</f>
        <v>высокий</v>
      </c>
      <c r="F1670" s="68">
        <v>500201</v>
      </c>
      <c r="G1670" s="74" t="s">
        <v>2525</v>
      </c>
      <c r="H1670" s="181">
        <f>INDEX('Списки данных'!$D$2:$D$1048576,MATCH(База_КР_КК[[#This Row],[Структурное подразделение]],'Списки данных'!$C$2:$C$1048576,0))</f>
        <v>12</v>
      </c>
      <c r="I1670" s="80" t="s">
        <v>160</v>
      </c>
      <c r="J1670" s="80" t="s">
        <v>217</v>
      </c>
      <c r="K1670" s="80" t="s">
        <v>21</v>
      </c>
      <c r="L1670" s="30" t="s">
        <v>194</v>
      </c>
      <c r="M1670" s="68">
        <v>6</v>
      </c>
      <c r="N1670" s="181" t="str">
        <f t="shared" si="27"/>
        <v>нет</v>
      </c>
      <c r="O1670" s="23"/>
      <c r="P1670" s="23"/>
      <c r="Q1670" s="106"/>
      <c r="R1670" s="37">
        <v>356</v>
      </c>
      <c r="S1670" s="38" t="s">
        <v>768</v>
      </c>
      <c r="T1670" s="37">
        <v>360</v>
      </c>
      <c r="U1670" s="39" t="s">
        <v>772</v>
      </c>
      <c r="V1670" s="69" t="s">
        <v>192</v>
      </c>
      <c r="W1670" s="89" t="s">
        <v>160</v>
      </c>
      <c r="X1670" s="106" t="s">
        <v>295</v>
      </c>
      <c r="Y1670" s="107" t="s">
        <v>12</v>
      </c>
      <c r="Z1670" s="67">
        <f>IF(База_КР_КК[[#This Row],[Таб.номер резервиста]]="-","-",IF(OR(База_КР_КК[[#This Row],[Уровень КК]]=2,База_КР_КК[[#This Row],[Уровень КК]]=3),IF(COUNTIFS($U$2:$U1670,$U1670,$F$2:$F1670,$F1670)=1,1,0),IF(COUNTIFS($U$2:$U1670,$U1670,$L$2:$L1670,$L1670)=1,1,0)))</f>
        <v>0</v>
      </c>
      <c r="AA16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0" s="106"/>
      <c r="AC1670" s="51"/>
      <c r="AD1670" s="106" t="s">
        <v>15</v>
      </c>
      <c r="AE1670" s="38" t="s">
        <v>350</v>
      </c>
    </row>
    <row r="1671" spans="1:31" ht="18" customHeight="1" x14ac:dyDescent="0.25">
      <c r="A16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1" s="79">
        <v>4</v>
      </c>
      <c r="C1671" s="23">
        <v>44431</v>
      </c>
      <c r="D1671" s="67">
        <f>IF(COUNTIF($G$2:$G1671,$G1671)=1,1,0)</f>
        <v>1</v>
      </c>
      <c r="E1671" s="67" t="str">
        <f>IFERROR(VLOOKUP(База_КР_КК[[#This Row],[ИД штатной должности (S)]],'уровень защищенности'!$B$7:$F$1095,5,0),"не защищена")</f>
        <v>высокий</v>
      </c>
      <c r="F1671" s="68">
        <v>500202</v>
      </c>
      <c r="G1671" s="74" t="s">
        <v>2526</v>
      </c>
      <c r="H1671" s="181">
        <f>INDEX('Списки данных'!$D$2:$D$1048576,MATCH(База_КР_КК[[#This Row],[Структурное подразделение]],'Списки данных'!$C$2:$C$1048576,0))</f>
        <v>12</v>
      </c>
      <c r="I1671" s="80" t="s">
        <v>160</v>
      </c>
      <c r="J1671" s="80" t="s">
        <v>217</v>
      </c>
      <c r="K1671" s="80" t="s">
        <v>21</v>
      </c>
      <c r="L1671" s="30" t="s">
        <v>191</v>
      </c>
      <c r="M1671" s="68">
        <v>7</v>
      </c>
      <c r="N1671" s="181" t="str">
        <f t="shared" si="27"/>
        <v>нет</v>
      </c>
      <c r="O1671" s="23"/>
      <c r="P1671" s="23"/>
      <c r="Q1671" s="106"/>
      <c r="R1671" s="37">
        <v>357</v>
      </c>
      <c r="S1671" s="39" t="s">
        <v>769</v>
      </c>
      <c r="T1671" s="37">
        <v>1458</v>
      </c>
      <c r="U1671" s="39" t="s">
        <v>1835</v>
      </c>
      <c r="V1671" s="69" t="s">
        <v>272</v>
      </c>
      <c r="W1671" s="89" t="s">
        <v>160</v>
      </c>
      <c r="X1671" s="106" t="s">
        <v>295</v>
      </c>
      <c r="Y1671" s="107" t="s">
        <v>12</v>
      </c>
      <c r="Z1671" s="67">
        <f>IF(База_КР_КК[[#This Row],[Таб.номер резервиста]]="-","-",IF(OR(База_КР_КК[[#This Row],[Уровень КК]]=2,База_КР_КК[[#This Row],[Уровень КК]]=3),IF(COUNTIFS($U$2:$U1671,$U1671,$F$2:$F1671,$F1671)=1,1,0),IF(COUNTIFS($U$2:$U1671,$U1671,$L$2:$L1671,$L1671)=1,1,0)))</f>
        <v>1</v>
      </c>
      <c r="AA16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1" s="106"/>
      <c r="AC1671" s="51"/>
      <c r="AD1671" s="106" t="s">
        <v>17</v>
      </c>
      <c r="AE1671" s="40" t="s">
        <v>344</v>
      </c>
    </row>
    <row r="1672" spans="1:31" ht="18" customHeight="1" x14ac:dyDescent="0.25">
      <c r="A16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2" s="79">
        <v>4</v>
      </c>
      <c r="C1672" s="23">
        <v>44889</v>
      </c>
      <c r="D1672" s="67">
        <f>IF(COUNTIF($G$2:$G1672,$G1672)=1,1,0)</f>
        <v>0</v>
      </c>
      <c r="E1672" s="67" t="str">
        <f>IFERROR(VLOOKUP(База_КР_КК[[#This Row],[ИД штатной должности (S)]],'уровень защищенности'!$B$7:$F$1095,5,0),"не защищена")</f>
        <v>высокий</v>
      </c>
      <c r="F1672" s="68">
        <v>500202</v>
      </c>
      <c r="G1672" s="74" t="s">
        <v>2526</v>
      </c>
      <c r="H1672" s="181">
        <f>INDEX('Списки данных'!$D$2:$D$1048576,MATCH(База_КР_КК[[#This Row],[Структурное подразделение]],'Списки данных'!$C$2:$C$1048576,0))</f>
        <v>12</v>
      </c>
      <c r="I1672" s="80" t="s">
        <v>160</v>
      </c>
      <c r="J1672" s="80" t="s">
        <v>217</v>
      </c>
      <c r="K1672" s="80" t="s">
        <v>21</v>
      </c>
      <c r="L1672" s="30" t="s">
        <v>191</v>
      </c>
      <c r="M1672" s="68">
        <v>7</v>
      </c>
      <c r="N1672" s="181" t="str">
        <f t="shared" si="27"/>
        <v>нет</v>
      </c>
      <c r="O1672" s="23"/>
      <c r="P1672" s="23"/>
      <c r="Q1672" s="106"/>
      <c r="R1672" s="37">
        <v>357</v>
      </c>
      <c r="S1672" s="39" t="s">
        <v>769</v>
      </c>
      <c r="T1672" s="37">
        <v>1459</v>
      </c>
      <c r="U1672" s="39" t="s">
        <v>1836</v>
      </c>
      <c r="V1672" s="69" t="s">
        <v>272</v>
      </c>
      <c r="W1672" s="89" t="s">
        <v>160</v>
      </c>
      <c r="X1672" s="106" t="s">
        <v>297</v>
      </c>
      <c r="Y1672" s="107" t="s">
        <v>12</v>
      </c>
      <c r="Z1672" s="67">
        <f>IF(База_КР_КК[[#This Row],[Таб.номер резервиста]]="-","-",IF(OR(База_КР_КК[[#This Row],[Уровень КК]]=2,База_КР_КК[[#This Row],[Уровень КК]]=3),IF(COUNTIFS($U$2:$U1672,$U1672,$F$2:$F1672,$F1672)=1,1,0),IF(COUNTIFS($U$2:$U1672,$U1672,$L$2:$L1672,$L1672)=1,1,0)))</f>
        <v>1</v>
      </c>
      <c r="AA16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2" s="106"/>
      <c r="AC1672" s="51"/>
      <c r="AD1672" s="106" t="s">
        <v>15</v>
      </c>
      <c r="AE1672" s="40" t="s">
        <v>344</v>
      </c>
    </row>
    <row r="1673" spans="1:31" ht="18" customHeight="1" x14ac:dyDescent="0.25">
      <c r="A16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3" s="79">
        <v>4</v>
      </c>
      <c r="C1673" s="23">
        <v>44889</v>
      </c>
      <c r="D1673" s="67">
        <f>IF(COUNTIF($G$2:$G1673,$G1673)=1,1,0)</f>
        <v>0</v>
      </c>
      <c r="E1673" s="67" t="str">
        <f>IFERROR(VLOOKUP(База_КР_КК[[#This Row],[ИД штатной должности (S)]],'уровень защищенности'!$B$7:$F$1095,5,0),"не защищена")</f>
        <v>высокий</v>
      </c>
      <c r="F1673" s="68">
        <v>500202</v>
      </c>
      <c r="G1673" s="74" t="s">
        <v>2526</v>
      </c>
      <c r="H1673" s="181">
        <f>INDEX('Списки данных'!$D$2:$D$1048576,MATCH(База_КР_КК[[#This Row],[Структурное подразделение]],'Списки данных'!$C$2:$C$1048576,0))</f>
        <v>12</v>
      </c>
      <c r="I1673" s="80" t="s">
        <v>160</v>
      </c>
      <c r="J1673" s="80" t="s">
        <v>217</v>
      </c>
      <c r="K1673" s="80" t="s">
        <v>21</v>
      </c>
      <c r="L1673" s="30" t="s">
        <v>191</v>
      </c>
      <c r="M1673" s="68">
        <v>7</v>
      </c>
      <c r="N1673" s="181" t="str">
        <f t="shared" si="27"/>
        <v>нет</v>
      </c>
      <c r="O1673" s="23"/>
      <c r="P1673" s="23"/>
      <c r="Q1673" s="106"/>
      <c r="R1673" s="37">
        <v>357</v>
      </c>
      <c r="S1673" s="39" t="s">
        <v>769</v>
      </c>
      <c r="T1673" s="37">
        <v>1460</v>
      </c>
      <c r="U1673" s="39" t="s">
        <v>1837</v>
      </c>
      <c r="V1673" s="69" t="s">
        <v>272</v>
      </c>
      <c r="W1673" s="89" t="s">
        <v>160</v>
      </c>
      <c r="X1673" s="106" t="s">
        <v>296</v>
      </c>
      <c r="Y1673" s="107" t="s">
        <v>12</v>
      </c>
      <c r="Z1673" s="67">
        <f>IF(База_КР_КК[[#This Row],[Таб.номер резервиста]]="-","-",IF(OR(База_КР_КК[[#This Row],[Уровень КК]]=2,База_КР_КК[[#This Row],[Уровень КК]]=3),IF(COUNTIFS($U$2:$U1673,$U1673,$F$2:$F1673,$F1673)=1,1,0),IF(COUNTIFS($U$2:$U1673,$U1673,$L$2:$L1673,$L1673)=1,1,0)))</f>
        <v>1</v>
      </c>
      <c r="AA16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3" s="106"/>
      <c r="AC1673" s="51"/>
      <c r="AD1673" s="106" t="s">
        <v>15</v>
      </c>
      <c r="AE1673" s="40" t="s">
        <v>344</v>
      </c>
    </row>
    <row r="1674" spans="1:31" ht="18" customHeight="1" x14ac:dyDescent="0.25">
      <c r="A16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4" s="79">
        <v>4</v>
      </c>
      <c r="C1674" s="23">
        <v>44431</v>
      </c>
      <c r="D1674" s="67">
        <f>IF(COUNTIF($G$2:$G1674,$G1674)=1,1,0)</f>
        <v>1</v>
      </c>
      <c r="E1674" s="67" t="str">
        <f>IFERROR(VLOOKUP(База_КР_КК[[#This Row],[ИД штатной должности (S)]],'уровень защищенности'!$B$7:$F$1095,5,0),"не защищена")</f>
        <v>высокий</v>
      </c>
      <c r="F1674" s="68">
        <v>500202</v>
      </c>
      <c r="G1674" s="74" t="s">
        <v>2527</v>
      </c>
      <c r="H1674" s="181">
        <f>INDEX('Списки данных'!$D$2:$D$1048576,MATCH(База_КР_КК[[#This Row],[Структурное подразделение]],'Списки данных'!$C$2:$C$1048576,0))</f>
        <v>12</v>
      </c>
      <c r="I1674" s="80" t="s">
        <v>160</v>
      </c>
      <c r="J1674" s="80" t="s">
        <v>217</v>
      </c>
      <c r="K1674" s="80" t="s">
        <v>21</v>
      </c>
      <c r="L1674" s="30" t="s">
        <v>191</v>
      </c>
      <c r="M1674" s="68">
        <v>7</v>
      </c>
      <c r="N1674" s="181" t="str">
        <f t="shared" si="27"/>
        <v>нет</v>
      </c>
      <c r="O1674" s="23"/>
      <c r="P1674" s="23"/>
      <c r="Q1674" s="106"/>
      <c r="R1674" s="37">
        <v>358</v>
      </c>
      <c r="S1674" s="39" t="s">
        <v>770</v>
      </c>
      <c r="T1674" s="37">
        <v>1458</v>
      </c>
      <c r="U1674" s="39" t="s">
        <v>1835</v>
      </c>
      <c r="V1674" s="69" t="s">
        <v>272</v>
      </c>
      <c r="W1674" s="89" t="s">
        <v>160</v>
      </c>
      <c r="X1674" s="106" t="s">
        <v>295</v>
      </c>
      <c r="Y1674" s="107" t="s">
        <v>12</v>
      </c>
      <c r="Z1674" s="67">
        <f>IF(База_КР_КК[[#This Row],[Таб.номер резервиста]]="-","-",IF(OR(База_КР_КК[[#This Row],[Уровень КК]]=2,База_КР_КК[[#This Row],[Уровень КК]]=3),IF(COUNTIFS($U$2:$U1674,$U1674,$F$2:$F1674,$F1674)=1,1,0),IF(COUNTIFS($U$2:$U1674,$U1674,$L$2:$L1674,$L1674)=1,1,0)))</f>
        <v>0</v>
      </c>
      <c r="AA16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4" s="106"/>
      <c r="AC1674" s="51"/>
      <c r="AD1674" s="106" t="s">
        <v>17</v>
      </c>
      <c r="AE1674" s="40" t="s">
        <v>344</v>
      </c>
    </row>
    <row r="1675" spans="1:31" ht="18" customHeight="1" x14ac:dyDescent="0.25">
      <c r="A16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5" s="79">
        <v>4</v>
      </c>
      <c r="C1675" s="23">
        <v>44889</v>
      </c>
      <c r="D1675" s="67">
        <f>IF(COUNTIF($G$2:$G1675,$G1675)=1,1,0)</f>
        <v>0</v>
      </c>
      <c r="E1675" s="67" t="str">
        <f>IFERROR(VLOOKUP(База_КР_КК[[#This Row],[ИД штатной должности (S)]],'уровень защищенности'!$B$7:$F$1095,5,0),"не защищена")</f>
        <v>высокий</v>
      </c>
      <c r="F1675" s="68">
        <v>500202</v>
      </c>
      <c r="G1675" s="74" t="s">
        <v>2527</v>
      </c>
      <c r="H1675" s="181">
        <f>INDEX('Списки данных'!$D$2:$D$1048576,MATCH(База_КР_КК[[#This Row],[Структурное подразделение]],'Списки данных'!$C$2:$C$1048576,0))</f>
        <v>12</v>
      </c>
      <c r="I1675" s="80" t="s">
        <v>160</v>
      </c>
      <c r="J1675" s="80" t="s">
        <v>217</v>
      </c>
      <c r="K1675" s="80" t="s">
        <v>21</v>
      </c>
      <c r="L1675" s="30" t="s">
        <v>191</v>
      </c>
      <c r="M1675" s="68">
        <v>7</v>
      </c>
      <c r="N1675" s="181" t="str">
        <f t="shared" si="27"/>
        <v>нет</v>
      </c>
      <c r="O1675" s="23"/>
      <c r="P1675" s="23"/>
      <c r="Q1675" s="106"/>
      <c r="R1675" s="37">
        <v>358</v>
      </c>
      <c r="S1675" s="39" t="s">
        <v>770</v>
      </c>
      <c r="T1675" s="37">
        <v>1459</v>
      </c>
      <c r="U1675" s="39" t="s">
        <v>1836</v>
      </c>
      <c r="V1675" s="69" t="s">
        <v>272</v>
      </c>
      <c r="W1675" s="89" t="s">
        <v>160</v>
      </c>
      <c r="X1675" s="106" t="s">
        <v>297</v>
      </c>
      <c r="Y1675" s="107" t="s">
        <v>12</v>
      </c>
      <c r="Z1675" s="67">
        <f>IF(База_КР_КК[[#This Row],[Таб.номер резервиста]]="-","-",IF(OR(База_КР_КК[[#This Row],[Уровень КК]]=2,База_КР_КК[[#This Row],[Уровень КК]]=3),IF(COUNTIFS($U$2:$U1675,$U1675,$F$2:$F1675,$F1675)=1,1,0),IF(COUNTIFS($U$2:$U1675,$U1675,$L$2:$L1675,$L1675)=1,1,0)))</f>
        <v>0</v>
      </c>
      <c r="AA16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5" s="106"/>
      <c r="AC1675" s="51"/>
      <c r="AD1675" s="106" t="s">
        <v>15</v>
      </c>
      <c r="AE1675" s="40" t="s">
        <v>344</v>
      </c>
    </row>
    <row r="1676" spans="1:31" ht="18" customHeight="1" x14ac:dyDescent="0.25">
      <c r="A16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6" s="79">
        <v>4</v>
      </c>
      <c r="C1676" s="23">
        <v>44889</v>
      </c>
      <c r="D1676" s="67">
        <f>IF(COUNTIF($G$2:$G1676,$G1676)=1,1,0)</f>
        <v>0</v>
      </c>
      <c r="E1676" s="67" t="str">
        <f>IFERROR(VLOOKUP(База_КР_КК[[#This Row],[ИД штатной должности (S)]],'уровень защищенности'!$B$7:$F$1095,5,0),"не защищена")</f>
        <v>высокий</v>
      </c>
      <c r="F1676" s="68">
        <v>500202</v>
      </c>
      <c r="G1676" s="74" t="s">
        <v>2527</v>
      </c>
      <c r="H1676" s="181">
        <f>INDEX('Списки данных'!$D$2:$D$1048576,MATCH(База_КР_КК[[#This Row],[Структурное подразделение]],'Списки данных'!$C$2:$C$1048576,0))</f>
        <v>12</v>
      </c>
      <c r="I1676" s="80" t="s">
        <v>160</v>
      </c>
      <c r="J1676" s="80" t="s">
        <v>217</v>
      </c>
      <c r="K1676" s="80" t="s">
        <v>21</v>
      </c>
      <c r="L1676" s="30" t="s">
        <v>191</v>
      </c>
      <c r="M1676" s="68">
        <v>7</v>
      </c>
      <c r="N1676" s="181" t="str">
        <f t="shared" si="27"/>
        <v>нет</v>
      </c>
      <c r="O1676" s="23"/>
      <c r="P1676" s="23"/>
      <c r="Q1676" s="106"/>
      <c r="R1676" s="37">
        <v>358</v>
      </c>
      <c r="S1676" s="39" t="s">
        <v>770</v>
      </c>
      <c r="T1676" s="37">
        <v>1460</v>
      </c>
      <c r="U1676" s="39" t="s">
        <v>1837</v>
      </c>
      <c r="V1676" s="69" t="s">
        <v>272</v>
      </c>
      <c r="W1676" s="89" t="s">
        <v>160</v>
      </c>
      <c r="X1676" s="106" t="s">
        <v>296</v>
      </c>
      <c r="Y1676" s="107" t="s">
        <v>12</v>
      </c>
      <c r="Z1676" s="67">
        <f>IF(База_КР_КК[[#This Row],[Таб.номер резервиста]]="-","-",IF(OR(База_КР_КК[[#This Row],[Уровень КК]]=2,База_КР_КК[[#This Row],[Уровень КК]]=3),IF(COUNTIFS($U$2:$U1676,$U1676,$F$2:$F1676,$F1676)=1,1,0),IF(COUNTIFS($U$2:$U1676,$U1676,$L$2:$L1676,$L1676)=1,1,0)))</f>
        <v>0</v>
      </c>
      <c r="AA16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6" s="106"/>
      <c r="AC1676" s="51"/>
      <c r="AD1676" s="106" t="s">
        <v>15</v>
      </c>
      <c r="AE1676" s="40" t="s">
        <v>344</v>
      </c>
    </row>
    <row r="1677" spans="1:31" ht="18" customHeight="1" x14ac:dyDescent="0.25">
      <c r="A16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7" s="79">
        <v>4</v>
      </c>
      <c r="C1677" s="23">
        <v>44431</v>
      </c>
      <c r="D1677" s="67">
        <f>IF(COUNTIF($G$2:$G1677,$G1677)=1,1,0)</f>
        <v>1</v>
      </c>
      <c r="E1677" s="67" t="str">
        <f>IFERROR(VLOOKUP(База_КР_КК[[#This Row],[ИД штатной должности (S)]],'уровень защищенности'!$B$7:$F$1095,5,0),"не защищена")</f>
        <v>высокий</v>
      </c>
      <c r="F1677" s="68">
        <v>500202</v>
      </c>
      <c r="G1677" s="74" t="s">
        <v>2528</v>
      </c>
      <c r="H1677" s="181">
        <f>INDEX('Списки данных'!$D$2:$D$1048576,MATCH(База_КР_КК[[#This Row],[Структурное подразделение]],'Списки данных'!$C$2:$C$1048576,0))</f>
        <v>12</v>
      </c>
      <c r="I1677" s="80" t="s">
        <v>160</v>
      </c>
      <c r="J1677" s="80" t="s">
        <v>217</v>
      </c>
      <c r="K1677" s="80" t="s">
        <v>21</v>
      </c>
      <c r="L1677" s="30" t="s">
        <v>191</v>
      </c>
      <c r="M1677" s="68">
        <v>7</v>
      </c>
      <c r="N1677" s="181" t="str">
        <f t="shared" si="27"/>
        <v>нет</v>
      </c>
      <c r="O1677" s="23"/>
      <c r="P1677" s="23"/>
      <c r="Q1677" s="106"/>
      <c r="R1677" s="37">
        <v>359</v>
      </c>
      <c r="S1677" s="39" t="s">
        <v>771</v>
      </c>
      <c r="T1677" s="37">
        <v>1458</v>
      </c>
      <c r="U1677" s="39" t="s">
        <v>1835</v>
      </c>
      <c r="V1677" s="69" t="s">
        <v>272</v>
      </c>
      <c r="W1677" s="89" t="s">
        <v>160</v>
      </c>
      <c r="X1677" s="106" t="s">
        <v>295</v>
      </c>
      <c r="Y1677" s="107" t="s">
        <v>12</v>
      </c>
      <c r="Z1677" s="67">
        <f>IF(База_КР_КК[[#This Row],[Таб.номер резервиста]]="-","-",IF(OR(База_КР_КК[[#This Row],[Уровень КК]]=2,База_КР_КК[[#This Row],[Уровень КК]]=3),IF(COUNTIFS($U$2:$U1677,$U1677,$F$2:$F1677,$F1677)=1,1,0),IF(COUNTIFS($U$2:$U1677,$U1677,$L$2:$L1677,$L1677)=1,1,0)))</f>
        <v>0</v>
      </c>
      <c r="AA16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7" s="106"/>
      <c r="AC1677" s="51"/>
      <c r="AD1677" s="106" t="s">
        <v>17</v>
      </c>
      <c r="AE1677" s="40" t="s">
        <v>344</v>
      </c>
    </row>
    <row r="1678" spans="1:31" ht="18" customHeight="1" x14ac:dyDescent="0.25">
      <c r="A16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8" s="79">
        <v>4</v>
      </c>
      <c r="C1678" s="23">
        <v>44889</v>
      </c>
      <c r="D1678" s="67">
        <f>IF(COUNTIF($G$2:$G1678,$G1678)=1,1,0)</f>
        <v>0</v>
      </c>
      <c r="E1678" s="67" t="str">
        <f>IFERROR(VLOOKUP(База_КР_КК[[#This Row],[ИД штатной должности (S)]],'уровень защищенности'!$B$7:$F$1095,5,0),"не защищена")</f>
        <v>высокий</v>
      </c>
      <c r="F1678" s="68">
        <v>500202</v>
      </c>
      <c r="G1678" s="74" t="s">
        <v>2528</v>
      </c>
      <c r="H1678" s="181">
        <f>INDEX('Списки данных'!$D$2:$D$1048576,MATCH(База_КР_КК[[#This Row],[Структурное подразделение]],'Списки данных'!$C$2:$C$1048576,0))</f>
        <v>12</v>
      </c>
      <c r="I1678" s="80" t="s">
        <v>160</v>
      </c>
      <c r="J1678" s="80" t="s">
        <v>217</v>
      </c>
      <c r="K1678" s="80" t="s">
        <v>21</v>
      </c>
      <c r="L1678" s="30" t="s">
        <v>191</v>
      </c>
      <c r="M1678" s="68">
        <v>7</v>
      </c>
      <c r="N1678" s="181" t="str">
        <f t="shared" si="27"/>
        <v>нет</v>
      </c>
      <c r="O1678" s="23"/>
      <c r="P1678" s="23"/>
      <c r="Q1678" s="106"/>
      <c r="R1678" s="37">
        <v>359</v>
      </c>
      <c r="S1678" s="39" t="s">
        <v>771</v>
      </c>
      <c r="T1678" s="37">
        <v>1459</v>
      </c>
      <c r="U1678" s="39" t="s">
        <v>1836</v>
      </c>
      <c r="V1678" s="69" t="s">
        <v>272</v>
      </c>
      <c r="W1678" s="89" t="s">
        <v>160</v>
      </c>
      <c r="X1678" s="106" t="s">
        <v>297</v>
      </c>
      <c r="Y1678" s="107" t="s">
        <v>12</v>
      </c>
      <c r="Z1678" s="67">
        <f>IF(База_КР_КК[[#This Row],[Таб.номер резервиста]]="-","-",IF(OR(База_КР_КК[[#This Row],[Уровень КК]]=2,База_КР_КК[[#This Row],[Уровень КК]]=3),IF(COUNTIFS($U$2:$U1678,$U1678,$F$2:$F1678,$F1678)=1,1,0),IF(COUNTIFS($U$2:$U1678,$U1678,$L$2:$L1678,$L1678)=1,1,0)))</f>
        <v>0</v>
      </c>
      <c r="AA16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8" s="106"/>
      <c r="AC1678" s="51"/>
      <c r="AD1678" s="106" t="s">
        <v>15</v>
      </c>
      <c r="AE1678" s="40" t="s">
        <v>344</v>
      </c>
    </row>
    <row r="1679" spans="1:31" ht="18" customHeight="1" x14ac:dyDescent="0.25">
      <c r="A16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79" s="79">
        <v>4</v>
      </c>
      <c r="C1679" s="23">
        <v>44889</v>
      </c>
      <c r="D1679" s="67">
        <f>IF(COUNTIF($G$2:$G1679,$G1679)=1,1,0)</f>
        <v>0</v>
      </c>
      <c r="E1679" s="67" t="str">
        <f>IFERROR(VLOOKUP(База_КР_КК[[#This Row],[ИД штатной должности (S)]],'уровень защищенности'!$B$7:$F$1095,5,0),"не защищена")</f>
        <v>высокий</v>
      </c>
      <c r="F1679" s="68">
        <v>500202</v>
      </c>
      <c r="G1679" s="74" t="s">
        <v>2528</v>
      </c>
      <c r="H1679" s="181">
        <f>INDEX('Списки данных'!$D$2:$D$1048576,MATCH(База_КР_КК[[#This Row],[Структурное подразделение]],'Списки данных'!$C$2:$C$1048576,0))</f>
        <v>12</v>
      </c>
      <c r="I1679" s="80" t="s">
        <v>160</v>
      </c>
      <c r="J1679" s="80" t="s">
        <v>217</v>
      </c>
      <c r="K1679" s="80" t="s">
        <v>21</v>
      </c>
      <c r="L1679" s="30" t="s">
        <v>191</v>
      </c>
      <c r="M1679" s="68">
        <v>7</v>
      </c>
      <c r="N1679" s="181" t="str">
        <f t="shared" si="27"/>
        <v>нет</v>
      </c>
      <c r="O1679" s="23"/>
      <c r="P1679" s="23"/>
      <c r="Q1679" s="106"/>
      <c r="R1679" s="37">
        <v>359</v>
      </c>
      <c r="S1679" s="39" t="s">
        <v>771</v>
      </c>
      <c r="T1679" s="37">
        <v>1460</v>
      </c>
      <c r="U1679" s="39" t="s">
        <v>1837</v>
      </c>
      <c r="V1679" s="69" t="s">
        <v>272</v>
      </c>
      <c r="W1679" s="89" t="s">
        <v>160</v>
      </c>
      <c r="X1679" s="106" t="s">
        <v>296</v>
      </c>
      <c r="Y1679" s="107" t="s">
        <v>12</v>
      </c>
      <c r="Z1679" s="67">
        <f>IF(База_КР_КК[[#This Row],[Таб.номер резервиста]]="-","-",IF(OR(База_КР_КК[[#This Row],[Уровень КК]]=2,База_КР_КК[[#This Row],[Уровень КК]]=3),IF(COUNTIFS($U$2:$U1679,$U1679,$F$2:$F1679,$F1679)=1,1,0),IF(COUNTIFS($U$2:$U1679,$U1679,$L$2:$L1679,$L1679)=1,1,0)))</f>
        <v>0</v>
      </c>
      <c r="AA16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79" s="106"/>
      <c r="AC1679" s="51"/>
      <c r="AD1679" s="106" t="s">
        <v>15</v>
      </c>
      <c r="AE1679" s="40" t="s">
        <v>344</v>
      </c>
    </row>
    <row r="1680" spans="1:31" ht="18" customHeight="1" x14ac:dyDescent="0.25">
      <c r="A16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0" s="79">
        <v>4</v>
      </c>
      <c r="C1680" s="23">
        <v>44431</v>
      </c>
      <c r="D1680" s="67">
        <f>IF(COUNTIF($G$2:$G1680,$G1680)=1,1,0)</f>
        <v>1</v>
      </c>
      <c r="E1680" s="67" t="str">
        <f>IFERROR(VLOOKUP(База_КР_КК[[#This Row],[ИД штатной должности (S)]],'уровень защищенности'!$B$7:$F$1095,5,0),"не защищена")</f>
        <v>высокий</v>
      </c>
      <c r="F1680" s="68">
        <v>500202</v>
      </c>
      <c r="G1680" s="74" t="s">
        <v>2529</v>
      </c>
      <c r="H1680" s="181">
        <f>INDEX('Списки данных'!$D$2:$D$1048576,MATCH(База_КР_КК[[#This Row],[Структурное подразделение]],'Списки данных'!$C$2:$C$1048576,0))</f>
        <v>12</v>
      </c>
      <c r="I1680" s="80" t="s">
        <v>160</v>
      </c>
      <c r="J1680" s="80" t="s">
        <v>217</v>
      </c>
      <c r="K1680" s="80" t="s">
        <v>21</v>
      </c>
      <c r="L1680" s="30" t="s">
        <v>191</v>
      </c>
      <c r="M1680" s="68">
        <v>7</v>
      </c>
      <c r="N1680" s="181" t="str">
        <f t="shared" si="27"/>
        <v>нет</v>
      </c>
      <c r="O1680" s="23"/>
      <c r="P1680" s="23"/>
      <c r="Q1680" s="106"/>
      <c r="R1680" s="37">
        <v>360</v>
      </c>
      <c r="S1680" s="39" t="s">
        <v>772</v>
      </c>
      <c r="T1680" s="37">
        <v>1458</v>
      </c>
      <c r="U1680" s="39" t="s">
        <v>1835</v>
      </c>
      <c r="V1680" s="69" t="s">
        <v>272</v>
      </c>
      <c r="W1680" s="89" t="s">
        <v>160</v>
      </c>
      <c r="X1680" s="106" t="s">
        <v>295</v>
      </c>
      <c r="Y1680" s="107" t="s">
        <v>12</v>
      </c>
      <c r="Z1680" s="67">
        <f>IF(База_КР_КК[[#This Row],[Таб.номер резервиста]]="-","-",IF(OR(База_КР_КК[[#This Row],[Уровень КК]]=2,База_КР_КК[[#This Row],[Уровень КК]]=3),IF(COUNTIFS($U$2:$U1680,$U1680,$F$2:$F1680,$F1680)=1,1,0),IF(COUNTIFS($U$2:$U1680,$U1680,$L$2:$L1680,$L1680)=1,1,0)))</f>
        <v>0</v>
      </c>
      <c r="AA16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0" s="106"/>
      <c r="AC1680" s="51"/>
      <c r="AD1680" s="106" t="s">
        <v>17</v>
      </c>
      <c r="AE1680" s="40" t="s">
        <v>344</v>
      </c>
    </row>
    <row r="1681" spans="1:31" ht="18" customHeight="1" x14ac:dyDescent="0.25">
      <c r="A16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1" s="79">
        <v>4</v>
      </c>
      <c r="C1681" s="23">
        <v>44889</v>
      </c>
      <c r="D1681" s="67">
        <f>IF(COUNTIF($G$2:$G1681,$G1681)=1,1,0)</f>
        <v>0</v>
      </c>
      <c r="E1681" s="67" t="str">
        <f>IFERROR(VLOOKUP(База_КР_КК[[#This Row],[ИД штатной должности (S)]],'уровень защищенности'!$B$7:$F$1095,5,0),"не защищена")</f>
        <v>высокий</v>
      </c>
      <c r="F1681" s="68">
        <v>500202</v>
      </c>
      <c r="G1681" s="74" t="s">
        <v>2529</v>
      </c>
      <c r="H1681" s="181">
        <f>INDEX('Списки данных'!$D$2:$D$1048576,MATCH(База_КР_КК[[#This Row],[Структурное подразделение]],'Списки данных'!$C$2:$C$1048576,0))</f>
        <v>12</v>
      </c>
      <c r="I1681" s="80" t="s">
        <v>160</v>
      </c>
      <c r="J1681" s="80" t="s">
        <v>217</v>
      </c>
      <c r="K1681" s="80" t="s">
        <v>21</v>
      </c>
      <c r="L1681" s="30" t="s">
        <v>191</v>
      </c>
      <c r="M1681" s="68">
        <v>7</v>
      </c>
      <c r="N1681" s="181" t="str">
        <f t="shared" si="27"/>
        <v>нет</v>
      </c>
      <c r="O1681" s="23"/>
      <c r="P1681" s="23"/>
      <c r="Q1681" s="106"/>
      <c r="R1681" s="37">
        <v>360</v>
      </c>
      <c r="S1681" s="39" t="s">
        <v>772</v>
      </c>
      <c r="T1681" s="37">
        <v>1459</v>
      </c>
      <c r="U1681" s="39" t="s">
        <v>1836</v>
      </c>
      <c r="V1681" s="69" t="s">
        <v>272</v>
      </c>
      <c r="W1681" s="89" t="s">
        <v>160</v>
      </c>
      <c r="X1681" s="106" t="s">
        <v>297</v>
      </c>
      <c r="Y1681" s="107" t="s">
        <v>12</v>
      </c>
      <c r="Z1681" s="67">
        <f>IF(База_КР_КК[[#This Row],[Таб.номер резервиста]]="-","-",IF(OR(База_КР_КК[[#This Row],[Уровень КК]]=2,База_КР_КК[[#This Row],[Уровень КК]]=3),IF(COUNTIFS($U$2:$U1681,$U1681,$F$2:$F1681,$F1681)=1,1,0),IF(COUNTIFS($U$2:$U1681,$U1681,$L$2:$L1681,$L1681)=1,1,0)))</f>
        <v>0</v>
      </c>
      <c r="AA16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1" s="106"/>
      <c r="AC1681" s="51"/>
      <c r="AD1681" s="106" t="s">
        <v>15</v>
      </c>
      <c r="AE1681" s="40" t="s">
        <v>344</v>
      </c>
    </row>
    <row r="1682" spans="1:31" ht="18" customHeight="1" x14ac:dyDescent="0.25">
      <c r="A16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2" s="79">
        <v>4</v>
      </c>
      <c r="C1682" s="23">
        <v>44889</v>
      </c>
      <c r="D1682" s="67">
        <f>IF(COUNTIF($G$2:$G1682,$G1682)=1,1,0)</f>
        <v>0</v>
      </c>
      <c r="E1682" s="67" t="str">
        <f>IFERROR(VLOOKUP(База_КР_КК[[#This Row],[ИД штатной должности (S)]],'уровень защищенности'!$B$7:$F$1095,5,0),"не защищена")</f>
        <v>высокий</v>
      </c>
      <c r="F1682" s="68">
        <v>500202</v>
      </c>
      <c r="G1682" s="74" t="s">
        <v>2529</v>
      </c>
      <c r="H1682" s="181">
        <f>INDEX('Списки данных'!$D$2:$D$1048576,MATCH(База_КР_КК[[#This Row],[Структурное подразделение]],'Списки данных'!$C$2:$C$1048576,0))</f>
        <v>12</v>
      </c>
      <c r="I1682" s="80" t="s">
        <v>160</v>
      </c>
      <c r="J1682" s="80" t="s">
        <v>217</v>
      </c>
      <c r="K1682" s="80" t="s">
        <v>21</v>
      </c>
      <c r="L1682" s="30" t="s">
        <v>191</v>
      </c>
      <c r="M1682" s="68">
        <v>7</v>
      </c>
      <c r="N1682" s="181" t="str">
        <f t="shared" si="27"/>
        <v>нет</v>
      </c>
      <c r="O1682" s="23"/>
      <c r="P1682" s="23"/>
      <c r="Q1682" s="106"/>
      <c r="R1682" s="37">
        <v>360</v>
      </c>
      <c r="S1682" s="39" t="s">
        <v>772</v>
      </c>
      <c r="T1682" s="37">
        <v>1460</v>
      </c>
      <c r="U1682" s="39" t="s">
        <v>1837</v>
      </c>
      <c r="V1682" s="69" t="s">
        <v>272</v>
      </c>
      <c r="W1682" s="89" t="s">
        <v>160</v>
      </c>
      <c r="X1682" s="106" t="s">
        <v>296</v>
      </c>
      <c r="Y1682" s="107" t="s">
        <v>12</v>
      </c>
      <c r="Z1682" s="67">
        <f>IF(База_КР_КК[[#This Row],[Таб.номер резервиста]]="-","-",IF(OR(База_КР_КК[[#This Row],[Уровень КК]]=2,База_КР_КК[[#This Row],[Уровень КК]]=3),IF(COUNTIFS($U$2:$U1682,$U1682,$F$2:$F1682,$F1682)=1,1,0),IF(COUNTIFS($U$2:$U1682,$U1682,$L$2:$L1682,$L1682)=1,1,0)))</f>
        <v>0</v>
      </c>
      <c r="AA16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2" s="106"/>
      <c r="AC1682" s="51"/>
      <c r="AD1682" s="106" t="s">
        <v>15</v>
      </c>
      <c r="AE1682" s="40" t="s">
        <v>344</v>
      </c>
    </row>
    <row r="1683" spans="1:31" ht="18" customHeight="1" x14ac:dyDescent="0.25">
      <c r="A16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3" s="79">
        <v>4</v>
      </c>
      <c r="C1683" s="23">
        <v>44431</v>
      </c>
      <c r="D1683" s="67">
        <f>IF(COUNTIF($G$2:$G1683,$G1683)=1,1,0)</f>
        <v>1</v>
      </c>
      <c r="E1683" s="67" t="str">
        <f>IFERROR(VLOOKUP(База_КР_КК[[#This Row],[ИД штатной должности (S)]],'уровень защищенности'!$B$7:$F$1095,5,0),"не защищена")</f>
        <v>высокий</v>
      </c>
      <c r="F1683" s="68">
        <v>500203</v>
      </c>
      <c r="G1683" s="74" t="s">
        <v>2530</v>
      </c>
      <c r="H1683" s="181">
        <f>INDEX('Списки данных'!$D$2:$D$1048576,MATCH(База_КР_КК[[#This Row],[Структурное подразделение]],'Списки данных'!$C$2:$C$1048576,0))</f>
        <v>12</v>
      </c>
      <c r="I1683" s="80" t="s">
        <v>160</v>
      </c>
      <c r="J1683" s="80" t="s">
        <v>217</v>
      </c>
      <c r="K1683" s="80" t="s">
        <v>218</v>
      </c>
      <c r="L1683" s="30" t="s">
        <v>192</v>
      </c>
      <c r="M1683" s="68">
        <v>7</v>
      </c>
      <c r="N1683" s="181" t="str">
        <f t="shared" si="27"/>
        <v>нет</v>
      </c>
      <c r="O1683" s="23"/>
      <c r="P1683" s="23"/>
      <c r="Q1683" s="106"/>
      <c r="R1683" s="37">
        <v>361</v>
      </c>
      <c r="S1683" s="38" t="s">
        <v>773</v>
      </c>
      <c r="T1683" s="37">
        <v>1461</v>
      </c>
      <c r="U1683" s="39" t="s">
        <v>1838</v>
      </c>
      <c r="V1683" s="69" t="s">
        <v>272</v>
      </c>
      <c r="W1683" s="89" t="s">
        <v>160</v>
      </c>
      <c r="X1683" s="106" t="s">
        <v>295</v>
      </c>
      <c r="Y1683" s="107" t="s">
        <v>12</v>
      </c>
      <c r="Z1683" s="67">
        <f>IF(База_КР_КК[[#This Row],[Таб.номер резервиста]]="-","-",IF(OR(База_КР_КК[[#This Row],[Уровень КК]]=2,База_КР_КК[[#This Row],[Уровень КК]]=3),IF(COUNTIFS($U$2:$U1683,$U1683,$F$2:$F1683,$F1683)=1,1,0),IF(COUNTIFS($U$2:$U1683,$U1683,$L$2:$L1683,$L1683)=1,1,0)))</f>
        <v>1</v>
      </c>
      <c r="AA16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3" s="106"/>
      <c r="AC1683" s="51"/>
      <c r="AD1683" s="106" t="s">
        <v>17</v>
      </c>
      <c r="AE1683" s="40" t="s">
        <v>344</v>
      </c>
    </row>
    <row r="1684" spans="1:31" ht="18" customHeight="1" x14ac:dyDescent="0.25">
      <c r="A16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4" s="79">
        <v>4</v>
      </c>
      <c r="C1684" s="23">
        <v>44431</v>
      </c>
      <c r="D1684" s="67">
        <f>IF(COUNTIF($G$2:$G1684,$G1684)=1,1,0)</f>
        <v>0</v>
      </c>
      <c r="E1684" s="67" t="str">
        <f>IFERROR(VLOOKUP(База_КР_КК[[#This Row],[ИД штатной должности (S)]],'уровень защищенности'!$B$7:$F$1095,5,0),"не защищена")</f>
        <v>высокий</v>
      </c>
      <c r="F1684" s="68">
        <v>500203</v>
      </c>
      <c r="G1684" s="74" t="s">
        <v>2530</v>
      </c>
      <c r="H1684" s="181">
        <f>INDEX('Списки данных'!$D$2:$D$1048576,MATCH(База_КР_КК[[#This Row],[Структурное подразделение]],'Списки данных'!$C$2:$C$1048576,0))</f>
        <v>12</v>
      </c>
      <c r="I1684" s="80" t="s">
        <v>160</v>
      </c>
      <c r="J1684" s="80" t="s">
        <v>217</v>
      </c>
      <c r="K1684" s="80" t="s">
        <v>218</v>
      </c>
      <c r="L1684" s="30" t="s">
        <v>192</v>
      </c>
      <c r="M1684" s="68">
        <v>7</v>
      </c>
      <c r="N1684" s="181" t="str">
        <f t="shared" si="27"/>
        <v>нет</v>
      </c>
      <c r="O1684" s="23"/>
      <c r="P1684" s="23"/>
      <c r="Q1684" s="106"/>
      <c r="R1684" s="37">
        <v>361</v>
      </c>
      <c r="S1684" s="38" t="s">
        <v>773</v>
      </c>
      <c r="T1684" s="37">
        <v>1462</v>
      </c>
      <c r="U1684" s="39" t="s">
        <v>1839</v>
      </c>
      <c r="V1684" s="69" t="s">
        <v>272</v>
      </c>
      <c r="W1684" s="89" t="s">
        <v>160</v>
      </c>
      <c r="X1684" s="106" t="s">
        <v>296</v>
      </c>
      <c r="Y1684" s="107" t="s">
        <v>12</v>
      </c>
      <c r="Z1684" s="67">
        <f>IF(База_КР_КК[[#This Row],[Таб.номер резервиста]]="-","-",IF(OR(База_КР_КК[[#This Row],[Уровень КК]]=2,База_КР_КК[[#This Row],[Уровень КК]]=3),IF(COUNTIFS($U$2:$U1684,$U1684,$F$2:$F1684,$F1684)=1,1,0),IF(COUNTIFS($U$2:$U1684,$U1684,$L$2:$L1684,$L1684)=1,1,0)))</f>
        <v>1</v>
      </c>
      <c r="AA16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4" s="106"/>
      <c r="AC1684" s="51"/>
      <c r="AD1684" s="106" t="s">
        <v>15</v>
      </c>
      <c r="AE1684" s="38" t="s">
        <v>350</v>
      </c>
    </row>
    <row r="1685" spans="1:31" ht="18" customHeight="1" x14ac:dyDescent="0.25">
      <c r="A16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5" s="79">
        <v>4</v>
      </c>
      <c r="C1685" s="23">
        <v>44431</v>
      </c>
      <c r="D1685" s="67">
        <f>IF(COUNTIF($G$2:$G1685,$G1685)=1,1,0)</f>
        <v>0</v>
      </c>
      <c r="E1685" s="67" t="str">
        <f>IFERROR(VLOOKUP(База_КР_КК[[#This Row],[ИД штатной должности (S)]],'уровень защищенности'!$B$7:$F$1095,5,0),"не защищена")</f>
        <v>высокий</v>
      </c>
      <c r="F1685" s="68">
        <v>500203</v>
      </c>
      <c r="G1685" s="74" t="s">
        <v>2530</v>
      </c>
      <c r="H1685" s="181">
        <f>INDEX('Списки данных'!$D$2:$D$1048576,MATCH(База_КР_КК[[#This Row],[Структурное подразделение]],'Списки данных'!$C$2:$C$1048576,0))</f>
        <v>12</v>
      </c>
      <c r="I1685" s="80" t="s">
        <v>160</v>
      </c>
      <c r="J1685" s="80" t="s">
        <v>217</v>
      </c>
      <c r="K1685" s="80" t="s">
        <v>218</v>
      </c>
      <c r="L1685" s="30" t="s">
        <v>192</v>
      </c>
      <c r="M1685" s="68">
        <v>7</v>
      </c>
      <c r="N1685" s="181" t="str">
        <f t="shared" si="27"/>
        <v>нет</v>
      </c>
      <c r="O1685" s="23"/>
      <c r="P1685" s="23"/>
      <c r="Q1685" s="106"/>
      <c r="R1685" s="37">
        <v>361</v>
      </c>
      <c r="S1685" s="38" t="s">
        <v>773</v>
      </c>
      <c r="T1685" s="37">
        <v>1463</v>
      </c>
      <c r="U1685" s="39" t="s">
        <v>1840</v>
      </c>
      <c r="V1685" s="69" t="s">
        <v>272</v>
      </c>
      <c r="W1685" s="89" t="s">
        <v>160</v>
      </c>
      <c r="X1685" s="106" t="s">
        <v>295</v>
      </c>
      <c r="Y1685" s="107" t="s">
        <v>12</v>
      </c>
      <c r="Z1685" s="67">
        <f>IF(База_КР_КК[[#This Row],[Таб.номер резервиста]]="-","-",IF(OR(База_КР_КК[[#This Row],[Уровень КК]]=2,База_КР_КК[[#This Row],[Уровень КК]]=3),IF(COUNTIFS($U$2:$U1685,$U1685,$F$2:$F1685,$F1685)=1,1,0),IF(COUNTIFS($U$2:$U1685,$U1685,$L$2:$L1685,$L1685)=1,1,0)))</f>
        <v>1</v>
      </c>
      <c r="AA16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5" s="106"/>
      <c r="AC1685" s="51"/>
      <c r="AD1685" s="106" t="s">
        <v>17</v>
      </c>
      <c r="AE1685" s="40" t="s">
        <v>344</v>
      </c>
    </row>
    <row r="1686" spans="1:31" ht="18" customHeight="1" x14ac:dyDescent="0.25">
      <c r="A16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6" s="79">
        <v>4</v>
      </c>
      <c r="C1686" s="23">
        <v>44889</v>
      </c>
      <c r="D1686" s="67">
        <f>IF(COUNTIF($G$2:$G1686,$G1686)=1,1,0)</f>
        <v>1</v>
      </c>
      <c r="E1686" s="67" t="str">
        <f>IFERROR(VLOOKUP(База_КР_КК[[#This Row],[ИД штатной должности (S)]],'уровень защищенности'!$B$7:$F$1095,5,0),"не защищена")</f>
        <v>высокий</v>
      </c>
      <c r="F1686" s="68">
        <v>500204</v>
      </c>
      <c r="G1686" s="74" t="s">
        <v>2531</v>
      </c>
      <c r="H1686" s="181">
        <f>INDEX('Списки данных'!$D$2:$D$1048576,MATCH(База_КР_КК[[#This Row],[Структурное подразделение]],'Списки данных'!$C$2:$C$1048576,0))</f>
        <v>12</v>
      </c>
      <c r="I1686" s="80" t="s">
        <v>160</v>
      </c>
      <c r="J1686" s="80" t="s">
        <v>217</v>
      </c>
      <c r="K1686" s="80" t="s">
        <v>218</v>
      </c>
      <c r="L1686" s="30" t="s">
        <v>192</v>
      </c>
      <c r="M1686" s="68">
        <v>7</v>
      </c>
      <c r="N1686" s="181" t="str">
        <f t="shared" si="27"/>
        <v>нет</v>
      </c>
      <c r="O1686" s="23"/>
      <c r="P1686" s="23"/>
      <c r="Q1686" s="106"/>
      <c r="R1686" s="37">
        <v>362</v>
      </c>
      <c r="S1686" s="38" t="s">
        <v>774</v>
      </c>
      <c r="T1686" s="37">
        <v>1464</v>
      </c>
      <c r="U1686" s="39" t="s">
        <v>1737</v>
      </c>
      <c r="V1686" s="69" t="s">
        <v>272</v>
      </c>
      <c r="W1686" s="89" t="s">
        <v>160</v>
      </c>
      <c r="X1686" s="106" t="s">
        <v>295</v>
      </c>
      <c r="Y1686" s="107" t="s">
        <v>12</v>
      </c>
      <c r="Z1686" s="67">
        <f>IF(База_КР_КК[[#This Row],[Таб.номер резервиста]]="-","-",IF(OR(База_КР_КК[[#This Row],[Уровень КК]]=2,База_КР_КК[[#This Row],[Уровень КК]]=3),IF(COUNTIFS($U$2:$U1686,$U1686,$F$2:$F1686,$F1686)=1,1,0),IF(COUNTIFS($U$2:$U1686,$U1686,$L$2:$L1686,$L1686)=1,1,0)))</f>
        <v>0</v>
      </c>
      <c r="AA16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6" s="106"/>
      <c r="AC1686" s="51"/>
      <c r="AD1686" s="106" t="s">
        <v>15</v>
      </c>
      <c r="AE1686" s="40" t="s">
        <v>344</v>
      </c>
    </row>
    <row r="1687" spans="1:31" ht="18" customHeight="1" x14ac:dyDescent="0.25">
      <c r="A16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7" s="79">
        <v>3</v>
      </c>
      <c r="C1687" s="23">
        <v>43425</v>
      </c>
      <c r="D1687" s="67">
        <f>IF(COUNTIF($G$2:$G1687,$G1687)=1,1,0)</f>
        <v>1</v>
      </c>
      <c r="E1687" s="67" t="str">
        <f>IFERROR(VLOOKUP(База_КР_КК[[#This Row],[ИД штатной должности (S)]],'уровень защищенности'!$B$7:$F$1095,5,0),"не защищена")</f>
        <v>высокий</v>
      </c>
      <c r="F1687" s="68">
        <v>500205</v>
      </c>
      <c r="G1687" s="74" t="s">
        <v>2532</v>
      </c>
      <c r="H1687" s="181">
        <f>INDEX('Списки данных'!$D$2:$D$1048576,MATCH(База_КР_КК[[#This Row],[Структурное подразделение]],'Списки данных'!$C$2:$C$1048576,0))</f>
        <v>12</v>
      </c>
      <c r="I1687" s="80" t="s">
        <v>160</v>
      </c>
      <c r="J1687" s="80" t="s">
        <v>217</v>
      </c>
      <c r="K1687" s="80" t="s">
        <v>21</v>
      </c>
      <c r="L1687" s="30" t="s">
        <v>198</v>
      </c>
      <c r="M1687" s="68">
        <v>5</v>
      </c>
      <c r="N1687" s="181" t="str">
        <f t="shared" si="27"/>
        <v>нет</v>
      </c>
      <c r="O1687" s="23"/>
      <c r="P1687" s="23"/>
      <c r="Q1687" s="106"/>
      <c r="R1687" s="37">
        <v>363</v>
      </c>
      <c r="S1687" s="38" t="s">
        <v>775</v>
      </c>
      <c r="T1687" s="37">
        <v>1437</v>
      </c>
      <c r="U1687" s="39" t="s">
        <v>1817</v>
      </c>
      <c r="V1687" s="89" t="s">
        <v>189</v>
      </c>
      <c r="W1687" s="89" t="s">
        <v>160</v>
      </c>
      <c r="X1687" s="106" t="s">
        <v>295</v>
      </c>
      <c r="Y1687" s="107" t="s">
        <v>12</v>
      </c>
      <c r="Z1687" s="67">
        <f>IF(База_КР_КК[[#This Row],[Таб.номер резервиста]]="-","-",IF(OR(База_КР_КК[[#This Row],[Уровень КК]]=2,База_КР_КК[[#This Row],[Уровень КК]]=3),IF(COUNTIFS($U$2:$U1687,$U1687,$F$2:$F1687,$F1687)=1,1,0),IF(COUNTIFS($U$2:$U1687,$U1687,$L$2:$L1687,$L1687)=1,1,0)))</f>
        <v>1</v>
      </c>
      <c r="AA16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7" s="106"/>
      <c r="AC1687" s="51"/>
      <c r="AD1687" s="106" t="s">
        <v>13</v>
      </c>
      <c r="AE1687" s="38" t="s">
        <v>345</v>
      </c>
    </row>
    <row r="1688" spans="1:31" ht="18" customHeight="1" x14ac:dyDescent="0.25">
      <c r="A16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8" s="79">
        <v>3</v>
      </c>
      <c r="C1688" s="23">
        <v>43425</v>
      </c>
      <c r="D1688" s="67">
        <f>IF(COUNTIF($G$2:$G1688,$G1688)=1,1,0)</f>
        <v>0</v>
      </c>
      <c r="E1688" s="67" t="str">
        <f>IFERROR(VLOOKUP(База_КР_КК[[#This Row],[ИД штатной должности (S)]],'уровень защищенности'!$B$7:$F$1095,5,0),"не защищена")</f>
        <v>высокий</v>
      </c>
      <c r="F1688" s="68">
        <v>500205</v>
      </c>
      <c r="G1688" s="74" t="s">
        <v>2532</v>
      </c>
      <c r="H1688" s="181">
        <f>INDEX('Списки данных'!$D$2:$D$1048576,MATCH(База_КР_КК[[#This Row],[Структурное подразделение]],'Списки данных'!$C$2:$C$1048576,0))</f>
        <v>12</v>
      </c>
      <c r="I1688" s="80" t="s">
        <v>160</v>
      </c>
      <c r="J1688" s="80" t="s">
        <v>217</v>
      </c>
      <c r="K1688" s="80" t="s">
        <v>21</v>
      </c>
      <c r="L1688" s="30" t="s">
        <v>198</v>
      </c>
      <c r="M1688" s="68">
        <v>5</v>
      </c>
      <c r="N1688" s="181" t="str">
        <f t="shared" si="27"/>
        <v>нет</v>
      </c>
      <c r="O1688" s="23"/>
      <c r="P1688" s="23"/>
      <c r="Q1688" s="106"/>
      <c r="R1688" s="37">
        <v>363</v>
      </c>
      <c r="S1688" s="38" t="s">
        <v>775</v>
      </c>
      <c r="T1688" s="37">
        <v>369</v>
      </c>
      <c r="U1688" s="39" t="s">
        <v>781</v>
      </c>
      <c r="V1688" s="89" t="s">
        <v>192</v>
      </c>
      <c r="W1688" s="89" t="s">
        <v>160</v>
      </c>
      <c r="X1688" s="106" t="s">
        <v>295</v>
      </c>
      <c r="Y1688" s="107" t="s">
        <v>12</v>
      </c>
      <c r="Z1688" s="67">
        <f>IF(База_КР_КК[[#This Row],[Таб.номер резервиста]]="-","-",IF(OR(База_КР_КК[[#This Row],[Уровень КК]]=2,База_КР_КК[[#This Row],[Уровень КК]]=3),IF(COUNTIFS($U$2:$U1688,$U1688,$F$2:$F1688,$F1688)=1,1,0),IF(COUNTIFS($U$2:$U1688,$U1688,$L$2:$L1688,$L1688)=1,1,0)))</f>
        <v>1</v>
      </c>
      <c r="AA16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8" s="106"/>
      <c r="AC1688" s="51"/>
      <c r="AD1688" s="106" t="s">
        <v>13</v>
      </c>
      <c r="AE1688" s="38" t="s">
        <v>345</v>
      </c>
    </row>
    <row r="1689" spans="1:31" ht="18" customHeight="1" x14ac:dyDescent="0.25">
      <c r="A16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89" s="79">
        <v>3</v>
      </c>
      <c r="C1689" s="23">
        <v>43425</v>
      </c>
      <c r="D1689" s="67">
        <f>IF(COUNTIF($G$2:$G1689,$G1689)=1,1,0)</f>
        <v>0</v>
      </c>
      <c r="E1689" s="67" t="str">
        <f>IFERROR(VLOOKUP(База_КР_КК[[#This Row],[ИД штатной должности (S)]],'уровень защищенности'!$B$7:$F$1095,5,0),"не защищена")</f>
        <v>высокий</v>
      </c>
      <c r="F1689" s="68">
        <v>500205</v>
      </c>
      <c r="G1689" s="74" t="s">
        <v>2532</v>
      </c>
      <c r="H1689" s="181">
        <f>INDEX('Списки данных'!$D$2:$D$1048576,MATCH(База_КР_КК[[#This Row],[Структурное подразделение]],'Списки данных'!$C$2:$C$1048576,0))</f>
        <v>12</v>
      </c>
      <c r="I1689" s="80" t="s">
        <v>160</v>
      </c>
      <c r="J1689" s="80" t="s">
        <v>217</v>
      </c>
      <c r="K1689" s="80" t="s">
        <v>21</v>
      </c>
      <c r="L1689" s="30" t="s">
        <v>198</v>
      </c>
      <c r="M1689" s="68">
        <v>5</v>
      </c>
      <c r="N1689" s="181" t="str">
        <f t="shared" si="27"/>
        <v>нет</v>
      </c>
      <c r="O1689" s="23"/>
      <c r="P1689" s="23"/>
      <c r="Q1689" s="106"/>
      <c r="R1689" s="37">
        <v>363</v>
      </c>
      <c r="S1689" s="38" t="s">
        <v>775</v>
      </c>
      <c r="T1689" s="37">
        <v>1466</v>
      </c>
      <c r="U1689" s="39" t="s">
        <v>1591</v>
      </c>
      <c r="V1689" s="89" t="s">
        <v>16</v>
      </c>
      <c r="W1689" s="89" t="s">
        <v>160</v>
      </c>
      <c r="X1689" s="106" t="s">
        <v>295</v>
      </c>
      <c r="Y1689" s="107" t="s">
        <v>12</v>
      </c>
      <c r="Z1689" s="67">
        <f>IF(База_КР_КК[[#This Row],[Таб.номер резервиста]]="-","-",IF(OR(База_КР_КК[[#This Row],[Уровень КК]]=2,База_КР_КК[[#This Row],[Уровень КК]]=3),IF(COUNTIFS($U$2:$U1689,$U1689,$F$2:$F1689,$F1689)=1,1,0),IF(COUNTIFS($U$2:$U1689,$U1689,$L$2:$L1689,$L1689)=1,1,0)))</f>
        <v>1</v>
      </c>
      <c r="AA16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89" s="106"/>
      <c r="AC1689" s="51"/>
      <c r="AD1689" s="106" t="s">
        <v>17</v>
      </c>
      <c r="AE1689" s="38" t="s">
        <v>345</v>
      </c>
    </row>
    <row r="1690" spans="1:31" ht="18" customHeight="1" x14ac:dyDescent="0.25">
      <c r="A16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0" s="79">
        <v>3</v>
      </c>
      <c r="C1690" s="23">
        <v>44707</v>
      </c>
      <c r="D1690" s="67">
        <f>IF(COUNTIF($G$2:$G1690,$G1690)=1,1,0)</f>
        <v>0</v>
      </c>
      <c r="E1690" s="67" t="str">
        <f>IFERROR(VLOOKUP(База_КР_КК[[#This Row],[ИД штатной должности (S)]],'уровень защищенности'!$B$7:$F$1095,5,0),"не защищена")</f>
        <v>высокий</v>
      </c>
      <c r="F1690" s="68">
        <v>500205</v>
      </c>
      <c r="G1690" s="74" t="s">
        <v>2532</v>
      </c>
      <c r="H1690" s="181">
        <f>INDEX('Списки данных'!$D$2:$D$1048576,MATCH(База_КР_КК[[#This Row],[Структурное подразделение]],'Списки данных'!$C$2:$C$1048576,0))</f>
        <v>12</v>
      </c>
      <c r="I1690" s="80" t="s">
        <v>160</v>
      </c>
      <c r="J1690" s="80" t="s">
        <v>217</v>
      </c>
      <c r="K1690" s="80" t="s">
        <v>21</v>
      </c>
      <c r="L1690" s="30" t="s">
        <v>198</v>
      </c>
      <c r="M1690" s="68">
        <v>5</v>
      </c>
      <c r="N1690" s="181" t="str">
        <f t="shared" si="27"/>
        <v>нет</v>
      </c>
      <c r="O1690" s="23"/>
      <c r="P1690" s="23"/>
      <c r="Q1690" s="106"/>
      <c r="R1690" s="37">
        <v>363</v>
      </c>
      <c r="S1690" s="38" t="s">
        <v>775</v>
      </c>
      <c r="T1690" s="37">
        <v>1467</v>
      </c>
      <c r="U1690" s="42" t="s">
        <v>1740</v>
      </c>
      <c r="V1690" s="89" t="s">
        <v>200</v>
      </c>
      <c r="W1690" s="89" t="s">
        <v>283</v>
      </c>
      <c r="X1690" s="106" t="s">
        <v>296</v>
      </c>
      <c r="Y1690" s="107" t="s">
        <v>12</v>
      </c>
      <c r="Z1690" s="67">
        <f>IF(База_КР_КК[[#This Row],[Таб.номер резервиста]]="-","-",IF(OR(База_КР_КК[[#This Row],[Уровень КК]]=2,База_КР_КК[[#This Row],[Уровень КК]]=3),IF(COUNTIFS($U$2:$U1690,$U1690,$F$2:$F1690,$F1690)=1,1,0),IF(COUNTIFS($U$2:$U1690,$U1690,$L$2:$L1690,$L1690)=1,1,0)))</f>
        <v>1</v>
      </c>
      <c r="AA16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90" s="106"/>
      <c r="AC1690" s="51"/>
      <c r="AD1690" s="106" t="s">
        <v>15</v>
      </c>
      <c r="AE1690" s="38" t="s">
        <v>345</v>
      </c>
    </row>
    <row r="1691" spans="1:31" ht="18" customHeight="1" x14ac:dyDescent="0.25">
      <c r="A16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1" s="79">
        <v>4</v>
      </c>
      <c r="C1691" s="23">
        <v>44431</v>
      </c>
      <c r="D1691" s="67">
        <f>IF(COUNTIF($G$2:$G1691,$G1691)=1,1,0)</f>
        <v>1</v>
      </c>
      <c r="E1691" s="67" t="str">
        <f>IFERROR(VLOOKUP(База_КР_КК[[#This Row],[ИД штатной должности (S)]],'уровень защищенности'!$B$7:$F$1095,5,0),"не защищена")</f>
        <v>не защищена</v>
      </c>
      <c r="F1691" s="68">
        <v>500206</v>
      </c>
      <c r="G1691" s="74" t="s">
        <v>2533</v>
      </c>
      <c r="H1691" s="181">
        <f>INDEX('Списки данных'!$D$2:$D$1048576,MATCH(База_КР_КК[[#This Row],[Структурное подразделение]],'Списки данных'!$C$2:$C$1048576,0))</f>
        <v>12</v>
      </c>
      <c r="I1691" s="80" t="s">
        <v>160</v>
      </c>
      <c r="J1691" s="80" t="s">
        <v>217</v>
      </c>
      <c r="K1691" s="80" t="s">
        <v>21</v>
      </c>
      <c r="L1691" s="30" t="s">
        <v>191</v>
      </c>
      <c r="M1691" s="68">
        <v>7</v>
      </c>
      <c r="N1691" s="181" t="str">
        <f t="shared" si="27"/>
        <v>да</v>
      </c>
      <c r="O1691" s="23">
        <v>44396</v>
      </c>
      <c r="P1691" s="23">
        <v>44492</v>
      </c>
      <c r="Q1691" s="106" t="s">
        <v>66</v>
      </c>
      <c r="R1691" s="37">
        <v>364</v>
      </c>
      <c r="S1691" s="39" t="s">
        <v>776</v>
      </c>
      <c r="T1691" s="37">
        <v>366</v>
      </c>
      <c r="U1691" s="39" t="s">
        <v>778</v>
      </c>
      <c r="V1691" s="69" t="s">
        <v>272</v>
      </c>
      <c r="W1691" s="89" t="s">
        <v>160</v>
      </c>
      <c r="X1691" s="106" t="s">
        <v>297</v>
      </c>
      <c r="Y1691" s="107" t="s">
        <v>14</v>
      </c>
      <c r="Z1691" s="67">
        <f>IF(База_КР_КК[[#This Row],[Таб.номер резервиста]]="-","-",IF(OR(База_КР_КК[[#This Row],[Уровень КК]]=2,База_КР_КК[[#This Row],[Уровень КК]]=3),IF(COUNTIFS($U$2:$U1691,$U1691,$F$2:$F1691,$F1691)=1,1,0),IF(COUNTIFS($U$2:$U1691,$U1691,$L$2:$L1691,$L1691)=1,1,0)))</f>
        <v>1</v>
      </c>
      <c r="AA16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91" s="106" t="s">
        <v>24</v>
      </c>
      <c r="AC1691" s="23">
        <v>45004</v>
      </c>
      <c r="AD1691" s="106" t="s">
        <v>15</v>
      </c>
      <c r="AE1691" s="38" t="s">
        <v>350</v>
      </c>
    </row>
    <row r="1692" spans="1:31" ht="18" customHeight="1" x14ac:dyDescent="0.25">
      <c r="A16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2" s="79">
        <v>4</v>
      </c>
      <c r="C1692" s="23">
        <v>44431</v>
      </c>
      <c r="D1692" s="67">
        <f>IF(COUNTIF($G$2:$G1692,$G1692)=1,1,0)</f>
        <v>0</v>
      </c>
      <c r="E1692" s="67" t="str">
        <f>IFERROR(VLOOKUP(База_КР_КК[[#This Row],[ИД штатной должности (S)]],'уровень защищенности'!$B$7:$F$1095,5,0),"не защищена")</f>
        <v>не защищена</v>
      </c>
      <c r="F1692" s="68">
        <v>500206</v>
      </c>
      <c r="G1692" s="74" t="s">
        <v>2533</v>
      </c>
      <c r="H1692" s="181">
        <f>INDEX('Списки данных'!$D$2:$D$1048576,MATCH(База_КР_КК[[#This Row],[Структурное подразделение]],'Списки данных'!$C$2:$C$1048576,0))</f>
        <v>12</v>
      </c>
      <c r="I1692" s="80" t="s">
        <v>160</v>
      </c>
      <c r="J1692" s="80" t="s">
        <v>217</v>
      </c>
      <c r="K1692" s="80" t="s">
        <v>21</v>
      </c>
      <c r="L1692" s="30" t="s">
        <v>191</v>
      </c>
      <c r="M1692" s="68">
        <v>7</v>
      </c>
      <c r="N1692" s="181" t="str">
        <f t="shared" si="27"/>
        <v>да</v>
      </c>
      <c r="O1692" s="23">
        <v>44396</v>
      </c>
      <c r="P1692" s="23">
        <v>44492</v>
      </c>
      <c r="Q1692" s="106" t="s">
        <v>66</v>
      </c>
      <c r="R1692" s="37">
        <v>364</v>
      </c>
      <c r="S1692" s="39" t="s">
        <v>776</v>
      </c>
      <c r="T1692" s="37">
        <v>364</v>
      </c>
      <c r="U1692" s="39" t="s">
        <v>776</v>
      </c>
      <c r="V1692" s="69" t="s">
        <v>192</v>
      </c>
      <c r="W1692" s="89" t="s">
        <v>160</v>
      </c>
      <c r="X1692" s="106" t="s">
        <v>295</v>
      </c>
      <c r="Y1692" s="107" t="s">
        <v>14</v>
      </c>
      <c r="Z1692" s="67">
        <f>IF(База_КР_КК[[#This Row],[Таб.номер резервиста]]="-","-",IF(OR(База_КР_КК[[#This Row],[Уровень КК]]=2,База_КР_КК[[#This Row],[Уровень КК]]=3),IF(COUNTIFS($U$2:$U1692,$U1692,$F$2:$F1692,$F1692)=1,1,0),IF(COUNTIFS($U$2:$U1692,$U1692,$L$2:$L1692,$L1692)=1,1,0)))</f>
        <v>1</v>
      </c>
      <c r="AA16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692" s="106" t="s">
        <v>24</v>
      </c>
      <c r="AC1692" s="51">
        <v>44492</v>
      </c>
      <c r="AD1692" s="106" t="s">
        <v>15</v>
      </c>
      <c r="AE1692" s="38" t="s">
        <v>350</v>
      </c>
    </row>
    <row r="1693" spans="1:31" ht="18" customHeight="1" x14ac:dyDescent="0.25">
      <c r="A16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3" s="79">
        <v>4</v>
      </c>
      <c r="C1693" s="23">
        <v>44431</v>
      </c>
      <c r="D1693" s="67">
        <f>IF(COUNTIF($G$2:$G1693,$G1693)=1,1,0)</f>
        <v>1</v>
      </c>
      <c r="E1693" s="67" t="str">
        <f>IFERROR(VLOOKUP(База_КР_КК[[#This Row],[ИД штатной должности (S)]],'уровень защищенности'!$B$7:$F$1095,5,0),"не защищена")</f>
        <v>не защищена</v>
      </c>
      <c r="F1693" s="68">
        <v>500206</v>
      </c>
      <c r="G1693" s="74" t="s">
        <v>2534</v>
      </c>
      <c r="H1693" s="181">
        <f>INDEX('Списки данных'!$D$2:$D$1048576,MATCH(База_КР_КК[[#This Row],[Структурное подразделение]],'Списки данных'!$C$2:$C$1048576,0))</f>
        <v>12</v>
      </c>
      <c r="I1693" s="80" t="s">
        <v>160</v>
      </c>
      <c r="J1693" s="80" t="s">
        <v>217</v>
      </c>
      <c r="K1693" s="80" t="s">
        <v>21</v>
      </c>
      <c r="L1693" s="30" t="s">
        <v>191</v>
      </c>
      <c r="M1693" s="68">
        <v>7</v>
      </c>
      <c r="N1693" s="181" t="str">
        <f t="shared" si="27"/>
        <v>нет</v>
      </c>
      <c r="O1693" s="23"/>
      <c r="P1693" s="23"/>
      <c r="Q1693" s="106"/>
      <c r="R1693" s="37">
        <v>365</v>
      </c>
      <c r="S1693" s="38" t="s">
        <v>777</v>
      </c>
      <c r="T1693" s="37">
        <v>366</v>
      </c>
      <c r="U1693" s="39" t="s">
        <v>778</v>
      </c>
      <c r="V1693" s="69" t="s">
        <v>272</v>
      </c>
      <c r="W1693" s="89" t="s">
        <v>160</v>
      </c>
      <c r="X1693" s="106" t="s">
        <v>297</v>
      </c>
      <c r="Y1693" s="107" t="s">
        <v>14</v>
      </c>
      <c r="Z1693" s="67">
        <f>IF(База_КР_КК[[#This Row],[Таб.номер резервиста]]="-","-",IF(OR(База_КР_КК[[#This Row],[Уровень КК]]=2,База_КР_КК[[#This Row],[Уровень КК]]=3),IF(COUNTIFS($U$2:$U1693,$U1693,$F$2:$F1693,$F1693)=1,1,0),IF(COUNTIFS($U$2:$U1693,$U1693,$L$2:$L1693,$L1693)=1,1,0)))</f>
        <v>0</v>
      </c>
      <c r="AA16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93" s="106" t="s">
        <v>24</v>
      </c>
      <c r="AC1693" s="23">
        <v>45004</v>
      </c>
      <c r="AD1693" s="106" t="s">
        <v>15</v>
      </c>
      <c r="AE1693" s="38" t="s">
        <v>350</v>
      </c>
    </row>
    <row r="1694" spans="1:31" ht="18" customHeight="1" x14ac:dyDescent="0.25">
      <c r="A16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4" s="79">
        <v>4</v>
      </c>
      <c r="C1694" s="23">
        <v>44431</v>
      </c>
      <c r="D1694" s="67">
        <f>IF(COUNTIF($G$2:$G1694,$G1694)=1,1,0)</f>
        <v>0</v>
      </c>
      <c r="E1694" s="67" t="str">
        <f>IFERROR(VLOOKUP(База_КР_КК[[#This Row],[ИД штатной должности (S)]],'уровень защищенности'!$B$7:$F$1095,5,0),"не защищена")</f>
        <v>не защищена</v>
      </c>
      <c r="F1694" s="68">
        <v>500206</v>
      </c>
      <c r="G1694" s="74" t="s">
        <v>2534</v>
      </c>
      <c r="H1694" s="181">
        <f>INDEX('Списки данных'!$D$2:$D$1048576,MATCH(База_КР_КК[[#This Row],[Структурное подразделение]],'Списки данных'!$C$2:$C$1048576,0))</f>
        <v>12</v>
      </c>
      <c r="I1694" s="80" t="s">
        <v>160</v>
      </c>
      <c r="J1694" s="80" t="s">
        <v>217</v>
      </c>
      <c r="K1694" s="80" t="s">
        <v>21</v>
      </c>
      <c r="L1694" s="30" t="s">
        <v>191</v>
      </c>
      <c r="M1694" s="68">
        <v>7</v>
      </c>
      <c r="N1694" s="181" t="str">
        <f t="shared" si="27"/>
        <v>нет</v>
      </c>
      <c r="O1694" s="23"/>
      <c r="P1694" s="23"/>
      <c r="Q1694" s="106"/>
      <c r="R1694" s="37">
        <v>365</v>
      </c>
      <c r="S1694" s="38" t="s">
        <v>777</v>
      </c>
      <c r="T1694" s="37">
        <v>364</v>
      </c>
      <c r="U1694" s="39" t="s">
        <v>776</v>
      </c>
      <c r="V1694" s="69" t="s">
        <v>192</v>
      </c>
      <c r="W1694" s="89" t="s">
        <v>160</v>
      </c>
      <c r="X1694" s="106" t="s">
        <v>295</v>
      </c>
      <c r="Y1694" s="107" t="s">
        <v>14</v>
      </c>
      <c r="Z1694" s="67">
        <f>IF(База_КР_КК[[#This Row],[Таб.номер резервиста]]="-","-",IF(OR(База_КР_КК[[#This Row],[Уровень КК]]=2,База_КР_КК[[#This Row],[Уровень КК]]=3),IF(COUNTIFS($U$2:$U1694,$U1694,$F$2:$F1694,$F1694)=1,1,0),IF(COUNTIFS($U$2:$U1694,$U1694,$L$2:$L1694,$L1694)=1,1,0)))</f>
        <v>0</v>
      </c>
      <c r="AA16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94" s="106" t="s">
        <v>24</v>
      </c>
      <c r="AC1694" s="51">
        <v>44492</v>
      </c>
      <c r="AD1694" s="106" t="s">
        <v>15</v>
      </c>
      <c r="AE1694" s="38" t="s">
        <v>350</v>
      </c>
    </row>
    <row r="1695" spans="1:31" ht="18" customHeight="1" x14ac:dyDescent="0.25">
      <c r="A16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5" s="79">
        <v>4</v>
      </c>
      <c r="C1695" s="23">
        <v>44431</v>
      </c>
      <c r="D1695" s="67">
        <f>IF(COUNTIF($G$2:$G1695,$G1695)=1,1,0)</f>
        <v>1</v>
      </c>
      <c r="E1695" s="67" t="str">
        <f>IFERROR(VLOOKUP(База_КР_КК[[#This Row],[ИД штатной должности (S)]],'уровень защищенности'!$B$7:$F$1095,5,0),"не защищена")</f>
        <v>не защищена</v>
      </c>
      <c r="F1695" s="68">
        <v>500206</v>
      </c>
      <c r="G1695" s="74" t="s">
        <v>2535</v>
      </c>
      <c r="H1695" s="181">
        <f>INDEX('Списки данных'!$D$2:$D$1048576,MATCH(База_КР_КК[[#This Row],[Структурное подразделение]],'Списки данных'!$C$2:$C$1048576,0))</f>
        <v>12</v>
      </c>
      <c r="I1695" s="80" t="s">
        <v>160</v>
      </c>
      <c r="J1695" s="80" t="s">
        <v>217</v>
      </c>
      <c r="K1695" s="80" t="s">
        <v>21</v>
      </c>
      <c r="L1695" s="30" t="s">
        <v>191</v>
      </c>
      <c r="M1695" s="68">
        <v>7</v>
      </c>
      <c r="N1695" s="181" t="str">
        <f t="shared" si="27"/>
        <v>да</v>
      </c>
      <c r="O1695" s="23">
        <v>45003</v>
      </c>
      <c r="P1695" s="23">
        <v>45004</v>
      </c>
      <c r="Q1695" s="106" t="s">
        <v>66</v>
      </c>
      <c r="R1695" s="37">
        <v>366</v>
      </c>
      <c r="S1695" s="39" t="s">
        <v>778</v>
      </c>
      <c r="T1695" s="37">
        <v>366</v>
      </c>
      <c r="U1695" s="39" t="s">
        <v>778</v>
      </c>
      <c r="V1695" s="69" t="s">
        <v>272</v>
      </c>
      <c r="W1695" s="89" t="s">
        <v>160</v>
      </c>
      <c r="X1695" s="106" t="s">
        <v>297</v>
      </c>
      <c r="Y1695" s="107" t="s">
        <v>14</v>
      </c>
      <c r="Z1695" s="67">
        <f>IF(База_КР_КК[[#This Row],[Таб.номер резервиста]]="-","-",IF(OR(База_КР_КК[[#This Row],[Уровень КК]]=2,База_КР_КК[[#This Row],[Уровень КК]]=3),IF(COUNTIFS($U$2:$U1695,$U1695,$F$2:$F1695,$F1695)=1,1,0),IF(COUNTIFS($U$2:$U1695,$U1695,$L$2:$L1695,$L1695)=1,1,0)))</f>
        <v>0</v>
      </c>
      <c r="AA16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695" s="106" t="s">
        <v>24</v>
      </c>
      <c r="AC1695" s="23">
        <v>45004</v>
      </c>
      <c r="AD1695" s="106" t="s">
        <v>15</v>
      </c>
      <c r="AE1695" s="38" t="s">
        <v>350</v>
      </c>
    </row>
    <row r="1696" spans="1:31" ht="18" customHeight="1" x14ac:dyDescent="0.25">
      <c r="A16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6" s="79">
        <v>4</v>
      </c>
      <c r="C1696" s="23">
        <v>44431</v>
      </c>
      <c r="D1696" s="67">
        <f>IF(COUNTIF($G$2:$G1696,$G1696)=1,1,0)</f>
        <v>0</v>
      </c>
      <c r="E1696" s="67" t="str">
        <f>IFERROR(VLOOKUP(База_КР_КК[[#This Row],[ИД штатной должности (S)]],'уровень защищенности'!$B$7:$F$1095,5,0),"не защищена")</f>
        <v>не защищена</v>
      </c>
      <c r="F1696" s="68">
        <v>500206</v>
      </c>
      <c r="G1696" s="74" t="s">
        <v>2535</v>
      </c>
      <c r="H1696" s="181">
        <f>INDEX('Списки данных'!$D$2:$D$1048576,MATCH(База_КР_КК[[#This Row],[Структурное подразделение]],'Списки данных'!$C$2:$C$1048576,0))</f>
        <v>12</v>
      </c>
      <c r="I1696" s="80" t="s">
        <v>160</v>
      </c>
      <c r="J1696" s="80" t="s">
        <v>217</v>
      </c>
      <c r="K1696" s="80" t="s">
        <v>21</v>
      </c>
      <c r="L1696" s="30" t="s">
        <v>191</v>
      </c>
      <c r="M1696" s="68">
        <v>7</v>
      </c>
      <c r="N1696" s="181" t="str">
        <f t="shared" si="27"/>
        <v>да</v>
      </c>
      <c r="O1696" s="23">
        <v>45003</v>
      </c>
      <c r="P1696" s="23">
        <v>45004</v>
      </c>
      <c r="Q1696" s="106" t="s">
        <v>66</v>
      </c>
      <c r="R1696" s="37">
        <v>366</v>
      </c>
      <c r="S1696" s="39" t="s">
        <v>778</v>
      </c>
      <c r="T1696" s="37">
        <v>364</v>
      </c>
      <c r="U1696" s="39" t="s">
        <v>776</v>
      </c>
      <c r="V1696" s="69" t="s">
        <v>192</v>
      </c>
      <c r="W1696" s="89" t="s">
        <v>160</v>
      </c>
      <c r="X1696" s="106" t="s">
        <v>295</v>
      </c>
      <c r="Y1696" s="107" t="s">
        <v>14</v>
      </c>
      <c r="Z1696" s="67">
        <f>IF(База_КР_КК[[#This Row],[Таб.номер резервиста]]="-","-",IF(OR(База_КР_КК[[#This Row],[Уровень КК]]=2,База_КР_КК[[#This Row],[Уровень КК]]=3),IF(COUNTIFS($U$2:$U1696,$U1696,$F$2:$F1696,$F1696)=1,1,0),IF(COUNTIFS($U$2:$U1696,$U1696,$L$2:$L1696,$L1696)=1,1,0)))</f>
        <v>0</v>
      </c>
      <c r="AA16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96" s="106" t="s">
        <v>24</v>
      </c>
      <c r="AC1696" s="51">
        <v>44492</v>
      </c>
      <c r="AD1696" s="106" t="s">
        <v>15</v>
      </c>
      <c r="AE1696" s="38" t="s">
        <v>350</v>
      </c>
    </row>
    <row r="1697" spans="1:31" ht="18" customHeight="1" x14ac:dyDescent="0.25">
      <c r="A16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7" s="79">
        <v>4</v>
      </c>
      <c r="C1697" s="23">
        <v>44431</v>
      </c>
      <c r="D1697" s="67">
        <f>IF(COUNTIF($G$2:$G1697,$G1697)=1,1,0)</f>
        <v>1</v>
      </c>
      <c r="E1697" s="67" t="str">
        <f>IFERROR(VLOOKUP(База_КР_КК[[#This Row],[ИД штатной должности (S)]],'уровень защищенности'!$B$7:$F$1095,5,0),"не защищена")</f>
        <v>не защищена</v>
      </c>
      <c r="F1697" s="68">
        <v>500206</v>
      </c>
      <c r="G1697" s="74" t="s">
        <v>2536</v>
      </c>
      <c r="H1697" s="181">
        <f>INDEX('Списки данных'!$D$2:$D$1048576,MATCH(База_КР_КК[[#This Row],[Структурное подразделение]],'Списки данных'!$C$2:$C$1048576,0))</f>
        <v>12</v>
      </c>
      <c r="I1697" s="80" t="s">
        <v>160</v>
      </c>
      <c r="J1697" s="80" t="s">
        <v>217</v>
      </c>
      <c r="K1697" s="80" t="s">
        <v>21</v>
      </c>
      <c r="L1697" s="30" t="s">
        <v>191</v>
      </c>
      <c r="M1697" s="68">
        <v>7</v>
      </c>
      <c r="N1697" s="181" t="str">
        <f t="shared" si="27"/>
        <v>нет</v>
      </c>
      <c r="O1697" s="23"/>
      <c r="P1697" s="23"/>
      <c r="Q1697" s="106"/>
      <c r="R1697" s="37">
        <v>367</v>
      </c>
      <c r="S1697" s="39" t="s">
        <v>779</v>
      </c>
      <c r="T1697" s="37">
        <v>366</v>
      </c>
      <c r="U1697" s="39" t="s">
        <v>778</v>
      </c>
      <c r="V1697" s="69" t="s">
        <v>272</v>
      </c>
      <c r="W1697" s="89" t="s">
        <v>160</v>
      </c>
      <c r="X1697" s="106" t="s">
        <v>297</v>
      </c>
      <c r="Y1697" s="107" t="s">
        <v>14</v>
      </c>
      <c r="Z1697" s="67">
        <f>IF(База_КР_КК[[#This Row],[Таб.номер резервиста]]="-","-",IF(OR(База_КР_КК[[#This Row],[Уровень КК]]=2,База_КР_КК[[#This Row],[Уровень КК]]=3),IF(COUNTIFS($U$2:$U1697,$U1697,$F$2:$F1697,$F1697)=1,1,0),IF(COUNTIFS($U$2:$U1697,$U1697,$L$2:$L1697,$L1697)=1,1,0)))</f>
        <v>0</v>
      </c>
      <c r="AA16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97" s="106" t="s">
        <v>24</v>
      </c>
      <c r="AC1697" s="23">
        <v>45004</v>
      </c>
      <c r="AD1697" s="106" t="s">
        <v>15</v>
      </c>
      <c r="AE1697" s="38" t="s">
        <v>350</v>
      </c>
    </row>
    <row r="1698" spans="1:31" ht="18" customHeight="1" x14ac:dyDescent="0.25">
      <c r="A16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8" s="79">
        <v>4</v>
      </c>
      <c r="C1698" s="23">
        <v>44431</v>
      </c>
      <c r="D1698" s="67">
        <f>IF(COUNTIF($G$2:$G1698,$G1698)=1,1,0)</f>
        <v>0</v>
      </c>
      <c r="E1698" s="67" t="str">
        <f>IFERROR(VLOOKUP(База_КР_КК[[#This Row],[ИД штатной должности (S)]],'уровень защищенности'!$B$7:$F$1095,5,0),"не защищена")</f>
        <v>не защищена</v>
      </c>
      <c r="F1698" s="68">
        <v>500206</v>
      </c>
      <c r="G1698" s="74" t="s">
        <v>2536</v>
      </c>
      <c r="H1698" s="181">
        <f>INDEX('Списки данных'!$D$2:$D$1048576,MATCH(База_КР_КК[[#This Row],[Структурное подразделение]],'Списки данных'!$C$2:$C$1048576,0))</f>
        <v>12</v>
      </c>
      <c r="I1698" s="80" t="s">
        <v>160</v>
      </c>
      <c r="J1698" s="80" t="s">
        <v>217</v>
      </c>
      <c r="K1698" s="80" t="s">
        <v>21</v>
      </c>
      <c r="L1698" s="30" t="s">
        <v>191</v>
      </c>
      <c r="M1698" s="68">
        <v>7</v>
      </c>
      <c r="N1698" s="181" t="str">
        <f t="shared" si="27"/>
        <v>нет</v>
      </c>
      <c r="O1698" s="23"/>
      <c r="P1698" s="23"/>
      <c r="Q1698" s="106"/>
      <c r="R1698" s="37">
        <v>367</v>
      </c>
      <c r="S1698" s="39" t="s">
        <v>779</v>
      </c>
      <c r="T1698" s="37">
        <v>364</v>
      </c>
      <c r="U1698" s="39" t="s">
        <v>776</v>
      </c>
      <c r="V1698" s="69" t="s">
        <v>192</v>
      </c>
      <c r="W1698" s="89" t="s">
        <v>160</v>
      </c>
      <c r="X1698" s="106" t="s">
        <v>295</v>
      </c>
      <c r="Y1698" s="107" t="s">
        <v>14</v>
      </c>
      <c r="Z1698" s="67">
        <f>IF(База_КР_КК[[#This Row],[Таб.номер резервиста]]="-","-",IF(OR(База_КР_КК[[#This Row],[Уровень КК]]=2,База_КР_КК[[#This Row],[Уровень КК]]=3),IF(COUNTIFS($U$2:$U1698,$U1698,$F$2:$F1698,$F1698)=1,1,0),IF(COUNTIFS($U$2:$U1698,$U1698,$L$2:$L1698,$L1698)=1,1,0)))</f>
        <v>0</v>
      </c>
      <c r="AA16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98" s="106" t="s">
        <v>24</v>
      </c>
      <c r="AC1698" s="51">
        <v>44492</v>
      </c>
      <c r="AD1698" s="106" t="s">
        <v>15</v>
      </c>
      <c r="AE1698" s="38" t="s">
        <v>350</v>
      </c>
    </row>
    <row r="1699" spans="1:31" ht="18" customHeight="1" x14ac:dyDescent="0.25">
      <c r="A16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699" s="79">
        <v>4</v>
      </c>
      <c r="C1699" s="23">
        <v>44431</v>
      </c>
      <c r="D1699" s="67">
        <f>IF(COUNTIF($G$2:$G1699,$G1699)=1,1,0)</f>
        <v>1</v>
      </c>
      <c r="E1699" s="67" t="str">
        <f>IFERROR(VLOOKUP(База_КР_КК[[#This Row],[ИД штатной должности (S)]],'уровень защищенности'!$B$7:$F$1095,5,0),"не защищена")</f>
        <v>высокий</v>
      </c>
      <c r="F1699" s="68">
        <v>500207</v>
      </c>
      <c r="G1699" s="74" t="s">
        <v>2537</v>
      </c>
      <c r="H1699" s="181">
        <f>INDEX('Списки данных'!$D$2:$D$1048576,MATCH(База_КР_КК[[#This Row],[Структурное подразделение]],'Списки данных'!$C$2:$C$1048576,0))</f>
        <v>12</v>
      </c>
      <c r="I1699" s="80" t="s">
        <v>160</v>
      </c>
      <c r="J1699" s="80" t="s">
        <v>217</v>
      </c>
      <c r="K1699" s="80" t="s">
        <v>218</v>
      </c>
      <c r="L1699" s="30" t="s">
        <v>192</v>
      </c>
      <c r="M1699" s="68">
        <v>7</v>
      </c>
      <c r="N1699" s="181" t="str">
        <f t="shared" si="27"/>
        <v>нет</v>
      </c>
      <c r="O1699" s="23"/>
      <c r="P1699" s="23"/>
      <c r="Q1699" s="106"/>
      <c r="R1699" s="37">
        <v>368</v>
      </c>
      <c r="S1699" s="38" t="s">
        <v>780</v>
      </c>
      <c r="T1699" s="37">
        <v>1468</v>
      </c>
      <c r="U1699" s="39" t="s">
        <v>1841</v>
      </c>
      <c r="V1699" s="69" t="s">
        <v>272</v>
      </c>
      <c r="W1699" s="89" t="s">
        <v>160</v>
      </c>
      <c r="X1699" s="106" t="s">
        <v>295</v>
      </c>
      <c r="Y1699" s="107" t="s">
        <v>12</v>
      </c>
      <c r="Z1699" s="67">
        <f>IF(База_КР_КК[[#This Row],[Таб.номер резервиста]]="-","-",IF(OR(База_КР_КК[[#This Row],[Уровень КК]]=2,База_КР_КК[[#This Row],[Уровень КК]]=3),IF(COUNTIFS($U$2:$U1699,$U1699,$F$2:$F1699,$F1699)=1,1,0),IF(COUNTIFS($U$2:$U1699,$U1699,$L$2:$L1699,$L1699)=1,1,0)))</f>
        <v>1</v>
      </c>
      <c r="AA16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699" s="106"/>
      <c r="AC1699" s="51"/>
      <c r="AD1699" s="106" t="s">
        <v>15</v>
      </c>
      <c r="AE1699" s="38" t="s">
        <v>350</v>
      </c>
    </row>
    <row r="1700" spans="1:31" ht="18" customHeight="1" x14ac:dyDescent="0.25">
      <c r="A17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0" s="79">
        <v>4</v>
      </c>
      <c r="C1700" s="23">
        <v>44431</v>
      </c>
      <c r="D1700" s="67">
        <f>IF(COUNTIF($G$2:$G1700,$G1700)=1,1,0)</f>
        <v>1</v>
      </c>
      <c r="E1700" s="67" t="str">
        <f>IFERROR(VLOOKUP(База_КР_КК[[#This Row],[ИД штатной должности (S)]],'уровень защищенности'!$B$7:$F$1095,5,0),"не защищена")</f>
        <v>высокий</v>
      </c>
      <c r="F1700" s="68">
        <v>500208</v>
      </c>
      <c r="G1700" s="74" t="s">
        <v>2538</v>
      </c>
      <c r="H1700" s="181">
        <f>INDEX('Списки данных'!$D$2:$D$1048576,MATCH(База_КР_КК[[#This Row],[Структурное подразделение]],'Списки данных'!$C$2:$C$1048576,0))</f>
        <v>12</v>
      </c>
      <c r="I1700" s="80" t="s">
        <v>160</v>
      </c>
      <c r="J1700" s="80" t="s">
        <v>217</v>
      </c>
      <c r="K1700" s="80" t="s">
        <v>218</v>
      </c>
      <c r="L1700" s="33" t="s">
        <v>192</v>
      </c>
      <c r="M1700" s="68">
        <v>7</v>
      </c>
      <c r="N1700" s="181" t="str">
        <f t="shared" si="27"/>
        <v>нет</v>
      </c>
      <c r="O1700" s="23"/>
      <c r="P1700" s="23"/>
      <c r="Q1700" s="106"/>
      <c r="R1700" s="37">
        <v>369</v>
      </c>
      <c r="S1700" s="38" t="s">
        <v>781</v>
      </c>
      <c r="T1700" s="37">
        <v>367</v>
      </c>
      <c r="U1700" s="39" t="s">
        <v>779</v>
      </c>
      <c r="V1700" s="69" t="s">
        <v>192</v>
      </c>
      <c r="W1700" s="89" t="s">
        <v>160</v>
      </c>
      <c r="X1700" s="106" t="s">
        <v>295</v>
      </c>
      <c r="Y1700" s="107" t="s">
        <v>12</v>
      </c>
      <c r="Z1700" s="67">
        <f>IF(База_КР_КК[[#This Row],[Таб.номер резервиста]]="-","-",IF(OR(База_КР_КК[[#This Row],[Уровень КК]]=2,База_КР_КК[[#This Row],[Уровень КК]]=3),IF(COUNTIFS($U$2:$U1700,$U1700,$F$2:$F1700,$F1700)=1,1,0),IF(COUNTIFS($U$2:$U1700,$U1700,$L$2:$L1700,$L1700)=1,1,0)))</f>
        <v>1</v>
      </c>
      <c r="AA17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0" s="106"/>
      <c r="AC1700" s="51"/>
      <c r="AD1700" s="106" t="s">
        <v>15</v>
      </c>
      <c r="AE1700" s="38" t="s">
        <v>350</v>
      </c>
    </row>
    <row r="1701" spans="1:31" ht="18" customHeight="1" x14ac:dyDescent="0.25">
      <c r="A17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1" s="79">
        <v>4</v>
      </c>
      <c r="C1701" s="23">
        <v>44889</v>
      </c>
      <c r="D1701" s="67">
        <f>IF(COUNTIF($G$2:$G1701,$G1701)=1,1,0)</f>
        <v>0</v>
      </c>
      <c r="E1701" s="67" t="str">
        <f>IFERROR(VLOOKUP(База_КР_КК[[#This Row],[ИД штатной должности (S)]],'уровень защищенности'!$B$7:$F$1095,5,0),"не защищена")</f>
        <v>высокий</v>
      </c>
      <c r="F1701" s="68">
        <v>500208</v>
      </c>
      <c r="G1701" s="74" t="s">
        <v>2538</v>
      </c>
      <c r="H1701" s="181">
        <f>INDEX('Списки данных'!$D$2:$D$1048576,MATCH(База_КР_КК[[#This Row],[Структурное подразделение]],'Списки данных'!$C$2:$C$1048576,0))</f>
        <v>12</v>
      </c>
      <c r="I1701" s="80" t="s">
        <v>160</v>
      </c>
      <c r="J1701" s="80" t="s">
        <v>217</v>
      </c>
      <c r="K1701" s="80" t="s">
        <v>218</v>
      </c>
      <c r="L1701" s="33" t="s">
        <v>192</v>
      </c>
      <c r="M1701" s="68">
        <v>7</v>
      </c>
      <c r="N1701" s="181" t="str">
        <f t="shared" si="27"/>
        <v>нет</v>
      </c>
      <c r="O1701" s="23"/>
      <c r="P1701" s="23"/>
      <c r="Q1701" s="106"/>
      <c r="R1701" s="37">
        <v>369</v>
      </c>
      <c r="S1701" s="38" t="s">
        <v>781</v>
      </c>
      <c r="T1701" s="37">
        <v>364</v>
      </c>
      <c r="U1701" s="39" t="s">
        <v>776</v>
      </c>
      <c r="V1701" s="69" t="s">
        <v>192</v>
      </c>
      <c r="W1701" s="89" t="s">
        <v>160</v>
      </c>
      <c r="X1701" s="106" t="s">
        <v>297</v>
      </c>
      <c r="Y1701" s="107" t="s">
        <v>12</v>
      </c>
      <c r="Z1701" s="67">
        <f>IF(База_КР_КК[[#This Row],[Таб.номер резервиста]]="-","-",IF(OR(База_КР_КК[[#This Row],[Уровень КК]]=2,База_КР_КК[[#This Row],[Уровень КК]]=3),IF(COUNTIFS($U$2:$U1701,$U1701,$F$2:$F1701,$F1701)=1,1,0),IF(COUNTIFS($U$2:$U1701,$U1701,$L$2:$L1701,$L1701)=1,1,0)))</f>
        <v>1</v>
      </c>
      <c r="AA17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1" s="106"/>
      <c r="AC1701" s="51"/>
      <c r="AD1701" s="106" t="s">
        <v>15</v>
      </c>
      <c r="AE1701" s="38" t="s">
        <v>351</v>
      </c>
    </row>
    <row r="1702" spans="1:31" ht="18" customHeight="1" x14ac:dyDescent="0.25">
      <c r="A17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2" s="79">
        <v>3</v>
      </c>
      <c r="C1702" s="23">
        <v>43425</v>
      </c>
      <c r="D1702" s="67">
        <f>IF(COUNTIF($G$2:$G1702,$G1702)=1,1,0)</f>
        <v>1</v>
      </c>
      <c r="E1702" s="67" t="str">
        <f>IFERROR(VLOOKUP(База_КР_КК[[#This Row],[ИД штатной должности (S)]],'уровень защищенности'!$B$7:$F$1095,5,0),"не защищена")</f>
        <v>высокий</v>
      </c>
      <c r="F1702" s="68">
        <v>500218</v>
      </c>
      <c r="G1702" s="74" t="s">
        <v>2539</v>
      </c>
      <c r="H1702" s="181">
        <f>INDEX('Списки данных'!$D$2:$D$1048576,MATCH(База_КР_КК[[#This Row],[Структурное подразделение]],'Списки данных'!$C$2:$C$1048576,0))</f>
        <v>12</v>
      </c>
      <c r="I1702" s="80" t="s">
        <v>160</v>
      </c>
      <c r="J1702" s="80" t="s">
        <v>217</v>
      </c>
      <c r="K1702" s="80" t="s">
        <v>21</v>
      </c>
      <c r="L1702" s="30" t="s">
        <v>198</v>
      </c>
      <c r="M1702" s="68">
        <v>5</v>
      </c>
      <c r="N1702" s="181" t="str">
        <f t="shared" si="27"/>
        <v>нет</v>
      </c>
      <c r="O1702" s="23"/>
      <c r="P1702" s="23"/>
      <c r="Q1702" s="106"/>
      <c r="R1702" s="37">
        <v>370</v>
      </c>
      <c r="S1702" s="38" t="s">
        <v>782</v>
      </c>
      <c r="T1702" s="37">
        <v>361</v>
      </c>
      <c r="U1702" s="39" t="s">
        <v>773</v>
      </c>
      <c r="V1702" s="89" t="s">
        <v>192</v>
      </c>
      <c r="W1702" s="89" t="s">
        <v>160</v>
      </c>
      <c r="X1702" s="106" t="s">
        <v>295</v>
      </c>
      <c r="Y1702" s="107" t="s">
        <v>12</v>
      </c>
      <c r="Z1702" s="67">
        <f>IF(База_КР_КК[[#This Row],[Таб.номер резервиста]]="-","-",IF(OR(База_КР_КК[[#This Row],[Уровень КК]]=2,База_КР_КК[[#This Row],[Уровень КК]]=3),IF(COUNTIFS($U$2:$U1702,$U1702,$F$2:$F1702,$F1702)=1,1,0),IF(COUNTIFS($U$2:$U1702,$U1702,$L$2:$L1702,$L1702)=1,1,0)))</f>
        <v>1</v>
      </c>
      <c r="AA17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2" s="106"/>
      <c r="AC1702" s="51"/>
      <c r="AD1702" s="106" t="s">
        <v>13</v>
      </c>
      <c r="AE1702" s="38" t="s">
        <v>345</v>
      </c>
    </row>
    <row r="1703" spans="1:31" ht="18" customHeight="1" x14ac:dyDescent="0.25">
      <c r="A17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3" s="79">
        <v>3</v>
      </c>
      <c r="C1703" s="23">
        <v>43992</v>
      </c>
      <c r="D1703" s="67">
        <f>IF(COUNTIF($G$2:$G1703,$G1703)=1,1,0)</f>
        <v>0</v>
      </c>
      <c r="E1703" s="67" t="str">
        <f>IFERROR(VLOOKUP(База_КР_КК[[#This Row],[ИД штатной должности (S)]],'уровень защищенности'!$B$7:$F$1095,5,0),"не защищена")</f>
        <v>высокий</v>
      </c>
      <c r="F1703" s="68">
        <v>500218</v>
      </c>
      <c r="G1703" s="74" t="s">
        <v>2539</v>
      </c>
      <c r="H1703" s="181">
        <f>INDEX('Списки данных'!$D$2:$D$1048576,MATCH(База_КР_КК[[#This Row],[Структурное подразделение]],'Списки данных'!$C$2:$C$1048576,0))</f>
        <v>12</v>
      </c>
      <c r="I1703" s="80" t="s">
        <v>160</v>
      </c>
      <c r="J1703" s="80" t="s">
        <v>217</v>
      </c>
      <c r="K1703" s="80" t="s">
        <v>21</v>
      </c>
      <c r="L1703" s="30" t="s">
        <v>198</v>
      </c>
      <c r="M1703" s="68">
        <v>5</v>
      </c>
      <c r="N1703" s="181" t="str">
        <f t="shared" si="27"/>
        <v>нет</v>
      </c>
      <c r="O1703" s="23"/>
      <c r="P1703" s="23"/>
      <c r="Q1703" s="106"/>
      <c r="R1703" s="37">
        <v>370</v>
      </c>
      <c r="S1703" s="38" t="s">
        <v>782</v>
      </c>
      <c r="T1703" s="37">
        <v>350</v>
      </c>
      <c r="U1703" s="39" t="s">
        <v>762</v>
      </c>
      <c r="V1703" s="89" t="s">
        <v>192</v>
      </c>
      <c r="W1703" s="89" t="s">
        <v>160</v>
      </c>
      <c r="X1703" s="106" t="s">
        <v>296</v>
      </c>
      <c r="Y1703" s="107" t="s">
        <v>12</v>
      </c>
      <c r="Z1703" s="67">
        <f>IF(База_КР_КК[[#This Row],[Таб.номер резервиста]]="-","-",IF(OR(База_КР_КК[[#This Row],[Уровень КК]]=2,База_КР_КК[[#This Row],[Уровень КК]]=3),IF(COUNTIFS($U$2:$U1703,$U1703,$F$2:$F1703,$F1703)=1,1,0),IF(COUNTIFS($U$2:$U1703,$U1703,$L$2:$L1703,$L1703)=1,1,0)))</f>
        <v>1</v>
      </c>
      <c r="AA17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3" s="106"/>
      <c r="AC1703" s="51"/>
      <c r="AD1703" s="106" t="s">
        <v>13</v>
      </c>
      <c r="AE1703" s="38" t="s">
        <v>345</v>
      </c>
    </row>
    <row r="1704" spans="1:31" ht="18" customHeight="1" x14ac:dyDescent="0.25">
      <c r="A17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4" s="79">
        <v>3</v>
      </c>
      <c r="C1704" s="23">
        <v>43992</v>
      </c>
      <c r="D1704" s="67">
        <f>IF(COUNTIF($G$2:$G1704,$G1704)=1,1,0)</f>
        <v>0</v>
      </c>
      <c r="E1704" s="67" t="str">
        <f>IFERROR(VLOOKUP(База_КР_КК[[#This Row],[ИД штатной должности (S)]],'уровень защищенности'!$B$7:$F$1095,5,0),"не защищена")</f>
        <v>высокий</v>
      </c>
      <c r="F1704" s="68">
        <v>500218</v>
      </c>
      <c r="G1704" s="74" t="s">
        <v>2539</v>
      </c>
      <c r="H1704" s="181">
        <f>INDEX('Списки данных'!$D$2:$D$1048576,MATCH(База_КР_КК[[#This Row],[Структурное подразделение]],'Списки данных'!$C$2:$C$1048576,0))</f>
        <v>12</v>
      </c>
      <c r="I1704" s="80" t="s">
        <v>160</v>
      </c>
      <c r="J1704" s="80" t="s">
        <v>217</v>
      </c>
      <c r="K1704" s="80" t="s">
        <v>21</v>
      </c>
      <c r="L1704" s="30" t="s">
        <v>198</v>
      </c>
      <c r="M1704" s="68">
        <v>5</v>
      </c>
      <c r="N1704" s="181" t="str">
        <f t="shared" si="27"/>
        <v>нет</v>
      </c>
      <c r="O1704" s="23"/>
      <c r="P1704" s="23"/>
      <c r="Q1704" s="106"/>
      <c r="R1704" s="37">
        <v>370</v>
      </c>
      <c r="S1704" s="38" t="s">
        <v>782</v>
      </c>
      <c r="T1704" s="37">
        <v>1469</v>
      </c>
      <c r="U1704" s="39" t="s">
        <v>1842</v>
      </c>
      <c r="V1704" s="89" t="s">
        <v>272</v>
      </c>
      <c r="W1704" s="89" t="s">
        <v>284</v>
      </c>
      <c r="X1704" s="106" t="s">
        <v>296</v>
      </c>
      <c r="Y1704" s="107" t="s">
        <v>18</v>
      </c>
      <c r="Z1704" s="67">
        <f>IF(База_КР_КК[[#This Row],[Таб.номер резервиста]]="-","-",IF(OR(База_КР_КК[[#This Row],[Уровень КК]]=2,База_КР_КК[[#This Row],[Уровень КК]]=3),IF(COUNTIFS($U$2:$U1704,$U1704,$F$2:$F1704,$F1704)=1,1,0),IF(COUNTIFS($U$2:$U1704,$U1704,$L$2:$L1704,$L1704)=1,1,0)))</f>
        <v>1</v>
      </c>
      <c r="AA17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4" s="106" t="s">
        <v>33</v>
      </c>
      <c r="AC1704" s="51">
        <v>44707</v>
      </c>
      <c r="AD1704" s="106" t="s">
        <v>31</v>
      </c>
      <c r="AE1704" s="38" t="s">
        <v>345</v>
      </c>
    </row>
    <row r="1705" spans="1:31" ht="18" customHeight="1" x14ac:dyDescent="0.25">
      <c r="A17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5" s="79">
        <v>3</v>
      </c>
      <c r="C1705" s="23">
        <v>43992</v>
      </c>
      <c r="D1705" s="67">
        <f>IF(COUNTIF($G$2:$G1705,$G1705)=1,1,0)</f>
        <v>1</v>
      </c>
      <c r="E1705" s="67" t="str">
        <f>IFERROR(VLOOKUP(База_КР_КК[[#This Row],[ИД штатной должности (S)]],'уровень защищенности'!$B$7:$F$1095,5,0),"не защищена")</f>
        <v>средний</v>
      </c>
      <c r="F1705" s="68">
        <v>500219</v>
      </c>
      <c r="G1705" s="74" t="s">
        <v>2540</v>
      </c>
      <c r="H1705" s="181">
        <f>INDEX('Списки данных'!$D$2:$D$1048576,MATCH(База_КР_КК[[#This Row],[Структурное подразделение]],'Списки данных'!$C$2:$C$1048576,0))</f>
        <v>238</v>
      </c>
      <c r="I1705" s="80" t="s">
        <v>170</v>
      </c>
      <c r="J1705" s="80" t="s">
        <v>216</v>
      </c>
      <c r="K1705" s="80" t="s">
        <v>21</v>
      </c>
      <c r="L1705" s="30" t="s">
        <v>187</v>
      </c>
      <c r="M1705" s="68">
        <v>6</v>
      </c>
      <c r="N1705" s="181" t="str">
        <f t="shared" si="27"/>
        <v>нет</v>
      </c>
      <c r="O1705" s="23"/>
      <c r="P1705" s="23"/>
      <c r="Q1705" s="106"/>
      <c r="R1705" s="37">
        <v>371</v>
      </c>
      <c r="S1705" s="38" t="s">
        <v>783</v>
      </c>
      <c r="T1705" s="37">
        <v>1470</v>
      </c>
      <c r="U1705" s="39" t="s">
        <v>1843</v>
      </c>
      <c r="V1705" s="89" t="s">
        <v>189</v>
      </c>
      <c r="W1705" s="89" t="s">
        <v>170</v>
      </c>
      <c r="X1705" s="106" t="s">
        <v>297</v>
      </c>
      <c r="Y1705" s="107" t="s">
        <v>12</v>
      </c>
      <c r="Z1705" s="67">
        <f>IF(База_КР_КК[[#This Row],[Таб.номер резервиста]]="-","-",IF(OR(База_КР_КК[[#This Row],[Уровень КК]]=2,База_КР_КК[[#This Row],[Уровень КК]]=3),IF(COUNTIFS($U$2:$U1705,$U1705,$F$2:$F1705,$F1705)=1,1,0),IF(COUNTIFS($U$2:$U1705,$U1705,$L$2:$L1705,$L1705)=1,1,0)))</f>
        <v>1</v>
      </c>
      <c r="AA17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5" s="106"/>
      <c r="AC1705" s="51"/>
      <c r="AD1705" s="106" t="s">
        <v>17</v>
      </c>
      <c r="AE1705" s="38" t="s">
        <v>345</v>
      </c>
    </row>
    <row r="1706" spans="1:31" ht="18" customHeight="1" x14ac:dyDescent="0.25">
      <c r="A17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6" s="79">
        <v>3</v>
      </c>
      <c r="C1706" s="23">
        <v>43992</v>
      </c>
      <c r="D1706" s="67">
        <f>IF(COUNTIF($G$2:$G1706,$G1706)=1,1,0)</f>
        <v>0</v>
      </c>
      <c r="E1706" s="67" t="str">
        <f>IFERROR(VLOOKUP(База_КР_КК[[#This Row],[ИД штатной должности (S)]],'уровень защищенности'!$B$7:$F$1095,5,0),"не защищена")</f>
        <v>средний</v>
      </c>
      <c r="F1706" s="68">
        <v>500219</v>
      </c>
      <c r="G1706" s="74" t="s">
        <v>2540</v>
      </c>
      <c r="H1706" s="181">
        <f>INDEX('Списки данных'!$D$2:$D$1048576,MATCH(База_КР_КК[[#This Row],[Структурное подразделение]],'Списки данных'!$C$2:$C$1048576,0))</f>
        <v>238</v>
      </c>
      <c r="I1706" s="80" t="s">
        <v>170</v>
      </c>
      <c r="J1706" s="80" t="s">
        <v>216</v>
      </c>
      <c r="K1706" s="80" t="s">
        <v>21</v>
      </c>
      <c r="L1706" s="30" t="s">
        <v>187</v>
      </c>
      <c r="M1706" s="68">
        <v>6</v>
      </c>
      <c r="N1706" s="181" t="str">
        <f t="shared" si="27"/>
        <v>нет</v>
      </c>
      <c r="O1706" s="23"/>
      <c r="P1706" s="23"/>
      <c r="Q1706" s="106"/>
      <c r="R1706" s="37">
        <v>371</v>
      </c>
      <c r="S1706" s="38" t="s">
        <v>783</v>
      </c>
      <c r="T1706" s="37">
        <v>1471</v>
      </c>
      <c r="U1706" s="39" t="s">
        <v>1844</v>
      </c>
      <c r="V1706" s="89" t="s">
        <v>16</v>
      </c>
      <c r="W1706" s="89" t="s">
        <v>170</v>
      </c>
      <c r="X1706" s="106" t="s">
        <v>296</v>
      </c>
      <c r="Y1706" s="107" t="s">
        <v>12</v>
      </c>
      <c r="Z1706" s="67">
        <f>IF(База_КР_КК[[#This Row],[Таб.номер резервиста]]="-","-",IF(OR(База_КР_КК[[#This Row],[Уровень КК]]=2,База_КР_КК[[#This Row],[Уровень КК]]=3),IF(COUNTIFS($U$2:$U1706,$U1706,$F$2:$F1706,$F1706)=1,1,0),IF(COUNTIFS($U$2:$U1706,$U1706,$L$2:$L1706,$L1706)=1,1,0)))</f>
        <v>1</v>
      </c>
      <c r="AA17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6" s="106"/>
      <c r="AC1706" s="51"/>
      <c r="AD1706" s="106" t="s">
        <v>13</v>
      </c>
      <c r="AE1706" s="38" t="s">
        <v>345</v>
      </c>
    </row>
    <row r="1707" spans="1:31" ht="18" customHeight="1" x14ac:dyDescent="0.25">
      <c r="A17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7" s="79">
        <v>4</v>
      </c>
      <c r="C1707" s="23">
        <v>44894</v>
      </c>
      <c r="D1707" s="67">
        <f>IF(COUNTIF($G$2:$G1707,$G1707)=1,1,0)</f>
        <v>1</v>
      </c>
      <c r="E1707" s="67" t="str">
        <f>IFERROR(VLOOKUP(База_КР_КК[[#This Row],[ИД штатной должности (S)]],'уровень защищенности'!$B$7:$F$1095,5,0),"не защищена")</f>
        <v>средний</v>
      </c>
      <c r="F1707" s="68">
        <v>500221</v>
      </c>
      <c r="G1707" s="74" t="s">
        <v>2541</v>
      </c>
      <c r="H1707" s="181">
        <f>INDEX('Списки данных'!$D$2:$D$1048576,MATCH(База_КР_КК[[#This Row],[Структурное подразделение]],'Списки данных'!$C$2:$C$1048576,0))</f>
        <v>238</v>
      </c>
      <c r="I1707" s="80" t="s">
        <v>170</v>
      </c>
      <c r="J1707" s="80" t="s">
        <v>216</v>
      </c>
      <c r="K1707" s="80" t="s">
        <v>21</v>
      </c>
      <c r="L1707" s="30" t="s">
        <v>192</v>
      </c>
      <c r="M1707" s="68">
        <v>7</v>
      </c>
      <c r="N1707" s="181" t="str">
        <f t="shared" si="27"/>
        <v>нет</v>
      </c>
      <c r="O1707" s="23"/>
      <c r="P1707" s="23"/>
      <c r="Q1707" s="106"/>
      <c r="R1707" s="37">
        <v>372</v>
      </c>
      <c r="S1707" s="38" t="s">
        <v>784</v>
      </c>
      <c r="T1707" s="37">
        <v>1472</v>
      </c>
      <c r="U1707" s="39" t="s">
        <v>1845</v>
      </c>
      <c r="V1707" s="69" t="s">
        <v>272</v>
      </c>
      <c r="W1707" s="89" t="s">
        <v>170</v>
      </c>
      <c r="X1707" s="106" t="s">
        <v>296</v>
      </c>
      <c r="Y1707" s="107" t="s">
        <v>12</v>
      </c>
      <c r="Z1707" s="67">
        <f>IF(База_КР_КК[[#This Row],[Таб.номер резервиста]]="-","-",IF(OR(База_КР_КК[[#This Row],[Уровень КК]]=2,База_КР_КК[[#This Row],[Уровень КК]]=3),IF(COUNTIFS($U$2:$U1707,$U1707,$F$2:$F1707,$F1707)=1,1,0),IF(COUNTIFS($U$2:$U1707,$U1707,$L$2:$L1707,$L1707)=1,1,0)))</f>
        <v>1</v>
      </c>
      <c r="AA17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7" s="106"/>
      <c r="AC1707" s="51"/>
      <c r="AD1707" s="106" t="s">
        <v>15</v>
      </c>
      <c r="AE1707" s="38" t="s">
        <v>352</v>
      </c>
    </row>
    <row r="1708" spans="1:31" ht="18" customHeight="1" x14ac:dyDescent="0.25">
      <c r="A17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8" s="79">
        <v>4</v>
      </c>
      <c r="C1708" s="23">
        <v>44894</v>
      </c>
      <c r="D1708" s="67">
        <f>IF(COUNTIF($G$2:$G1708,$G1708)=1,1,0)</f>
        <v>0</v>
      </c>
      <c r="E1708" s="67" t="str">
        <f>IFERROR(VLOOKUP(База_КР_КК[[#This Row],[ИД штатной должности (S)]],'уровень защищенности'!$B$7:$F$1095,5,0),"не защищена")</f>
        <v>средний</v>
      </c>
      <c r="F1708" s="68">
        <v>500221</v>
      </c>
      <c r="G1708" s="74" t="s">
        <v>2541</v>
      </c>
      <c r="H1708" s="181">
        <f>INDEX('Списки данных'!$D$2:$D$1048576,MATCH(База_КР_КК[[#This Row],[Структурное подразделение]],'Списки данных'!$C$2:$C$1048576,0))</f>
        <v>238</v>
      </c>
      <c r="I1708" s="80" t="s">
        <v>170</v>
      </c>
      <c r="J1708" s="80" t="s">
        <v>216</v>
      </c>
      <c r="K1708" s="80" t="s">
        <v>21</v>
      </c>
      <c r="L1708" s="30" t="s">
        <v>192</v>
      </c>
      <c r="M1708" s="68">
        <v>7</v>
      </c>
      <c r="N1708" s="181" t="str">
        <f t="shared" si="27"/>
        <v>нет</v>
      </c>
      <c r="O1708" s="23"/>
      <c r="P1708" s="23"/>
      <c r="Q1708" s="106"/>
      <c r="R1708" s="37">
        <v>372</v>
      </c>
      <c r="S1708" s="38" t="s">
        <v>784</v>
      </c>
      <c r="T1708" s="37">
        <v>1473</v>
      </c>
      <c r="U1708" s="39" t="s">
        <v>1719</v>
      </c>
      <c r="V1708" s="69" t="s">
        <v>272</v>
      </c>
      <c r="W1708" s="89" t="s">
        <v>170</v>
      </c>
      <c r="X1708" s="106" t="s">
        <v>297</v>
      </c>
      <c r="Y1708" s="107" t="s">
        <v>12</v>
      </c>
      <c r="Z1708" s="67">
        <f>IF(База_КР_КК[[#This Row],[Таб.номер резервиста]]="-","-",IF(OR(База_КР_КК[[#This Row],[Уровень КК]]=2,База_КР_КК[[#This Row],[Уровень КК]]=3),IF(COUNTIFS($U$2:$U1708,$U1708,$F$2:$F1708,$F1708)=1,1,0),IF(COUNTIFS($U$2:$U1708,$U1708,$L$2:$L1708,$L1708)=1,1,0)))</f>
        <v>1</v>
      </c>
      <c r="AA17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8" s="106"/>
      <c r="AC1708" s="51"/>
      <c r="AD1708" s="106" t="s">
        <v>15</v>
      </c>
      <c r="AE1708" s="38" t="s">
        <v>352</v>
      </c>
    </row>
    <row r="1709" spans="1:31" ht="18" customHeight="1" x14ac:dyDescent="0.25">
      <c r="A17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09" s="79">
        <v>4</v>
      </c>
      <c r="C1709" s="23">
        <v>44894</v>
      </c>
      <c r="D1709" s="67">
        <f>IF(COUNTIF($G$2:$G1709,$G1709)=1,1,0)</f>
        <v>0</v>
      </c>
      <c r="E1709" s="67" t="str">
        <f>IFERROR(VLOOKUP(База_КР_КК[[#This Row],[ИД штатной должности (S)]],'уровень защищенности'!$B$7:$F$1095,5,0),"не защищена")</f>
        <v>средний</v>
      </c>
      <c r="F1709" s="68">
        <v>500221</v>
      </c>
      <c r="G1709" s="74" t="s">
        <v>2541</v>
      </c>
      <c r="H1709" s="181">
        <f>INDEX('Списки данных'!$D$2:$D$1048576,MATCH(База_КР_КК[[#This Row],[Структурное подразделение]],'Списки данных'!$C$2:$C$1048576,0))</f>
        <v>238</v>
      </c>
      <c r="I1709" s="80" t="s">
        <v>170</v>
      </c>
      <c r="J1709" s="80" t="s">
        <v>216</v>
      </c>
      <c r="K1709" s="80" t="s">
        <v>21</v>
      </c>
      <c r="L1709" s="30" t="s">
        <v>192</v>
      </c>
      <c r="M1709" s="68">
        <v>7</v>
      </c>
      <c r="N1709" s="181" t="str">
        <f t="shared" si="27"/>
        <v>нет</v>
      </c>
      <c r="O1709" s="23"/>
      <c r="P1709" s="23"/>
      <c r="Q1709" s="106"/>
      <c r="R1709" s="37">
        <v>372</v>
      </c>
      <c r="S1709" s="38" t="s">
        <v>784</v>
      </c>
      <c r="T1709" s="37">
        <v>1474</v>
      </c>
      <c r="U1709" s="39" t="s">
        <v>1846</v>
      </c>
      <c r="V1709" s="69" t="s">
        <v>272</v>
      </c>
      <c r="W1709" s="89" t="s">
        <v>170</v>
      </c>
      <c r="X1709" s="106" t="s">
        <v>296</v>
      </c>
      <c r="Y1709" s="107" t="s">
        <v>12</v>
      </c>
      <c r="Z1709" s="67">
        <f>IF(База_КР_КК[[#This Row],[Таб.номер резервиста]]="-","-",IF(OR(База_КР_КК[[#This Row],[Уровень КК]]=2,База_КР_КК[[#This Row],[Уровень КК]]=3),IF(COUNTIFS($U$2:$U1709,$U1709,$F$2:$F1709,$F1709)=1,1,0),IF(COUNTIFS($U$2:$U1709,$U1709,$L$2:$L1709,$L1709)=1,1,0)))</f>
        <v>1</v>
      </c>
      <c r="AA17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09" s="106"/>
      <c r="AC1709" s="51"/>
      <c r="AD1709" s="106" t="s">
        <v>15</v>
      </c>
      <c r="AE1709" s="38" t="s">
        <v>352</v>
      </c>
    </row>
    <row r="1710" spans="1:31" ht="18" customHeight="1" x14ac:dyDescent="0.25">
      <c r="A17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0" s="79">
        <v>3</v>
      </c>
      <c r="C1710" s="23">
        <v>43425</v>
      </c>
      <c r="D1710" s="67">
        <f>IF(COUNTIF($G$2:$G1710,$G1710)=1,1,0)</f>
        <v>1</v>
      </c>
      <c r="E1710" s="67" t="str">
        <f>IFERROR(VLOOKUP(База_КР_КК[[#This Row],[ИД штатной должности (S)]],'уровень защищенности'!$B$7:$F$1095,5,0),"не защищена")</f>
        <v>высокий</v>
      </c>
      <c r="F1710" s="68">
        <v>500046</v>
      </c>
      <c r="G1710" s="74" t="s">
        <v>2542</v>
      </c>
      <c r="H1710" s="181">
        <f>INDEX('Списки данных'!$D$2:$D$1048576,MATCH(База_КР_КК[[#This Row],[Структурное подразделение]],'Списки данных'!$C$2:$C$1048576,0))</f>
        <v>219</v>
      </c>
      <c r="I1710" s="80" t="s">
        <v>128</v>
      </c>
      <c r="J1710" s="80" t="s">
        <v>219</v>
      </c>
      <c r="K1710" s="80" t="s">
        <v>21</v>
      </c>
      <c r="L1710" s="30" t="s">
        <v>187</v>
      </c>
      <c r="M1710" s="68">
        <v>5</v>
      </c>
      <c r="N1710" s="181" t="str">
        <f t="shared" si="27"/>
        <v>нет</v>
      </c>
      <c r="O1710" s="23"/>
      <c r="P1710" s="23"/>
      <c r="Q1710" s="106"/>
      <c r="R1710" s="37">
        <v>373</v>
      </c>
      <c r="S1710" s="38" t="s">
        <v>785</v>
      </c>
      <c r="T1710" s="37">
        <v>1475</v>
      </c>
      <c r="U1710" s="39" t="s">
        <v>1847</v>
      </c>
      <c r="V1710" s="89" t="s">
        <v>189</v>
      </c>
      <c r="W1710" s="89" t="s">
        <v>128</v>
      </c>
      <c r="X1710" s="106" t="s">
        <v>295</v>
      </c>
      <c r="Y1710" s="107" t="s">
        <v>12</v>
      </c>
      <c r="Z1710" s="67">
        <f>IF(База_КР_КК[[#This Row],[Таб.номер резервиста]]="-","-",IF(OR(База_КР_КК[[#This Row],[Уровень КК]]=2,База_КР_КК[[#This Row],[Уровень КК]]=3),IF(COUNTIFS($U$2:$U1710,$U1710,$F$2:$F1710,$F1710)=1,1,0),IF(COUNTIFS($U$2:$U1710,$U1710,$L$2:$L1710,$L1710)=1,1,0)))</f>
        <v>1</v>
      </c>
      <c r="AA17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0" s="106"/>
      <c r="AC1710" s="51"/>
      <c r="AD1710" s="106" t="s">
        <v>13</v>
      </c>
      <c r="AE1710" s="38" t="s">
        <v>345</v>
      </c>
    </row>
    <row r="1711" spans="1:31" ht="18" customHeight="1" x14ac:dyDescent="0.25">
      <c r="A17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1" s="79">
        <v>3</v>
      </c>
      <c r="C1711" s="23">
        <v>43174</v>
      </c>
      <c r="D1711" s="67">
        <f>IF(COUNTIF($G$2:$G1711,$G1711)=1,1,0)</f>
        <v>1</v>
      </c>
      <c r="E1711" s="67" t="str">
        <f>IFERROR(VLOOKUP(База_КР_КК[[#This Row],[ИД штатной должности (S)]],'уровень защищенности'!$B$7:$F$1095,5,0),"не защищена")</f>
        <v>средний</v>
      </c>
      <c r="F1711" s="68">
        <v>500223</v>
      </c>
      <c r="G1711" s="74" t="s">
        <v>2543</v>
      </c>
      <c r="H1711" s="181">
        <f>INDEX('Списки данных'!$D$2:$D$1048576,MATCH(База_КР_КК[[#This Row],[Структурное подразделение]],'Списки данных'!$C$2:$C$1048576,0))</f>
        <v>11</v>
      </c>
      <c r="I1711" s="80" t="s">
        <v>169</v>
      </c>
      <c r="J1711" s="80" t="s">
        <v>220</v>
      </c>
      <c r="K1711" s="80" t="s">
        <v>21</v>
      </c>
      <c r="L1711" s="30" t="s">
        <v>183</v>
      </c>
      <c r="M1711" s="68">
        <v>4</v>
      </c>
      <c r="N1711" s="181" t="str">
        <f t="shared" si="27"/>
        <v>нет</v>
      </c>
      <c r="O1711" s="23"/>
      <c r="P1711" s="23"/>
      <c r="Q1711" s="106"/>
      <c r="R1711" s="37">
        <v>374</v>
      </c>
      <c r="S1711" s="38" t="s">
        <v>786</v>
      </c>
      <c r="T1711" s="37">
        <v>399</v>
      </c>
      <c r="U1711" s="39" t="s">
        <v>811</v>
      </c>
      <c r="V1711" s="89" t="s">
        <v>198</v>
      </c>
      <c r="W1711" s="80" t="s">
        <v>169</v>
      </c>
      <c r="X1711" s="106" t="s">
        <v>296</v>
      </c>
      <c r="Y1711" s="107" t="s">
        <v>12</v>
      </c>
      <c r="Z1711" s="67">
        <f>IF(База_КР_КК[[#This Row],[Таб.номер резервиста]]="-","-",IF(OR(База_КР_КК[[#This Row],[Уровень КК]]=2,База_КР_КК[[#This Row],[Уровень КК]]=3),IF(COUNTIFS($U$2:$U1711,$U1711,$F$2:$F1711,$F1711)=1,1,0),IF(COUNTIFS($U$2:$U1711,$U1711,$L$2:$L1711,$L1711)=1,1,0)))</f>
        <v>1</v>
      </c>
      <c r="AA17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1" s="106"/>
      <c r="AC1711" s="51"/>
      <c r="AD1711" s="106" t="s">
        <v>22</v>
      </c>
      <c r="AE1711" s="38" t="s">
        <v>353</v>
      </c>
    </row>
    <row r="1712" spans="1:31" ht="18" customHeight="1" x14ac:dyDescent="0.25">
      <c r="A17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2" s="79">
        <v>3</v>
      </c>
      <c r="C1712" s="23">
        <v>43368</v>
      </c>
      <c r="D1712" s="67">
        <f>IF(COUNTIF($G$2:$G1712,$G1712)=1,1,0)</f>
        <v>0</v>
      </c>
      <c r="E1712" s="67" t="str">
        <f>IFERROR(VLOOKUP(База_КР_КК[[#This Row],[ИД штатной должности (S)]],'уровень защищенности'!$B$7:$F$1095,5,0),"не защищена")</f>
        <v>средний</v>
      </c>
      <c r="F1712" s="68">
        <v>500223</v>
      </c>
      <c r="G1712" s="74" t="s">
        <v>2543</v>
      </c>
      <c r="H1712" s="181">
        <f>INDEX('Списки данных'!$D$2:$D$1048576,MATCH(База_КР_КК[[#This Row],[Структурное подразделение]],'Списки данных'!$C$2:$C$1048576,0))</f>
        <v>11</v>
      </c>
      <c r="I1712" s="80" t="s">
        <v>169</v>
      </c>
      <c r="J1712" s="80" t="s">
        <v>220</v>
      </c>
      <c r="K1712" s="80" t="s">
        <v>21</v>
      </c>
      <c r="L1712" s="30" t="s">
        <v>183</v>
      </c>
      <c r="M1712" s="68">
        <v>4</v>
      </c>
      <c r="N1712" s="181" t="str">
        <f t="shared" si="27"/>
        <v>нет</v>
      </c>
      <c r="O1712" s="23"/>
      <c r="P1712" s="23"/>
      <c r="Q1712" s="106"/>
      <c r="R1712" s="37">
        <v>374</v>
      </c>
      <c r="S1712" s="38" t="s">
        <v>786</v>
      </c>
      <c r="T1712" s="37">
        <v>376</v>
      </c>
      <c r="U1712" s="39" t="s">
        <v>788</v>
      </c>
      <c r="V1712" s="89" t="s">
        <v>187</v>
      </c>
      <c r="W1712" s="89" t="s">
        <v>169</v>
      </c>
      <c r="X1712" s="106" t="s">
        <v>297</v>
      </c>
      <c r="Y1712" s="107" t="s">
        <v>12</v>
      </c>
      <c r="Z1712" s="67">
        <f>IF(База_КР_КК[[#This Row],[Таб.номер резервиста]]="-","-",IF(OR(База_КР_КК[[#This Row],[Уровень КК]]=2,База_КР_КК[[#This Row],[Уровень КК]]=3),IF(COUNTIFS($U$2:$U1712,$U1712,$F$2:$F1712,$F1712)=1,1,0),IF(COUNTIFS($U$2:$U1712,$U1712,$L$2:$L1712,$L1712)=1,1,0)))</f>
        <v>1</v>
      </c>
      <c r="AA17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2" s="106"/>
      <c r="AC1712" s="51"/>
      <c r="AD1712" s="106" t="s">
        <v>13</v>
      </c>
      <c r="AE1712" s="38" t="s">
        <v>353</v>
      </c>
    </row>
    <row r="1713" spans="1:31" ht="18" customHeight="1" x14ac:dyDescent="0.25">
      <c r="A17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3" s="79">
        <v>3</v>
      </c>
      <c r="C1713" s="23">
        <v>43174</v>
      </c>
      <c r="D1713" s="67">
        <f>IF(COUNTIF($G$2:$G1713,$G1713)=1,1,0)</f>
        <v>0</v>
      </c>
      <c r="E1713" s="67" t="str">
        <f>IFERROR(VLOOKUP(База_КР_КК[[#This Row],[ИД штатной должности (S)]],'уровень защищенности'!$B$7:$F$1095,5,0),"не защищена")</f>
        <v>средний</v>
      </c>
      <c r="F1713" s="68">
        <v>500223</v>
      </c>
      <c r="G1713" s="74" t="s">
        <v>2543</v>
      </c>
      <c r="H1713" s="181">
        <f>INDEX('Списки данных'!$D$2:$D$1048576,MATCH(База_КР_КК[[#This Row],[Структурное подразделение]],'Списки данных'!$C$2:$C$1048576,0))</f>
        <v>11</v>
      </c>
      <c r="I1713" s="80" t="s">
        <v>169</v>
      </c>
      <c r="J1713" s="80" t="s">
        <v>220</v>
      </c>
      <c r="K1713" s="80" t="s">
        <v>21</v>
      </c>
      <c r="L1713" s="30" t="s">
        <v>183</v>
      </c>
      <c r="M1713" s="68">
        <v>4</v>
      </c>
      <c r="N1713" s="181" t="str">
        <f t="shared" si="27"/>
        <v>нет</v>
      </c>
      <c r="O1713" s="23"/>
      <c r="P1713" s="23"/>
      <c r="Q1713" s="106"/>
      <c r="R1713" s="37">
        <v>374</v>
      </c>
      <c r="S1713" s="38" t="s">
        <v>786</v>
      </c>
      <c r="T1713" s="37">
        <v>1476</v>
      </c>
      <c r="U1713" s="39" t="s">
        <v>1848</v>
      </c>
      <c r="V1713" s="89" t="s">
        <v>187</v>
      </c>
      <c r="W1713" s="80" t="s">
        <v>169</v>
      </c>
      <c r="X1713" s="106" t="s">
        <v>295</v>
      </c>
      <c r="Y1713" s="107" t="s">
        <v>18</v>
      </c>
      <c r="Z1713" s="67">
        <f>IF(База_КР_КК[[#This Row],[Таб.номер резервиста]]="-","-",IF(OR(База_КР_КК[[#This Row],[Уровень КК]]=2,База_КР_КК[[#This Row],[Уровень КК]]=3),IF(COUNTIFS($U$2:$U1713,$U1713,$F$2:$F1713,$F1713)=1,1,0),IF(COUNTIFS($U$2:$U1713,$U1713,$L$2:$L1713,$L1713)=1,1,0)))</f>
        <v>1</v>
      </c>
      <c r="AA17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3" s="106" t="s">
        <v>19</v>
      </c>
      <c r="AC1713" s="51">
        <v>44292</v>
      </c>
      <c r="AD1713" s="106" t="s">
        <v>13</v>
      </c>
      <c r="AE1713" s="38" t="s">
        <v>354</v>
      </c>
    </row>
    <row r="1714" spans="1:31" ht="18" customHeight="1" x14ac:dyDescent="0.25">
      <c r="A17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4" s="79">
        <v>3</v>
      </c>
      <c r="C1714" s="23">
        <v>43174</v>
      </c>
      <c r="D1714" s="67">
        <f>IF(COUNTIF($G$2:$G1714,$G1714)=1,1,0)</f>
        <v>0</v>
      </c>
      <c r="E1714" s="67" t="str">
        <f>IFERROR(VLOOKUP(База_КР_КК[[#This Row],[ИД штатной должности (S)]],'уровень защищенности'!$B$7:$F$1095,5,0),"не защищена")</f>
        <v>средний</v>
      </c>
      <c r="F1714" s="68">
        <v>500223</v>
      </c>
      <c r="G1714" s="74" t="s">
        <v>2543</v>
      </c>
      <c r="H1714" s="181">
        <f>INDEX('Списки данных'!$D$2:$D$1048576,MATCH(База_КР_КК[[#This Row],[Структурное подразделение]],'Списки данных'!$C$2:$C$1048576,0))</f>
        <v>11</v>
      </c>
      <c r="I1714" s="80" t="s">
        <v>169</v>
      </c>
      <c r="J1714" s="80" t="s">
        <v>220</v>
      </c>
      <c r="K1714" s="80" t="s">
        <v>21</v>
      </c>
      <c r="L1714" s="30" t="s">
        <v>183</v>
      </c>
      <c r="M1714" s="68">
        <v>4</v>
      </c>
      <c r="N1714" s="181" t="str">
        <f t="shared" si="27"/>
        <v>нет</v>
      </c>
      <c r="O1714" s="23"/>
      <c r="P1714" s="23"/>
      <c r="Q1714" s="106"/>
      <c r="R1714" s="37">
        <v>374</v>
      </c>
      <c r="S1714" s="38" t="s">
        <v>786</v>
      </c>
      <c r="T1714" s="37">
        <v>375</v>
      </c>
      <c r="U1714" s="39" t="s">
        <v>787</v>
      </c>
      <c r="V1714" s="89" t="s">
        <v>198</v>
      </c>
      <c r="W1714" s="80" t="s">
        <v>169</v>
      </c>
      <c r="X1714" s="106" t="s">
        <v>297</v>
      </c>
      <c r="Y1714" s="107" t="s">
        <v>18</v>
      </c>
      <c r="Z1714" s="67">
        <f>IF(База_КР_КК[[#This Row],[Таб.номер резервиста]]="-","-",IF(OR(База_КР_КК[[#This Row],[Уровень КК]]=2,База_КР_КК[[#This Row],[Уровень КК]]=3),IF(COUNTIFS($U$2:$U1714,$U1714,$F$2:$F1714,$F1714)=1,1,0),IF(COUNTIFS($U$2:$U1714,$U1714,$L$2:$L1714,$L1714)=1,1,0)))</f>
        <v>1</v>
      </c>
      <c r="AA17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4" s="106" t="s">
        <v>45</v>
      </c>
      <c r="AC1714" s="51">
        <v>44447</v>
      </c>
      <c r="AD1714" s="106" t="s">
        <v>31</v>
      </c>
      <c r="AE1714" s="38" t="s">
        <v>353</v>
      </c>
    </row>
    <row r="1715" spans="1:31" ht="18" customHeight="1" x14ac:dyDescent="0.25">
      <c r="A17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5" s="79">
        <v>3</v>
      </c>
      <c r="C1715" s="23">
        <v>43585</v>
      </c>
      <c r="D1715" s="67">
        <f>IF(COUNTIF($G$2:$G1715,$G1715)=1,1,0)</f>
        <v>1</v>
      </c>
      <c r="E1715" s="67" t="str">
        <f>IFERROR(VLOOKUP(База_КР_КК[[#This Row],[ИД штатной должности (S)]],'уровень защищенности'!$B$7:$F$1095,5,0),"не защищена")</f>
        <v>низкий</v>
      </c>
      <c r="F1715" s="68">
        <v>500224</v>
      </c>
      <c r="G1715" s="74" t="s">
        <v>2544</v>
      </c>
      <c r="H1715" s="181">
        <f>INDEX('Списки данных'!$D$2:$D$1048576,MATCH(База_КР_КК[[#This Row],[Структурное подразделение]],'Списки данных'!$C$2:$C$1048576,0))</f>
        <v>11</v>
      </c>
      <c r="I1715" s="80" t="s">
        <v>169</v>
      </c>
      <c r="J1715" s="80" t="s">
        <v>220</v>
      </c>
      <c r="K1715" s="80" t="s">
        <v>21</v>
      </c>
      <c r="L1715" s="30" t="s">
        <v>187</v>
      </c>
      <c r="M1715" s="68">
        <v>6</v>
      </c>
      <c r="N1715" s="181" t="str">
        <f t="shared" si="27"/>
        <v>да</v>
      </c>
      <c r="O1715" s="23">
        <v>44292</v>
      </c>
      <c r="P1715" s="23">
        <v>44400</v>
      </c>
      <c r="Q1715" s="106" t="s">
        <v>65</v>
      </c>
      <c r="R1715" s="37">
        <v>375</v>
      </c>
      <c r="S1715" s="38" t="s">
        <v>787</v>
      </c>
      <c r="T1715" s="37">
        <v>391</v>
      </c>
      <c r="U1715" s="39" t="s">
        <v>803</v>
      </c>
      <c r="V1715" s="89" t="s">
        <v>192</v>
      </c>
      <c r="W1715" s="80" t="s">
        <v>169</v>
      </c>
      <c r="X1715" s="106" t="s">
        <v>296</v>
      </c>
      <c r="Y1715" s="107" t="s">
        <v>12</v>
      </c>
      <c r="Z1715" s="67">
        <f>IF(База_КР_КК[[#This Row],[Таб.номер резервиста]]="-","-",IF(OR(База_КР_КК[[#This Row],[Уровень КК]]=2,База_КР_КК[[#This Row],[Уровень КК]]=3),IF(COUNTIFS($U$2:$U1715,$U1715,$F$2:$F1715,$F1715)=1,1,0),IF(COUNTIFS($U$2:$U1715,$U1715,$L$2:$L1715,$L1715)=1,1,0)))</f>
        <v>1</v>
      </c>
      <c r="AA17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5" s="106"/>
      <c r="AC1715" s="51"/>
      <c r="AD1715" s="106" t="s">
        <v>15</v>
      </c>
      <c r="AE1715" s="38" t="s">
        <v>354</v>
      </c>
    </row>
    <row r="1716" spans="1:31" ht="18" customHeight="1" x14ac:dyDescent="0.25">
      <c r="A17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6" s="79">
        <v>3</v>
      </c>
      <c r="C1716" s="23">
        <v>44165</v>
      </c>
      <c r="D1716" s="67">
        <f>IF(COUNTIF($G$2:$G1716,$G1716)=1,1,0)</f>
        <v>0</v>
      </c>
      <c r="E1716" s="67" t="str">
        <f>IFERROR(VLOOKUP(База_КР_КК[[#This Row],[ИД штатной должности (S)]],'уровень защищенности'!$B$7:$F$1095,5,0),"не защищена")</f>
        <v>низкий</v>
      </c>
      <c r="F1716" s="68">
        <v>500224</v>
      </c>
      <c r="G1716" s="74" t="s">
        <v>2544</v>
      </c>
      <c r="H1716" s="181">
        <f>INDEX('Списки данных'!$D$2:$D$1048576,MATCH(База_КР_КК[[#This Row],[Структурное подразделение]],'Списки данных'!$C$2:$C$1048576,0))</f>
        <v>11</v>
      </c>
      <c r="I1716" s="80" t="s">
        <v>169</v>
      </c>
      <c r="J1716" s="80" t="s">
        <v>220</v>
      </c>
      <c r="K1716" s="80" t="s">
        <v>21</v>
      </c>
      <c r="L1716" s="30" t="s">
        <v>187</v>
      </c>
      <c r="M1716" s="68">
        <v>6</v>
      </c>
      <c r="N1716" s="181" t="str">
        <f t="shared" si="27"/>
        <v>да</v>
      </c>
      <c r="O1716" s="23">
        <v>44292</v>
      </c>
      <c r="P1716" s="23">
        <v>44400</v>
      </c>
      <c r="Q1716" s="106" t="s">
        <v>65</v>
      </c>
      <c r="R1716" s="37">
        <v>375</v>
      </c>
      <c r="S1716" s="38" t="s">
        <v>787</v>
      </c>
      <c r="T1716" s="37">
        <v>1477</v>
      </c>
      <c r="U1716" s="39" t="s">
        <v>1778</v>
      </c>
      <c r="V1716" s="89" t="s">
        <v>189</v>
      </c>
      <c r="W1716" s="80" t="s">
        <v>169</v>
      </c>
      <c r="X1716" s="106" t="s">
        <v>296</v>
      </c>
      <c r="Y1716" s="107" t="s">
        <v>12</v>
      </c>
      <c r="Z1716" s="67">
        <f>IF(База_КР_КК[[#This Row],[Таб.номер резервиста]]="-","-",IF(OR(База_КР_КК[[#This Row],[Уровень КК]]=2,База_КР_КК[[#This Row],[Уровень КК]]=3),IF(COUNTIFS($U$2:$U1716,$U1716,$F$2:$F1716,$F1716)=1,1,0),IF(COUNTIFS($U$2:$U1716,$U1716,$L$2:$L1716,$L1716)=1,1,0)))</f>
        <v>1</v>
      </c>
      <c r="AA17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6" s="106"/>
      <c r="AC1716" s="51"/>
      <c r="AD1716" s="106" t="s">
        <v>13</v>
      </c>
      <c r="AE1716" s="38" t="s">
        <v>353</v>
      </c>
    </row>
    <row r="1717" spans="1:31" ht="18" customHeight="1" x14ac:dyDescent="0.25">
      <c r="A17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7" s="79">
        <v>3</v>
      </c>
      <c r="C1717" s="23">
        <v>43174</v>
      </c>
      <c r="D1717" s="67">
        <f>IF(COUNTIF($G$2:$G1717,$G1717)=1,1,0)</f>
        <v>0</v>
      </c>
      <c r="E1717" s="67" t="str">
        <f>IFERROR(VLOOKUP(База_КР_КК[[#This Row],[ИД штатной должности (S)]],'уровень защищенности'!$B$7:$F$1095,5,0),"не защищена")</f>
        <v>низкий</v>
      </c>
      <c r="F1717" s="68">
        <v>500224</v>
      </c>
      <c r="G1717" s="74" t="s">
        <v>2544</v>
      </c>
      <c r="H1717" s="181">
        <f>INDEX('Списки данных'!$D$2:$D$1048576,MATCH(База_КР_КК[[#This Row],[Структурное подразделение]],'Списки данных'!$C$2:$C$1048576,0))</f>
        <v>11</v>
      </c>
      <c r="I1717" s="80" t="s">
        <v>169</v>
      </c>
      <c r="J1717" s="80" t="s">
        <v>220</v>
      </c>
      <c r="K1717" s="80" t="s">
        <v>21</v>
      </c>
      <c r="L1717" s="30" t="s">
        <v>187</v>
      </c>
      <c r="M1717" s="68">
        <v>6</v>
      </c>
      <c r="N1717" s="181" t="str">
        <f t="shared" si="27"/>
        <v>да</v>
      </c>
      <c r="O1717" s="23">
        <v>44292</v>
      </c>
      <c r="P1717" s="23">
        <v>44400</v>
      </c>
      <c r="Q1717" s="106" t="s">
        <v>65</v>
      </c>
      <c r="R1717" s="37">
        <v>375</v>
      </c>
      <c r="S1717" s="38" t="s">
        <v>787</v>
      </c>
      <c r="T1717" s="37">
        <v>1478</v>
      </c>
      <c r="U1717" s="39" t="s">
        <v>1849</v>
      </c>
      <c r="V1717" s="89" t="s">
        <v>189</v>
      </c>
      <c r="W1717" s="80" t="s">
        <v>285</v>
      </c>
      <c r="X1717" s="106" t="s">
        <v>295</v>
      </c>
      <c r="Y1717" s="107" t="s">
        <v>18</v>
      </c>
      <c r="Z1717" s="67">
        <f>IF(База_КР_КК[[#This Row],[Таб.номер резервиста]]="-","-",IF(OR(База_КР_КК[[#This Row],[Уровень КК]]=2,База_КР_КК[[#This Row],[Уровень КК]]=3),IF(COUNTIFS($U$2:$U1717,$U1717,$F$2:$F1717,$F1717)=1,1,0),IF(COUNTIFS($U$2:$U1717,$U1717,$L$2:$L1717,$L1717)=1,1,0)))</f>
        <v>1</v>
      </c>
      <c r="AA17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7" s="106" t="s">
        <v>33</v>
      </c>
      <c r="AC1717" s="51">
        <v>43585</v>
      </c>
      <c r="AD1717" s="106" t="s">
        <v>31</v>
      </c>
      <c r="AE1717" s="38" t="s">
        <v>354</v>
      </c>
    </row>
    <row r="1718" spans="1:31" ht="18" customHeight="1" x14ac:dyDescent="0.25">
      <c r="A17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8" s="79">
        <v>3</v>
      </c>
      <c r="C1718" s="23">
        <v>43174</v>
      </c>
      <c r="D1718" s="67">
        <f>IF(COUNTIF($G$2:$G1718,$G1718)=1,1,0)</f>
        <v>0</v>
      </c>
      <c r="E1718" s="67" t="str">
        <f>IFERROR(VLOOKUP(База_КР_КК[[#This Row],[ИД штатной должности (S)]],'уровень защищенности'!$B$7:$F$1095,5,0),"не защищена")</f>
        <v>низкий</v>
      </c>
      <c r="F1718" s="68">
        <v>500224</v>
      </c>
      <c r="G1718" s="74" t="s">
        <v>2544</v>
      </c>
      <c r="H1718" s="181">
        <f>INDEX('Списки данных'!$D$2:$D$1048576,MATCH(База_КР_КК[[#This Row],[Структурное подразделение]],'Списки данных'!$C$2:$C$1048576,0))</f>
        <v>11</v>
      </c>
      <c r="I1718" s="80" t="s">
        <v>169</v>
      </c>
      <c r="J1718" s="80" t="s">
        <v>220</v>
      </c>
      <c r="K1718" s="80" t="s">
        <v>21</v>
      </c>
      <c r="L1718" s="30" t="s">
        <v>187</v>
      </c>
      <c r="M1718" s="68">
        <v>6</v>
      </c>
      <c r="N1718" s="181" t="str">
        <f t="shared" si="27"/>
        <v>да</v>
      </c>
      <c r="O1718" s="23">
        <v>44292</v>
      </c>
      <c r="P1718" s="23">
        <v>44400</v>
      </c>
      <c r="Q1718" s="106" t="s">
        <v>65</v>
      </c>
      <c r="R1718" s="37">
        <v>375</v>
      </c>
      <c r="S1718" s="38" t="s">
        <v>787</v>
      </c>
      <c r="T1718" s="37">
        <v>382</v>
      </c>
      <c r="U1718" s="39" t="s">
        <v>794</v>
      </c>
      <c r="V1718" s="89" t="s">
        <v>198</v>
      </c>
      <c r="W1718" s="80" t="s">
        <v>169</v>
      </c>
      <c r="X1718" s="106" t="s">
        <v>297</v>
      </c>
      <c r="Y1718" s="107" t="s">
        <v>18</v>
      </c>
      <c r="Z1718" s="67">
        <f>IF(База_КР_КК[[#This Row],[Таб.номер резервиста]]="-","-",IF(OR(База_КР_КК[[#This Row],[Уровень КК]]=2,База_КР_КК[[#This Row],[Уровень КК]]=3),IF(COUNTIFS($U$2:$U1718,$U1718,$F$2:$F1718,$F1718)=1,1,0),IF(COUNTIFS($U$2:$U1718,$U1718,$L$2:$L1718,$L1718)=1,1,0)))</f>
        <v>1</v>
      </c>
      <c r="AA17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8" s="106" t="s">
        <v>44</v>
      </c>
      <c r="AC1718" s="51">
        <v>44447</v>
      </c>
      <c r="AD1718" s="106" t="s">
        <v>31</v>
      </c>
      <c r="AE1718" s="38" t="s">
        <v>353</v>
      </c>
    </row>
    <row r="1719" spans="1:31" ht="18" customHeight="1" x14ac:dyDescent="0.25">
      <c r="A17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19" s="79">
        <v>3</v>
      </c>
      <c r="C1719" s="23">
        <v>43174</v>
      </c>
      <c r="D1719" s="67">
        <f>IF(COUNTIF($G$2:$G1719,$G1719)=1,1,0)</f>
        <v>1</v>
      </c>
      <c r="E1719" s="67" t="str">
        <f>IFERROR(VLOOKUP(База_КР_КК[[#This Row],[ИД штатной должности (S)]],'уровень защищенности'!$B$7:$F$1095,5,0),"не защищена")</f>
        <v>средний</v>
      </c>
      <c r="F1719" s="68">
        <v>500225</v>
      </c>
      <c r="G1719" s="74" t="s">
        <v>2545</v>
      </c>
      <c r="H1719" s="181">
        <f>INDEX('Списки данных'!$D$2:$D$1048576,MATCH(База_КР_КК[[#This Row],[Структурное подразделение]],'Списки данных'!$C$2:$C$1048576,0))</f>
        <v>11</v>
      </c>
      <c r="I1719" s="80" t="s">
        <v>169</v>
      </c>
      <c r="J1719" s="80" t="s">
        <v>220</v>
      </c>
      <c r="K1719" s="80" t="s">
        <v>21</v>
      </c>
      <c r="L1719" s="30" t="s">
        <v>187</v>
      </c>
      <c r="M1719" s="68">
        <v>6</v>
      </c>
      <c r="N1719" s="181" t="str">
        <f t="shared" si="27"/>
        <v>нет</v>
      </c>
      <c r="O1719" s="23"/>
      <c r="P1719" s="23"/>
      <c r="Q1719" s="106"/>
      <c r="R1719" s="37">
        <v>376</v>
      </c>
      <c r="S1719" s="38" t="s">
        <v>788</v>
      </c>
      <c r="T1719" s="37">
        <v>1479</v>
      </c>
      <c r="U1719" s="39" t="s">
        <v>1850</v>
      </c>
      <c r="V1719" s="89" t="s">
        <v>16</v>
      </c>
      <c r="W1719" s="80" t="s">
        <v>169</v>
      </c>
      <c r="X1719" s="106" t="s">
        <v>297</v>
      </c>
      <c r="Y1719" s="107" t="s">
        <v>12</v>
      </c>
      <c r="Z1719" s="67">
        <f>IF(База_КР_КК[[#This Row],[Таб.номер резервиста]]="-","-",IF(OR(База_КР_КК[[#This Row],[Уровень КК]]=2,База_КР_КК[[#This Row],[Уровень КК]]=3),IF(COUNTIFS($U$2:$U1719,$U1719,$F$2:$F1719,$F1719)=1,1,0),IF(COUNTIFS($U$2:$U1719,$U1719,$L$2:$L1719,$L1719)=1,1,0)))</f>
        <v>1</v>
      </c>
      <c r="AA17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19" s="106"/>
      <c r="AC1719" s="51"/>
      <c r="AD1719" s="106" t="s">
        <v>13</v>
      </c>
      <c r="AE1719" s="38" t="s">
        <v>353</v>
      </c>
    </row>
    <row r="1720" spans="1:31" ht="18" customHeight="1" x14ac:dyDescent="0.25">
      <c r="A17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0" s="79">
        <v>3</v>
      </c>
      <c r="C1720" s="23">
        <v>43174</v>
      </c>
      <c r="D1720" s="67">
        <f>IF(COUNTIF($G$2:$G1720,$G1720)=1,1,0)</f>
        <v>1</v>
      </c>
      <c r="E1720" s="67" t="str">
        <f>IFERROR(VLOOKUP(База_КР_КК[[#This Row],[ИД штатной должности (S)]],'уровень защищенности'!$B$7:$F$1095,5,0),"не защищена")</f>
        <v>не защищена</v>
      </c>
      <c r="F1720" s="68">
        <v>500226</v>
      </c>
      <c r="G1720" s="74" t="s">
        <v>2546</v>
      </c>
      <c r="H1720" s="181">
        <f>INDEX('Списки данных'!$D$2:$D$1048576,MATCH(База_КР_КК[[#This Row],[Структурное подразделение]],'Списки данных'!$C$2:$C$1048576,0))</f>
        <v>11</v>
      </c>
      <c r="I1720" s="80" t="s">
        <v>169</v>
      </c>
      <c r="J1720" s="80" t="s">
        <v>220</v>
      </c>
      <c r="K1720" s="80" t="s">
        <v>21</v>
      </c>
      <c r="L1720" s="30" t="s">
        <v>198</v>
      </c>
      <c r="M1720" s="68">
        <v>6</v>
      </c>
      <c r="N1720" s="181" t="str">
        <f t="shared" si="27"/>
        <v>нет</v>
      </c>
      <c r="O1720" s="23"/>
      <c r="P1720" s="23"/>
      <c r="Q1720" s="106"/>
      <c r="R1720" s="37">
        <v>377</v>
      </c>
      <c r="S1720" s="38" t="s">
        <v>789</v>
      </c>
      <c r="T1720" s="37">
        <v>1480</v>
      </c>
      <c r="U1720" s="39" t="s">
        <v>1851</v>
      </c>
      <c r="V1720" s="89" t="s">
        <v>189</v>
      </c>
      <c r="W1720" s="80" t="s">
        <v>280</v>
      </c>
      <c r="X1720" s="106" t="s">
        <v>295</v>
      </c>
      <c r="Y1720" s="107" t="s">
        <v>18</v>
      </c>
      <c r="Z1720" s="67">
        <f>IF(База_КР_КК[[#This Row],[Таб.номер резервиста]]="-","-",IF(OR(База_КР_КК[[#This Row],[Уровень КК]]=2,База_КР_КК[[#This Row],[Уровень КК]]=3),IF(COUNTIFS($U$2:$U1720,$U1720,$F$2:$F1720,$F1720)=1,1,0),IF(COUNTIFS($U$2:$U1720,$U1720,$L$2:$L1720,$L1720)=1,1,0)))</f>
        <v>1</v>
      </c>
      <c r="AA17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0" s="106" t="s">
        <v>33</v>
      </c>
      <c r="AC1720" s="51">
        <v>43585</v>
      </c>
      <c r="AD1720" s="106" t="s">
        <v>31</v>
      </c>
      <c r="AE1720" s="38" t="s">
        <v>354</v>
      </c>
    </row>
    <row r="1721" spans="1:31" ht="18" customHeight="1" x14ac:dyDescent="0.25">
      <c r="A17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1" s="79">
        <v>3</v>
      </c>
      <c r="C1721" s="23">
        <v>44165</v>
      </c>
      <c r="D1721" s="67">
        <f>IF(COUNTIF($G$2:$G1721,$G1721)=1,1,0)</f>
        <v>0</v>
      </c>
      <c r="E1721" s="67" t="str">
        <f>IFERROR(VLOOKUP(База_КР_КК[[#This Row],[ИД штатной должности (S)]],'уровень защищенности'!$B$7:$F$1095,5,0),"не защищена")</f>
        <v>не защищена</v>
      </c>
      <c r="F1721" s="68">
        <v>500226</v>
      </c>
      <c r="G1721" s="74" t="s">
        <v>2546</v>
      </c>
      <c r="H1721" s="181">
        <f>INDEX('Списки данных'!$D$2:$D$1048576,MATCH(База_КР_КК[[#This Row],[Структурное подразделение]],'Списки данных'!$C$2:$C$1048576,0))</f>
        <v>11</v>
      </c>
      <c r="I1721" s="80" t="s">
        <v>169</v>
      </c>
      <c r="J1721" s="80" t="s">
        <v>220</v>
      </c>
      <c r="K1721" s="80" t="s">
        <v>21</v>
      </c>
      <c r="L1721" s="30" t="s">
        <v>198</v>
      </c>
      <c r="M1721" s="68">
        <v>6</v>
      </c>
      <c r="N1721" s="181" t="str">
        <f t="shared" si="27"/>
        <v>нет</v>
      </c>
      <c r="O1721" s="23"/>
      <c r="P1721" s="23"/>
      <c r="Q1721" s="106"/>
      <c r="R1721" s="37">
        <v>377</v>
      </c>
      <c r="S1721" s="38" t="s">
        <v>789</v>
      </c>
      <c r="T1721" s="37">
        <v>1481</v>
      </c>
      <c r="U1721" s="39" t="s">
        <v>1852</v>
      </c>
      <c r="V1721" s="69" t="s">
        <v>189</v>
      </c>
      <c r="W1721" s="89" t="s">
        <v>169</v>
      </c>
      <c r="X1721" s="106" t="s">
        <v>297</v>
      </c>
      <c r="Y1721" s="107" t="s">
        <v>18</v>
      </c>
      <c r="Z1721" s="67">
        <f>IF(База_КР_КК[[#This Row],[Таб.номер резервиста]]="-","-",IF(OR(База_КР_КК[[#This Row],[Уровень КК]]=2,База_КР_КК[[#This Row],[Уровень КК]]=3),IF(COUNTIFS($U$2:$U1721,$U1721,$F$2:$F1721,$F1721)=1,1,0),IF(COUNTIFS($U$2:$U1721,$U1721,$L$2:$L1721,$L1721)=1,1,0)))</f>
        <v>1</v>
      </c>
      <c r="AA17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1" s="106" t="s">
        <v>45</v>
      </c>
      <c r="AC1721" s="51">
        <v>44447</v>
      </c>
      <c r="AD1721" s="106" t="s">
        <v>31</v>
      </c>
      <c r="AE1721" s="38" t="s">
        <v>353</v>
      </c>
    </row>
    <row r="1722" spans="1:31" ht="18" customHeight="1" x14ac:dyDescent="0.25">
      <c r="A17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2" s="79">
        <v>4</v>
      </c>
      <c r="C1722" s="23">
        <v>44426</v>
      </c>
      <c r="D1722" s="67">
        <f>IF(COUNTIF($G$2:$G1722,$G1722)=1,1,0)</f>
        <v>1</v>
      </c>
      <c r="E1722" s="67" t="str">
        <f>IFERROR(VLOOKUP(База_КР_КК[[#This Row],[ИД штатной должности (S)]],'уровень защищенности'!$B$7:$F$1095,5,0),"не защищена")</f>
        <v>средний</v>
      </c>
      <c r="F1722" s="68">
        <v>500227</v>
      </c>
      <c r="G1722" s="74" t="s">
        <v>2547</v>
      </c>
      <c r="H1722" s="181">
        <f>INDEX('Списки данных'!$D$2:$D$1048576,MATCH(База_КР_КК[[#This Row],[Структурное подразделение]],'Списки данных'!$C$2:$C$1048576,0))</f>
        <v>11</v>
      </c>
      <c r="I1722" s="80" t="s">
        <v>169</v>
      </c>
      <c r="J1722" s="80" t="s">
        <v>220</v>
      </c>
      <c r="K1722" s="80" t="s">
        <v>21</v>
      </c>
      <c r="L1722" s="30" t="s">
        <v>191</v>
      </c>
      <c r="M1722" s="68">
        <v>7</v>
      </c>
      <c r="N1722" s="181" t="str">
        <f t="shared" si="27"/>
        <v>нет</v>
      </c>
      <c r="O1722" s="23"/>
      <c r="P1722" s="23"/>
      <c r="Q1722" s="106"/>
      <c r="R1722" s="37">
        <v>378</v>
      </c>
      <c r="S1722" s="38" t="s">
        <v>790</v>
      </c>
      <c r="T1722" s="37">
        <v>1482</v>
      </c>
      <c r="U1722" s="39" t="s">
        <v>1822</v>
      </c>
      <c r="V1722" s="69" t="s">
        <v>272</v>
      </c>
      <c r="W1722" s="89" t="s">
        <v>169</v>
      </c>
      <c r="X1722" s="106" t="s">
        <v>297</v>
      </c>
      <c r="Y1722" s="107" t="s">
        <v>12</v>
      </c>
      <c r="Z1722" s="67">
        <f>IF(База_КР_КК[[#This Row],[Таб.номер резервиста]]="-","-",IF(OR(База_КР_КК[[#This Row],[Уровень КК]]=2,База_КР_КК[[#This Row],[Уровень КК]]=3),IF(COUNTIFS($U$2:$U1722,$U1722,$F$2:$F1722,$F1722)=1,1,0),IF(COUNTIFS($U$2:$U1722,$U1722,$L$2:$L1722,$L1722)=1,1,0)))</f>
        <v>1</v>
      </c>
      <c r="AA17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2" s="106"/>
      <c r="AC1722" s="51"/>
      <c r="AD1722" s="106" t="s">
        <v>15</v>
      </c>
      <c r="AE1722" s="38" t="s">
        <v>355</v>
      </c>
    </row>
    <row r="1723" spans="1:31" ht="18" customHeight="1" x14ac:dyDescent="0.25">
      <c r="A17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3" s="79">
        <v>4</v>
      </c>
      <c r="C1723" s="23">
        <v>44888</v>
      </c>
      <c r="D1723" s="67">
        <f>IF(COUNTIF($G$2:$G1723,$G1723)=1,1,0)</f>
        <v>0</v>
      </c>
      <c r="E1723" s="67" t="str">
        <f>IFERROR(VLOOKUP(База_КР_КК[[#This Row],[ИД штатной должности (S)]],'уровень защищенности'!$B$7:$F$1095,5,0),"не защищена")</f>
        <v>средний</v>
      </c>
      <c r="F1723" s="68">
        <v>500227</v>
      </c>
      <c r="G1723" s="74" t="s">
        <v>2547</v>
      </c>
      <c r="H1723" s="181">
        <f>INDEX('Списки данных'!$D$2:$D$1048576,MATCH(База_КР_КК[[#This Row],[Структурное подразделение]],'Списки данных'!$C$2:$C$1048576,0))</f>
        <v>11</v>
      </c>
      <c r="I1723" s="80" t="s">
        <v>169</v>
      </c>
      <c r="J1723" s="80" t="s">
        <v>220</v>
      </c>
      <c r="K1723" s="80" t="s">
        <v>21</v>
      </c>
      <c r="L1723" s="30" t="s">
        <v>191</v>
      </c>
      <c r="M1723" s="68">
        <v>7</v>
      </c>
      <c r="N1723" s="181" t="str">
        <f t="shared" si="27"/>
        <v>нет</v>
      </c>
      <c r="O1723" s="23"/>
      <c r="P1723" s="23"/>
      <c r="Q1723" s="106"/>
      <c r="R1723" s="37">
        <v>378</v>
      </c>
      <c r="S1723" s="38" t="s">
        <v>790</v>
      </c>
      <c r="T1723" s="37">
        <v>1483</v>
      </c>
      <c r="U1723" s="39" t="s">
        <v>1853</v>
      </c>
      <c r="V1723" s="69" t="s">
        <v>272</v>
      </c>
      <c r="W1723" s="89" t="s">
        <v>169</v>
      </c>
      <c r="X1723" s="106" t="s">
        <v>296</v>
      </c>
      <c r="Y1723" s="107" t="s">
        <v>12</v>
      </c>
      <c r="Z1723" s="67">
        <f>IF(База_КР_КК[[#This Row],[Таб.номер резервиста]]="-","-",IF(OR(База_КР_КК[[#This Row],[Уровень КК]]=2,База_КР_КК[[#This Row],[Уровень КК]]=3),IF(COUNTIFS($U$2:$U1723,$U1723,$F$2:$F1723,$F1723)=1,1,0),IF(COUNTIFS($U$2:$U1723,$U1723,$L$2:$L1723,$L1723)=1,1,0)))</f>
        <v>1</v>
      </c>
      <c r="AA17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3" s="106"/>
      <c r="AC1723" s="51"/>
      <c r="AD1723" s="106" t="s">
        <v>15</v>
      </c>
      <c r="AE1723" s="38" t="s">
        <v>356</v>
      </c>
    </row>
    <row r="1724" spans="1:31" ht="18" customHeight="1" x14ac:dyDescent="0.25">
      <c r="A17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4" s="79">
        <v>4</v>
      </c>
      <c r="C1724" s="23">
        <v>44888</v>
      </c>
      <c r="D1724" s="67">
        <f>IF(COUNTIF($G$2:$G1724,$G1724)=1,1,0)</f>
        <v>0</v>
      </c>
      <c r="E1724" s="67" t="str">
        <f>IFERROR(VLOOKUP(База_КР_КК[[#This Row],[ИД штатной должности (S)]],'уровень защищенности'!$B$7:$F$1095,5,0),"не защищена")</f>
        <v>средний</v>
      </c>
      <c r="F1724" s="68">
        <v>500227</v>
      </c>
      <c r="G1724" s="74" t="s">
        <v>2547</v>
      </c>
      <c r="H1724" s="181">
        <f>INDEX('Списки данных'!$D$2:$D$1048576,MATCH(База_КР_КК[[#This Row],[Структурное подразделение]],'Списки данных'!$C$2:$C$1048576,0))</f>
        <v>11</v>
      </c>
      <c r="I1724" s="80" t="s">
        <v>169</v>
      </c>
      <c r="J1724" s="80" t="s">
        <v>220</v>
      </c>
      <c r="K1724" s="80" t="s">
        <v>21</v>
      </c>
      <c r="L1724" s="30" t="s">
        <v>191</v>
      </c>
      <c r="M1724" s="68">
        <v>7</v>
      </c>
      <c r="N1724" s="181" t="str">
        <f t="shared" si="27"/>
        <v>нет</v>
      </c>
      <c r="O1724" s="23"/>
      <c r="P1724" s="23"/>
      <c r="Q1724" s="106"/>
      <c r="R1724" s="37">
        <v>378</v>
      </c>
      <c r="S1724" s="38" t="s">
        <v>790</v>
      </c>
      <c r="T1724" s="37">
        <v>1484</v>
      </c>
      <c r="U1724" s="39" t="s">
        <v>1854</v>
      </c>
      <c r="V1724" s="69" t="s">
        <v>272</v>
      </c>
      <c r="W1724" s="89" t="s">
        <v>169</v>
      </c>
      <c r="X1724" s="106" t="s">
        <v>297</v>
      </c>
      <c r="Y1724" s="107" t="s">
        <v>12</v>
      </c>
      <c r="Z1724" s="67">
        <f>IF(База_КР_КК[[#This Row],[Таб.номер резервиста]]="-","-",IF(OR(База_КР_КК[[#This Row],[Уровень КК]]=2,База_КР_КК[[#This Row],[Уровень КК]]=3),IF(COUNTIFS($U$2:$U1724,$U1724,$F$2:$F1724,$F1724)=1,1,0),IF(COUNTIFS($U$2:$U1724,$U1724,$L$2:$L1724,$L1724)=1,1,0)))</f>
        <v>1</v>
      </c>
      <c r="AA17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4" s="106"/>
      <c r="AC1724" s="51"/>
      <c r="AD1724" s="106" t="s">
        <v>15</v>
      </c>
      <c r="AE1724" s="38" t="s">
        <v>356</v>
      </c>
    </row>
    <row r="1725" spans="1:31" ht="18" customHeight="1" x14ac:dyDescent="0.25">
      <c r="A17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5" s="79">
        <v>4</v>
      </c>
      <c r="C1725" s="23">
        <v>44426</v>
      </c>
      <c r="D1725" s="67">
        <f>IF(COUNTIF($G$2:$G1725,$G1725)=1,1,0)</f>
        <v>0</v>
      </c>
      <c r="E1725" s="67" t="str">
        <f>IFERROR(VLOOKUP(База_КР_КК[[#This Row],[ИД штатной должности (S)]],'уровень защищенности'!$B$7:$F$1095,5,0),"не защищена")</f>
        <v>средний</v>
      </c>
      <c r="F1725" s="68">
        <v>500227</v>
      </c>
      <c r="G1725" s="74" t="s">
        <v>2547</v>
      </c>
      <c r="H1725" s="181">
        <f>INDEX('Списки данных'!$D$2:$D$1048576,MATCH(База_КР_КК[[#This Row],[Структурное подразделение]],'Списки данных'!$C$2:$C$1048576,0))</f>
        <v>11</v>
      </c>
      <c r="I1725" s="80" t="s">
        <v>169</v>
      </c>
      <c r="J1725" s="80" t="s">
        <v>220</v>
      </c>
      <c r="K1725" s="80" t="s">
        <v>21</v>
      </c>
      <c r="L1725" s="30" t="s">
        <v>191</v>
      </c>
      <c r="M1725" s="68">
        <v>7</v>
      </c>
      <c r="N1725" s="181" t="str">
        <f t="shared" si="27"/>
        <v>нет</v>
      </c>
      <c r="O1725" s="23"/>
      <c r="P1725" s="23"/>
      <c r="Q1725" s="106"/>
      <c r="R1725" s="37">
        <v>378</v>
      </c>
      <c r="S1725" s="38" t="s">
        <v>790</v>
      </c>
      <c r="T1725" s="37">
        <v>1485</v>
      </c>
      <c r="U1725" s="39" t="s">
        <v>1855</v>
      </c>
      <c r="V1725" s="69" t="s">
        <v>272</v>
      </c>
      <c r="W1725" s="89" t="s">
        <v>169</v>
      </c>
      <c r="X1725" s="106" t="s">
        <v>297</v>
      </c>
      <c r="Y1725" s="107" t="s">
        <v>18</v>
      </c>
      <c r="Z1725" s="67">
        <f>IF(База_КР_КК[[#This Row],[Таб.номер резервиста]]="-","-",IF(OR(База_КР_КК[[#This Row],[Уровень КК]]=2,База_КР_КК[[#This Row],[Уровень КК]]=3),IF(COUNTIFS($U$2:$U1725,$U1725,$F$2:$F1725,$F1725)=1,1,0),IF(COUNTIFS($U$2:$U1725,$U1725,$L$2:$L1725,$L1725)=1,1,0)))</f>
        <v>1</v>
      </c>
      <c r="AA17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5" s="106" t="s">
        <v>19</v>
      </c>
      <c r="AC1725" s="51">
        <v>44842</v>
      </c>
      <c r="AD1725" s="106" t="s">
        <v>15</v>
      </c>
      <c r="AE1725" s="38" t="s">
        <v>355</v>
      </c>
    </row>
    <row r="1726" spans="1:31" ht="18" customHeight="1" x14ac:dyDescent="0.25">
      <c r="A17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6" s="79">
        <v>4</v>
      </c>
      <c r="C1726" s="23">
        <v>44426</v>
      </c>
      <c r="D1726" s="67">
        <f>IF(COUNTIF($G$2:$G1726,$G1726)=1,1,0)</f>
        <v>1</v>
      </c>
      <c r="E1726" s="67" t="str">
        <f>IFERROR(VLOOKUP(База_КР_КК[[#This Row],[ИД штатной должности (S)]],'уровень защищенности'!$B$7:$F$1095,5,0),"не защищена")</f>
        <v>средний</v>
      </c>
      <c r="F1726" s="68">
        <v>500227</v>
      </c>
      <c r="G1726" s="74" t="s">
        <v>2548</v>
      </c>
      <c r="H1726" s="181">
        <f>INDEX('Списки данных'!$D$2:$D$1048576,MATCH(База_КР_КК[[#This Row],[Структурное подразделение]],'Списки данных'!$C$2:$C$1048576,0))</f>
        <v>11</v>
      </c>
      <c r="I1726" s="80" t="s">
        <v>169</v>
      </c>
      <c r="J1726" s="80" t="s">
        <v>220</v>
      </c>
      <c r="K1726" s="80" t="s">
        <v>21</v>
      </c>
      <c r="L1726" s="30" t="s">
        <v>191</v>
      </c>
      <c r="M1726" s="68">
        <v>7</v>
      </c>
      <c r="N1726" s="181" t="str">
        <f t="shared" si="27"/>
        <v>нет</v>
      </c>
      <c r="O1726" s="23"/>
      <c r="P1726" s="23"/>
      <c r="Q1726" s="106"/>
      <c r="R1726" s="37">
        <v>379</v>
      </c>
      <c r="S1726" s="38" t="s">
        <v>791</v>
      </c>
      <c r="T1726" s="37">
        <v>1482</v>
      </c>
      <c r="U1726" s="39" t="s">
        <v>1822</v>
      </c>
      <c r="V1726" s="69" t="s">
        <v>272</v>
      </c>
      <c r="W1726" s="89" t="s">
        <v>169</v>
      </c>
      <c r="X1726" s="106" t="s">
        <v>297</v>
      </c>
      <c r="Y1726" s="107" t="s">
        <v>12</v>
      </c>
      <c r="Z1726" s="67">
        <f>IF(База_КР_КК[[#This Row],[Таб.номер резервиста]]="-","-",IF(OR(База_КР_КК[[#This Row],[Уровень КК]]=2,База_КР_КК[[#This Row],[Уровень КК]]=3),IF(COUNTIFS($U$2:$U1726,$U1726,$F$2:$F1726,$F1726)=1,1,0),IF(COUNTIFS($U$2:$U1726,$U1726,$L$2:$L1726,$L1726)=1,1,0)))</f>
        <v>0</v>
      </c>
      <c r="AA17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6" s="106"/>
      <c r="AC1726" s="51"/>
      <c r="AD1726" s="106" t="s">
        <v>15</v>
      </c>
      <c r="AE1726" s="38" t="s">
        <v>355</v>
      </c>
    </row>
    <row r="1727" spans="1:31" ht="18" customHeight="1" x14ac:dyDescent="0.25">
      <c r="A17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7" s="79">
        <v>4</v>
      </c>
      <c r="C1727" s="23">
        <v>44888</v>
      </c>
      <c r="D1727" s="67">
        <f>IF(COUNTIF($G$2:$G1727,$G1727)=1,1,0)</f>
        <v>0</v>
      </c>
      <c r="E1727" s="67" t="str">
        <f>IFERROR(VLOOKUP(База_КР_КК[[#This Row],[ИД штатной должности (S)]],'уровень защищенности'!$B$7:$F$1095,5,0),"не защищена")</f>
        <v>средний</v>
      </c>
      <c r="F1727" s="68">
        <v>500227</v>
      </c>
      <c r="G1727" s="74" t="s">
        <v>2548</v>
      </c>
      <c r="H1727" s="181">
        <f>INDEX('Списки данных'!$D$2:$D$1048576,MATCH(База_КР_КК[[#This Row],[Структурное подразделение]],'Списки данных'!$C$2:$C$1048576,0))</f>
        <v>11</v>
      </c>
      <c r="I1727" s="80" t="s">
        <v>169</v>
      </c>
      <c r="J1727" s="80" t="s">
        <v>220</v>
      </c>
      <c r="K1727" s="80" t="s">
        <v>21</v>
      </c>
      <c r="L1727" s="30" t="s">
        <v>191</v>
      </c>
      <c r="M1727" s="68">
        <v>7</v>
      </c>
      <c r="N1727" s="181" t="str">
        <f t="shared" si="27"/>
        <v>нет</v>
      </c>
      <c r="O1727" s="23"/>
      <c r="P1727" s="23"/>
      <c r="Q1727" s="106"/>
      <c r="R1727" s="37">
        <v>379</v>
      </c>
      <c r="S1727" s="38" t="s">
        <v>791</v>
      </c>
      <c r="T1727" s="37">
        <v>1483</v>
      </c>
      <c r="U1727" s="39" t="s">
        <v>1853</v>
      </c>
      <c r="V1727" s="69" t="s">
        <v>272</v>
      </c>
      <c r="W1727" s="89" t="s">
        <v>169</v>
      </c>
      <c r="X1727" s="106" t="s">
        <v>296</v>
      </c>
      <c r="Y1727" s="107" t="s">
        <v>12</v>
      </c>
      <c r="Z1727" s="67">
        <f>IF(База_КР_КК[[#This Row],[Таб.номер резервиста]]="-","-",IF(OR(База_КР_КК[[#This Row],[Уровень КК]]=2,База_КР_КК[[#This Row],[Уровень КК]]=3),IF(COUNTIFS($U$2:$U1727,$U1727,$F$2:$F1727,$F1727)=1,1,0),IF(COUNTIFS($U$2:$U1727,$U1727,$L$2:$L1727,$L1727)=1,1,0)))</f>
        <v>0</v>
      </c>
      <c r="AA17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7" s="106"/>
      <c r="AC1727" s="51"/>
      <c r="AD1727" s="106" t="s">
        <v>15</v>
      </c>
      <c r="AE1727" s="38" t="s">
        <v>356</v>
      </c>
    </row>
    <row r="1728" spans="1:31" ht="18" customHeight="1" x14ac:dyDescent="0.25">
      <c r="A17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8" s="79">
        <v>4</v>
      </c>
      <c r="C1728" s="23">
        <v>44888</v>
      </c>
      <c r="D1728" s="67">
        <f>IF(COUNTIF($G$2:$G1728,$G1728)=1,1,0)</f>
        <v>0</v>
      </c>
      <c r="E1728" s="67" t="str">
        <f>IFERROR(VLOOKUP(База_КР_КК[[#This Row],[ИД штатной должности (S)]],'уровень защищенности'!$B$7:$F$1095,5,0),"не защищена")</f>
        <v>средний</v>
      </c>
      <c r="F1728" s="68">
        <v>500227</v>
      </c>
      <c r="G1728" s="74" t="s">
        <v>2548</v>
      </c>
      <c r="H1728" s="181">
        <f>INDEX('Списки данных'!$D$2:$D$1048576,MATCH(База_КР_КК[[#This Row],[Структурное подразделение]],'Списки данных'!$C$2:$C$1048576,0))</f>
        <v>11</v>
      </c>
      <c r="I1728" s="80" t="s">
        <v>169</v>
      </c>
      <c r="J1728" s="80" t="s">
        <v>220</v>
      </c>
      <c r="K1728" s="80" t="s">
        <v>21</v>
      </c>
      <c r="L1728" s="30" t="s">
        <v>191</v>
      </c>
      <c r="M1728" s="68">
        <v>7</v>
      </c>
      <c r="N1728" s="181" t="str">
        <f t="shared" si="27"/>
        <v>нет</v>
      </c>
      <c r="O1728" s="23"/>
      <c r="P1728" s="23"/>
      <c r="Q1728" s="106"/>
      <c r="R1728" s="37">
        <v>379</v>
      </c>
      <c r="S1728" s="38" t="s">
        <v>791</v>
      </c>
      <c r="T1728" s="37">
        <v>1484</v>
      </c>
      <c r="U1728" s="39" t="s">
        <v>1854</v>
      </c>
      <c r="V1728" s="69" t="s">
        <v>272</v>
      </c>
      <c r="W1728" s="89" t="s">
        <v>169</v>
      </c>
      <c r="X1728" s="106" t="s">
        <v>297</v>
      </c>
      <c r="Y1728" s="107" t="s">
        <v>12</v>
      </c>
      <c r="Z1728" s="67">
        <f>IF(База_КР_КК[[#This Row],[Таб.номер резервиста]]="-","-",IF(OR(База_КР_КК[[#This Row],[Уровень КК]]=2,База_КР_КК[[#This Row],[Уровень КК]]=3),IF(COUNTIFS($U$2:$U1728,$U1728,$F$2:$F1728,$F1728)=1,1,0),IF(COUNTIFS($U$2:$U1728,$U1728,$L$2:$L1728,$L1728)=1,1,0)))</f>
        <v>0</v>
      </c>
      <c r="AA17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8" s="106"/>
      <c r="AC1728" s="51"/>
      <c r="AD1728" s="106" t="s">
        <v>15</v>
      </c>
      <c r="AE1728" s="38" t="s">
        <v>356</v>
      </c>
    </row>
    <row r="1729" spans="1:31" ht="18" customHeight="1" x14ac:dyDescent="0.25">
      <c r="A17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29" s="79">
        <v>4</v>
      </c>
      <c r="C1729" s="23">
        <v>44426</v>
      </c>
      <c r="D1729" s="67">
        <f>IF(COUNTIF($G$2:$G1729,$G1729)=1,1,0)</f>
        <v>0</v>
      </c>
      <c r="E1729" s="67" t="str">
        <f>IFERROR(VLOOKUP(База_КР_КК[[#This Row],[ИД штатной должности (S)]],'уровень защищенности'!$B$7:$F$1095,5,0),"не защищена")</f>
        <v>средний</v>
      </c>
      <c r="F1729" s="68">
        <v>500227</v>
      </c>
      <c r="G1729" s="74" t="s">
        <v>2548</v>
      </c>
      <c r="H1729" s="181">
        <f>INDEX('Списки данных'!$D$2:$D$1048576,MATCH(База_КР_КК[[#This Row],[Структурное подразделение]],'Списки данных'!$C$2:$C$1048576,0))</f>
        <v>11</v>
      </c>
      <c r="I1729" s="80" t="s">
        <v>169</v>
      </c>
      <c r="J1729" s="80" t="s">
        <v>220</v>
      </c>
      <c r="K1729" s="80" t="s">
        <v>21</v>
      </c>
      <c r="L1729" s="30" t="s">
        <v>191</v>
      </c>
      <c r="M1729" s="68">
        <v>7</v>
      </c>
      <c r="N1729" s="181" t="str">
        <f t="shared" ref="N1729:N1792" si="28">IF(ISBLANK(O1729),"нет","да")</f>
        <v>нет</v>
      </c>
      <c r="O1729" s="23"/>
      <c r="P1729" s="23"/>
      <c r="Q1729" s="106"/>
      <c r="R1729" s="37">
        <v>379</v>
      </c>
      <c r="S1729" s="38" t="s">
        <v>791</v>
      </c>
      <c r="T1729" s="37">
        <v>1485</v>
      </c>
      <c r="U1729" s="39" t="s">
        <v>1855</v>
      </c>
      <c r="V1729" s="69" t="s">
        <v>272</v>
      </c>
      <c r="W1729" s="89" t="s">
        <v>169</v>
      </c>
      <c r="X1729" s="106" t="s">
        <v>297</v>
      </c>
      <c r="Y1729" s="107" t="s">
        <v>18</v>
      </c>
      <c r="Z1729" s="67">
        <f>IF(База_КР_КК[[#This Row],[Таб.номер резервиста]]="-","-",IF(OR(База_КР_КК[[#This Row],[Уровень КК]]=2,База_КР_КК[[#This Row],[Уровень КК]]=3),IF(COUNTIFS($U$2:$U1729,$U1729,$F$2:$F1729,$F1729)=1,1,0),IF(COUNTIFS($U$2:$U1729,$U1729,$L$2:$L1729,$L1729)=1,1,0)))</f>
        <v>0</v>
      </c>
      <c r="AA17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29" s="106" t="s">
        <v>19</v>
      </c>
      <c r="AC1729" s="51">
        <v>44842</v>
      </c>
      <c r="AD1729" s="106" t="s">
        <v>15</v>
      </c>
      <c r="AE1729" s="38" t="s">
        <v>355</v>
      </c>
    </row>
    <row r="1730" spans="1:31" ht="18" customHeight="1" x14ac:dyDescent="0.25">
      <c r="A17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0" s="79">
        <v>4</v>
      </c>
      <c r="C1730" s="23">
        <v>44426</v>
      </c>
      <c r="D1730" s="67">
        <f>IF(COUNTIF($G$2:$G1730,$G1730)=1,1,0)</f>
        <v>1</v>
      </c>
      <c r="E1730" s="67" t="str">
        <f>IFERROR(VLOOKUP(База_КР_КК[[#This Row],[ИД штатной должности (S)]],'уровень защищенности'!$B$7:$F$1095,5,0),"не защищена")</f>
        <v>средний</v>
      </c>
      <c r="F1730" s="68">
        <v>500227</v>
      </c>
      <c r="G1730" s="74" t="s">
        <v>2549</v>
      </c>
      <c r="H1730" s="181">
        <f>INDEX('Списки данных'!$D$2:$D$1048576,MATCH(База_КР_КК[[#This Row],[Структурное подразделение]],'Списки данных'!$C$2:$C$1048576,0))</f>
        <v>11</v>
      </c>
      <c r="I1730" s="80" t="s">
        <v>169</v>
      </c>
      <c r="J1730" s="80" t="s">
        <v>220</v>
      </c>
      <c r="K1730" s="80" t="s">
        <v>21</v>
      </c>
      <c r="L1730" s="30" t="s">
        <v>191</v>
      </c>
      <c r="M1730" s="68">
        <v>7</v>
      </c>
      <c r="N1730" s="181" t="str">
        <f t="shared" si="28"/>
        <v>нет</v>
      </c>
      <c r="O1730" s="23"/>
      <c r="P1730" s="23"/>
      <c r="Q1730" s="106"/>
      <c r="R1730" s="37">
        <v>380</v>
      </c>
      <c r="S1730" s="38" t="s">
        <v>792</v>
      </c>
      <c r="T1730" s="37">
        <v>1482</v>
      </c>
      <c r="U1730" s="39" t="s">
        <v>1822</v>
      </c>
      <c r="V1730" s="69" t="s">
        <v>272</v>
      </c>
      <c r="W1730" s="89" t="s">
        <v>169</v>
      </c>
      <c r="X1730" s="106" t="s">
        <v>297</v>
      </c>
      <c r="Y1730" s="107" t="s">
        <v>12</v>
      </c>
      <c r="Z1730" s="67">
        <f>IF(База_КР_КК[[#This Row],[Таб.номер резервиста]]="-","-",IF(OR(База_КР_КК[[#This Row],[Уровень КК]]=2,База_КР_КК[[#This Row],[Уровень КК]]=3),IF(COUNTIFS($U$2:$U1730,$U1730,$F$2:$F1730,$F1730)=1,1,0),IF(COUNTIFS($U$2:$U1730,$U1730,$L$2:$L1730,$L1730)=1,1,0)))</f>
        <v>0</v>
      </c>
      <c r="AA17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0" s="106"/>
      <c r="AC1730" s="51"/>
      <c r="AD1730" s="106" t="s">
        <v>15</v>
      </c>
      <c r="AE1730" s="38" t="s">
        <v>355</v>
      </c>
    </row>
    <row r="1731" spans="1:31" ht="18" customHeight="1" x14ac:dyDescent="0.25">
      <c r="A17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1" s="79">
        <v>4</v>
      </c>
      <c r="C1731" s="23">
        <v>44888</v>
      </c>
      <c r="D1731" s="67">
        <f>IF(COUNTIF($G$2:$G1731,$G1731)=1,1,0)</f>
        <v>0</v>
      </c>
      <c r="E1731" s="67" t="str">
        <f>IFERROR(VLOOKUP(База_КР_КК[[#This Row],[ИД штатной должности (S)]],'уровень защищенности'!$B$7:$F$1095,5,0),"не защищена")</f>
        <v>средний</v>
      </c>
      <c r="F1731" s="68">
        <v>500227</v>
      </c>
      <c r="G1731" s="74" t="s">
        <v>2549</v>
      </c>
      <c r="H1731" s="181">
        <f>INDEX('Списки данных'!$D$2:$D$1048576,MATCH(База_КР_КК[[#This Row],[Структурное подразделение]],'Списки данных'!$C$2:$C$1048576,0))</f>
        <v>11</v>
      </c>
      <c r="I1731" s="80" t="s">
        <v>169</v>
      </c>
      <c r="J1731" s="80" t="s">
        <v>220</v>
      </c>
      <c r="K1731" s="80" t="s">
        <v>21</v>
      </c>
      <c r="L1731" s="30" t="s">
        <v>191</v>
      </c>
      <c r="M1731" s="68">
        <v>7</v>
      </c>
      <c r="N1731" s="181" t="str">
        <f t="shared" si="28"/>
        <v>нет</v>
      </c>
      <c r="O1731" s="23"/>
      <c r="P1731" s="23"/>
      <c r="Q1731" s="106"/>
      <c r="R1731" s="37">
        <v>380</v>
      </c>
      <c r="S1731" s="38" t="s">
        <v>792</v>
      </c>
      <c r="T1731" s="37">
        <v>1483</v>
      </c>
      <c r="U1731" s="39" t="s">
        <v>1853</v>
      </c>
      <c r="V1731" s="69" t="s">
        <v>272</v>
      </c>
      <c r="W1731" s="89" t="s">
        <v>169</v>
      </c>
      <c r="X1731" s="106" t="s">
        <v>296</v>
      </c>
      <c r="Y1731" s="107" t="s">
        <v>12</v>
      </c>
      <c r="Z1731" s="67">
        <f>IF(База_КР_КК[[#This Row],[Таб.номер резервиста]]="-","-",IF(OR(База_КР_КК[[#This Row],[Уровень КК]]=2,База_КР_КК[[#This Row],[Уровень КК]]=3),IF(COUNTIFS($U$2:$U1731,$U1731,$F$2:$F1731,$F1731)=1,1,0),IF(COUNTIFS($U$2:$U1731,$U1731,$L$2:$L1731,$L1731)=1,1,0)))</f>
        <v>0</v>
      </c>
      <c r="AA17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1" s="106"/>
      <c r="AC1731" s="51"/>
      <c r="AD1731" s="106" t="s">
        <v>15</v>
      </c>
      <c r="AE1731" s="38" t="s">
        <v>356</v>
      </c>
    </row>
    <row r="1732" spans="1:31" ht="18" customHeight="1" x14ac:dyDescent="0.25">
      <c r="A17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2" s="79">
        <v>4</v>
      </c>
      <c r="C1732" s="23">
        <v>44888</v>
      </c>
      <c r="D1732" s="67">
        <f>IF(COUNTIF($G$2:$G1732,$G1732)=1,1,0)</f>
        <v>0</v>
      </c>
      <c r="E1732" s="67" t="str">
        <f>IFERROR(VLOOKUP(База_КР_КК[[#This Row],[ИД штатной должности (S)]],'уровень защищенности'!$B$7:$F$1095,5,0),"не защищена")</f>
        <v>средний</v>
      </c>
      <c r="F1732" s="68">
        <v>500227</v>
      </c>
      <c r="G1732" s="74" t="s">
        <v>2549</v>
      </c>
      <c r="H1732" s="181">
        <f>INDEX('Списки данных'!$D$2:$D$1048576,MATCH(База_КР_КК[[#This Row],[Структурное подразделение]],'Списки данных'!$C$2:$C$1048576,0))</f>
        <v>11</v>
      </c>
      <c r="I1732" s="80" t="s">
        <v>169</v>
      </c>
      <c r="J1732" s="80" t="s">
        <v>220</v>
      </c>
      <c r="K1732" s="80" t="s">
        <v>21</v>
      </c>
      <c r="L1732" s="30" t="s">
        <v>191</v>
      </c>
      <c r="M1732" s="68">
        <v>7</v>
      </c>
      <c r="N1732" s="181" t="str">
        <f t="shared" si="28"/>
        <v>нет</v>
      </c>
      <c r="O1732" s="23"/>
      <c r="P1732" s="23"/>
      <c r="Q1732" s="106"/>
      <c r="R1732" s="37">
        <v>380</v>
      </c>
      <c r="S1732" s="38" t="s">
        <v>792</v>
      </c>
      <c r="T1732" s="37">
        <v>1484</v>
      </c>
      <c r="U1732" s="39" t="s">
        <v>1854</v>
      </c>
      <c r="V1732" s="69" t="s">
        <v>272</v>
      </c>
      <c r="W1732" s="89" t="s">
        <v>169</v>
      </c>
      <c r="X1732" s="106" t="s">
        <v>297</v>
      </c>
      <c r="Y1732" s="107" t="s">
        <v>12</v>
      </c>
      <c r="Z1732" s="67">
        <f>IF(База_КР_КК[[#This Row],[Таб.номер резервиста]]="-","-",IF(OR(База_КР_КК[[#This Row],[Уровень КК]]=2,База_КР_КК[[#This Row],[Уровень КК]]=3),IF(COUNTIFS($U$2:$U1732,$U1732,$F$2:$F1732,$F1732)=1,1,0),IF(COUNTIFS($U$2:$U1732,$U1732,$L$2:$L1732,$L1732)=1,1,0)))</f>
        <v>0</v>
      </c>
      <c r="AA17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2" s="106"/>
      <c r="AC1732" s="51"/>
      <c r="AD1732" s="106" t="s">
        <v>15</v>
      </c>
      <c r="AE1732" s="38" t="s">
        <v>356</v>
      </c>
    </row>
    <row r="1733" spans="1:31" ht="18" customHeight="1" x14ac:dyDescent="0.25">
      <c r="A17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3" s="79">
        <v>4</v>
      </c>
      <c r="C1733" s="23">
        <v>44426</v>
      </c>
      <c r="D1733" s="67">
        <f>IF(COUNTIF($G$2:$G1733,$G1733)=1,1,0)</f>
        <v>0</v>
      </c>
      <c r="E1733" s="67" t="str">
        <f>IFERROR(VLOOKUP(База_КР_КК[[#This Row],[ИД штатной должности (S)]],'уровень защищенности'!$B$7:$F$1095,5,0),"не защищена")</f>
        <v>средний</v>
      </c>
      <c r="F1733" s="68">
        <v>500227</v>
      </c>
      <c r="G1733" s="74" t="s">
        <v>2549</v>
      </c>
      <c r="H1733" s="181">
        <f>INDEX('Списки данных'!$D$2:$D$1048576,MATCH(База_КР_КК[[#This Row],[Структурное подразделение]],'Списки данных'!$C$2:$C$1048576,0))</f>
        <v>11</v>
      </c>
      <c r="I1733" s="80" t="s">
        <v>169</v>
      </c>
      <c r="J1733" s="80" t="s">
        <v>220</v>
      </c>
      <c r="K1733" s="80" t="s">
        <v>21</v>
      </c>
      <c r="L1733" s="30" t="s">
        <v>191</v>
      </c>
      <c r="M1733" s="68">
        <v>7</v>
      </c>
      <c r="N1733" s="181" t="str">
        <f t="shared" si="28"/>
        <v>нет</v>
      </c>
      <c r="O1733" s="23"/>
      <c r="P1733" s="23"/>
      <c r="Q1733" s="106"/>
      <c r="R1733" s="37">
        <v>380</v>
      </c>
      <c r="S1733" s="38" t="s">
        <v>792</v>
      </c>
      <c r="T1733" s="37">
        <v>1485</v>
      </c>
      <c r="U1733" s="39" t="s">
        <v>1855</v>
      </c>
      <c r="V1733" s="69" t="s">
        <v>272</v>
      </c>
      <c r="W1733" s="89" t="s">
        <v>169</v>
      </c>
      <c r="X1733" s="106" t="s">
        <v>297</v>
      </c>
      <c r="Y1733" s="107" t="s">
        <v>18</v>
      </c>
      <c r="Z1733" s="67">
        <f>IF(База_КР_КК[[#This Row],[Таб.номер резервиста]]="-","-",IF(OR(База_КР_КК[[#This Row],[Уровень КК]]=2,База_КР_КК[[#This Row],[Уровень КК]]=3),IF(COUNTIFS($U$2:$U1733,$U1733,$F$2:$F1733,$F1733)=1,1,0),IF(COUNTIFS($U$2:$U1733,$U1733,$L$2:$L1733,$L1733)=1,1,0)))</f>
        <v>0</v>
      </c>
      <c r="AA17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3" s="106" t="s">
        <v>19</v>
      </c>
      <c r="AC1733" s="51">
        <v>44842</v>
      </c>
      <c r="AD1733" s="106" t="s">
        <v>15</v>
      </c>
      <c r="AE1733" s="38" t="s">
        <v>355</v>
      </c>
    </row>
    <row r="1734" spans="1:31" ht="18" customHeight="1" x14ac:dyDescent="0.25">
      <c r="A17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4" s="79">
        <v>4</v>
      </c>
      <c r="C1734" s="23">
        <v>44426</v>
      </c>
      <c r="D1734" s="67">
        <f>IF(COUNTIF($G$2:$G1734,$G1734)=1,1,0)</f>
        <v>1</v>
      </c>
      <c r="E1734" s="67" t="str">
        <f>IFERROR(VLOOKUP(База_КР_КК[[#This Row],[ИД штатной должности (S)]],'уровень защищенности'!$B$7:$F$1095,5,0),"не защищена")</f>
        <v>средний</v>
      </c>
      <c r="F1734" s="68">
        <v>500227</v>
      </c>
      <c r="G1734" s="74" t="s">
        <v>2550</v>
      </c>
      <c r="H1734" s="181">
        <f>INDEX('Списки данных'!$D$2:$D$1048576,MATCH(База_КР_КК[[#This Row],[Структурное подразделение]],'Списки данных'!$C$2:$C$1048576,0))</f>
        <v>11</v>
      </c>
      <c r="I1734" s="80" t="s">
        <v>169</v>
      </c>
      <c r="J1734" s="80" t="s">
        <v>220</v>
      </c>
      <c r="K1734" s="80" t="s">
        <v>21</v>
      </c>
      <c r="L1734" s="30" t="s">
        <v>191</v>
      </c>
      <c r="M1734" s="68">
        <v>7</v>
      </c>
      <c r="N1734" s="181" t="str">
        <f t="shared" si="28"/>
        <v>нет</v>
      </c>
      <c r="O1734" s="23"/>
      <c r="P1734" s="23"/>
      <c r="Q1734" s="106"/>
      <c r="R1734" s="37">
        <v>381</v>
      </c>
      <c r="S1734" s="38" t="s">
        <v>793</v>
      </c>
      <c r="T1734" s="37">
        <v>1482</v>
      </c>
      <c r="U1734" s="39" t="s">
        <v>1822</v>
      </c>
      <c r="V1734" s="69" t="s">
        <v>272</v>
      </c>
      <c r="W1734" s="89" t="s">
        <v>169</v>
      </c>
      <c r="X1734" s="106" t="s">
        <v>297</v>
      </c>
      <c r="Y1734" s="107" t="s">
        <v>12</v>
      </c>
      <c r="Z1734" s="67">
        <f>IF(База_КР_КК[[#This Row],[Таб.номер резервиста]]="-","-",IF(OR(База_КР_КК[[#This Row],[Уровень КК]]=2,База_КР_КК[[#This Row],[Уровень КК]]=3),IF(COUNTIFS($U$2:$U1734,$U1734,$F$2:$F1734,$F1734)=1,1,0),IF(COUNTIFS($U$2:$U1734,$U1734,$L$2:$L1734,$L1734)=1,1,0)))</f>
        <v>0</v>
      </c>
      <c r="AA17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4" s="106"/>
      <c r="AC1734" s="51"/>
      <c r="AD1734" s="106" t="s">
        <v>15</v>
      </c>
      <c r="AE1734" s="38" t="s">
        <v>355</v>
      </c>
    </row>
    <row r="1735" spans="1:31" ht="18" customHeight="1" x14ac:dyDescent="0.25">
      <c r="A17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5" s="79">
        <v>4</v>
      </c>
      <c r="C1735" s="23">
        <v>44888</v>
      </c>
      <c r="D1735" s="67">
        <f>IF(COUNTIF($G$2:$G1735,$G1735)=1,1,0)</f>
        <v>0</v>
      </c>
      <c r="E1735" s="67" t="str">
        <f>IFERROR(VLOOKUP(База_КР_КК[[#This Row],[ИД штатной должности (S)]],'уровень защищенности'!$B$7:$F$1095,5,0),"не защищена")</f>
        <v>средний</v>
      </c>
      <c r="F1735" s="68">
        <v>500227</v>
      </c>
      <c r="G1735" s="74" t="s">
        <v>2550</v>
      </c>
      <c r="H1735" s="181">
        <f>INDEX('Списки данных'!$D$2:$D$1048576,MATCH(База_КР_КК[[#This Row],[Структурное подразделение]],'Списки данных'!$C$2:$C$1048576,0))</f>
        <v>11</v>
      </c>
      <c r="I1735" s="80" t="s">
        <v>169</v>
      </c>
      <c r="J1735" s="80" t="s">
        <v>220</v>
      </c>
      <c r="K1735" s="80" t="s">
        <v>21</v>
      </c>
      <c r="L1735" s="30" t="s">
        <v>191</v>
      </c>
      <c r="M1735" s="68">
        <v>7</v>
      </c>
      <c r="N1735" s="181" t="str">
        <f t="shared" si="28"/>
        <v>нет</v>
      </c>
      <c r="O1735" s="23"/>
      <c r="P1735" s="23"/>
      <c r="Q1735" s="106"/>
      <c r="R1735" s="37">
        <v>381</v>
      </c>
      <c r="S1735" s="38" t="s">
        <v>793</v>
      </c>
      <c r="T1735" s="37">
        <v>1483</v>
      </c>
      <c r="U1735" s="39" t="s">
        <v>1853</v>
      </c>
      <c r="V1735" s="69" t="s">
        <v>272</v>
      </c>
      <c r="W1735" s="89" t="s">
        <v>169</v>
      </c>
      <c r="X1735" s="106" t="s">
        <v>296</v>
      </c>
      <c r="Y1735" s="107" t="s">
        <v>12</v>
      </c>
      <c r="Z1735" s="67">
        <f>IF(База_КР_КК[[#This Row],[Таб.номер резервиста]]="-","-",IF(OR(База_КР_КК[[#This Row],[Уровень КК]]=2,База_КР_КК[[#This Row],[Уровень КК]]=3),IF(COUNTIFS($U$2:$U1735,$U1735,$F$2:$F1735,$F1735)=1,1,0),IF(COUNTIFS($U$2:$U1735,$U1735,$L$2:$L1735,$L1735)=1,1,0)))</f>
        <v>0</v>
      </c>
      <c r="AA17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5" s="106"/>
      <c r="AC1735" s="51"/>
      <c r="AD1735" s="106" t="s">
        <v>15</v>
      </c>
      <c r="AE1735" s="38" t="s">
        <v>356</v>
      </c>
    </row>
    <row r="1736" spans="1:31" ht="18" customHeight="1" x14ac:dyDescent="0.25">
      <c r="A17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6" s="79">
        <v>4</v>
      </c>
      <c r="C1736" s="23">
        <v>44888</v>
      </c>
      <c r="D1736" s="67">
        <f>IF(COUNTIF($G$2:$G1736,$G1736)=1,1,0)</f>
        <v>0</v>
      </c>
      <c r="E1736" s="67" t="str">
        <f>IFERROR(VLOOKUP(База_КР_КК[[#This Row],[ИД штатной должности (S)]],'уровень защищенности'!$B$7:$F$1095,5,0),"не защищена")</f>
        <v>средний</v>
      </c>
      <c r="F1736" s="68">
        <v>500227</v>
      </c>
      <c r="G1736" s="74" t="s">
        <v>2550</v>
      </c>
      <c r="H1736" s="181">
        <f>INDEX('Списки данных'!$D$2:$D$1048576,MATCH(База_КР_КК[[#This Row],[Структурное подразделение]],'Списки данных'!$C$2:$C$1048576,0))</f>
        <v>11</v>
      </c>
      <c r="I1736" s="80" t="s">
        <v>169</v>
      </c>
      <c r="J1736" s="80" t="s">
        <v>220</v>
      </c>
      <c r="K1736" s="80" t="s">
        <v>21</v>
      </c>
      <c r="L1736" s="30" t="s">
        <v>191</v>
      </c>
      <c r="M1736" s="68">
        <v>7</v>
      </c>
      <c r="N1736" s="181" t="str">
        <f t="shared" si="28"/>
        <v>нет</v>
      </c>
      <c r="O1736" s="23"/>
      <c r="P1736" s="23"/>
      <c r="Q1736" s="106"/>
      <c r="R1736" s="37">
        <v>381</v>
      </c>
      <c r="S1736" s="38" t="s">
        <v>793</v>
      </c>
      <c r="T1736" s="37">
        <v>1484</v>
      </c>
      <c r="U1736" s="39" t="s">
        <v>1854</v>
      </c>
      <c r="V1736" s="69" t="s">
        <v>272</v>
      </c>
      <c r="W1736" s="89" t="s">
        <v>169</v>
      </c>
      <c r="X1736" s="106" t="s">
        <v>297</v>
      </c>
      <c r="Y1736" s="107" t="s">
        <v>12</v>
      </c>
      <c r="Z1736" s="67">
        <f>IF(База_КР_КК[[#This Row],[Таб.номер резервиста]]="-","-",IF(OR(База_КР_КК[[#This Row],[Уровень КК]]=2,База_КР_КК[[#This Row],[Уровень КК]]=3),IF(COUNTIFS($U$2:$U1736,$U1736,$F$2:$F1736,$F1736)=1,1,0),IF(COUNTIFS($U$2:$U1736,$U1736,$L$2:$L1736,$L1736)=1,1,0)))</f>
        <v>0</v>
      </c>
      <c r="AA17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6" s="106"/>
      <c r="AC1736" s="51"/>
      <c r="AD1736" s="106" t="s">
        <v>15</v>
      </c>
      <c r="AE1736" s="38" t="s">
        <v>356</v>
      </c>
    </row>
    <row r="1737" spans="1:31" ht="18" customHeight="1" x14ac:dyDescent="0.25">
      <c r="A17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7" s="79">
        <v>4</v>
      </c>
      <c r="C1737" s="23">
        <v>44426</v>
      </c>
      <c r="D1737" s="67">
        <f>IF(COUNTIF($G$2:$G1737,$G1737)=1,1,0)</f>
        <v>0</v>
      </c>
      <c r="E1737" s="67" t="str">
        <f>IFERROR(VLOOKUP(База_КР_КК[[#This Row],[ИД штатной должности (S)]],'уровень защищенности'!$B$7:$F$1095,5,0),"не защищена")</f>
        <v>средний</v>
      </c>
      <c r="F1737" s="68">
        <v>500227</v>
      </c>
      <c r="G1737" s="74" t="s">
        <v>2550</v>
      </c>
      <c r="H1737" s="181">
        <f>INDEX('Списки данных'!$D$2:$D$1048576,MATCH(База_КР_КК[[#This Row],[Структурное подразделение]],'Списки данных'!$C$2:$C$1048576,0))</f>
        <v>11</v>
      </c>
      <c r="I1737" s="80" t="s">
        <v>169</v>
      </c>
      <c r="J1737" s="80" t="s">
        <v>220</v>
      </c>
      <c r="K1737" s="80" t="s">
        <v>21</v>
      </c>
      <c r="L1737" s="30" t="s">
        <v>191</v>
      </c>
      <c r="M1737" s="68">
        <v>7</v>
      </c>
      <c r="N1737" s="181" t="str">
        <f t="shared" si="28"/>
        <v>нет</v>
      </c>
      <c r="O1737" s="23"/>
      <c r="P1737" s="23"/>
      <c r="Q1737" s="106"/>
      <c r="R1737" s="37">
        <v>381</v>
      </c>
      <c r="S1737" s="38" t="s">
        <v>793</v>
      </c>
      <c r="T1737" s="37">
        <v>1485</v>
      </c>
      <c r="U1737" s="39" t="s">
        <v>1855</v>
      </c>
      <c r="V1737" s="69" t="s">
        <v>272</v>
      </c>
      <c r="W1737" s="89" t="s">
        <v>169</v>
      </c>
      <c r="X1737" s="106" t="s">
        <v>297</v>
      </c>
      <c r="Y1737" s="107" t="s">
        <v>18</v>
      </c>
      <c r="Z1737" s="67">
        <f>IF(База_КР_КК[[#This Row],[Таб.номер резервиста]]="-","-",IF(OR(База_КР_КК[[#This Row],[Уровень КК]]=2,База_КР_КК[[#This Row],[Уровень КК]]=3),IF(COUNTIFS($U$2:$U1737,$U1737,$F$2:$F1737,$F1737)=1,1,0),IF(COUNTIFS($U$2:$U1737,$U1737,$L$2:$L1737,$L1737)=1,1,0)))</f>
        <v>0</v>
      </c>
      <c r="AA17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7" s="106" t="s">
        <v>19</v>
      </c>
      <c r="AC1737" s="51">
        <v>44842</v>
      </c>
      <c r="AD1737" s="106" t="s">
        <v>15</v>
      </c>
      <c r="AE1737" s="38" t="s">
        <v>355</v>
      </c>
    </row>
    <row r="1738" spans="1:31" ht="18" customHeight="1" x14ac:dyDescent="0.25">
      <c r="A17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8" s="79">
        <v>3</v>
      </c>
      <c r="C1738" s="23">
        <v>43174</v>
      </c>
      <c r="D1738" s="67">
        <f>IF(COUNTIF($G$2:$G1738,$G1738)=1,1,0)</f>
        <v>1</v>
      </c>
      <c r="E1738" s="67" t="str">
        <f>IFERROR(VLOOKUP(База_КР_КК[[#This Row],[ИД штатной должности (S)]],'уровень защищенности'!$B$7:$F$1095,5,0),"не защищена")</f>
        <v>средний</v>
      </c>
      <c r="F1738" s="68">
        <v>500228</v>
      </c>
      <c r="G1738" s="74" t="s">
        <v>2551</v>
      </c>
      <c r="H1738" s="181">
        <f>INDEX('Списки данных'!$D$2:$D$1048576,MATCH(База_КР_КК[[#This Row],[Структурное подразделение]],'Списки данных'!$C$2:$C$1048576,0))</f>
        <v>11</v>
      </c>
      <c r="I1738" s="80" t="s">
        <v>169</v>
      </c>
      <c r="J1738" s="80" t="s">
        <v>220</v>
      </c>
      <c r="K1738" s="80" t="s">
        <v>21</v>
      </c>
      <c r="L1738" s="30" t="s">
        <v>198</v>
      </c>
      <c r="M1738" s="68">
        <v>6</v>
      </c>
      <c r="N1738" s="181" t="str">
        <f t="shared" si="28"/>
        <v>нет</v>
      </c>
      <c r="O1738" s="23"/>
      <c r="P1738" s="23"/>
      <c r="Q1738" s="106"/>
      <c r="R1738" s="37">
        <v>382</v>
      </c>
      <c r="S1738" s="38" t="s">
        <v>794</v>
      </c>
      <c r="T1738" s="37">
        <v>1486</v>
      </c>
      <c r="U1738" s="39" t="s">
        <v>1856</v>
      </c>
      <c r="V1738" s="89" t="s">
        <v>192</v>
      </c>
      <c r="W1738" s="80" t="s">
        <v>169</v>
      </c>
      <c r="X1738" s="106" t="s">
        <v>295</v>
      </c>
      <c r="Y1738" s="107" t="s">
        <v>18</v>
      </c>
      <c r="Z1738" s="67">
        <f>IF(База_КР_КК[[#This Row],[Таб.номер резервиста]]="-","-",IF(OR(База_КР_КК[[#This Row],[Уровень КК]]=2,База_КР_КК[[#This Row],[Уровень КК]]=3),IF(COUNTIFS($U$2:$U1738,$U1738,$F$2:$F1738,$F1738)=1,1,0),IF(COUNTIFS($U$2:$U1738,$U1738,$L$2:$L1738,$L1738)=1,1,0)))</f>
        <v>1</v>
      </c>
      <c r="AA17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8" s="106" t="s">
        <v>19</v>
      </c>
      <c r="AC1738" s="51">
        <v>45061</v>
      </c>
      <c r="AD1738" s="106" t="s">
        <v>13</v>
      </c>
      <c r="AE1738" s="38" t="s">
        <v>353</v>
      </c>
    </row>
    <row r="1739" spans="1:31" ht="18" customHeight="1" x14ac:dyDescent="0.25">
      <c r="A17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39" s="79">
        <v>3</v>
      </c>
      <c r="C1739" s="23">
        <v>43174</v>
      </c>
      <c r="D1739" s="67">
        <f>IF(COUNTIF($G$2:$G1739,$G1739)=1,1,0)</f>
        <v>0</v>
      </c>
      <c r="E1739" s="67" t="str">
        <f>IFERROR(VLOOKUP(База_КР_КК[[#This Row],[ИД штатной должности (S)]],'уровень защищенности'!$B$7:$F$1095,5,0),"не защищена")</f>
        <v>средний</v>
      </c>
      <c r="F1739" s="68">
        <v>500228</v>
      </c>
      <c r="G1739" s="74" t="s">
        <v>2551</v>
      </c>
      <c r="H1739" s="181">
        <f>INDEX('Списки данных'!$D$2:$D$1048576,MATCH(База_КР_КК[[#This Row],[Структурное подразделение]],'Списки данных'!$C$2:$C$1048576,0))</f>
        <v>11</v>
      </c>
      <c r="I1739" s="80" t="s">
        <v>169</v>
      </c>
      <c r="J1739" s="80" t="s">
        <v>220</v>
      </c>
      <c r="K1739" s="80" t="s">
        <v>21</v>
      </c>
      <c r="L1739" s="30" t="s">
        <v>198</v>
      </c>
      <c r="M1739" s="68">
        <v>6</v>
      </c>
      <c r="N1739" s="181" t="str">
        <f t="shared" si="28"/>
        <v>нет</v>
      </c>
      <c r="O1739" s="23"/>
      <c r="P1739" s="23"/>
      <c r="Q1739" s="106"/>
      <c r="R1739" s="37">
        <v>382</v>
      </c>
      <c r="S1739" s="38" t="s">
        <v>794</v>
      </c>
      <c r="T1739" s="37">
        <v>386</v>
      </c>
      <c r="U1739" s="39" t="s">
        <v>798</v>
      </c>
      <c r="V1739" s="89" t="s">
        <v>192</v>
      </c>
      <c r="W1739" s="80" t="s">
        <v>169</v>
      </c>
      <c r="X1739" s="106" t="s">
        <v>297</v>
      </c>
      <c r="Y1739" s="107" t="s">
        <v>12</v>
      </c>
      <c r="Z1739" s="67">
        <f>IF(База_КР_КК[[#This Row],[Таб.номер резервиста]]="-","-",IF(OR(База_КР_КК[[#This Row],[Уровень КК]]=2,База_КР_КК[[#This Row],[Уровень КК]]=3),IF(COUNTIFS($U$2:$U1739,$U1739,$F$2:$F1739,$F1739)=1,1,0),IF(COUNTIFS($U$2:$U1739,$U1739,$L$2:$L1739,$L1739)=1,1,0)))</f>
        <v>1</v>
      </c>
      <c r="AA17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39" s="106"/>
      <c r="AC1739" s="51"/>
      <c r="AD1739" s="106" t="s">
        <v>13</v>
      </c>
      <c r="AE1739" s="38" t="s">
        <v>353</v>
      </c>
    </row>
    <row r="1740" spans="1:31" ht="18" customHeight="1" x14ac:dyDescent="0.25">
      <c r="A17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0" s="79">
        <v>4</v>
      </c>
      <c r="C1740" s="23">
        <v>44426</v>
      </c>
      <c r="D1740" s="67">
        <f>IF(COUNTIF($G$2:$G1740,$G1740)=1,1,0)</f>
        <v>1</v>
      </c>
      <c r="E1740" s="67" t="str">
        <f>IFERROR(VLOOKUP(База_КР_КК[[#This Row],[ИД штатной должности (S)]],'уровень защищенности'!$B$7:$F$1095,5,0),"не защищена")</f>
        <v>средний</v>
      </c>
      <c r="F1740" s="68">
        <v>500229</v>
      </c>
      <c r="G1740" s="74" t="s">
        <v>2552</v>
      </c>
      <c r="H1740" s="181">
        <f>INDEX('Списки данных'!$D$2:$D$1048576,MATCH(База_КР_КК[[#This Row],[Структурное подразделение]],'Списки данных'!$C$2:$C$1048576,0))</f>
        <v>11</v>
      </c>
      <c r="I1740" s="80" t="s">
        <v>169</v>
      </c>
      <c r="J1740" s="80" t="s">
        <v>220</v>
      </c>
      <c r="K1740" s="80" t="s">
        <v>21</v>
      </c>
      <c r="L1740" s="30" t="s">
        <v>192</v>
      </c>
      <c r="M1740" s="68">
        <v>7</v>
      </c>
      <c r="N1740" s="181" t="str">
        <f t="shared" si="28"/>
        <v>да</v>
      </c>
      <c r="O1740" s="23">
        <v>45080</v>
      </c>
      <c r="P1740" s="23">
        <v>45080</v>
      </c>
      <c r="Q1740" s="106" t="s">
        <v>66</v>
      </c>
      <c r="R1740" s="37">
        <v>383</v>
      </c>
      <c r="S1740" s="38" t="s">
        <v>795</v>
      </c>
      <c r="T1740" s="37">
        <v>383</v>
      </c>
      <c r="U1740" s="39" t="s">
        <v>795</v>
      </c>
      <c r="V1740" s="69" t="s">
        <v>272</v>
      </c>
      <c r="W1740" s="89" t="s">
        <v>169</v>
      </c>
      <c r="X1740" s="106" t="s">
        <v>295</v>
      </c>
      <c r="Y1740" s="107" t="s">
        <v>14</v>
      </c>
      <c r="Z1740" s="67">
        <f>IF(База_КР_КК[[#This Row],[Таб.номер резервиста]]="-","-",IF(OR(База_КР_КК[[#This Row],[Уровень КК]]=2,База_КР_КК[[#This Row],[Уровень КК]]=3),IF(COUNTIFS($U$2:$U1740,$U1740,$F$2:$F1740,$F1740)=1,1,0),IF(COUNTIFS($U$2:$U1740,$U1740,$L$2:$L1740,$L1740)=1,1,0)))</f>
        <v>1</v>
      </c>
      <c r="AA17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740" s="106" t="s">
        <v>24</v>
      </c>
      <c r="AC1740" s="51">
        <v>45080</v>
      </c>
      <c r="AD1740" s="106" t="s">
        <v>15</v>
      </c>
      <c r="AE1740" s="38" t="s">
        <v>355</v>
      </c>
    </row>
    <row r="1741" spans="1:31" ht="18" customHeight="1" x14ac:dyDescent="0.25">
      <c r="A17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1" s="79">
        <v>4</v>
      </c>
      <c r="C1741" s="23">
        <v>44426</v>
      </c>
      <c r="D1741" s="67">
        <f>IF(COUNTIF($G$2:$G1741,$G1741)=1,1,0)</f>
        <v>0</v>
      </c>
      <c r="E1741" s="67" t="str">
        <f>IFERROR(VLOOKUP(База_КР_КК[[#This Row],[ИД штатной должности (S)]],'уровень защищенности'!$B$7:$F$1095,5,0),"не защищена")</f>
        <v>средний</v>
      </c>
      <c r="F1741" s="68">
        <v>500229</v>
      </c>
      <c r="G1741" s="74" t="s">
        <v>2552</v>
      </c>
      <c r="H1741" s="181">
        <f>INDEX('Списки данных'!$D$2:$D$1048576,MATCH(База_КР_КК[[#This Row],[Структурное подразделение]],'Списки данных'!$C$2:$C$1048576,0))</f>
        <v>11</v>
      </c>
      <c r="I1741" s="80" t="s">
        <v>169</v>
      </c>
      <c r="J1741" s="80" t="s">
        <v>220</v>
      </c>
      <c r="K1741" s="80" t="s">
        <v>21</v>
      </c>
      <c r="L1741" s="30" t="s">
        <v>192</v>
      </c>
      <c r="M1741" s="68">
        <v>7</v>
      </c>
      <c r="N1741" s="181" t="str">
        <f t="shared" si="28"/>
        <v>да</v>
      </c>
      <c r="O1741" s="23">
        <v>45080</v>
      </c>
      <c r="P1741" s="23">
        <v>45080</v>
      </c>
      <c r="Q1741" s="106" t="s">
        <v>66</v>
      </c>
      <c r="R1741" s="37">
        <v>383</v>
      </c>
      <c r="S1741" s="38" t="s">
        <v>795</v>
      </c>
      <c r="T1741" s="37">
        <v>1488</v>
      </c>
      <c r="U1741" s="39" t="s">
        <v>1591</v>
      </c>
      <c r="V1741" s="69" t="s">
        <v>272</v>
      </c>
      <c r="W1741" s="89" t="s">
        <v>169</v>
      </c>
      <c r="X1741" s="106" t="s">
        <v>297</v>
      </c>
      <c r="Y1741" s="107" t="s">
        <v>12</v>
      </c>
      <c r="Z1741" s="67">
        <f>IF(База_КР_КК[[#This Row],[Таб.номер резервиста]]="-","-",IF(OR(База_КР_КК[[#This Row],[Уровень КК]]=2,База_КР_КК[[#This Row],[Уровень КК]]=3),IF(COUNTIFS($U$2:$U1741,$U1741,$F$2:$F1741,$F1741)=1,1,0),IF(COUNTIFS($U$2:$U1741,$U1741,$L$2:$L1741,$L1741)=1,1,0)))</f>
        <v>0</v>
      </c>
      <c r="AA17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1" s="106"/>
      <c r="AC1741" s="51"/>
      <c r="AD1741" s="106" t="s">
        <v>17</v>
      </c>
      <c r="AE1741" s="38" t="s">
        <v>356</v>
      </c>
    </row>
    <row r="1742" spans="1:31" ht="18" customHeight="1" x14ac:dyDescent="0.25">
      <c r="A17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2" s="79">
        <v>4</v>
      </c>
      <c r="C1742" s="23">
        <v>44426</v>
      </c>
      <c r="D1742" s="67">
        <f>IF(COUNTIF($G$2:$G1742,$G1742)=1,1,0)</f>
        <v>1</v>
      </c>
      <c r="E1742" s="67" t="str">
        <f>IFERROR(VLOOKUP(База_КР_КК[[#This Row],[ИД штатной должности (S)]],'уровень защищенности'!$B$7:$F$1095,5,0),"не защищена")</f>
        <v>средний</v>
      </c>
      <c r="F1742" s="68">
        <v>500230</v>
      </c>
      <c r="G1742" s="74" t="s">
        <v>2553</v>
      </c>
      <c r="H1742" s="181">
        <f>INDEX('Списки данных'!$D$2:$D$1048576,MATCH(База_КР_КК[[#This Row],[Структурное подразделение]],'Списки данных'!$C$2:$C$1048576,0))</f>
        <v>11</v>
      </c>
      <c r="I1742" s="80" t="s">
        <v>169</v>
      </c>
      <c r="J1742" s="80" t="s">
        <v>220</v>
      </c>
      <c r="K1742" s="80" t="s">
        <v>21</v>
      </c>
      <c r="L1742" s="30" t="s">
        <v>191</v>
      </c>
      <c r="M1742" s="68">
        <v>7</v>
      </c>
      <c r="N1742" s="181" t="str">
        <f t="shared" si="28"/>
        <v>нет</v>
      </c>
      <c r="O1742" s="23"/>
      <c r="P1742" s="23"/>
      <c r="Q1742" s="106"/>
      <c r="R1742" s="37">
        <v>384</v>
      </c>
      <c r="S1742" s="38" t="s">
        <v>796</v>
      </c>
      <c r="T1742" s="37">
        <v>383</v>
      </c>
      <c r="U1742" s="39" t="s">
        <v>795</v>
      </c>
      <c r="V1742" s="69" t="s">
        <v>272</v>
      </c>
      <c r="W1742" s="89" t="s">
        <v>169</v>
      </c>
      <c r="X1742" s="106" t="s">
        <v>295</v>
      </c>
      <c r="Y1742" s="107" t="s">
        <v>18</v>
      </c>
      <c r="Z1742" s="67">
        <f>IF(База_КР_КК[[#This Row],[Таб.номер резервиста]]="-","-",IF(OR(База_КР_КК[[#This Row],[Уровень КК]]=2,База_КР_КК[[#This Row],[Уровень КК]]=3),IF(COUNTIFS($U$2:$U1742,$U1742,$F$2:$F1742,$F1742)=1,1,0),IF(COUNTIFS($U$2:$U1742,$U1742,$L$2:$L1742,$L1742)=1,1,0)))</f>
        <v>1</v>
      </c>
      <c r="AA17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2" s="106" t="s">
        <v>24</v>
      </c>
      <c r="AC1742" s="51">
        <v>45080</v>
      </c>
      <c r="AD1742" s="106" t="s">
        <v>15</v>
      </c>
      <c r="AE1742" s="38" t="s">
        <v>355</v>
      </c>
    </row>
    <row r="1743" spans="1:31" ht="18" customHeight="1" x14ac:dyDescent="0.25">
      <c r="A17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3" s="79">
        <v>4</v>
      </c>
      <c r="C1743" s="23">
        <v>44426</v>
      </c>
      <c r="D1743" s="67">
        <f>IF(COUNTIF($G$2:$G1743,$G1743)=1,1,0)</f>
        <v>0</v>
      </c>
      <c r="E1743" s="67" t="str">
        <f>IFERROR(VLOOKUP(База_КР_КК[[#This Row],[ИД штатной должности (S)]],'уровень защищенности'!$B$7:$F$1095,5,0),"не защищена")</f>
        <v>средний</v>
      </c>
      <c r="F1743" s="68">
        <v>500230</v>
      </c>
      <c r="G1743" s="74" t="s">
        <v>2553</v>
      </c>
      <c r="H1743" s="181">
        <f>INDEX('Списки данных'!$D$2:$D$1048576,MATCH(База_КР_КК[[#This Row],[Структурное подразделение]],'Списки данных'!$C$2:$C$1048576,0))</f>
        <v>11</v>
      </c>
      <c r="I1743" s="80" t="s">
        <v>169</v>
      </c>
      <c r="J1743" s="80" t="s">
        <v>220</v>
      </c>
      <c r="K1743" s="80" t="s">
        <v>21</v>
      </c>
      <c r="L1743" s="30" t="s">
        <v>191</v>
      </c>
      <c r="M1743" s="68">
        <v>7</v>
      </c>
      <c r="N1743" s="181" t="str">
        <f t="shared" si="28"/>
        <v>нет</v>
      </c>
      <c r="O1743" s="23"/>
      <c r="P1743" s="23"/>
      <c r="Q1743" s="106"/>
      <c r="R1743" s="37">
        <v>384</v>
      </c>
      <c r="S1743" s="38" t="s">
        <v>796</v>
      </c>
      <c r="T1743" s="37">
        <v>387</v>
      </c>
      <c r="U1743" s="39" t="s">
        <v>799</v>
      </c>
      <c r="V1743" s="69" t="s">
        <v>272</v>
      </c>
      <c r="W1743" s="89" t="s">
        <v>169</v>
      </c>
      <c r="X1743" s="106" t="s">
        <v>295</v>
      </c>
      <c r="Y1743" s="107" t="s">
        <v>14</v>
      </c>
      <c r="Z1743" s="67">
        <f>IF(База_КР_КК[[#This Row],[Таб.номер резервиста]]="-","-",IF(OR(База_КР_КК[[#This Row],[Уровень КК]]=2,База_КР_КК[[#This Row],[Уровень КК]]=3),IF(COUNTIFS($U$2:$U1743,$U1743,$F$2:$F1743,$F1743)=1,1,0),IF(COUNTIFS($U$2:$U1743,$U1743,$L$2:$L1743,$L1743)=1,1,0)))</f>
        <v>1</v>
      </c>
      <c r="AA17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3" s="106" t="s">
        <v>24</v>
      </c>
      <c r="AC1743" s="51">
        <v>45078</v>
      </c>
      <c r="AD1743" s="106" t="s">
        <v>17</v>
      </c>
      <c r="AE1743" s="38" t="s">
        <v>356</v>
      </c>
    </row>
    <row r="1744" spans="1:31" ht="18" customHeight="1" x14ac:dyDescent="0.25">
      <c r="A17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4" s="79">
        <v>4</v>
      </c>
      <c r="C1744" s="23">
        <v>44918</v>
      </c>
      <c r="D1744" s="67">
        <f>IF(COUNTIF($G$2:$G1744,$G1744)=1,1,0)</f>
        <v>0</v>
      </c>
      <c r="E1744" s="67" t="str">
        <f>IFERROR(VLOOKUP(База_КР_КК[[#This Row],[ИД штатной должности (S)]],'уровень защищенности'!$B$7:$F$1095,5,0),"не защищена")</f>
        <v>средний</v>
      </c>
      <c r="F1744" s="68">
        <v>500230</v>
      </c>
      <c r="G1744" s="74" t="s">
        <v>2553</v>
      </c>
      <c r="H1744" s="181">
        <f>INDEX('Списки данных'!$D$2:$D$1048576,MATCH(База_КР_КК[[#This Row],[Структурное подразделение]],'Списки данных'!$C$2:$C$1048576,0))</f>
        <v>11</v>
      </c>
      <c r="I1744" s="80" t="s">
        <v>169</v>
      </c>
      <c r="J1744" s="80" t="s">
        <v>220</v>
      </c>
      <c r="K1744" s="80" t="s">
        <v>21</v>
      </c>
      <c r="L1744" s="30" t="s">
        <v>191</v>
      </c>
      <c r="M1744" s="68">
        <v>7</v>
      </c>
      <c r="N1744" s="181" t="str">
        <f t="shared" si="28"/>
        <v>нет</v>
      </c>
      <c r="O1744" s="23"/>
      <c r="P1744" s="23"/>
      <c r="Q1744" s="106"/>
      <c r="R1744" s="37">
        <v>384</v>
      </c>
      <c r="S1744" s="38" t="s">
        <v>796</v>
      </c>
      <c r="T1744" s="37">
        <v>1489</v>
      </c>
      <c r="U1744" s="39" t="s">
        <v>1857</v>
      </c>
      <c r="V1744" s="69" t="s">
        <v>272</v>
      </c>
      <c r="W1744" s="89" t="s">
        <v>169</v>
      </c>
      <c r="X1744" s="106" t="s">
        <v>297</v>
      </c>
      <c r="Y1744" s="107" t="s">
        <v>12</v>
      </c>
      <c r="Z1744" s="67">
        <f>IF(База_КР_КК[[#This Row],[Таб.номер резервиста]]="-","-",IF(OR(База_КР_КК[[#This Row],[Уровень КК]]=2,База_КР_КК[[#This Row],[Уровень КК]]=3),IF(COUNTIFS($U$2:$U1744,$U1744,$F$2:$F1744,$F1744)=1,1,0),IF(COUNTIFS($U$2:$U1744,$U1744,$L$2:$L1744,$L1744)=1,1,0)))</f>
        <v>1</v>
      </c>
      <c r="AA17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4" s="106"/>
      <c r="AC1744" s="51"/>
      <c r="AD1744" s="106" t="s">
        <v>15</v>
      </c>
      <c r="AE1744" s="38" t="s">
        <v>356</v>
      </c>
    </row>
    <row r="1745" spans="1:31" ht="18" customHeight="1" x14ac:dyDescent="0.25">
      <c r="A17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5" s="79">
        <v>4</v>
      </c>
      <c r="C1745" s="23">
        <v>44918</v>
      </c>
      <c r="D1745" s="67">
        <f>IF(COUNTIF($G$2:$G1745,$G1745)=1,1,0)</f>
        <v>0</v>
      </c>
      <c r="E1745" s="67" t="str">
        <f>IFERROR(VLOOKUP(База_КР_КК[[#This Row],[ИД штатной должности (S)]],'уровень защищенности'!$B$7:$F$1095,5,0),"не защищена")</f>
        <v>средний</v>
      </c>
      <c r="F1745" s="68">
        <v>500230</v>
      </c>
      <c r="G1745" s="74" t="s">
        <v>2553</v>
      </c>
      <c r="H1745" s="181">
        <f>INDEX('Списки данных'!$D$2:$D$1048576,MATCH(База_КР_КК[[#This Row],[Структурное подразделение]],'Списки данных'!$C$2:$C$1048576,0))</f>
        <v>11</v>
      </c>
      <c r="I1745" s="80" t="s">
        <v>169</v>
      </c>
      <c r="J1745" s="80" t="s">
        <v>220</v>
      </c>
      <c r="K1745" s="80" t="s">
        <v>21</v>
      </c>
      <c r="L1745" s="30" t="s">
        <v>191</v>
      </c>
      <c r="M1745" s="68">
        <v>7</v>
      </c>
      <c r="N1745" s="181" t="str">
        <f t="shared" si="28"/>
        <v>нет</v>
      </c>
      <c r="O1745" s="23"/>
      <c r="P1745" s="23"/>
      <c r="Q1745" s="106"/>
      <c r="R1745" s="37">
        <v>384</v>
      </c>
      <c r="S1745" s="38" t="s">
        <v>796</v>
      </c>
      <c r="T1745" s="37">
        <v>1490</v>
      </c>
      <c r="U1745" s="39" t="s">
        <v>1858</v>
      </c>
      <c r="V1745" s="69" t="s">
        <v>272</v>
      </c>
      <c r="W1745" s="89" t="s">
        <v>169</v>
      </c>
      <c r="X1745" s="106" t="s">
        <v>296</v>
      </c>
      <c r="Y1745" s="107" t="s">
        <v>12</v>
      </c>
      <c r="Z1745" s="67">
        <f>IF(База_КР_КК[[#This Row],[Таб.номер резервиста]]="-","-",IF(OR(База_КР_КК[[#This Row],[Уровень КК]]=2,База_КР_КК[[#This Row],[Уровень КК]]=3),IF(COUNTIFS($U$2:$U1745,$U1745,$F$2:$F1745,$F1745)=1,1,0),IF(COUNTIFS($U$2:$U1745,$U1745,$L$2:$L1745,$L1745)=1,1,0)))</f>
        <v>1</v>
      </c>
      <c r="AA17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5" s="106"/>
      <c r="AC1745" s="51"/>
      <c r="AD1745" s="106" t="s">
        <v>15</v>
      </c>
      <c r="AE1745" s="38" t="s">
        <v>356</v>
      </c>
    </row>
    <row r="1746" spans="1:31" ht="18" customHeight="1" x14ac:dyDescent="0.25">
      <c r="A17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6" s="79">
        <v>4</v>
      </c>
      <c r="C1746" s="23">
        <v>44426</v>
      </c>
      <c r="D1746" s="67">
        <f>IF(COUNTIF($G$2:$G1746,$G1746)=1,1,0)</f>
        <v>1</v>
      </c>
      <c r="E1746" s="67" t="str">
        <f>IFERROR(VLOOKUP(База_КР_КК[[#This Row],[ИД штатной должности (S)]],'уровень защищенности'!$B$7:$F$1095,5,0),"не защищена")</f>
        <v>средний</v>
      </c>
      <c r="F1746" s="68">
        <v>500230</v>
      </c>
      <c r="G1746" s="74" t="s">
        <v>2554</v>
      </c>
      <c r="H1746" s="181">
        <f>INDEX('Списки данных'!$D$2:$D$1048576,MATCH(База_КР_КК[[#This Row],[Структурное подразделение]],'Списки данных'!$C$2:$C$1048576,0))</f>
        <v>11</v>
      </c>
      <c r="I1746" s="80" t="s">
        <v>169</v>
      </c>
      <c r="J1746" s="80" t="s">
        <v>220</v>
      </c>
      <c r="K1746" s="80" t="s">
        <v>21</v>
      </c>
      <c r="L1746" s="30" t="s">
        <v>191</v>
      </c>
      <c r="M1746" s="68">
        <v>7</v>
      </c>
      <c r="N1746" s="181" t="str">
        <f t="shared" si="28"/>
        <v>нет</v>
      </c>
      <c r="O1746" s="23"/>
      <c r="P1746" s="23"/>
      <c r="Q1746" s="106"/>
      <c r="R1746" s="37">
        <v>385</v>
      </c>
      <c r="S1746" s="38" t="s">
        <v>797</v>
      </c>
      <c r="T1746" s="37">
        <v>383</v>
      </c>
      <c r="U1746" s="39" t="s">
        <v>795</v>
      </c>
      <c r="V1746" s="69" t="s">
        <v>272</v>
      </c>
      <c r="W1746" s="89" t="s">
        <v>169</v>
      </c>
      <c r="X1746" s="106" t="s">
        <v>295</v>
      </c>
      <c r="Y1746" s="107" t="s">
        <v>18</v>
      </c>
      <c r="Z1746" s="67">
        <f>IF(База_КР_КК[[#This Row],[Таб.номер резервиста]]="-","-",IF(OR(База_КР_КК[[#This Row],[Уровень КК]]=2,База_КР_КК[[#This Row],[Уровень КК]]=3),IF(COUNTIFS($U$2:$U1746,$U1746,$F$2:$F1746,$F1746)=1,1,0),IF(COUNTIFS($U$2:$U1746,$U1746,$L$2:$L1746,$L1746)=1,1,0)))</f>
        <v>0</v>
      </c>
      <c r="AA17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6" s="106" t="s">
        <v>24</v>
      </c>
      <c r="AC1746" s="51">
        <v>45080</v>
      </c>
      <c r="AD1746" s="106" t="s">
        <v>15</v>
      </c>
      <c r="AE1746" s="38" t="s">
        <v>355</v>
      </c>
    </row>
    <row r="1747" spans="1:31" ht="18" customHeight="1" x14ac:dyDescent="0.25">
      <c r="A17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7" s="79">
        <v>4</v>
      </c>
      <c r="C1747" s="23">
        <v>44426</v>
      </c>
      <c r="D1747" s="67">
        <f>IF(COUNTIF($G$2:$G1747,$G1747)=1,1,0)</f>
        <v>0</v>
      </c>
      <c r="E1747" s="67" t="str">
        <f>IFERROR(VLOOKUP(База_КР_КК[[#This Row],[ИД штатной должности (S)]],'уровень защищенности'!$B$7:$F$1095,5,0),"не защищена")</f>
        <v>средний</v>
      </c>
      <c r="F1747" s="68">
        <v>500230</v>
      </c>
      <c r="G1747" s="74" t="s">
        <v>2554</v>
      </c>
      <c r="H1747" s="181">
        <f>INDEX('Списки данных'!$D$2:$D$1048576,MATCH(База_КР_КК[[#This Row],[Структурное подразделение]],'Списки данных'!$C$2:$C$1048576,0))</f>
        <v>11</v>
      </c>
      <c r="I1747" s="80" t="s">
        <v>169</v>
      </c>
      <c r="J1747" s="80" t="s">
        <v>220</v>
      </c>
      <c r="K1747" s="80" t="s">
        <v>21</v>
      </c>
      <c r="L1747" s="30" t="s">
        <v>191</v>
      </c>
      <c r="M1747" s="68">
        <v>7</v>
      </c>
      <c r="N1747" s="181" t="str">
        <f t="shared" si="28"/>
        <v>нет</v>
      </c>
      <c r="O1747" s="23"/>
      <c r="P1747" s="23"/>
      <c r="Q1747" s="106"/>
      <c r="R1747" s="37">
        <v>385</v>
      </c>
      <c r="S1747" s="38" t="s">
        <v>797</v>
      </c>
      <c r="T1747" s="37">
        <v>387</v>
      </c>
      <c r="U1747" s="39" t="s">
        <v>799</v>
      </c>
      <c r="V1747" s="69" t="s">
        <v>272</v>
      </c>
      <c r="W1747" s="89" t="s">
        <v>169</v>
      </c>
      <c r="X1747" s="106" t="s">
        <v>295</v>
      </c>
      <c r="Y1747" s="107" t="s">
        <v>14</v>
      </c>
      <c r="Z1747" s="67">
        <f>IF(База_КР_КК[[#This Row],[Таб.номер резервиста]]="-","-",IF(OR(База_КР_КК[[#This Row],[Уровень КК]]=2,База_КР_КК[[#This Row],[Уровень КК]]=3),IF(COUNTIFS($U$2:$U1747,$U1747,$F$2:$F1747,$F1747)=1,1,0),IF(COUNTIFS($U$2:$U1747,$U1747,$L$2:$L1747,$L1747)=1,1,0)))</f>
        <v>0</v>
      </c>
      <c r="AA17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7" s="106" t="s">
        <v>24</v>
      </c>
      <c r="AC1747" s="51">
        <v>45078</v>
      </c>
      <c r="AD1747" s="106" t="s">
        <v>17</v>
      </c>
      <c r="AE1747" s="38" t="s">
        <v>356</v>
      </c>
    </row>
    <row r="1748" spans="1:31" ht="18" customHeight="1" x14ac:dyDescent="0.25">
      <c r="A17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8" s="79">
        <v>4</v>
      </c>
      <c r="C1748" s="23">
        <v>44918</v>
      </c>
      <c r="D1748" s="67">
        <f>IF(COUNTIF($G$2:$G1748,$G1748)=1,1,0)</f>
        <v>0</v>
      </c>
      <c r="E1748" s="67" t="str">
        <f>IFERROR(VLOOKUP(База_КР_КК[[#This Row],[ИД штатной должности (S)]],'уровень защищенности'!$B$7:$F$1095,5,0),"не защищена")</f>
        <v>средний</v>
      </c>
      <c r="F1748" s="68">
        <v>500230</v>
      </c>
      <c r="G1748" s="74" t="s">
        <v>2554</v>
      </c>
      <c r="H1748" s="181">
        <f>INDEX('Списки данных'!$D$2:$D$1048576,MATCH(База_КР_КК[[#This Row],[Структурное подразделение]],'Списки данных'!$C$2:$C$1048576,0))</f>
        <v>11</v>
      </c>
      <c r="I1748" s="80" t="s">
        <v>169</v>
      </c>
      <c r="J1748" s="80" t="s">
        <v>220</v>
      </c>
      <c r="K1748" s="80" t="s">
        <v>21</v>
      </c>
      <c r="L1748" s="30" t="s">
        <v>191</v>
      </c>
      <c r="M1748" s="68">
        <v>7</v>
      </c>
      <c r="N1748" s="181" t="str">
        <f t="shared" si="28"/>
        <v>нет</v>
      </c>
      <c r="O1748" s="23"/>
      <c r="P1748" s="23"/>
      <c r="Q1748" s="106"/>
      <c r="R1748" s="37">
        <v>385</v>
      </c>
      <c r="S1748" s="38" t="s">
        <v>797</v>
      </c>
      <c r="T1748" s="37">
        <v>1489</v>
      </c>
      <c r="U1748" s="39" t="s">
        <v>1857</v>
      </c>
      <c r="V1748" s="69" t="s">
        <v>272</v>
      </c>
      <c r="W1748" s="89" t="s">
        <v>169</v>
      </c>
      <c r="X1748" s="106" t="s">
        <v>297</v>
      </c>
      <c r="Y1748" s="107" t="s">
        <v>12</v>
      </c>
      <c r="Z1748" s="67">
        <f>IF(База_КР_КК[[#This Row],[Таб.номер резервиста]]="-","-",IF(OR(База_КР_КК[[#This Row],[Уровень КК]]=2,База_КР_КК[[#This Row],[Уровень КК]]=3),IF(COUNTIFS($U$2:$U1748,$U1748,$F$2:$F1748,$F1748)=1,1,0),IF(COUNTIFS($U$2:$U1748,$U1748,$L$2:$L1748,$L1748)=1,1,0)))</f>
        <v>0</v>
      </c>
      <c r="AA17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8" s="106"/>
      <c r="AC1748" s="51"/>
      <c r="AD1748" s="106" t="s">
        <v>15</v>
      </c>
      <c r="AE1748" s="38" t="s">
        <v>356</v>
      </c>
    </row>
    <row r="1749" spans="1:31" ht="18" customHeight="1" x14ac:dyDescent="0.25">
      <c r="A17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49" s="79">
        <v>4</v>
      </c>
      <c r="C1749" s="23">
        <v>44918</v>
      </c>
      <c r="D1749" s="67">
        <f>IF(COUNTIF($G$2:$G1749,$G1749)=1,1,0)</f>
        <v>0</v>
      </c>
      <c r="E1749" s="67" t="str">
        <f>IFERROR(VLOOKUP(База_КР_КК[[#This Row],[ИД штатной должности (S)]],'уровень защищенности'!$B$7:$F$1095,5,0),"не защищена")</f>
        <v>средний</v>
      </c>
      <c r="F1749" s="68">
        <v>500230</v>
      </c>
      <c r="G1749" s="74" t="s">
        <v>2554</v>
      </c>
      <c r="H1749" s="181">
        <f>INDEX('Списки данных'!$D$2:$D$1048576,MATCH(База_КР_КК[[#This Row],[Структурное подразделение]],'Списки данных'!$C$2:$C$1048576,0))</f>
        <v>11</v>
      </c>
      <c r="I1749" s="80" t="s">
        <v>169</v>
      </c>
      <c r="J1749" s="80" t="s">
        <v>220</v>
      </c>
      <c r="K1749" s="80" t="s">
        <v>21</v>
      </c>
      <c r="L1749" s="30" t="s">
        <v>191</v>
      </c>
      <c r="M1749" s="68">
        <v>7</v>
      </c>
      <c r="N1749" s="181" t="str">
        <f t="shared" si="28"/>
        <v>нет</v>
      </c>
      <c r="O1749" s="23"/>
      <c r="P1749" s="23"/>
      <c r="Q1749" s="106"/>
      <c r="R1749" s="37">
        <v>385</v>
      </c>
      <c r="S1749" s="38" t="s">
        <v>797</v>
      </c>
      <c r="T1749" s="37">
        <v>1490</v>
      </c>
      <c r="U1749" s="39" t="s">
        <v>1858</v>
      </c>
      <c r="V1749" s="69" t="s">
        <v>272</v>
      </c>
      <c r="W1749" s="89" t="s">
        <v>169</v>
      </c>
      <c r="X1749" s="106" t="s">
        <v>296</v>
      </c>
      <c r="Y1749" s="107" t="s">
        <v>12</v>
      </c>
      <c r="Z1749" s="67">
        <f>IF(База_КР_КК[[#This Row],[Таб.номер резервиста]]="-","-",IF(OR(База_КР_КК[[#This Row],[Уровень КК]]=2,База_КР_КК[[#This Row],[Уровень КК]]=3),IF(COUNTIFS($U$2:$U1749,$U1749,$F$2:$F1749,$F1749)=1,1,0),IF(COUNTIFS($U$2:$U1749,$U1749,$L$2:$L1749,$L1749)=1,1,0)))</f>
        <v>0</v>
      </c>
      <c r="AA17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49" s="106"/>
      <c r="AC1749" s="51"/>
      <c r="AD1749" s="106" t="s">
        <v>15</v>
      </c>
      <c r="AE1749" s="38" t="s">
        <v>356</v>
      </c>
    </row>
    <row r="1750" spans="1:31" ht="18" customHeight="1" x14ac:dyDescent="0.25">
      <c r="A17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0" s="79">
        <v>4</v>
      </c>
      <c r="C1750" s="23">
        <v>44426</v>
      </c>
      <c r="D1750" s="67">
        <f>IF(COUNTIF($G$2:$G1750,$G1750)=1,1,0)</f>
        <v>1</v>
      </c>
      <c r="E1750" s="67" t="str">
        <f>IFERROR(VLOOKUP(База_КР_КК[[#This Row],[ИД штатной должности (S)]],'уровень защищенности'!$B$7:$F$1095,5,0),"не защищена")</f>
        <v>средний</v>
      </c>
      <c r="F1750" s="68">
        <v>500230</v>
      </c>
      <c r="G1750" s="74" t="s">
        <v>2555</v>
      </c>
      <c r="H1750" s="181">
        <f>INDEX('Списки данных'!$D$2:$D$1048576,MATCH(База_КР_КК[[#This Row],[Структурное подразделение]],'Списки данных'!$C$2:$C$1048576,0))</f>
        <v>11</v>
      </c>
      <c r="I1750" s="80" t="s">
        <v>169</v>
      </c>
      <c r="J1750" s="80" t="s">
        <v>220</v>
      </c>
      <c r="K1750" s="80" t="s">
        <v>21</v>
      </c>
      <c r="L1750" s="30" t="s">
        <v>191</v>
      </c>
      <c r="M1750" s="68">
        <v>7</v>
      </c>
      <c r="N1750" s="181" t="str">
        <f t="shared" si="28"/>
        <v>нет</v>
      </c>
      <c r="O1750" s="23"/>
      <c r="P1750" s="23"/>
      <c r="Q1750" s="106"/>
      <c r="R1750" s="37">
        <v>386</v>
      </c>
      <c r="S1750" s="38" t="s">
        <v>798</v>
      </c>
      <c r="T1750" s="37">
        <v>383</v>
      </c>
      <c r="U1750" s="39" t="s">
        <v>795</v>
      </c>
      <c r="V1750" s="69" t="s">
        <v>272</v>
      </c>
      <c r="W1750" s="89" t="s">
        <v>169</v>
      </c>
      <c r="X1750" s="106" t="s">
        <v>295</v>
      </c>
      <c r="Y1750" s="107" t="s">
        <v>18</v>
      </c>
      <c r="Z1750" s="67">
        <f>IF(База_КР_КК[[#This Row],[Таб.номер резервиста]]="-","-",IF(OR(База_КР_КК[[#This Row],[Уровень КК]]=2,База_КР_КК[[#This Row],[Уровень КК]]=3),IF(COUNTIFS($U$2:$U1750,$U1750,$F$2:$F1750,$F1750)=1,1,0),IF(COUNTIFS($U$2:$U1750,$U1750,$L$2:$L1750,$L1750)=1,1,0)))</f>
        <v>0</v>
      </c>
      <c r="AA17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50" s="106" t="s">
        <v>24</v>
      </c>
      <c r="AC1750" s="51">
        <v>45080</v>
      </c>
      <c r="AD1750" s="106" t="s">
        <v>15</v>
      </c>
      <c r="AE1750" s="38" t="s">
        <v>355</v>
      </c>
    </row>
    <row r="1751" spans="1:31" ht="18" customHeight="1" x14ac:dyDescent="0.25">
      <c r="A17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1" s="79">
        <v>4</v>
      </c>
      <c r="C1751" s="23">
        <v>44426</v>
      </c>
      <c r="D1751" s="67">
        <f>IF(COUNTIF($G$2:$G1751,$G1751)=1,1,0)</f>
        <v>0</v>
      </c>
      <c r="E1751" s="67" t="str">
        <f>IFERROR(VLOOKUP(База_КР_КК[[#This Row],[ИД штатной должности (S)]],'уровень защищенности'!$B$7:$F$1095,5,0),"не защищена")</f>
        <v>средний</v>
      </c>
      <c r="F1751" s="68">
        <v>500230</v>
      </c>
      <c r="G1751" s="74" t="s">
        <v>2555</v>
      </c>
      <c r="H1751" s="181">
        <f>INDEX('Списки данных'!$D$2:$D$1048576,MATCH(База_КР_КК[[#This Row],[Структурное подразделение]],'Списки данных'!$C$2:$C$1048576,0))</f>
        <v>11</v>
      </c>
      <c r="I1751" s="80" t="s">
        <v>169</v>
      </c>
      <c r="J1751" s="80" t="s">
        <v>220</v>
      </c>
      <c r="K1751" s="80" t="s">
        <v>21</v>
      </c>
      <c r="L1751" s="30" t="s">
        <v>191</v>
      </c>
      <c r="M1751" s="68">
        <v>7</v>
      </c>
      <c r="N1751" s="181" t="str">
        <f t="shared" si="28"/>
        <v>нет</v>
      </c>
      <c r="O1751" s="23"/>
      <c r="P1751" s="23"/>
      <c r="Q1751" s="106"/>
      <c r="R1751" s="37">
        <v>386</v>
      </c>
      <c r="S1751" s="38" t="s">
        <v>798</v>
      </c>
      <c r="T1751" s="37">
        <v>387</v>
      </c>
      <c r="U1751" s="39" t="s">
        <v>799</v>
      </c>
      <c r="V1751" s="69" t="s">
        <v>272</v>
      </c>
      <c r="W1751" s="89" t="s">
        <v>169</v>
      </c>
      <c r="X1751" s="106" t="s">
        <v>295</v>
      </c>
      <c r="Y1751" s="107" t="s">
        <v>14</v>
      </c>
      <c r="Z1751" s="67">
        <f>IF(База_КР_КК[[#This Row],[Таб.номер резервиста]]="-","-",IF(OR(База_КР_КК[[#This Row],[Уровень КК]]=2,База_КР_КК[[#This Row],[Уровень КК]]=3),IF(COUNTIFS($U$2:$U1751,$U1751,$F$2:$F1751,$F1751)=1,1,0),IF(COUNTIFS($U$2:$U1751,$U1751,$L$2:$L1751,$L1751)=1,1,0)))</f>
        <v>0</v>
      </c>
      <c r="AA17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51" s="106" t="s">
        <v>24</v>
      </c>
      <c r="AC1751" s="51">
        <v>45078</v>
      </c>
      <c r="AD1751" s="106" t="s">
        <v>17</v>
      </c>
      <c r="AE1751" s="38" t="s">
        <v>356</v>
      </c>
    </row>
    <row r="1752" spans="1:31" ht="18" customHeight="1" x14ac:dyDescent="0.25">
      <c r="A17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2" s="79">
        <v>4</v>
      </c>
      <c r="C1752" s="23">
        <v>44918</v>
      </c>
      <c r="D1752" s="67">
        <f>IF(COUNTIF($G$2:$G1752,$G1752)=1,1,0)</f>
        <v>0</v>
      </c>
      <c r="E1752" s="67" t="str">
        <f>IFERROR(VLOOKUP(База_КР_КК[[#This Row],[ИД штатной должности (S)]],'уровень защищенности'!$B$7:$F$1095,5,0),"не защищена")</f>
        <v>средний</v>
      </c>
      <c r="F1752" s="68">
        <v>500230</v>
      </c>
      <c r="G1752" s="74" t="s">
        <v>2555</v>
      </c>
      <c r="H1752" s="181">
        <f>INDEX('Списки данных'!$D$2:$D$1048576,MATCH(База_КР_КК[[#This Row],[Структурное подразделение]],'Списки данных'!$C$2:$C$1048576,0))</f>
        <v>11</v>
      </c>
      <c r="I1752" s="80" t="s">
        <v>169</v>
      </c>
      <c r="J1752" s="80" t="s">
        <v>220</v>
      </c>
      <c r="K1752" s="80" t="s">
        <v>21</v>
      </c>
      <c r="L1752" s="30" t="s">
        <v>191</v>
      </c>
      <c r="M1752" s="68">
        <v>7</v>
      </c>
      <c r="N1752" s="181" t="str">
        <f t="shared" si="28"/>
        <v>нет</v>
      </c>
      <c r="O1752" s="23"/>
      <c r="P1752" s="23"/>
      <c r="Q1752" s="106"/>
      <c r="R1752" s="37">
        <v>386</v>
      </c>
      <c r="S1752" s="38" t="s">
        <v>798</v>
      </c>
      <c r="T1752" s="37">
        <v>1489</v>
      </c>
      <c r="U1752" s="39" t="s">
        <v>1857</v>
      </c>
      <c r="V1752" s="69" t="s">
        <v>272</v>
      </c>
      <c r="W1752" s="89" t="s">
        <v>169</v>
      </c>
      <c r="X1752" s="106" t="s">
        <v>297</v>
      </c>
      <c r="Y1752" s="107" t="s">
        <v>12</v>
      </c>
      <c r="Z1752" s="67">
        <f>IF(База_КР_КК[[#This Row],[Таб.номер резервиста]]="-","-",IF(OR(База_КР_КК[[#This Row],[Уровень КК]]=2,База_КР_КК[[#This Row],[Уровень КК]]=3),IF(COUNTIFS($U$2:$U1752,$U1752,$F$2:$F1752,$F1752)=1,1,0),IF(COUNTIFS($U$2:$U1752,$U1752,$L$2:$L1752,$L1752)=1,1,0)))</f>
        <v>0</v>
      </c>
      <c r="AA17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52" s="106"/>
      <c r="AC1752" s="51"/>
      <c r="AD1752" s="106" t="s">
        <v>15</v>
      </c>
      <c r="AE1752" s="38" t="s">
        <v>356</v>
      </c>
    </row>
    <row r="1753" spans="1:31" ht="18" customHeight="1" x14ac:dyDescent="0.25">
      <c r="A17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3" s="79">
        <v>4</v>
      </c>
      <c r="C1753" s="23">
        <v>44918</v>
      </c>
      <c r="D1753" s="67">
        <f>IF(COUNTIF($G$2:$G1753,$G1753)=1,1,0)</f>
        <v>0</v>
      </c>
      <c r="E1753" s="67" t="str">
        <f>IFERROR(VLOOKUP(База_КР_КК[[#This Row],[ИД штатной должности (S)]],'уровень защищенности'!$B$7:$F$1095,5,0),"не защищена")</f>
        <v>средний</v>
      </c>
      <c r="F1753" s="68">
        <v>500230</v>
      </c>
      <c r="G1753" s="74" t="s">
        <v>2555</v>
      </c>
      <c r="H1753" s="181">
        <f>INDEX('Списки данных'!$D$2:$D$1048576,MATCH(База_КР_КК[[#This Row],[Структурное подразделение]],'Списки данных'!$C$2:$C$1048576,0))</f>
        <v>11</v>
      </c>
      <c r="I1753" s="80" t="s">
        <v>169</v>
      </c>
      <c r="J1753" s="80" t="s">
        <v>220</v>
      </c>
      <c r="K1753" s="80" t="s">
        <v>21</v>
      </c>
      <c r="L1753" s="30" t="s">
        <v>191</v>
      </c>
      <c r="M1753" s="68">
        <v>7</v>
      </c>
      <c r="N1753" s="181" t="str">
        <f t="shared" si="28"/>
        <v>нет</v>
      </c>
      <c r="O1753" s="23"/>
      <c r="P1753" s="23"/>
      <c r="Q1753" s="106"/>
      <c r="R1753" s="37">
        <v>386</v>
      </c>
      <c r="S1753" s="38" t="s">
        <v>798</v>
      </c>
      <c r="T1753" s="37">
        <v>1490</v>
      </c>
      <c r="U1753" s="39" t="s">
        <v>1858</v>
      </c>
      <c r="V1753" s="69" t="s">
        <v>272</v>
      </c>
      <c r="W1753" s="89" t="s">
        <v>169</v>
      </c>
      <c r="X1753" s="106" t="s">
        <v>296</v>
      </c>
      <c r="Y1753" s="107" t="s">
        <v>12</v>
      </c>
      <c r="Z1753" s="67">
        <f>IF(База_КР_КК[[#This Row],[Таб.номер резервиста]]="-","-",IF(OR(База_КР_КК[[#This Row],[Уровень КК]]=2,База_КР_КК[[#This Row],[Уровень КК]]=3),IF(COUNTIFS($U$2:$U1753,$U1753,$F$2:$F1753,$F1753)=1,1,0),IF(COUNTIFS($U$2:$U1753,$U1753,$L$2:$L1753,$L1753)=1,1,0)))</f>
        <v>0</v>
      </c>
      <c r="AA17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53" s="106"/>
      <c r="AC1753" s="51"/>
      <c r="AD1753" s="106" t="s">
        <v>15</v>
      </c>
      <c r="AE1753" s="38" t="s">
        <v>356</v>
      </c>
    </row>
    <row r="1754" spans="1:31" ht="18" customHeight="1" x14ac:dyDescent="0.25">
      <c r="A17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4" s="79">
        <v>4</v>
      </c>
      <c r="C1754" s="23">
        <v>44426</v>
      </c>
      <c r="D1754" s="67">
        <f>IF(COUNTIF($G$2:$G1754,$G1754)=1,1,0)</f>
        <v>1</v>
      </c>
      <c r="E1754" s="67" t="str">
        <f>IFERROR(VLOOKUP(База_КР_КК[[#This Row],[ИД штатной должности (S)]],'уровень защищенности'!$B$7:$F$1095,5,0),"не защищена")</f>
        <v>средний</v>
      </c>
      <c r="F1754" s="68">
        <v>500230</v>
      </c>
      <c r="G1754" s="74" t="s">
        <v>2556</v>
      </c>
      <c r="H1754" s="181">
        <f>INDEX('Списки данных'!$D$2:$D$1048576,MATCH(База_КР_КК[[#This Row],[Структурное подразделение]],'Списки данных'!$C$2:$C$1048576,0))</f>
        <v>11</v>
      </c>
      <c r="I1754" s="80" t="s">
        <v>169</v>
      </c>
      <c r="J1754" s="80" t="s">
        <v>220</v>
      </c>
      <c r="K1754" s="80" t="s">
        <v>21</v>
      </c>
      <c r="L1754" s="30" t="s">
        <v>191</v>
      </c>
      <c r="M1754" s="68">
        <v>7</v>
      </c>
      <c r="N1754" s="181" t="str">
        <f t="shared" si="28"/>
        <v>да</v>
      </c>
      <c r="O1754" s="23">
        <v>45061</v>
      </c>
      <c r="P1754" s="23">
        <v>45078</v>
      </c>
      <c r="Q1754" s="106" t="s">
        <v>66</v>
      </c>
      <c r="R1754" s="37">
        <v>387</v>
      </c>
      <c r="S1754" s="38" t="s">
        <v>799</v>
      </c>
      <c r="T1754" s="37">
        <v>383</v>
      </c>
      <c r="U1754" s="39" t="s">
        <v>795</v>
      </c>
      <c r="V1754" s="69" t="s">
        <v>272</v>
      </c>
      <c r="W1754" s="89" t="s">
        <v>169</v>
      </c>
      <c r="X1754" s="106" t="s">
        <v>295</v>
      </c>
      <c r="Y1754" s="107" t="s">
        <v>18</v>
      </c>
      <c r="Z1754" s="67">
        <f>IF(База_КР_КК[[#This Row],[Таб.номер резервиста]]="-","-",IF(OR(База_КР_КК[[#This Row],[Уровень КК]]=2,База_КР_КК[[#This Row],[Уровень КК]]=3),IF(COUNTIFS($U$2:$U1754,$U1754,$F$2:$F1754,$F1754)=1,1,0),IF(COUNTIFS($U$2:$U1754,$U1754,$L$2:$L1754,$L1754)=1,1,0)))</f>
        <v>0</v>
      </c>
      <c r="AA17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54" s="106" t="s">
        <v>24</v>
      </c>
      <c r="AC1754" s="51">
        <v>45080</v>
      </c>
      <c r="AD1754" s="106" t="s">
        <v>15</v>
      </c>
      <c r="AE1754" s="38" t="s">
        <v>355</v>
      </c>
    </row>
    <row r="1755" spans="1:31" ht="18" customHeight="1" x14ac:dyDescent="0.25">
      <c r="A17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5" s="79">
        <v>4</v>
      </c>
      <c r="C1755" s="23">
        <v>44426</v>
      </c>
      <c r="D1755" s="67">
        <f>IF(COUNTIF($G$2:$G1755,$G1755)=1,1,0)</f>
        <v>0</v>
      </c>
      <c r="E1755" s="67" t="str">
        <f>IFERROR(VLOOKUP(База_КР_КК[[#This Row],[ИД штатной должности (S)]],'уровень защищенности'!$B$7:$F$1095,5,0),"не защищена")</f>
        <v>средний</v>
      </c>
      <c r="F1755" s="68">
        <v>500230</v>
      </c>
      <c r="G1755" s="74" t="s">
        <v>2556</v>
      </c>
      <c r="H1755" s="181">
        <f>INDEX('Списки данных'!$D$2:$D$1048576,MATCH(База_КР_КК[[#This Row],[Структурное подразделение]],'Списки данных'!$C$2:$C$1048576,0))</f>
        <v>11</v>
      </c>
      <c r="I1755" s="80" t="s">
        <v>169</v>
      </c>
      <c r="J1755" s="80" t="s">
        <v>220</v>
      </c>
      <c r="K1755" s="80" t="s">
        <v>21</v>
      </c>
      <c r="L1755" s="30" t="s">
        <v>191</v>
      </c>
      <c r="M1755" s="68">
        <v>7</v>
      </c>
      <c r="N1755" s="181" t="str">
        <f t="shared" si="28"/>
        <v>да</v>
      </c>
      <c r="O1755" s="23">
        <v>45061</v>
      </c>
      <c r="P1755" s="23">
        <v>45078</v>
      </c>
      <c r="Q1755" s="106" t="s">
        <v>66</v>
      </c>
      <c r="R1755" s="37">
        <v>387</v>
      </c>
      <c r="S1755" s="38" t="s">
        <v>799</v>
      </c>
      <c r="T1755" s="37">
        <v>387</v>
      </c>
      <c r="U1755" s="39" t="s">
        <v>799</v>
      </c>
      <c r="V1755" s="69" t="s">
        <v>272</v>
      </c>
      <c r="W1755" s="89" t="s">
        <v>169</v>
      </c>
      <c r="X1755" s="106" t="s">
        <v>295</v>
      </c>
      <c r="Y1755" s="107" t="s">
        <v>14</v>
      </c>
      <c r="Z1755" s="67">
        <f>IF(База_КР_КК[[#This Row],[Таб.номер резервиста]]="-","-",IF(OR(База_КР_КК[[#This Row],[Уровень КК]]=2,База_КР_КК[[#This Row],[Уровень КК]]=3),IF(COUNTIFS($U$2:$U1755,$U1755,$F$2:$F1755,$F1755)=1,1,0),IF(COUNTIFS($U$2:$U1755,$U1755,$L$2:$L1755,$L1755)=1,1,0)))</f>
        <v>0</v>
      </c>
      <c r="AA17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755" s="106" t="s">
        <v>24</v>
      </c>
      <c r="AC1755" s="51">
        <v>45078</v>
      </c>
      <c r="AD1755" s="106" t="s">
        <v>17</v>
      </c>
      <c r="AE1755" s="38" t="s">
        <v>356</v>
      </c>
    </row>
    <row r="1756" spans="1:31" ht="18" customHeight="1" x14ac:dyDescent="0.25">
      <c r="A17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6" s="79">
        <v>4</v>
      </c>
      <c r="C1756" s="23">
        <v>44918</v>
      </c>
      <c r="D1756" s="67">
        <f>IF(COUNTIF($G$2:$G1756,$G1756)=1,1,0)</f>
        <v>0</v>
      </c>
      <c r="E1756" s="67" t="str">
        <f>IFERROR(VLOOKUP(База_КР_КК[[#This Row],[ИД штатной должности (S)]],'уровень защищенности'!$B$7:$F$1095,5,0),"не защищена")</f>
        <v>средний</v>
      </c>
      <c r="F1756" s="68">
        <v>500230</v>
      </c>
      <c r="G1756" s="74" t="s">
        <v>2556</v>
      </c>
      <c r="H1756" s="181">
        <f>INDEX('Списки данных'!$D$2:$D$1048576,MATCH(База_КР_КК[[#This Row],[Структурное подразделение]],'Списки данных'!$C$2:$C$1048576,0))</f>
        <v>11</v>
      </c>
      <c r="I1756" s="80" t="s">
        <v>169</v>
      </c>
      <c r="J1756" s="80" t="s">
        <v>220</v>
      </c>
      <c r="K1756" s="80" t="s">
        <v>21</v>
      </c>
      <c r="L1756" s="30" t="s">
        <v>191</v>
      </c>
      <c r="M1756" s="68">
        <v>7</v>
      </c>
      <c r="N1756" s="181" t="str">
        <f t="shared" si="28"/>
        <v>да</v>
      </c>
      <c r="O1756" s="23">
        <v>45061</v>
      </c>
      <c r="P1756" s="23">
        <v>45078</v>
      </c>
      <c r="Q1756" s="106" t="s">
        <v>66</v>
      </c>
      <c r="R1756" s="37">
        <v>387</v>
      </c>
      <c r="S1756" s="38" t="s">
        <v>799</v>
      </c>
      <c r="T1756" s="37">
        <v>1489</v>
      </c>
      <c r="U1756" s="39" t="s">
        <v>1857</v>
      </c>
      <c r="V1756" s="69" t="s">
        <v>272</v>
      </c>
      <c r="W1756" s="89" t="s">
        <v>169</v>
      </c>
      <c r="X1756" s="106" t="s">
        <v>297</v>
      </c>
      <c r="Y1756" s="107" t="s">
        <v>12</v>
      </c>
      <c r="Z1756" s="67">
        <f>IF(База_КР_КК[[#This Row],[Таб.номер резервиста]]="-","-",IF(OR(База_КР_КК[[#This Row],[Уровень КК]]=2,База_КР_КК[[#This Row],[Уровень КК]]=3),IF(COUNTIFS($U$2:$U1756,$U1756,$F$2:$F1756,$F1756)=1,1,0),IF(COUNTIFS($U$2:$U1756,$U1756,$L$2:$L1756,$L1756)=1,1,0)))</f>
        <v>0</v>
      </c>
      <c r="AA17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56" s="106"/>
      <c r="AC1756" s="51"/>
      <c r="AD1756" s="106" t="s">
        <v>15</v>
      </c>
      <c r="AE1756" s="38" t="s">
        <v>356</v>
      </c>
    </row>
    <row r="1757" spans="1:31" ht="18" customHeight="1" x14ac:dyDescent="0.25">
      <c r="A17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7" s="79">
        <v>4</v>
      </c>
      <c r="C1757" s="23">
        <v>44918</v>
      </c>
      <c r="D1757" s="67">
        <f>IF(COUNTIF($G$2:$G1757,$G1757)=1,1,0)</f>
        <v>0</v>
      </c>
      <c r="E1757" s="67" t="str">
        <f>IFERROR(VLOOKUP(База_КР_КК[[#This Row],[ИД штатной должности (S)]],'уровень защищенности'!$B$7:$F$1095,5,0),"не защищена")</f>
        <v>средний</v>
      </c>
      <c r="F1757" s="68">
        <v>500230</v>
      </c>
      <c r="G1757" s="74" t="s">
        <v>2556</v>
      </c>
      <c r="H1757" s="181">
        <f>INDEX('Списки данных'!$D$2:$D$1048576,MATCH(База_КР_КК[[#This Row],[Структурное подразделение]],'Списки данных'!$C$2:$C$1048576,0))</f>
        <v>11</v>
      </c>
      <c r="I1757" s="80" t="s">
        <v>169</v>
      </c>
      <c r="J1757" s="80" t="s">
        <v>220</v>
      </c>
      <c r="K1757" s="80" t="s">
        <v>21</v>
      </c>
      <c r="L1757" s="30" t="s">
        <v>191</v>
      </c>
      <c r="M1757" s="68">
        <v>7</v>
      </c>
      <c r="N1757" s="181" t="str">
        <f t="shared" si="28"/>
        <v>да</v>
      </c>
      <c r="O1757" s="23">
        <v>45061</v>
      </c>
      <c r="P1757" s="23">
        <v>45078</v>
      </c>
      <c r="Q1757" s="106" t="s">
        <v>66</v>
      </c>
      <c r="R1757" s="37">
        <v>387</v>
      </c>
      <c r="S1757" s="38" t="s">
        <v>799</v>
      </c>
      <c r="T1757" s="37">
        <v>1490</v>
      </c>
      <c r="U1757" s="39" t="s">
        <v>1858</v>
      </c>
      <c r="V1757" s="69" t="s">
        <v>272</v>
      </c>
      <c r="W1757" s="89" t="s">
        <v>169</v>
      </c>
      <c r="X1757" s="106" t="s">
        <v>296</v>
      </c>
      <c r="Y1757" s="107" t="s">
        <v>12</v>
      </c>
      <c r="Z1757" s="67">
        <f>IF(База_КР_КК[[#This Row],[Таб.номер резервиста]]="-","-",IF(OR(База_КР_КК[[#This Row],[Уровень КК]]=2,База_КР_КК[[#This Row],[Уровень КК]]=3),IF(COUNTIFS($U$2:$U1757,$U1757,$F$2:$F1757,$F1757)=1,1,0),IF(COUNTIFS($U$2:$U1757,$U1757,$L$2:$L1757,$L1757)=1,1,0)))</f>
        <v>0</v>
      </c>
      <c r="AA17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57" s="106"/>
      <c r="AC1757" s="51"/>
      <c r="AD1757" s="106" t="s">
        <v>15</v>
      </c>
      <c r="AE1757" s="38" t="s">
        <v>356</v>
      </c>
    </row>
    <row r="1758" spans="1:31" ht="18" customHeight="1" x14ac:dyDescent="0.25">
      <c r="A17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8" s="79">
        <v>4</v>
      </c>
      <c r="C1758" s="23">
        <v>44890</v>
      </c>
      <c r="D1758" s="67">
        <f>IF(COUNTIF($G$2:$G1758,$G1758)=1,1,0)</f>
        <v>1</v>
      </c>
      <c r="E1758" s="67" t="str">
        <f>IFERROR(VLOOKUP(База_КР_КК[[#This Row],[ИД штатной должности (S)]],'уровень защищенности'!$B$7:$F$1095,5,0),"не защищена")</f>
        <v>низкий</v>
      </c>
      <c r="F1758" s="68">
        <v>500531</v>
      </c>
      <c r="G1758" s="74" t="s">
        <v>2557</v>
      </c>
      <c r="H1758" s="181">
        <f>INDEX('Списки данных'!$D$2:$D$1048576,MATCH(База_КР_КК[[#This Row],[Структурное подразделение]],'Списки данных'!$C$2:$C$1048576,0))</f>
        <v>13</v>
      </c>
      <c r="I1758" s="80" t="s">
        <v>173</v>
      </c>
      <c r="J1758" s="80" t="s">
        <v>212</v>
      </c>
      <c r="K1758" s="80" t="s">
        <v>213</v>
      </c>
      <c r="L1758" s="30" t="s">
        <v>192</v>
      </c>
      <c r="M1758" s="68">
        <v>7</v>
      </c>
      <c r="N1758" s="181" t="str">
        <f t="shared" si="28"/>
        <v>да</v>
      </c>
      <c r="O1758" s="23">
        <v>44695</v>
      </c>
      <c r="P1758" s="23">
        <v>44853</v>
      </c>
      <c r="Q1758" s="106" t="s">
        <v>66</v>
      </c>
      <c r="R1758" s="37">
        <v>388</v>
      </c>
      <c r="S1758" s="39" t="s">
        <v>800</v>
      </c>
      <c r="T1758" s="37">
        <v>1491</v>
      </c>
      <c r="U1758" s="39" t="s">
        <v>1859</v>
      </c>
      <c r="V1758" s="69" t="s">
        <v>272</v>
      </c>
      <c r="W1758" s="89" t="s">
        <v>173</v>
      </c>
      <c r="X1758" s="106" t="s">
        <v>296</v>
      </c>
      <c r="Y1758" s="107" t="s">
        <v>12</v>
      </c>
      <c r="Z1758" s="67">
        <f>IF(База_КР_КК[[#This Row],[Таб.номер резервиста]]="-","-",IF(OR(База_КР_КК[[#This Row],[Уровень КК]]=2,База_КР_КК[[#This Row],[Уровень КК]]=3),IF(COUNTIFS($U$2:$U1758,$U1758,$F$2:$F1758,$F1758)=1,1,0),IF(COUNTIFS($U$2:$U1758,$U1758,$L$2:$L1758,$L1758)=1,1,0)))</f>
        <v>1</v>
      </c>
      <c r="AA17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58" s="106"/>
      <c r="AC1758" s="51"/>
      <c r="AD1758" s="106" t="s">
        <v>15</v>
      </c>
      <c r="AE1758" s="38" t="s">
        <v>344</v>
      </c>
    </row>
    <row r="1759" spans="1:31" ht="18" customHeight="1" x14ac:dyDescent="0.25">
      <c r="A17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59" s="79">
        <v>4</v>
      </c>
      <c r="C1759" s="23">
        <v>44425</v>
      </c>
      <c r="D1759" s="67">
        <f>IF(COUNTIF($G$2:$G1759,$G1759)=1,1,0)</f>
        <v>0</v>
      </c>
      <c r="E1759" s="67" t="str">
        <f>IFERROR(VLOOKUP(База_КР_КК[[#This Row],[ИД штатной должности (S)]],'уровень защищенности'!$B$7:$F$1095,5,0),"не защищена")</f>
        <v>низкий</v>
      </c>
      <c r="F1759" s="68">
        <v>500531</v>
      </c>
      <c r="G1759" s="74" t="s">
        <v>2557</v>
      </c>
      <c r="H1759" s="181">
        <f>INDEX('Списки данных'!$D$2:$D$1048576,MATCH(База_КР_КК[[#This Row],[Структурное подразделение]],'Списки данных'!$C$2:$C$1048576,0))</f>
        <v>13</v>
      </c>
      <c r="I1759" s="80" t="s">
        <v>173</v>
      </c>
      <c r="J1759" s="80" t="s">
        <v>212</v>
      </c>
      <c r="K1759" s="80" t="s">
        <v>213</v>
      </c>
      <c r="L1759" s="30" t="s">
        <v>192</v>
      </c>
      <c r="M1759" s="68">
        <v>7</v>
      </c>
      <c r="N1759" s="181" t="str">
        <f t="shared" si="28"/>
        <v>да</v>
      </c>
      <c r="O1759" s="23">
        <v>44695</v>
      </c>
      <c r="P1759" s="23">
        <v>44853</v>
      </c>
      <c r="Q1759" s="106" t="s">
        <v>66</v>
      </c>
      <c r="R1759" s="37">
        <v>388</v>
      </c>
      <c r="S1759" s="39" t="s">
        <v>800</v>
      </c>
      <c r="T1759" s="37">
        <v>388</v>
      </c>
      <c r="U1759" s="39" t="s">
        <v>800</v>
      </c>
      <c r="V1759" s="69" t="s">
        <v>272</v>
      </c>
      <c r="W1759" s="89" t="s">
        <v>173</v>
      </c>
      <c r="X1759" s="106" t="s">
        <v>295</v>
      </c>
      <c r="Y1759" s="107" t="s">
        <v>14</v>
      </c>
      <c r="Z1759" s="67">
        <f>IF(База_КР_КК[[#This Row],[Таб.номер резервиста]]="-","-",IF(OR(База_КР_КК[[#This Row],[Уровень КК]]=2,База_КР_КК[[#This Row],[Уровень КК]]=3),IF(COUNTIFS($U$2:$U1759,$U1759,$F$2:$F1759,$F1759)=1,1,0),IF(COUNTIFS($U$2:$U1759,$U1759,$L$2:$L1759,$L1759)=1,1,0)))</f>
        <v>1</v>
      </c>
      <c r="AA17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759" s="106" t="s">
        <v>24</v>
      </c>
      <c r="AC1759" s="51">
        <v>44853</v>
      </c>
      <c r="AD1759" s="106" t="s">
        <v>15</v>
      </c>
      <c r="AE1759" s="38" t="s">
        <v>343</v>
      </c>
    </row>
    <row r="1760" spans="1:31" ht="18" customHeight="1" x14ac:dyDescent="0.25">
      <c r="A17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0" s="79">
        <v>4</v>
      </c>
      <c r="C1760" s="23">
        <v>44425</v>
      </c>
      <c r="D1760" s="67">
        <f>IF(COUNTIF($G$2:$G1760,$G1760)=1,1,0)</f>
        <v>0</v>
      </c>
      <c r="E1760" s="67" t="str">
        <f>IFERROR(VLOOKUP(База_КР_КК[[#This Row],[ИД штатной должности (S)]],'уровень защищенности'!$B$7:$F$1095,5,0),"не защищена")</f>
        <v>низкий</v>
      </c>
      <c r="F1760" s="68">
        <v>500531</v>
      </c>
      <c r="G1760" s="74" t="s">
        <v>2557</v>
      </c>
      <c r="H1760" s="181">
        <f>INDEX('Списки данных'!$D$2:$D$1048576,MATCH(База_КР_КК[[#This Row],[Структурное подразделение]],'Списки данных'!$C$2:$C$1048576,0))</f>
        <v>13</v>
      </c>
      <c r="I1760" s="80" t="s">
        <v>173</v>
      </c>
      <c r="J1760" s="80" t="s">
        <v>212</v>
      </c>
      <c r="K1760" s="80" t="s">
        <v>213</v>
      </c>
      <c r="L1760" s="30" t="s">
        <v>192</v>
      </c>
      <c r="M1760" s="68">
        <v>7</v>
      </c>
      <c r="N1760" s="181" t="str">
        <f t="shared" si="28"/>
        <v>да</v>
      </c>
      <c r="O1760" s="23">
        <v>44695</v>
      </c>
      <c r="P1760" s="23">
        <v>44853</v>
      </c>
      <c r="Q1760" s="106" t="s">
        <v>66</v>
      </c>
      <c r="R1760" s="37">
        <v>388</v>
      </c>
      <c r="S1760" s="39" t="s">
        <v>800</v>
      </c>
      <c r="T1760" s="37">
        <v>406</v>
      </c>
      <c r="U1760" s="39" t="s">
        <v>818</v>
      </c>
      <c r="V1760" s="69" t="s">
        <v>272</v>
      </c>
      <c r="W1760" s="89" t="s">
        <v>173</v>
      </c>
      <c r="X1760" s="106" t="s">
        <v>296</v>
      </c>
      <c r="Y1760" s="107" t="s">
        <v>18</v>
      </c>
      <c r="Z1760" s="67">
        <f>IF(База_КР_КК[[#This Row],[Таб.номер резервиста]]="-","-",IF(OR(База_КР_КК[[#This Row],[Уровень КК]]=2,База_КР_КК[[#This Row],[Уровень КК]]=3),IF(COUNTIFS($U$2:$U1760,$U1760,$F$2:$F1760,$F1760)=1,1,0),IF(COUNTIFS($U$2:$U1760,$U1760,$L$2:$L1760,$L1760)=1,1,0)))</f>
        <v>1</v>
      </c>
      <c r="AA17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0" s="106" t="s">
        <v>37</v>
      </c>
      <c r="AC1760" s="51">
        <v>44890</v>
      </c>
      <c r="AD1760" s="106" t="s">
        <v>31</v>
      </c>
      <c r="AE1760" s="38" t="s">
        <v>344</v>
      </c>
    </row>
    <row r="1761" spans="1:31" ht="18" customHeight="1" x14ac:dyDescent="0.25">
      <c r="A17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1" s="79">
        <v>4</v>
      </c>
      <c r="C1761" s="23">
        <v>44425</v>
      </c>
      <c r="D1761" s="67">
        <f>IF(COUNTIF($G$2:$G1761,$G1761)=1,1,0)</f>
        <v>1</v>
      </c>
      <c r="E1761" s="67" t="str">
        <f>IFERROR(VLOOKUP(База_КР_КК[[#This Row],[ИД штатной должности (S)]],'уровень защищенности'!$B$7:$F$1095,5,0),"не защищена")</f>
        <v>низкий</v>
      </c>
      <c r="F1761" s="68">
        <v>500532</v>
      </c>
      <c r="G1761" s="74" t="s">
        <v>2558</v>
      </c>
      <c r="H1761" s="181">
        <f>INDEX('Списки данных'!$D$2:$D$1048576,MATCH(База_КР_КК[[#This Row],[Структурное подразделение]],'Списки данных'!$C$2:$C$1048576,0))</f>
        <v>13</v>
      </c>
      <c r="I1761" s="80" t="s">
        <v>173</v>
      </c>
      <c r="J1761" s="80" t="s">
        <v>212</v>
      </c>
      <c r="K1761" s="80" t="s">
        <v>213</v>
      </c>
      <c r="L1761" s="30" t="s">
        <v>192</v>
      </c>
      <c r="M1761" s="68">
        <v>7</v>
      </c>
      <c r="N1761" s="181" t="str">
        <f t="shared" si="28"/>
        <v>да</v>
      </c>
      <c r="O1761" s="23">
        <v>44571</v>
      </c>
      <c r="P1761" s="23">
        <v>44621</v>
      </c>
      <c r="Q1761" s="106" t="s">
        <v>66</v>
      </c>
      <c r="R1761" s="37">
        <v>389</v>
      </c>
      <c r="S1761" s="39" t="s">
        <v>801</v>
      </c>
      <c r="T1761" s="37">
        <v>1372</v>
      </c>
      <c r="U1761" s="39" t="s">
        <v>1760</v>
      </c>
      <c r="V1761" s="69" t="s">
        <v>272</v>
      </c>
      <c r="W1761" s="89" t="s">
        <v>173</v>
      </c>
      <c r="X1761" s="106" t="s">
        <v>296</v>
      </c>
      <c r="Y1761" s="107" t="s">
        <v>12</v>
      </c>
      <c r="Z1761" s="67">
        <f>IF(База_КР_КК[[#This Row],[Таб.номер резервиста]]="-","-",IF(OR(База_КР_КК[[#This Row],[Уровень КК]]=2,База_КР_КК[[#This Row],[Уровень КК]]=3),IF(COUNTIFS($U$2:$U1761,$U1761,$F$2:$F1761,$F1761)=1,1,0),IF(COUNTIFS($U$2:$U1761,$U1761,$L$2:$L1761,$L1761)=1,1,0)))</f>
        <v>1</v>
      </c>
      <c r="AA17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1" s="106"/>
      <c r="AC1761" s="51"/>
      <c r="AD1761" s="106" t="s">
        <v>15</v>
      </c>
      <c r="AE1761" s="38" t="s">
        <v>343</v>
      </c>
    </row>
    <row r="1762" spans="1:31" ht="18" customHeight="1" x14ac:dyDescent="0.25">
      <c r="A17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2" s="79">
        <v>4</v>
      </c>
      <c r="C1762" s="23">
        <v>44890</v>
      </c>
      <c r="D1762" s="67">
        <f>IF(COUNTIF($G$2:$G1762,$G1762)=1,1,0)</f>
        <v>0</v>
      </c>
      <c r="E1762" s="67" t="str">
        <f>IFERROR(VLOOKUP(База_КР_КК[[#This Row],[ИД штатной должности (S)]],'уровень защищенности'!$B$7:$F$1095,5,0),"не защищена")</f>
        <v>низкий</v>
      </c>
      <c r="F1762" s="68">
        <v>500532</v>
      </c>
      <c r="G1762" s="74" t="s">
        <v>2558</v>
      </c>
      <c r="H1762" s="181">
        <f>INDEX('Списки данных'!$D$2:$D$1048576,MATCH(База_КР_КК[[#This Row],[Структурное подразделение]],'Списки данных'!$C$2:$C$1048576,0))</f>
        <v>13</v>
      </c>
      <c r="I1762" s="80" t="s">
        <v>173</v>
      </c>
      <c r="J1762" s="80" t="s">
        <v>212</v>
      </c>
      <c r="K1762" s="80" t="s">
        <v>213</v>
      </c>
      <c r="L1762" s="30" t="s">
        <v>192</v>
      </c>
      <c r="M1762" s="68">
        <v>7</v>
      </c>
      <c r="N1762" s="181" t="str">
        <f t="shared" si="28"/>
        <v>да</v>
      </c>
      <c r="O1762" s="23">
        <v>44571</v>
      </c>
      <c r="P1762" s="23">
        <v>44621</v>
      </c>
      <c r="Q1762" s="106" t="s">
        <v>66</v>
      </c>
      <c r="R1762" s="37">
        <v>389</v>
      </c>
      <c r="S1762" s="39" t="s">
        <v>801</v>
      </c>
      <c r="T1762" s="37">
        <v>1492</v>
      </c>
      <c r="U1762" s="39" t="s">
        <v>1731</v>
      </c>
      <c r="V1762" s="69" t="s">
        <v>16</v>
      </c>
      <c r="W1762" s="89" t="s">
        <v>173</v>
      </c>
      <c r="X1762" s="106" t="s">
        <v>296</v>
      </c>
      <c r="Y1762" s="107" t="s">
        <v>12</v>
      </c>
      <c r="Z1762" s="67">
        <f>IF(База_КР_КК[[#This Row],[Таб.номер резервиста]]="-","-",IF(OR(База_КР_КК[[#This Row],[Уровень КК]]=2,База_КР_КК[[#This Row],[Уровень КК]]=3),IF(COUNTIFS($U$2:$U1762,$U1762,$F$2:$F1762,$F1762)=1,1,0),IF(COUNTIFS($U$2:$U1762,$U1762,$L$2:$L1762,$L1762)=1,1,0)))</f>
        <v>0</v>
      </c>
      <c r="AA17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2" s="106"/>
      <c r="AC1762" s="51"/>
      <c r="AD1762" s="106" t="s">
        <v>15</v>
      </c>
      <c r="AE1762" s="38" t="s">
        <v>344</v>
      </c>
    </row>
    <row r="1763" spans="1:31" ht="18" customHeight="1" x14ac:dyDescent="0.25">
      <c r="A17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3" s="79">
        <v>4</v>
      </c>
      <c r="C1763" s="23">
        <v>44425</v>
      </c>
      <c r="D1763" s="67">
        <f>IF(COUNTIF($G$2:$G1763,$G1763)=1,1,0)</f>
        <v>0</v>
      </c>
      <c r="E1763" s="67" t="str">
        <f>IFERROR(VLOOKUP(База_КР_КК[[#This Row],[ИД штатной должности (S)]],'уровень защищенности'!$B$7:$F$1095,5,0),"не защищена")</f>
        <v>низкий</v>
      </c>
      <c r="F1763" s="68">
        <v>500532</v>
      </c>
      <c r="G1763" s="74" t="s">
        <v>2558</v>
      </c>
      <c r="H1763" s="181">
        <f>INDEX('Списки данных'!$D$2:$D$1048576,MATCH(База_КР_КК[[#This Row],[Структурное подразделение]],'Списки данных'!$C$2:$C$1048576,0))</f>
        <v>13</v>
      </c>
      <c r="I1763" s="80" t="s">
        <v>173</v>
      </c>
      <c r="J1763" s="80" t="s">
        <v>212</v>
      </c>
      <c r="K1763" s="80" t="s">
        <v>213</v>
      </c>
      <c r="L1763" s="30" t="s">
        <v>192</v>
      </c>
      <c r="M1763" s="68">
        <v>7</v>
      </c>
      <c r="N1763" s="181" t="str">
        <f t="shared" si="28"/>
        <v>да</v>
      </c>
      <c r="O1763" s="23">
        <v>44571</v>
      </c>
      <c r="P1763" s="23">
        <v>44621</v>
      </c>
      <c r="Q1763" s="106" t="s">
        <v>66</v>
      </c>
      <c r="R1763" s="37">
        <v>389</v>
      </c>
      <c r="S1763" s="39" t="s">
        <v>801</v>
      </c>
      <c r="T1763" s="37">
        <v>389</v>
      </c>
      <c r="U1763" s="39" t="s">
        <v>801</v>
      </c>
      <c r="V1763" s="69" t="s">
        <v>192</v>
      </c>
      <c r="W1763" s="89" t="s">
        <v>173</v>
      </c>
      <c r="X1763" s="106" t="s">
        <v>295</v>
      </c>
      <c r="Y1763" s="107" t="s">
        <v>14</v>
      </c>
      <c r="Z1763" s="67">
        <f>IF(База_КР_КК[[#This Row],[Таб.номер резервиста]]="-","-",IF(OR(База_КР_КК[[#This Row],[Уровень КК]]=2,База_КР_КК[[#This Row],[Уровень КК]]=3),IF(COUNTIFS($U$2:$U1763,$U1763,$F$2:$F1763,$F1763)=1,1,0),IF(COUNTIFS($U$2:$U1763,$U1763,$L$2:$L1763,$L1763)=1,1,0)))</f>
        <v>1</v>
      </c>
      <c r="AA17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763" s="106" t="s">
        <v>24</v>
      </c>
      <c r="AC1763" s="51">
        <v>44621</v>
      </c>
      <c r="AD1763" s="106" t="s">
        <v>15</v>
      </c>
      <c r="AE1763" s="38" t="s">
        <v>343</v>
      </c>
    </row>
    <row r="1764" spans="1:31" ht="18" customHeight="1" x14ac:dyDescent="0.25">
      <c r="A17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4" s="79">
        <v>4</v>
      </c>
      <c r="C1764" s="23">
        <v>44888</v>
      </c>
      <c r="D1764" s="67">
        <f>IF(COUNTIF($G$2:$G1764,$G1764)=1,1,0)</f>
        <v>1</v>
      </c>
      <c r="E1764" s="67" t="str">
        <f>IFERROR(VLOOKUP(База_КР_КК[[#This Row],[ИД штатной должности (S)]],'уровень защищенности'!$B$7:$F$1095,5,0),"не защищена")</f>
        <v>низкий</v>
      </c>
      <c r="F1764" s="68">
        <v>500232</v>
      </c>
      <c r="G1764" s="74" t="s">
        <v>2559</v>
      </c>
      <c r="H1764" s="181">
        <f>INDEX('Списки данных'!$D$2:$D$1048576,MATCH(База_КР_КК[[#This Row],[Структурное подразделение]],'Списки данных'!$C$2:$C$1048576,0))</f>
        <v>11</v>
      </c>
      <c r="I1764" s="80" t="s">
        <v>169</v>
      </c>
      <c r="J1764" s="80" t="s">
        <v>220</v>
      </c>
      <c r="K1764" s="80" t="s">
        <v>21</v>
      </c>
      <c r="L1764" s="30" t="s">
        <v>191</v>
      </c>
      <c r="M1764" s="68">
        <v>7</v>
      </c>
      <c r="N1764" s="181" t="str">
        <f t="shared" si="28"/>
        <v>нет</v>
      </c>
      <c r="O1764" s="23"/>
      <c r="P1764" s="23"/>
      <c r="Q1764" s="106"/>
      <c r="R1764" s="37">
        <v>390</v>
      </c>
      <c r="S1764" s="38" t="s">
        <v>802</v>
      </c>
      <c r="T1764" s="37">
        <v>1493</v>
      </c>
      <c r="U1764" s="39" t="s">
        <v>1860</v>
      </c>
      <c r="V1764" s="69" t="s">
        <v>272</v>
      </c>
      <c r="W1764" s="89" t="s">
        <v>169</v>
      </c>
      <c r="X1764" s="106" t="s">
        <v>296</v>
      </c>
      <c r="Y1764" s="107" t="s">
        <v>12</v>
      </c>
      <c r="Z1764" s="67">
        <f>IF(База_КР_КК[[#This Row],[Таб.номер резервиста]]="-","-",IF(OR(База_КР_КК[[#This Row],[Уровень КК]]=2,База_КР_КК[[#This Row],[Уровень КК]]=3),IF(COUNTIFS($U$2:$U1764,$U1764,$F$2:$F1764,$F1764)=1,1,0),IF(COUNTIFS($U$2:$U1764,$U1764,$L$2:$L1764,$L1764)=1,1,0)))</f>
        <v>1</v>
      </c>
      <c r="AA17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4" s="106"/>
      <c r="AC1764" s="51"/>
      <c r="AD1764" s="106" t="s">
        <v>15</v>
      </c>
      <c r="AE1764" s="38" t="s">
        <v>356</v>
      </c>
    </row>
    <row r="1765" spans="1:31" ht="18" customHeight="1" x14ac:dyDescent="0.25">
      <c r="A17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5" s="79">
        <v>4</v>
      </c>
      <c r="C1765" s="23">
        <v>44426</v>
      </c>
      <c r="D1765" s="67">
        <f>IF(COUNTIF($G$2:$G1765,$G1765)=1,1,0)</f>
        <v>0</v>
      </c>
      <c r="E1765" s="67" t="str">
        <f>IFERROR(VLOOKUP(База_КР_КК[[#This Row],[ИД штатной должности (S)]],'уровень защищенности'!$B$7:$F$1095,5,0),"не защищена")</f>
        <v>низкий</v>
      </c>
      <c r="F1765" s="68">
        <v>500232</v>
      </c>
      <c r="G1765" s="74" t="s">
        <v>2559</v>
      </c>
      <c r="H1765" s="181">
        <f>INDEX('Списки данных'!$D$2:$D$1048576,MATCH(База_КР_КК[[#This Row],[Структурное подразделение]],'Списки данных'!$C$2:$C$1048576,0))</f>
        <v>11</v>
      </c>
      <c r="I1765" s="80" t="s">
        <v>169</v>
      </c>
      <c r="J1765" s="80" t="s">
        <v>220</v>
      </c>
      <c r="K1765" s="80" t="s">
        <v>21</v>
      </c>
      <c r="L1765" s="30" t="s">
        <v>191</v>
      </c>
      <c r="M1765" s="68">
        <v>7</v>
      </c>
      <c r="N1765" s="181" t="str">
        <f t="shared" si="28"/>
        <v>нет</v>
      </c>
      <c r="O1765" s="23"/>
      <c r="P1765" s="23"/>
      <c r="Q1765" s="106"/>
      <c r="R1765" s="37">
        <v>390</v>
      </c>
      <c r="S1765" s="38" t="s">
        <v>802</v>
      </c>
      <c r="T1765" s="37">
        <v>1494</v>
      </c>
      <c r="U1765" s="39" t="s">
        <v>1759</v>
      </c>
      <c r="V1765" s="69" t="s">
        <v>272</v>
      </c>
      <c r="W1765" s="89" t="s">
        <v>127</v>
      </c>
      <c r="X1765" s="106" t="s">
        <v>296</v>
      </c>
      <c r="Y1765" s="107" t="s">
        <v>18</v>
      </c>
      <c r="Z1765" s="67">
        <f>IF(База_КР_КК[[#This Row],[Таб.номер резервиста]]="-","-",IF(OR(База_КР_КК[[#This Row],[Уровень КК]]=2,База_КР_КК[[#This Row],[Уровень КК]]=3),IF(COUNTIFS($U$2:$U1765,$U1765,$F$2:$F1765,$F1765)=1,1,0),IF(COUNTIFS($U$2:$U1765,$U1765,$L$2:$L1765,$L1765)=1,1,0)))</f>
        <v>0</v>
      </c>
      <c r="AA17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5" s="106" t="s">
        <v>33</v>
      </c>
      <c r="AC1765" s="51">
        <v>44888</v>
      </c>
      <c r="AD1765" s="106" t="s">
        <v>31</v>
      </c>
      <c r="AE1765" s="23" t="s">
        <v>356</v>
      </c>
    </row>
    <row r="1766" spans="1:31" ht="18" customHeight="1" x14ac:dyDescent="0.25">
      <c r="A17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6" s="79">
        <v>4</v>
      </c>
      <c r="C1766" s="23">
        <v>44888</v>
      </c>
      <c r="D1766" s="67">
        <f>IF(COUNTIF($G$2:$G1766,$G1766)=1,1,0)</f>
        <v>1</v>
      </c>
      <c r="E1766" s="67" t="str">
        <f>IFERROR(VLOOKUP(База_КР_КК[[#This Row],[ИД штатной должности (S)]],'уровень защищенности'!$B$7:$F$1095,5,0),"не защищена")</f>
        <v>низкий</v>
      </c>
      <c r="F1766" s="68">
        <v>500232</v>
      </c>
      <c r="G1766" s="74" t="s">
        <v>2560</v>
      </c>
      <c r="H1766" s="181">
        <f>INDEX('Списки данных'!$D$2:$D$1048576,MATCH(База_КР_КК[[#This Row],[Структурное подразделение]],'Списки данных'!$C$2:$C$1048576,0))</f>
        <v>11</v>
      </c>
      <c r="I1766" s="80" t="s">
        <v>169</v>
      </c>
      <c r="J1766" s="80" t="s">
        <v>220</v>
      </c>
      <c r="K1766" s="80" t="s">
        <v>21</v>
      </c>
      <c r="L1766" s="30" t="s">
        <v>191</v>
      </c>
      <c r="M1766" s="68">
        <v>7</v>
      </c>
      <c r="N1766" s="181" t="str">
        <f t="shared" si="28"/>
        <v>да</v>
      </c>
      <c r="O1766" s="23">
        <v>45087</v>
      </c>
      <c r="P1766" s="23"/>
      <c r="Q1766" s="106"/>
      <c r="R1766" s="37" t="s">
        <v>23</v>
      </c>
      <c r="S1766" s="38" t="s">
        <v>23</v>
      </c>
      <c r="T1766" s="37">
        <v>1493</v>
      </c>
      <c r="U1766" s="39" t="s">
        <v>1860</v>
      </c>
      <c r="V1766" s="69" t="s">
        <v>272</v>
      </c>
      <c r="W1766" s="89" t="s">
        <v>169</v>
      </c>
      <c r="X1766" s="106" t="s">
        <v>296</v>
      </c>
      <c r="Y1766" s="107" t="s">
        <v>12</v>
      </c>
      <c r="Z1766" s="67">
        <f>IF(База_КР_КК[[#This Row],[Таб.номер резервиста]]="-","-",IF(OR(База_КР_КК[[#This Row],[Уровень КК]]=2,База_КР_КК[[#This Row],[Уровень КК]]=3),IF(COUNTIFS($U$2:$U1766,$U1766,$F$2:$F1766,$F1766)=1,1,0),IF(COUNTIFS($U$2:$U1766,$U1766,$L$2:$L1766,$L1766)=1,1,0)))</f>
        <v>0</v>
      </c>
      <c r="AA17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6" s="106"/>
      <c r="AC1766" s="51"/>
      <c r="AD1766" s="106" t="s">
        <v>15</v>
      </c>
      <c r="AE1766" s="38" t="s">
        <v>356</v>
      </c>
    </row>
    <row r="1767" spans="1:31" ht="18" customHeight="1" x14ac:dyDescent="0.25">
      <c r="A17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7" s="79">
        <v>4</v>
      </c>
      <c r="C1767" s="23">
        <v>44426</v>
      </c>
      <c r="D1767" s="67">
        <f>IF(COUNTIF($G$2:$G1767,$G1767)=1,1,0)</f>
        <v>0</v>
      </c>
      <c r="E1767" s="67" t="str">
        <f>IFERROR(VLOOKUP(База_КР_КК[[#This Row],[ИД штатной должности (S)]],'уровень защищенности'!$B$7:$F$1095,5,0),"не защищена")</f>
        <v>низкий</v>
      </c>
      <c r="F1767" s="68">
        <v>500232</v>
      </c>
      <c r="G1767" s="74" t="s">
        <v>2560</v>
      </c>
      <c r="H1767" s="181">
        <f>INDEX('Списки данных'!$D$2:$D$1048576,MATCH(База_КР_КК[[#This Row],[Структурное подразделение]],'Списки данных'!$C$2:$C$1048576,0))</f>
        <v>11</v>
      </c>
      <c r="I1767" s="80" t="s">
        <v>169</v>
      </c>
      <c r="J1767" s="80" t="s">
        <v>220</v>
      </c>
      <c r="K1767" s="80" t="s">
        <v>21</v>
      </c>
      <c r="L1767" s="30" t="s">
        <v>191</v>
      </c>
      <c r="M1767" s="68">
        <v>7</v>
      </c>
      <c r="N1767" s="181" t="str">
        <f t="shared" si="28"/>
        <v>да</v>
      </c>
      <c r="O1767" s="23">
        <v>45087</v>
      </c>
      <c r="P1767" s="23"/>
      <c r="Q1767" s="106"/>
      <c r="R1767" s="37" t="s">
        <v>23</v>
      </c>
      <c r="S1767" s="38" t="s">
        <v>23</v>
      </c>
      <c r="T1767" s="37">
        <v>1494</v>
      </c>
      <c r="U1767" s="39" t="s">
        <v>1759</v>
      </c>
      <c r="V1767" s="69" t="s">
        <v>272</v>
      </c>
      <c r="W1767" s="89" t="s">
        <v>127</v>
      </c>
      <c r="X1767" s="106" t="s">
        <v>296</v>
      </c>
      <c r="Y1767" s="107" t="s">
        <v>18</v>
      </c>
      <c r="Z1767" s="67">
        <f>IF(База_КР_КК[[#This Row],[Таб.номер резервиста]]="-","-",IF(OR(База_КР_КК[[#This Row],[Уровень КК]]=2,База_КР_КК[[#This Row],[Уровень КК]]=3),IF(COUNTIFS($U$2:$U1767,$U1767,$F$2:$F1767,$F1767)=1,1,0),IF(COUNTIFS($U$2:$U1767,$U1767,$L$2:$L1767,$L1767)=1,1,0)))</f>
        <v>0</v>
      </c>
      <c r="AA17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7" s="106" t="s">
        <v>33</v>
      </c>
      <c r="AC1767" s="51">
        <v>44888</v>
      </c>
      <c r="AD1767" s="106" t="s">
        <v>31</v>
      </c>
      <c r="AE1767" s="23" t="s">
        <v>356</v>
      </c>
    </row>
    <row r="1768" spans="1:31" ht="18" customHeight="1" x14ac:dyDescent="0.25">
      <c r="A17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8" s="79">
        <v>4</v>
      </c>
      <c r="C1768" s="23">
        <v>44888</v>
      </c>
      <c r="D1768" s="67">
        <f>IF(COUNTIF($G$2:$G1768,$G1768)=1,1,0)</f>
        <v>1</v>
      </c>
      <c r="E1768" s="67" t="str">
        <f>IFERROR(VLOOKUP(База_КР_КК[[#This Row],[ИД штатной должности (S)]],'уровень защищенности'!$B$7:$F$1095,5,0),"не защищена")</f>
        <v>низкий</v>
      </c>
      <c r="F1768" s="68">
        <v>500232</v>
      </c>
      <c r="G1768" s="74" t="s">
        <v>2561</v>
      </c>
      <c r="H1768" s="181">
        <f>INDEX('Списки данных'!$D$2:$D$1048576,MATCH(База_КР_КК[[#This Row],[Структурное подразделение]],'Списки данных'!$C$2:$C$1048576,0))</f>
        <v>11</v>
      </c>
      <c r="I1768" s="80" t="s">
        <v>169</v>
      </c>
      <c r="J1768" s="80" t="s">
        <v>220</v>
      </c>
      <c r="K1768" s="80" t="s">
        <v>21</v>
      </c>
      <c r="L1768" s="30" t="s">
        <v>191</v>
      </c>
      <c r="M1768" s="68">
        <v>7</v>
      </c>
      <c r="N1768" s="181" t="str">
        <f t="shared" si="28"/>
        <v>нет</v>
      </c>
      <c r="O1768" s="23"/>
      <c r="P1768" s="23"/>
      <c r="Q1768" s="106"/>
      <c r="R1768" s="37">
        <v>391</v>
      </c>
      <c r="S1768" s="38" t="s">
        <v>803</v>
      </c>
      <c r="T1768" s="37">
        <v>1493</v>
      </c>
      <c r="U1768" s="39" t="s">
        <v>1860</v>
      </c>
      <c r="V1768" s="69" t="s">
        <v>272</v>
      </c>
      <c r="W1768" s="89" t="s">
        <v>169</v>
      </c>
      <c r="X1768" s="106" t="s">
        <v>296</v>
      </c>
      <c r="Y1768" s="107" t="s">
        <v>12</v>
      </c>
      <c r="Z1768" s="67">
        <f>IF(База_КР_КК[[#This Row],[Таб.номер резервиста]]="-","-",IF(OR(База_КР_КК[[#This Row],[Уровень КК]]=2,База_КР_КК[[#This Row],[Уровень КК]]=3),IF(COUNTIFS($U$2:$U1768,$U1768,$F$2:$F1768,$F1768)=1,1,0),IF(COUNTIFS($U$2:$U1768,$U1768,$L$2:$L1768,$L1768)=1,1,0)))</f>
        <v>0</v>
      </c>
      <c r="AA17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8" s="106"/>
      <c r="AC1768" s="51"/>
      <c r="AD1768" s="106" t="s">
        <v>15</v>
      </c>
      <c r="AE1768" s="38" t="s">
        <v>356</v>
      </c>
    </row>
    <row r="1769" spans="1:31" ht="18" customHeight="1" x14ac:dyDescent="0.25">
      <c r="A17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69" s="79">
        <v>4</v>
      </c>
      <c r="C1769" s="23">
        <v>44426</v>
      </c>
      <c r="D1769" s="67">
        <f>IF(COUNTIF($G$2:$G1769,$G1769)=1,1,0)</f>
        <v>0</v>
      </c>
      <c r="E1769" s="67" t="str">
        <f>IFERROR(VLOOKUP(База_КР_КК[[#This Row],[ИД штатной должности (S)]],'уровень защищенности'!$B$7:$F$1095,5,0),"не защищена")</f>
        <v>низкий</v>
      </c>
      <c r="F1769" s="68">
        <v>500232</v>
      </c>
      <c r="G1769" s="74" t="s">
        <v>2561</v>
      </c>
      <c r="H1769" s="181">
        <f>INDEX('Списки данных'!$D$2:$D$1048576,MATCH(База_КР_КК[[#This Row],[Структурное подразделение]],'Списки данных'!$C$2:$C$1048576,0))</f>
        <v>11</v>
      </c>
      <c r="I1769" s="80" t="s">
        <v>169</v>
      </c>
      <c r="J1769" s="80" t="s">
        <v>220</v>
      </c>
      <c r="K1769" s="80" t="s">
        <v>21</v>
      </c>
      <c r="L1769" s="30" t="s">
        <v>191</v>
      </c>
      <c r="M1769" s="68">
        <v>7</v>
      </c>
      <c r="N1769" s="181" t="str">
        <f t="shared" si="28"/>
        <v>нет</v>
      </c>
      <c r="O1769" s="23"/>
      <c r="P1769" s="23"/>
      <c r="Q1769" s="106"/>
      <c r="R1769" s="37">
        <v>391</v>
      </c>
      <c r="S1769" s="38" t="s">
        <v>803</v>
      </c>
      <c r="T1769" s="37">
        <v>1494</v>
      </c>
      <c r="U1769" s="39" t="s">
        <v>1759</v>
      </c>
      <c r="V1769" s="69" t="s">
        <v>272</v>
      </c>
      <c r="W1769" s="89" t="s">
        <v>127</v>
      </c>
      <c r="X1769" s="106" t="s">
        <v>296</v>
      </c>
      <c r="Y1769" s="107" t="s">
        <v>18</v>
      </c>
      <c r="Z1769" s="67">
        <f>IF(База_КР_КК[[#This Row],[Таб.номер резервиста]]="-","-",IF(OR(База_КР_КК[[#This Row],[Уровень КК]]=2,База_КР_КК[[#This Row],[Уровень КК]]=3),IF(COUNTIFS($U$2:$U1769,$U1769,$F$2:$F1769,$F1769)=1,1,0),IF(COUNTIFS($U$2:$U1769,$U1769,$L$2:$L1769,$L1769)=1,1,0)))</f>
        <v>0</v>
      </c>
      <c r="AA17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69" s="106" t="s">
        <v>33</v>
      </c>
      <c r="AC1769" s="51">
        <v>44888</v>
      </c>
      <c r="AD1769" s="106" t="s">
        <v>31</v>
      </c>
      <c r="AE1769" s="23" t="s">
        <v>356</v>
      </c>
    </row>
    <row r="1770" spans="1:31" ht="18" customHeight="1" x14ac:dyDescent="0.25">
      <c r="A17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0" s="79">
        <v>4</v>
      </c>
      <c r="C1770" s="23">
        <v>44888</v>
      </c>
      <c r="D1770" s="67">
        <f>IF(COUNTIF($G$2:$G1770,$G1770)=1,1,0)</f>
        <v>1</v>
      </c>
      <c r="E1770" s="67" t="str">
        <f>IFERROR(VLOOKUP(База_КР_КК[[#This Row],[ИД штатной должности (S)]],'уровень защищенности'!$B$7:$F$1095,5,0),"не защищена")</f>
        <v>низкий</v>
      </c>
      <c r="F1770" s="68">
        <v>500232</v>
      </c>
      <c r="G1770" s="74" t="s">
        <v>2562</v>
      </c>
      <c r="H1770" s="181">
        <f>INDEX('Списки данных'!$D$2:$D$1048576,MATCH(База_КР_КК[[#This Row],[Структурное подразделение]],'Списки данных'!$C$2:$C$1048576,0))</f>
        <v>11</v>
      </c>
      <c r="I1770" s="80" t="s">
        <v>169</v>
      </c>
      <c r="J1770" s="80" t="s">
        <v>220</v>
      </c>
      <c r="K1770" s="80" t="s">
        <v>21</v>
      </c>
      <c r="L1770" s="30" t="s">
        <v>191</v>
      </c>
      <c r="M1770" s="68">
        <v>7</v>
      </c>
      <c r="N1770" s="181" t="str">
        <f t="shared" si="28"/>
        <v>нет</v>
      </c>
      <c r="O1770" s="23"/>
      <c r="P1770" s="23"/>
      <c r="Q1770" s="106"/>
      <c r="R1770" s="37">
        <v>392</v>
      </c>
      <c r="S1770" s="38" t="s">
        <v>804</v>
      </c>
      <c r="T1770" s="37">
        <v>1493</v>
      </c>
      <c r="U1770" s="39" t="s">
        <v>1860</v>
      </c>
      <c r="V1770" s="69" t="s">
        <v>272</v>
      </c>
      <c r="W1770" s="89" t="s">
        <v>169</v>
      </c>
      <c r="X1770" s="106" t="s">
        <v>296</v>
      </c>
      <c r="Y1770" s="107" t="s">
        <v>12</v>
      </c>
      <c r="Z1770" s="67">
        <f>IF(База_КР_КК[[#This Row],[Таб.номер резервиста]]="-","-",IF(OR(База_КР_КК[[#This Row],[Уровень КК]]=2,База_КР_КК[[#This Row],[Уровень КК]]=3),IF(COUNTIFS($U$2:$U1770,$U1770,$F$2:$F1770,$F1770)=1,1,0),IF(COUNTIFS($U$2:$U1770,$U1770,$L$2:$L1770,$L1770)=1,1,0)))</f>
        <v>0</v>
      </c>
      <c r="AA17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0" s="106"/>
      <c r="AC1770" s="51"/>
      <c r="AD1770" s="106" t="s">
        <v>15</v>
      </c>
      <c r="AE1770" s="38" t="s">
        <v>356</v>
      </c>
    </row>
    <row r="1771" spans="1:31" ht="18" customHeight="1" x14ac:dyDescent="0.25">
      <c r="A17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1" s="79">
        <v>4</v>
      </c>
      <c r="C1771" s="23">
        <v>44426</v>
      </c>
      <c r="D1771" s="67">
        <f>IF(COUNTIF($G$2:$G1771,$G1771)=1,1,0)</f>
        <v>0</v>
      </c>
      <c r="E1771" s="67" t="str">
        <f>IFERROR(VLOOKUP(База_КР_КК[[#This Row],[ИД штатной должности (S)]],'уровень защищенности'!$B$7:$F$1095,5,0),"не защищена")</f>
        <v>низкий</v>
      </c>
      <c r="F1771" s="68">
        <v>500232</v>
      </c>
      <c r="G1771" s="74" t="s">
        <v>2562</v>
      </c>
      <c r="H1771" s="181">
        <f>INDEX('Списки данных'!$D$2:$D$1048576,MATCH(База_КР_КК[[#This Row],[Структурное подразделение]],'Списки данных'!$C$2:$C$1048576,0))</f>
        <v>11</v>
      </c>
      <c r="I1771" s="80" t="s">
        <v>169</v>
      </c>
      <c r="J1771" s="80" t="s">
        <v>220</v>
      </c>
      <c r="K1771" s="80" t="s">
        <v>21</v>
      </c>
      <c r="L1771" s="30" t="s">
        <v>191</v>
      </c>
      <c r="M1771" s="68">
        <v>7</v>
      </c>
      <c r="N1771" s="181" t="str">
        <f t="shared" si="28"/>
        <v>нет</v>
      </c>
      <c r="O1771" s="23"/>
      <c r="P1771" s="23"/>
      <c r="Q1771" s="106"/>
      <c r="R1771" s="37">
        <v>392</v>
      </c>
      <c r="S1771" s="38" t="s">
        <v>804</v>
      </c>
      <c r="T1771" s="37">
        <v>1494</v>
      </c>
      <c r="U1771" s="39" t="s">
        <v>1759</v>
      </c>
      <c r="V1771" s="69" t="s">
        <v>272</v>
      </c>
      <c r="W1771" s="89" t="s">
        <v>127</v>
      </c>
      <c r="X1771" s="106" t="s">
        <v>296</v>
      </c>
      <c r="Y1771" s="107" t="s">
        <v>18</v>
      </c>
      <c r="Z1771" s="67">
        <f>IF(База_КР_КК[[#This Row],[Таб.номер резервиста]]="-","-",IF(OR(База_КР_КК[[#This Row],[Уровень КК]]=2,База_КР_КК[[#This Row],[Уровень КК]]=3),IF(COUNTIFS($U$2:$U1771,$U1771,$F$2:$F1771,$F1771)=1,1,0),IF(COUNTIFS($U$2:$U1771,$U1771,$L$2:$L1771,$L1771)=1,1,0)))</f>
        <v>0</v>
      </c>
      <c r="AA17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1" s="106" t="s">
        <v>33</v>
      </c>
      <c r="AC1771" s="51">
        <v>44888</v>
      </c>
      <c r="AD1771" s="106" t="s">
        <v>31</v>
      </c>
      <c r="AE1771" s="23" t="s">
        <v>356</v>
      </c>
    </row>
    <row r="1772" spans="1:31" ht="18" customHeight="1" x14ac:dyDescent="0.25">
      <c r="A17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2" s="79">
        <v>3</v>
      </c>
      <c r="C1772" s="23">
        <v>44165</v>
      </c>
      <c r="D1772" s="67">
        <f>IF(COUNTIF($G$2:$G1772,$G1772)=1,1,0)</f>
        <v>1</v>
      </c>
      <c r="E1772" s="67" t="str">
        <f>IFERROR(VLOOKUP(База_КР_КК[[#This Row],[ИД штатной должности (S)]],'уровень защищенности'!$B$7:$F$1095,5,0),"не защищена")</f>
        <v>низкий</v>
      </c>
      <c r="F1772" s="68">
        <v>500233</v>
      </c>
      <c r="G1772" s="74" t="s">
        <v>2563</v>
      </c>
      <c r="H1772" s="181">
        <f>INDEX('Списки данных'!$D$2:$D$1048576,MATCH(База_КР_КК[[#This Row],[Структурное подразделение]],'Списки данных'!$C$2:$C$1048576,0))</f>
        <v>11</v>
      </c>
      <c r="I1772" s="80" t="s">
        <v>169</v>
      </c>
      <c r="J1772" s="80" t="s">
        <v>220</v>
      </c>
      <c r="K1772" s="80" t="s">
        <v>21</v>
      </c>
      <c r="L1772" s="30" t="s">
        <v>198</v>
      </c>
      <c r="M1772" s="68">
        <v>6</v>
      </c>
      <c r="N1772" s="181" t="str">
        <f t="shared" si="28"/>
        <v>да</v>
      </c>
      <c r="O1772" s="23">
        <v>44400</v>
      </c>
      <c r="P1772" s="23">
        <v>44417</v>
      </c>
      <c r="Q1772" s="106" t="s">
        <v>66</v>
      </c>
      <c r="R1772" s="37">
        <v>393</v>
      </c>
      <c r="S1772" s="38" t="s">
        <v>805</v>
      </c>
      <c r="T1772" s="37">
        <v>1495</v>
      </c>
      <c r="U1772" s="39" t="s">
        <v>1861</v>
      </c>
      <c r="V1772" s="69" t="s">
        <v>16</v>
      </c>
      <c r="W1772" s="89" t="s">
        <v>169</v>
      </c>
      <c r="X1772" s="106" t="s">
        <v>296</v>
      </c>
      <c r="Y1772" s="107" t="s">
        <v>12</v>
      </c>
      <c r="Z1772" s="67">
        <f>IF(База_КР_КК[[#This Row],[Таб.номер резервиста]]="-","-",IF(OR(База_КР_КК[[#This Row],[Уровень КК]]=2,База_КР_КК[[#This Row],[Уровень КК]]=3),IF(COUNTIFS($U$2:$U1772,$U1772,$F$2:$F1772,$F1772)=1,1,0),IF(COUNTIFS($U$2:$U1772,$U1772,$L$2:$L1772,$L1772)=1,1,0)))</f>
        <v>1</v>
      </c>
      <c r="AA17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2" s="106"/>
      <c r="AC1772" s="51"/>
      <c r="AD1772" s="106" t="s">
        <v>22</v>
      </c>
      <c r="AE1772" s="38" t="s">
        <v>353</v>
      </c>
    </row>
    <row r="1773" spans="1:31" ht="18" customHeight="1" x14ac:dyDescent="0.25">
      <c r="A17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3" s="79">
        <v>3</v>
      </c>
      <c r="C1773" s="23">
        <v>43174</v>
      </c>
      <c r="D1773" s="67">
        <f>IF(COUNTIF($G$2:$G1773,$G1773)=1,1,0)</f>
        <v>0</v>
      </c>
      <c r="E1773" s="67" t="str">
        <f>IFERROR(VLOOKUP(База_КР_КК[[#This Row],[ИД штатной должности (S)]],'уровень защищенности'!$B$7:$F$1095,5,0),"не защищена")</f>
        <v>низкий</v>
      </c>
      <c r="F1773" s="68">
        <v>500233</v>
      </c>
      <c r="G1773" s="74" t="s">
        <v>2563</v>
      </c>
      <c r="H1773" s="181">
        <f>INDEX('Списки данных'!$D$2:$D$1048576,MATCH(База_КР_КК[[#This Row],[Структурное подразделение]],'Списки данных'!$C$2:$C$1048576,0))</f>
        <v>11</v>
      </c>
      <c r="I1773" s="80" t="s">
        <v>169</v>
      </c>
      <c r="J1773" s="80" t="s">
        <v>220</v>
      </c>
      <c r="K1773" s="80" t="s">
        <v>21</v>
      </c>
      <c r="L1773" s="30" t="s">
        <v>198</v>
      </c>
      <c r="M1773" s="68">
        <v>6</v>
      </c>
      <c r="N1773" s="181" t="str">
        <f t="shared" si="28"/>
        <v>да</v>
      </c>
      <c r="O1773" s="23">
        <v>44400</v>
      </c>
      <c r="P1773" s="23">
        <v>44417</v>
      </c>
      <c r="Q1773" s="106" t="s">
        <v>66</v>
      </c>
      <c r="R1773" s="37">
        <v>393</v>
      </c>
      <c r="S1773" s="38" t="s">
        <v>805</v>
      </c>
      <c r="T1773" s="37">
        <v>393</v>
      </c>
      <c r="U1773" s="39" t="s">
        <v>805</v>
      </c>
      <c r="V1773" s="89" t="s">
        <v>192</v>
      </c>
      <c r="W1773" s="80" t="s">
        <v>169</v>
      </c>
      <c r="X1773" s="106" t="s">
        <v>297</v>
      </c>
      <c r="Y1773" s="107" t="s">
        <v>14</v>
      </c>
      <c r="Z1773" s="67">
        <f>IF(База_КР_КК[[#This Row],[Таб.номер резервиста]]="-","-",IF(OR(База_КР_КК[[#This Row],[Уровень КК]]=2,База_КР_КК[[#This Row],[Уровень КК]]=3),IF(COUNTIFS($U$2:$U1773,$U1773,$F$2:$F1773,$F1773)=1,1,0),IF(COUNTIFS($U$2:$U1773,$U1773,$L$2:$L1773,$L1773)=1,1,0)))</f>
        <v>1</v>
      </c>
      <c r="AA17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773" s="106" t="s">
        <v>24</v>
      </c>
      <c r="AC1773" s="51">
        <v>44417</v>
      </c>
      <c r="AD1773" s="106" t="s">
        <v>13</v>
      </c>
      <c r="AE1773" s="38" t="s">
        <v>354</v>
      </c>
    </row>
    <row r="1774" spans="1:31" ht="18" customHeight="1" x14ac:dyDescent="0.25">
      <c r="A17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4" s="79">
        <v>3</v>
      </c>
      <c r="C1774" s="23">
        <v>44165</v>
      </c>
      <c r="D1774" s="67">
        <f>IF(COUNTIF($G$2:$G1774,$G1774)=1,1,0)</f>
        <v>0</v>
      </c>
      <c r="E1774" s="67" t="str">
        <f>IFERROR(VLOOKUP(База_КР_КК[[#This Row],[ИД штатной должности (S)]],'уровень защищенности'!$B$7:$F$1095,5,0),"не защищена")</f>
        <v>низкий</v>
      </c>
      <c r="F1774" s="68">
        <v>500233</v>
      </c>
      <c r="G1774" s="74" t="s">
        <v>2563</v>
      </c>
      <c r="H1774" s="181">
        <f>INDEX('Списки данных'!$D$2:$D$1048576,MATCH(База_КР_КК[[#This Row],[Структурное подразделение]],'Списки данных'!$C$2:$C$1048576,0))</f>
        <v>11</v>
      </c>
      <c r="I1774" s="80" t="s">
        <v>169</v>
      </c>
      <c r="J1774" s="80" t="s">
        <v>220</v>
      </c>
      <c r="K1774" s="80" t="s">
        <v>21</v>
      </c>
      <c r="L1774" s="30" t="s">
        <v>198</v>
      </c>
      <c r="M1774" s="68">
        <v>6</v>
      </c>
      <c r="N1774" s="181" t="str">
        <f t="shared" si="28"/>
        <v>да</v>
      </c>
      <c r="O1774" s="23">
        <v>44400</v>
      </c>
      <c r="P1774" s="23">
        <v>44417</v>
      </c>
      <c r="Q1774" s="106" t="s">
        <v>66</v>
      </c>
      <c r="R1774" s="37">
        <v>393</v>
      </c>
      <c r="S1774" s="38" t="s">
        <v>805</v>
      </c>
      <c r="T1774" s="37">
        <v>394</v>
      </c>
      <c r="U1774" s="39" t="s">
        <v>806</v>
      </c>
      <c r="V1774" s="69" t="s">
        <v>192</v>
      </c>
      <c r="W1774" s="89" t="s">
        <v>169</v>
      </c>
      <c r="X1774" s="106" t="s">
        <v>297</v>
      </c>
      <c r="Y1774" s="107" t="s">
        <v>18</v>
      </c>
      <c r="Z1774" s="67">
        <f>IF(База_КР_КК[[#This Row],[Таб.номер резервиста]]="-","-",IF(OR(База_КР_КК[[#This Row],[Уровень КК]]=2,База_КР_КК[[#This Row],[Уровень КК]]=3),IF(COUNTIFS($U$2:$U1774,$U1774,$F$2:$F1774,$F1774)=1,1,0),IF(COUNTIFS($U$2:$U1774,$U1774,$L$2:$L1774,$L1774)=1,1,0)))</f>
        <v>1</v>
      </c>
      <c r="AA17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4" s="106" t="s">
        <v>45</v>
      </c>
      <c r="AC1774" s="51">
        <v>44417</v>
      </c>
      <c r="AD1774" s="106" t="s">
        <v>31</v>
      </c>
      <c r="AE1774" s="38" t="s">
        <v>353</v>
      </c>
    </row>
    <row r="1775" spans="1:31" ht="18" customHeight="1" x14ac:dyDescent="0.25">
      <c r="A17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5" s="79">
        <v>4</v>
      </c>
      <c r="C1775" s="23">
        <v>44426</v>
      </c>
      <c r="D1775" s="67">
        <f>IF(COUNTIF($G$2:$G1775,$G1775)=1,1,0)</f>
        <v>1</v>
      </c>
      <c r="E1775" s="67" t="str">
        <f>IFERROR(VLOOKUP(База_КР_КК[[#This Row],[ИД штатной должности (S)]],'уровень защищенности'!$B$7:$F$1095,5,0),"не защищена")</f>
        <v>средний</v>
      </c>
      <c r="F1775" s="68">
        <v>500234</v>
      </c>
      <c r="G1775" s="74" t="s">
        <v>2564</v>
      </c>
      <c r="H1775" s="181">
        <f>INDEX('Списки данных'!$D$2:$D$1048576,MATCH(База_КР_КК[[#This Row],[Структурное подразделение]],'Списки данных'!$C$2:$C$1048576,0))</f>
        <v>11</v>
      </c>
      <c r="I1775" s="80" t="s">
        <v>169</v>
      </c>
      <c r="J1775" s="80" t="s">
        <v>220</v>
      </c>
      <c r="K1775" s="80" t="s">
        <v>21</v>
      </c>
      <c r="L1775" s="30" t="s">
        <v>192</v>
      </c>
      <c r="M1775" s="68">
        <v>7</v>
      </c>
      <c r="N1775" s="181" t="str">
        <f t="shared" si="28"/>
        <v>нет</v>
      </c>
      <c r="O1775" s="23"/>
      <c r="P1775" s="23"/>
      <c r="Q1775" s="106"/>
      <c r="R1775" s="37">
        <v>394</v>
      </c>
      <c r="S1775" s="38" t="s">
        <v>806</v>
      </c>
      <c r="T1775" s="37">
        <v>395</v>
      </c>
      <c r="U1775" s="39" t="s">
        <v>807</v>
      </c>
      <c r="V1775" s="89" t="s">
        <v>192</v>
      </c>
      <c r="W1775" s="89" t="s">
        <v>169</v>
      </c>
      <c r="X1775" s="106" t="s">
        <v>297</v>
      </c>
      <c r="Y1775" s="107" t="s">
        <v>12</v>
      </c>
      <c r="Z1775" s="67">
        <f>IF(База_КР_КК[[#This Row],[Таб.номер резервиста]]="-","-",IF(OR(База_КР_КК[[#This Row],[Уровень КК]]=2,База_КР_КК[[#This Row],[Уровень КК]]=3),IF(COUNTIFS($U$2:$U1775,$U1775,$F$2:$F1775,$F1775)=1,1,0),IF(COUNTIFS($U$2:$U1775,$U1775,$L$2:$L1775,$L1775)=1,1,0)))</f>
        <v>1</v>
      </c>
      <c r="AA17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5" s="106"/>
      <c r="AC1775" s="51"/>
      <c r="AD1775" s="106" t="s">
        <v>15</v>
      </c>
      <c r="AE1775" s="38" t="s">
        <v>355</v>
      </c>
    </row>
    <row r="1776" spans="1:31" ht="18" customHeight="1" x14ac:dyDescent="0.25">
      <c r="A17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6" s="79">
        <v>4</v>
      </c>
      <c r="C1776" s="23">
        <v>44888</v>
      </c>
      <c r="D1776" s="67">
        <f>IF(COUNTIF($G$2:$G1776,$G1776)=1,1,0)</f>
        <v>0</v>
      </c>
      <c r="E1776" s="67" t="str">
        <f>IFERROR(VLOOKUP(База_КР_КК[[#This Row],[ИД штатной должности (S)]],'уровень защищенности'!$B$7:$F$1095,5,0),"не защищена")</f>
        <v>средний</v>
      </c>
      <c r="F1776" s="68">
        <v>500234</v>
      </c>
      <c r="G1776" s="74" t="s">
        <v>2564</v>
      </c>
      <c r="H1776" s="181">
        <f>INDEX('Списки данных'!$D$2:$D$1048576,MATCH(База_КР_КК[[#This Row],[Структурное подразделение]],'Списки данных'!$C$2:$C$1048576,0))</f>
        <v>11</v>
      </c>
      <c r="I1776" s="80" t="s">
        <v>169</v>
      </c>
      <c r="J1776" s="80" t="s">
        <v>220</v>
      </c>
      <c r="K1776" s="80" t="s">
        <v>21</v>
      </c>
      <c r="L1776" s="30" t="s">
        <v>192</v>
      </c>
      <c r="M1776" s="68">
        <v>7</v>
      </c>
      <c r="N1776" s="181" t="str">
        <f t="shared" si="28"/>
        <v>нет</v>
      </c>
      <c r="O1776" s="23"/>
      <c r="P1776" s="23"/>
      <c r="Q1776" s="106"/>
      <c r="R1776" s="37">
        <v>394</v>
      </c>
      <c r="S1776" s="38" t="s">
        <v>806</v>
      </c>
      <c r="T1776" s="37">
        <v>396</v>
      </c>
      <c r="U1776" s="39" t="s">
        <v>808</v>
      </c>
      <c r="V1776" s="89" t="s">
        <v>192</v>
      </c>
      <c r="W1776" s="89" t="s">
        <v>169</v>
      </c>
      <c r="X1776" s="106" t="s">
        <v>297</v>
      </c>
      <c r="Y1776" s="107" t="s">
        <v>12</v>
      </c>
      <c r="Z1776" s="67">
        <f>IF(База_КР_КК[[#This Row],[Таб.номер резервиста]]="-","-",IF(OR(База_КР_КК[[#This Row],[Уровень КК]]=2,База_КР_КК[[#This Row],[Уровень КК]]=3),IF(COUNTIFS($U$2:$U1776,$U1776,$F$2:$F1776,$F1776)=1,1,0),IF(COUNTIFS($U$2:$U1776,$U1776,$L$2:$L1776,$L1776)=1,1,0)))</f>
        <v>1</v>
      </c>
      <c r="AA17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6" s="106"/>
      <c r="AC1776" s="51"/>
      <c r="AD1776" s="106" t="s">
        <v>15</v>
      </c>
      <c r="AE1776" s="38" t="s">
        <v>356</v>
      </c>
    </row>
    <row r="1777" spans="1:31" ht="18" customHeight="1" x14ac:dyDescent="0.25">
      <c r="A17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7" s="79">
        <v>4</v>
      </c>
      <c r="C1777" s="23">
        <v>44426</v>
      </c>
      <c r="D1777" s="67">
        <f>IF(COUNTIF($G$2:$G1777,$G1777)=1,1,0)</f>
        <v>1</v>
      </c>
      <c r="E1777" s="67" t="str">
        <f>IFERROR(VLOOKUP(База_КР_КК[[#This Row],[ИД штатной должности (S)]],'уровень защищенности'!$B$7:$F$1095,5,0),"не защищена")</f>
        <v>средний</v>
      </c>
      <c r="F1777" s="68">
        <v>500235</v>
      </c>
      <c r="G1777" s="74" t="s">
        <v>2565</v>
      </c>
      <c r="H1777" s="181">
        <f>INDEX('Списки данных'!$D$2:$D$1048576,MATCH(База_КР_КК[[#This Row],[Структурное подразделение]],'Списки данных'!$C$2:$C$1048576,0))</f>
        <v>11</v>
      </c>
      <c r="I1777" s="80" t="s">
        <v>169</v>
      </c>
      <c r="J1777" s="80" t="s">
        <v>220</v>
      </c>
      <c r="K1777" s="80" t="s">
        <v>21</v>
      </c>
      <c r="L1777" s="30" t="s">
        <v>191</v>
      </c>
      <c r="M1777" s="68">
        <v>7</v>
      </c>
      <c r="N1777" s="181" t="str">
        <f t="shared" si="28"/>
        <v>нет</v>
      </c>
      <c r="O1777" s="23"/>
      <c r="P1777" s="23"/>
      <c r="Q1777" s="106"/>
      <c r="R1777" s="37">
        <v>395</v>
      </c>
      <c r="S1777" s="38" t="s">
        <v>807</v>
      </c>
      <c r="T1777" s="37">
        <v>1496</v>
      </c>
      <c r="U1777" s="39" t="s">
        <v>1862</v>
      </c>
      <c r="V1777" s="69" t="s">
        <v>272</v>
      </c>
      <c r="W1777" s="89" t="s">
        <v>169</v>
      </c>
      <c r="X1777" s="106" t="s">
        <v>297</v>
      </c>
      <c r="Y1777" s="107" t="s">
        <v>12</v>
      </c>
      <c r="Z1777" s="67">
        <f>IF(База_КР_КК[[#This Row],[Таб.номер резервиста]]="-","-",IF(OR(База_КР_КК[[#This Row],[Уровень КК]]=2,База_КР_КК[[#This Row],[Уровень КК]]=3),IF(COUNTIFS($U$2:$U1777,$U1777,$F$2:$F1777,$F1777)=1,1,0),IF(COUNTIFS($U$2:$U1777,$U1777,$L$2:$L1777,$L1777)=1,1,0)))</f>
        <v>1</v>
      </c>
      <c r="AA17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7" s="106"/>
      <c r="AC1777" s="51"/>
      <c r="AD1777" s="106" t="s">
        <v>15</v>
      </c>
      <c r="AE1777" s="38" t="s">
        <v>355</v>
      </c>
    </row>
    <row r="1778" spans="1:31" ht="18" customHeight="1" x14ac:dyDescent="0.25">
      <c r="A17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8" s="79">
        <v>4</v>
      </c>
      <c r="C1778" s="23">
        <v>44426</v>
      </c>
      <c r="D1778" s="67">
        <f>IF(COUNTIF($G$2:$G1778,$G1778)=1,1,0)</f>
        <v>0</v>
      </c>
      <c r="E1778" s="67" t="str">
        <f>IFERROR(VLOOKUP(База_КР_КК[[#This Row],[ИД штатной должности (S)]],'уровень защищенности'!$B$7:$F$1095,5,0),"не защищена")</f>
        <v>средний</v>
      </c>
      <c r="F1778" s="68">
        <v>500235</v>
      </c>
      <c r="G1778" s="74" t="s">
        <v>2565</v>
      </c>
      <c r="H1778" s="181">
        <f>INDEX('Списки данных'!$D$2:$D$1048576,MATCH(База_КР_КК[[#This Row],[Структурное подразделение]],'Списки данных'!$C$2:$C$1048576,0))</f>
        <v>11</v>
      </c>
      <c r="I1778" s="80" t="s">
        <v>169</v>
      </c>
      <c r="J1778" s="80" t="s">
        <v>220</v>
      </c>
      <c r="K1778" s="80" t="s">
        <v>21</v>
      </c>
      <c r="L1778" s="30" t="s">
        <v>191</v>
      </c>
      <c r="M1778" s="68">
        <v>7</v>
      </c>
      <c r="N1778" s="181" t="str">
        <f t="shared" si="28"/>
        <v>нет</v>
      </c>
      <c r="O1778" s="23"/>
      <c r="P1778" s="23"/>
      <c r="Q1778" s="106"/>
      <c r="R1778" s="37">
        <v>395</v>
      </c>
      <c r="S1778" s="38" t="s">
        <v>807</v>
      </c>
      <c r="T1778" s="37">
        <v>398</v>
      </c>
      <c r="U1778" s="39" t="s">
        <v>810</v>
      </c>
      <c r="V1778" s="69" t="s">
        <v>272</v>
      </c>
      <c r="W1778" s="89" t="s">
        <v>169</v>
      </c>
      <c r="X1778" s="106" t="s">
        <v>295</v>
      </c>
      <c r="Y1778" s="107" t="s">
        <v>14</v>
      </c>
      <c r="Z1778" s="67">
        <f>IF(База_КР_КК[[#This Row],[Таб.номер резервиста]]="-","-",IF(OR(База_КР_КК[[#This Row],[Уровень КК]]=2,База_КР_КК[[#This Row],[Уровень КК]]=3),IF(COUNTIFS($U$2:$U1778,$U1778,$F$2:$F1778,$F1778)=1,1,0),IF(COUNTIFS($U$2:$U1778,$U1778,$L$2:$L1778,$L1778)=1,1,0)))</f>
        <v>1</v>
      </c>
      <c r="AA17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8" s="106" t="s">
        <v>24</v>
      </c>
      <c r="AC1778" s="51">
        <v>44470</v>
      </c>
      <c r="AD1778" s="106" t="s">
        <v>15</v>
      </c>
      <c r="AE1778" s="38" t="s">
        <v>355</v>
      </c>
    </row>
    <row r="1779" spans="1:31" ht="18" customHeight="1" x14ac:dyDescent="0.25">
      <c r="A17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79" s="79">
        <v>4</v>
      </c>
      <c r="C1779" s="23">
        <v>44426</v>
      </c>
      <c r="D1779" s="67">
        <f>IF(COUNTIF($G$2:$G1779,$G1779)=1,1,0)</f>
        <v>1</v>
      </c>
      <c r="E1779" s="67" t="str">
        <f>IFERROR(VLOOKUP(База_КР_КК[[#This Row],[ИД штатной должности (S)]],'уровень защищенности'!$B$7:$F$1095,5,0),"не защищена")</f>
        <v>средний</v>
      </c>
      <c r="F1779" s="68">
        <v>500235</v>
      </c>
      <c r="G1779" s="74" t="s">
        <v>2566</v>
      </c>
      <c r="H1779" s="181">
        <f>INDEX('Списки данных'!$D$2:$D$1048576,MATCH(База_КР_КК[[#This Row],[Структурное подразделение]],'Списки данных'!$C$2:$C$1048576,0))</f>
        <v>11</v>
      </c>
      <c r="I1779" s="80" t="s">
        <v>169</v>
      </c>
      <c r="J1779" s="80" t="s">
        <v>220</v>
      </c>
      <c r="K1779" s="80" t="s">
        <v>21</v>
      </c>
      <c r="L1779" s="30" t="s">
        <v>191</v>
      </c>
      <c r="M1779" s="68">
        <v>7</v>
      </c>
      <c r="N1779" s="181" t="str">
        <f t="shared" si="28"/>
        <v>нет</v>
      </c>
      <c r="O1779" s="23"/>
      <c r="P1779" s="23"/>
      <c r="Q1779" s="106"/>
      <c r="R1779" s="37">
        <v>396</v>
      </c>
      <c r="S1779" s="38" t="s">
        <v>808</v>
      </c>
      <c r="T1779" s="37">
        <v>1496</v>
      </c>
      <c r="U1779" s="39" t="s">
        <v>1862</v>
      </c>
      <c r="V1779" s="69" t="s">
        <v>272</v>
      </c>
      <c r="W1779" s="89" t="s">
        <v>169</v>
      </c>
      <c r="X1779" s="106" t="s">
        <v>297</v>
      </c>
      <c r="Y1779" s="107" t="s">
        <v>12</v>
      </c>
      <c r="Z1779" s="67">
        <f>IF(База_КР_КК[[#This Row],[Таб.номер резервиста]]="-","-",IF(OR(База_КР_КК[[#This Row],[Уровень КК]]=2,База_КР_КК[[#This Row],[Уровень КК]]=3),IF(COUNTIFS($U$2:$U1779,$U1779,$F$2:$F1779,$F1779)=1,1,0),IF(COUNTIFS($U$2:$U1779,$U1779,$L$2:$L1779,$L1779)=1,1,0)))</f>
        <v>0</v>
      </c>
      <c r="AA17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79" s="106"/>
      <c r="AC1779" s="51"/>
      <c r="AD1779" s="106" t="s">
        <v>15</v>
      </c>
      <c r="AE1779" s="38" t="s">
        <v>355</v>
      </c>
    </row>
    <row r="1780" spans="1:31" ht="18" customHeight="1" x14ac:dyDescent="0.25">
      <c r="A17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0" s="79">
        <v>4</v>
      </c>
      <c r="C1780" s="23">
        <v>44426</v>
      </c>
      <c r="D1780" s="67">
        <f>IF(COUNTIF($G$2:$G1780,$G1780)=1,1,0)</f>
        <v>0</v>
      </c>
      <c r="E1780" s="67" t="str">
        <f>IFERROR(VLOOKUP(База_КР_КК[[#This Row],[ИД штатной должности (S)]],'уровень защищенности'!$B$7:$F$1095,5,0),"не защищена")</f>
        <v>средний</v>
      </c>
      <c r="F1780" s="68">
        <v>500235</v>
      </c>
      <c r="G1780" s="74" t="s">
        <v>2566</v>
      </c>
      <c r="H1780" s="181">
        <f>INDEX('Списки данных'!$D$2:$D$1048576,MATCH(База_КР_КК[[#This Row],[Структурное подразделение]],'Списки данных'!$C$2:$C$1048576,0))</f>
        <v>11</v>
      </c>
      <c r="I1780" s="80" t="s">
        <v>169</v>
      </c>
      <c r="J1780" s="80" t="s">
        <v>220</v>
      </c>
      <c r="K1780" s="80" t="s">
        <v>21</v>
      </c>
      <c r="L1780" s="30" t="s">
        <v>191</v>
      </c>
      <c r="M1780" s="68">
        <v>7</v>
      </c>
      <c r="N1780" s="181" t="str">
        <f t="shared" si="28"/>
        <v>нет</v>
      </c>
      <c r="O1780" s="23"/>
      <c r="P1780" s="23"/>
      <c r="Q1780" s="106"/>
      <c r="R1780" s="37">
        <v>396</v>
      </c>
      <c r="S1780" s="38" t="s">
        <v>808</v>
      </c>
      <c r="T1780" s="37">
        <v>398</v>
      </c>
      <c r="U1780" s="39" t="s">
        <v>810</v>
      </c>
      <c r="V1780" s="69" t="s">
        <v>272</v>
      </c>
      <c r="W1780" s="89" t="s">
        <v>169</v>
      </c>
      <c r="X1780" s="106" t="s">
        <v>295</v>
      </c>
      <c r="Y1780" s="107" t="s">
        <v>14</v>
      </c>
      <c r="Z1780" s="67">
        <f>IF(База_КР_КК[[#This Row],[Таб.номер резервиста]]="-","-",IF(OR(База_КР_КК[[#This Row],[Уровень КК]]=2,База_КР_КК[[#This Row],[Уровень КК]]=3),IF(COUNTIFS($U$2:$U1780,$U1780,$F$2:$F1780,$F1780)=1,1,0),IF(COUNTIFS($U$2:$U1780,$U1780,$L$2:$L1780,$L1780)=1,1,0)))</f>
        <v>0</v>
      </c>
      <c r="AA17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0" s="106" t="s">
        <v>24</v>
      </c>
      <c r="AC1780" s="51">
        <v>44470</v>
      </c>
      <c r="AD1780" s="106" t="s">
        <v>15</v>
      </c>
      <c r="AE1780" s="38" t="s">
        <v>355</v>
      </c>
    </row>
    <row r="1781" spans="1:31" ht="18" customHeight="1" x14ac:dyDescent="0.25">
      <c r="A17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1" s="79">
        <v>4</v>
      </c>
      <c r="C1781" s="23">
        <v>44426</v>
      </c>
      <c r="D1781" s="67">
        <f>IF(COUNTIF($G$2:$G1781,$G1781)=1,1,0)</f>
        <v>1</v>
      </c>
      <c r="E1781" s="67" t="str">
        <f>IFERROR(VLOOKUP(База_КР_КК[[#This Row],[ИД штатной должности (S)]],'уровень защищенности'!$B$7:$F$1095,5,0),"не защищена")</f>
        <v>средний</v>
      </c>
      <c r="F1781" s="68">
        <v>500235</v>
      </c>
      <c r="G1781" s="74" t="s">
        <v>2567</v>
      </c>
      <c r="H1781" s="181">
        <f>INDEX('Списки данных'!$D$2:$D$1048576,MATCH(База_КР_КК[[#This Row],[Структурное подразделение]],'Списки данных'!$C$2:$C$1048576,0))</f>
        <v>11</v>
      </c>
      <c r="I1781" s="80" t="s">
        <v>169</v>
      </c>
      <c r="J1781" s="80" t="s">
        <v>220</v>
      </c>
      <c r="K1781" s="80" t="s">
        <v>21</v>
      </c>
      <c r="L1781" s="30" t="s">
        <v>191</v>
      </c>
      <c r="M1781" s="68">
        <v>7</v>
      </c>
      <c r="N1781" s="181" t="str">
        <f t="shared" si="28"/>
        <v>нет</v>
      </c>
      <c r="O1781" s="23"/>
      <c r="P1781" s="23"/>
      <c r="Q1781" s="106"/>
      <c r="R1781" s="37">
        <v>397</v>
      </c>
      <c r="S1781" s="38" t="s">
        <v>809</v>
      </c>
      <c r="T1781" s="37">
        <v>1496</v>
      </c>
      <c r="U1781" s="39" t="s">
        <v>1862</v>
      </c>
      <c r="V1781" s="69" t="s">
        <v>272</v>
      </c>
      <c r="W1781" s="89" t="s">
        <v>169</v>
      </c>
      <c r="X1781" s="106" t="s">
        <v>297</v>
      </c>
      <c r="Y1781" s="107" t="s">
        <v>12</v>
      </c>
      <c r="Z1781" s="67">
        <f>IF(База_КР_КК[[#This Row],[Таб.номер резервиста]]="-","-",IF(OR(База_КР_КК[[#This Row],[Уровень КК]]=2,База_КР_КК[[#This Row],[Уровень КК]]=3),IF(COUNTIFS($U$2:$U1781,$U1781,$F$2:$F1781,$F1781)=1,1,0),IF(COUNTIFS($U$2:$U1781,$U1781,$L$2:$L1781,$L1781)=1,1,0)))</f>
        <v>0</v>
      </c>
      <c r="AA17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1" s="106"/>
      <c r="AC1781" s="51"/>
      <c r="AD1781" s="106" t="s">
        <v>15</v>
      </c>
      <c r="AE1781" s="38" t="s">
        <v>355</v>
      </c>
    </row>
    <row r="1782" spans="1:31" ht="18" customHeight="1" x14ac:dyDescent="0.25">
      <c r="A17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2" s="79">
        <v>4</v>
      </c>
      <c r="C1782" s="23">
        <v>44426</v>
      </c>
      <c r="D1782" s="67">
        <f>IF(COUNTIF($G$2:$G1782,$G1782)=1,1,0)</f>
        <v>0</v>
      </c>
      <c r="E1782" s="67" t="str">
        <f>IFERROR(VLOOKUP(База_КР_КК[[#This Row],[ИД штатной должности (S)]],'уровень защищенности'!$B$7:$F$1095,5,0),"не защищена")</f>
        <v>средний</v>
      </c>
      <c r="F1782" s="68">
        <v>500235</v>
      </c>
      <c r="G1782" s="74" t="s">
        <v>2567</v>
      </c>
      <c r="H1782" s="181">
        <f>INDEX('Списки данных'!$D$2:$D$1048576,MATCH(База_КР_КК[[#This Row],[Структурное подразделение]],'Списки данных'!$C$2:$C$1048576,0))</f>
        <v>11</v>
      </c>
      <c r="I1782" s="80" t="s">
        <v>169</v>
      </c>
      <c r="J1782" s="80" t="s">
        <v>220</v>
      </c>
      <c r="K1782" s="80" t="s">
        <v>21</v>
      </c>
      <c r="L1782" s="30" t="s">
        <v>191</v>
      </c>
      <c r="M1782" s="68">
        <v>7</v>
      </c>
      <c r="N1782" s="181" t="str">
        <f t="shared" si="28"/>
        <v>нет</v>
      </c>
      <c r="O1782" s="23"/>
      <c r="P1782" s="23"/>
      <c r="Q1782" s="106"/>
      <c r="R1782" s="37">
        <v>397</v>
      </c>
      <c r="S1782" s="38" t="s">
        <v>809</v>
      </c>
      <c r="T1782" s="37">
        <v>398</v>
      </c>
      <c r="U1782" s="39" t="s">
        <v>810</v>
      </c>
      <c r="V1782" s="69" t="s">
        <v>272</v>
      </c>
      <c r="W1782" s="89" t="s">
        <v>169</v>
      </c>
      <c r="X1782" s="106" t="s">
        <v>295</v>
      </c>
      <c r="Y1782" s="107" t="s">
        <v>14</v>
      </c>
      <c r="Z1782" s="67">
        <f>IF(База_КР_КК[[#This Row],[Таб.номер резервиста]]="-","-",IF(OR(База_КР_КК[[#This Row],[Уровень КК]]=2,База_КР_КК[[#This Row],[Уровень КК]]=3),IF(COUNTIFS($U$2:$U1782,$U1782,$F$2:$F1782,$F1782)=1,1,0),IF(COUNTIFS($U$2:$U1782,$U1782,$L$2:$L1782,$L1782)=1,1,0)))</f>
        <v>0</v>
      </c>
      <c r="AA17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2" s="106" t="s">
        <v>24</v>
      </c>
      <c r="AC1782" s="51">
        <v>44470</v>
      </c>
      <c r="AD1782" s="106" t="s">
        <v>15</v>
      </c>
      <c r="AE1782" s="38" t="s">
        <v>355</v>
      </c>
    </row>
    <row r="1783" spans="1:31" ht="18" customHeight="1" x14ac:dyDescent="0.25">
      <c r="A17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3" s="79">
        <v>4</v>
      </c>
      <c r="C1783" s="23">
        <v>44426</v>
      </c>
      <c r="D1783" s="67">
        <f>IF(COUNTIF($G$2:$G1783,$G1783)=1,1,0)</f>
        <v>1</v>
      </c>
      <c r="E1783" s="67" t="str">
        <f>IFERROR(VLOOKUP(База_КР_КК[[#This Row],[ИД штатной должности (S)]],'уровень защищенности'!$B$7:$F$1095,5,0),"не защищена")</f>
        <v>средний</v>
      </c>
      <c r="F1783" s="68">
        <v>500235</v>
      </c>
      <c r="G1783" s="74" t="s">
        <v>2568</v>
      </c>
      <c r="H1783" s="181">
        <f>INDEX('Списки данных'!$D$2:$D$1048576,MATCH(База_КР_КК[[#This Row],[Структурное подразделение]],'Списки данных'!$C$2:$C$1048576,0))</f>
        <v>11</v>
      </c>
      <c r="I1783" s="80" t="s">
        <v>169</v>
      </c>
      <c r="J1783" s="80" t="s">
        <v>220</v>
      </c>
      <c r="K1783" s="80" t="s">
        <v>21</v>
      </c>
      <c r="L1783" s="30" t="s">
        <v>191</v>
      </c>
      <c r="M1783" s="68">
        <v>7</v>
      </c>
      <c r="N1783" s="181" t="str">
        <f t="shared" si="28"/>
        <v>да</v>
      </c>
      <c r="O1783" s="23">
        <v>44417</v>
      </c>
      <c r="P1783" s="23">
        <v>44470</v>
      </c>
      <c r="Q1783" s="106" t="s">
        <v>66</v>
      </c>
      <c r="R1783" s="37">
        <v>398</v>
      </c>
      <c r="S1783" s="39" t="s">
        <v>810</v>
      </c>
      <c r="T1783" s="37">
        <v>1496</v>
      </c>
      <c r="U1783" s="39" t="s">
        <v>1862</v>
      </c>
      <c r="V1783" s="69" t="s">
        <v>272</v>
      </c>
      <c r="W1783" s="89" t="s">
        <v>169</v>
      </c>
      <c r="X1783" s="106" t="s">
        <v>297</v>
      </c>
      <c r="Y1783" s="107" t="s">
        <v>12</v>
      </c>
      <c r="Z1783" s="67">
        <f>IF(База_КР_КК[[#This Row],[Таб.номер резервиста]]="-","-",IF(OR(База_КР_КК[[#This Row],[Уровень КК]]=2,База_КР_КК[[#This Row],[Уровень КК]]=3),IF(COUNTIFS($U$2:$U1783,$U1783,$F$2:$F1783,$F1783)=1,1,0),IF(COUNTIFS($U$2:$U1783,$U1783,$L$2:$L1783,$L1783)=1,1,0)))</f>
        <v>0</v>
      </c>
      <c r="AA17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3" s="106"/>
      <c r="AC1783" s="51"/>
      <c r="AD1783" s="106" t="s">
        <v>15</v>
      </c>
      <c r="AE1783" s="38" t="s">
        <v>355</v>
      </c>
    </row>
    <row r="1784" spans="1:31" ht="18" customHeight="1" x14ac:dyDescent="0.25">
      <c r="A17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4" s="79">
        <v>4</v>
      </c>
      <c r="C1784" s="23">
        <v>44426</v>
      </c>
      <c r="D1784" s="67">
        <f>IF(COUNTIF($G$2:$G1784,$G1784)=1,1,0)</f>
        <v>0</v>
      </c>
      <c r="E1784" s="67" t="str">
        <f>IFERROR(VLOOKUP(База_КР_КК[[#This Row],[ИД штатной должности (S)]],'уровень защищенности'!$B$7:$F$1095,5,0),"не защищена")</f>
        <v>средний</v>
      </c>
      <c r="F1784" s="68">
        <v>500235</v>
      </c>
      <c r="G1784" s="74" t="s">
        <v>2568</v>
      </c>
      <c r="H1784" s="181">
        <f>INDEX('Списки данных'!$D$2:$D$1048576,MATCH(База_КР_КК[[#This Row],[Структурное подразделение]],'Списки данных'!$C$2:$C$1048576,0))</f>
        <v>11</v>
      </c>
      <c r="I1784" s="80" t="s">
        <v>169</v>
      </c>
      <c r="J1784" s="80" t="s">
        <v>220</v>
      </c>
      <c r="K1784" s="80" t="s">
        <v>21</v>
      </c>
      <c r="L1784" s="30" t="s">
        <v>191</v>
      </c>
      <c r="M1784" s="68">
        <v>7</v>
      </c>
      <c r="N1784" s="181" t="str">
        <f t="shared" si="28"/>
        <v>да</v>
      </c>
      <c r="O1784" s="23">
        <v>44417</v>
      </c>
      <c r="P1784" s="23">
        <v>44470</v>
      </c>
      <c r="Q1784" s="106" t="s">
        <v>66</v>
      </c>
      <c r="R1784" s="37">
        <v>398</v>
      </c>
      <c r="S1784" s="39" t="s">
        <v>810</v>
      </c>
      <c r="T1784" s="37">
        <v>398</v>
      </c>
      <c r="U1784" s="39" t="s">
        <v>810</v>
      </c>
      <c r="V1784" s="69" t="s">
        <v>272</v>
      </c>
      <c r="W1784" s="89" t="s">
        <v>169</v>
      </c>
      <c r="X1784" s="106" t="s">
        <v>295</v>
      </c>
      <c r="Y1784" s="107" t="s">
        <v>14</v>
      </c>
      <c r="Z1784" s="67">
        <f>IF(База_КР_КК[[#This Row],[Таб.номер резервиста]]="-","-",IF(OR(База_КР_КК[[#This Row],[Уровень КК]]=2,База_КР_КК[[#This Row],[Уровень КК]]=3),IF(COUNTIFS($U$2:$U1784,$U1784,$F$2:$F1784,$F1784)=1,1,0),IF(COUNTIFS($U$2:$U1784,$U1784,$L$2:$L1784,$L1784)=1,1,0)))</f>
        <v>0</v>
      </c>
      <c r="AA17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784" s="106" t="s">
        <v>24</v>
      </c>
      <c r="AC1784" s="51">
        <v>44470</v>
      </c>
      <c r="AD1784" s="106" t="s">
        <v>15</v>
      </c>
      <c r="AE1784" s="38" t="s">
        <v>355</v>
      </c>
    </row>
    <row r="1785" spans="1:31" ht="18" customHeight="1" x14ac:dyDescent="0.25">
      <c r="A17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5" s="79">
        <v>3</v>
      </c>
      <c r="C1785" s="23">
        <v>43174</v>
      </c>
      <c r="D1785" s="67">
        <f>IF(COUNTIF($G$2:$G1785,$G1785)=1,1,0)</f>
        <v>1</v>
      </c>
      <c r="E1785" s="67" t="str">
        <f>IFERROR(VLOOKUP(База_КР_КК[[#This Row],[ИД штатной должности (S)]],'уровень защищенности'!$B$7:$F$1095,5,0),"не защищена")</f>
        <v>высокий</v>
      </c>
      <c r="F1785" s="68">
        <v>500236</v>
      </c>
      <c r="G1785" s="74" t="s">
        <v>2569</v>
      </c>
      <c r="H1785" s="181">
        <f>INDEX('Списки данных'!$D$2:$D$1048576,MATCH(База_КР_КК[[#This Row],[Структурное подразделение]],'Списки данных'!$C$2:$C$1048576,0))</f>
        <v>11</v>
      </c>
      <c r="I1785" s="80" t="s">
        <v>169</v>
      </c>
      <c r="J1785" s="80" t="s">
        <v>220</v>
      </c>
      <c r="K1785" s="80" t="s">
        <v>21</v>
      </c>
      <c r="L1785" s="30" t="s">
        <v>198</v>
      </c>
      <c r="M1785" s="68">
        <v>6</v>
      </c>
      <c r="N1785" s="181" t="str">
        <f t="shared" si="28"/>
        <v>нет</v>
      </c>
      <c r="O1785" s="23"/>
      <c r="P1785" s="23"/>
      <c r="Q1785" s="106"/>
      <c r="R1785" s="37">
        <v>399</v>
      </c>
      <c r="S1785" s="38" t="s">
        <v>811</v>
      </c>
      <c r="T1785" s="37">
        <v>1497</v>
      </c>
      <c r="U1785" s="39" t="s">
        <v>1863</v>
      </c>
      <c r="V1785" s="89" t="s">
        <v>189</v>
      </c>
      <c r="W1785" s="80" t="s">
        <v>169</v>
      </c>
      <c r="X1785" s="106" t="s">
        <v>295</v>
      </c>
      <c r="Y1785" s="107" t="s">
        <v>12</v>
      </c>
      <c r="Z1785" s="67">
        <f>IF(База_КР_КК[[#This Row],[Таб.номер резервиста]]="-","-",IF(OR(База_КР_КК[[#This Row],[Уровень КК]]=2,База_КР_КК[[#This Row],[Уровень КК]]=3),IF(COUNTIFS($U$2:$U1785,$U1785,$F$2:$F1785,$F1785)=1,1,0),IF(COUNTIFS($U$2:$U1785,$U1785,$L$2:$L1785,$L1785)=1,1,0)))</f>
        <v>1</v>
      </c>
      <c r="AA17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5" s="106"/>
      <c r="AC1785" s="51"/>
      <c r="AD1785" s="106" t="s">
        <v>13</v>
      </c>
      <c r="AE1785" s="38" t="s">
        <v>353</v>
      </c>
    </row>
    <row r="1786" spans="1:31" ht="18" customHeight="1" x14ac:dyDescent="0.25">
      <c r="A17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6" s="79">
        <v>3</v>
      </c>
      <c r="C1786" s="23">
        <v>43174</v>
      </c>
      <c r="D1786" s="67">
        <f>IF(COUNTIF($G$2:$G1786,$G1786)=1,1,0)</f>
        <v>0</v>
      </c>
      <c r="E1786" s="67" t="str">
        <f>IFERROR(VLOOKUP(База_КР_КК[[#This Row],[ИД штатной должности (S)]],'уровень защищенности'!$B$7:$F$1095,5,0),"не защищена")</f>
        <v>высокий</v>
      </c>
      <c r="F1786" s="68">
        <v>500236</v>
      </c>
      <c r="G1786" s="74" t="s">
        <v>2569</v>
      </c>
      <c r="H1786" s="181">
        <f>INDEX('Списки данных'!$D$2:$D$1048576,MATCH(База_КР_КК[[#This Row],[Структурное подразделение]],'Списки данных'!$C$2:$C$1048576,0))</f>
        <v>11</v>
      </c>
      <c r="I1786" s="80" t="s">
        <v>169</v>
      </c>
      <c r="J1786" s="80" t="s">
        <v>220</v>
      </c>
      <c r="K1786" s="80" t="s">
        <v>21</v>
      </c>
      <c r="L1786" s="30" t="s">
        <v>198</v>
      </c>
      <c r="M1786" s="68">
        <v>6</v>
      </c>
      <c r="N1786" s="181" t="str">
        <f t="shared" si="28"/>
        <v>нет</v>
      </c>
      <c r="O1786" s="23"/>
      <c r="P1786" s="23"/>
      <c r="Q1786" s="106"/>
      <c r="R1786" s="37">
        <v>399</v>
      </c>
      <c r="S1786" s="38" t="s">
        <v>811</v>
      </c>
      <c r="T1786" s="37">
        <v>461</v>
      </c>
      <c r="U1786" s="39" t="s">
        <v>873</v>
      </c>
      <c r="V1786" s="89" t="s">
        <v>192</v>
      </c>
      <c r="W1786" s="80" t="s">
        <v>169</v>
      </c>
      <c r="X1786" s="106" t="s">
        <v>296</v>
      </c>
      <c r="Y1786" s="107" t="s">
        <v>12</v>
      </c>
      <c r="Z1786" s="67">
        <f>IF(База_КР_КК[[#This Row],[Таб.номер резервиста]]="-","-",IF(OR(База_КР_КК[[#This Row],[Уровень КК]]=2,База_КР_КК[[#This Row],[Уровень КК]]=3),IF(COUNTIFS($U$2:$U1786,$U1786,$F$2:$F1786,$F1786)=1,1,0),IF(COUNTIFS($U$2:$U1786,$U1786,$L$2:$L1786,$L1786)=1,1,0)))</f>
        <v>1</v>
      </c>
      <c r="AA17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6" s="106"/>
      <c r="AC1786" s="51"/>
      <c r="AD1786" s="106" t="s">
        <v>13</v>
      </c>
      <c r="AE1786" s="38" t="s">
        <v>353</v>
      </c>
    </row>
    <row r="1787" spans="1:31" ht="18" customHeight="1" x14ac:dyDescent="0.25">
      <c r="A17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7" s="79">
        <v>4</v>
      </c>
      <c r="C1787" s="23">
        <v>44426</v>
      </c>
      <c r="D1787" s="67">
        <f>IF(COUNTIF($G$2:$G1787,$G1787)=1,1,0)</f>
        <v>1</v>
      </c>
      <c r="E1787" s="67" t="str">
        <f>IFERROR(VLOOKUP(База_КР_КК[[#This Row],[ИД штатной должности (S)]],'уровень защищенности'!$B$7:$F$1095,5,0),"не защищена")</f>
        <v>средний</v>
      </c>
      <c r="F1787" s="68">
        <v>500237</v>
      </c>
      <c r="G1787" s="74" t="s">
        <v>2570</v>
      </c>
      <c r="H1787" s="181">
        <f>INDEX('Списки данных'!$D$2:$D$1048576,MATCH(База_КР_КК[[#This Row],[Структурное подразделение]],'Списки данных'!$C$2:$C$1048576,0))</f>
        <v>11</v>
      </c>
      <c r="I1787" s="80" t="s">
        <v>169</v>
      </c>
      <c r="J1787" s="80" t="s">
        <v>220</v>
      </c>
      <c r="K1787" s="80" t="s">
        <v>21</v>
      </c>
      <c r="L1787" s="30" t="s">
        <v>191</v>
      </c>
      <c r="M1787" s="68">
        <v>7</v>
      </c>
      <c r="N1787" s="181" t="str">
        <f t="shared" si="28"/>
        <v>нет</v>
      </c>
      <c r="O1787" s="23"/>
      <c r="P1787" s="23"/>
      <c r="Q1787" s="106"/>
      <c r="R1787" s="37">
        <v>400</v>
      </c>
      <c r="S1787" s="38" t="s">
        <v>812</v>
      </c>
      <c r="T1787" s="37">
        <v>1498</v>
      </c>
      <c r="U1787" s="39" t="s">
        <v>1864</v>
      </c>
      <c r="V1787" s="69" t="s">
        <v>272</v>
      </c>
      <c r="W1787" s="89" t="s">
        <v>169</v>
      </c>
      <c r="X1787" s="106" t="s">
        <v>296</v>
      </c>
      <c r="Y1787" s="107" t="s">
        <v>12</v>
      </c>
      <c r="Z1787" s="67">
        <f>IF(База_КР_КК[[#This Row],[Таб.номер резервиста]]="-","-",IF(OR(База_КР_КК[[#This Row],[Уровень КК]]=2,База_КР_КК[[#This Row],[Уровень КК]]=3),IF(COUNTIFS($U$2:$U1787,$U1787,$F$2:$F1787,$F1787)=1,1,0),IF(COUNTIFS($U$2:$U1787,$U1787,$L$2:$L1787,$L1787)=1,1,0)))</f>
        <v>1</v>
      </c>
      <c r="AA17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7" s="106"/>
      <c r="AC1787" s="51"/>
      <c r="AD1787" s="106" t="s">
        <v>15</v>
      </c>
      <c r="AE1787" s="38" t="s">
        <v>355</v>
      </c>
    </row>
    <row r="1788" spans="1:31" ht="18" customHeight="1" x14ac:dyDescent="0.25">
      <c r="A17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8" s="79">
        <v>4</v>
      </c>
      <c r="C1788" s="23">
        <v>44426</v>
      </c>
      <c r="D1788" s="67">
        <f>IF(COUNTIF($G$2:$G1788,$G1788)=1,1,0)</f>
        <v>0</v>
      </c>
      <c r="E1788" s="67" t="str">
        <f>IFERROR(VLOOKUP(База_КР_КК[[#This Row],[ИД штатной должности (S)]],'уровень защищенности'!$B$7:$F$1095,5,0),"не защищена")</f>
        <v>средний</v>
      </c>
      <c r="F1788" s="68">
        <v>500237</v>
      </c>
      <c r="G1788" s="74" t="s">
        <v>2570</v>
      </c>
      <c r="H1788" s="181">
        <f>INDEX('Списки данных'!$D$2:$D$1048576,MATCH(База_КР_КК[[#This Row],[Структурное подразделение]],'Списки данных'!$C$2:$C$1048576,0))</f>
        <v>11</v>
      </c>
      <c r="I1788" s="80" t="s">
        <v>169</v>
      </c>
      <c r="J1788" s="80" t="s">
        <v>220</v>
      </c>
      <c r="K1788" s="80" t="s">
        <v>21</v>
      </c>
      <c r="L1788" s="30" t="s">
        <v>191</v>
      </c>
      <c r="M1788" s="68">
        <v>7</v>
      </c>
      <c r="N1788" s="181" t="str">
        <f t="shared" si="28"/>
        <v>нет</v>
      </c>
      <c r="O1788" s="23"/>
      <c r="P1788" s="23"/>
      <c r="Q1788" s="106"/>
      <c r="R1788" s="37">
        <v>400</v>
      </c>
      <c r="S1788" s="38" t="s">
        <v>812</v>
      </c>
      <c r="T1788" s="37">
        <v>1499</v>
      </c>
      <c r="U1788" s="39" t="s">
        <v>1864</v>
      </c>
      <c r="V1788" s="69" t="s">
        <v>272</v>
      </c>
      <c r="W1788" s="89" t="s">
        <v>169</v>
      </c>
      <c r="X1788" s="106" t="s">
        <v>297</v>
      </c>
      <c r="Y1788" s="107" t="s">
        <v>12</v>
      </c>
      <c r="Z1788" s="67">
        <f>IF(База_КР_КК[[#This Row],[Таб.номер резервиста]]="-","-",IF(OR(База_КР_КК[[#This Row],[Уровень КК]]=2,База_КР_КК[[#This Row],[Уровень КК]]=3),IF(COUNTIFS($U$2:$U1788,$U1788,$F$2:$F1788,$F1788)=1,1,0),IF(COUNTIFS($U$2:$U1788,$U1788,$L$2:$L1788,$L1788)=1,1,0)))</f>
        <v>0</v>
      </c>
      <c r="AA17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8" s="106"/>
      <c r="AC1788" s="51"/>
      <c r="AD1788" s="106" t="s">
        <v>15</v>
      </c>
      <c r="AE1788" s="38" t="s">
        <v>355</v>
      </c>
    </row>
    <row r="1789" spans="1:31" ht="18" customHeight="1" x14ac:dyDescent="0.25">
      <c r="A17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89" s="79">
        <v>4</v>
      </c>
      <c r="C1789" s="23">
        <v>44888</v>
      </c>
      <c r="D1789" s="67">
        <f>IF(COUNTIF($G$2:$G1789,$G1789)=1,1,0)</f>
        <v>0</v>
      </c>
      <c r="E1789" s="67" t="str">
        <f>IFERROR(VLOOKUP(База_КР_КК[[#This Row],[ИД штатной должности (S)]],'уровень защищенности'!$B$7:$F$1095,5,0),"не защищена")</f>
        <v>средний</v>
      </c>
      <c r="F1789" s="68">
        <v>500237</v>
      </c>
      <c r="G1789" s="74" t="s">
        <v>2570</v>
      </c>
      <c r="H1789" s="181">
        <f>INDEX('Списки данных'!$D$2:$D$1048576,MATCH(База_КР_КК[[#This Row],[Структурное подразделение]],'Списки данных'!$C$2:$C$1048576,0))</f>
        <v>11</v>
      </c>
      <c r="I1789" s="80" t="s">
        <v>169</v>
      </c>
      <c r="J1789" s="80" t="s">
        <v>220</v>
      </c>
      <c r="K1789" s="80" t="s">
        <v>21</v>
      </c>
      <c r="L1789" s="30" t="s">
        <v>191</v>
      </c>
      <c r="M1789" s="68">
        <v>7</v>
      </c>
      <c r="N1789" s="181" t="str">
        <f t="shared" si="28"/>
        <v>нет</v>
      </c>
      <c r="O1789" s="23"/>
      <c r="P1789" s="23"/>
      <c r="Q1789" s="106"/>
      <c r="R1789" s="37">
        <v>400</v>
      </c>
      <c r="S1789" s="38" t="s">
        <v>812</v>
      </c>
      <c r="T1789" s="37">
        <v>1500</v>
      </c>
      <c r="U1789" s="38" t="s">
        <v>1582</v>
      </c>
      <c r="V1789" s="89" t="s">
        <v>272</v>
      </c>
      <c r="W1789" s="89" t="s">
        <v>169</v>
      </c>
      <c r="X1789" s="106" t="s">
        <v>296</v>
      </c>
      <c r="Y1789" s="107" t="s">
        <v>12</v>
      </c>
      <c r="Z1789" s="67">
        <f>IF(База_КР_КК[[#This Row],[Таб.номер резервиста]]="-","-",IF(OR(База_КР_КК[[#This Row],[Уровень КК]]=2,База_КР_КК[[#This Row],[Уровень КК]]=3),IF(COUNTIFS($U$2:$U1789,$U1789,$F$2:$F1789,$F1789)=1,1,0),IF(COUNTIFS($U$2:$U1789,$U1789,$L$2:$L1789,$L1789)=1,1,0)))</f>
        <v>1</v>
      </c>
      <c r="AA17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89" s="106"/>
      <c r="AC1789" s="51"/>
      <c r="AD1789" s="106" t="s">
        <v>15</v>
      </c>
      <c r="AE1789" s="38" t="s">
        <v>356</v>
      </c>
    </row>
    <row r="1790" spans="1:31" ht="18" customHeight="1" x14ac:dyDescent="0.25">
      <c r="A17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0" s="79">
        <v>4</v>
      </c>
      <c r="C1790" s="23">
        <v>44888</v>
      </c>
      <c r="D1790" s="67">
        <f>IF(COUNTIF($G$2:$G1790,$G1790)=1,1,0)</f>
        <v>0</v>
      </c>
      <c r="E1790" s="67" t="str">
        <f>IFERROR(VLOOKUP(База_КР_КК[[#This Row],[ИД штатной должности (S)]],'уровень защищенности'!$B$7:$F$1095,5,0),"не защищена")</f>
        <v>средний</v>
      </c>
      <c r="F1790" s="68">
        <v>500237</v>
      </c>
      <c r="G1790" s="74" t="s">
        <v>2570</v>
      </c>
      <c r="H1790" s="181">
        <f>INDEX('Списки данных'!$D$2:$D$1048576,MATCH(База_КР_КК[[#This Row],[Структурное подразделение]],'Списки данных'!$C$2:$C$1048576,0))</f>
        <v>11</v>
      </c>
      <c r="I1790" s="80" t="s">
        <v>169</v>
      </c>
      <c r="J1790" s="80" t="s">
        <v>220</v>
      </c>
      <c r="K1790" s="80" t="s">
        <v>21</v>
      </c>
      <c r="L1790" s="30" t="s">
        <v>191</v>
      </c>
      <c r="M1790" s="68">
        <v>7</v>
      </c>
      <c r="N1790" s="181" t="str">
        <f t="shared" si="28"/>
        <v>нет</v>
      </c>
      <c r="O1790" s="23"/>
      <c r="P1790" s="23"/>
      <c r="Q1790" s="106"/>
      <c r="R1790" s="37">
        <v>400</v>
      </c>
      <c r="S1790" s="38" t="s">
        <v>812</v>
      </c>
      <c r="T1790" s="37">
        <v>1501</v>
      </c>
      <c r="U1790" s="38" t="s">
        <v>1865</v>
      </c>
      <c r="V1790" s="89" t="s">
        <v>272</v>
      </c>
      <c r="W1790" s="89" t="s">
        <v>169</v>
      </c>
      <c r="X1790" s="106" t="s">
        <v>296</v>
      </c>
      <c r="Y1790" s="107" t="s">
        <v>12</v>
      </c>
      <c r="Z1790" s="67">
        <f>IF(База_КР_КК[[#This Row],[Таб.номер резервиста]]="-","-",IF(OR(База_КР_КК[[#This Row],[Уровень КК]]=2,База_КР_КК[[#This Row],[Уровень КК]]=3),IF(COUNTIFS($U$2:$U1790,$U1790,$F$2:$F1790,$F1790)=1,1,0),IF(COUNTIFS($U$2:$U1790,$U1790,$L$2:$L1790,$L1790)=1,1,0)))</f>
        <v>1</v>
      </c>
      <c r="AA17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0" s="106"/>
      <c r="AC1790" s="51"/>
      <c r="AD1790" s="106" t="s">
        <v>15</v>
      </c>
      <c r="AE1790" s="38" t="s">
        <v>356</v>
      </c>
    </row>
    <row r="1791" spans="1:31" ht="18" customHeight="1" x14ac:dyDescent="0.25">
      <c r="A17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1" s="79">
        <v>4</v>
      </c>
      <c r="C1791" s="23">
        <v>44888</v>
      </c>
      <c r="D1791" s="67">
        <f>IF(COUNTIF($G$2:$G1791,$G1791)=1,1,0)</f>
        <v>0</v>
      </c>
      <c r="E1791" s="67" t="str">
        <f>IFERROR(VLOOKUP(База_КР_КК[[#This Row],[ИД штатной должности (S)]],'уровень защищенности'!$B$7:$F$1095,5,0),"не защищена")</f>
        <v>средний</v>
      </c>
      <c r="F1791" s="68">
        <v>500237</v>
      </c>
      <c r="G1791" s="74" t="s">
        <v>2570</v>
      </c>
      <c r="H1791" s="181">
        <f>INDEX('Списки данных'!$D$2:$D$1048576,MATCH(База_КР_КК[[#This Row],[Структурное подразделение]],'Списки данных'!$C$2:$C$1048576,0))</f>
        <v>11</v>
      </c>
      <c r="I1791" s="80" t="s">
        <v>169</v>
      </c>
      <c r="J1791" s="80" t="s">
        <v>220</v>
      </c>
      <c r="K1791" s="80" t="s">
        <v>21</v>
      </c>
      <c r="L1791" s="30" t="s">
        <v>191</v>
      </c>
      <c r="M1791" s="68">
        <v>7</v>
      </c>
      <c r="N1791" s="181" t="str">
        <f t="shared" si="28"/>
        <v>нет</v>
      </c>
      <c r="O1791" s="23"/>
      <c r="P1791" s="23"/>
      <c r="Q1791" s="106"/>
      <c r="R1791" s="37">
        <v>400</v>
      </c>
      <c r="S1791" s="38" t="s">
        <v>812</v>
      </c>
      <c r="T1791" s="37">
        <v>1502</v>
      </c>
      <c r="U1791" s="38" t="s">
        <v>1866</v>
      </c>
      <c r="V1791" s="89" t="s">
        <v>272</v>
      </c>
      <c r="W1791" s="89" t="s">
        <v>169</v>
      </c>
      <c r="X1791" s="106" t="s">
        <v>296</v>
      </c>
      <c r="Y1791" s="107" t="s">
        <v>12</v>
      </c>
      <c r="Z1791" s="67">
        <f>IF(База_КР_КК[[#This Row],[Таб.номер резервиста]]="-","-",IF(OR(База_КР_КК[[#This Row],[Уровень КК]]=2,База_КР_КК[[#This Row],[Уровень КК]]=3),IF(COUNTIFS($U$2:$U1791,$U1791,$F$2:$F1791,$F1791)=1,1,0),IF(COUNTIFS($U$2:$U1791,$U1791,$L$2:$L1791,$L1791)=1,1,0)))</f>
        <v>1</v>
      </c>
      <c r="AA17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1" s="106"/>
      <c r="AC1791" s="51"/>
      <c r="AD1791" s="106" t="s">
        <v>15</v>
      </c>
      <c r="AE1791" s="38" t="s">
        <v>356</v>
      </c>
    </row>
    <row r="1792" spans="1:31" ht="18" customHeight="1" x14ac:dyDescent="0.25">
      <c r="A17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2" s="79">
        <v>4</v>
      </c>
      <c r="C1792" s="23">
        <v>44426</v>
      </c>
      <c r="D1792" s="67">
        <f>IF(COUNTIF($G$2:$G1792,$G1792)=1,1,0)</f>
        <v>0</v>
      </c>
      <c r="E1792" s="67" t="str">
        <f>IFERROR(VLOOKUP(База_КР_КК[[#This Row],[ИД штатной должности (S)]],'уровень защищенности'!$B$7:$F$1095,5,0),"не защищена")</f>
        <v>средний</v>
      </c>
      <c r="F1792" s="68">
        <v>500237</v>
      </c>
      <c r="G1792" s="74" t="s">
        <v>2570</v>
      </c>
      <c r="H1792" s="181">
        <f>INDEX('Списки данных'!$D$2:$D$1048576,MATCH(База_КР_КК[[#This Row],[Структурное подразделение]],'Списки данных'!$C$2:$C$1048576,0))</f>
        <v>11</v>
      </c>
      <c r="I1792" s="80" t="s">
        <v>169</v>
      </c>
      <c r="J1792" s="80" t="s">
        <v>220</v>
      </c>
      <c r="K1792" s="80" t="s">
        <v>21</v>
      </c>
      <c r="L1792" s="30" t="s">
        <v>191</v>
      </c>
      <c r="M1792" s="68">
        <v>7</v>
      </c>
      <c r="N1792" s="181" t="str">
        <f t="shared" si="28"/>
        <v>нет</v>
      </c>
      <c r="O1792" s="23"/>
      <c r="P1792" s="23"/>
      <c r="Q1792" s="106"/>
      <c r="R1792" s="37">
        <v>400</v>
      </c>
      <c r="S1792" s="38" t="s">
        <v>812</v>
      </c>
      <c r="T1792" s="37">
        <v>402</v>
      </c>
      <c r="U1792" s="39" t="s">
        <v>814</v>
      </c>
      <c r="V1792" s="69" t="s">
        <v>272</v>
      </c>
      <c r="W1792" s="89" t="s">
        <v>169</v>
      </c>
      <c r="X1792" s="106" t="s">
        <v>297</v>
      </c>
      <c r="Y1792" s="107" t="s">
        <v>14</v>
      </c>
      <c r="Z1792" s="67">
        <f>IF(База_КР_КК[[#This Row],[Таб.номер резервиста]]="-","-",IF(OR(База_КР_КК[[#This Row],[Уровень КК]]=2,База_КР_КК[[#This Row],[Уровень КК]]=3),IF(COUNTIFS($U$2:$U1792,$U1792,$F$2:$F1792,$F1792)=1,1,0),IF(COUNTIFS($U$2:$U1792,$U1792,$L$2:$L1792,$L1792)=1,1,0)))</f>
        <v>1</v>
      </c>
      <c r="AA17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2" s="106" t="s">
        <v>24</v>
      </c>
      <c r="AC1792" s="51">
        <v>44763</v>
      </c>
      <c r="AD1792" s="106" t="s">
        <v>15</v>
      </c>
      <c r="AE1792" s="38" t="s">
        <v>355</v>
      </c>
    </row>
    <row r="1793" spans="1:31" ht="18" customHeight="1" x14ac:dyDescent="0.25">
      <c r="A17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3" s="79">
        <v>4</v>
      </c>
      <c r="C1793" s="23">
        <v>44426</v>
      </c>
      <c r="D1793" s="67">
        <f>IF(COUNTIF($G$2:$G1793,$G1793)=1,1,0)</f>
        <v>0</v>
      </c>
      <c r="E1793" s="67" t="str">
        <f>IFERROR(VLOOKUP(База_КР_КК[[#This Row],[ИД штатной должности (S)]],'уровень защищенности'!$B$7:$F$1095,5,0),"не защищена")</f>
        <v>средний</v>
      </c>
      <c r="F1793" s="68">
        <v>500237</v>
      </c>
      <c r="G1793" s="74" t="s">
        <v>2570</v>
      </c>
      <c r="H1793" s="181">
        <f>INDEX('Списки данных'!$D$2:$D$1048576,MATCH(База_КР_КК[[#This Row],[Структурное подразделение]],'Списки данных'!$C$2:$C$1048576,0))</f>
        <v>11</v>
      </c>
      <c r="I1793" s="80" t="s">
        <v>169</v>
      </c>
      <c r="J1793" s="80" t="s">
        <v>220</v>
      </c>
      <c r="K1793" s="80" t="s">
        <v>21</v>
      </c>
      <c r="L1793" s="30" t="s">
        <v>191</v>
      </c>
      <c r="M1793" s="68">
        <v>7</v>
      </c>
      <c r="N1793" s="181" t="str">
        <f t="shared" ref="N1793:N1856" si="29">IF(ISBLANK(O1793),"нет","да")</f>
        <v>нет</v>
      </c>
      <c r="O1793" s="23"/>
      <c r="P1793" s="23"/>
      <c r="Q1793" s="106"/>
      <c r="R1793" s="37">
        <v>400</v>
      </c>
      <c r="S1793" s="38" t="s">
        <v>812</v>
      </c>
      <c r="T1793" s="37">
        <v>461</v>
      </c>
      <c r="U1793" s="38" t="s">
        <v>873</v>
      </c>
      <c r="V1793" s="89" t="s">
        <v>192</v>
      </c>
      <c r="W1793" s="89" t="s">
        <v>169</v>
      </c>
      <c r="X1793" s="106" t="s">
        <v>295</v>
      </c>
      <c r="Y1793" s="107" t="s">
        <v>18</v>
      </c>
      <c r="Z1793" s="67">
        <f>IF(База_КР_КК[[#This Row],[Таб.номер резервиста]]="-","-",IF(OR(База_КР_КК[[#This Row],[Уровень КК]]=2,База_КР_КК[[#This Row],[Уровень КК]]=3),IF(COUNTIFS($U$2:$U1793,$U1793,$F$2:$F1793,$F1793)=1,1,0),IF(COUNTIFS($U$2:$U1793,$U1793,$L$2:$L1793,$L1793)=1,1,0)))</f>
        <v>1</v>
      </c>
      <c r="AA17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3" s="106" t="s">
        <v>37</v>
      </c>
      <c r="AC1793" s="51">
        <v>44888</v>
      </c>
      <c r="AD1793" s="106" t="s">
        <v>15</v>
      </c>
      <c r="AE1793" s="38" t="s">
        <v>355</v>
      </c>
    </row>
    <row r="1794" spans="1:31" ht="18" customHeight="1" x14ac:dyDescent="0.25">
      <c r="A17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4" s="79">
        <v>4</v>
      </c>
      <c r="C1794" s="23">
        <v>44426</v>
      </c>
      <c r="D1794" s="67">
        <f>IF(COUNTIF($G$2:$G1794,$G1794)=1,1,0)</f>
        <v>1</v>
      </c>
      <c r="E1794" s="67" t="str">
        <f>IFERROR(VLOOKUP(База_КР_КК[[#This Row],[ИД штатной должности (S)]],'уровень защищенности'!$B$7:$F$1095,5,0),"не защищена")</f>
        <v>средний</v>
      </c>
      <c r="F1794" s="68">
        <v>500237</v>
      </c>
      <c r="G1794" s="74" t="s">
        <v>2571</v>
      </c>
      <c r="H1794" s="181">
        <f>INDEX('Списки данных'!$D$2:$D$1048576,MATCH(База_КР_КК[[#This Row],[Структурное подразделение]],'Списки данных'!$C$2:$C$1048576,0))</f>
        <v>11</v>
      </c>
      <c r="I1794" s="80" t="s">
        <v>169</v>
      </c>
      <c r="J1794" s="80" t="s">
        <v>220</v>
      </c>
      <c r="K1794" s="80" t="s">
        <v>21</v>
      </c>
      <c r="L1794" s="30" t="s">
        <v>191</v>
      </c>
      <c r="M1794" s="68">
        <v>7</v>
      </c>
      <c r="N1794" s="181" t="str">
        <f t="shared" si="29"/>
        <v>нет</v>
      </c>
      <c r="O1794" s="23"/>
      <c r="P1794" s="23"/>
      <c r="Q1794" s="106"/>
      <c r="R1794" s="37">
        <v>401</v>
      </c>
      <c r="S1794" s="38" t="s">
        <v>813</v>
      </c>
      <c r="T1794" s="37">
        <v>1498</v>
      </c>
      <c r="U1794" s="39" t="s">
        <v>1864</v>
      </c>
      <c r="V1794" s="69" t="s">
        <v>272</v>
      </c>
      <c r="W1794" s="89" t="s">
        <v>169</v>
      </c>
      <c r="X1794" s="106" t="s">
        <v>296</v>
      </c>
      <c r="Y1794" s="107" t="s">
        <v>12</v>
      </c>
      <c r="Z1794" s="67">
        <f>IF(База_КР_КК[[#This Row],[Таб.номер резервиста]]="-","-",IF(OR(База_КР_КК[[#This Row],[Уровень КК]]=2,База_КР_КК[[#This Row],[Уровень КК]]=3),IF(COUNTIFS($U$2:$U1794,$U1794,$F$2:$F1794,$F1794)=1,1,0),IF(COUNTIFS($U$2:$U1794,$U1794,$L$2:$L1794,$L1794)=1,1,0)))</f>
        <v>0</v>
      </c>
      <c r="AA17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4" s="106"/>
      <c r="AC1794" s="51"/>
      <c r="AD1794" s="106" t="s">
        <v>15</v>
      </c>
      <c r="AE1794" s="38" t="s">
        <v>355</v>
      </c>
    </row>
    <row r="1795" spans="1:31" ht="18" customHeight="1" x14ac:dyDescent="0.25">
      <c r="A17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5" s="79">
        <v>4</v>
      </c>
      <c r="C1795" s="23">
        <v>44426</v>
      </c>
      <c r="D1795" s="67">
        <f>IF(COUNTIF($G$2:$G1795,$G1795)=1,1,0)</f>
        <v>0</v>
      </c>
      <c r="E1795" s="67" t="str">
        <f>IFERROR(VLOOKUP(База_КР_КК[[#This Row],[ИД штатной должности (S)]],'уровень защищенности'!$B$7:$F$1095,5,0),"не защищена")</f>
        <v>средний</v>
      </c>
      <c r="F1795" s="68">
        <v>500237</v>
      </c>
      <c r="G1795" s="74" t="s">
        <v>2571</v>
      </c>
      <c r="H1795" s="181">
        <f>INDEX('Списки данных'!$D$2:$D$1048576,MATCH(База_КР_КК[[#This Row],[Структурное подразделение]],'Списки данных'!$C$2:$C$1048576,0))</f>
        <v>11</v>
      </c>
      <c r="I1795" s="80" t="s">
        <v>169</v>
      </c>
      <c r="J1795" s="80" t="s">
        <v>220</v>
      </c>
      <c r="K1795" s="80" t="s">
        <v>21</v>
      </c>
      <c r="L1795" s="30" t="s">
        <v>191</v>
      </c>
      <c r="M1795" s="68">
        <v>7</v>
      </c>
      <c r="N1795" s="181" t="str">
        <f t="shared" si="29"/>
        <v>нет</v>
      </c>
      <c r="O1795" s="23"/>
      <c r="P1795" s="23"/>
      <c r="Q1795" s="106"/>
      <c r="R1795" s="37">
        <v>401</v>
      </c>
      <c r="S1795" s="38" t="s">
        <v>813</v>
      </c>
      <c r="T1795" s="37">
        <v>1499</v>
      </c>
      <c r="U1795" s="39" t="s">
        <v>1864</v>
      </c>
      <c r="V1795" s="69" t="s">
        <v>272</v>
      </c>
      <c r="W1795" s="89" t="s">
        <v>169</v>
      </c>
      <c r="X1795" s="106" t="s">
        <v>297</v>
      </c>
      <c r="Y1795" s="107" t="s">
        <v>12</v>
      </c>
      <c r="Z1795" s="67">
        <f>IF(База_КР_КК[[#This Row],[Таб.номер резервиста]]="-","-",IF(OR(База_КР_КК[[#This Row],[Уровень КК]]=2,База_КР_КК[[#This Row],[Уровень КК]]=3),IF(COUNTIFS($U$2:$U1795,$U1795,$F$2:$F1795,$F1795)=1,1,0),IF(COUNTIFS($U$2:$U1795,$U1795,$L$2:$L1795,$L1795)=1,1,0)))</f>
        <v>0</v>
      </c>
      <c r="AA17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5" s="106"/>
      <c r="AC1795" s="51"/>
      <c r="AD1795" s="106" t="s">
        <v>15</v>
      </c>
      <c r="AE1795" s="38" t="s">
        <v>355</v>
      </c>
    </row>
    <row r="1796" spans="1:31" ht="18" customHeight="1" x14ac:dyDescent="0.25">
      <c r="A17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6" s="79">
        <v>4</v>
      </c>
      <c r="C1796" s="23">
        <v>44888</v>
      </c>
      <c r="D1796" s="67">
        <f>IF(COUNTIF($G$2:$G1796,$G1796)=1,1,0)</f>
        <v>0</v>
      </c>
      <c r="E1796" s="67" t="str">
        <f>IFERROR(VLOOKUP(База_КР_КК[[#This Row],[ИД штатной должности (S)]],'уровень защищенности'!$B$7:$F$1095,5,0),"не защищена")</f>
        <v>средний</v>
      </c>
      <c r="F1796" s="68">
        <v>500237</v>
      </c>
      <c r="G1796" s="74" t="s">
        <v>2571</v>
      </c>
      <c r="H1796" s="181">
        <f>INDEX('Списки данных'!$D$2:$D$1048576,MATCH(База_КР_КК[[#This Row],[Структурное подразделение]],'Списки данных'!$C$2:$C$1048576,0))</f>
        <v>11</v>
      </c>
      <c r="I1796" s="80" t="s">
        <v>169</v>
      </c>
      <c r="J1796" s="80" t="s">
        <v>220</v>
      </c>
      <c r="K1796" s="80" t="s">
        <v>21</v>
      </c>
      <c r="L1796" s="30" t="s">
        <v>191</v>
      </c>
      <c r="M1796" s="68">
        <v>7</v>
      </c>
      <c r="N1796" s="181" t="str">
        <f t="shared" si="29"/>
        <v>нет</v>
      </c>
      <c r="O1796" s="23"/>
      <c r="P1796" s="23"/>
      <c r="Q1796" s="106"/>
      <c r="R1796" s="37">
        <v>401</v>
      </c>
      <c r="S1796" s="38" t="s">
        <v>813</v>
      </c>
      <c r="T1796" s="37">
        <v>1500</v>
      </c>
      <c r="U1796" s="38" t="s">
        <v>1582</v>
      </c>
      <c r="V1796" s="89" t="s">
        <v>272</v>
      </c>
      <c r="W1796" s="89" t="s">
        <v>169</v>
      </c>
      <c r="X1796" s="106" t="s">
        <v>296</v>
      </c>
      <c r="Y1796" s="107" t="s">
        <v>12</v>
      </c>
      <c r="Z1796" s="67">
        <f>IF(База_КР_КК[[#This Row],[Таб.номер резервиста]]="-","-",IF(OR(База_КР_КК[[#This Row],[Уровень КК]]=2,База_КР_КК[[#This Row],[Уровень КК]]=3),IF(COUNTIFS($U$2:$U1796,$U1796,$F$2:$F1796,$F1796)=1,1,0),IF(COUNTIFS($U$2:$U1796,$U1796,$L$2:$L1796,$L1796)=1,1,0)))</f>
        <v>0</v>
      </c>
      <c r="AA17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6" s="106"/>
      <c r="AC1796" s="51"/>
      <c r="AD1796" s="106" t="s">
        <v>15</v>
      </c>
      <c r="AE1796" s="38" t="s">
        <v>356</v>
      </c>
    </row>
    <row r="1797" spans="1:31" ht="18" customHeight="1" x14ac:dyDescent="0.25">
      <c r="A17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7" s="79">
        <v>4</v>
      </c>
      <c r="C1797" s="23">
        <v>44888</v>
      </c>
      <c r="D1797" s="67">
        <f>IF(COUNTIF($G$2:$G1797,$G1797)=1,1,0)</f>
        <v>0</v>
      </c>
      <c r="E1797" s="67" t="str">
        <f>IFERROR(VLOOKUP(База_КР_КК[[#This Row],[ИД штатной должности (S)]],'уровень защищенности'!$B$7:$F$1095,5,0),"не защищена")</f>
        <v>средний</v>
      </c>
      <c r="F1797" s="68">
        <v>500237</v>
      </c>
      <c r="G1797" s="74" t="s">
        <v>2571</v>
      </c>
      <c r="H1797" s="181">
        <f>INDEX('Списки данных'!$D$2:$D$1048576,MATCH(База_КР_КК[[#This Row],[Структурное подразделение]],'Списки данных'!$C$2:$C$1048576,0))</f>
        <v>11</v>
      </c>
      <c r="I1797" s="80" t="s">
        <v>169</v>
      </c>
      <c r="J1797" s="80" t="s">
        <v>220</v>
      </c>
      <c r="K1797" s="80" t="s">
        <v>21</v>
      </c>
      <c r="L1797" s="30" t="s">
        <v>191</v>
      </c>
      <c r="M1797" s="68">
        <v>7</v>
      </c>
      <c r="N1797" s="181" t="str">
        <f t="shared" si="29"/>
        <v>нет</v>
      </c>
      <c r="O1797" s="23"/>
      <c r="P1797" s="23"/>
      <c r="Q1797" s="106"/>
      <c r="R1797" s="37">
        <v>401</v>
      </c>
      <c r="S1797" s="38" t="s">
        <v>813</v>
      </c>
      <c r="T1797" s="37">
        <v>1501</v>
      </c>
      <c r="U1797" s="38" t="s">
        <v>1865</v>
      </c>
      <c r="V1797" s="89" t="s">
        <v>272</v>
      </c>
      <c r="W1797" s="89" t="s">
        <v>169</v>
      </c>
      <c r="X1797" s="106" t="s">
        <v>296</v>
      </c>
      <c r="Y1797" s="107" t="s">
        <v>12</v>
      </c>
      <c r="Z1797" s="67">
        <f>IF(База_КР_КК[[#This Row],[Таб.номер резервиста]]="-","-",IF(OR(База_КР_КК[[#This Row],[Уровень КК]]=2,База_КР_КК[[#This Row],[Уровень КК]]=3),IF(COUNTIFS($U$2:$U1797,$U1797,$F$2:$F1797,$F1797)=1,1,0),IF(COUNTIFS($U$2:$U1797,$U1797,$L$2:$L1797,$L1797)=1,1,0)))</f>
        <v>0</v>
      </c>
      <c r="AA17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7" s="106"/>
      <c r="AC1797" s="51"/>
      <c r="AD1797" s="106" t="s">
        <v>15</v>
      </c>
      <c r="AE1797" s="38" t="s">
        <v>356</v>
      </c>
    </row>
    <row r="1798" spans="1:31" ht="18" customHeight="1" x14ac:dyDescent="0.25">
      <c r="A17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8" s="79">
        <v>4</v>
      </c>
      <c r="C1798" s="23">
        <v>44888</v>
      </c>
      <c r="D1798" s="67">
        <f>IF(COUNTIF($G$2:$G1798,$G1798)=1,1,0)</f>
        <v>0</v>
      </c>
      <c r="E1798" s="67" t="str">
        <f>IFERROR(VLOOKUP(База_КР_КК[[#This Row],[ИД штатной должности (S)]],'уровень защищенности'!$B$7:$F$1095,5,0),"не защищена")</f>
        <v>средний</v>
      </c>
      <c r="F1798" s="68">
        <v>500237</v>
      </c>
      <c r="G1798" s="74" t="s">
        <v>2571</v>
      </c>
      <c r="H1798" s="181">
        <f>INDEX('Списки данных'!$D$2:$D$1048576,MATCH(База_КР_КК[[#This Row],[Структурное подразделение]],'Списки данных'!$C$2:$C$1048576,0))</f>
        <v>11</v>
      </c>
      <c r="I1798" s="80" t="s">
        <v>169</v>
      </c>
      <c r="J1798" s="80" t="s">
        <v>220</v>
      </c>
      <c r="K1798" s="80" t="s">
        <v>21</v>
      </c>
      <c r="L1798" s="30" t="s">
        <v>191</v>
      </c>
      <c r="M1798" s="68">
        <v>7</v>
      </c>
      <c r="N1798" s="181" t="str">
        <f t="shared" si="29"/>
        <v>нет</v>
      </c>
      <c r="O1798" s="23"/>
      <c r="P1798" s="23"/>
      <c r="Q1798" s="106"/>
      <c r="R1798" s="37">
        <v>401</v>
      </c>
      <c r="S1798" s="38" t="s">
        <v>813</v>
      </c>
      <c r="T1798" s="37">
        <v>1502</v>
      </c>
      <c r="U1798" s="38" t="s">
        <v>1866</v>
      </c>
      <c r="V1798" s="89" t="s">
        <v>272</v>
      </c>
      <c r="W1798" s="89" t="s">
        <v>169</v>
      </c>
      <c r="X1798" s="106" t="s">
        <v>296</v>
      </c>
      <c r="Y1798" s="107" t="s">
        <v>12</v>
      </c>
      <c r="Z1798" s="67">
        <f>IF(База_КР_КК[[#This Row],[Таб.номер резервиста]]="-","-",IF(OR(База_КР_КК[[#This Row],[Уровень КК]]=2,База_КР_КК[[#This Row],[Уровень КК]]=3),IF(COUNTIFS($U$2:$U1798,$U1798,$F$2:$F1798,$F1798)=1,1,0),IF(COUNTIFS($U$2:$U1798,$U1798,$L$2:$L1798,$L1798)=1,1,0)))</f>
        <v>0</v>
      </c>
      <c r="AA17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8" s="106"/>
      <c r="AC1798" s="51"/>
      <c r="AD1798" s="106" t="s">
        <v>15</v>
      </c>
      <c r="AE1798" s="38" t="s">
        <v>356</v>
      </c>
    </row>
    <row r="1799" spans="1:31" ht="18" customHeight="1" x14ac:dyDescent="0.25">
      <c r="A17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799" s="79">
        <v>4</v>
      </c>
      <c r="C1799" s="23">
        <v>44426</v>
      </c>
      <c r="D1799" s="67">
        <f>IF(COUNTIF($G$2:$G1799,$G1799)=1,1,0)</f>
        <v>0</v>
      </c>
      <c r="E1799" s="67" t="str">
        <f>IFERROR(VLOOKUP(База_КР_КК[[#This Row],[ИД штатной должности (S)]],'уровень защищенности'!$B$7:$F$1095,5,0),"не защищена")</f>
        <v>средний</v>
      </c>
      <c r="F1799" s="68">
        <v>500237</v>
      </c>
      <c r="G1799" s="74" t="s">
        <v>2571</v>
      </c>
      <c r="H1799" s="181">
        <f>INDEX('Списки данных'!$D$2:$D$1048576,MATCH(База_КР_КК[[#This Row],[Структурное подразделение]],'Списки данных'!$C$2:$C$1048576,0))</f>
        <v>11</v>
      </c>
      <c r="I1799" s="80" t="s">
        <v>169</v>
      </c>
      <c r="J1799" s="80" t="s">
        <v>220</v>
      </c>
      <c r="K1799" s="80" t="s">
        <v>21</v>
      </c>
      <c r="L1799" s="30" t="s">
        <v>191</v>
      </c>
      <c r="M1799" s="68">
        <v>7</v>
      </c>
      <c r="N1799" s="181" t="str">
        <f t="shared" si="29"/>
        <v>нет</v>
      </c>
      <c r="O1799" s="23"/>
      <c r="P1799" s="23"/>
      <c r="Q1799" s="106"/>
      <c r="R1799" s="37">
        <v>401</v>
      </c>
      <c r="S1799" s="38" t="s">
        <v>813</v>
      </c>
      <c r="T1799" s="37">
        <v>402</v>
      </c>
      <c r="U1799" s="39" t="s">
        <v>814</v>
      </c>
      <c r="V1799" s="69" t="s">
        <v>272</v>
      </c>
      <c r="W1799" s="89" t="s">
        <v>169</v>
      </c>
      <c r="X1799" s="106" t="s">
        <v>297</v>
      </c>
      <c r="Y1799" s="107" t="s">
        <v>14</v>
      </c>
      <c r="Z1799" s="67">
        <f>IF(База_КР_КК[[#This Row],[Таб.номер резервиста]]="-","-",IF(OR(База_КР_КК[[#This Row],[Уровень КК]]=2,База_КР_КК[[#This Row],[Уровень КК]]=3),IF(COUNTIFS($U$2:$U1799,$U1799,$F$2:$F1799,$F1799)=1,1,0),IF(COUNTIFS($U$2:$U1799,$U1799,$L$2:$L1799,$L1799)=1,1,0)))</f>
        <v>0</v>
      </c>
      <c r="AA17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799" s="106" t="s">
        <v>24</v>
      </c>
      <c r="AC1799" s="51">
        <v>44763</v>
      </c>
      <c r="AD1799" s="106" t="s">
        <v>15</v>
      </c>
      <c r="AE1799" s="38" t="s">
        <v>355</v>
      </c>
    </row>
    <row r="1800" spans="1:31" ht="18" customHeight="1" x14ac:dyDescent="0.25">
      <c r="A18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0" s="79">
        <v>4</v>
      </c>
      <c r="C1800" s="23">
        <v>44426</v>
      </c>
      <c r="D1800" s="67">
        <f>IF(COUNTIF($G$2:$G1800,$G1800)=1,1,0)</f>
        <v>0</v>
      </c>
      <c r="E1800" s="67" t="str">
        <f>IFERROR(VLOOKUP(База_КР_КК[[#This Row],[ИД штатной должности (S)]],'уровень защищенности'!$B$7:$F$1095,5,0),"не защищена")</f>
        <v>средний</v>
      </c>
      <c r="F1800" s="68">
        <v>500237</v>
      </c>
      <c r="G1800" s="74" t="s">
        <v>2571</v>
      </c>
      <c r="H1800" s="181">
        <f>INDEX('Списки данных'!$D$2:$D$1048576,MATCH(База_КР_КК[[#This Row],[Структурное подразделение]],'Списки данных'!$C$2:$C$1048576,0))</f>
        <v>11</v>
      </c>
      <c r="I1800" s="80" t="s">
        <v>169</v>
      </c>
      <c r="J1800" s="80" t="s">
        <v>220</v>
      </c>
      <c r="K1800" s="80" t="s">
        <v>21</v>
      </c>
      <c r="L1800" s="30" t="s">
        <v>191</v>
      </c>
      <c r="M1800" s="68">
        <v>7</v>
      </c>
      <c r="N1800" s="181" t="str">
        <f t="shared" si="29"/>
        <v>нет</v>
      </c>
      <c r="O1800" s="23"/>
      <c r="P1800" s="23"/>
      <c r="Q1800" s="106"/>
      <c r="R1800" s="37">
        <v>401</v>
      </c>
      <c r="S1800" s="38" t="s">
        <v>813</v>
      </c>
      <c r="T1800" s="37">
        <v>461</v>
      </c>
      <c r="U1800" s="38" t="s">
        <v>873</v>
      </c>
      <c r="V1800" s="89" t="s">
        <v>192</v>
      </c>
      <c r="W1800" s="89" t="s">
        <v>169</v>
      </c>
      <c r="X1800" s="106" t="s">
        <v>295</v>
      </c>
      <c r="Y1800" s="107" t="s">
        <v>18</v>
      </c>
      <c r="Z1800" s="67">
        <f>IF(База_КР_КК[[#This Row],[Таб.номер резервиста]]="-","-",IF(OR(База_КР_КК[[#This Row],[Уровень КК]]=2,База_КР_КК[[#This Row],[Уровень КК]]=3),IF(COUNTIFS($U$2:$U1800,$U1800,$F$2:$F1800,$F1800)=1,1,0),IF(COUNTIFS($U$2:$U1800,$U1800,$L$2:$L1800,$L1800)=1,1,0)))</f>
        <v>0</v>
      </c>
      <c r="AA18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0" s="106" t="s">
        <v>37</v>
      </c>
      <c r="AC1800" s="51">
        <v>44888</v>
      </c>
      <c r="AD1800" s="106" t="s">
        <v>15</v>
      </c>
      <c r="AE1800" s="38" t="s">
        <v>355</v>
      </c>
    </row>
    <row r="1801" spans="1:31" ht="18" customHeight="1" x14ac:dyDescent="0.25">
      <c r="A18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1" s="79">
        <v>4</v>
      </c>
      <c r="C1801" s="23">
        <v>44426</v>
      </c>
      <c r="D1801" s="67">
        <f>IF(COUNTIF($G$2:$G1801,$G1801)=1,1,0)</f>
        <v>1</v>
      </c>
      <c r="E1801" s="67" t="str">
        <f>IFERROR(VLOOKUP(База_КР_КК[[#This Row],[ИД штатной должности (S)]],'уровень защищенности'!$B$7:$F$1095,5,0),"не защищена")</f>
        <v>средний</v>
      </c>
      <c r="F1801" s="68">
        <v>500237</v>
      </c>
      <c r="G1801" s="74" t="s">
        <v>2572</v>
      </c>
      <c r="H1801" s="181">
        <f>INDEX('Списки данных'!$D$2:$D$1048576,MATCH(База_КР_КК[[#This Row],[Структурное подразделение]],'Списки данных'!$C$2:$C$1048576,0))</f>
        <v>11</v>
      </c>
      <c r="I1801" s="80" t="s">
        <v>169</v>
      </c>
      <c r="J1801" s="80" t="s">
        <v>220</v>
      </c>
      <c r="K1801" s="80" t="s">
        <v>21</v>
      </c>
      <c r="L1801" s="30" t="s">
        <v>191</v>
      </c>
      <c r="M1801" s="68">
        <v>7</v>
      </c>
      <c r="N1801" s="181" t="str">
        <f t="shared" si="29"/>
        <v>да</v>
      </c>
      <c r="O1801" s="23">
        <v>44644</v>
      </c>
      <c r="P1801" s="23">
        <v>44763</v>
      </c>
      <c r="Q1801" s="106" t="s">
        <v>66</v>
      </c>
      <c r="R1801" s="37">
        <v>402</v>
      </c>
      <c r="S1801" s="39" t="s">
        <v>814</v>
      </c>
      <c r="T1801" s="37">
        <v>1498</v>
      </c>
      <c r="U1801" s="39" t="s">
        <v>1864</v>
      </c>
      <c r="V1801" s="69" t="s">
        <v>272</v>
      </c>
      <c r="W1801" s="89" t="s">
        <v>169</v>
      </c>
      <c r="X1801" s="106" t="s">
        <v>296</v>
      </c>
      <c r="Y1801" s="107" t="s">
        <v>12</v>
      </c>
      <c r="Z1801" s="67">
        <f>IF(База_КР_КК[[#This Row],[Таб.номер резервиста]]="-","-",IF(OR(База_КР_КК[[#This Row],[Уровень КК]]=2,База_КР_КК[[#This Row],[Уровень КК]]=3),IF(COUNTIFS($U$2:$U1801,$U1801,$F$2:$F1801,$F1801)=1,1,0),IF(COUNTIFS($U$2:$U1801,$U1801,$L$2:$L1801,$L1801)=1,1,0)))</f>
        <v>0</v>
      </c>
      <c r="AA18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1" s="106"/>
      <c r="AC1801" s="51"/>
      <c r="AD1801" s="106" t="s">
        <v>15</v>
      </c>
      <c r="AE1801" s="38" t="s">
        <v>355</v>
      </c>
    </row>
    <row r="1802" spans="1:31" ht="18" customHeight="1" x14ac:dyDescent="0.25">
      <c r="A18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2" s="79">
        <v>4</v>
      </c>
      <c r="C1802" s="23">
        <v>44426</v>
      </c>
      <c r="D1802" s="67">
        <f>IF(COUNTIF($G$2:$G1802,$G1802)=1,1,0)</f>
        <v>0</v>
      </c>
      <c r="E1802" s="67" t="str">
        <f>IFERROR(VLOOKUP(База_КР_КК[[#This Row],[ИД штатной должности (S)]],'уровень защищенности'!$B$7:$F$1095,5,0),"не защищена")</f>
        <v>средний</v>
      </c>
      <c r="F1802" s="68">
        <v>500237</v>
      </c>
      <c r="G1802" s="74" t="s">
        <v>2572</v>
      </c>
      <c r="H1802" s="181">
        <f>INDEX('Списки данных'!$D$2:$D$1048576,MATCH(База_КР_КК[[#This Row],[Структурное подразделение]],'Списки данных'!$C$2:$C$1048576,0))</f>
        <v>11</v>
      </c>
      <c r="I1802" s="80" t="s">
        <v>169</v>
      </c>
      <c r="J1802" s="80" t="s">
        <v>220</v>
      </c>
      <c r="K1802" s="80" t="s">
        <v>21</v>
      </c>
      <c r="L1802" s="30" t="s">
        <v>191</v>
      </c>
      <c r="M1802" s="68">
        <v>7</v>
      </c>
      <c r="N1802" s="181" t="str">
        <f t="shared" si="29"/>
        <v>да</v>
      </c>
      <c r="O1802" s="23">
        <v>44644</v>
      </c>
      <c r="P1802" s="23">
        <v>44763</v>
      </c>
      <c r="Q1802" s="106" t="s">
        <v>66</v>
      </c>
      <c r="R1802" s="37">
        <v>402</v>
      </c>
      <c r="S1802" s="39" t="s">
        <v>814</v>
      </c>
      <c r="T1802" s="37">
        <v>1499</v>
      </c>
      <c r="U1802" s="39" t="s">
        <v>1864</v>
      </c>
      <c r="V1802" s="69" t="s">
        <v>272</v>
      </c>
      <c r="W1802" s="89" t="s">
        <v>169</v>
      </c>
      <c r="X1802" s="106" t="s">
        <v>297</v>
      </c>
      <c r="Y1802" s="107" t="s">
        <v>12</v>
      </c>
      <c r="Z1802" s="67">
        <f>IF(База_КР_КК[[#This Row],[Таб.номер резервиста]]="-","-",IF(OR(База_КР_КК[[#This Row],[Уровень КК]]=2,База_КР_КК[[#This Row],[Уровень КК]]=3),IF(COUNTIFS($U$2:$U1802,$U1802,$F$2:$F1802,$F1802)=1,1,0),IF(COUNTIFS($U$2:$U1802,$U1802,$L$2:$L1802,$L1802)=1,1,0)))</f>
        <v>0</v>
      </c>
      <c r="AA18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2" s="106"/>
      <c r="AC1802" s="51"/>
      <c r="AD1802" s="106" t="s">
        <v>15</v>
      </c>
      <c r="AE1802" s="38" t="s">
        <v>355</v>
      </c>
    </row>
    <row r="1803" spans="1:31" ht="18" customHeight="1" x14ac:dyDescent="0.25">
      <c r="A18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3" s="79">
        <v>4</v>
      </c>
      <c r="C1803" s="23">
        <v>44888</v>
      </c>
      <c r="D1803" s="67">
        <f>IF(COUNTIF($G$2:$G1803,$G1803)=1,1,0)</f>
        <v>0</v>
      </c>
      <c r="E1803" s="67" t="str">
        <f>IFERROR(VLOOKUP(База_КР_КК[[#This Row],[ИД штатной должности (S)]],'уровень защищенности'!$B$7:$F$1095,5,0),"не защищена")</f>
        <v>средний</v>
      </c>
      <c r="F1803" s="68">
        <v>500237</v>
      </c>
      <c r="G1803" s="74" t="s">
        <v>2572</v>
      </c>
      <c r="H1803" s="181">
        <f>INDEX('Списки данных'!$D$2:$D$1048576,MATCH(База_КР_КК[[#This Row],[Структурное подразделение]],'Списки данных'!$C$2:$C$1048576,0))</f>
        <v>11</v>
      </c>
      <c r="I1803" s="80" t="s">
        <v>169</v>
      </c>
      <c r="J1803" s="80" t="s">
        <v>220</v>
      </c>
      <c r="K1803" s="80" t="s">
        <v>21</v>
      </c>
      <c r="L1803" s="30" t="s">
        <v>191</v>
      </c>
      <c r="M1803" s="68">
        <v>7</v>
      </c>
      <c r="N1803" s="181" t="str">
        <f t="shared" si="29"/>
        <v>да</v>
      </c>
      <c r="O1803" s="23">
        <v>44644</v>
      </c>
      <c r="P1803" s="23">
        <v>44763</v>
      </c>
      <c r="Q1803" s="106" t="s">
        <v>66</v>
      </c>
      <c r="R1803" s="37">
        <v>402</v>
      </c>
      <c r="S1803" s="39" t="s">
        <v>814</v>
      </c>
      <c r="T1803" s="37">
        <v>1500</v>
      </c>
      <c r="U1803" s="38" t="s">
        <v>1582</v>
      </c>
      <c r="V1803" s="89" t="s">
        <v>272</v>
      </c>
      <c r="W1803" s="89" t="s">
        <v>169</v>
      </c>
      <c r="X1803" s="106" t="s">
        <v>296</v>
      </c>
      <c r="Y1803" s="107" t="s">
        <v>12</v>
      </c>
      <c r="Z1803" s="67">
        <f>IF(База_КР_КК[[#This Row],[Таб.номер резервиста]]="-","-",IF(OR(База_КР_КК[[#This Row],[Уровень КК]]=2,База_КР_КК[[#This Row],[Уровень КК]]=3),IF(COUNTIFS($U$2:$U1803,$U1803,$F$2:$F1803,$F1803)=1,1,0),IF(COUNTIFS($U$2:$U1803,$U1803,$L$2:$L1803,$L1803)=1,1,0)))</f>
        <v>0</v>
      </c>
      <c r="AA18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3" s="106"/>
      <c r="AC1803" s="51"/>
      <c r="AD1803" s="106" t="s">
        <v>15</v>
      </c>
      <c r="AE1803" s="38" t="s">
        <v>356</v>
      </c>
    </row>
    <row r="1804" spans="1:31" ht="18" customHeight="1" x14ac:dyDescent="0.25">
      <c r="A18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4" s="79">
        <v>4</v>
      </c>
      <c r="C1804" s="23">
        <v>44888</v>
      </c>
      <c r="D1804" s="67">
        <f>IF(COUNTIF($G$2:$G1804,$G1804)=1,1,0)</f>
        <v>0</v>
      </c>
      <c r="E1804" s="67" t="str">
        <f>IFERROR(VLOOKUP(База_КР_КК[[#This Row],[ИД штатной должности (S)]],'уровень защищенности'!$B$7:$F$1095,5,0),"не защищена")</f>
        <v>средний</v>
      </c>
      <c r="F1804" s="68">
        <v>500237</v>
      </c>
      <c r="G1804" s="74" t="s">
        <v>2572</v>
      </c>
      <c r="H1804" s="181">
        <f>INDEX('Списки данных'!$D$2:$D$1048576,MATCH(База_КР_КК[[#This Row],[Структурное подразделение]],'Списки данных'!$C$2:$C$1048576,0))</f>
        <v>11</v>
      </c>
      <c r="I1804" s="80" t="s">
        <v>169</v>
      </c>
      <c r="J1804" s="80" t="s">
        <v>220</v>
      </c>
      <c r="K1804" s="80" t="s">
        <v>21</v>
      </c>
      <c r="L1804" s="30" t="s">
        <v>191</v>
      </c>
      <c r="M1804" s="68">
        <v>7</v>
      </c>
      <c r="N1804" s="181" t="str">
        <f t="shared" si="29"/>
        <v>да</v>
      </c>
      <c r="O1804" s="23">
        <v>44644</v>
      </c>
      <c r="P1804" s="23">
        <v>44763</v>
      </c>
      <c r="Q1804" s="106" t="s">
        <v>66</v>
      </c>
      <c r="R1804" s="37">
        <v>402</v>
      </c>
      <c r="S1804" s="39" t="s">
        <v>814</v>
      </c>
      <c r="T1804" s="37">
        <v>1501</v>
      </c>
      <c r="U1804" s="38" t="s">
        <v>1865</v>
      </c>
      <c r="V1804" s="89" t="s">
        <v>272</v>
      </c>
      <c r="W1804" s="89" t="s">
        <v>169</v>
      </c>
      <c r="X1804" s="106" t="s">
        <v>296</v>
      </c>
      <c r="Y1804" s="107" t="s">
        <v>12</v>
      </c>
      <c r="Z1804" s="67">
        <f>IF(База_КР_КК[[#This Row],[Таб.номер резервиста]]="-","-",IF(OR(База_КР_КК[[#This Row],[Уровень КК]]=2,База_КР_КК[[#This Row],[Уровень КК]]=3),IF(COUNTIFS($U$2:$U1804,$U1804,$F$2:$F1804,$F1804)=1,1,0),IF(COUNTIFS($U$2:$U1804,$U1804,$L$2:$L1804,$L1804)=1,1,0)))</f>
        <v>0</v>
      </c>
      <c r="AA18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4" s="106"/>
      <c r="AC1804" s="51"/>
      <c r="AD1804" s="106" t="s">
        <v>15</v>
      </c>
      <c r="AE1804" s="38" t="s">
        <v>356</v>
      </c>
    </row>
    <row r="1805" spans="1:31" ht="18" customHeight="1" x14ac:dyDescent="0.25">
      <c r="A18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5" s="79">
        <v>4</v>
      </c>
      <c r="C1805" s="23">
        <v>44888</v>
      </c>
      <c r="D1805" s="67">
        <f>IF(COUNTIF($G$2:$G1805,$G1805)=1,1,0)</f>
        <v>0</v>
      </c>
      <c r="E1805" s="67" t="str">
        <f>IFERROR(VLOOKUP(База_КР_КК[[#This Row],[ИД штатной должности (S)]],'уровень защищенности'!$B$7:$F$1095,5,0),"не защищена")</f>
        <v>средний</v>
      </c>
      <c r="F1805" s="68">
        <v>500237</v>
      </c>
      <c r="G1805" s="74" t="s">
        <v>2572</v>
      </c>
      <c r="H1805" s="181">
        <f>INDEX('Списки данных'!$D$2:$D$1048576,MATCH(База_КР_КК[[#This Row],[Структурное подразделение]],'Списки данных'!$C$2:$C$1048576,0))</f>
        <v>11</v>
      </c>
      <c r="I1805" s="80" t="s">
        <v>169</v>
      </c>
      <c r="J1805" s="80" t="s">
        <v>220</v>
      </c>
      <c r="K1805" s="80" t="s">
        <v>21</v>
      </c>
      <c r="L1805" s="30" t="s">
        <v>191</v>
      </c>
      <c r="M1805" s="68">
        <v>7</v>
      </c>
      <c r="N1805" s="181" t="str">
        <f t="shared" si="29"/>
        <v>да</v>
      </c>
      <c r="O1805" s="23">
        <v>44644</v>
      </c>
      <c r="P1805" s="23">
        <v>44763</v>
      </c>
      <c r="Q1805" s="106" t="s">
        <v>66</v>
      </c>
      <c r="R1805" s="37">
        <v>402</v>
      </c>
      <c r="S1805" s="39" t="s">
        <v>814</v>
      </c>
      <c r="T1805" s="37">
        <v>1502</v>
      </c>
      <c r="U1805" s="38" t="s">
        <v>1866</v>
      </c>
      <c r="V1805" s="89" t="s">
        <v>272</v>
      </c>
      <c r="W1805" s="89" t="s">
        <v>169</v>
      </c>
      <c r="X1805" s="106" t="s">
        <v>296</v>
      </c>
      <c r="Y1805" s="107" t="s">
        <v>12</v>
      </c>
      <c r="Z1805" s="67">
        <f>IF(База_КР_КК[[#This Row],[Таб.номер резервиста]]="-","-",IF(OR(База_КР_КК[[#This Row],[Уровень КК]]=2,База_КР_КК[[#This Row],[Уровень КК]]=3),IF(COUNTIFS($U$2:$U1805,$U1805,$F$2:$F1805,$F1805)=1,1,0),IF(COUNTIFS($U$2:$U1805,$U1805,$L$2:$L1805,$L1805)=1,1,0)))</f>
        <v>0</v>
      </c>
      <c r="AA18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5" s="106"/>
      <c r="AC1805" s="51"/>
      <c r="AD1805" s="106" t="s">
        <v>15</v>
      </c>
      <c r="AE1805" s="38" t="s">
        <v>356</v>
      </c>
    </row>
    <row r="1806" spans="1:31" ht="18" customHeight="1" x14ac:dyDescent="0.25">
      <c r="A18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6" s="79">
        <v>4</v>
      </c>
      <c r="C1806" s="23">
        <v>44426</v>
      </c>
      <c r="D1806" s="67">
        <f>IF(COUNTIF($G$2:$G1806,$G1806)=1,1,0)</f>
        <v>0</v>
      </c>
      <c r="E1806" s="67" t="str">
        <f>IFERROR(VLOOKUP(База_КР_КК[[#This Row],[ИД штатной должности (S)]],'уровень защищенности'!$B$7:$F$1095,5,0),"не защищена")</f>
        <v>средний</v>
      </c>
      <c r="F1806" s="68">
        <v>500237</v>
      </c>
      <c r="G1806" s="74" t="s">
        <v>2572</v>
      </c>
      <c r="H1806" s="181">
        <f>INDEX('Списки данных'!$D$2:$D$1048576,MATCH(База_КР_КК[[#This Row],[Структурное подразделение]],'Списки данных'!$C$2:$C$1048576,0))</f>
        <v>11</v>
      </c>
      <c r="I1806" s="80" t="s">
        <v>169</v>
      </c>
      <c r="J1806" s="80" t="s">
        <v>220</v>
      </c>
      <c r="K1806" s="80" t="s">
        <v>21</v>
      </c>
      <c r="L1806" s="30" t="s">
        <v>191</v>
      </c>
      <c r="M1806" s="68">
        <v>7</v>
      </c>
      <c r="N1806" s="181" t="str">
        <f t="shared" si="29"/>
        <v>да</v>
      </c>
      <c r="O1806" s="23">
        <v>44644</v>
      </c>
      <c r="P1806" s="23">
        <v>44763</v>
      </c>
      <c r="Q1806" s="106" t="s">
        <v>66</v>
      </c>
      <c r="R1806" s="37">
        <v>402</v>
      </c>
      <c r="S1806" s="39" t="s">
        <v>814</v>
      </c>
      <c r="T1806" s="37">
        <v>402</v>
      </c>
      <c r="U1806" s="39" t="s">
        <v>814</v>
      </c>
      <c r="V1806" s="69" t="s">
        <v>272</v>
      </c>
      <c r="W1806" s="89" t="s">
        <v>169</v>
      </c>
      <c r="X1806" s="106" t="s">
        <v>297</v>
      </c>
      <c r="Y1806" s="107" t="s">
        <v>14</v>
      </c>
      <c r="Z1806" s="67">
        <f>IF(База_КР_КК[[#This Row],[Таб.номер резервиста]]="-","-",IF(OR(База_КР_КК[[#This Row],[Уровень КК]]=2,База_КР_КК[[#This Row],[Уровень КК]]=3),IF(COUNTIFS($U$2:$U1806,$U1806,$F$2:$F1806,$F1806)=1,1,0),IF(COUNTIFS($U$2:$U1806,$U1806,$L$2:$L1806,$L1806)=1,1,0)))</f>
        <v>0</v>
      </c>
      <c r="AA18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806" s="106" t="s">
        <v>24</v>
      </c>
      <c r="AC1806" s="51">
        <v>44763</v>
      </c>
      <c r="AD1806" s="106" t="s">
        <v>15</v>
      </c>
      <c r="AE1806" s="38" t="s">
        <v>355</v>
      </c>
    </row>
    <row r="1807" spans="1:31" ht="18" customHeight="1" x14ac:dyDescent="0.25">
      <c r="A18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7" s="79">
        <v>4</v>
      </c>
      <c r="C1807" s="23">
        <v>44426</v>
      </c>
      <c r="D1807" s="67">
        <f>IF(COUNTIF($G$2:$G1807,$G1807)=1,1,0)</f>
        <v>0</v>
      </c>
      <c r="E1807" s="67" t="str">
        <f>IFERROR(VLOOKUP(База_КР_КК[[#This Row],[ИД штатной должности (S)]],'уровень защищенности'!$B$7:$F$1095,5,0),"не защищена")</f>
        <v>средний</v>
      </c>
      <c r="F1807" s="68">
        <v>500237</v>
      </c>
      <c r="G1807" s="74" t="s">
        <v>2572</v>
      </c>
      <c r="H1807" s="181">
        <f>INDEX('Списки данных'!$D$2:$D$1048576,MATCH(База_КР_КК[[#This Row],[Структурное подразделение]],'Списки данных'!$C$2:$C$1048576,0))</f>
        <v>11</v>
      </c>
      <c r="I1807" s="80" t="s">
        <v>169</v>
      </c>
      <c r="J1807" s="80" t="s">
        <v>220</v>
      </c>
      <c r="K1807" s="80" t="s">
        <v>21</v>
      </c>
      <c r="L1807" s="30" t="s">
        <v>191</v>
      </c>
      <c r="M1807" s="68">
        <v>7</v>
      </c>
      <c r="N1807" s="181" t="str">
        <f t="shared" si="29"/>
        <v>да</v>
      </c>
      <c r="O1807" s="23">
        <v>44644</v>
      </c>
      <c r="P1807" s="23">
        <v>44763</v>
      </c>
      <c r="Q1807" s="106" t="s">
        <v>66</v>
      </c>
      <c r="R1807" s="37">
        <v>402</v>
      </c>
      <c r="S1807" s="39" t="s">
        <v>814</v>
      </c>
      <c r="T1807" s="37">
        <v>461</v>
      </c>
      <c r="U1807" s="38" t="s">
        <v>873</v>
      </c>
      <c r="V1807" s="89" t="s">
        <v>192</v>
      </c>
      <c r="W1807" s="89" t="s">
        <v>169</v>
      </c>
      <c r="X1807" s="106" t="s">
        <v>295</v>
      </c>
      <c r="Y1807" s="107" t="s">
        <v>18</v>
      </c>
      <c r="Z1807" s="67">
        <f>IF(База_КР_КК[[#This Row],[Таб.номер резервиста]]="-","-",IF(OR(База_КР_КК[[#This Row],[Уровень КК]]=2,База_КР_КК[[#This Row],[Уровень КК]]=3),IF(COUNTIFS($U$2:$U1807,$U1807,$F$2:$F1807,$F1807)=1,1,0),IF(COUNTIFS($U$2:$U1807,$U1807,$L$2:$L1807,$L1807)=1,1,0)))</f>
        <v>0</v>
      </c>
      <c r="AA18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7" s="106" t="s">
        <v>37</v>
      </c>
      <c r="AC1807" s="51">
        <v>44888</v>
      </c>
      <c r="AD1807" s="106" t="s">
        <v>15</v>
      </c>
      <c r="AE1807" s="38" t="s">
        <v>355</v>
      </c>
    </row>
    <row r="1808" spans="1:31" ht="18" customHeight="1" x14ac:dyDescent="0.25">
      <c r="A18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8" s="79">
        <v>4</v>
      </c>
      <c r="C1808" s="23">
        <v>44426</v>
      </c>
      <c r="D1808" s="67">
        <f>IF(COUNTIF($G$2:$G1808,$G1808)=1,1,0)</f>
        <v>1</v>
      </c>
      <c r="E1808" s="67" t="str">
        <f>IFERROR(VLOOKUP(База_КР_КК[[#This Row],[ИД штатной должности (S)]],'уровень защищенности'!$B$7:$F$1095,5,0),"не защищена")</f>
        <v>средний</v>
      </c>
      <c r="F1808" s="68">
        <v>500237</v>
      </c>
      <c r="G1808" s="74" t="s">
        <v>2573</v>
      </c>
      <c r="H1808" s="181">
        <f>INDEX('Списки данных'!$D$2:$D$1048576,MATCH(База_КР_КК[[#This Row],[Структурное подразделение]],'Списки данных'!$C$2:$C$1048576,0))</f>
        <v>11</v>
      </c>
      <c r="I1808" s="80" t="s">
        <v>169</v>
      </c>
      <c r="J1808" s="80" t="s">
        <v>220</v>
      </c>
      <c r="K1808" s="80" t="s">
        <v>21</v>
      </c>
      <c r="L1808" s="30" t="s">
        <v>191</v>
      </c>
      <c r="M1808" s="68">
        <v>7</v>
      </c>
      <c r="N1808" s="181" t="str">
        <f t="shared" si="29"/>
        <v>нет</v>
      </c>
      <c r="O1808" s="23"/>
      <c r="P1808" s="23"/>
      <c r="Q1808" s="106"/>
      <c r="R1808" s="37">
        <v>403</v>
      </c>
      <c r="S1808" s="38" t="s">
        <v>815</v>
      </c>
      <c r="T1808" s="37">
        <v>1498</v>
      </c>
      <c r="U1808" s="39" t="s">
        <v>1864</v>
      </c>
      <c r="V1808" s="69" t="s">
        <v>272</v>
      </c>
      <c r="W1808" s="89" t="s">
        <v>169</v>
      </c>
      <c r="X1808" s="106" t="s">
        <v>296</v>
      </c>
      <c r="Y1808" s="107" t="s">
        <v>12</v>
      </c>
      <c r="Z1808" s="67">
        <f>IF(База_КР_КК[[#This Row],[Таб.номер резервиста]]="-","-",IF(OR(База_КР_КК[[#This Row],[Уровень КК]]=2,База_КР_КК[[#This Row],[Уровень КК]]=3),IF(COUNTIFS($U$2:$U1808,$U1808,$F$2:$F1808,$F1808)=1,1,0),IF(COUNTIFS($U$2:$U1808,$U1808,$L$2:$L1808,$L1808)=1,1,0)))</f>
        <v>0</v>
      </c>
      <c r="AA18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8" s="106"/>
      <c r="AC1808" s="51"/>
      <c r="AD1808" s="106" t="s">
        <v>15</v>
      </c>
      <c r="AE1808" s="38" t="s">
        <v>355</v>
      </c>
    </row>
    <row r="1809" spans="1:31" ht="18" customHeight="1" x14ac:dyDescent="0.25">
      <c r="A18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09" s="79">
        <v>4</v>
      </c>
      <c r="C1809" s="23">
        <v>44426</v>
      </c>
      <c r="D1809" s="67">
        <f>IF(COUNTIF($G$2:$G1809,$G1809)=1,1,0)</f>
        <v>0</v>
      </c>
      <c r="E1809" s="67" t="str">
        <f>IFERROR(VLOOKUP(База_КР_КК[[#This Row],[ИД штатной должности (S)]],'уровень защищенности'!$B$7:$F$1095,5,0),"не защищена")</f>
        <v>средний</v>
      </c>
      <c r="F1809" s="68">
        <v>500237</v>
      </c>
      <c r="G1809" s="74" t="s">
        <v>2573</v>
      </c>
      <c r="H1809" s="181">
        <f>INDEX('Списки данных'!$D$2:$D$1048576,MATCH(База_КР_КК[[#This Row],[Структурное подразделение]],'Списки данных'!$C$2:$C$1048576,0))</f>
        <v>11</v>
      </c>
      <c r="I1809" s="80" t="s">
        <v>169</v>
      </c>
      <c r="J1809" s="80" t="s">
        <v>220</v>
      </c>
      <c r="K1809" s="80" t="s">
        <v>21</v>
      </c>
      <c r="L1809" s="30" t="s">
        <v>191</v>
      </c>
      <c r="M1809" s="68">
        <v>7</v>
      </c>
      <c r="N1809" s="181" t="str">
        <f t="shared" si="29"/>
        <v>нет</v>
      </c>
      <c r="O1809" s="23"/>
      <c r="P1809" s="23"/>
      <c r="Q1809" s="106"/>
      <c r="R1809" s="37">
        <v>403</v>
      </c>
      <c r="S1809" s="38" t="s">
        <v>815</v>
      </c>
      <c r="T1809" s="37">
        <v>1499</v>
      </c>
      <c r="U1809" s="39" t="s">
        <v>1864</v>
      </c>
      <c r="V1809" s="69" t="s">
        <v>272</v>
      </c>
      <c r="W1809" s="89" t="s">
        <v>169</v>
      </c>
      <c r="X1809" s="106" t="s">
        <v>297</v>
      </c>
      <c r="Y1809" s="107" t="s">
        <v>12</v>
      </c>
      <c r="Z1809" s="67">
        <f>IF(База_КР_КК[[#This Row],[Таб.номер резервиста]]="-","-",IF(OR(База_КР_КК[[#This Row],[Уровень КК]]=2,База_КР_КК[[#This Row],[Уровень КК]]=3),IF(COUNTIFS($U$2:$U1809,$U1809,$F$2:$F1809,$F1809)=1,1,0),IF(COUNTIFS($U$2:$U1809,$U1809,$L$2:$L1809,$L1809)=1,1,0)))</f>
        <v>0</v>
      </c>
      <c r="AA18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09" s="106"/>
      <c r="AC1809" s="51"/>
      <c r="AD1809" s="106" t="s">
        <v>15</v>
      </c>
      <c r="AE1809" s="38" t="s">
        <v>355</v>
      </c>
    </row>
    <row r="1810" spans="1:31" ht="18" customHeight="1" x14ac:dyDescent="0.25">
      <c r="A18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0" s="79">
        <v>4</v>
      </c>
      <c r="C1810" s="23">
        <v>44888</v>
      </c>
      <c r="D1810" s="67">
        <f>IF(COUNTIF($G$2:$G1810,$G1810)=1,1,0)</f>
        <v>0</v>
      </c>
      <c r="E1810" s="67" t="str">
        <f>IFERROR(VLOOKUP(База_КР_КК[[#This Row],[ИД штатной должности (S)]],'уровень защищенности'!$B$7:$F$1095,5,0),"не защищена")</f>
        <v>средний</v>
      </c>
      <c r="F1810" s="68">
        <v>500237</v>
      </c>
      <c r="G1810" s="74" t="s">
        <v>2573</v>
      </c>
      <c r="H1810" s="181">
        <f>INDEX('Списки данных'!$D$2:$D$1048576,MATCH(База_КР_КК[[#This Row],[Структурное подразделение]],'Списки данных'!$C$2:$C$1048576,0))</f>
        <v>11</v>
      </c>
      <c r="I1810" s="80" t="s">
        <v>169</v>
      </c>
      <c r="J1810" s="80" t="s">
        <v>220</v>
      </c>
      <c r="K1810" s="80" t="s">
        <v>21</v>
      </c>
      <c r="L1810" s="30" t="s">
        <v>191</v>
      </c>
      <c r="M1810" s="68">
        <v>7</v>
      </c>
      <c r="N1810" s="181" t="str">
        <f t="shared" si="29"/>
        <v>нет</v>
      </c>
      <c r="O1810" s="23"/>
      <c r="P1810" s="23"/>
      <c r="Q1810" s="106"/>
      <c r="R1810" s="37">
        <v>403</v>
      </c>
      <c r="S1810" s="38" t="s">
        <v>815</v>
      </c>
      <c r="T1810" s="37">
        <v>1500</v>
      </c>
      <c r="U1810" s="38" t="s">
        <v>1582</v>
      </c>
      <c r="V1810" s="89" t="s">
        <v>272</v>
      </c>
      <c r="W1810" s="89" t="s">
        <v>169</v>
      </c>
      <c r="X1810" s="106" t="s">
        <v>296</v>
      </c>
      <c r="Y1810" s="107" t="s">
        <v>12</v>
      </c>
      <c r="Z1810" s="67">
        <f>IF(База_КР_КК[[#This Row],[Таб.номер резервиста]]="-","-",IF(OR(База_КР_КК[[#This Row],[Уровень КК]]=2,База_КР_КК[[#This Row],[Уровень КК]]=3),IF(COUNTIFS($U$2:$U1810,$U1810,$F$2:$F1810,$F1810)=1,1,0),IF(COUNTIFS($U$2:$U1810,$U1810,$L$2:$L1810,$L1810)=1,1,0)))</f>
        <v>0</v>
      </c>
      <c r="AA18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0" s="106"/>
      <c r="AC1810" s="51"/>
      <c r="AD1810" s="106" t="s">
        <v>15</v>
      </c>
      <c r="AE1810" s="38" t="s">
        <v>356</v>
      </c>
    </row>
    <row r="1811" spans="1:31" ht="18" customHeight="1" x14ac:dyDescent="0.25">
      <c r="A18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1" s="79">
        <v>4</v>
      </c>
      <c r="C1811" s="23">
        <v>44888</v>
      </c>
      <c r="D1811" s="67">
        <f>IF(COUNTIF($G$2:$G1811,$G1811)=1,1,0)</f>
        <v>0</v>
      </c>
      <c r="E1811" s="67" t="str">
        <f>IFERROR(VLOOKUP(База_КР_КК[[#This Row],[ИД штатной должности (S)]],'уровень защищенности'!$B$7:$F$1095,5,0),"не защищена")</f>
        <v>средний</v>
      </c>
      <c r="F1811" s="68">
        <v>500237</v>
      </c>
      <c r="G1811" s="74" t="s">
        <v>2573</v>
      </c>
      <c r="H1811" s="181">
        <f>INDEX('Списки данных'!$D$2:$D$1048576,MATCH(База_КР_КК[[#This Row],[Структурное подразделение]],'Списки данных'!$C$2:$C$1048576,0))</f>
        <v>11</v>
      </c>
      <c r="I1811" s="80" t="s">
        <v>169</v>
      </c>
      <c r="J1811" s="80" t="s">
        <v>220</v>
      </c>
      <c r="K1811" s="80" t="s">
        <v>21</v>
      </c>
      <c r="L1811" s="30" t="s">
        <v>191</v>
      </c>
      <c r="M1811" s="68">
        <v>7</v>
      </c>
      <c r="N1811" s="181" t="str">
        <f t="shared" si="29"/>
        <v>нет</v>
      </c>
      <c r="O1811" s="23"/>
      <c r="P1811" s="23"/>
      <c r="Q1811" s="106"/>
      <c r="R1811" s="37">
        <v>403</v>
      </c>
      <c r="S1811" s="38" t="s">
        <v>815</v>
      </c>
      <c r="T1811" s="37">
        <v>1501</v>
      </c>
      <c r="U1811" s="38" t="s">
        <v>1865</v>
      </c>
      <c r="V1811" s="89" t="s">
        <v>272</v>
      </c>
      <c r="W1811" s="89" t="s">
        <v>169</v>
      </c>
      <c r="X1811" s="106" t="s">
        <v>296</v>
      </c>
      <c r="Y1811" s="107" t="s">
        <v>12</v>
      </c>
      <c r="Z1811" s="67">
        <f>IF(База_КР_КК[[#This Row],[Таб.номер резервиста]]="-","-",IF(OR(База_КР_КК[[#This Row],[Уровень КК]]=2,База_КР_КК[[#This Row],[Уровень КК]]=3),IF(COUNTIFS($U$2:$U1811,$U1811,$F$2:$F1811,$F1811)=1,1,0),IF(COUNTIFS($U$2:$U1811,$U1811,$L$2:$L1811,$L1811)=1,1,0)))</f>
        <v>0</v>
      </c>
      <c r="AA18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1" s="106"/>
      <c r="AC1811" s="51"/>
      <c r="AD1811" s="106" t="s">
        <v>15</v>
      </c>
      <c r="AE1811" s="38" t="s">
        <v>356</v>
      </c>
    </row>
    <row r="1812" spans="1:31" ht="18" customHeight="1" x14ac:dyDescent="0.25">
      <c r="A18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2" s="79">
        <v>4</v>
      </c>
      <c r="C1812" s="23">
        <v>44888</v>
      </c>
      <c r="D1812" s="67">
        <f>IF(COUNTIF($G$2:$G1812,$G1812)=1,1,0)</f>
        <v>0</v>
      </c>
      <c r="E1812" s="67" t="str">
        <f>IFERROR(VLOOKUP(База_КР_КК[[#This Row],[ИД штатной должности (S)]],'уровень защищенности'!$B$7:$F$1095,5,0),"не защищена")</f>
        <v>средний</v>
      </c>
      <c r="F1812" s="68">
        <v>500237</v>
      </c>
      <c r="G1812" s="74" t="s">
        <v>2573</v>
      </c>
      <c r="H1812" s="181">
        <f>INDEX('Списки данных'!$D$2:$D$1048576,MATCH(База_КР_КК[[#This Row],[Структурное подразделение]],'Списки данных'!$C$2:$C$1048576,0))</f>
        <v>11</v>
      </c>
      <c r="I1812" s="80" t="s">
        <v>169</v>
      </c>
      <c r="J1812" s="80" t="s">
        <v>220</v>
      </c>
      <c r="K1812" s="80" t="s">
        <v>21</v>
      </c>
      <c r="L1812" s="30" t="s">
        <v>191</v>
      </c>
      <c r="M1812" s="68">
        <v>7</v>
      </c>
      <c r="N1812" s="181" t="str">
        <f t="shared" si="29"/>
        <v>нет</v>
      </c>
      <c r="O1812" s="23"/>
      <c r="P1812" s="23"/>
      <c r="Q1812" s="106"/>
      <c r="R1812" s="37">
        <v>403</v>
      </c>
      <c r="S1812" s="38" t="s">
        <v>815</v>
      </c>
      <c r="T1812" s="37">
        <v>1502</v>
      </c>
      <c r="U1812" s="38" t="s">
        <v>1866</v>
      </c>
      <c r="V1812" s="89" t="s">
        <v>272</v>
      </c>
      <c r="W1812" s="89" t="s">
        <v>169</v>
      </c>
      <c r="X1812" s="106" t="s">
        <v>296</v>
      </c>
      <c r="Y1812" s="107" t="s">
        <v>12</v>
      </c>
      <c r="Z1812" s="67">
        <f>IF(База_КР_КК[[#This Row],[Таб.номер резервиста]]="-","-",IF(OR(База_КР_КК[[#This Row],[Уровень КК]]=2,База_КР_КК[[#This Row],[Уровень КК]]=3),IF(COUNTIFS($U$2:$U1812,$U1812,$F$2:$F1812,$F1812)=1,1,0),IF(COUNTIFS($U$2:$U1812,$U1812,$L$2:$L1812,$L1812)=1,1,0)))</f>
        <v>0</v>
      </c>
      <c r="AA18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2" s="106"/>
      <c r="AC1812" s="51"/>
      <c r="AD1812" s="106" t="s">
        <v>15</v>
      </c>
      <c r="AE1812" s="38" t="s">
        <v>356</v>
      </c>
    </row>
    <row r="1813" spans="1:31" ht="18" customHeight="1" x14ac:dyDescent="0.25">
      <c r="A18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3" s="79">
        <v>4</v>
      </c>
      <c r="C1813" s="23">
        <v>44426</v>
      </c>
      <c r="D1813" s="67">
        <f>IF(COUNTIF($G$2:$G1813,$G1813)=1,1,0)</f>
        <v>0</v>
      </c>
      <c r="E1813" s="67" t="str">
        <f>IFERROR(VLOOKUP(База_КР_КК[[#This Row],[ИД штатной должности (S)]],'уровень защищенности'!$B$7:$F$1095,5,0),"не защищена")</f>
        <v>средний</v>
      </c>
      <c r="F1813" s="68">
        <v>500237</v>
      </c>
      <c r="G1813" s="74" t="s">
        <v>2573</v>
      </c>
      <c r="H1813" s="181">
        <f>INDEX('Списки данных'!$D$2:$D$1048576,MATCH(База_КР_КК[[#This Row],[Структурное подразделение]],'Списки данных'!$C$2:$C$1048576,0))</f>
        <v>11</v>
      </c>
      <c r="I1813" s="80" t="s">
        <v>169</v>
      </c>
      <c r="J1813" s="80" t="s">
        <v>220</v>
      </c>
      <c r="K1813" s="80" t="s">
        <v>21</v>
      </c>
      <c r="L1813" s="30" t="s">
        <v>191</v>
      </c>
      <c r="M1813" s="68">
        <v>7</v>
      </c>
      <c r="N1813" s="181" t="str">
        <f t="shared" si="29"/>
        <v>нет</v>
      </c>
      <c r="O1813" s="23"/>
      <c r="P1813" s="23"/>
      <c r="Q1813" s="106"/>
      <c r="R1813" s="37">
        <v>403</v>
      </c>
      <c r="S1813" s="38" t="s">
        <v>815</v>
      </c>
      <c r="T1813" s="37">
        <v>402</v>
      </c>
      <c r="U1813" s="39" t="s">
        <v>814</v>
      </c>
      <c r="V1813" s="69" t="s">
        <v>272</v>
      </c>
      <c r="W1813" s="89" t="s">
        <v>169</v>
      </c>
      <c r="X1813" s="106" t="s">
        <v>297</v>
      </c>
      <c r="Y1813" s="107" t="s">
        <v>14</v>
      </c>
      <c r="Z1813" s="67">
        <f>IF(База_КР_КК[[#This Row],[Таб.номер резервиста]]="-","-",IF(OR(База_КР_КК[[#This Row],[Уровень КК]]=2,База_КР_КК[[#This Row],[Уровень КК]]=3),IF(COUNTIFS($U$2:$U1813,$U1813,$F$2:$F1813,$F1813)=1,1,0),IF(COUNTIFS($U$2:$U1813,$U1813,$L$2:$L1813,$L1813)=1,1,0)))</f>
        <v>0</v>
      </c>
      <c r="AA18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3" s="106" t="s">
        <v>24</v>
      </c>
      <c r="AC1813" s="51">
        <v>44763</v>
      </c>
      <c r="AD1813" s="106" t="s">
        <v>15</v>
      </c>
      <c r="AE1813" s="38" t="s">
        <v>355</v>
      </c>
    </row>
    <row r="1814" spans="1:31" ht="18" customHeight="1" x14ac:dyDescent="0.25">
      <c r="A18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4" s="79">
        <v>4</v>
      </c>
      <c r="C1814" s="23">
        <v>44426</v>
      </c>
      <c r="D1814" s="67">
        <f>IF(COUNTIF($G$2:$G1814,$G1814)=1,1,0)</f>
        <v>0</v>
      </c>
      <c r="E1814" s="67" t="str">
        <f>IFERROR(VLOOKUP(База_КР_КК[[#This Row],[ИД штатной должности (S)]],'уровень защищенности'!$B$7:$F$1095,5,0),"не защищена")</f>
        <v>средний</v>
      </c>
      <c r="F1814" s="68">
        <v>500237</v>
      </c>
      <c r="G1814" s="74" t="s">
        <v>2573</v>
      </c>
      <c r="H1814" s="181">
        <f>INDEX('Списки данных'!$D$2:$D$1048576,MATCH(База_КР_КК[[#This Row],[Структурное подразделение]],'Списки данных'!$C$2:$C$1048576,0))</f>
        <v>11</v>
      </c>
      <c r="I1814" s="80" t="s">
        <v>169</v>
      </c>
      <c r="J1814" s="80" t="s">
        <v>220</v>
      </c>
      <c r="K1814" s="80" t="s">
        <v>21</v>
      </c>
      <c r="L1814" s="30" t="s">
        <v>191</v>
      </c>
      <c r="M1814" s="68">
        <v>7</v>
      </c>
      <c r="N1814" s="181" t="str">
        <f t="shared" si="29"/>
        <v>нет</v>
      </c>
      <c r="O1814" s="23"/>
      <c r="P1814" s="23"/>
      <c r="Q1814" s="106"/>
      <c r="R1814" s="37">
        <v>403</v>
      </c>
      <c r="S1814" s="38" t="s">
        <v>815</v>
      </c>
      <c r="T1814" s="37">
        <v>461</v>
      </c>
      <c r="U1814" s="38" t="s">
        <v>873</v>
      </c>
      <c r="V1814" s="89" t="s">
        <v>192</v>
      </c>
      <c r="W1814" s="89" t="s">
        <v>169</v>
      </c>
      <c r="X1814" s="106" t="s">
        <v>295</v>
      </c>
      <c r="Y1814" s="107" t="s">
        <v>18</v>
      </c>
      <c r="Z1814" s="67">
        <f>IF(База_КР_КК[[#This Row],[Таб.номер резервиста]]="-","-",IF(OR(База_КР_КК[[#This Row],[Уровень КК]]=2,База_КР_КК[[#This Row],[Уровень КК]]=3),IF(COUNTIFS($U$2:$U1814,$U1814,$F$2:$F1814,$F1814)=1,1,0),IF(COUNTIFS($U$2:$U1814,$U1814,$L$2:$L1814,$L1814)=1,1,0)))</f>
        <v>0</v>
      </c>
      <c r="AA18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4" s="106" t="s">
        <v>37</v>
      </c>
      <c r="AC1814" s="51">
        <v>44888</v>
      </c>
      <c r="AD1814" s="106" t="s">
        <v>15</v>
      </c>
      <c r="AE1814" s="38" t="s">
        <v>355</v>
      </c>
    </row>
    <row r="1815" spans="1:31" ht="18" customHeight="1" x14ac:dyDescent="0.25">
      <c r="A18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5" s="79">
        <v>3</v>
      </c>
      <c r="C1815" s="23">
        <v>43174</v>
      </c>
      <c r="D1815" s="67">
        <f>IF(COUNTIF($G$2:$G1815,$G1815)=1,1,0)</f>
        <v>1</v>
      </c>
      <c r="E1815" s="67" t="str">
        <f>IFERROR(VLOOKUP(База_КР_КК[[#This Row],[ИД штатной должности (S)]],'уровень защищенности'!$B$7:$F$1095,5,0),"не защищена")</f>
        <v>не защищена</v>
      </c>
      <c r="F1815" s="68">
        <v>500231</v>
      </c>
      <c r="G1815" s="74" t="s">
        <v>2574</v>
      </c>
      <c r="H1815" s="181">
        <f>INDEX('Списки данных'!$D$2:$D$1048576,MATCH(База_КР_КК[[#This Row],[Структурное подразделение]],'Списки данных'!$C$2:$C$1048576,0))</f>
        <v>11</v>
      </c>
      <c r="I1815" s="80" t="s">
        <v>169</v>
      </c>
      <c r="J1815" s="80" t="s">
        <v>220</v>
      </c>
      <c r="K1815" s="80" t="s">
        <v>21</v>
      </c>
      <c r="L1815" s="30" t="s">
        <v>198</v>
      </c>
      <c r="M1815" s="68">
        <v>6</v>
      </c>
      <c r="N1815" s="181" t="str">
        <f t="shared" si="29"/>
        <v>да</v>
      </c>
      <c r="O1815" s="23">
        <v>43862</v>
      </c>
      <c r="P1815" s="23">
        <v>43862</v>
      </c>
      <c r="Q1815" s="106" t="s">
        <v>65</v>
      </c>
      <c r="R1815" s="37">
        <v>404</v>
      </c>
      <c r="S1815" s="38" t="s">
        <v>816</v>
      </c>
      <c r="T1815" s="37">
        <v>1503</v>
      </c>
      <c r="U1815" s="39" t="s">
        <v>1867</v>
      </c>
      <c r="V1815" s="89" t="s">
        <v>192</v>
      </c>
      <c r="W1815" s="80" t="s">
        <v>169</v>
      </c>
      <c r="X1815" s="106" t="s">
        <v>297</v>
      </c>
      <c r="Y1815" s="107" t="s">
        <v>18</v>
      </c>
      <c r="Z1815" s="67">
        <f>IF(База_КР_КК[[#This Row],[Таб.номер резервиста]]="-","-",IF(OR(База_КР_КК[[#This Row],[Уровень КК]]=2,База_КР_КК[[#This Row],[Уровень КК]]=3),IF(COUNTIFS($U$2:$U1815,$U1815,$F$2:$F1815,$F1815)=1,1,0),IF(COUNTIFS($U$2:$U1815,$U1815,$L$2:$L1815,$L1815)=1,1,0)))</f>
        <v>1</v>
      </c>
      <c r="AA18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5" s="106" t="s">
        <v>38</v>
      </c>
      <c r="AC1815" s="51">
        <v>43585</v>
      </c>
      <c r="AD1815" s="106" t="s">
        <v>31</v>
      </c>
      <c r="AE1815" s="38" t="s">
        <v>354</v>
      </c>
    </row>
    <row r="1816" spans="1:31" ht="18" customHeight="1" x14ac:dyDescent="0.25">
      <c r="A18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6" s="79">
        <v>3</v>
      </c>
      <c r="C1816" s="23">
        <v>43174</v>
      </c>
      <c r="D1816" s="67">
        <f>IF(COUNTIF($G$2:$G1816,$G1816)=1,1,0)</f>
        <v>0</v>
      </c>
      <c r="E1816" s="67" t="str">
        <f>IFERROR(VLOOKUP(База_КР_КК[[#This Row],[ИД штатной должности (S)]],'уровень защищенности'!$B$7:$F$1095,5,0),"не защищена")</f>
        <v>не защищена</v>
      </c>
      <c r="F1816" s="68">
        <v>500231</v>
      </c>
      <c r="G1816" s="74" t="s">
        <v>2574</v>
      </c>
      <c r="H1816" s="181">
        <f>INDEX('Списки данных'!$D$2:$D$1048576,MATCH(База_КР_КК[[#This Row],[Структурное подразделение]],'Списки данных'!$C$2:$C$1048576,0))</f>
        <v>11</v>
      </c>
      <c r="I1816" s="80" t="s">
        <v>169</v>
      </c>
      <c r="J1816" s="80" t="s">
        <v>220</v>
      </c>
      <c r="K1816" s="80" t="s">
        <v>21</v>
      </c>
      <c r="L1816" s="30" t="s">
        <v>198</v>
      </c>
      <c r="M1816" s="68">
        <v>6</v>
      </c>
      <c r="N1816" s="181" t="str">
        <f t="shared" si="29"/>
        <v>да</v>
      </c>
      <c r="O1816" s="23">
        <v>43862</v>
      </c>
      <c r="P1816" s="23">
        <v>43862</v>
      </c>
      <c r="Q1816" s="106" t="s">
        <v>65</v>
      </c>
      <c r="R1816" s="37">
        <v>404</v>
      </c>
      <c r="S1816" s="38" t="s">
        <v>816</v>
      </c>
      <c r="T1816" s="37">
        <v>1504</v>
      </c>
      <c r="U1816" s="39" t="s">
        <v>1868</v>
      </c>
      <c r="V1816" s="89" t="s">
        <v>189</v>
      </c>
      <c r="W1816" s="80" t="s">
        <v>169</v>
      </c>
      <c r="X1816" s="106" t="s">
        <v>297</v>
      </c>
      <c r="Y1816" s="107" t="s">
        <v>18</v>
      </c>
      <c r="Z1816" s="67">
        <f>IF(База_КР_КК[[#This Row],[Таб.номер резервиста]]="-","-",IF(OR(База_КР_КК[[#This Row],[Уровень КК]]=2,База_КР_КК[[#This Row],[Уровень КК]]=3),IF(COUNTIFS($U$2:$U1816,$U1816,$F$2:$F1816,$F1816)=1,1,0),IF(COUNTIFS($U$2:$U1816,$U1816,$L$2:$L1816,$L1816)=1,1,0)))</f>
        <v>1</v>
      </c>
      <c r="AA18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6" s="106" t="s">
        <v>38</v>
      </c>
      <c r="AC1816" s="51">
        <v>44447</v>
      </c>
      <c r="AD1816" s="106" t="s">
        <v>31</v>
      </c>
      <c r="AE1816" s="38" t="s">
        <v>353</v>
      </c>
    </row>
    <row r="1817" spans="1:31" ht="18" customHeight="1" x14ac:dyDescent="0.25">
      <c r="A18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7" s="79">
        <v>4</v>
      </c>
      <c r="C1817" s="23">
        <v>44425</v>
      </c>
      <c r="D1817" s="67">
        <f>IF(COUNTIF($G$2:$G1817,$G1817)=1,1,0)</f>
        <v>1</v>
      </c>
      <c r="E1817" s="67" t="str">
        <f>IFERROR(VLOOKUP(База_КР_КК[[#This Row],[ИД штатной должности (S)]],'уровень защищенности'!$B$7:$F$1095,5,0),"не защищена")</f>
        <v>средний</v>
      </c>
      <c r="F1817" s="68">
        <v>500260</v>
      </c>
      <c r="G1817" s="74" t="s">
        <v>2575</v>
      </c>
      <c r="H1817" s="181">
        <f>INDEX('Списки данных'!$D$2:$D$1048576,MATCH(База_КР_КК[[#This Row],[Структурное подразделение]],'Списки данных'!$C$2:$C$1048576,0))</f>
        <v>13</v>
      </c>
      <c r="I1817" s="80" t="s">
        <v>173</v>
      </c>
      <c r="J1817" s="80" t="s">
        <v>212</v>
      </c>
      <c r="K1817" s="80" t="s">
        <v>21</v>
      </c>
      <c r="L1817" s="30" t="s">
        <v>191</v>
      </c>
      <c r="M1817" s="68">
        <v>7</v>
      </c>
      <c r="N1817" s="181" t="str">
        <f t="shared" si="29"/>
        <v>нет</v>
      </c>
      <c r="O1817" s="23"/>
      <c r="P1817" s="23"/>
      <c r="Q1817" s="106"/>
      <c r="R1817" s="37">
        <v>405</v>
      </c>
      <c r="S1817" s="38" t="s">
        <v>817</v>
      </c>
      <c r="T1817" s="37">
        <v>1505</v>
      </c>
      <c r="U1817" s="39" t="s">
        <v>1869</v>
      </c>
      <c r="V1817" s="69" t="s">
        <v>272</v>
      </c>
      <c r="W1817" s="89" t="s">
        <v>173</v>
      </c>
      <c r="X1817" s="106" t="s">
        <v>297</v>
      </c>
      <c r="Y1817" s="107" t="s">
        <v>12</v>
      </c>
      <c r="Z1817" s="67">
        <f>IF(База_КР_КК[[#This Row],[Таб.номер резервиста]]="-","-",IF(OR(База_КР_КК[[#This Row],[Уровень КК]]=2,База_КР_КК[[#This Row],[Уровень КК]]=3),IF(COUNTIFS($U$2:$U1817,$U1817,$F$2:$F1817,$F1817)=1,1,0),IF(COUNTIFS($U$2:$U1817,$U1817,$L$2:$L1817,$L1817)=1,1,0)))</f>
        <v>1</v>
      </c>
      <c r="AA18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7" s="106"/>
      <c r="AC1817" s="51"/>
      <c r="AD1817" s="106" t="s">
        <v>15</v>
      </c>
      <c r="AE1817" s="38" t="s">
        <v>343</v>
      </c>
    </row>
    <row r="1818" spans="1:31" ht="18" customHeight="1" x14ac:dyDescent="0.25">
      <c r="A18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8" s="79">
        <v>4</v>
      </c>
      <c r="C1818" s="23">
        <v>44425</v>
      </c>
      <c r="D1818" s="67">
        <f>IF(COUNTIF($G$2:$G1818,$G1818)=1,1,0)</f>
        <v>0</v>
      </c>
      <c r="E1818" s="67" t="str">
        <f>IFERROR(VLOOKUP(База_КР_КК[[#This Row],[ИД штатной должности (S)]],'уровень защищенности'!$B$7:$F$1095,5,0),"не защищена")</f>
        <v>средний</v>
      </c>
      <c r="F1818" s="68">
        <v>500260</v>
      </c>
      <c r="G1818" s="74" t="s">
        <v>2575</v>
      </c>
      <c r="H1818" s="181">
        <f>INDEX('Списки данных'!$D$2:$D$1048576,MATCH(База_КР_КК[[#This Row],[Структурное подразделение]],'Списки данных'!$C$2:$C$1048576,0))</f>
        <v>13</v>
      </c>
      <c r="I1818" s="80" t="s">
        <v>173</v>
      </c>
      <c r="J1818" s="80" t="s">
        <v>212</v>
      </c>
      <c r="K1818" s="80" t="s">
        <v>21</v>
      </c>
      <c r="L1818" s="30" t="s">
        <v>191</v>
      </c>
      <c r="M1818" s="68">
        <v>7</v>
      </c>
      <c r="N1818" s="181" t="str">
        <f t="shared" si="29"/>
        <v>нет</v>
      </c>
      <c r="O1818" s="23"/>
      <c r="P1818" s="23"/>
      <c r="Q1818" s="106"/>
      <c r="R1818" s="37">
        <v>405</v>
      </c>
      <c r="S1818" s="38" t="s">
        <v>817</v>
      </c>
      <c r="T1818" s="37">
        <v>1506</v>
      </c>
      <c r="U1818" s="39" t="s">
        <v>1870</v>
      </c>
      <c r="V1818" s="69" t="s">
        <v>272</v>
      </c>
      <c r="W1818" s="89" t="s">
        <v>173</v>
      </c>
      <c r="X1818" s="106" t="s">
        <v>297</v>
      </c>
      <c r="Y1818" s="107" t="s">
        <v>12</v>
      </c>
      <c r="Z1818" s="67">
        <f>IF(База_КР_КК[[#This Row],[Таб.номер резервиста]]="-","-",IF(OR(База_КР_КК[[#This Row],[Уровень КК]]=2,База_КР_КК[[#This Row],[Уровень КК]]=3),IF(COUNTIFS($U$2:$U1818,$U1818,$F$2:$F1818,$F1818)=1,1,0),IF(COUNTIFS($U$2:$U1818,$U1818,$L$2:$L1818,$L1818)=1,1,0)))</f>
        <v>1</v>
      </c>
      <c r="AA18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8" s="106"/>
      <c r="AC1818" s="51"/>
      <c r="AD1818" s="106" t="s">
        <v>15</v>
      </c>
      <c r="AE1818" s="38" t="s">
        <v>343</v>
      </c>
    </row>
    <row r="1819" spans="1:31" ht="18" customHeight="1" x14ac:dyDescent="0.25">
      <c r="A18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19" s="79">
        <v>4</v>
      </c>
      <c r="C1819" s="23">
        <v>44425</v>
      </c>
      <c r="D1819" s="67">
        <f>IF(COUNTIF($G$2:$G1819,$G1819)=1,1,0)</f>
        <v>0</v>
      </c>
      <c r="E1819" s="67" t="str">
        <f>IFERROR(VLOOKUP(База_КР_КК[[#This Row],[ИД штатной должности (S)]],'уровень защищенности'!$B$7:$F$1095,5,0),"не защищена")</f>
        <v>средний</v>
      </c>
      <c r="F1819" s="68">
        <v>500260</v>
      </c>
      <c r="G1819" s="74" t="s">
        <v>2575</v>
      </c>
      <c r="H1819" s="181">
        <f>INDEX('Списки данных'!$D$2:$D$1048576,MATCH(База_КР_КК[[#This Row],[Структурное подразделение]],'Списки данных'!$C$2:$C$1048576,0))</f>
        <v>13</v>
      </c>
      <c r="I1819" s="80" t="s">
        <v>173</v>
      </c>
      <c r="J1819" s="80" t="s">
        <v>212</v>
      </c>
      <c r="K1819" s="80" t="s">
        <v>21</v>
      </c>
      <c r="L1819" s="30" t="s">
        <v>191</v>
      </c>
      <c r="M1819" s="68">
        <v>7</v>
      </c>
      <c r="N1819" s="181" t="str">
        <f t="shared" si="29"/>
        <v>нет</v>
      </c>
      <c r="O1819" s="23"/>
      <c r="P1819" s="23"/>
      <c r="Q1819" s="106"/>
      <c r="R1819" s="37">
        <v>405</v>
      </c>
      <c r="S1819" s="38" t="s">
        <v>817</v>
      </c>
      <c r="T1819" s="37">
        <v>419</v>
      </c>
      <c r="U1819" s="39" t="s">
        <v>831</v>
      </c>
      <c r="V1819" s="69" t="s">
        <v>272</v>
      </c>
      <c r="W1819" s="89" t="s">
        <v>173</v>
      </c>
      <c r="X1819" s="106" t="s">
        <v>295</v>
      </c>
      <c r="Y1819" s="107" t="s">
        <v>14</v>
      </c>
      <c r="Z1819" s="67">
        <f>IF(База_КР_КК[[#This Row],[Таб.номер резервиста]]="-","-",IF(OR(База_КР_КК[[#This Row],[Уровень КК]]=2,База_КР_КК[[#This Row],[Уровень КК]]=3),IF(COUNTIFS($U$2:$U1819,$U1819,$F$2:$F1819,$F1819)=1,1,0),IF(COUNTIFS($U$2:$U1819,$U1819,$L$2:$L1819,$L1819)=1,1,0)))</f>
        <v>1</v>
      </c>
      <c r="AA18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19" s="106" t="s">
        <v>24</v>
      </c>
      <c r="AC1819" s="51">
        <v>44815</v>
      </c>
      <c r="AD1819" s="106" t="s">
        <v>15</v>
      </c>
      <c r="AE1819" s="38" t="s">
        <v>343</v>
      </c>
    </row>
    <row r="1820" spans="1:31" ht="18" customHeight="1" x14ac:dyDescent="0.25">
      <c r="A18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0" s="79">
        <v>4</v>
      </c>
      <c r="C1820" s="23">
        <v>44825</v>
      </c>
      <c r="D1820" s="67">
        <f>IF(COUNTIF($G$2:$G1820,$G1820)=1,1,0)</f>
        <v>0</v>
      </c>
      <c r="E1820" s="67" t="str">
        <f>IFERROR(VLOOKUP(База_КР_КК[[#This Row],[ИД штатной должности (S)]],'уровень защищенности'!$B$7:$F$1095,5,0),"не защищена")</f>
        <v>средний</v>
      </c>
      <c r="F1820" s="68">
        <v>500260</v>
      </c>
      <c r="G1820" s="74" t="s">
        <v>2575</v>
      </c>
      <c r="H1820" s="181">
        <f>INDEX('Списки данных'!$D$2:$D$1048576,MATCH(База_КР_КК[[#This Row],[Структурное подразделение]],'Списки данных'!$C$2:$C$1048576,0))</f>
        <v>13</v>
      </c>
      <c r="I1820" s="80" t="s">
        <v>173</v>
      </c>
      <c r="J1820" s="80" t="s">
        <v>212</v>
      </c>
      <c r="K1820" s="80" t="s">
        <v>21</v>
      </c>
      <c r="L1820" s="30" t="s">
        <v>191</v>
      </c>
      <c r="M1820" s="68">
        <v>7</v>
      </c>
      <c r="N1820" s="181" t="str">
        <f t="shared" si="29"/>
        <v>нет</v>
      </c>
      <c r="O1820" s="23"/>
      <c r="P1820" s="23"/>
      <c r="Q1820" s="106"/>
      <c r="R1820" s="37">
        <v>405</v>
      </c>
      <c r="S1820" s="38" t="s">
        <v>817</v>
      </c>
      <c r="T1820" s="37">
        <v>418</v>
      </c>
      <c r="U1820" s="39" t="s">
        <v>830</v>
      </c>
      <c r="V1820" s="69" t="s">
        <v>192</v>
      </c>
      <c r="W1820" s="89" t="s">
        <v>173</v>
      </c>
      <c r="X1820" s="106" t="s">
        <v>295</v>
      </c>
      <c r="Y1820" s="107" t="s">
        <v>14</v>
      </c>
      <c r="Z1820" s="67">
        <f>IF(База_КР_КК[[#This Row],[Таб.номер резервиста]]="-","-",IF(OR(База_КР_КК[[#This Row],[Уровень КК]]=2,База_КР_КК[[#This Row],[Уровень КК]]=3),IF(COUNTIFS($U$2:$U1820,$U1820,$F$2:$F1820,$F1820)=1,1,0),IF(COUNTIFS($U$2:$U1820,$U1820,$L$2:$L1820,$L1820)=1,1,0)))</f>
        <v>1</v>
      </c>
      <c r="AA18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0" s="106" t="s">
        <v>24</v>
      </c>
      <c r="AC1820" s="51">
        <v>44870</v>
      </c>
      <c r="AD1820" s="106" t="s">
        <v>15</v>
      </c>
      <c r="AE1820" s="38" t="s">
        <v>357</v>
      </c>
    </row>
    <row r="1821" spans="1:31" ht="18" customHeight="1" x14ac:dyDescent="0.25">
      <c r="A18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1" s="79">
        <v>4</v>
      </c>
      <c r="C1821" s="23">
        <v>44425</v>
      </c>
      <c r="D1821" s="67">
        <f>IF(COUNTIF($G$2:$G1821,$G1821)=1,1,0)</f>
        <v>0</v>
      </c>
      <c r="E1821" s="67" t="str">
        <f>IFERROR(VLOOKUP(База_КР_КК[[#This Row],[ИД штатной должности (S)]],'уровень защищенности'!$B$7:$F$1095,5,0),"не защищена")</f>
        <v>средний</v>
      </c>
      <c r="F1821" s="68">
        <v>500260</v>
      </c>
      <c r="G1821" s="74" t="s">
        <v>2575</v>
      </c>
      <c r="H1821" s="181">
        <f>INDEX('Списки данных'!$D$2:$D$1048576,MATCH(База_КР_КК[[#This Row],[Структурное подразделение]],'Списки данных'!$C$2:$C$1048576,0))</f>
        <v>13</v>
      </c>
      <c r="I1821" s="80" t="s">
        <v>173</v>
      </c>
      <c r="J1821" s="80" t="s">
        <v>212</v>
      </c>
      <c r="K1821" s="80" t="s">
        <v>21</v>
      </c>
      <c r="L1821" s="30" t="s">
        <v>191</v>
      </c>
      <c r="M1821" s="68">
        <v>7</v>
      </c>
      <c r="N1821" s="181" t="str">
        <f t="shared" si="29"/>
        <v>нет</v>
      </c>
      <c r="O1821" s="23"/>
      <c r="P1821" s="23"/>
      <c r="Q1821" s="106"/>
      <c r="R1821" s="37">
        <v>405</v>
      </c>
      <c r="S1821" s="38" t="s">
        <v>817</v>
      </c>
      <c r="T1821" s="37">
        <v>1507</v>
      </c>
      <c r="U1821" s="39" t="s">
        <v>1871</v>
      </c>
      <c r="V1821" s="69" t="s">
        <v>272</v>
      </c>
      <c r="W1821" s="89" t="s">
        <v>173</v>
      </c>
      <c r="X1821" s="106" t="s">
        <v>296</v>
      </c>
      <c r="Y1821" s="107" t="s">
        <v>18</v>
      </c>
      <c r="Z1821" s="67">
        <f>IF(База_КР_КК[[#This Row],[Таб.номер резервиста]]="-","-",IF(OR(База_КР_КК[[#This Row],[Уровень КК]]=2,База_КР_КК[[#This Row],[Уровень КК]]=3),IF(COUNTIFS($U$2:$U1821,$U1821,$F$2:$F1821,$F1821)=1,1,0),IF(COUNTIFS($U$2:$U1821,$U1821,$L$2:$L1821,$L1821)=1,1,0)))</f>
        <v>1</v>
      </c>
      <c r="AA18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1" s="106" t="s">
        <v>38</v>
      </c>
      <c r="AC1821" s="51">
        <v>44890</v>
      </c>
      <c r="AD1821" s="106" t="s">
        <v>31</v>
      </c>
      <c r="AE1821" s="38" t="s">
        <v>344</v>
      </c>
    </row>
    <row r="1822" spans="1:31" ht="18" customHeight="1" x14ac:dyDescent="0.25">
      <c r="A18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2" s="79">
        <v>4</v>
      </c>
      <c r="C1822" s="23">
        <v>44425</v>
      </c>
      <c r="D1822" s="67">
        <f>IF(COUNTIF($G$2:$G1822,$G1822)=1,1,0)</f>
        <v>1</v>
      </c>
      <c r="E1822" s="67" t="str">
        <f>IFERROR(VLOOKUP(База_КР_КК[[#This Row],[ИД штатной должности (S)]],'уровень защищенности'!$B$7:$F$1095,5,0),"не защищена")</f>
        <v>средний</v>
      </c>
      <c r="F1822" s="68">
        <v>500269</v>
      </c>
      <c r="G1822" s="74" t="s">
        <v>2576</v>
      </c>
      <c r="H1822" s="181">
        <f>INDEX('Списки данных'!$D$2:$D$1048576,MATCH(База_КР_КК[[#This Row],[Структурное подразделение]],'Списки данных'!$C$2:$C$1048576,0))</f>
        <v>13</v>
      </c>
      <c r="I1822" s="80" t="s">
        <v>173</v>
      </c>
      <c r="J1822" s="80" t="s">
        <v>212</v>
      </c>
      <c r="K1822" s="80" t="s">
        <v>213</v>
      </c>
      <c r="L1822" s="30" t="s">
        <v>192</v>
      </c>
      <c r="M1822" s="68">
        <v>7</v>
      </c>
      <c r="N1822" s="181" t="str">
        <f t="shared" si="29"/>
        <v>да</v>
      </c>
      <c r="O1822" s="23">
        <v>44621</v>
      </c>
      <c r="P1822" s="23">
        <v>44692</v>
      </c>
      <c r="Q1822" s="106" t="s">
        <v>66</v>
      </c>
      <c r="R1822" s="37">
        <v>406</v>
      </c>
      <c r="S1822" s="39" t="s">
        <v>818</v>
      </c>
      <c r="T1822" s="37">
        <v>1508</v>
      </c>
      <c r="U1822" s="39" t="s">
        <v>1872</v>
      </c>
      <c r="V1822" s="69" t="s">
        <v>272</v>
      </c>
      <c r="W1822" s="89" t="s">
        <v>173</v>
      </c>
      <c r="X1822" s="106" t="s">
        <v>297</v>
      </c>
      <c r="Y1822" s="107" t="s">
        <v>12</v>
      </c>
      <c r="Z1822" s="67">
        <f>IF(База_КР_КК[[#This Row],[Таб.номер резервиста]]="-","-",IF(OR(База_КР_КК[[#This Row],[Уровень КК]]=2,База_КР_КК[[#This Row],[Уровень КК]]=3),IF(COUNTIFS($U$2:$U1822,$U1822,$F$2:$F1822,$F1822)=1,1,0),IF(COUNTIFS($U$2:$U1822,$U1822,$L$2:$L1822,$L1822)=1,1,0)))</f>
        <v>1</v>
      </c>
      <c r="AA18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2" s="106"/>
      <c r="AC1822" s="51"/>
      <c r="AD1822" s="106" t="s">
        <v>15</v>
      </c>
      <c r="AE1822" s="38" t="s">
        <v>344</v>
      </c>
    </row>
    <row r="1823" spans="1:31" ht="18" customHeight="1" x14ac:dyDescent="0.25">
      <c r="A18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3" s="79">
        <v>4</v>
      </c>
      <c r="C1823" s="23">
        <v>44425</v>
      </c>
      <c r="D1823" s="67">
        <f>IF(COUNTIF($G$2:$G1823,$G1823)=1,1,0)</f>
        <v>0</v>
      </c>
      <c r="E1823" s="67" t="str">
        <f>IFERROR(VLOOKUP(База_КР_КК[[#This Row],[ИД штатной должности (S)]],'уровень защищенности'!$B$7:$F$1095,5,0),"не защищена")</f>
        <v>средний</v>
      </c>
      <c r="F1823" s="68">
        <v>500269</v>
      </c>
      <c r="G1823" s="74" t="s">
        <v>2576</v>
      </c>
      <c r="H1823" s="181">
        <f>INDEX('Списки данных'!$D$2:$D$1048576,MATCH(База_КР_КК[[#This Row],[Структурное подразделение]],'Списки данных'!$C$2:$C$1048576,0))</f>
        <v>13</v>
      </c>
      <c r="I1823" s="80" t="s">
        <v>173</v>
      </c>
      <c r="J1823" s="80" t="s">
        <v>212</v>
      </c>
      <c r="K1823" s="80" t="s">
        <v>213</v>
      </c>
      <c r="L1823" s="30" t="s">
        <v>192</v>
      </c>
      <c r="M1823" s="68">
        <v>7</v>
      </c>
      <c r="N1823" s="181" t="str">
        <f t="shared" si="29"/>
        <v>да</v>
      </c>
      <c r="O1823" s="23">
        <v>44621</v>
      </c>
      <c r="P1823" s="23">
        <v>44692</v>
      </c>
      <c r="Q1823" s="106" t="s">
        <v>66</v>
      </c>
      <c r="R1823" s="37">
        <v>406</v>
      </c>
      <c r="S1823" s="39" t="s">
        <v>818</v>
      </c>
      <c r="T1823" s="37">
        <v>406</v>
      </c>
      <c r="U1823" s="39" t="s">
        <v>818</v>
      </c>
      <c r="V1823" s="69" t="s">
        <v>272</v>
      </c>
      <c r="W1823" s="89" t="s">
        <v>173</v>
      </c>
      <c r="X1823" s="106" t="s">
        <v>295</v>
      </c>
      <c r="Y1823" s="107" t="s">
        <v>14</v>
      </c>
      <c r="Z1823" s="67">
        <f>IF(База_КР_КК[[#This Row],[Таб.номер резервиста]]="-","-",IF(OR(База_КР_КК[[#This Row],[Уровень КК]]=2,База_КР_КК[[#This Row],[Уровень КК]]=3),IF(COUNTIFS($U$2:$U1823,$U1823,$F$2:$F1823,$F1823)=1,1,0),IF(COUNTIFS($U$2:$U1823,$U1823,$L$2:$L1823,$L1823)=1,1,0)))</f>
        <v>0</v>
      </c>
      <c r="AA18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823" s="106" t="s">
        <v>24</v>
      </c>
      <c r="AC1823" s="51">
        <v>44692</v>
      </c>
      <c r="AD1823" s="106" t="s">
        <v>15</v>
      </c>
      <c r="AE1823" s="38" t="s">
        <v>343</v>
      </c>
    </row>
    <row r="1824" spans="1:31" ht="18" customHeight="1" x14ac:dyDescent="0.25">
      <c r="A18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4" s="79">
        <v>4</v>
      </c>
      <c r="C1824" s="23">
        <v>44425</v>
      </c>
      <c r="D1824" s="67">
        <f>IF(COUNTIF($G$2:$G1824,$G1824)=1,1,0)</f>
        <v>1</v>
      </c>
      <c r="E1824" s="67" t="str">
        <f>IFERROR(VLOOKUP(База_КР_КК[[#This Row],[ИД штатной должности (S)]],'уровень защищенности'!$B$7:$F$1095,5,0),"не защищена")</f>
        <v>высокий</v>
      </c>
      <c r="F1824" s="68">
        <v>500284</v>
      </c>
      <c r="G1824" s="74" t="s">
        <v>2577</v>
      </c>
      <c r="H1824" s="181">
        <f>INDEX('Списки данных'!$D$2:$D$1048576,MATCH(База_КР_КК[[#This Row],[Структурное подразделение]],'Списки данных'!$C$2:$C$1048576,0))</f>
        <v>13</v>
      </c>
      <c r="I1824" s="80" t="s">
        <v>173</v>
      </c>
      <c r="J1824" s="80" t="s">
        <v>212</v>
      </c>
      <c r="K1824" s="80" t="s">
        <v>213</v>
      </c>
      <c r="L1824" s="30" t="s">
        <v>191</v>
      </c>
      <c r="M1824" s="68">
        <v>7</v>
      </c>
      <c r="N1824" s="181" t="str">
        <f t="shared" si="29"/>
        <v>да</v>
      </c>
      <c r="O1824" s="23">
        <v>44538</v>
      </c>
      <c r="P1824" s="23">
        <v>44539</v>
      </c>
      <c r="Q1824" s="106" t="s">
        <v>66</v>
      </c>
      <c r="R1824" s="37">
        <v>407</v>
      </c>
      <c r="S1824" s="39" t="s">
        <v>819</v>
      </c>
      <c r="T1824" s="37">
        <v>1352</v>
      </c>
      <c r="U1824" s="39" t="s">
        <v>1742</v>
      </c>
      <c r="V1824" s="69" t="s">
        <v>272</v>
      </c>
      <c r="W1824" s="89" t="s">
        <v>173</v>
      </c>
      <c r="X1824" s="106" t="s">
        <v>297</v>
      </c>
      <c r="Y1824" s="107" t="s">
        <v>12</v>
      </c>
      <c r="Z1824" s="67">
        <f>IF(База_КР_КК[[#This Row],[Таб.номер резервиста]]="-","-",IF(OR(База_КР_КК[[#This Row],[Уровень КК]]=2,База_КР_КК[[#This Row],[Уровень КК]]=3),IF(COUNTIFS($U$2:$U1824,$U1824,$F$2:$F1824,$F1824)=1,1,0),IF(COUNTIFS($U$2:$U1824,$U1824,$L$2:$L1824,$L1824)=1,1,0)))</f>
        <v>0</v>
      </c>
      <c r="AA18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4" s="106"/>
      <c r="AC1824" s="51"/>
      <c r="AD1824" s="106" t="s">
        <v>15</v>
      </c>
      <c r="AE1824" s="38" t="s">
        <v>343</v>
      </c>
    </row>
    <row r="1825" spans="1:31" ht="18" customHeight="1" x14ac:dyDescent="0.25">
      <c r="A18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5" s="79">
        <v>4</v>
      </c>
      <c r="C1825" s="23">
        <v>44425</v>
      </c>
      <c r="D1825" s="67">
        <f>IF(COUNTIF($G$2:$G1825,$G1825)=1,1,0)</f>
        <v>0</v>
      </c>
      <c r="E1825" s="67" t="str">
        <f>IFERROR(VLOOKUP(База_КР_КК[[#This Row],[ИД штатной должности (S)]],'уровень защищенности'!$B$7:$F$1095,5,0),"не защищена")</f>
        <v>высокий</v>
      </c>
      <c r="F1825" s="68">
        <v>500284</v>
      </c>
      <c r="G1825" s="74" t="s">
        <v>2577</v>
      </c>
      <c r="H1825" s="181">
        <f>INDEX('Списки данных'!$D$2:$D$1048576,MATCH(База_КР_КК[[#This Row],[Структурное подразделение]],'Списки данных'!$C$2:$C$1048576,0))</f>
        <v>13</v>
      </c>
      <c r="I1825" s="80" t="s">
        <v>173</v>
      </c>
      <c r="J1825" s="80" t="s">
        <v>212</v>
      </c>
      <c r="K1825" s="80" t="s">
        <v>213</v>
      </c>
      <c r="L1825" s="30" t="s">
        <v>191</v>
      </c>
      <c r="M1825" s="68">
        <v>7</v>
      </c>
      <c r="N1825" s="181" t="str">
        <f t="shared" si="29"/>
        <v>да</v>
      </c>
      <c r="O1825" s="23">
        <v>44538</v>
      </c>
      <c r="P1825" s="23">
        <v>44539</v>
      </c>
      <c r="Q1825" s="106" t="s">
        <v>66</v>
      </c>
      <c r="R1825" s="37">
        <v>407</v>
      </c>
      <c r="S1825" s="39" t="s">
        <v>819</v>
      </c>
      <c r="T1825" s="37">
        <v>1353</v>
      </c>
      <c r="U1825" s="39" t="s">
        <v>1743</v>
      </c>
      <c r="V1825" s="69" t="s">
        <v>272</v>
      </c>
      <c r="W1825" s="89" t="s">
        <v>173</v>
      </c>
      <c r="X1825" s="106" t="s">
        <v>296</v>
      </c>
      <c r="Y1825" s="107" t="s">
        <v>12</v>
      </c>
      <c r="Z1825" s="67">
        <f>IF(База_КР_КК[[#This Row],[Таб.номер резервиста]]="-","-",IF(OR(База_КР_КК[[#This Row],[Уровень КК]]=2,База_КР_КК[[#This Row],[Уровень КК]]=3),IF(COUNTIFS($U$2:$U1825,$U1825,$F$2:$F1825,$F1825)=1,1,0),IF(COUNTIFS($U$2:$U1825,$U1825,$L$2:$L1825,$L1825)=1,1,0)))</f>
        <v>0</v>
      </c>
      <c r="AA18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5" s="106"/>
      <c r="AC1825" s="51"/>
      <c r="AD1825" s="106" t="s">
        <v>15</v>
      </c>
      <c r="AE1825" s="38" t="s">
        <v>343</v>
      </c>
    </row>
    <row r="1826" spans="1:31" ht="18" customHeight="1" x14ac:dyDescent="0.25">
      <c r="A18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6" s="79">
        <v>4</v>
      </c>
      <c r="C1826" s="23">
        <v>44425</v>
      </c>
      <c r="D1826" s="67">
        <f>IF(COUNTIF($G$2:$G1826,$G1826)=1,1,0)</f>
        <v>0</v>
      </c>
      <c r="E1826" s="67" t="str">
        <f>IFERROR(VLOOKUP(База_КР_КК[[#This Row],[ИД штатной должности (S)]],'уровень защищенности'!$B$7:$F$1095,5,0),"не защищена")</f>
        <v>высокий</v>
      </c>
      <c r="F1826" s="68">
        <v>500284</v>
      </c>
      <c r="G1826" s="74" t="s">
        <v>2577</v>
      </c>
      <c r="H1826" s="181">
        <f>INDEX('Списки данных'!$D$2:$D$1048576,MATCH(База_КР_КК[[#This Row],[Структурное подразделение]],'Списки данных'!$C$2:$C$1048576,0))</f>
        <v>13</v>
      </c>
      <c r="I1826" s="80" t="s">
        <v>173</v>
      </c>
      <c r="J1826" s="80" t="s">
        <v>212</v>
      </c>
      <c r="K1826" s="80" t="s">
        <v>213</v>
      </c>
      <c r="L1826" s="30" t="s">
        <v>191</v>
      </c>
      <c r="M1826" s="68">
        <v>7</v>
      </c>
      <c r="N1826" s="181" t="str">
        <f t="shared" si="29"/>
        <v>да</v>
      </c>
      <c r="O1826" s="23">
        <v>44538</v>
      </c>
      <c r="P1826" s="23">
        <v>44539</v>
      </c>
      <c r="Q1826" s="106" t="s">
        <v>66</v>
      </c>
      <c r="R1826" s="37">
        <v>407</v>
      </c>
      <c r="S1826" s="39" t="s">
        <v>819</v>
      </c>
      <c r="T1826" s="37">
        <v>1354</v>
      </c>
      <c r="U1826" s="39" t="s">
        <v>1744</v>
      </c>
      <c r="V1826" s="69" t="s">
        <v>272</v>
      </c>
      <c r="W1826" s="89" t="s">
        <v>173</v>
      </c>
      <c r="X1826" s="106" t="s">
        <v>297</v>
      </c>
      <c r="Y1826" s="107" t="s">
        <v>12</v>
      </c>
      <c r="Z1826" s="67">
        <f>IF(База_КР_КК[[#This Row],[Таб.номер резервиста]]="-","-",IF(OR(База_КР_КК[[#This Row],[Уровень КК]]=2,База_КР_КК[[#This Row],[Уровень КК]]=3),IF(COUNTIFS($U$2:$U1826,$U1826,$F$2:$F1826,$F1826)=1,1,0),IF(COUNTIFS($U$2:$U1826,$U1826,$L$2:$L1826,$L1826)=1,1,0)))</f>
        <v>0</v>
      </c>
      <c r="AA18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6" s="106"/>
      <c r="AC1826" s="51"/>
      <c r="AD1826" s="106" t="s">
        <v>15</v>
      </c>
      <c r="AE1826" s="38" t="s">
        <v>343</v>
      </c>
    </row>
    <row r="1827" spans="1:31" ht="18" customHeight="1" x14ac:dyDescent="0.25">
      <c r="A18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7" s="79">
        <v>4</v>
      </c>
      <c r="C1827" s="23">
        <v>44890</v>
      </c>
      <c r="D1827" s="67">
        <f>IF(COUNTIF($G$2:$G1827,$G1827)=1,1,0)</f>
        <v>0</v>
      </c>
      <c r="E1827" s="67" t="str">
        <f>IFERROR(VLOOKUP(База_КР_КК[[#This Row],[ИД штатной должности (S)]],'уровень защищенности'!$B$7:$F$1095,5,0),"не защищена")</f>
        <v>высокий</v>
      </c>
      <c r="F1827" s="68">
        <v>500284</v>
      </c>
      <c r="G1827" s="74" t="s">
        <v>2577</v>
      </c>
      <c r="H1827" s="181">
        <f>INDEX('Списки данных'!$D$2:$D$1048576,MATCH(База_КР_КК[[#This Row],[Структурное подразделение]],'Списки данных'!$C$2:$C$1048576,0))</f>
        <v>13</v>
      </c>
      <c r="I1827" s="80" t="s">
        <v>173</v>
      </c>
      <c r="J1827" s="80" t="s">
        <v>212</v>
      </c>
      <c r="K1827" s="80" t="s">
        <v>213</v>
      </c>
      <c r="L1827" s="30" t="s">
        <v>191</v>
      </c>
      <c r="M1827" s="68">
        <v>7</v>
      </c>
      <c r="N1827" s="181" t="str">
        <f t="shared" si="29"/>
        <v>да</v>
      </c>
      <c r="O1827" s="23">
        <v>44538</v>
      </c>
      <c r="P1827" s="23">
        <v>44539</v>
      </c>
      <c r="Q1827" s="106" t="s">
        <v>66</v>
      </c>
      <c r="R1827" s="37">
        <v>407</v>
      </c>
      <c r="S1827" s="39" t="s">
        <v>819</v>
      </c>
      <c r="T1827" s="37">
        <v>1355</v>
      </c>
      <c r="U1827" s="39" t="s">
        <v>1500</v>
      </c>
      <c r="V1827" s="69" t="s">
        <v>272</v>
      </c>
      <c r="W1827" s="89" t="s">
        <v>173</v>
      </c>
      <c r="X1827" s="106" t="s">
        <v>297</v>
      </c>
      <c r="Y1827" s="107" t="s">
        <v>12</v>
      </c>
      <c r="Z1827" s="67">
        <f>IF(База_КР_КК[[#This Row],[Таб.номер резервиста]]="-","-",IF(OR(База_КР_КК[[#This Row],[Уровень КК]]=2,База_КР_КК[[#This Row],[Уровень КК]]=3),IF(COUNTIFS($U$2:$U1827,$U1827,$F$2:$F1827,$F1827)=1,1,0),IF(COUNTIFS($U$2:$U1827,$U1827,$L$2:$L1827,$L1827)=1,1,0)))</f>
        <v>0</v>
      </c>
      <c r="AA18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7" s="106"/>
      <c r="AC1827" s="51"/>
      <c r="AD1827" s="106" t="s">
        <v>15</v>
      </c>
      <c r="AE1827" s="38" t="s">
        <v>344</v>
      </c>
    </row>
    <row r="1828" spans="1:31" ht="18" customHeight="1" x14ac:dyDescent="0.25">
      <c r="A18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8" s="79">
        <v>4</v>
      </c>
      <c r="C1828" s="23">
        <v>44890</v>
      </c>
      <c r="D1828" s="67">
        <f>IF(COUNTIF($G$2:$G1828,$G1828)=1,1,0)</f>
        <v>0</v>
      </c>
      <c r="E1828" s="67" t="str">
        <f>IFERROR(VLOOKUP(База_КР_КК[[#This Row],[ИД штатной должности (S)]],'уровень защищенности'!$B$7:$F$1095,5,0),"не защищена")</f>
        <v>высокий</v>
      </c>
      <c r="F1828" s="68">
        <v>500284</v>
      </c>
      <c r="G1828" s="74" t="s">
        <v>2577</v>
      </c>
      <c r="H1828" s="181">
        <f>INDEX('Списки данных'!$D$2:$D$1048576,MATCH(База_КР_КК[[#This Row],[Структурное подразделение]],'Списки данных'!$C$2:$C$1048576,0))</f>
        <v>13</v>
      </c>
      <c r="I1828" s="80" t="s">
        <v>173</v>
      </c>
      <c r="J1828" s="80" t="s">
        <v>212</v>
      </c>
      <c r="K1828" s="80" t="s">
        <v>213</v>
      </c>
      <c r="L1828" s="30" t="s">
        <v>191</v>
      </c>
      <c r="M1828" s="68">
        <v>7</v>
      </c>
      <c r="N1828" s="181" t="str">
        <f t="shared" si="29"/>
        <v>да</v>
      </c>
      <c r="O1828" s="23">
        <v>44538</v>
      </c>
      <c r="P1828" s="23">
        <v>44539</v>
      </c>
      <c r="Q1828" s="106" t="s">
        <v>66</v>
      </c>
      <c r="R1828" s="37">
        <v>407</v>
      </c>
      <c r="S1828" s="39" t="s">
        <v>819</v>
      </c>
      <c r="T1828" s="37">
        <v>1356</v>
      </c>
      <c r="U1828" s="39" t="s">
        <v>1745</v>
      </c>
      <c r="V1828" s="69" t="s">
        <v>272</v>
      </c>
      <c r="W1828" s="89" t="s">
        <v>173</v>
      </c>
      <c r="X1828" s="106" t="s">
        <v>295</v>
      </c>
      <c r="Y1828" s="107" t="s">
        <v>12</v>
      </c>
      <c r="Z1828" s="67">
        <f>IF(База_КР_КК[[#This Row],[Таб.номер резервиста]]="-","-",IF(OR(База_КР_КК[[#This Row],[Уровень КК]]=2,База_КР_КК[[#This Row],[Уровень КК]]=3),IF(COUNTIFS($U$2:$U1828,$U1828,$F$2:$F1828,$F1828)=1,1,0),IF(COUNTIFS($U$2:$U1828,$U1828,$L$2:$L1828,$L1828)=1,1,0)))</f>
        <v>0</v>
      </c>
      <c r="AA18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8" s="106"/>
      <c r="AC1828" s="51"/>
      <c r="AD1828" s="106" t="s">
        <v>15</v>
      </c>
      <c r="AE1828" s="38" t="s">
        <v>344</v>
      </c>
    </row>
    <row r="1829" spans="1:31" ht="18" customHeight="1" x14ac:dyDescent="0.25">
      <c r="A18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29" s="79">
        <v>4</v>
      </c>
      <c r="C1829" s="23">
        <v>44425</v>
      </c>
      <c r="D1829" s="67">
        <f>IF(COUNTIF($G$2:$G1829,$G1829)=1,1,0)</f>
        <v>0</v>
      </c>
      <c r="E1829" s="67" t="str">
        <f>IFERROR(VLOOKUP(База_КР_КК[[#This Row],[ИД штатной должности (S)]],'уровень защищенности'!$B$7:$F$1095,5,0),"не защищена")</f>
        <v>высокий</v>
      </c>
      <c r="F1829" s="68">
        <v>500284</v>
      </c>
      <c r="G1829" s="74" t="s">
        <v>2577</v>
      </c>
      <c r="H1829" s="181">
        <f>INDEX('Списки данных'!$D$2:$D$1048576,MATCH(База_КР_КК[[#This Row],[Структурное подразделение]],'Списки данных'!$C$2:$C$1048576,0))</f>
        <v>13</v>
      </c>
      <c r="I1829" s="80" t="s">
        <v>173</v>
      </c>
      <c r="J1829" s="80" t="s">
        <v>212</v>
      </c>
      <c r="K1829" s="80" t="s">
        <v>213</v>
      </c>
      <c r="L1829" s="30" t="s">
        <v>191</v>
      </c>
      <c r="M1829" s="68">
        <v>7</v>
      </c>
      <c r="N1829" s="181" t="str">
        <f t="shared" si="29"/>
        <v>да</v>
      </c>
      <c r="O1829" s="23">
        <v>44538</v>
      </c>
      <c r="P1829" s="23">
        <v>44539</v>
      </c>
      <c r="Q1829" s="106" t="s">
        <v>66</v>
      </c>
      <c r="R1829" s="37">
        <v>407</v>
      </c>
      <c r="S1829" s="39" t="s">
        <v>819</v>
      </c>
      <c r="T1829" s="37">
        <v>277</v>
      </c>
      <c r="U1829" s="39" t="s">
        <v>689</v>
      </c>
      <c r="V1829" s="69" t="s">
        <v>272</v>
      </c>
      <c r="W1829" s="89" t="s">
        <v>173</v>
      </c>
      <c r="X1829" s="106" t="s">
        <v>297</v>
      </c>
      <c r="Y1829" s="107" t="s">
        <v>14</v>
      </c>
      <c r="Z1829" s="67">
        <f>IF(База_КР_КК[[#This Row],[Таб.номер резервиста]]="-","-",IF(OR(База_КР_КК[[#This Row],[Уровень КК]]=2,База_КР_КК[[#This Row],[Уровень КК]]=3),IF(COUNTIFS($U$2:$U1829,$U1829,$F$2:$F1829,$F1829)=1,1,0),IF(COUNTIFS($U$2:$U1829,$U1829,$L$2:$L1829,$L1829)=1,1,0)))</f>
        <v>0</v>
      </c>
      <c r="AA18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29" s="106" t="s">
        <v>24</v>
      </c>
      <c r="AC1829" s="51">
        <v>44805</v>
      </c>
      <c r="AD1829" s="106" t="s">
        <v>15</v>
      </c>
      <c r="AE1829" s="38" t="s">
        <v>343</v>
      </c>
    </row>
    <row r="1830" spans="1:31" ht="18" customHeight="1" x14ac:dyDescent="0.25">
      <c r="A18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0" s="79">
        <v>4</v>
      </c>
      <c r="C1830" s="23">
        <v>44425</v>
      </c>
      <c r="D1830" s="67">
        <f>IF(COUNTIF($G$2:$G1830,$G1830)=1,1,0)</f>
        <v>0</v>
      </c>
      <c r="E1830" s="67" t="str">
        <f>IFERROR(VLOOKUP(База_КР_КК[[#This Row],[ИД штатной должности (S)]],'уровень защищенности'!$B$7:$F$1095,5,0),"не защищена")</f>
        <v>высокий</v>
      </c>
      <c r="F1830" s="68">
        <v>500284</v>
      </c>
      <c r="G1830" s="74" t="s">
        <v>2577</v>
      </c>
      <c r="H1830" s="181">
        <f>INDEX('Списки данных'!$D$2:$D$1048576,MATCH(База_КР_КК[[#This Row],[Структурное подразделение]],'Списки данных'!$C$2:$C$1048576,0))</f>
        <v>13</v>
      </c>
      <c r="I1830" s="80" t="s">
        <v>173</v>
      </c>
      <c r="J1830" s="80" t="s">
        <v>212</v>
      </c>
      <c r="K1830" s="80" t="s">
        <v>213</v>
      </c>
      <c r="L1830" s="30" t="s">
        <v>191</v>
      </c>
      <c r="M1830" s="68">
        <v>7</v>
      </c>
      <c r="N1830" s="181" t="str">
        <f t="shared" si="29"/>
        <v>да</v>
      </c>
      <c r="O1830" s="23">
        <v>44538</v>
      </c>
      <c r="P1830" s="23">
        <v>44539</v>
      </c>
      <c r="Q1830" s="106" t="s">
        <v>66</v>
      </c>
      <c r="R1830" s="37">
        <v>407</v>
      </c>
      <c r="S1830" s="39" t="s">
        <v>819</v>
      </c>
      <c r="T1830" s="37">
        <v>278</v>
      </c>
      <c r="U1830" s="39" t="s">
        <v>690</v>
      </c>
      <c r="V1830" s="69" t="s">
        <v>272</v>
      </c>
      <c r="W1830" s="89" t="s">
        <v>173</v>
      </c>
      <c r="X1830" s="106" t="s">
        <v>295</v>
      </c>
      <c r="Y1830" s="107" t="s">
        <v>14</v>
      </c>
      <c r="Z1830" s="67">
        <f>IF(База_КР_КК[[#This Row],[Таб.номер резервиста]]="-","-",IF(OR(База_КР_КК[[#This Row],[Уровень КК]]=2,База_КР_КК[[#This Row],[Уровень КК]]=3),IF(COUNTIFS($U$2:$U1830,$U1830,$F$2:$F1830,$F1830)=1,1,0),IF(COUNTIFS($U$2:$U1830,$U1830,$L$2:$L1830,$L1830)=1,1,0)))</f>
        <v>0</v>
      </c>
      <c r="AA18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0" s="106" t="s">
        <v>24</v>
      </c>
      <c r="AC1830" s="51">
        <v>44756</v>
      </c>
      <c r="AD1830" s="106" t="s">
        <v>15</v>
      </c>
      <c r="AE1830" s="38" t="s">
        <v>343</v>
      </c>
    </row>
    <row r="1831" spans="1:31" ht="18" customHeight="1" x14ac:dyDescent="0.25">
      <c r="A18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1" s="79">
        <v>4</v>
      </c>
      <c r="C1831" s="23">
        <v>44425</v>
      </c>
      <c r="D1831" s="67">
        <f>IF(COUNTIF($G$2:$G1831,$G1831)=1,1,0)</f>
        <v>0</v>
      </c>
      <c r="E1831" s="67" t="str">
        <f>IFERROR(VLOOKUP(База_КР_КК[[#This Row],[ИД штатной должности (S)]],'уровень защищенности'!$B$7:$F$1095,5,0),"не защищена")</f>
        <v>высокий</v>
      </c>
      <c r="F1831" s="68">
        <v>500284</v>
      </c>
      <c r="G1831" s="74" t="s">
        <v>2577</v>
      </c>
      <c r="H1831" s="181">
        <f>INDEX('Списки данных'!$D$2:$D$1048576,MATCH(База_КР_КК[[#This Row],[Структурное подразделение]],'Списки данных'!$C$2:$C$1048576,0))</f>
        <v>13</v>
      </c>
      <c r="I1831" s="80" t="s">
        <v>173</v>
      </c>
      <c r="J1831" s="80" t="s">
        <v>212</v>
      </c>
      <c r="K1831" s="80" t="s">
        <v>213</v>
      </c>
      <c r="L1831" s="30" t="s">
        <v>191</v>
      </c>
      <c r="M1831" s="68">
        <v>7</v>
      </c>
      <c r="N1831" s="181" t="str">
        <f t="shared" si="29"/>
        <v>да</v>
      </c>
      <c r="O1831" s="23">
        <v>44538</v>
      </c>
      <c r="P1831" s="23">
        <v>44539</v>
      </c>
      <c r="Q1831" s="106" t="s">
        <v>66</v>
      </c>
      <c r="R1831" s="37">
        <v>407</v>
      </c>
      <c r="S1831" s="39" t="s">
        <v>819</v>
      </c>
      <c r="T1831" s="37">
        <v>407</v>
      </c>
      <c r="U1831" s="39" t="s">
        <v>819</v>
      </c>
      <c r="V1831" s="69" t="s">
        <v>192</v>
      </c>
      <c r="W1831" s="89" t="s">
        <v>173</v>
      </c>
      <c r="X1831" s="106" t="s">
        <v>295</v>
      </c>
      <c r="Y1831" s="107" t="s">
        <v>14</v>
      </c>
      <c r="Z1831" s="67">
        <f>IF(База_КР_КК[[#This Row],[Таб.номер резервиста]]="-","-",IF(OR(База_КР_КК[[#This Row],[Уровень КК]]=2,База_КР_КК[[#This Row],[Уровень КК]]=3),IF(COUNTIFS($U$2:$U1831,$U1831,$F$2:$F1831,$F1831)=1,1,0),IF(COUNTIFS($U$2:$U1831,$U1831,$L$2:$L1831,$L1831)=1,1,0)))</f>
        <v>0</v>
      </c>
      <c r="AA18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831" s="106" t="s">
        <v>24</v>
      </c>
      <c r="AC1831" s="51">
        <v>44539</v>
      </c>
      <c r="AD1831" s="106" t="s">
        <v>15</v>
      </c>
      <c r="AE1831" s="38" t="s">
        <v>343</v>
      </c>
    </row>
    <row r="1832" spans="1:31" ht="18" customHeight="1" x14ac:dyDescent="0.25">
      <c r="A18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2" s="79">
        <v>4</v>
      </c>
      <c r="C1832" s="23">
        <v>44425</v>
      </c>
      <c r="D1832" s="67">
        <f>IF(COUNTIF($G$2:$G1832,$G1832)=1,1,0)</f>
        <v>0</v>
      </c>
      <c r="E1832" s="67" t="str">
        <f>IFERROR(VLOOKUP(База_КР_КК[[#This Row],[ИД штатной должности (S)]],'уровень защищенности'!$B$7:$F$1095,5,0),"не защищена")</f>
        <v>высокий</v>
      </c>
      <c r="F1832" s="68">
        <v>500284</v>
      </c>
      <c r="G1832" s="74" t="s">
        <v>2577</v>
      </c>
      <c r="H1832" s="181">
        <f>INDEX('Списки данных'!$D$2:$D$1048576,MATCH(База_КР_КК[[#This Row],[Структурное подразделение]],'Списки данных'!$C$2:$C$1048576,0))</f>
        <v>13</v>
      </c>
      <c r="I1832" s="80" t="s">
        <v>173</v>
      </c>
      <c r="J1832" s="80" t="s">
        <v>212</v>
      </c>
      <c r="K1832" s="80" t="s">
        <v>213</v>
      </c>
      <c r="L1832" s="30" t="s">
        <v>191</v>
      </c>
      <c r="M1832" s="68">
        <v>7</v>
      </c>
      <c r="N1832" s="181" t="str">
        <f t="shared" si="29"/>
        <v>да</v>
      </c>
      <c r="O1832" s="23">
        <v>44538</v>
      </c>
      <c r="P1832" s="23">
        <v>44539</v>
      </c>
      <c r="Q1832" s="106" t="s">
        <v>66</v>
      </c>
      <c r="R1832" s="37">
        <v>407</v>
      </c>
      <c r="S1832" s="39" t="s">
        <v>819</v>
      </c>
      <c r="T1832" s="37">
        <v>1357</v>
      </c>
      <c r="U1832" s="39" t="s">
        <v>1746</v>
      </c>
      <c r="V1832" s="69" t="s">
        <v>272</v>
      </c>
      <c r="W1832" s="89" t="s">
        <v>173</v>
      </c>
      <c r="X1832" s="106" t="s">
        <v>296</v>
      </c>
      <c r="Y1832" s="107" t="s">
        <v>18</v>
      </c>
      <c r="Z1832" s="67">
        <f>IF(База_КР_КК[[#This Row],[Таб.номер резервиста]]="-","-",IF(OR(База_КР_КК[[#This Row],[Уровень КК]]=2,База_КР_КК[[#This Row],[Уровень КК]]=3),IF(COUNTIFS($U$2:$U1832,$U1832,$F$2:$F1832,$F1832)=1,1,0),IF(COUNTIFS($U$2:$U1832,$U1832,$L$2:$L1832,$L1832)=1,1,0)))</f>
        <v>0</v>
      </c>
      <c r="AA18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2" s="106" t="s">
        <v>38</v>
      </c>
      <c r="AC1832" s="51">
        <v>44890</v>
      </c>
      <c r="AD1832" s="106" t="s">
        <v>31</v>
      </c>
      <c r="AE1832" s="38" t="s">
        <v>344</v>
      </c>
    </row>
    <row r="1833" spans="1:31" ht="18" customHeight="1" x14ac:dyDescent="0.25">
      <c r="A18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3" s="79">
        <v>4</v>
      </c>
      <c r="C1833" s="23">
        <v>44424</v>
      </c>
      <c r="D1833" s="67">
        <f>IF(COUNTIF($G$2:$G1833,$G1833)=1,1,0)</f>
        <v>1</v>
      </c>
      <c r="E1833" s="67" t="str">
        <f>IFERROR(VLOOKUP(База_КР_КК[[#This Row],[ИД штатной должности (S)]],'уровень защищенности'!$B$7:$F$1095,5,0),"не защищена")</f>
        <v>высокий</v>
      </c>
      <c r="F1833" s="68">
        <v>500453</v>
      </c>
      <c r="G1833" s="74" t="s">
        <v>2578</v>
      </c>
      <c r="H1833" s="181">
        <f>INDEX('Списки данных'!$D$2:$D$1048576,MATCH(База_КР_КК[[#This Row],[Структурное подразделение]],'Списки данных'!$C$2:$C$1048576,0))</f>
        <v>15</v>
      </c>
      <c r="I1833" s="80" t="s">
        <v>161</v>
      </c>
      <c r="J1833" s="80" t="s">
        <v>214</v>
      </c>
      <c r="K1833" s="80" t="s">
        <v>21</v>
      </c>
      <c r="L1833" s="30" t="s">
        <v>191</v>
      </c>
      <c r="M1833" s="68">
        <v>7</v>
      </c>
      <c r="N1833" s="181" t="str">
        <f t="shared" si="29"/>
        <v>нет</v>
      </c>
      <c r="O1833" s="23"/>
      <c r="P1833" s="23"/>
      <c r="Q1833" s="106"/>
      <c r="R1833" s="37">
        <v>408</v>
      </c>
      <c r="S1833" s="38" t="s">
        <v>820</v>
      </c>
      <c r="T1833" s="37">
        <v>1396</v>
      </c>
      <c r="U1833" s="39" t="s">
        <v>1779</v>
      </c>
      <c r="V1833" s="69" t="s">
        <v>272</v>
      </c>
      <c r="W1833" s="89" t="s">
        <v>161</v>
      </c>
      <c r="X1833" s="106" t="s">
        <v>296</v>
      </c>
      <c r="Y1833" s="107" t="s">
        <v>12</v>
      </c>
      <c r="Z1833" s="67">
        <f>IF(База_КР_КК[[#This Row],[Таб.номер резервиста]]="-","-",IF(OR(База_КР_КК[[#This Row],[Уровень КК]]=2,База_КР_КК[[#This Row],[Уровень КК]]=3),IF(COUNTIFS($U$2:$U1833,$U1833,$F$2:$F1833,$F1833)=1,1,0),IF(COUNTIFS($U$2:$U1833,$U1833,$L$2:$L1833,$L1833)=1,1,0)))</f>
        <v>0</v>
      </c>
      <c r="AA18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3" s="106"/>
      <c r="AC1833" s="51"/>
      <c r="AD1833" s="106" t="s">
        <v>15</v>
      </c>
      <c r="AE1833" s="38" t="s">
        <v>347</v>
      </c>
    </row>
    <row r="1834" spans="1:31" ht="18" customHeight="1" x14ac:dyDescent="0.25">
      <c r="A18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4" s="79">
        <v>4</v>
      </c>
      <c r="C1834" s="23">
        <v>44424</v>
      </c>
      <c r="D1834" s="67">
        <f>IF(COUNTIF($G$2:$G1834,$G1834)=1,1,0)</f>
        <v>0</v>
      </c>
      <c r="E1834" s="67" t="str">
        <f>IFERROR(VLOOKUP(База_КР_КК[[#This Row],[ИД штатной должности (S)]],'уровень защищенности'!$B$7:$F$1095,5,0),"не защищена")</f>
        <v>высокий</v>
      </c>
      <c r="F1834" s="68">
        <v>500453</v>
      </c>
      <c r="G1834" s="74" t="s">
        <v>2578</v>
      </c>
      <c r="H1834" s="181">
        <f>INDEX('Списки данных'!$D$2:$D$1048576,MATCH(База_КР_КК[[#This Row],[Структурное подразделение]],'Списки данных'!$C$2:$C$1048576,0))</f>
        <v>15</v>
      </c>
      <c r="I1834" s="80" t="s">
        <v>161</v>
      </c>
      <c r="J1834" s="80" t="s">
        <v>214</v>
      </c>
      <c r="K1834" s="80" t="s">
        <v>21</v>
      </c>
      <c r="L1834" s="30" t="s">
        <v>191</v>
      </c>
      <c r="M1834" s="68">
        <v>7</v>
      </c>
      <c r="N1834" s="181" t="str">
        <f t="shared" si="29"/>
        <v>нет</v>
      </c>
      <c r="O1834" s="23"/>
      <c r="P1834" s="23"/>
      <c r="Q1834" s="106"/>
      <c r="R1834" s="37">
        <v>408</v>
      </c>
      <c r="S1834" s="38" t="s">
        <v>820</v>
      </c>
      <c r="T1834" s="37">
        <v>1397</v>
      </c>
      <c r="U1834" s="39" t="s">
        <v>1780</v>
      </c>
      <c r="V1834" s="69" t="s">
        <v>272</v>
      </c>
      <c r="W1834" s="89" t="s">
        <v>161</v>
      </c>
      <c r="X1834" s="106" t="s">
        <v>296</v>
      </c>
      <c r="Y1834" s="107" t="s">
        <v>12</v>
      </c>
      <c r="Z1834" s="67">
        <f>IF(База_КР_КК[[#This Row],[Таб.номер резервиста]]="-","-",IF(OR(База_КР_КК[[#This Row],[Уровень КК]]=2,База_КР_КК[[#This Row],[Уровень КК]]=3),IF(COUNTIFS($U$2:$U1834,$U1834,$F$2:$F1834,$F1834)=1,1,0),IF(COUNTIFS($U$2:$U1834,$U1834,$L$2:$L1834,$L1834)=1,1,0)))</f>
        <v>0</v>
      </c>
      <c r="AA18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4" s="106"/>
      <c r="AC1834" s="51"/>
      <c r="AD1834" s="106" t="s">
        <v>15</v>
      </c>
      <c r="AE1834" s="38" t="s">
        <v>347</v>
      </c>
    </row>
    <row r="1835" spans="1:31" ht="18" customHeight="1" x14ac:dyDescent="0.25">
      <c r="A18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5" s="79">
        <v>4</v>
      </c>
      <c r="C1835" s="23">
        <v>44424</v>
      </c>
      <c r="D1835" s="67">
        <f>IF(COUNTIF($G$2:$G1835,$G1835)=1,1,0)</f>
        <v>0</v>
      </c>
      <c r="E1835" s="67" t="str">
        <f>IFERROR(VLOOKUP(База_КР_КК[[#This Row],[ИД штатной должности (S)]],'уровень защищенности'!$B$7:$F$1095,5,0),"не защищена")</f>
        <v>высокий</v>
      </c>
      <c r="F1835" s="68">
        <v>500453</v>
      </c>
      <c r="G1835" s="74" t="s">
        <v>2578</v>
      </c>
      <c r="H1835" s="181">
        <f>INDEX('Списки данных'!$D$2:$D$1048576,MATCH(База_КР_КК[[#This Row],[Структурное подразделение]],'Списки данных'!$C$2:$C$1048576,0))</f>
        <v>15</v>
      </c>
      <c r="I1835" s="80" t="s">
        <v>161</v>
      </c>
      <c r="J1835" s="80" t="s">
        <v>214</v>
      </c>
      <c r="K1835" s="80" t="s">
        <v>21</v>
      </c>
      <c r="L1835" s="30" t="s">
        <v>191</v>
      </c>
      <c r="M1835" s="68">
        <v>7</v>
      </c>
      <c r="N1835" s="181" t="str">
        <f t="shared" si="29"/>
        <v>нет</v>
      </c>
      <c r="O1835" s="23"/>
      <c r="P1835" s="23"/>
      <c r="Q1835" s="106"/>
      <c r="R1835" s="37">
        <v>408</v>
      </c>
      <c r="S1835" s="38" t="s">
        <v>820</v>
      </c>
      <c r="T1835" s="37">
        <v>1398</v>
      </c>
      <c r="U1835" s="39" t="s">
        <v>1781</v>
      </c>
      <c r="V1835" s="69" t="s">
        <v>272</v>
      </c>
      <c r="W1835" s="89" t="s">
        <v>161</v>
      </c>
      <c r="X1835" s="106" t="s">
        <v>295</v>
      </c>
      <c r="Y1835" s="107" t="s">
        <v>12</v>
      </c>
      <c r="Z1835" s="67">
        <f>IF(База_КР_КК[[#This Row],[Таб.номер резервиста]]="-","-",IF(OR(База_КР_КК[[#This Row],[Уровень КК]]=2,База_КР_КК[[#This Row],[Уровень КК]]=3),IF(COUNTIFS($U$2:$U1835,$U1835,$F$2:$F1835,$F1835)=1,1,0),IF(COUNTIFS($U$2:$U1835,$U1835,$L$2:$L1835,$L1835)=1,1,0)))</f>
        <v>0</v>
      </c>
      <c r="AA18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5" s="106"/>
      <c r="AC1835" s="51"/>
      <c r="AD1835" s="106" t="s">
        <v>15</v>
      </c>
      <c r="AE1835" s="38" t="s">
        <v>347</v>
      </c>
    </row>
    <row r="1836" spans="1:31" ht="18" customHeight="1" x14ac:dyDescent="0.25">
      <c r="A18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6" s="79">
        <v>4</v>
      </c>
      <c r="C1836" s="23">
        <v>44424</v>
      </c>
      <c r="D1836" s="67">
        <f>IF(COUNTIF($G$2:$G1836,$G1836)=1,1,0)</f>
        <v>0</v>
      </c>
      <c r="E1836" s="67" t="str">
        <f>IFERROR(VLOOKUP(База_КР_КК[[#This Row],[ИД штатной должности (S)]],'уровень защищенности'!$B$7:$F$1095,5,0),"не защищена")</f>
        <v>высокий</v>
      </c>
      <c r="F1836" s="68">
        <v>500453</v>
      </c>
      <c r="G1836" s="74" t="s">
        <v>2578</v>
      </c>
      <c r="H1836" s="181">
        <f>INDEX('Списки данных'!$D$2:$D$1048576,MATCH(База_КР_КК[[#This Row],[Структурное подразделение]],'Списки данных'!$C$2:$C$1048576,0))</f>
        <v>15</v>
      </c>
      <c r="I1836" s="80" t="s">
        <v>161</v>
      </c>
      <c r="J1836" s="80" t="s">
        <v>214</v>
      </c>
      <c r="K1836" s="80" t="s">
        <v>21</v>
      </c>
      <c r="L1836" s="30" t="s">
        <v>191</v>
      </c>
      <c r="M1836" s="68">
        <v>7</v>
      </c>
      <c r="N1836" s="181" t="str">
        <f t="shared" si="29"/>
        <v>нет</v>
      </c>
      <c r="O1836" s="23"/>
      <c r="P1836" s="23"/>
      <c r="Q1836" s="106"/>
      <c r="R1836" s="37">
        <v>408</v>
      </c>
      <c r="S1836" s="38" t="s">
        <v>820</v>
      </c>
      <c r="T1836" s="37">
        <v>1399</v>
      </c>
      <c r="U1836" s="39" t="s">
        <v>1782</v>
      </c>
      <c r="V1836" s="69" t="s">
        <v>272</v>
      </c>
      <c r="W1836" s="89" t="s">
        <v>161</v>
      </c>
      <c r="X1836" s="106" t="s">
        <v>295</v>
      </c>
      <c r="Y1836" s="107" t="s">
        <v>12</v>
      </c>
      <c r="Z1836" s="67">
        <f>IF(База_КР_КК[[#This Row],[Таб.номер резервиста]]="-","-",IF(OR(База_КР_КК[[#This Row],[Уровень КК]]=2,База_КР_КК[[#This Row],[Уровень КК]]=3),IF(COUNTIFS($U$2:$U1836,$U1836,$F$2:$F1836,$F1836)=1,1,0),IF(COUNTIFS($U$2:$U1836,$U1836,$L$2:$L1836,$L1836)=1,1,0)))</f>
        <v>0</v>
      </c>
      <c r="AA18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6" s="106"/>
      <c r="AC1836" s="51"/>
      <c r="AD1836" s="106" t="s">
        <v>15</v>
      </c>
      <c r="AE1836" s="38" t="s">
        <v>347</v>
      </c>
    </row>
    <row r="1837" spans="1:31" ht="18" customHeight="1" x14ac:dyDescent="0.25">
      <c r="A18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7" s="79">
        <v>4</v>
      </c>
      <c r="C1837" s="23">
        <v>44424</v>
      </c>
      <c r="D1837" s="67">
        <f>IF(COUNTIF($G$2:$G1837,$G1837)=1,1,0)</f>
        <v>0</v>
      </c>
      <c r="E1837" s="67" t="str">
        <f>IFERROR(VLOOKUP(База_КР_КК[[#This Row],[ИД штатной должности (S)]],'уровень защищенности'!$B$7:$F$1095,5,0),"не защищена")</f>
        <v>высокий</v>
      </c>
      <c r="F1837" s="68">
        <v>500453</v>
      </c>
      <c r="G1837" s="74" t="s">
        <v>2578</v>
      </c>
      <c r="H1837" s="181">
        <f>INDEX('Списки данных'!$D$2:$D$1048576,MATCH(База_КР_КК[[#This Row],[Структурное подразделение]],'Списки данных'!$C$2:$C$1048576,0))</f>
        <v>15</v>
      </c>
      <c r="I1837" s="80" t="s">
        <v>161</v>
      </c>
      <c r="J1837" s="80" t="s">
        <v>214</v>
      </c>
      <c r="K1837" s="80" t="s">
        <v>21</v>
      </c>
      <c r="L1837" s="30" t="s">
        <v>191</v>
      </c>
      <c r="M1837" s="68">
        <v>7</v>
      </c>
      <c r="N1837" s="181" t="str">
        <f t="shared" si="29"/>
        <v>нет</v>
      </c>
      <c r="O1837" s="23"/>
      <c r="P1837" s="23"/>
      <c r="Q1837" s="106"/>
      <c r="R1837" s="37">
        <v>408</v>
      </c>
      <c r="S1837" s="38" t="s">
        <v>820</v>
      </c>
      <c r="T1837" s="37">
        <v>1400</v>
      </c>
      <c r="U1837" s="39" t="s">
        <v>1783</v>
      </c>
      <c r="V1837" s="69" t="s">
        <v>272</v>
      </c>
      <c r="W1837" s="89" t="s">
        <v>161</v>
      </c>
      <c r="X1837" s="106" t="s">
        <v>295</v>
      </c>
      <c r="Y1837" s="107" t="s">
        <v>12</v>
      </c>
      <c r="Z1837" s="67">
        <f>IF(База_КР_КК[[#This Row],[Таб.номер резервиста]]="-","-",IF(OR(База_КР_КК[[#This Row],[Уровень КК]]=2,База_КР_КК[[#This Row],[Уровень КК]]=3),IF(COUNTIFS($U$2:$U1837,$U1837,$F$2:$F1837,$F1837)=1,1,0),IF(COUNTIFS($U$2:$U1837,$U1837,$L$2:$L1837,$L1837)=1,1,0)))</f>
        <v>0</v>
      </c>
      <c r="AA18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7" s="106"/>
      <c r="AC1837" s="51"/>
      <c r="AD1837" s="106" t="s">
        <v>15</v>
      </c>
      <c r="AE1837" s="38" t="s">
        <v>347</v>
      </c>
    </row>
    <row r="1838" spans="1:31" ht="18" customHeight="1" x14ac:dyDescent="0.25">
      <c r="A18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8" s="79">
        <v>4</v>
      </c>
      <c r="C1838" s="23">
        <v>44887</v>
      </c>
      <c r="D1838" s="67">
        <f>IF(COUNTIF($G$2:$G1838,$G1838)=1,1,0)</f>
        <v>0</v>
      </c>
      <c r="E1838" s="67" t="str">
        <f>IFERROR(VLOOKUP(База_КР_КК[[#This Row],[ИД штатной должности (S)]],'уровень защищенности'!$B$7:$F$1095,5,0),"не защищена")</f>
        <v>высокий</v>
      </c>
      <c r="F1838" s="68">
        <v>500453</v>
      </c>
      <c r="G1838" s="74" t="s">
        <v>2578</v>
      </c>
      <c r="H1838" s="181">
        <f>INDEX('Списки данных'!$D$2:$D$1048576,MATCH(База_КР_КК[[#This Row],[Структурное подразделение]],'Списки данных'!$C$2:$C$1048576,0))</f>
        <v>15</v>
      </c>
      <c r="I1838" s="80" t="s">
        <v>161</v>
      </c>
      <c r="J1838" s="80" t="s">
        <v>214</v>
      </c>
      <c r="K1838" s="80" t="s">
        <v>21</v>
      </c>
      <c r="L1838" s="30" t="s">
        <v>191</v>
      </c>
      <c r="M1838" s="68">
        <v>7</v>
      </c>
      <c r="N1838" s="181" t="str">
        <f t="shared" si="29"/>
        <v>нет</v>
      </c>
      <c r="O1838" s="23"/>
      <c r="P1838" s="23"/>
      <c r="Q1838" s="106"/>
      <c r="R1838" s="37">
        <v>408</v>
      </c>
      <c r="S1838" s="38" t="s">
        <v>820</v>
      </c>
      <c r="T1838" s="37">
        <v>1401</v>
      </c>
      <c r="U1838" s="39" t="s">
        <v>1784</v>
      </c>
      <c r="V1838" s="69" t="s">
        <v>272</v>
      </c>
      <c r="W1838" s="89" t="s">
        <v>161</v>
      </c>
      <c r="X1838" s="106" t="s">
        <v>296</v>
      </c>
      <c r="Y1838" s="107" t="s">
        <v>12</v>
      </c>
      <c r="Z1838" s="67">
        <f>IF(База_КР_КК[[#This Row],[Таб.номер резервиста]]="-","-",IF(OR(База_КР_КК[[#This Row],[Уровень КК]]=2,База_КР_КК[[#This Row],[Уровень КК]]=3),IF(COUNTIFS($U$2:$U1838,$U1838,$F$2:$F1838,$F1838)=1,1,0),IF(COUNTIFS($U$2:$U1838,$U1838,$L$2:$L1838,$L1838)=1,1,0)))</f>
        <v>0</v>
      </c>
      <c r="AA18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8" s="106"/>
      <c r="AC1838" s="51"/>
      <c r="AD1838" s="106" t="s">
        <v>15</v>
      </c>
      <c r="AE1838" s="40" t="s">
        <v>310</v>
      </c>
    </row>
    <row r="1839" spans="1:31" ht="18" customHeight="1" x14ac:dyDescent="0.25">
      <c r="A18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39" s="79">
        <v>4</v>
      </c>
      <c r="C1839" s="23">
        <v>44887</v>
      </c>
      <c r="D1839" s="67">
        <f>IF(COUNTIF($G$2:$G1839,$G1839)=1,1,0)</f>
        <v>0</v>
      </c>
      <c r="E1839" s="67" t="str">
        <f>IFERROR(VLOOKUP(База_КР_КК[[#This Row],[ИД штатной должности (S)]],'уровень защищенности'!$B$7:$F$1095,5,0),"не защищена")</f>
        <v>высокий</v>
      </c>
      <c r="F1839" s="68">
        <v>500453</v>
      </c>
      <c r="G1839" s="74" t="s">
        <v>2578</v>
      </c>
      <c r="H1839" s="181">
        <f>INDEX('Списки данных'!$D$2:$D$1048576,MATCH(База_КР_КК[[#This Row],[Структурное подразделение]],'Списки данных'!$C$2:$C$1048576,0))</f>
        <v>15</v>
      </c>
      <c r="I1839" s="80" t="s">
        <v>161</v>
      </c>
      <c r="J1839" s="80" t="s">
        <v>214</v>
      </c>
      <c r="K1839" s="80" t="s">
        <v>21</v>
      </c>
      <c r="L1839" s="30" t="s">
        <v>191</v>
      </c>
      <c r="M1839" s="68">
        <v>7</v>
      </c>
      <c r="N1839" s="181" t="str">
        <f t="shared" si="29"/>
        <v>нет</v>
      </c>
      <c r="O1839" s="23"/>
      <c r="P1839" s="23"/>
      <c r="Q1839" s="106"/>
      <c r="R1839" s="37">
        <v>408</v>
      </c>
      <c r="S1839" s="38" t="s">
        <v>820</v>
      </c>
      <c r="T1839" s="37">
        <v>1402</v>
      </c>
      <c r="U1839" s="39" t="s">
        <v>1785</v>
      </c>
      <c r="V1839" s="69" t="s">
        <v>272</v>
      </c>
      <c r="W1839" s="89" t="s">
        <v>161</v>
      </c>
      <c r="X1839" s="106" t="s">
        <v>296</v>
      </c>
      <c r="Y1839" s="107" t="s">
        <v>12</v>
      </c>
      <c r="Z1839" s="67">
        <f>IF(База_КР_КК[[#This Row],[Таб.номер резервиста]]="-","-",IF(OR(База_КР_КК[[#This Row],[Уровень КК]]=2,База_КР_КК[[#This Row],[Уровень КК]]=3),IF(COUNTIFS($U$2:$U1839,$U1839,$F$2:$F1839,$F1839)=1,1,0),IF(COUNTIFS($U$2:$U1839,$U1839,$L$2:$L1839,$L1839)=1,1,0)))</f>
        <v>0</v>
      </c>
      <c r="AA18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39" s="106"/>
      <c r="AC1839" s="51"/>
      <c r="AD1839" s="106" t="s">
        <v>15</v>
      </c>
      <c r="AE1839" s="40" t="s">
        <v>310</v>
      </c>
    </row>
    <row r="1840" spans="1:31" ht="18" customHeight="1" x14ac:dyDescent="0.25">
      <c r="A18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0" s="79">
        <v>4</v>
      </c>
      <c r="C1840" s="23">
        <v>44887</v>
      </c>
      <c r="D1840" s="67">
        <f>IF(COUNTIF($G$2:$G1840,$G1840)=1,1,0)</f>
        <v>0</v>
      </c>
      <c r="E1840" s="67" t="str">
        <f>IFERROR(VLOOKUP(База_КР_КК[[#This Row],[ИД штатной должности (S)]],'уровень защищенности'!$B$7:$F$1095,5,0),"не защищена")</f>
        <v>высокий</v>
      </c>
      <c r="F1840" s="68">
        <v>500453</v>
      </c>
      <c r="G1840" s="74" t="s">
        <v>2578</v>
      </c>
      <c r="H1840" s="181">
        <f>INDEX('Списки данных'!$D$2:$D$1048576,MATCH(База_КР_КК[[#This Row],[Структурное подразделение]],'Списки данных'!$C$2:$C$1048576,0))</f>
        <v>15</v>
      </c>
      <c r="I1840" s="80" t="s">
        <v>161</v>
      </c>
      <c r="J1840" s="80" t="s">
        <v>214</v>
      </c>
      <c r="K1840" s="80" t="s">
        <v>21</v>
      </c>
      <c r="L1840" s="30" t="s">
        <v>191</v>
      </c>
      <c r="M1840" s="68">
        <v>7</v>
      </c>
      <c r="N1840" s="181" t="str">
        <f t="shared" si="29"/>
        <v>нет</v>
      </c>
      <c r="O1840" s="23"/>
      <c r="P1840" s="23"/>
      <c r="Q1840" s="106"/>
      <c r="R1840" s="37">
        <v>408</v>
      </c>
      <c r="S1840" s="38" t="s">
        <v>820</v>
      </c>
      <c r="T1840" s="37">
        <v>1403</v>
      </c>
      <c r="U1840" s="39" t="s">
        <v>1786</v>
      </c>
      <c r="V1840" s="69" t="s">
        <v>272</v>
      </c>
      <c r="W1840" s="89" t="s">
        <v>161</v>
      </c>
      <c r="X1840" s="106" t="s">
        <v>296</v>
      </c>
      <c r="Y1840" s="107" t="s">
        <v>12</v>
      </c>
      <c r="Z1840" s="67">
        <f>IF(База_КР_КК[[#This Row],[Таб.номер резервиста]]="-","-",IF(OR(База_КР_КК[[#This Row],[Уровень КК]]=2,База_КР_КК[[#This Row],[Уровень КК]]=3),IF(COUNTIFS($U$2:$U1840,$U1840,$F$2:$F1840,$F1840)=1,1,0),IF(COUNTIFS($U$2:$U1840,$U1840,$L$2:$L1840,$L1840)=1,1,0)))</f>
        <v>0</v>
      </c>
      <c r="AA18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0" s="106"/>
      <c r="AC1840" s="51"/>
      <c r="AD1840" s="106" t="s">
        <v>15</v>
      </c>
      <c r="AE1840" s="40" t="s">
        <v>310</v>
      </c>
    </row>
    <row r="1841" spans="1:31" ht="18" customHeight="1" x14ac:dyDescent="0.25">
      <c r="A18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1" s="79">
        <v>4</v>
      </c>
      <c r="C1841" s="23">
        <v>44887</v>
      </c>
      <c r="D1841" s="67">
        <f>IF(COUNTIF($G$2:$G1841,$G1841)=1,1,0)</f>
        <v>0</v>
      </c>
      <c r="E1841" s="67" t="str">
        <f>IFERROR(VLOOKUP(База_КР_КК[[#This Row],[ИД штатной должности (S)]],'уровень защищенности'!$B$7:$F$1095,5,0),"не защищена")</f>
        <v>высокий</v>
      </c>
      <c r="F1841" s="68">
        <v>500453</v>
      </c>
      <c r="G1841" s="74" t="s">
        <v>2578</v>
      </c>
      <c r="H1841" s="181">
        <f>INDEX('Списки данных'!$D$2:$D$1048576,MATCH(База_КР_КК[[#This Row],[Структурное подразделение]],'Списки данных'!$C$2:$C$1048576,0))</f>
        <v>15</v>
      </c>
      <c r="I1841" s="80" t="s">
        <v>161</v>
      </c>
      <c r="J1841" s="80" t="s">
        <v>214</v>
      </c>
      <c r="K1841" s="80" t="s">
        <v>21</v>
      </c>
      <c r="L1841" s="30" t="s">
        <v>191</v>
      </c>
      <c r="M1841" s="68">
        <v>7</v>
      </c>
      <c r="N1841" s="181" t="str">
        <f t="shared" si="29"/>
        <v>нет</v>
      </c>
      <c r="O1841" s="23"/>
      <c r="P1841" s="23"/>
      <c r="Q1841" s="106"/>
      <c r="R1841" s="37">
        <v>408</v>
      </c>
      <c r="S1841" s="38" t="s">
        <v>820</v>
      </c>
      <c r="T1841" s="37">
        <v>1404</v>
      </c>
      <c r="U1841" s="39" t="s">
        <v>1787</v>
      </c>
      <c r="V1841" s="69" t="s">
        <v>272</v>
      </c>
      <c r="W1841" s="89" t="s">
        <v>161</v>
      </c>
      <c r="X1841" s="106" t="s">
        <v>296</v>
      </c>
      <c r="Y1841" s="107" t="s">
        <v>12</v>
      </c>
      <c r="Z1841" s="67">
        <f>IF(База_КР_КК[[#This Row],[Таб.номер резервиста]]="-","-",IF(OR(База_КР_КК[[#This Row],[Уровень КК]]=2,База_КР_КК[[#This Row],[Уровень КК]]=3),IF(COUNTIFS($U$2:$U1841,$U1841,$F$2:$F1841,$F1841)=1,1,0),IF(COUNTIFS($U$2:$U1841,$U1841,$L$2:$L1841,$L1841)=1,1,0)))</f>
        <v>0</v>
      </c>
      <c r="AA18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1" s="106"/>
      <c r="AC1841" s="51"/>
      <c r="AD1841" s="106" t="s">
        <v>15</v>
      </c>
      <c r="AE1841" s="40" t="s">
        <v>310</v>
      </c>
    </row>
    <row r="1842" spans="1:31" ht="18" customHeight="1" x14ac:dyDescent="0.25">
      <c r="A18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2" s="79">
        <v>4</v>
      </c>
      <c r="C1842" s="23">
        <v>44887</v>
      </c>
      <c r="D1842" s="67">
        <f>IF(COUNTIF($G$2:$G1842,$G1842)=1,1,0)</f>
        <v>0</v>
      </c>
      <c r="E1842" s="67" t="str">
        <f>IFERROR(VLOOKUP(База_КР_КК[[#This Row],[ИД штатной должности (S)]],'уровень защищенности'!$B$7:$F$1095,5,0),"не защищена")</f>
        <v>высокий</v>
      </c>
      <c r="F1842" s="68">
        <v>500453</v>
      </c>
      <c r="G1842" s="74" t="s">
        <v>2578</v>
      </c>
      <c r="H1842" s="181">
        <f>INDEX('Списки данных'!$D$2:$D$1048576,MATCH(База_КР_КК[[#This Row],[Структурное подразделение]],'Списки данных'!$C$2:$C$1048576,0))</f>
        <v>15</v>
      </c>
      <c r="I1842" s="80" t="s">
        <v>161</v>
      </c>
      <c r="J1842" s="80" t="s">
        <v>214</v>
      </c>
      <c r="K1842" s="80" t="s">
        <v>21</v>
      </c>
      <c r="L1842" s="30" t="s">
        <v>191</v>
      </c>
      <c r="M1842" s="68">
        <v>7</v>
      </c>
      <c r="N1842" s="181" t="str">
        <f t="shared" si="29"/>
        <v>нет</v>
      </c>
      <c r="O1842" s="23"/>
      <c r="P1842" s="23"/>
      <c r="Q1842" s="106"/>
      <c r="R1842" s="37">
        <v>408</v>
      </c>
      <c r="S1842" s="38" t="s">
        <v>820</v>
      </c>
      <c r="T1842" s="37">
        <v>1405</v>
      </c>
      <c r="U1842" s="39" t="s">
        <v>1788</v>
      </c>
      <c r="V1842" s="69" t="s">
        <v>272</v>
      </c>
      <c r="W1842" s="89" t="s">
        <v>161</v>
      </c>
      <c r="X1842" s="106" t="s">
        <v>296</v>
      </c>
      <c r="Y1842" s="107" t="s">
        <v>12</v>
      </c>
      <c r="Z1842" s="67">
        <f>IF(База_КР_КК[[#This Row],[Таб.номер резервиста]]="-","-",IF(OR(База_КР_КК[[#This Row],[Уровень КК]]=2,База_КР_КК[[#This Row],[Уровень КК]]=3),IF(COUNTIFS($U$2:$U1842,$U1842,$F$2:$F1842,$F1842)=1,1,0),IF(COUNTIFS($U$2:$U1842,$U1842,$L$2:$L1842,$L1842)=1,1,0)))</f>
        <v>0</v>
      </c>
      <c r="AA18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2" s="106"/>
      <c r="AC1842" s="51"/>
      <c r="AD1842" s="106" t="s">
        <v>15</v>
      </c>
      <c r="AE1842" s="40" t="s">
        <v>310</v>
      </c>
    </row>
    <row r="1843" spans="1:31" ht="18" customHeight="1" x14ac:dyDescent="0.25">
      <c r="A18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3" s="79">
        <v>4</v>
      </c>
      <c r="C1843" s="23">
        <v>44424</v>
      </c>
      <c r="D1843" s="67">
        <f>IF(COUNTIF($G$2:$G1843,$G1843)=1,1,0)</f>
        <v>0</v>
      </c>
      <c r="E1843" s="67" t="str">
        <f>IFERROR(VLOOKUP(База_КР_КК[[#This Row],[ИД штатной должности (S)]],'уровень защищенности'!$B$7:$F$1095,5,0),"не защищена")</f>
        <v>высокий</v>
      </c>
      <c r="F1843" s="68">
        <v>500453</v>
      </c>
      <c r="G1843" s="74" t="s">
        <v>2578</v>
      </c>
      <c r="H1843" s="181">
        <f>INDEX('Списки данных'!$D$2:$D$1048576,MATCH(База_КР_КК[[#This Row],[Структурное подразделение]],'Списки данных'!$C$2:$C$1048576,0))</f>
        <v>15</v>
      </c>
      <c r="I1843" s="80" t="s">
        <v>161</v>
      </c>
      <c r="J1843" s="80" t="s">
        <v>214</v>
      </c>
      <c r="K1843" s="80" t="s">
        <v>21</v>
      </c>
      <c r="L1843" s="30" t="s">
        <v>191</v>
      </c>
      <c r="M1843" s="68">
        <v>7</v>
      </c>
      <c r="N1843" s="181" t="str">
        <f t="shared" si="29"/>
        <v>нет</v>
      </c>
      <c r="O1843" s="23"/>
      <c r="P1843" s="23"/>
      <c r="Q1843" s="106"/>
      <c r="R1843" s="37">
        <v>408</v>
      </c>
      <c r="S1843" s="38" t="s">
        <v>820</v>
      </c>
      <c r="T1843" s="37">
        <v>317</v>
      </c>
      <c r="U1843" s="39" t="s">
        <v>729</v>
      </c>
      <c r="V1843" s="69" t="s">
        <v>191</v>
      </c>
      <c r="W1843" s="89" t="s">
        <v>161</v>
      </c>
      <c r="X1843" s="106" t="s">
        <v>295</v>
      </c>
      <c r="Y1843" s="107" t="s">
        <v>14</v>
      </c>
      <c r="Z1843" s="67">
        <f>IF(База_КР_КК[[#This Row],[Таб.номер резервиста]]="-","-",IF(OR(База_КР_КК[[#This Row],[Уровень КК]]=2,База_КР_КК[[#This Row],[Уровень КК]]=3),IF(COUNTIFS($U$2:$U1843,$U1843,$F$2:$F1843,$F1843)=1,1,0),IF(COUNTIFS($U$2:$U1843,$U1843,$L$2:$L1843,$L1843)=1,1,0)))</f>
        <v>0</v>
      </c>
      <c r="AA18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3" s="106" t="s">
        <v>24</v>
      </c>
      <c r="AC1843" s="51">
        <v>44866</v>
      </c>
      <c r="AD1843" s="106" t="s">
        <v>15</v>
      </c>
      <c r="AE1843" s="38" t="s">
        <v>347</v>
      </c>
    </row>
    <row r="1844" spans="1:31" ht="18" customHeight="1" x14ac:dyDescent="0.25">
      <c r="A18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4" s="79">
        <v>4</v>
      </c>
      <c r="C1844" s="23">
        <v>44424</v>
      </c>
      <c r="D1844" s="67">
        <f>IF(COUNTIF($G$2:$G1844,$G1844)=1,1,0)</f>
        <v>1</v>
      </c>
      <c r="E1844" s="67" t="str">
        <f>IFERROR(VLOOKUP(База_КР_КК[[#This Row],[ИД штатной должности (S)]],'уровень защищенности'!$B$7:$F$1095,5,0),"не защищена")</f>
        <v>высокий</v>
      </c>
      <c r="F1844" s="68">
        <v>500457</v>
      </c>
      <c r="G1844" s="74" t="s">
        <v>2579</v>
      </c>
      <c r="H1844" s="181">
        <f>INDEX('Списки данных'!$D$2:$D$1048576,MATCH(База_КР_КК[[#This Row],[Структурное подразделение]],'Списки данных'!$C$2:$C$1048576,0))</f>
        <v>15</v>
      </c>
      <c r="I1844" s="80" t="s">
        <v>161</v>
      </c>
      <c r="J1844" s="80" t="s">
        <v>214</v>
      </c>
      <c r="K1844" s="80" t="s">
        <v>21</v>
      </c>
      <c r="L1844" s="30" t="s">
        <v>191</v>
      </c>
      <c r="M1844" s="68">
        <v>7</v>
      </c>
      <c r="N1844" s="181" t="str">
        <f t="shared" si="29"/>
        <v>нет</v>
      </c>
      <c r="O1844" s="23"/>
      <c r="P1844" s="23"/>
      <c r="Q1844" s="106"/>
      <c r="R1844" s="37">
        <v>409</v>
      </c>
      <c r="S1844" s="38" t="s">
        <v>821</v>
      </c>
      <c r="T1844" s="37">
        <v>1418</v>
      </c>
      <c r="U1844" s="39" t="s">
        <v>1799</v>
      </c>
      <c r="V1844" s="69" t="s">
        <v>272</v>
      </c>
      <c r="W1844" s="89" t="s">
        <v>161</v>
      </c>
      <c r="X1844" s="106" t="s">
        <v>296</v>
      </c>
      <c r="Y1844" s="107" t="s">
        <v>12</v>
      </c>
      <c r="Z1844" s="67">
        <f>IF(База_КР_КК[[#This Row],[Таб.номер резервиста]]="-","-",IF(OR(База_КР_КК[[#This Row],[Уровень КК]]=2,База_КР_КК[[#This Row],[Уровень КК]]=3),IF(COUNTIFS($U$2:$U1844,$U1844,$F$2:$F1844,$F1844)=1,1,0),IF(COUNTIFS($U$2:$U1844,$U1844,$L$2:$L1844,$L1844)=1,1,0)))</f>
        <v>0</v>
      </c>
      <c r="AA18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4" s="106"/>
      <c r="AC1844" s="51"/>
      <c r="AD1844" s="106" t="s">
        <v>15</v>
      </c>
      <c r="AE1844" s="38" t="s">
        <v>347</v>
      </c>
    </row>
    <row r="1845" spans="1:31" ht="18" customHeight="1" x14ac:dyDescent="0.25">
      <c r="A18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5" s="79">
        <v>4</v>
      </c>
      <c r="C1845" s="23">
        <v>44424</v>
      </c>
      <c r="D1845" s="67">
        <f>IF(COUNTIF($G$2:$G1845,$G1845)=1,1,0)</f>
        <v>0</v>
      </c>
      <c r="E1845" s="67" t="str">
        <f>IFERROR(VLOOKUP(База_КР_КК[[#This Row],[ИД штатной должности (S)]],'уровень защищенности'!$B$7:$F$1095,5,0),"не защищена")</f>
        <v>высокий</v>
      </c>
      <c r="F1845" s="68">
        <v>500457</v>
      </c>
      <c r="G1845" s="74" t="s">
        <v>2579</v>
      </c>
      <c r="H1845" s="181">
        <f>INDEX('Списки данных'!$D$2:$D$1048576,MATCH(База_КР_КК[[#This Row],[Структурное подразделение]],'Списки данных'!$C$2:$C$1048576,0))</f>
        <v>15</v>
      </c>
      <c r="I1845" s="80" t="s">
        <v>161</v>
      </c>
      <c r="J1845" s="80" t="s">
        <v>214</v>
      </c>
      <c r="K1845" s="80" t="s">
        <v>21</v>
      </c>
      <c r="L1845" s="30" t="s">
        <v>191</v>
      </c>
      <c r="M1845" s="68">
        <v>7</v>
      </c>
      <c r="N1845" s="181" t="str">
        <f t="shared" si="29"/>
        <v>нет</v>
      </c>
      <c r="O1845" s="23"/>
      <c r="P1845" s="23"/>
      <c r="Q1845" s="106"/>
      <c r="R1845" s="37">
        <v>409</v>
      </c>
      <c r="S1845" s="38" t="s">
        <v>821</v>
      </c>
      <c r="T1845" s="37">
        <v>1419</v>
      </c>
      <c r="U1845" s="39" t="s">
        <v>1800</v>
      </c>
      <c r="V1845" s="69" t="s">
        <v>272</v>
      </c>
      <c r="W1845" s="89" t="s">
        <v>161</v>
      </c>
      <c r="X1845" s="106" t="s">
        <v>296</v>
      </c>
      <c r="Y1845" s="107" t="s">
        <v>12</v>
      </c>
      <c r="Z1845" s="67">
        <f>IF(База_КР_КК[[#This Row],[Таб.номер резервиста]]="-","-",IF(OR(База_КР_КК[[#This Row],[Уровень КК]]=2,База_КР_КК[[#This Row],[Уровень КК]]=3),IF(COUNTIFS($U$2:$U1845,$U1845,$F$2:$F1845,$F1845)=1,1,0),IF(COUNTIFS($U$2:$U1845,$U1845,$L$2:$L1845,$L1845)=1,1,0)))</f>
        <v>0</v>
      </c>
      <c r="AA18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5" s="106"/>
      <c r="AC1845" s="51"/>
      <c r="AD1845" s="106" t="s">
        <v>15</v>
      </c>
      <c r="AE1845" s="38" t="s">
        <v>347</v>
      </c>
    </row>
    <row r="1846" spans="1:31" ht="18" customHeight="1" x14ac:dyDescent="0.25">
      <c r="A18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6" s="79">
        <v>4</v>
      </c>
      <c r="C1846" s="23">
        <v>44424</v>
      </c>
      <c r="D1846" s="67">
        <f>IF(COUNTIF($G$2:$G1846,$G1846)=1,1,0)</f>
        <v>0</v>
      </c>
      <c r="E1846" s="67" t="str">
        <f>IFERROR(VLOOKUP(База_КР_КК[[#This Row],[ИД штатной должности (S)]],'уровень защищенности'!$B$7:$F$1095,5,0),"не защищена")</f>
        <v>высокий</v>
      </c>
      <c r="F1846" s="68">
        <v>500457</v>
      </c>
      <c r="G1846" s="74" t="s">
        <v>2579</v>
      </c>
      <c r="H1846" s="181">
        <f>INDEX('Списки данных'!$D$2:$D$1048576,MATCH(База_КР_КК[[#This Row],[Структурное подразделение]],'Списки данных'!$C$2:$C$1048576,0))</f>
        <v>15</v>
      </c>
      <c r="I1846" s="80" t="s">
        <v>161</v>
      </c>
      <c r="J1846" s="80" t="s">
        <v>214</v>
      </c>
      <c r="K1846" s="80" t="s">
        <v>21</v>
      </c>
      <c r="L1846" s="30" t="s">
        <v>191</v>
      </c>
      <c r="M1846" s="68">
        <v>7</v>
      </c>
      <c r="N1846" s="181" t="str">
        <f t="shared" si="29"/>
        <v>нет</v>
      </c>
      <c r="O1846" s="23"/>
      <c r="P1846" s="23"/>
      <c r="Q1846" s="106"/>
      <c r="R1846" s="37">
        <v>409</v>
      </c>
      <c r="S1846" s="38" t="s">
        <v>821</v>
      </c>
      <c r="T1846" s="37">
        <v>1420</v>
      </c>
      <c r="U1846" s="39" t="s">
        <v>1801</v>
      </c>
      <c r="V1846" s="69" t="s">
        <v>272</v>
      </c>
      <c r="W1846" s="89" t="s">
        <v>161</v>
      </c>
      <c r="X1846" s="106" t="s">
        <v>295</v>
      </c>
      <c r="Y1846" s="107" t="s">
        <v>12</v>
      </c>
      <c r="Z1846" s="67">
        <f>IF(База_КР_КК[[#This Row],[Таб.номер резервиста]]="-","-",IF(OR(База_КР_КК[[#This Row],[Уровень КК]]=2,База_КР_КК[[#This Row],[Уровень КК]]=3),IF(COUNTIFS($U$2:$U1846,$U1846,$F$2:$F1846,$F1846)=1,1,0),IF(COUNTIFS($U$2:$U1846,$U1846,$L$2:$L1846,$L1846)=1,1,0)))</f>
        <v>0</v>
      </c>
      <c r="AA18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6" s="106"/>
      <c r="AC1846" s="51"/>
      <c r="AD1846" s="106" t="s">
        <v>15</v>
      </c>
      <c r="AE1846" s="38" t="s">
        <v>347</v>
      </c>
    </row>
    <row r="1847" spans="1:31" ht="18" customHeight="1" x14ac:dyDescent="0.25">
      <c r="A18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7" s="79">
        <v>4</v>
      </c>
      <c r="C1847" s="23">
        <v>44424</v>
      </c>
      <c r="D1847" s="67">
        <f>IF(COUNTIF($G$2:$G1847,$G1847)=1,1,0)</f>
        <v>0</v>
      </c>
      <c r="E1847" s="67" t="str">
        <f>IFERROR(VLOOKUP(База_КР_КК[[#This Row],[ИД штатной должности (S)]],'уровень защищенности'!$B$7:$F$1095,5,0),"не защищена")</f>
        <v>высокий</v>
      </c>
      <c r="F1847" s="68">
        <v>500457</v>
      </c>
      <c r="G1847" s="74" t="s">
        <v>2579</v>
      </c>
      <c r="H1847" s="181">
        <f>INDEX('Списки данных'!$D$2:$D$1048576,MATCH(База_КР_КК[[#This Row],[Структурное подразделение]],'Списки данных'!$C$2:$C$1048576,0))</f>
        <v>15</v>
      </c>
      <c r="I1847" s="80" t="s">
        <v>161</v>
      </c>
      <c r="J1847" s="80" t="s">
        <v>214</v>
      </c>
      <c r="K1847" s="80" t="s">
        <v>21</v>
      </c>
      <c r="L1847" s="30" t="s">
        <v>191</v>
      </c>
      <c r="M1847" s="68">
        <v>7</v>
      </c>
      <c r="N1847" s="181" t="str">
        <f t="shared" si="29"/>
        <v>нет</v>
      </c>
      <c r="O1847" s="23"/>
      <c r="P1847" s="23"/>
      <c r="Q1847" s="106"/>
      <c r="R1847" s="37">
        <v>409</v>
      </c>
      <c r="S1847" s="38" t="s">
        <v>821</v>
      </c>
      <c r="T1847" s="37">
        <v>1421</v>
      </c>
      <c r="U1847" s="39" t="s">
        <v>1674</v>
      </c>
      <c r="V1847" s="69" t="s">
        <v>272</v>
      </c>
      <c r="W1847" s="89" t="s">
        <v>161</v>
      </c>
      <c r="X1847" s="106" t="s">
        <v>295</v>
      </c>
      <c r="Y1847" s="107" t="s">
        <v>12</v>
      </c>
      <c r="Z1847" s="67">
        <f>IF(База_КР_КК[[#This Row],[Таб.номер резервиста]]="-","-",IF(OR(База_КР_КК[[#This Row],[Уровень КК]]=2,База_КР_КК[[#This Row],[Уровень КК]]=3),IF(COUNTIFS($U$2:$U1847,$U1847,$F$2:$F1847,$F1847)=1,1,0),IF(COUNTIFS($U$2:$U1847,$U1847,$L$2:$L1847,$L1847)=1,1,0)))</f>
        <v>0</v>
      </c>
      <c r="AA18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7" s="106"/>
      <c r="AC1847" s="51"/>
      <c r="AD1847" s="106" t="s">
        <v>15</v>
      </c>
      <c r="AE1847" s="38" t="s">
        <v>347</v>
      </c>
    </row>
    <row r="1848" spans="1:31" ht="18" customHeight="1" x14ac:dyDescent="0.25">
      <c r="A18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8" s="79">
        <v>4</v>
      </c>
      <c r="C1848" s="23">
        <v>44887</v>
      </c>
      <c r="D1848" s="67">
        <f>IF(COUNTIF($G$2:$G1848,$G1848)=1,1,0)</f>
        <v>0</v>
      </c>
      <c r="E1848" s="67" t="str">
        <f>IFERROR(VLOOKUP(База_КР_КК[[#This Row],[ИД штатной должности (S)]],'уровень защищенности'!$B$7:$F$1095,5,0),"не защищена")</f>
        <v>высокий</v>
      </c>
      <c r="F1848" s="68">
        <v>500457</v>
      </c>
      <c r="G1848" s="74" t="s">
        <v>2579</v>
      </c>
      <c r="H1848" s="181">
        <f>INDEX('Списки данных'!$D$2:$D$1048576,MATCH(База_КР_КК[[#This Row],[Структурное подразделение]],'Списки данных'!$C$2:$C$1048576,0))</f>
        <v>15</v>
      </c>
      <c r="I1848" s="80" t="s">
        <v>161</v>
      </c>
      <c r="J1848" s="80" t="s">
        <v>214</v>
      </c>
      <c r="K1848" s="80" t="s">
        <v>21</v>
      </c>
      <c r="L1848" s="30" t="s">
        <v>191</v>
      </c>
      <c r="M1848" s="68">
        <v>7</v>
      </c>
      <c r="N1848" s="181" t="str">
        <f t="shared" si="29"/>
        <v>нет</v>
      </c>
      <c r="O1848" s="23"/>
      <c r="P1848" s="23"/>
      <c r="Q1848" s="106"/>
      <c r="R1848" s="37">
        <v>409</v>
      </c>
      <c r="S1848" s="38" t="s">
        <v>821</v>
      </c>
      <c r="T1848" s="37">
        <v>1422</v>
      </c>
      <c r="U1848" s="39" t="s">
        <v>1802</v>
      </c>
      <c r="V1848" s="69" t="s">
        <v>272</v>
      </c>
      <c r="W1848" s="89" t="s">
        <v>161</v>
      </c>
      <c r="X1848" s="106" t="s">
        <v>296</v>
      </c>
      <c r="Y1848" s="107" t="s">
        <v>12</v>
      </c>
      <c r="Z1848" s="67">
        <f>IF(База_КР_КК[[#This Row],[Таб.номер резервиста]]="-","-",IF(OR(База_КР_КК[[#This Row],[Уровень КК]]=2,База_КР_КК[[#This Row],[Уровень КК]]=3),IF(COUNTIFS($U$2:$U1848,$U1848,$F$2:$F1848,$F1848)=1,1,0),IF(COUNTIFS($U$2:$U1848,$U1848,$L$2:$L1848,$L1848)=1,1,0)))</f>
        <v>0</v>
      </c>
      <c r="AA18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8" s="106"/>
      <c r="AC1848" s="51"/>
      <c r="AD1848" s="106" t="s">
        <v>15</v>
      </c>
      <c r="AE1848" s="40" t="s">
        <v>310</v>
      </c>
    </row>
    <row r="1849" spans="1:31" ht="18" customHeight="1" x14ac:dyDescent="0.25">
      <c r="A18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49" s="79">
        <v>3</v>
      </c>
      <c r="C1849" s="23">
        <v>43080</v>
      </c>
      <c r="D1849" s="67">
        <f>IF(COUNTIF($G$2:$G1849,$G1849)=1,1,0)</f>
        <v>1</v>
      </c>
      <c r="E1849" s="67" t="str">
        <f>IFERROR(VLOOKUP(База_КР_КК[[#This Row],[ИД штатной должности (S)]],'уровень защищенности'!$B$7:$F$1095,5,0),"не защищена")</f>
        <v>средний</v>
      </c>
      <c r="F1849" s="68">
        <v>500255</v>
      </c>
      <c r="G1849" s="74" t="s">
        <v>2580</v>
      </c>
      <c r="H1849" s="181">
        <f>INDEX('Списки данных'!$D$2:$D$1048576,MATCH(База_КР_КК[[#This Row],[Структурное подразделение]],'Списки данных'!$C$2:$C$1048576,0))</f>
        <v>13</v>
      </c>
      <c r="I1849" s="80" t="s">
        <v>173</v>
      </c>
      <c r="J1849" s="80" t="s">
        <v>212</v>
      </c>
      <c r="K1849" s="80" t="s">
        <v>21</v>
      </c>
      <c r="L1849" s="30" t="s">
        <v>183</v>
      </c>
      <c r="M1849" s="68">
        <v>4</v>
      </c>
      <c r="N1849" s="181" t="str">
        <f t="shared" si="29"/>
        <v>да</v>
      </c>
      <c r="O1849" s="23">
        <v>43586</v>
      </c>
      <c r="P1849" s="23">
        <v>43774</v>
      </c>
      <c r="Q1849" s="106" t="s">
        <v>66</v>
      </c>
      <c r="R1849" s="37">
        <v>410</v>
      </c>
      <c r="S1849" s="38" t="s">
        <v>822</v>
      </c>
      <c r="T1849" s="37">
        <v>1509</v>
      </c>
      <c r="U1849" s="39" t="s">
        <v>1819</v>
      </c>
      <c r="V1849" s="89" t="s">
        <v>189</v>
      </c>
      <c r="W1849" s="89" t="s">
        <v>173</v>
      </c>
      <c r="X1849" s="106" t="s">
        <v>297</v>
      </c>
      <c r="Y1849" s="107" t="s">
        <v>12</v>
      </c>
      <c r="Z1849" s="67">
        <f>IF(База_КР_КК[[#This Row],[Таб.номер резервиста]]="-","-",IF(OR(База_КР_КК[[#This Row],[Уровень КК]]=2,База_КР_КК[[#This Row],[Уровень КК]]=3),IF(COUNTIFS($U$2:$U1849,$U1849,$F$2:$F1849,$F1849)=1,1,0),IF(COUNTIFS($U$2:$U1849,$U1849,$L$2:$L1849,$L1849)=1,1,0)))</f>
        <v>1</v>
      </c>
      <c r="AA18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49" s="106"/>
      <c r="AC1849" s="51"/>
      <c r="AD1849" s="106" t="s">
        <v>13</v>
      </c>
      <c r="AE1849" s="38" t="s">
        <v>303</v>
      </c>
    </row>
    <row r="1850" spans="1:31" ht="18" customHeight="1" x14ac:dyDescent="0.25">
      <c r="A18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0" s="79">
        <v>3</v>
      </c>
      <c r="C1850" s="23">
        <v>43080</v>
      </c>
      <c r="D1850" s="67">
        <f>IF(COUNTIF($G$2:$G1850,$G1850)=1,1,0)</f>
        <v>0</v>
      </c>
      <c r="E1850" s="67" t="str">
        <f>IFERROR(VLOOKUP(База_КР_КК[[#This Row],[ИД штатной должности (S)]],'уровень защищенности'!$B$7:$F$1095,5,0),"не защищена")</f>
        <v>средний</v>
      </c>
      <c r="F1850" s="68">
        <v>500255</v>
      </c>
      <c r="G1850" s="74" t="s">
        <v>2580</v>
      </c>
      <c r="H1850" s="181">
        <f>INDEX('Списки данных'!$D$2:$D$1048576,MATCH(База_КР_КК[[#This Row],[Структурное подразделение]],'Списки данных'!$C$2:$C$1048576,0))</f>
        <v>13</v>
      </c>
      <c r="I1850" s="80" t="s">
        <v>173</v>
      </c>
      <c r="J1850" s="80" t="s">
        <v>212</v>
      </c>
      <c r="K1850" s="80" t="s">
        <v>21</v>
      </c>
      <c r="L1850" s="30" t="s">
        <v>183</v>
      </c>
      <c r="M1850" s="68">
        <v>4</v>
      </c>
      <c r="N1850" s="181" t="str">
        <f t="shared" si="29"/>
        <v>да</v>
      </c>
      <c r="O1850" s="23">
        <v>43586</v>
      </c>
      <c r="P1850" s="23">
        <v>43774</v>
      </c>
      <c r="Q1850" s="106" t="s">
        <v>66</v>
      </c>
      <c r="R1850" s="37">
        <v>410</v>
      </c>
      <c r="S1850" s="38" t="s">
        <v>822</v>
      </c>
      <c r="T1850" s="37">
        <v>411</v>
      </c>
      <c r="U1850" s="39" t="s">
        <v>823</v>
      </c>
      <c r="V1850" s="89" t="s">
        <v>187</v>
      </c>
      <c r="W1850" s="89" t="s">
        <v>173</v>
      </c>
      <c r="X1850" s="106" t="s">
        <v>297</v>
      </c>
      <c r="Y1850" s="107" t="s">
        <v>12</v>
      </c>
      <c r="Z1850" s="67">
        <f>IF(База_КР_КК[[#This Row],[Таб.номер резервиста]]="-","-",IF(OR(База_КР_КК[[#This Row],[Уровень КК]]=2,База_КР_КК[[#This Row],[Уровень КК]]=3),IF(COUNTIFS($U$2:$U1850,$U1850,$F$2:$F1850,$F1850)=1,1,0),IF(COUNTIFS($U$2:$U1850,$U1850,$L$2:$L1850,$L1850)=1,1,0)))</f>
        <v>1</v>
      </c>
      <c r="AA18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0" s="106"/>
      <c r="AC1850" s="51"/>
      <c r="AD1850" s="106" t="s">
        <v>13</v>
      </c>
      <c r="AE1850" s="38" t="s">
        <v>303</v>
      </c>
    </row>
    <row r="1851" spans="1:31" ht="18" customHeight="1" x14ac:dyDescent="0.25">
      <c r="A18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1" s="79">
        <v>3</v>
      </c>
      <c r="C1851" s="23">
        <v>44340</v>
      </c>
      <c r="D1851" s="67">
        <f>IF(COUNTIF($G$2:$G1851,$G1851)=1,1,0)</f>
        <v>0</v>
      </c>
      <c r="E1851" s="67" t="str">
        <f>IFERROR(VLOOKUP(База_КР_КК[[#This Row],[ИД штатной должности (S)]],'уровень защищенности'!$B$7:$F$1095,5,0),"не защищена")</f>
        <v>средний</v>
      </c>
      <c r="F1851" s="68">
        <v>500255</v>
      </c>
      <c r="G1851" s="74" t="s">
        <v>2580</v>
      </c>
      <c r="H1851" s="181">
        <f>INDEX('Списки данных'!$D$2:$D$1048576,MATCH(База_КР_КК[[#This Row],[Структурное подразделение]],'Списки данных'!$C$2:$C$1048576,0))</f>
        <v>13</v>
      </c>
      <c r="I1851" s="80" t="s">
        <v>173</v>
      </c>
      <c r="J1851" s="80" t="s">
        <v>212</v>
      </c>
      <c r="K1851" s="80" t="s">
        <v>21</v>
      </c>
      <c r="L1851" s="30" t="s">
        <v>183</v>
      </c>
      <c r="M1851" s="68">
        <v>4</v>
      </c>
      <c r="N1851" s="181" t="str">
        <f t="shared" si="29"/>
        <v>да</v>
      </c>
      <c r="O1851" s="23">
        <v>43586</v>
      </c>
      <c r="P1851" s="23">
        <v>43774</v>
      </c>
      <c r="Q1851" s="106" t="s">
        <v>66</v>
      </c>
      <c r="R1851" s="37">
        <v>410</v>
      </c>
      <c r="S1851" s="38" t="s">
        <v>822</v>
      </c>
      <c r="T1851" s="37">
        <v>1510</v>
      </c>
      <c r="U1851" s="39" t="s">
        <v>1873</v>
      </c>
      <c r="V1851" s="69" t="s">
        <v>179</v>
      </c>
      <c r="W1851" s="89" t="s">
        <v>128</v>
      </c>
      <c r="X1851" s="106" t="s">
        <v>296</v>
      </c>
      <c r="Y1851" s="107" t="s">
        <v>12</v>
      </c>
      <c r="Z1851" s="67">
        <f>IF(База_КР_КК[[#This Row],[Таб.номер резервиста]]="-","-",IF(OR(База_КР_КК[[#This Row],[Уровень КК]]=2,База_КР_КК[[#This Row],[Уровень КК]]=3),IF(COUNTIFS($U$2:$U1851,$U1851,$F$2:$F1851,$F1851)=1,1,0),IF(COUNTIFS($U$2:$U1851,$U1851,$L$2:$L1851,$L1851)=1,1,0)))</f>
        <v>1</v>
      </c>
      <c r="AA18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1" s="106"/>
      <c r="AC1851" s="51"/>
      <c r="AD1851" s="106" t="s">
        <v>15</v>
      </c>
      <c r="AE1851" s="38" t="s">
        <v>303</v>
      </c>
    </row>
    <row r="1852" spans="1:31" ht="18" customHeight="1" x14ac:dyDescent="0.25">
      <c r="A18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2" s="79">
        <v>3</v>
      </c>
      <c r="C1852" s="23">
        <v>44707</v>
      </c>
      <c r="D1852" s="67">
        <f>IF(COUNTIF($G$2:$G1852,$G1852)=1,1,0)</f>
        <v>0</v>
      </c>
      <c r="E1852" s="67" t="str">
        <f>IFERROR(VLOOKUP(База_КР_КК[[#This Row],[ИД штатной должности (S)]],'уровень защищенности'!$B$7:$F$1095,5,0),"не защищена")</f>
        <v>средний</v>
      </c>
      <c r="F1852" s="68">
        <v>500255</v>
      </c>
      <c r="G1852" s="74" t="s">
        <v>2580</v>
      </c>
      <c r="H1852" s="181">
        <f>INDEX('Списки данных'!$D$2:$D$1048576,MATCH(База_КР_КК[[#This Row],[Структурное подразделение]],'Списки данных'!$C$2:$C$1048576,0))</f>
        <v>13</v>
      </c>
      <c r="I1852" s="80" t="s">
        <v>173</v>
      </c>
      <c r="J1852" s="80" t="s">
        <v>212</v>
      </c>
      <c r="K1852" s="80" t="s">
        <v>21</v>
      </c>
      <c r="L1852" s="30" t="s">
        <v>183</v>
      </c>
      <c r="M1852" s="68">
        <v>4</v>
      </c>
      <c r="N1852" s="181" t="str">
        <f t="shared" si="29"/>
        <v>да</v>
      </c>
      <c r="O1852" s="23">
        <v>43586</v>
      </c>
      <c r="P1852" s="23">
        <v>43774</v>
      </c>
      <c r="Q1852" s="106" t="s">
        <v>66</v>
      </c>
      <c r="R1852" s="37">
        <v>410</v>
      </c>
      <c r="S1852" s="38" t="s">
        <v>822</v>
      </c>
      <c r="T1852" s="37">
        <v>466</v>
      </c>
      <c r="U1852" s="39" t="s">
        <v>878</v>
      </c>
      <c r="V1852" s="89" t="s">
        <v>187</v>
      </c>
      <c r="W1852" s="89" t="s">
        <v>173</v>
      </c>
      <c r="X1852" s="106" t="s">
        <v>296</v>
      </c>
      <c r="Y1852" s="107" t="s">
        <v>12</v>
      </c>
      <c r="Z1852" s="67">
        <f>IF(База_КР_КК[[#This Row],[Таб.номер резервиста]]="-","-",IF(OR(База_КР_КК[[#This Row],[Уровень КК]]=2,База_КР_КК[[#This Row],[Уровень КК]]=3),IF(COUNTIFS($U$2:$U1852,$U1852,$F$2:$F1852,$F1852)=1,1,0),IF(COUNTIFS($U$2:$U1852,$U1852,$L$2:$L1852,$L1852)=1,1,0)))</f>
        <v>1</v>
      </c>
      <c r="AA18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2" s="106"/>
      <c r="AC1852" s="51"/>
      <c r="AD1852" s="106" t="s">
        <v>15</v>
      </c>
      <c r="AE1852" s="38" t="s">
        <v>345</v>
      </c>
    </row>
    <row r="1853" spans="1:31" ht="18" customHeight="1" x14ac:dyDescent="0.25">
      <c r="A18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3" s="79">
        <v>3</v>
      </c>
      <c r="C1853" s="23">
        <v>43080</v>
      </c>
      <c r="D1853" s="67">
        <f>IF(COUNTIF($G$2:$G1853,$G1853)=1,1,0)</f>
        <v>0</v>
      </c>
      <c r="E1853" s="67" t="str">
        <f>IFERROR(VLOOKUP(База_КР_КК[[#This Row],[ИД штатной должности (S)]],'уровень защищенности'!$B$7:$F$1095,5,0),"не защищена")</f>
        <v>средний</v>
      </c>
      <c r="F1853" s="68">
        <v>500255</v>
      </c>
      <c r="G1853" s="74" t="s">
        <v>2580</v>
      </c>
      <c r="H1853" s="181">
        <f>INDEX('Списки данных'!$D$2:$D$1048576,MATCH(База_КР_КК[[#This Row],[Структурное подразделение]],'Списки данных'!$C$2:$C$1048576,0))</f>
        <v>13</v>
      </c>
      <c r="I1853" s="80" t="s">
        <v>173</v>
      </c>
      <c r="J1853" s="80" t="s">
        <v>212</v>
      </c>
      <c r="K1853" s="80" t="s">
        <v>21</v>
      </c>
      <c r="L1853" s="30" t="s">
        <v>183</v>
      </c>
      <c r="M1853" s="68">
        <v>4</v>
      </c>
      <c r="N1853" s="181" t="str">
        <f t="shared" si="29"/>
        <v>да</v>
      </c>
      <c r="O1853" s="23">
        <v>43774</v>
      </c>
      <c r="P1853" s="23">
        <v>43774</v>
      </c>
      <c r="Q1853" s="106" t="s">
        <v>66</v>
      </c>
      <c r="R1853" s="37">
        <v>410</v>
      </c>
      <c r="S1853" s="38" t="s">
        <v>822</v>
      </c>
      <c r="T1853" s="37">
        <v>410</v>
      </c>
      <c r="U1853" s="39" t="s">
        <v>822</v>
      </c>
      <c r="V1853" s="89" t="s">
        <v>183</v>
      </c>
      <c r="W1853" s="89" t="s">
        <v>173</v>
      </c>
      <c r="X1853" s="106" t="s">
        <v>295</v>
      </c>
      <c r="Y1853" s="107" t="s">
        <v>14</v>
      </c>
      <c r="Z1853" s="67">
        <f>IF(База_КР_КК[[#This Row],[Таб.номер резервиста]]="-","-",IF(OR(База_КР_КК[[#This Row],[Уровень КК]]=2,База_КР_КК[[#This Row],[Уровень КК]]=3),IF(COUNTIFS($U$2:$U1853,$U1853,$F$2:$F1853,$F1853)=1,1,0),IF(COUNTIFS($U$2:$U1853,$U1853,$L$2:$L1853,$L1853)=1,1,0)))</f>
        <v>1</v>
      </c>
      <c r="AA18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853" s="106" t="s">
        <v>24</v>
      </c>
      <c r="AC1853" s="51">
        <v>43774</v>
      </c>
      <c r="AD1853" s="106" t="s">
        <v>17</v>
      </c>
      <c r="AE1853" s="38" t="s">
        <v>305</v>
      </c>
    </row>
    <row r="1854" spans="1:31" ht="18" customHeight="1" x14ac:dyDescent="0.25">
      <c r="A18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4" s="79">
        <v>3</v>
      </c>
      <c r="C1854" s="23">
        <v>43781</v>
      </c>
      <c r="D1854" s="67">
        <f>IF(COUNTIF($G$2:$G1854,$G1854)=1,1,0)</f>
        <v>1</v>
      </c>
      <c r="E1854" s="67" t="str">
        <f>IFERROR(VLOOKUP(База_КР_КК[[#This Row],[ИД штатной должности (S)]],'уровень защищенности'!$B$7:$F$1095,5,0),"не защищена")</f>
        <v>высокий</v>
      </c>
      <c r="F1854" s="68">
        <v>500256</v>
      </c>
      <c r="G1854" s="74" t="s">
        <v>2581</v>
      </c>
      <c r="H1854" s="181">
        <f>INDEX('Списки данных'!$D$2:$D$1048576,MATCH(База_КР_КК[[#This Row],[Структурное подразделение]],'Списки данных'!$C$2:$C$1048576,0))</f>
        <v>13</v>
      </c>
      <c r="I1854" s="80" t="s">
        <v>173</v>
      </c>
      <c r="J1854" s="80" t="s">
        <v>212</v>
      </c>
      <c r="K1854" s="80" t="s">
        <v>21</v>
      </c>
      <c r="L1854" s="30" t="s">
        <v>187</v>
      </c>
      <c r="M1854" s="68">
        <v>5</v>
      </c>
      <c r="N1854" s="181" t="str">
        <f t="shared" si="29"/>
        <v>да</v>
      </c>
      <c r="O1854" s="23">
        <v>43525</v>
      </c>
      <c r="P1854" s="23">
        <v>43525</v>
      </c>
      <c r="Q1854" s="106" t="s">
        <v>57</v>
      </c>
      <c r="R1854" s="37">
        <v>411</v>
      </c>
      <c r="S1854" s="38" t="s">
        <v>823</v>
      </c>
      <c r="T1854" s="37">
        <v>1511</v>
      </c>
      <c r="U1854" s="39" t="s">
        <v>1874</v>
      </c>
      <c r="V1854" s="89" t="s">
        <v>200</v>
      </c>
      <c r="W1854" s="89" t="s">
        <v>128</v>
      </c>
      <c r="X1854" s="106" t="s">
        <v>297</v>
      </c>
      <c r="Y1854" s="107" t="s">
        <v>12</v>
      </c>
      <c r="Z1854" s="67">
        <f>IF(База_КР_КК[[#This Row],[Таб.номер резервиста]]="-","-",IF(OR(База_КР_КК[[#This Row],[Уровень КК]]=2,База_КР_КК[[#This Row],[Уровень КК]]=3),IF(COUNTIFS($U$2:$U1854,$U1854,$F$2:$F1854,$F1854)=1,1,0),IF(COUNTIFS($U$2:$U1854,$U1854,$L$2:$L1854,$L1854)=1,1,0)))</f>
        <v>1</v>
      </c>
      <c r="AA18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4" s="106"/>
      <c r="AC1854" s="51"/>
      <c r="AD1854" s="106" t="s">
        <v>17</v>
      </c>
      <c r="AE1854" s="38" t="s">
        <v>345</v>
      </c>
    </row>
    <row r="1855" spans="1:31" ht="18" customHeight="1" x14ac:dyDescent="0.25">
      <c r="A18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5" s="79">
        <v>3</v>
      </c>
      <c r="C1855" s="23">
        <v>43425</v>
      </c>
      <c r="D1855" s="67">
        <f>IF(COUNTIF($G$2:$G1855,$G1855)=1,1,0)</f>
        <v>0</v>
      </c>
      <c r="E1855" s="67" t="str">
        <f>IFERROR(VLOOKUP(База_КР_КК[[#This Row],[ИД штатной должности (S)]],'уровень защищенности'!$B$7:$F$1095,5,0),"не защищена")</f>
        <v>высокий</v>
      </c>
      <c r="F1855" s="68">
        <v>500256</v>
      </c>
      <c r="G1855" s="74" t="s">
        <v>2581</v>
      </c>
      <c r="H1855" s="181">
        <f>INDEX('Списки данных'!$D$2:$D$1048576,MATCH(База_КР_КК[[#This Row],[Структурное подразделение]],'Списки данных'!$C$2:$C$1048576,0))</f>
        <v>13</v>
      </c>
      <c r="I1855" s="80" t="s">
        <v>173</v>
      </c>
      <c r="J1855" s="80" t="s">
        <v>212</v>
      </c>
      <c r="K1855" s="80" t="s">
        <v>21</v>
      </c>
      <c r="L1855" s="30" t="s">
        <v>187</v>
      </c>
      <c r="M1855" s="68">
        <v>5</v>
      </c>
      <c r="N1855" s="181" t="str">
        <f t="shared" si="29"/>
        <v>да</v>
      </c>
      <c r="O1855" s="23">
        <v>43525</v>
      </c>
      <c r="P1855" s="23">
        <v>43525</v>
      </c>
      <c r="Q1855" s="106" t="s">
        <v>57</v>
      </c>
      <c r="R1855" s="37">
        <v>411</v>
      </c>
      <c r="S1855" s="38" t="s">
        <v>823</v>
      </c>
      <c r="T1855" s="37">
        <v>466</v>
      </c>
      <c r="U1855" s="39" t="s">
        <v>878</v>
      </c>
      <c r="V1855" s="89" t="s">
        <v>187</v>
      </c>
      <c r="W1855" s="89" t="s">
        <v>173</v>
      </c>
      <c r="X1855" s="106" t="s">
        <v>295</v>
      </c>
      <c r="Y1855" s="107" t="s">
        <v>12</v>
      </c>
      <c r="Z1855" s="67">
        <f>IF(База_КР_КК[[#This Row],[Таб.номер резервиста]]="-","-",IF(OR(База_КР_КК[[#This Row],[Уровень КК]]=2,База_КР_КК[[#This Row],[Уровень КК]]=3),IF(COUNTIFS($U$2:$U1855,$U1855,$F$2:$F1855,$F1855)=1,1,0),IF(COUNTIFS($U$2:$U1855,$U1855,$L$2:$L1855,$L1855)=1,1,0)))</f>
        <v>1</v>
      </c>
      <c r="AA18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5" s="106"/>
      <c r="AC1855" s="51"/>
      <c r="AD1855" s="106" t="s">
        <v>17</v>
      </c>
      <c r="AE1855" s="38" t="s">
        <v>345</v>
      </c>
    </row>
    <row r="1856" spans="1:31" ht="18" customHeight="1" x14ac:dyDescent="0.25">
      <c r="A18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6" s="79">
        <v>4</v>
      </c>
      <c r="C1856" s="23">
        <v>44425</v>
      </c>
      <c r="D1856" s="67">
        <f>IF(COUNTIF($G$2:$G1856,$G1856)=1,1,0)</f>
        <v>1</v>
      </c>
      <c r="E1856" s="67" t="str">
        <f>IFERROR(VLOOKUP(База_КР_КК[[#This Row],[ИД штатной должности (S)]],'уровень защищенности'!$B$7:$F$1095,5,0),"не защищена")</f>
        <v>высокий</v>
      </c>
      <c r="F1856" s="68">
        <v>500257</v>
      </c>
      <c r="G1856" s="74" t="s">
        <v>2582</v>
      </c>
      <c r="H1856" s="181">
        <f>INDEX('Списки данных'!$D$2:$D$1048576,MATCH(База_КР_КК[[#This Row],[Структурное подразделение]],'Списки данных'!$C$2:$C$1048576,0))</f>
        <v>13</v>
      </c>
      <c r="I1856" s="80" t="s">
        <v>173</v>
      </c>
      <c r="J1856" s="80" t="s">
        <v>212</v>
      </c>
      <c r="K1856" s="80" t="s">
        <v>213</v>
      </c>
      <c r="L1856" s="30" t="s">
        <v>194</v>
      </c>
      <c r="M1856" s="68">
        <v>6</v>
      </c>
      <c r="N1856" s="181" t="str">
        <f t="shared" si="29"/>
        <v>нет</v>
      </c>
      <c r="O1856" s="23"/>
      <c r="P1856" s="23"/>
      <c r="Q1856" s="106"/>
      <c r="R1856" s="37">
        <v>412</v>
      </c>
      <c r="S1856" s="38" t="s">
        <v>824</v>
      </c>
      <c r="T1856" s="37">
        <v>438</v>
      </c>
      <c r="U1856" s="39" t="s">
        <v>850</v>
      </c>
      <c r="V1856" s="69" t="s">
        <v>192</v>
      </c>
      <c r="W1856" s="89" t="s">
        <v>173</v>
      </c>
      <c r="X1856" s="106" t="s">
        <v>297</v>
      </c>
      <c r="Y1856" s="107" t="s">
        <v>12</v>
      </c>
      <c r="Z1856" s="67">
        <f>IF(База_КР_КК[[#This Row],[Таб.номер резервиста]]="-","-",IF(OR(База_КР_КК[[#This Row],[Уровень КК]]=2,База_КР_КК[[#This Row],[Уровень КК]]=3),IF(COUNTIFS($U$2:$U1856,$U1856,$F$2:$F1856,$F1856)=1,1,0),IF(COUNTIFS($U$2:$U1856,$U1856,$L$2:$L1856,$L1856)=1,1,0)))</f>
        <v>1</v>
      </c>
      <c r="AA18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6" s="106"/>
      <c r="AC1856" s="51"/>
      <c r="AD1856" s="106" t="s">
        <v>15</v>
      </c>
      <c r="AE1856" s="38" t="s">
        <v>343</v>
      </c>
    </row>
    <row r="1857" spans="1:31" ht="18" customHeight="1" x14ac:dyDescent="0.25">
      <c r="A18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7" s="79">
        <v>4</v>
      </c>
      <c r="C1857" s="23">
        <v>44425</v>
      </c>
      <c r="D1857" s="67">
        <f>IF(COUNTIF($G$2:$G1857,$G1857)=1,1,0)</f>
        <v>0</v>
      </c>
      <c r="E1857" s="67" t="str">
        <f>IFERROR(VLOOKUP(База_КР_КК[[#This Row],[ИД штатной должности (S)]],'уровень защищенности'!$B$7:$F$1095,5,0),"не защищена")</f>
        <v>высокий</v>
      </c>
      <c r="F1857" s="68">
        <v>500257</v>
      </c>
      <c r="G1857" s="74" t="s">
        <v>2582</v>
      </c>
      <c r="H1857" s="181">
        <f>INDEX('Списки данных'!$D$2:$D$1048576,MATCH(База_КР_КК[[#This Row],[Структурное подразделение]],'Списки данных'!$C$2:$C$1048576,0))</f>
        <v>13</v>
      </c>
      <c r="I1857" s="80" t="s">
        <v>173</v>
      </c>
      <c r="J1857" s="80" t="s">
        <v>212</v>
      </c>
      <c r="K1857" s="80" t="s">
        <v>213</v>
      </c>
      <c r="L1857" s="30" t="s">
        <v>194</v>
      </c>
      <c r="M1857" s="68">
        <v>6</v>
      </c>
      <c r="N1857" s="181" t="str">
        <f t="shared" ref="N1857:N1919" si="30">IF(ISBLANK(O1857),"нет","да")</f>
        <v>нет</v>
      </c>
      <c r="O1857" s="23"/>
      <c r="P1857" s="23"/>
      <c r="Q1857" s="106"/>
      <c r="R1857" s="37">
        <v>412</v>
      </c>
      <c r="S1857" s="38" t="s">
        <v>824</v>
      </c>
      <c r="T1857" s="37">
        <v>439</v>
      </c>
      <c r="U1857" s="39" t="s">
        <v>851</v>
      </c>
      <c r="V1857" s="69" t="s">
        <v>192</v>
      </c>
      <c r="W1857" s="89" t="s">
        <v>173</v>
      </c>
      <c r="X1857" s="106" t="s">
        <v>295</v>
      </c>
      <c r="Y1857" s="107" t="s">
        <v>12</v>
      </c>
      <c r="Z1857" s="67">
        <f>IF(База_КР_КК[[#This Row],[Таб.номер резервиста]]="-","-",IF(OR(База_КР_КК[[#This Row],[Уровень КК]]=2,База_КР_КК[[#This Row],[Уровень КК]]=3),IF(COUNTIFS($U$2:$U1857,$U1857,$F$2:$F1857,$F1857)=1,1,0),IF(COUNTIFS($U$2:$U1857,$U1857,$L$2:$L1857,$L1857)=1,1,0)))</f>
        <v>1</v>
      </c>
      <c r="AA18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7" s="106"/>
      <c r="AC1857" s="51"/>
      <c r="AD1857" s="106" t="s">
        <v>15</v>
      </c>
      <c r="AE1857" s="38" t="s">
        <v>343</v>
      </c>
    </row>
    <row r="1858" spans="1:31" ht="18" customHeight="1" x14ac:dyDescent="0.25">
      <c r="A18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8" s="79">
        <v>4</v>
      </c>
      <c r="C1858" s="23">
        <v>44425</v>
      </c>
      <c r="D1858" s="67">
        <f>IF(COUNTIF($G$2:$G1858,$G1858)=1,1,0)</f>
        <v>0</v>
      </c>
      <c r="E1858" s="67" t="str">
        <f>IFERROR(VLOOKUP(База_КР_КК[[#This Row],[ИД штатной должности (S)]],'уровень защищенности'!$B$7:$F$1095,5,0),"не защищена")</f>
        <v>высокий</v>
      </c>
      <c r="F1858" s="68">
        <v>500257</v>
      </c>
      <c r="G1858" s="74" t="s">
        <v>2582</v>
      </c>
      <c r="H1858" s="181">
        <f>INDEX('Списки данных'!$D$2:$D$1048576,MATCH(База_КР_КК[[#This Row],[Структурное подразделение]],'Списки данных'!$C$2:$C$1048576,0))</f>
        <v>13</v>
      </c>
      <c r="I1858" s="80" t="s">
        <v>173</v>
      </c>
      <c r="J1858" s="80" t="s">
        <v>212</v>
      </c>
      <c r="K1858" s="80" t="s">
        <v>213</v>
      </c>
      <c r="L1858" s="30" t="s">
        <v>194</v>
      </c>
      <c r="M1858" s="68">
        <v>6</v>
      </c>
      <c r="N1858" s="181" t="str">
        <f t="shared" si="30"/>
        <v>нет</v>
      </c>
      <c r="O1858" s="23"/>
      <c r="P1858" s="23"/>
      <c r="Q1858" s="106"/>
      <c r="R1858" s="37">
        <v>412</v>
      </c>
      <c r="S1858" s="38" t="s">
        <v>824</v>
      </c>
      <c r="T1858" s="37">
        <v>440</v>
      </c>
      <c r="U1858" s="39" t="s">
        <v>852</v>
      </c>
      <c r="V1858" s="69" t="s">
        <v>192</v>
      </c>
      <c r="W1858" s="89" t="s">
        <v>173</v>
      </c>
      <c r="X1858" s="106" t="s">
        <v>295</v>
      </c>
      <c r="Y1858" s="107" t="s">
        <v>12</v>
      </c>
      <c r="Z1858" s="67">
        <f>IF(База_КР_КК[[#This Row],[Таб.номер резервиста]]="-","-",IF(OR(База_КР_КК[[#This Row],[Уровень КК]]=2,База_КР_КК[[#This Row],[Уровень КК]]=3),IF(COUNTIFS($U$2:$U1858,$U1858,$F$2:$F1858,$F1858)=1,1,0),IF(COUNTIFS($U$2:$U1858,$U1858,$L$2:$L1858,$L1858)=1,1,0)))</f>
        <v>1</v>
      </c>
      <c r="AA18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8" s="106"/>
      <c r="AC1858" s="51"/>
      <c r="AD1858" s="106" t="s">
        <v>15</v>
      </c>
      <c r="AE1858" s="38" t="s">
        <v>343</v>
      </c>
    </row>
    <row r="1859" spans="1:31" ht="18" customHeight="1" x14ac:dyDescent="0.25">
      <c r="A18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59" s="79">
        <v>4</v>
      </c>
      <c r="C1859" s="23">
        <v>44425</v>
      </c>
      <c r="D1859" s="67">
        <f>IF(COUNTIF($G$2:$G1859,$G1859)=1,1,0)</f>
        <v>0</v>
      </c>
      <c r="E1859" s="67" t="str">
        <f>IFERROR(VLOOKUP(База_КР_КК[[#This Row],[ИД штатной должности (S)]],'уровень защищенности'!$B$7:$F$1095,5,0),"не защищена")</f>
        <v>высокий</v>
      </c>
      <c r="F1859" s="68">
        <v>500257</v>
      </c>
      <c r="G1859" s="74" t="s">
        <v>2582</v>
      </c>
      <c r="H1859" s="181">
        <f>INDEX('Списки данных'!$D$2:$D$1048576,MATCH(База_КР_КК[[#This Row],[Структурное подразделение]],'Списки данных'!$C$2:$C$1048576,0))</f>
        <v>13</v>
      </c>
      <c r="I1859" s="80" t="s">
        <v>173</v>
      </c>
      <c r="J1859" s="80" t="s">
        <v>212</v>
      </c>
      <c r="K1859" s="80" t="s">
        <v>213</v>
      </c>
      <c r="L1859" s="30" t="s">
        <v>194</v>
      </c>
      <c r="M1859" s="68">
        <v>6</v>
      </c>
      <c r="N1859" s="181" t="str">
        <f t="shared" si="30"/>
        <v>нет</v>
      </c>
      <c r="O1859" s="23"/>
      <c r="P1859" s="23"/>
      <c r="Q1859" s="106"/>
      <c r="R1859" s="37">
        <v>412</v>
      </c>
      <c r="S1859" s="38" t="s">
        <v>824</v>
      </c>
      <c r="T1859" s="37">
        <v>451</v>
      </c>
      <c r="U1859" s="39" t="s">
        <v>863</v>
      </c>
      <c r="V1859" s="69" t="s">
        <v>192</v>
      </c>
      <c r="W1859" s="89" t="s">
        <v>173</v>
      </c>
      <c r="X1859" s="106" t="s">
        <v>296</v>
      </c>
      <c r="Y1859" s="107" t="s">
        <v>12</v>
      </c>
      <c r="Z1859" s="67">
        <f>IF(База_КР_КК[[#This Row],[Таб.номер резервиста]]="-","-",IF(OR(База_КР_КК[[#This Row],[Уровень КК]]=2,База_КР_КК[[#This Row],[Уровень КК]]=3),IF(COUNTIFS($U$2:$U1859,$U1859,$F$2:$F1859,$F1859)=1,1,0),IF(COUNTIFS($U$2:$U1859,$U1859,$L$2:$L1859,$L1859)=1,1,0)))</f>
        <v>1</v>
      </c>
      <c r="AA18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59" s="106"/>
      <c r="AC1859" s="51"/>
      <c r="AD1859" s="106" t="s">
        <v>15</v>
      </c>
      <c r="AE1859" s="38" t="s">
        <v>343</v>
      </c>
    </row>
    <row r="1860" spans="1:31" ht="18" customHeight="1" x14ac:dyDescent="0.25">
      <c r="A18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0" s="79">
        <v>4</v>
      </c>
      <c r="C1860" s="23">
        <v>44425</v>
      </c>
      <c r="D1860" s="67">
        <f>IF(COUNTIF($G$2:$G1860,$G1860)=1,1,0)</f>
        <v>1</v>
      </c>
      <c r="E1860" s="67" t="str">
        <f>IFERROR(VLOOKUP(База_КР_КК[[#This Row],[ИД штатной должности (S)]],'уровень защищенности'!$B$7:$F$1095,5,0),"не защищена")</f>
        <v>высокий</v>
      </c>
      <c r="F1860" s="68">
        <v>500257</v>
      </c>
      <c r="G1860" s="74" t="s">
        <v>2583</v>
      </c>
      <c r="H1860" s="181">
        <f>INDEX('Списки данных'!$D$2:$D$1048576,MATCH(База_КР_КК[[#This Row],[Структурное подразделение]],'Списки данных'!$C$2:$C$1048576,0))</f>
        <v>13</v>
      </c>
      <c r="I1860" s="80" t="s">
        <v>173</v>
      </c>
      <c r="J1860" s="80" t="s">
        <v>212</v>
      </c>
      <c r="K1860" s="80" t="s">
        <v>213</v>
      </c>
      <c r="L1860" s="30" t="s">
        <v>194</v>
      </c>
      <c r="M1860" s="68">
        <v>6</v>
      </c>
      <c r="N1860" s="181" t="str">
        <f t="shared" si="30"/>
        <v>нет</v>
      </c>
      <c r="O1860" s="23"/>
      <c r="P1860" s="23"/>
      <c r="Q1860" s="106"/>
      <c r="R1860" s="37">
        <v>413</v>
      </c>
      <c r="S1860" s="38" t="s">
        <v>825</v>
      </c>
      <c r="T1860" s="37">
        <v>438</v>
      </c>
      <c r="U1860" s="39" t="s">
        <v>850</v>
      </c>
      <c r="V1860" s="69" t="s">
        <v>192</v>
      </c>
      <c r="W1860" s="89" t="s">
        <v>173</v>
      </c>
      <c r="X1860" s="106" t="s">
        <v>297</v>
      </c>
      <c r="Y1860" s="107" t="s">
        <v>12</v>
      </c>
      <c r="Z1860" s="67">
        <f>IF(База_КР_КК[[#This Row],[Таб.номер резервиста]]="-","-",IF(OR(База_КР_КК[[#This Row],[Уровень КК]]=2,База_КР_КК[[#This Row],[Уровень КК]]=3),IF(COUNTIFS($U$2:$U1860,$U1860,$F$2:$F1860,$F1860)=1,1,0),IF(COUNTIFS($U$2:$U1860,$U1860,$L$2:$L1860,$L1860)=1,1,0)))</f>
        <v>0</v>
      </c>
      <c r="AA18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0" s="106"/>
      <c r="AC1860" s="51"/>
      <c r="AD1860" s="106" t="s">
        <v>15</v>
      </c>
      <c r="AE1860" s="38" t="s">
        <v>343</v>
      </c>
    </row>
    <row r="1861" spans="1:31" ht="18" customHeight="1" x14ac:dyDescent="0.25">
      <c r="A18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1" s="79">
        <v>4</v>
      </c>
      <c r="C1861" s="23">
        <v>44425</v>
      </c>
      <c r="D1861" s="67">
        <f>IF(COUNTIF($G$2:$G1861,$G1861)=1,1,0)</f>
        <v>0</v>
      </c>
      <c r="E1861" s="67" t="str">
        <f>IFERROR(VLOOKUP(База_КР_КК[[#This Row],[ИД штатной должности (S)]],'уровень защищенности'!$B$7:$F$1095,5,0),"не защищена")</f>
        <v>высокий</v>
      </c>
      <c r="F1861" s="68">
        <v>500257</v>
      </c>
      <c r="G1861" s="74" t="s">
        <v>2583</v>
      </c>
      <c r="H1861" s="181">
        <f>INDEX('Списки данных'!$D$2:$D$1048576,MATCH(База_КР_КК[[#This Row],[Структурное подразделение]],'Списки данных'!$C$2:$C$1048576,0))</f>
        <v>13</v>
      </c>
      <c r="I1861" s="80" t="s">
        <v>173</v>
      </c>
      <c r="J1861" s="80" t="s">
        <v>212</v>
      </c>
      <c r="K1861" s="80" t="s">
        <v>213</v>
      </c>
      <c r="L1861" s="30" t="s">
        <v>194</v>
      </c>
      <c r="M1861" s="68">
        <v>6</v>
      </c>
      <c r="N1861" s="181" t="str">
        <f t="shared" si="30"/>
        <v>нет</v>
      </c>
      <c r="O1861" s="23"/>
      <c r="P1861" s="23"/>
      <c r="Q1861" s="106"/>
      <c r="R1861" s="37">
        <v>413</v>
      </c>
      <c r="S1861" s="38" t="s">
        <v>825</v>
      </c>
      <c r="T1861" s="37">
        <v>439</v>
      </c>
      <c r="U1861" s="39" t="s">
        <v>851</v>
      </c>
      <c r="V1861" s="69" t="s">
        <v>192</v>
      </c>
      <c r="W1861" s="89" t="s">
        <v>173</v>
      </c>
      <c r="X1861" s="106" t="s">
        <v>295</v>
      </c>
      <c r="Y1861" s="107" t="s">
        <v>12</v>
      </c>
      <c r="Z1861" s="67">
        <f>IF(База_КР_КК[[#This Row],[Таб.номер резервиста]]="-","-",IF(OR(База_КР_КК[[#This Row],[Уровень КК]]=2,База_КР_КК[[#This Row],[Уровень КК]]=3),IF(COUNTIFS($U$2:$U1861,$U1861,$F$2:$F1861,$F1861)=1,1,0),IF(COUNTIFS($U$2:$U1861,$U1861,$L$2:$L1861,$L1861)=1,1,0)))</f>
        <v>0</v>
      </c>
      <c r="AA18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1" s="106"/>
      <c r="AC1861" s="51"/>
      <c r="AD1861" s="106" t="s">
        <v>15</v>
      </c>
      <c r="AE1861" s="38" t="s">
        <v>343</v>
      </c>
    </row>
    <row r="1862" spans="1:31" ht="18" customHeight="1" x14ac:dyDescent="0.25">
      <c r="A18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2" s="79">
        <v>4</v>
      </c>
      <c r="C1862" s="23">
        <v>44425</v>
      </c>
      <c r="D1862" s="67">
        <f>IF(COUNTIF($G$2:$G1862,$G1862)=1,1,0)</f>
        <v>0</v>
      </c>
      <c r="E1862" s="67" t="str">
        <f>IFERROR(VLOOKUP(База_КР_КК[[#This Row],[ИД штатной должности (S)]],'уровень защищенности'!$B$7:$F$1095,5,0),"не защищена")</f>
        <v>высокий</v>
      </c>
      <c r="F1862" s="68">
        <v>500257</v>
      </c>
      <c r="G1862" s="74" t="s">
        <v>2583</v>
      </c>
      <c r="H1862" s="181">
        <f>INDEX('Списки данных'!$D$2:$D$1048576,MATCH(База_КР_КК[[#This Row],[Структурное подразделение]],'Списки данных'!$C$2:$C$1048576,0))</f>
        <v>13</v>
      </c>
      <c r="I1862" s="80" t="s">
        <v>173</v>
      </c>
      <c r="J1862" s="80" t="s">
        <v>212</v>
      </c>
      <c r="K1862" s="80" t="s">
        <v>213</v>
      </c>
      <c r="L1862" s="30" t="s">
        <v>194</v>
      </c>
      <c r="M1862" s="68">
        <v>6</v>
      </c>
      <c r="N1862" s="181" t="str">
        <f t="shared" si="30"/>
        <v>нет</v>
      </c>
      <c r="O1862" s="23"/>
      <c r="P1862" s="23"/>
      <c r="Q1862" s="106"/>
      <c r="R1862" s="37">
        <v>413</v>
      </c>
      <c r="S1862" s="38" t="s">
        <v>825</v>
      </c>
      <c r="T1862" s="37">
        <v>440</v>
      </c>
      <c r="U1862" s="39" t="s">
        <v>852</v>
      </c>
      <c r="V1862" s="69" t="s">
        <v>192</v>
      </c>
      <c r="W1862" s="89" t="s">
        <v>173</v>
      </c>
      <c r="X1862" s="106" t="s">
        <v>295</v>
      </c>
      <c r="Y1862" s="107" t="s">
        <v>12</v>
      </c>
      <c r="Z1862" s="67">
        <f>IF(База_КР_КК[[#This Row],[Таб.номер резервиста]]="-","-",IF(OR(База_КР_КК[[#This Row],[Уровень КК]]=2,База_КР_КК[[#This Row],[Уровень КК]]=3),IF(COUNTIFS($U$2:$U1862,$U1862,$F$2:$F1862,$F1862)=1,1,0),IF(COUNTIFS($U$2:$U1862,$U1862,$L$2:$L1862,$L1862)=1,1,0)))</f>
        <v>0</v>
      </c>
      <c r="AA18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2" s="106"/>
      <c r="AC1862" s="51"/>
      <c r="AD1862" s="106" t="s">
        <v>15</v>
      </c>
      <c r="AE1862" s="38" t="s">
        <v>343</v>
      </c>
    </row>
    <row r="1863" spans="1:31" ht="18" customHeight="1" x14ac:dyDescent="0.25">
      <c r="A18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3" s="79">
        <v>4</v>
      </c>
      <c r="C1863" s="23">
        <v>44425</v>
      </c>
      <c r="D1863" s="67">
        <f>IF(COUNTIF($G$2:$G1863,$G1863)=1,1,0)</f>
        <v>0</v>
      </c>
      <c r="E1863" s="67" t="str">
        <f>IFERROR(VLOOKUP(База_КР_КК[[#This Row],[ИД штатной должности (S)]],'уровень защищенности'!$B$7:$F$1095,5,0),"не защищена")</f>
        <v>высокий</v>
      </c>
      <c r="F1863" s="68">
        <v>500257</v>
      </c>
      <c r="G1863" s="74" t="s">
        <v>2583</v>
      </c>
      <c r="H1863" s="181">
        <f>INDEX('Списки данных'!$D$2:$D$1048576,MATCH(База_КР_КК[[#This Row],[Структурное подразделение]],'Списки данных'!$C$2:$C$1048576,0))</f>
        <v>13</v>
      </c>
      <c r="I1863" s="80" t="s">
        <v>173</v>
      </c>
      <c r="J1863" s="80" t="s">
        <v>212</v>
      </c>
      <c r="K1863" s="80" t="s">
        <v>213</v>
      </c>
      <c r="L1863" s="30" t="s">
        <v>194</v>
      </c>
      <c r="M1863" s="68">
        <v>6</v>
      </c>
      <c r="N1863" s="181" t="str">
        <f t="shared" si="30"/>
        <v>нет</v>
      </c>
      <c r="O1863" s="23"/>
      <c r="P1863" s="23"/>
      <c r="Q1863" s="106"/>
      <c r="R1863" s="37">
        <v>413</v>
      </c>
      <c r="S1863" s="38" t="s">
        <v>825</v>
      </c>
      <c r="T1863" s="37">
        <v>451</v>
      </c>
      <c r="U1863" s="39" t="s">
        <v>863</v>
      </c>
      <c r="V1863" s="69" t="s">
        <v>192</v>
      </c>
      <c r="W1863" s="89" t="s">
        <v>173</v>
      </c>
      <c r="X1863" s="106" t="s">
        <v>296</v>
      </c>
      <c r="Y1863" s="107" t="s">
        <v>12</v>
      </c>
      <c r="Z1863" s="67">
        <f>IF(База_КР_КК[[#This Row],[Таб.номер резервиста]]="-","-",IF(OR(База_КР_КК[[#This Row],[Уровень КК]]=2,База_КР_КК[[#This Row],[Уровень КК]]=3),IF(COUNTIFS($U$2:$U1863,$U1863,$F$2:$F1863,$F1863)=1,1,0),IF(COUNTIFS($U$2:$U1863,$U1863,$L$2:$L1863,$L1863)=1,1,0)))</f>
        <v>0</v>
      </c>
      <c r="AA18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3" s="106"/>
      <c r="AC1863" s="51"/>
      <c r="AD1863" s="106" t="s">
        <v>15</v>
      </c>
      <c r="AE1863" s="38" t="s">
        <v>343</v>
      </c>
    </row>
    <row r="1864" spans="1:31" ht="18" customHeight="1" x14ac:dyDescent="0.25">
      <c r="A18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4" s="79">
        <v>4</v>
      </c>
      <c r="C1864" s="23">
        <v>44425</v>
      </c>
      <c r="D1864" s="67">
        <f>IF(COUNTIF($G$2:$G1864,$G1864)=1,1,0)</f>
        <v>1</v>
      </c>
      <c r="E1864" s="67" t="str">
        <f>IFERROR(VLOOKUP(База_КР_КК[[#This Row],[ИД штатной должности (S)]],'уровень защищенности'!$B$7:$F$1095,5,0),"не защищена")</f>
        <v>высокий</v>
      </c>
      <c r="F1864" s="68">
        <v>500257</v>
      </c>
      <c r="G1864" s="74" t="s">
        <v>2584</v>
      </c>
      <c r="H1864" s="181">
        <f>INDEX('Списки данных'!$D$2:$D$1048576,MATCH(База_КР_КК[[#This Row],[Структурное подразделение]],'Списки данных'!$C$2:$C$1048576,0))</f>
        <v>13</v>
      </c>
      <c r="I1864" s="80" t="s">
        <v>173</v>
      </c>
      <c r="J1864" s="80" t="s">
        <v>212</v>
      </c>
      <c r="K1864" s="80" t="s">
        <v>213</v>
      </c>
      <c r="L1864" s="30" t="s">
        <v>194</v>
      </c>
      <c r="M1864" s="68">
        <v>6</v>
      </c>
      <c r="N1864" s="181" t="str">
        <f t="shared" si="30"/>
        <v>нет</v>
      </c>
      <c r="O1864" s="23"/>
      <c r="P1864" s="23"/>
      <c r="Q1864" s="106"/>
      <c r="R1864" s="37">
        <v>414</v>
      </c>
      <c r="S1864" s="38" t="s">
        <v>826</v>
      </c>
      <c r="T1864" s="37">
        <v>438</v>
      </c>
      <c r="U1864" s="39" t="s">
        <v>850</v>
      </c>
      <c r="V1864" s="69" t="s">
        <v>192</v>
      </c>
      <c r="W1864" s="89" t="s">
        <v>173</v>
      </c>
      <c r="X1864" s="106" t="s">
        <v>297</v>
      </c>
      <c r="Y1864" s="107" t="s">
        <v>12</v>
      </c>
      <c r="Z1864" s="67">
        <f>IF(База_КР_КК[[#This Row],[Таб.номер резервиста]]="-","-",IF(OR(База_КР_КК[[#This Row],[Уровень КК]]=2,База_КР_КК[[#This Row],[Уровень КК]]=3),IF(COUNTIFS($U$2:$U1864,$U1864,$F$2:$F1864,$F1864)=1,1,0),IF(COUNTIFS($U$2:$U1864,$U1864,$L$2:$L1864,$L1864)=1,1,0)))</f>
        <v>0</v>
      </c>
      <c r="AA18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4" s="106"/>
      <c r="AC1864" s="51"/>
      <c r="AD1864" s="106" t="s">
        <v>15</v>
      </c>
      <c r="AE1864" s="38" t="s">
        <v>343</v>
      </c>
    </row>
    <row r="1865" spans="1:31" ht="18" customHeight="1" x14ac:dyDescent="0.25">
      <c r="A18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5" s="79">
        <v>4</v>
      </c>
      <c r="C1865" s="23">
        <v>44425</v>
      </c>
      <c r="D1865" s="67">
        <f>IF(COUNTIF($G$2:$G1865,$G1865)=1,1,0)</f>
        <v>0</v>
      </c>
      <c r="E1865" s="67" t="str">
        <f>IFERROR(VLOOKUP(База_КР_КК[[#This Row],[ИД штатной должности (S)]],'уровень защищенности'!$B$7:$F$1095,5,0),"не защищена")</f>
        <v>высокий</v>
      </c>
      <c r="F1865" s="68">
        <v>500257</v>
      </c>
      <c r="G1865" s="74" t="s">
        <v>2584</v>
      </c>
      <c r="H1865" s="181">
        <f>INDEX('Списки данных'!$D$2:$D$1048576,MATCH(База_КР_КК[[#This Row],[Структурное подразделение]],'Списки данных'!$C$2:$C$1048576,0))</f>
        <v>13</v>
      </c>
      <c r="I1865" s="80" t="s">
        <v>173</v>
      </c>
      <c r="J1865" s="80" t="s">
        <v>212</v>
      </c>
      <c r="K1865" s="80" t="s">
        <v>213</v>
      </c>
      <c r="L1865" s="30" t="s">
        <v>194</v>
      </c>
      <c r="M1865" s="68">
        <v>6</v>
      </c>
      <c r="N1865" s="181" t="str">
        <f t="shared" si="30"/>
        <v>нет</v>
      </c>
      <c r="O1865" s="23"/>
      <c r="P1865" s="23"/>
      <c r="Q1865" s="106"/>
      <c r="R1865" s="37">
        <v>414</v>
      </c>
      <c r="S1865" s="38" t="s">
        <v>826</v>
      </c>
      <c r="T1865" s="37">
        <v>439</v>
      </c>
      <c r="U1865" s="39" t="s">
        <v>851</v>
      </c>
      <c r="V1865" s="69" t="s">
        <v>192</v>
      </c>
      <c r="W1865" s="89" t="s">
        <v>173</v>
      </c>
      <c r="X1865" s="106" t="s">
        <v>295</v>
      </c>
      <c r="Y1865" s="107" t="s">
        <v>12</v>
      </c>
      <c r="Z1865" s="67">
        <f>IF(База_КР_КК[[#This Row],[Таб.номер резервиста]]="-","-",IF(OR(База_КР_КК[[#This Row],[Уровень КК]]=2,База_КР_КК[[#This Row],[Уровень КК]]=3),IF(COUNTIFS($U$2:$U1865,$U1865,$F$2:$F1865,$F1865)=1,1,0),IF(COUNTIFS($U$2:$U1865,$U1865,$L$2:$L1865,$L1865)=1,1,0)))</f>
        <v>0</v>
      </c>
      <c r="AA18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5" s="106"/>
      <c r="AC1865" s="51"/>
      <c r="AD1865" s="106" t="s">
        <v>15</v>
      </c>
      <c r="AE1865" s="38" t="s">
        <v>343</v>
      </c>
    </row>
    <row r="1866" spans="1:31" ht="18" customHeight="1" x14ac:dyDescent="0.25">
      <c r="A18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6" s="79">
        <v>4</v>
      </c>
      <c r="C1866" s="23">
        <v>44425</v>
      </c>
      <c r="D1866" s="67">
        <f>IF(COUNTIF($G$2:$G1866,$G1866)=1,1,0)</f>
        <v>0</v>
      </c>
      <c r="E1866" s="67" t="str">
        <f>IFERROR(VLOOKUP(База_КР_КК[[#This Row],[ИД штатной должности (S)]],'уровень защищенности'!$B$7:$F$1095,5,0),"не защищена")</f>
        <v>высокий</v>
      </c>
      <c r="F1866" s="68">
        <v>500257</v>
      </c>
      <c r="G1866" s="74" t="s">
        <v>2584</v>
      </c>
      <c r="H1866" s="181">
        <f>INDEX('Списки данных'!$D$2:$D$1048576,MATCH(База_КР_КК[[#This Row],[Структурное подразделение]],'Списки данных'!$C$2:$C$1048576,0))</f>
        <v>13</v>
      </c>
      <c r="I1866" s="80" t="s">
        <v>173</v>
      </c>
      <c r="J1866" s="80" t="s">
        <v>212</v>
      </c>
      <c r="K1866" s="80" t="s">
        <v>213</v>
      </c>
      <c r="L1866" s="30" t="s">
        <v>194</v>
      </c>
      <c r="M1866" s="68">
        <v>6</v>
      </c>
      <c r="N1866" s="181" t="str">
        <f t="shared" si="30"/>
        <v>нет</v>
      </c>
      <c r="O1866" s="23"/>
      <c r="P1866" s="23"/>
      <c r="Q1866" s="106"/>
      <c r="R1866" s="37">
        <v>414</v>
      </c>
      <c r="S1866" s="38" t="s">
        <v>826</v>
      </c>
      <c r="T1866" s="37">
        <v>440</v>
      </c>
      <c r="U1866" s="39" t="s">
        <v>852</v>
      </c>
      <c r="V1866" s="69" t="s">
        <v>192</v>
      </c>
      <c r="W1866" s="89" t="s">
        <v>173</v>
      </c>
      <c r="X1866" s="106" t="s">
        <v>295</v>
      </c>
      <c r="Y1866" s="107" t="s">
        <v>12</v>
      </c>
      <c r="Z1866" s="67">
        <f>IF(База_КР_КК[[#This Row],[Таб.номер резервиста]]="-","-",IF(OR(База_КР_КК[[#This Row],[Уровень КК]]=2,База_КР_КК[[#This Row],[Уровень КК]]=3),IF(COUNTIFS($U$2:$U1866,$U1866,$F$2:$F1866,$F1866)=1,1,0),IF(COUNTIFS($U$2:$U1866,$U1866,$L$2:$L1866,$L1866)=1,1,0)))</f>
        <v>0</v>
      </c>
      <c r="AA18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6" s="106"/>
      <c r="AC1866" s="51"/>
      <c r="AD1866" s="106" t="s">
        <v>15</v>
      </c>
      <c r="AE1866" s="38" t="s">
        <v>343</v>
      </c>
    </row>
    <row r="1867" spans="1:31" ht="18" customHeight="1" x14ac:dyDescent="0.25">
      <c r="A18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7" s="79">
        <v>4</v>
      </c>
      <c r="C1867" s="23">
        <v>44425</v>
      </c>
      <c r="D1867" s="67">
        <f>IF(COUNTIF($G$2:$G1867,$G1867)=1,1,0)</f>
        <v>0</v>
      </c>
      <c r="E1867" s="67" t="str">
        <f>IFERROR(VLOOKUP(База_КР_КК[[#This Row],[ИД штатной должности (S)]],'уровень защищенности'!$B$7:$F$1095,5,0),"не защищена")</f>
        <v>высокий</v>
      </c>
      <c r="F1867" s="68">
        <v>500257</v>
      </c>
      <c r="G1867" s="74" t="s">
        <v>2584</v>
      </c>
      <c r="H1867" s="181">
        <f>INDEX('Списки данных'!$D$2:$D$1048576,MATCH(База_КР_КК[[#This Row],[Структурное подразделение]],'Списки данных'!$C$2:$C$1048576,0))</f>
        <v>13</v>
      </c>
      <c r="I1867" s="80" t="s">
        <v>173</v>
      </c>
      <c r="J1867" s="80" t="s">
        <v>212</v>
      </c>
      <c r="K1867" s="80" t="s">
        <v>213</v>
      </c>
      <c r="L1867" s="30" t="s">
        <v>194</v>
      </c>
      <c r="M1867" s="68">
        <v>6</v>
      </c>
      <c r="N1867" s="181" t="str">
        <f t="shared" si="30"/>
        <v>нет</v>
      </c>
      <c r="O1867" s="23"/>
      <c r="P1867" s="23"/>
      <c r="Q1867" s="106"/>
      <c r="R1867" s="37">
        <v>414</v>
      </c>
      <c r="S1867" s="38" t="s">
        <v>826</v>
      </c>
      <c r="T1867" s="37">
        <v>451</v>
      </c>
      <c r="U1867" s="39" t="s">
        <v>863</v>
      </c>
      <c r="V1867" s="69" t="s">
        <v>192</v>
      </c>
      <c r="W1867" s="89" t="s">
        <v>173</v>
      </c>
      <c r="X1867" s="106" t="s">
        <v>296</v>
      </c>
      <c r="Y1867" s="107" t="s">
        <v>12</v>
      </c>
      <c r="Z1867" s="67">
        <f>IF(База_КР_КК[[#This Row],[Таб.номер резервиста]]="-","-",IF(OR(База_КР_КК[[#This Row],[Уровень КК]]=2,База_КР_КК[[#This Row],[Уровень КК]]=3),IF(COUNTIFS($U$2:$U1867,$U1867,$F$2:$F1867,$F1867)=1,1,0),IF(COUNTIFS($U$2:$U1867,$U1867,$L$2:$L1867,$L1867)=1,1,0)))</f>
        <v>0</v>
      </c>
      <c r="AA18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7" s="106"/>
      <c r="AC1867" s="51"/>
      <c r="AD1867" s="106" t="s">
        <v>15</v>
      </c>
      <c r="AE1867" s="38" t="s">
        <v>343</v>
      </c>
    </row>
    <row r="1868" spans="1:31" ht="18" customHeight="1" x14ac:dyDescent="0.25">
      <c r="A18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8" s="79">
        <v>4</v>
      </c>
      <c r="C1868" s="23">
        <v>44425</v>
      </c>
      <c r="D1868" s="67">
        <f>IF(COUNTIF($G$2:$G1868,$G1868)=1,1,0)</f>
        <v>1</v>
      </c>
      <c r="E1868" s="67" t="str">
        <f>IFERROR(VLOOKUP(База_КР_КК[[#This Row],[ИД штатной должности (S)]],'уровень защищенности'!$B$7:$F$1095,5,0),"не защищена")</f>
        <v>высокий</v>
      </c>
      <c r="F1868" s="68">
        <v>500257</v>
      </c>
      <c r="G1868" s="74" t="s">
        <v>2585</v>
      </c>
      <c r="H1868" s="181">
        <f>INDEX('Списки данных'!$D$2:$D$1048576,MATCH(База_КР_КК[[#This Row],[Структурное подразделение]],'Списки данных'!$C$2:$C$1048576,0))</f>
        <v>13</v>
      </c>
      <c r="I1868" s="80" t="s">
        <v>173</v>
      </c>
      <c r="J1868" s="80" t="s">
        <v>212</v>
      </c>
      <c r="K1868" s="80" t="s">
        <v>213</v>
      </c>
      <c r="L1868" s="30" t="s">
        <v>194</v>
      </c>
      <c r="M1868" s="68">
        <v>6</v>
      </c>
      <c r="N1868" s="181" t="str">
        <f t="shared" si="30"/>
        <v>нет</v>
      </c>
      <c r="O1868" s="23"/>
      <c r="P1868" s="23"/>
      <c r="Q1868" s="106"/>
      <c r="R1868" s="37">
        <v>415</v>
      </c>
      <c r="S1868" s="38" t="s">
        <v>827</v>
      </c>
      <c r="T1868" s="37">
        <v>438</v>
      </c>
      <c r="U1868" s="39" t="s">
        <v>850</v>
      </c>
      <c r="V1868" s="69" t="s">
        <v>192</v>
      </c>
      <c r="W1868" s="89" t="s">
        <v>173</v>
      </c>
      <c r="X1868" s="106" t="s">
        <v>297</v>
      </c>
      <c r="Y1868" s="107" t="s">
        <v>12</v>
      </c>
      <c r="Z1868" s="67">
        <f>IF(База_КР_КК[[#This Row],[Таб.номер резервиста]]="-","-",IF(OR(База_КР_КК[[#This Row],[Уровень КК]]=2,База_КР_КК[[#This Row],[Уровень КК]]=3),IF(COUNTIFS($U$2:$U1868,$U1868,$F$2:$F1868,$F1868)=1,1,0),IF(COUNTIFS($U$2:$U1868,$U1868,$L$2:$L1868,$L1868)=1,1,0)))</f>
        <v>0</v>
      </c>
      <c r="AA18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8" s="106"/>
      <c r="AC1868" s="51"/>
      <c r="AD1868" s="106" t="s">
        <v>15</v>
      </c>
      <c r="AE1868" s="38" t="s">
        <v>343</v>
      </c>
    </row>
    <row r="1869" spans="1:31" ht="18" customHeight="1" x14ac:dyDescent="0.25">
      <c r="A18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69" s="79">
        <v>4</v>
      </c>
      <c r="C1869" s="23">
        <v>44425</v>
      </c>
      <c r="D1869" s="67">
        <f>IF(COUNTIF($G$2:$G1869,$G1869)=1,1,0)</f>
        <v>0</v>
      </c>
      <c r="E1869" s="67" t="str">
        <f>IFERROR(VLOOKUP(База_КР_КК[[#This Row],[ИД штатной должности (S)]],'уровень защищенности'!$B$7:$F$1095,5,0),"не защищена")</f>
        <v>высокий</v>
      </c>
      <c r="F1869" s="68">
        <v>500257</v>
      </c>
      <c r="G1869" s="74" t="s">
        <v>2585</v>
      </c>
      <c r="H1869" s="181">
        <f>INDEX('Списки данных'!$D$2:$D$1048576,MATCH(База_КР_КК[[#This Row],[Структурное подразделение]],'Списки данных'!$C$2:$C$1048576,0))</f>
        <v>13</v>
      </c>
      <c r="I1869" s="80" t="s">
        <v>173</v>
      </c>
      <c r="J1869" s="80" t="s">
        <v>212</v>
      </c>
      <c r="K1869" s="80" t="s">
        <v>213</v>
      </c>
      <c r="L1869" s="30" t="s">
        <v>194</v>
      </c>
      <c r="M1869" s="68">
        <v>6</v>
      </c>
      <c r="N1869" s="181" t="str">
        <f t="shared" si="30"/>
        <v>нет</v>
      </c>
      <c r="O1869" s="23"/>
      <c r="P1869" s="23"/>
      <c r="Q1869" s="106"/>
      <c r="R1869" s="37">
        <v>415</v>
      </c>
      <c r="S1869" s="38" t="s">
        <v>827</v>
      </c>
      <c r="T1869" s="37">
        <v>439</v>
      </c>
      <c r="U1869" s="39" t="s">
        <v>851</v>
      </c>
      <c r="V1869" s="69" t="s">
        <v>192</v>
      </c>
      <c r="W1869" s="89" t="s">
        <v>173</v>
      </c>
      <c r="X1869" s="106" t="s">
        <v>295</v>
      </c>
      <c r="Y1869" s="107" t="s">
        <v>12</v>
      </c>
      <c r="Z1869" s="67">
        <f>IF(База_КР_КК[[#This Row],[Таб.номер резервиста]]="-","-",IF(OR(База_КР_КК[[#This Row],[Уровень КК]]=2,База_КР_КК[[#This Row],[Уровень КК]]=3),IF(COUNTIFS($U$2:$U1869,$U1869,$F$2:$F1869,$F1869)=1,1,0),IF(COUNTIFS($U$2:$U1869,$U1869,$L$2:$L1869,$L1869)=1,1,0)))</f>
        <v>0</v>
      </c>
      <c r="AA18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69" s="106"/>
      <c r="AC1869" s="51"/>
      <c r="AD1869" s="106" t="s">
        <v>15</v>
      </c>
      <c r="AE1869" s="38" t="s">
        <v>343</v>
      </c>
    </row>
    <row r="1870" spans="1:31" ht="18" customHeight="1" x14ac:dyDescent="0.25">
      <c r="A18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0" s="79">
        <v>4</v>
      </c>
      <c r="C1870" s="23">
        <v>44425</v>
      </c>
      <c r="D1870" s="67">
        <f>IF(COUNTIF($G$2:$G1870,$G1870)=1,1,0)</f>
        <v>0</v>
      </c>
      <c r="E1870" s="67" t="str">
        <f>IFERROR(VLOOKUP(База_КР_КК[[#This Row],[ИД штатной должности (S)]],'уровень защищенности'!$B$7:$F$1095,5,0),"не защищена")</f>
        <v>высокий</v>
      </c>
      <c r="F1870" s="68">
        <v>500257</v>
      </c>
      <c r="G1870" s="74" t="s">
        <v>2585</v>
      </c>
      <c r="H1870" s="181">
        <f>INDEX('Списки данных'!$D$2:$D$1048576,MATCH(База_КР_КК[[#This Row],[Структурное подразделение]],'Списки данных'!$C$2:$C$1048576,0))</f>
        <v>13</v>
      </c>
      <c r="I1870" s="80" t="s">
        <v>173</v>
      </c>
      <c r="J1870" s="80" t="s">
        <v>212</v>
      </c>
      <c r="K1870" s="80" t="s">
        <v>213</v>
      </c>
      <c r="L1870" s="30" t="s">
        <v>194</v>
      </c>
      <c r="M1870" s="68">
        <v>6</v>
      </c>
      <c r="N1870" s="181" t="str">
        <f t="shared" si="30"/>
        <v>нет</v>
      </c>
      <c r="O1870" s="23"/>
      <c r="P1870" s="23"/>
      <c r="Q1870" s="106"/>
      <c r="R1870" s="37">
        <v>415</v>
      </c>
      <c r="S1870" s="38" t="s">
        <v>827</v>
      </c>
      <c r="T1870" s="37">
        <v>440</v>
      </c>
      <c r="U1870" s="39" t="s">
        <v>852</v>
      </c>
      <c r="V1870" s="69" t="s">
        <v>192</v>
      </c>
      <c r="W1870" s="89" t="s">
        <v>173</v>
      </c>
      <c r="X1870" s="106" t="s">
        <v>295</v>
      </c>
      <c r="Y1870" s="107" t="s">
        <v>12</v>
      </c>
      <c r="Z1870" s="67">
        <f>IF(База_КР_КК[[#This Row],[Таб.номер резервиста]]="-","-",IF(OR(База_КР_КК[[#This Row],[Уровень КК]]=2,База_КР_КК[[#This Row],[Уровень КК]]=3),IF(COUNTIFS($U$2:$U1870,$U1870,$F$2:$F1870,$F1870)=1,1,0),IF(COUNTIFS($U$2:$U1870,$U1870,$L$2:$L1870,$L1870)=1,1,0)))</f>
        <v>0</v>
      </c>
      <c r="AA18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0" s="106"/>
      <c r="AC1870" s="51"/>
      <c r="AD1870" s="106" t="s">
        <v>15</v>
      </c>
      <c r="AE1870" s="38" t="s">
        <v>343</v>
      </c>
    </row>
    <row r="1871" spans="1:31" ht="18" customHeight="1" x14ac:dyDescent="0.25">
      <c r="A18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1" s="79">
        <v>4</v>
      </c>
      <c r="C1871" s="23">
        <v>44425</v>
      </c>
      <c r="D1871" s="67">
        <f>IF(COUNTIF($G$2:$G1871,$G1871)=1,1,0)</f>
        <v>0</v>
      </c>
      <c r="E1871" s="67" t="str">
        <f>IFERROR(VLOOKUP(База_КР_КК[[#This Row],[ИД штатной должности (S)]],'уровень защищенности'!$B$7:$F$1095,5,0),"не защищена")</f>
        <v>высокий</v>
      </c>
      <c r="F1871" s="68">
        <v>500257</v>
      </c>
      <c r="G1871" s="74" t="s">
        <v>2585</v>
      </c>
      <c r="H1871" s="181">
        <f>INDEX('Списки данных'!$D$2:$D$1048576,MATCH(База_КР_КК[[#This Row],[Структурное подразделение]],'Списки данных'!$C$2:$C$1048576,0))</f>
        <v>13</v>
      </c>
      <c r="I1871" s="80" t="s">
        <v>173</v>
      </c>
      <c r="J1871" s="80" t="s">
        <v>212</v>
      </c>
      <c r="K1871" s="80" t="s">
        <v>213</v>
      </c>
      <c r="L1871" s="30" t="s">
        <v>194</v>
      </c>
      <c r="M1871" s="68">
        <v>6</v>
      </c>
      <c r="N1871" s="181" t="str">
        <f t="shared" si="30"/>
        <v>нет</v>
      </c>
      <c r="O1871" s="23"/>
      <c r="P1871" s="23"/>
      <c r="Q1871" s="106"/>
      <c r="R1871" s="37">
        <v>415</v>
      </c>
      <c r="S1871" s="38" t="s">
        <v>827</v>
      </c>
      <c r="T1871" s="37">
        <v>451</v>
      </c>
      <c r="U1871" s="39" t="s">
        <v>863</v>
      </c>
      <c r="V1871" s="69" t="s">
        <v>192</v>
      </c>
      <c r="W1871" s="89" t="s">
        <v>173</v>
      </c>
      <c r="X1871" s="106" t="s">
        <v>296</v>
      </c>
      <c r="Y1871" s="107" t="s">
        <v>12</v>
      </c>
      <c r="Z1871" s="67">
        <f>IF(База_КР_КК[[#This Row],[Таб.номер резервиста]]="-","-",IF(OR(База_КР_КК[[#This Row],[Уровень КК]]=2,База_КР_КК[[#This Row],[Уровень КК]]=3),IF(COUNTIFS($U$2:$U1871,$U1871,$F$2:$F1871,$F1871)=1,1,0),IF(COUNTIFS($U$2:$U1871,$U1871,$L$2:$L1871,$L1871)=1,1,0)))</f>
        <v>0</v>
      </c>
      <c r="AA18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1" s="106"/>
      <c r="AC1871" s="51"/>
      <c r="AD1871" s="106" t="s">
        <v>15</v>
      </c>
      <c r="AE1871" s="38" t="s">
        <v>343</v>
      </c>
    </row>
    <row r="1872" spans="1:31" ht="18" customHeight="1" x14ac:dyDescent="0.25">
      <c r="A18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2" s="79">
        <v>4</v>
      </c>
      <c r="C1872" s="23">
        <v>44425</v>
      </c>
      <c r="D1872" s="67">
        <f>IF(COUNTIF($G$2:$G1872,$G1872)=1,1,0)</f>
        <v>1</v>
      </c>
      <c r="E1872" s="67" t="str">
        <f>IFERROR(VLOOKUP(База_КР_КК[[#This Row],[ИД штатной должности (S)]],'уровень защищенности'!$B$7:$F$1095,5,0),"не защищена")</f>
        <v>средний</v>
      </c>
      <c r="F1872" s="68">
        <v>500258</v>
      </c>
      <c r="G1872" s="74" t="s">
        <v>2586</v>
      </c>
      <c r="H1872" s="181">
        <f>INDEX('Списки данных'!$D$2:$D$1048576,MATCH(База_КР_КК[[#This Row],[Структурное подразделение]],'Списки данных'!$C$2:$C$1048576,0))</f>
        <v>13</v>
      </c>
      <c r="I1872" s="80" t="s">
        <v>173</v>
      </c>
      <c r="J1872" s="80" t="s">
        <v>212</v>
      </c>
      <c r="K1872" s="80" t="s">
        <v>213</v>
      </c>
      <c r="L1872" s="30" t="s">
        <v>193</v>
      </c>
      <c r="M1872" s="68">
        <v>6</v>
      </c>
      <c r="N1872" s="181" t="str">
        <f t="shared" si="30"/>
        <v>нет</v>
      </c>
      <c r="O1872" s="23"/>
      <c r="P1872" s="23"/>
      <c r="Q1872" s="106"/>
      <c r="R1872" s="37">
        <v>416</v>
      </c>
      <c r="S1872" s="38" t="s">
        <v>828</v>
      </c>
      <c r="T1872" s="37">
        <v>1512</v>
      </c>
      <c r="U1872" s="39" t="s">
        <v>1591</v>
      </c>
      <c r="V1872" s="69" t="s">
        <v>16</v>
      </c>
      <c r="W1872" s="89" t="s">
        <v>173</v>
      </c>
      <c r="X1872" s="106" t="s">
        <v>297</v>
      </c>
      <c r="Y1872" s="107" t="s">
        <v>12</v>
      </c>
      <c r="Z1872" s="67">
        <f>IF(База_КР_КК[[#This Row],[Таб.номер резервиста]]="-","-",IF(OR(База_КР_КК[[#This Row],[Уровень КК]]=2,База_КР_КК[[#This Row],[Уровень КК]]=3),IF(COUNTIFS($U$2:$U1872,$U1872,$F$2:$F1872,$F1872)=1,1,0),IF(COUNTIFS($U$2:$U1872,$U1872,$L$2:$L1872,$L1872)=1,1,0)))</f>
        <v>1</v>
      </c>
      <c r="AA18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2" s="106"/>
      <c r="AC1872" s="51"/>
      <c r="AD1872" s="106" t="s">
        <v>15</v>
      </c>
      <c r="AE1872" s="38" t="s">
        <v>343</v>
      </c>
    </row>
    <row r="1873" spans="1:31" ht="18" customHeight="1" x14ac:dyDescent="0.25">
      <c r="A18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3" s="79">
        <v>3</v>
      </c>
      <c r="C1873" s="23">
        <v>43425</v>
      </c>
      <c r="D1873" s="67">
        <f>IF(COUNTIF($G$2:$G1873,$G1873)=1,1,0)</f>
        <v>1</v>
      </c>
      <c r="E1873" s="67" t="str">
        <f>IFERROR(VLOOKUP(База_КР_КК[[#This Row],[ИД штатной должности (S)]],'уровень защищенности'!$B$7:$F$1095,5,0),"не защищена")</f>
        <v>средний</v>
      </c>
      <c r="F1873" s="68">
        <v>500259</v>
      </c>
      <c r="G1873" s="74" t="s">
        <v>2587</v>
      </c>
      <c r="H1873" s="181">
        <f>INDEX('Списки данных'!$D$2:$D$1048576,MATCH(База_КР_КК[[#This Row],[Структурное подразделение]],'Списки данных'!$C$2:$C$1048576,0))</f>
        <v>13</v>
      </c>
      <c r="I1873" s="80" t="s">
        <v>173</v>
      </c>
      <c r="J1873" s="80" t="s">
        <v>212</v>
      </c>
      <c r="K1873" s="80" t="s">
        <v>21</v>
      </c>
      <c r="L1873" s="30" t="s">
        <v>186</v>
      </c>
      <c r="M1873" s="68">
        <v>5</v>
      </c>
      <c r="N1873" s="181" t="str">
        <f t="shared" si="30"/>
        <v>да</v>
      </c>
      <c r="O1873" s="23">
        <v>45068</v>
      </c>
      <c r="P1873" s="23">
        <v>45078</v>
      </c>
      <c r="Q1873" s="106" t="s">
        <v>66</v>
      </c>
      <c r="R1873" s="37">
        <v>417</v>
      </c>
      <c r="S1873" s="38" t="s">
        <v>829</v>
      </c>
      <c r="T1873" s="37">
        <v>417</v>
      </c>
      <c r="U1873" s="39" t="s">
        <v>829</v>
      </c>
      <c r="V1873" s="89" t="s">
        <v>192</v>
      </c>
      <c r="W1873" s="89" t="s">
        <v>173</v>
      </c>
      <c r="X1873" s="106" t="s">
        <v>295</v>
      </c>
      <c r="Y1873" s="107" t="s">
        <v>14</v>
      </c>
      <c r="Z1873" s="67">
        <f>IF(База_КР_КК[[#This Row],[Таб.номер резервиста]]="-","-",IF(OR(База_КР_КК[[#This Row],[Уровень КК]]=2,База_КР_КК[[#This Row],[Уровень КК]]=3),IF(COUNTIFS($U$2:$U1873,$U1873,$F$2:$F1873,$F1873)=1,1,0),IF(COUNTIFS($U$2:$U1873,$U1873,$L$2:$L1873,$L1873)=1,1,0)))</f>
        <v>1</v>
      </c>
      <c r="AA18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873" s="106" t="s">
        <v>24</v>
      </c>
      <c r="AC1873" s="51">
        <v>45078</v>
      </c>
      <c r="AD1873" s="106" t="s">
        <v>13</v>
      </c>
      <c r="AE1873" s="38" t="s">
        <v>345</v>
      </c>
    </row>
    <row r="1874" spans="1:31" ht="18" customHeight="1" x14ac:dyDescent="0.25">
      <c r="A18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4" s="79">
        <v>3</v>
      </c>
      <c r="C1874" s="23">
        <v>44343</v>
      </c>
      <c r="D1874" s="67">
        <f>IF(COUNTIF($G$2:$G1874,$G1874)=1,1,0)</f>
        <v>0</v>
      </c>
      <c r="E1874" s="67" t="str">
        <f>IFERROR(VLOOKUP(База_КР_КК[[#This Row],[ИД штатной должности (S)]],'уровень защищенности'!$B$7:$F$1095,5,0),"не защищена")</f>
        <v>средний</v>
      </c>
      <c r="F1874" s="68">
        <v>500259</v>
      </c>
      <c r="G1874" s="74" t="s">
        <v>2587</v>
      </c>
      <c r="H1874" s="181">
        <f>INDEX('Списки данных'!$D$2:$D$1048576,MATCH(База_КР_КК[[#This Row],[Структурное подразделение]],'Списки данных'!$C$2:$C$1048576,0))</f>
        <v>13</v>
      </c>
      <c r="I1874" s="80" t="s">
        <v>173</v>
      </c>
      <c r="J1874" s="80" t="s">
        <v>212</v>
      </c>
      <c r="K1874" s="80" t="s">
        <v>21</v>
      </c>
      <c r="L1874" s="30" t="s">
        <v>186</v>
      </c>
      <c r="M1874" s="68">
        <v>5</v>
      </c>
      <c r="N1874" s="181" t="str">
        <f t="shared" si="30"/>
        <v>да</v>
      </c>
      <c r="O1874" s="23">
        <v>45068</v>
      </c>
      <c r="P1874" s="23">
        <v>45078</v>
      </c>
      <c r="Q1874" s="106" t="s">
        <v>66</v>
      </c>
      <c r="R1874" s="37">
        <v>417</v>
      </c>
      <c r="S1874" s="38" t="s">
        <v>829</v>
      </c>
      <c r="T1874" s="37">
        <v>1513</v>
      </c>
      <c r="U1874" s="42" t="s">
        <v>1875</v>
      </c>
      <c r="V1874" s="69" t="s">
        <v>189</v>
      </c>
      <c r="W1874" s="89" t="s">
        <v>279</v>
      </c>
      <c r="X1874" s="106" t="s">
        <v>297</v>
      </c>
      <c r="Y1874" s="107" t="s">
        <v>12</v>
      </c>
      <c r="Z1874" s="67">
        <f>IF(База_КР_КК[[#This Row],[Таб.номер резервиста]]="-","-",IF(OR(База_КР_КК[[#This Row],[Уровень КК]]=2,База_КР_КК[[#This Row],[Уровень КК]]=3),IF(COUNTIFS($U$2:$U1874,$U1874,$F$2:$F1874,$F1874)=1,1,0),IF(COUNTIFS($U$2:$U1874,$U1874,$L$2:$L1874,$L1874)=1,1,0)))</f>
        <v>1</v>
      </c>
      <c r="AA18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4" s="106"/>
      <c r="AC1874" s="51"/>
      <c r="AD1874" s="106" t="s">
        <v>13</v>
      </c>
      <c r="AE1874" s="38" t="s">
        <v>345</v>
      </c>
    </row>
    <row r="1875" spans="1:31" ht="18" customHeight="1" x14ac:dyDescent="0.25">
      <c r="A18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5" s="79">
        <v>3</v>
      </c>
      <c r="C1875" s="23">
        <v>44707</v>
      </c>
      <c r="D1875" s="67">
        <f>IF(COUNTIF($G$2:$G1875,$G1875)=1,1,0)</f>
        <v>0</v>
      </c>
      <c r="E1875" s="67" t="str">
        <f>IFERROR(VLOOKUP(База_КР_КК[[#This Row],[ИД штатной должности (S)]],'уровень защищенности'!$B$7:$F$1095,5,0),"не защищена")</f>
        <v>средний</v>
      </c>
      <c r="F1875" s="68">
        <v>500259</v>
      </c>
      <c r="G1875" s="74" t="s">
        <v>2587</v>
      </c>
      <c r="H1875" s="181">
        <f>INDEX('Списки данных'!$D$2:$D$1048576,MATCH(База_КР_КК[[#This Row],[Структурное подразделение]],'Списки данных'!$C$2:$C$1048576,0))</f>
        <v>13</v>
      </c>
      <c r="I1875" s="80" t="s">
        <v>173</v>
      </c>
      <c r="J1875" s="80" t="s">
        <v>212</v>
      </c>
      <c r="K1875" s="80" t="s">
        <v>21</v>
      </c>
      <c r="L1875" s="30" t="s">
        <v>186</v>
      </c>
      <c r="M1875" s="68">
        <v>5</v>
      </c>
      <c r="N1875" s="181" t="str">
        <f t="shared" si="30"/>
        <v>да</v>
      </c>
      <c r="O1875" s="23">
        <v>45068</v>
      </c>
      <c r="P1875" s="23">
        <v>45078</v>
      </c>
      <c r="Q1875" s="106" t="s">
        <v>66</v>
      </c>
      <c r="R1875" s="37">
        <v>417</v>
      </c>
      <c r="S1875" s="38" t="s">
        <v>829</v>
      </c>
      <c r="T1875" s="37">
        <v>421</v>
      </c>
      <c r="U1875" s="39" t="s">
        <v>833</v>
      </c>
      <c r="V1875" s="89" t="s">
        <v>192</v>
      </c>
      <c r="W1875" s="89" t="s">
        <v>173</v>
      </c>
      <c r="X1875" s="106" t="s">
        <v>296</v>
      </c>
      <c r="Y1875" s="107" t="s">
        <v>12</v>
      </c>
      <c r="Z1875" s="67">
        <f>IF(База_КР_КК[[#This Row],[Таб.номер резервиста]]="-","-",IF(OR(База_КР_КК[[#This Row],[Уровень КК]]=2,База_КР_КК[[#This Row],[Уровень КК]]=3),IF(COUNTIFS($U$2:$U1875,$U1875,$F$2:$F1875,$F1875)=1,1,0),IF(COUNTIFS($U$2:$U1875,$U1875,$L$2:$L1875,$L1875)=1,1,0)))</f>
        <v>1</v>
      </c>
      <c r="AA18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5" s="106"/>
      <c r="AC1875" s="51"/>
      <c r="AD1875" s="106" t="s">
        <v>15</v>
      </c>
      <c r="AE1875" s="38" t="s">
        <v>345</v>
      </c>
    </row>
    <row r="1876" spans="1:31" ht="18" customHeight="1" x14ac:dyDescent="0.25">
      <c r="A18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6" s="79">
        <v>3</v>
      </c>
      <c r="C1876" s="23">
        <v>44707</v>
      </c>
      <c r="D1876" s="67">
        <f>IF(COUNTIF($G$2:$G1876,$G1876)=1,1,0)</f>
        <v>0</v>
      </c>
      <c r="E1876" s="67" t="str">
        <f>IFERROR(VLOOKUP(База_КР_КК[[#This Row],[ИД штатной должности (S)]],'уровень защищенности'!$B$7:$F$1095,5,0),"не защищена")</f>
        <v>средний</v>
      </c>
      <c r="F1876" s="68">
        <v>500259</v>
      </c>
      <c r="G1876" s="74" t="s">
        <v>2587</v>
      </c>
      <c r="H1876" s="181">
        <f>INDEX('Списки данных'!$D$2:$D$1048576,MATCH(База_КР_КК[[#This Row],[Структурное подразделение]],'Списки данных'!$C$2:$C$1048576,0))</f>
        <v>13</v>
      </c>
      <c r="I1876" s="80" t="s">
        <v>173</v>
      </c>
      <c r="J1876" s="80" t="s">
        <v>212</v>
      </c>
      <c r="K1876" s="80" t="s">
        <v>21</v>
      </c>
      <c r="L1876" s="30" t="s">
        <v>186</v>
      </c>
      <c r="M1876" s="68">
        <v>5</v>
      </c>
      <c r="N1876" s="181" t="str">
        <f t="shared" si="30"/>
        <v>да</v>
      </c>
      <c r="O1876" s="23">
        <v>45068</v>
      </c>
      <c r="P1876" s="23">
        <v>45078</v>
      </c>
      <c r="Q1876" s="106" t="s">
        <v>66</v>
      </c>
      <c r="R1876" s="37">
        <v>417</v>
      </c>
      <c r="S1876" s="38" t="s">
        <v>829</v>
      </c>
      <c r="T1876" s="37">
        <v>1514</v>
      </c>
      <c r="U1876" s="39" t="s">
        <v>1845</v>
      </c>
      <c r="V1876" s="69" t="s">
        <v>189</v>
      </c>
      <c r="W1876" s="89" t="s">
        <v>173</v>
      </c>
      <c r="X1876" s="106" t="s">
        <v>296</v>
      </c>
      <c r="Y1876" s="107" t="s">
        <v>12</v>
      </c>
      <c r="Z1876" s="67">
        <f>IF(База_КР_КК[[#This Row],[Таб.номер резервиста]]="-","-",IF(OR(База_КР_КК[[#This Row],[Уровень КК]]=2,База_КР_КК[[#This Row],[Уровень КК]]=3),IF(COUNTIFS($U$2:$U1876,$U1876,$F$2:$F1876,$F1876)=1,1,0),IF(COUNTIFS($U$2:$U1876,$U1876,$L$2:$L1876,$L1876)=1,1,0)))</f>
        <v>1</v>
      </c>
      <c r="AA18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6" s="106"/>
      <c r="AC1876" s="51"/>
      <c r="AD1876" s="106" t="s">
        <v>15</v>
      </c>
      <c r="AE1876" s="38" t="s">
        <v>345</v>
      </c>
    </row>
    <row r="1877" spans="1:31" ht="18" customHeight="1" x14ac:dyDescent="0.25">
      <c r="A18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7" s="79">
        <v>3</v>
      </c>
      <c r="C1877" s="23">
        <v>43425</v>
      </c>
      <c r="D1877" s="67">
        <f>IF(COUNTIF($G$2:$G1877,$G1877)=1,1,0)</f>
        <v>0</v>
      </c>
      <c r="E1877" s="67" t="str">
        <f>IFERROR(VLOOKUP(База_КР_КК[[#This Row],[ИД штатной должности (S)]],'уровень защищенности'!$B$7:$F$1095,5,0),"не защищена")</f>
        <v>средний</v>
      </c>
      <c r="F1877" s="68">
        <v>500259</v>
      </c>
      <c r="G1877" s="74" t="s">
        <v>2587</v>
      </c>
      <c r="H1877" s="181">
        <f>INDEX('Списки данных'!$D$2:$D$1048576,MATCH(База_КР_КК[[#This Row],[Структурное подразделение]],'Списки данных'!$C$2:$C$1048576,0))</f>
        <v>13</v>
      </c>
      <c r="I1877" s="80" t="s">
        <v>173</v>
      </c>
      <c r="J1877" s="80" t="s">
        <v>212</v>
      </c>
      <c r="K1877" s="80" t="s">
        <v>21</v>
      </c>
      <c r="L1877" s="30" t="s">
        <v>186</v>
      </c>
      <c r="M1877" s="68">
        <v>5</v>
      </c>
      <c r="N1877" s="181" t="str">
        <f t="shared" si="30"/>
        <v>да</v>
      </c>
      <c r="O1877" s="23">
        <v>45068</v>
      </c>
      <c r="P1877" s="23">
        <v>45078</v>
      </c>
      <c r="Q1877" s="106" t="s">
        <v>66</v>
      </c>
      <c r="R1877" s="37">
        <v>417</v>
      </c>
      <c r="S1877" s="38" t="s">
        <v>829</v>
      </c>
      <c r="T1877" s="37">
        <v>1515</v>
      </c>
      <c r="U1877" s="39" t="s">
        <v>1876</v>
      </c>
      <c r="V1877" s="89" t="s">
        <v>192</v>
      </c>
      <c r="W1877" s="89" t="s">
        <v>173</v>
      </c>
      <c r="X1877" s="106" t="s">
        <v>297</v>
      </c>
      <c r="Y1877" s="107" t="s">
        <v>18</v>
      </c>
      <c r="Z1877" s="67">
        <f>IF(База_КР_КК[[#This Row],[Таб.номер резервиста]]="-","-",IF(OR(База_КР_КК[[#This Row],[Уровень КК]]=2,База_КР_КК[[#This Row],[Уровень КК]]=3),IF(COUNTIFS($U$2:$U1877,$U1877,$F$2:$F1877,$F1877)=1,1,0),IF(COUNTIFS($U$2:$U1877,$U1877,$L$2:$L1877,$L1877)=1,1,0)))</f>
        <v>1</v>
      </c>
      <c r="AA18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7" s="106" t="s">
        <v>19</v>
      </c>
      <c r="AC1877" s="51">
        <v>44443</v>
      </c>
      <c r="AD1877" s="106" t="s">
        <v>13</v>
      </c>
      <c r="AE1877" s="38" t="s">
        <v>348</v>
      </c>
    </row>
    <row r="1878" spans="1:31" ht="18" customHeight="1" x14ac:dyDescent="0.25">
      <c r="A18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8" s="79">
        <v>4</v>
      </c>
      <c r="C1878" s="23">
        <v>44425</v>
      </c>
      <c r="D1878" s="67">
        <f>IF(COUNTIF($G$2:$G1878,$G1878)=1,1,0)</f>
        <v>1</v>
      </c>
      <c r="E1878" s="67" t="str">
        <f>IFERROR(VLOOKUP(База_КР_КК[[#This Row],[ИД штатной должности (S)]],'уровень защищенности'!$B$7:$F$1095,5,0),"не защищена")</f>
        <v>средний</v>
      </c>
      <c r="F1878" s="68">
        <v>500260</v>
      </c>
      <c r="G1878" s="74" t="s">
        <v>2588</v>
      </c>
      <c r="H1878" s="181">
        <f>INDEX('Списки данных'!$D$2:$D$1048576,MATCH(База_КР_КК[[#This Row],[Структурное подразделение]],'Списки данных'!$C$2:$C$1048576,0))</f>
        <v>13</v>
      </c>
      <c r="I1878" s="80" t="s">
        <v>173</v>
      </c>
      <c r="J1878" s="80" t="s">
        <v>212</v>
      </c>
      <c r="K1878" s="80" t="s">
        <v>21</v>
      </c>
      <c r="L1878" s="30" t="s">
        <v>191</v>
      </c>
      <c r="M1878" s="68">
        <v>7</v>
      </c>
      <c r="N1878" s="181" t="str">
        <f t="shared" si="30"/>
        <v>да</v>
      </c>
      <c r="O1878" s="23">
        <v>44805</v>
      </c>
      <c r="P1878" s="23">
        <v>44870</v>
      </c>
      <c r="Q1878" s="106" t="s">
        <v>66</v>
      </c>
      <c r="R1878" s="37">
        <v>418</v>
      </c>
      <c r="S1878" s="39" t="s">
        <v>830</v>
      </c>
      <c r="T1878" s="37">
        <v>1505</v>
      </c>
      <c r="U1878" s="39" t="s">
        <v>1869</v>
      </c>
      <c r="V1878" s="69" t="s">
        <v>272</v>
      </c>
      <c r="W1878" s="89" t="s">
        <v>173</v>
      </c>
      <c r="X1878" s="106" t="s">
        <v>297</v>
      </c>
      <c r="Y1878" s="107" t="s">
        <v>12</v>
      </c>
      <c r="Z1878" s="67">
        <f>IF(База_КР_КК[[#This Row],[Таб.номер резервиста]]="-","-",IF(OR(База_КР_КК[[#This Row],[Уровень КК]]=2,База_КР_КК[[#This Row],[Уровень КК]]=3),IF(COUNTIFS($U$2:$U1878,$U1878,$F$2:$F1878,$F1878)=1,1,0),IF(COUNTIFS($U$2:$U1878,$U1878,$L$2:$L1878,$L1878)=1,1,0)))</f>
        <v>0</v>
      </c>
      <c r="AA18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8" s="106"/>
      <c r="AC1878" s="51"/>
      <c r="AD1878" s="106" t="s">
        <v>15</v>
      </c>
      <c r="AE1878" s="38" t="s">
        <v>343</v>
      </c>
    </row>
    <row r="1879" spans="1:31" ht="18" customHeight="1" x14ac:dyDescent="0.25">
      <c r="A18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79" s="79">
        <v>4</v>
      </c>
      <c r="C1879" s="23">
        <v>44425</v>
      </c>
      <c r="D1879" s="67">
        <f>IF(COUNTIF($G$2:$G1879,$G1879)=1,1,0)</f>
        <v>0</v>
      </c>
      <c r="E1879" s="67" t="str">
        <f>IFERROR(VLOOKUP(База_КР_КК[[#This Row],[ИД штатной должности (S)]],'уровень защищенности'!$B$7:$F$1095,5,0),"не защищена")</f>
        <v>средний</v>
      </c>
      <c r="F1879" s="68">
        <v>500260</v>
      </c>
      <c r="G1879" s="74" t="s">
        <v>2588</v>
      </c>
      <c r="H1879" s="181">
        <f>INDEX('Списки данных'!$D$2:$D$1048576,MATCH(База_КР_КК[[#This Row],[Структурное подразделение]],'Списки данных'!$C$2:$C$1048576,0))</f>
        <v>13</v>
      </c>
      <c r="I1879" s="80" t="s">
        <v>173</v>
      </c>
      <c r="J1879" s="80" t="s">
        <v>212</v>
      </c>
      <c r="K1879" s="80" t="s">
        <v>21</v>
      </c>
      <c r="L1879" s="30" t="s">
        <v>191</v>
      </c>
      <c r="M1879" s="68">
        <v>7</v>
      </c>
      <c r="N1879" s="181" t="str">
        <f t="shared" si="30"/>
        <v>да</v>
      </c>
      <c r="O1879" s="23">
        <v>44805</v>
      </c>
      <c r="P1879" s="23">
        <v>44870</v>
      </c>
      <c r="Q1879" s="106" t="s">
        <v>66</v>
      </c>
      <c r="R1879" s="37">
        <v>418</v>
      </c>
      <c r="S1879" s="39" t="s">
        <v>830</v>
      </c>
      <c r="T1879" s="37">
        <v>1506</v>
      </c>
      <c r="U1879" s="39" t="s">
        <v>1870</v>
      </c>
      <c r="V1879" s="69" t="s">
        <v>272</v>
      </c>
      <c r="W1879" s="89" t="s">
        <v>173</v>
      </c>
      <c r="X1879" s="106" t="s">
        <v>297</v>
      </c>
      <c r="Y1879" s="107" t="s">
        <v>12</v>
      </c>
      <c r="Z1879" s="67">
        <f>IF(База_КР_КК[[#This Row],[Таб.номер резервиста]]="-","-",IF(OR(База_КР_КК[[#This Row],[Уровень КК]]=2,База_КР_КК[[#This Row],[Уровень КК]]=3),IF(COUNTIFS($U$2:$U1879,$U1879,$F$2:$F1879,$F1879)=1,1,0),IF(COUNTIFS($U$2:$U1879,$U1879,$L$2:$L1879,$L1879)=1,1,0)))</f>
        <v>0</v>
      </c>
      <c r="AA18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79" s="106"/>
      <c r="AC1879" s="51"/>
      <c r="AD1879" s="106" t="s">
        <v>15</v>
      </c>
      <c r="AE1879" s="38" t="s">
        <v>343</v>
      </c>
    </row>
    <row r="1880" spans="1:31" ht="18" customHeight="1" x14ac:dyDescent="0.25">
      <c r="A18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0" s="79">
        <v>4</v>
      </c>
      <c r="C1880" s="23">
        <v>44425</v>
      </c>
      <c r="D1880" s="67">
        <f>IF(COUNTIF($G$2:$G1880,$G1880)=1,1,0)</f>
        <v>0</v>
      </c>
      <c r="E1880" s="67" t="str">
        <f>IFERROR(VLOOKUP(База_КР_КК[[#This Row],[ИД штатной должности (S)]],'уровень защищенности'!$B$7:$F$1095,5,0),"не защищена")</f>
        <v>средний</v>
      </c>
      <c r="F1880" s="68">
        <v>500260</v>
      </c>
      <c r="G1880" s="74" t="s">
        <v>2588</v>
      </c>
      <c r="H1880" s="181">
        <f>INDEX('Списки данных'!$D$2:$D$1048576,MATCH(База_КР_КК[[#This Row],[Структурное подразделение]],'Списки данных'!$C$2:$C$1048576,0))</f>
        <v>13</v>
      </c>
      <c r="I1880" s="80" t="s">
        <v>173</v>
      </c>
      <c r="J1880" s="80" t="s">
        <v>212</v>
      </c>
      <c r="K1880" s="80" t="s">
        <v>21</v>
      </c>
      <c r="L1880" s="30" t="s">
        <v>191</v>
      </c>
      <c r="M1880" s="68">
        <v>7</v>
      </c>
      <c r="N1880" s="181" t="str">
        <f t="shared" si="30"/>
        <v>да</v>
      </c>
      <c r="O1880" s="23">
        <v>44805</v>
      </c>
      <c r="P1880" s="23">
        <v>44870</v>
      </c>
      <c r="Q1880" s="106" t="s">
        <v>66</v>
      </c>
      <c r="R1880" s="37">
        <v>418</v>
      </c>
      <c r="S1880" s="39" t="s">
        <v>830</v>
      </c>
      <c r="T1880" s="37">
        <v>419</v>
      </c>
      <c r="U1880" s="39" t="s">
        <v>831</v>
      </c>
      <c r="V1880" s="69" t="s">
        <v>272</v>
      </c>
      <c r="W1880" s="89" t="s">
        <v>173</v>
      </c>
      <c r="X1880" s="106" t="s">
        <v>295</v>
      </c>
      <c r="Y1880" s="107" t="s">
        <v>14</v>
      </c>
      <c r="Z1880" s="67">
        <f>IF(База_КР_КК[[#This Row],[Таб.номер резервиста]]="-","-",IF(OR(База_КР_КК[[#This Row],[Уровень КК]]=2,База_КР_КК[[#This Row],[Уровень КК]]=3),IF(COUNTIFS($U$2:$U1880,$U1880,$F$2:$F1880,$F1880)=1,1,0),IF(COUNTIFS($U$2:$U1880,$U1880,$L$2:$L1880,$L1880)=1,1,0)))</f>
        <v>0</v>
      </c>
      <c r="AA18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80" s="106" t="s">
        <v>24</v>
      </c>
      <c r="AC1880" s="51">
        <v>44815</v>
      </c>
      <c r="AD1880" s="106" t="s">
        <v>15</v>
      </c>
      <c r="AE1880" s="38" t="s">
        <v>343</v>
      </c>
    </row>
    <row r="1881" spans="1:31" ht="18" customHeight="1" x14ac:dyDescent="0.25">
      <c r="A18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1" s="79">
        <v>4</v>
      </c>
      <c r="C1881" s="23">
        <v>44825</v>
      </c>
      <c r="D1881" s="67">
        <f>IF(COUNTIF($G$2:$G1881,$G1881)=1,1,0)</f>
        <v>0</v>
      </c>
      <c r="E1881" s="67" t="str">
        <f>IFERROR(VLOOKUP(База_КР_КК[[#This Row],[ИД штатной должности (S)]],'уровень защищенности'!$B$7:$F$1095,5,0),"не защищена")</f>
        <v>средний</v>
      </c>
      <c r="F1881" s="68">
        <v>500260</v>
      </c>
      <c r="G1881" s="74" t="s">
        <v>2588</v>
      </c>
      <c r="H1881" s="181">
        <f>INDEX('Списки данных'!$D$2:$D$1048576,MATCH(База_КР_КК[[#This Row],[Структурное подразделение]],'Списки данных'!$C$2:$C$1048576,0))</f>
        <v>13</v>
      </c>
      <c r="I1881" s="80" t="s">
        <v>173</v>
      </c>
      <c r="J1881" s="80" t="s">
        <v>212</v>
      </c>
      <c r="K1881" s="80" t="s">
        <v>21</v>
      </c>
      <c r="L1881" s="30" t="s">
        <v>191</v>
      </c>
      <c r="M1881" s="68">
        <v>7</v>
      </c>
      <c r="N1881" s="181" t="str">
        <f t="shared" si="30"/>
        <v>да</v>
      </c>
      <c r="O1881" s="23">
        <v>44805</v>
      </c>
      <c r="P1881" s="23">
        <v>44870</v>
      </c>
      <c r="Q1881" s="106" t="s">
        <v>66</v>
      </c>
      <c r="R1881" s="37">
        <v>418</v>
      </c>
      <c r="S1881" s="39" t="s">
        <v>830</v>
      </c>
      <c r="T1881" s="37">
        <v>418</v>
      </c>
      <c r="U1881" s="39" t="s">
        <v>830</v>
      </c>
      <c r="V1881" s="69" t="s">
        <v>192</v>
      </c>
      <c r="W1881" s="89" t="s">
        <v>173</v>
      </c>
      <c r="X1881" s="106" t="s">
        <v>295</v>
      </c>
      <c r="Y1881" s="107" t="s">
        <v>14</v>
      </c>
      <c r="Z1881" s="67">
        <f>IF(База_КР_КК[[#This Row],[Таб.номер резервиста]]="-","-",IF(OR(База_КР_КК[[#This Row],[Уровень КК]]=2,База_КР_КК[[#This Row],[Уровень КК]]=3),IF(COUNTIFS($U$2:$U1881,$U1881,$F$2:$F1881,$F1881)=1,1,0),IF(COUNTIFS($U$2:$U1881,$U1881,$L$2:$L1881,$L1881)=1,1,0)))</f>
        <v>0</v>
      </c>
      <c r="AA18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881" s="106" t="s">
        <v>24</v>
      </c>
      <c r="AC1881" s="51">
        <v>44870</v>
      </c>
      <c r="AD1881" s="106" t="s">
        <v>15</v>
      </c>
      <c r="AE1881" s="38" t="s">
        <v>357</v>
      </c>
    </row>
    <row r="1882" spans="1:31" ht="18" customHeight="1" x14ac:dyDescent="0.25">
      <c r="A18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2" s="79">
        <v>4</v>
      </c>
      <c r="C1882" s="23">
        <v>44425</v>
      </c>
      <c r="D1882" s="67">
        <f>IF(COUNTIF($G$2:$G1882,$G1882)=1,1,0)</f>
        <v>0</v>
      </c>
      <c r="E1882" s="67" t="str">
        <f>IFERROR(VLOOKUP(База_КР_КК[[#This Row],[ИД штатной должности (S)]],'уровень защищенности'!$B$7:$F$1095,5,0),"не защищена")</f>
        <v>средний</v>
      </c>
      <c r="F1882" s="68">
        <v>500260</v>
      </c>
      <c r="G1882" s="74" t="s">
        <v>2588</v>
      </c>
      <c r="H1882" s="181">
        <f>INDEX('Списки данных'!$D$2:$D$1048576,MATCH(База_КР_КК[[#This Row],[Структурное подразделение]],'Списки данных'!$C$2:$C$1048576,0))</f>
        <v>13</v>
      </c>
      <c r="I1882" s="80" t="s">
        <v>173</v>
      </c>
      <c r="J1882" s="80" t="s">
        <v>212</v>
      </c>
      <c r="K1882" s="80" t="s">
        <v>21</v>
      </c>
      <c r="L1882" s="30" t="s">
        <v>191</v>
      </c>
      <c r="M1882" s="68">
        <v>7</v>
      </c>
      <c r="N1882" s="181" t="str">
        <f t="shared" si="30"/>
        <v>да</v>
      </c>
      <c r="O1882" s="23">
        <v>44805</v>
      </c>
      <c r="P1882" s="23">
        <v>44870</v>
      </c>
      <c r="Q1882" s="106" t="s">
        <v>66</v>
      </c>
      <c r="R1882" s="37">
        <v>418</v>
      </c>
      <c r="S1882" s="39" t="s">
        <v>830</v>
      </c>
      <c r="T1882" s="37">
        <v>1507</v>
      </c>
      <c r="U1882" s="39" t="s">
        <v>1871</v>
      </c>
      <c r="V1882" s="69" t="s">
        <v>272</v>
      </c>
      <c r="W1882" s="89" t="s">
        <v>173</v>
      </c>
      <c r="X1882" s="106" t="s">
        <v>296</v>
      </c>
      <c r="Y1882" s="107" t="s">
        <v>18</v>
      </c>
      <c r="Z1882" s="67">
        <f>IF(База_КР_КК[[#This Row],[Таб.номер резервиста]]="-","-",IF(OR(База_КР_КК[[#This Row],[Уровень КК]]=2,База_КР_КК[[#This Row],[Уровень КК]]=3),IF(COUNTIFS($U$2:$U1882,$U1882,$F$2:$F1882,$F1882)=1,1,0),IF(COUNTIFS($U$2:$U1882,$U1882,$L$2:$L1882,$L1882)=1,1,0)))</f>
        <v>0</v>
      </c>
      <c r="AA18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82" s="106" t="s">
        <v>38</v>
      </c>
      <c r="AC1882" s="51">
        <v>44890</v>
      </c>
      <c r="AD1882" s="106" t="s">
        <v>31</v>
      </c>
      <c r="AE1882" s="38" t="s">
        <v>344</v>
      </c>
    </row>
    <row r="1883" spans="1:31" ht="18" customHeight="1" x14ac:dyDescent="0.25">
      <c r="A18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3" s="79">
        <v>4</v>
      </c>
      <c r="C1883" s="23">
        <v>44425</v>
      </c>
      <c r="D1883" s="67">
        <f>IF(COUNTIF($G$2:$G1883,$G1883)=1,1,0)</f>
        <v>1</v>
      </c>
      <c r="E1883" s="67" t="str">
        <f>IFERROR(VLOOKUP(База_КР_КК[[#This Row],[ИД штатной должности (S)]],'уровень защищенности'!$B$7:$F$1095,5,0),"не защищена")</f>
        <v>средний</v>
      </c>
      <c r="F1883" s="68">
        <v>500260</v>
      </c>
      <c r="G1883" s="74" t="s">
        <v>2589</v>
      </c>
      <c r="H1883" s="181">
        <f>INDEX('Списки данных'!$D$2:$D$1048576,MATCH(База_КР_КК[[#This Row],[Структурное подразделение]],'Списки данных'!$C$2:$C$1048576,0))</f>
        <v>13</v>
      </c>
      <c r="I1883" s="80" t="s">
        <v>173</v>
      </c>
      <c r="J1883" s="80" t="s">
        <v>212</v>
      </c>
      <c r="K1883" s="80" t="s">
        <v>21</v>
      </c>
      <c r="L1883" s="30" t="s">
        <v>191</v>
      </c>
      <c r="M1883" s="68">
        <v>7</v>
      </c>
      <c r="N1883" s="181" t="str">
        <f t="shared" si="30"/>
        <v>да</v>
      </c>
      <c r="O1883" s="23">
        <v>44799</v>
      </c>
      <c r="P1883" s="23">
        <v>44815</v>
      </c>
      <c r="Q1883" s="106" t="s">
        <v>66</v>
      </c>
      <c r="R1883" s="37">
        <v>419</v>
      </c>
      <c r="S1883" s="39" t="s">
        <v>831</v>
      </c>
      <c r="T1883" s="37">
        <v>1505</v>
      </c>
      <c r="U1883" s="39" t="s">
        <v>1869</v>
      </c>
      <c r="V1883" s="69" t="s">
        <v>272</v>
      </c>
      <c r="W1883" s="89" t="s">
        <v>173</v>
      </c>
      <c r="X1883" s="106" t="s">
        <v>297</v>
      </c>
      <c r="Y1883" s="107" t="s">
        <v>12</v>
      </c>
      <c r="Z1883" s="67">
        <f>IF(База_КР_КК[[#This Row],[Таб.номер резервиста]]="-","-",IF(OR(База_КР_КК[[#This Row],[Уровень КК]]=2,База_КР_КК[[#This Row],[Уровень КК]]=3),IF(COUNTIFS($U$2:$U1883,$U1883,$F$2:$F1883,$F1883)=1,1,0),IF(COUNTIFS($U$2:$U1883,$U1883,$L$2:$L1883,$L1883)=1,1,0)))</f>
        <v>0</v>
      </c>
      <c r="AA18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83" s="106"/>
      <c r="AC1883" s="51"/>
      <c r="AD1883" s="106" t="s">
        <v>15</v>
      </c>
      <c r="AE1883" s="38" t="s">
        <v>343</v>
      </c>
    </row>
    <row r="1884" spans="1:31" ht="18" customHeight="1" x14ac:dyDescent="0.25">
      <c r="A18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4" s="79">
        <v>4</v>
      </c>
      <c r="C1884" s="23">
        <v>44425</v>
      </c>
      <c r="D1884" s="67">
        <f>IF(COUNTIF($G$2:$G1884,$G1884)=1,1,0)</f>
        <v>0</v>
      </c>
      <c r="E1884" s="67" t="str">
        <f>IFERROR(VLOOKUP(База_КР_КК[[#This Row],[ИД штатной должности (S)]],'уровень защищенности'!$B$7:$F$1095,5,0),"не защищена")</f>
        <v>средний</v>
      </c>
      <c r="F1884" s="68">
        <v>500260</v>
      </c>
      <c r="G1884" s="74" t="s">
        <v>2589</v>
      </c>
      <c r="H1884" s="181">
        <f>INDEX('Списки данных'!$D$2:$D$1048576,MATCH(База_КР_КК[[#This Row],[Структурное подразделение]],'Списки данных'!$C$2:$C$1048576,0))</f>
        <v>13</v>
      </c>
      <c r="I1884" s="80" t="s">
        <v>173</v>
      </c>
      <c r="J1884" s="80" t="s">
        <v>212</v>
      </c>
      <c r="K1884" s="80" t="s">
        <v>21</v>
      </c>
      <c r="L1884" s="30" t="s">
        <v>191</v>
      </c>
      <c r="M1884" s="68">
        <v>7</v>
      </c>
      <c r="N1884" s="181" t="str">
        <f t="shared" si="30"/>
        <v>да</v>
      </c>
      <c r="O1884" s="23">
        <v>44799</v>
      </c>
      <c r="P1884" s="23">
        <v>44815</v>
      </c>
      <c r="Q1884" s="106" t="s">
        <v>66</v>
      </c>
      <c r="R1884" s="37">
        <v>419</v>
      </c>
      <c r="S1884" s="39" t="s">
        <v>831</v>
      </c>
      <c r="T1884" s="37">
        <v>1506</v>
      </c>
      <c r="U1884" s="39" t="s">
        <v>1870</v>
      </c>
      <c r="V1884" s="69" t="s">
        <v>272</v>
      </c>
      <c r="W1884" s="89" t="s">
        <v>173</v>
      </c>
      <c r="X1884" s="106" t="s">
        <v>297</v>
      </c>
      <c r="Y1884" s="107" t="s">
        <v>12</v>
      </c>
      <c r="Z1884" s="67">
        <f>IF(База_КР_КК[[#This Row],[Таб.номер резервиста]]="-","-",IF(OR(База_КР_КК[[#This Row],[Уровень КК]]=2,База_КР_КК[[#This Row],[Уровень КК]]=3),IF(COUNTIFS($U$2:$U1884,$U1884,$F$2:$F1884,$F1884)=1,1,0),IF(COUNTIFS($U$2:$U1884,$U1884,$L$2:$L1884,$L1884)=1,1,0)))</f>
        <v>0</v>
      </c>
      <c r="AA18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84" s="106"/>
      <c r="AC1884" s="51"/>
      <c r="AD1884" s="106" t="s">
        <v>15</v>
      </c>
      <c r="AE1884" s="38" t="s">
        <v>343</v>
      </c>
    </row>
    <row r="1885" spans="1:31" ht="18" customHeight="1" x14ac:dyDescent="0.25">
      <c r="A18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5" s="79">
        <v>4</v>
      </c>
      <c r="C1885" s="23">
        <v>44425</v>
      </c>
      <c r="D1885" s="67">
        <f>IF(COUNTIF($G$2:$G1885,$G1885)=1,1,0)</f>
        <v>0</v>
      </c>
      <c r="E1885" s="67" t="str">
        <f>IFERROR(VLOOKUP(База_КР_КК[[#This Row],[ИД штатной должности (S)]],'уровень защищенности'!$B$7:$F$1095,5,0),"не защищена")</f>
        <v>средний</v>
      </c>
      <c r="F1885" s="68">
        <v>500260</v>
      </c>
      <c r="G1885" s="74" t="s">
        <v>2589</v>
      </c>
      <c r="H1885" s="181">
        <f>INDEX('Списки данных'!$D$2:$D$1048576,MATCH(База_КР_КК[[#This Row],[Структурное подразделение]],'Списки данных'!$C$2:$C$1048576,0))</f>
        <v>13</v>
      </c>
      <c r="I1885" s="80" t="s">
        <v>173</v>
      </c>
      <c r="J1885" s="80" t="s">
        <v>212</v>
      </c>
      <c r="K1885" s="80" t="s">
        <v>21</v>
      </c>
      <c r="L1885" s="30" t="s">
        <v>191</v>
      </c>
      <c r="M1885" s="68">
        <v>7</v>
      </c>
      <c r="N1885" s="181" t="str">
        <f t="shared" si="30"/>
        <v>да</v>
      </c>
      <c r="O1885" s="23">
        <v>44799</v>
      </c>
      <c r="P1885" s="23">
        <v>44815</v>
      </c>
      <c r="Q1885" s="106" t="s">
        <v>66</v>
      </c>
      <c r="R1885" s="37">
        <v>419</v>
      </c>
      <c r="S1885" s="39" t="s">
        <v>831</v>
      </c>
      <c r="T1885" s="37">
        <v>419</v>
      </c>
      <c r="U1885" s="39" t="s">
        <v>831</v>
      </c>
      <c r="V1885" s="69" t="s">
        <v>272</v>
      </c>
      <c r="W1885" s="89" t="s">
        <v>173</v>
      </c>
      <c r="X1885" s="106" t="s">
        <v>295</v>
      </c>
      <c r="Y1885" s="107" t="s">
        <v>14</v>
      </c>
      <c r="Z1885" s="67">
        <f>IF(База_КР_КК[[#This Row],[Таб.номер резервиста]]="-","-",IF(OR(База_КР_КК[[#This Row],[Уровень КК]]=2,База_КР_КК[[#This Row],[Уровень КК]]=3),IF(COUNTIFS($U$2:$U1885,$U1885,$F$2:$F1885,$F1885)=1,1,0),IF(COUNTIFS($U$2:$U1885,$U1885,$L$2:$L1885,$L1885)=1,1,0)))</f>
        <v>0</v>
      </c>
      <c r="AA18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885" s="106" t="s">
        <v>24</v>
      </c>
      <c r="AC1885" s="51">
        <v>44815</v>
      </c>
      <c r="AD1885" s="106" t="s">
        <v>15</v>
      </c>
      <c r="AE1885" s="38" t="s">
        <v>343</v>
      </c>
    </row>
    <row r="1886" spans="1:31" ht="18" customHeight="1" x14ac:dyDescent="0.25">
      <c r="A18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6" s="79">
        <v>4</v>
      </c>
      <c r="C1886" s="23">
        <v>44825</v>
      </c>
      <c r="D1886" s="67">
        <f>IF(COUNTIF($G$2:$G1886,$G1886)=1,1,0)</f>
        <v>0</v>
      </c>
      <c r="E1886" s="67" t="str">
        <f>IFERROR(VLOOKUP(База_КР_КК[[#This Row],[ИД штатной должности (S)]],'уровень защищенности'!$B$7:$F$1095,5,0),"не защищена")</f>
        <v>средний</v>
      </c>
      <c r="F1886" s="68">
        <v>500260</v>
      </c>
      <c r="G1886" s="74" t="s">
        <v>2589</v>
      </c>
      <c r="H1886" s="181">
        <f>INDEX('Списки данных'!$D$2:$D$1048576,MATCH(База_КР_КК[[#This Row],[Структурное подразделение]],'Списки данных'!$C$2:$C$1048576,0))</f>
        <v>13</v>
      </c>
      <c r="I1886" s="80" t="s">
        <v>173</v>
      </c>
      <c r="J1886" s="80" t="s">
        <v>212</v>
      </c>
      <c r="K1886" s="80" t="s">
        <v>21</v>
      </c>
      <c r="L1886" s="30" t="s">
        <v>191</v>
      </c>
      <c r="M1886" s="68">
        <v>7</v>
      </c>
      <c r="N1886" s="181" t="str">
        <f t="shared" si="30"/>
        <v>да</v>
      </c>
      <c r="O1886" s="23">
        <v>44799</v>
      </c>
      <c r="P1886" s="23">
        <v>44815</v>
      </c>
      <c r="Q1886" s="106" t="s">
        <v>66</v>
      </c>
      <c r="R1886" s="37">
        <v>419</v>
      </c>
      <c r="S1886" s="39" t="s">
        <v>831</v>
      </c>
      <c r="T1886" s="37">
        <v>418</v>
      </c>
      <c r="U1886" s="39" t="s">
        <v>830</v>
      </c>
      <c r="V1886" s="69" t="s">
        <v>192</v>
      </c>
      <c r="W1886" s="89" t="s">
        <v>173</v>
      </c>
      <c r="X1886" s="106" t="s">
        <v>295</v>
      </c>
      <c r="Y1886" s="107" t="s">
        <v>14</v>
      </c>
      <c r="Z1886" s="67">
        <f>IF(База_КР_КК[[#This Row],[Таб.номер резервиста]]="-","-",IF(OR(База_КР_КК[[#This Row],[Уровень КК]]=2,База_КР_КК[[#This Row],[Уровень КК]]=3),IF(COUNTIFS($U$2:$U1886,$U1886,$F$2:$F1886,$F1886)=1,1,0),IF(COUNTIFS($U$2:$U1886,$U1886,$L$2:$L1886,$L1886)=1,1,0)))</f>
        <v>0</v>
      </c>
      <c r="AA18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86" s="106" t="s">
        <v>24</v>
      </c>
      <c r="AC1886" s="51">
        <v>44870</v>
      </c>
      <c r="AD1886" s="106" t="s">
        <v>15</v>
      </c>
      <c r="AE1886" s="38" t="s">
        <v>357</v>
      </c>
    </row>
    <row r="1887" spans="1:31" ht="18" customHeight="1" x14ac:dyDescent="0.25">
      <c r="A18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7" s="79">
        <v>4</v>
      </c>
      <c r="C1887" s="23">
        <v>44425</v>
      </c>
      <c r="D1887" s="67">
        <f>IF(COUNTIF($G$2:$G1887,$G1887)=1,1,0)</f>
        <v>0</v>
      </c>
      <c r="E1887" s="67" t="str">
        <f>IFERROR(VLOOKUP(База_КР_КК[[#This Row],[ИД штатной должности (S)]],'уровень защищенности'!$B$7:$F$1095,5,0),"не защищена")</f>
        <v>средний</v>
      </c>
      <c r="F1887" s="68">
        <v>500260</v>
      </c>
      <c r="G1887" s="74" t="s">
        <v>2589</v>
      </c>
      <c r="H1887" s="181">
        <f>INDEX('Списки данных'!$D$2:$D$1048576,MATCH(База_КР_КК[[#This Row],[Структурное подразделение]],'Списки данных'!$C$2:$C$1048576,0))</f>
        <v>13</v>
      </c>
      <c r="I1887" s="80" t="s">
        <v>173</v>
      </c>
      <c r="J1887" s="80" t="s">
        <v>212</v>
      </c>
      <c r="K1887" s="80" t="s">
        <v>21</v>
      </c>
      <c r="L1887" s="30" t="s">
        <v>191</v>
      </c>
      <c r="M1887" s="68">
        <v>7</v>
      </c>
      <c r="N1887" s="181" t="str">
        <f t="shared" si="30"/>
        <v>да</v>
      </c>
      <c r="O1887" s="23">
        <v>44799</v>
      </c>
      <c r="P1887" s="23">
        <v>44815</v>
      </c>
      <c r="Q1887" s="106" t="s">
        <v>66</v>
      </c>
      <c r="R1887" s="37">
        <v>419</v>
      </c>
      <c r="S1887" s="39" t="s">
        <v>831</v>
      </c>
      <c r="T1887" s="37">
        <v>1507</v>
      </c>
      <c r="U1887" s="39" t="s">
        <v>1871</v>
      </c>
      <c r="V1887" s="69" t="s">
        <v>272</v>
      </c>
      <c r="W1887" s="89" t="s">
        <v>173</v>
      </c>
      <c r="X1887" s="106" t="s">
        <v>296</v>
      </c>
      <c r="Y1887" s="107" t="s">
        <v>18</v>
      </c>
      <c r="Z1887" s="67">
        <f>IF(База_КР_КК[[#This Row],[Таб.номер резервиста]]="-","-",IF(OR(База_КР_КК[[#This Row],[Уровень КК]]=2,База_КР_КК[[#This Row],[Уровень КК]]=3),IF(COUNTIFS($U$2:$U1887,$U1887,$F$2:$F1887,$F1887)=1,1,0),IF(COUNTIFS($U$2:$U1887,$U1887,$L$2:$L1887,$L1887)=1,1,0)))</f>
        <v>0</v>
      </c>
      <c r="AA18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87" s="106" t="s">
        <v>38</v>
      </c>
      <c r="AC1887" s="51">
        <v>44890</v>
      </c>
      <c r="AD1887" s="106" t="s">
        <v>31</v>
      </c>
      <c r="AE1887" s="38" t="s">
        <v>344</v>
      </c>
    </row>
    <row r="1888" spans="1:31" ht="18" customHeight="1" x14ac:dyDescent="0.25">
      <c r="A18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8" s="79">
        <v>4</v>
      </c>
      <c r="C1888" s="23">
        <v>44425</v>
      </c>
      <c r="D1888" s="67">
        <f>IF(COUNTIF($G$2:$G1888,$G1888)=1,1,0)</f>
        <v>1</v>
      </c>
      <c r="E1888" s="67" t="str">
        <f>IFERROR(VLOOKUP(База_КР_КК[[#This Row],[ИД штатной должности (S)]],'уровень защищенности'!$B$7:$F$1095,5,0),"не защищена")</f>
        <v>средний</v>
      </c>
      <c r="F1888" s="68">
        <v>500260</v>
      </c>
      <c r="G1888" s="74" t="s">
        <v>2590</v>
      </c>
      <c r="H1888" s="181">
        <f>INDEX('Списки данных'!$D$2:$D$1048576,MATCH(База_КР_КК[[#This Row],[Структурное подразделение]],'Списки данных'!$C$2:$C$1048576,0))</f>
        <v>13</v>
      </c>
      <c r="I1888" s="80" t="s">
        <v>173</v>
      </c>
      <c r="J1888" s="80" t="s">
        <v>212</v>
      </c>
      <c r="K1888" s="80" t="s">
        <v>21</v>
      </c>
      <c r="L1888" s="30" t="s">
        <v>191</v>
      </c>
      <c r="M1888" s="68">
        <v>7</v>
      </c>
      <c r="N1888" s="181" t="str">
        <f t="shared" si="30"/>
        <v>нет</v>
      </c>
      <c r="O1888" s="23"/>
      <c r="P1888" s="23"/>
      <c r="Q1888" s="106"/>
      <c r="R1888" s="37">
        <v>420</v>
      </c>
      <c r="S1888" s="38" t="s">
        <v>832</v>
      </c>
      <c r="T1888" s="37">
        <v>1505</v>
      </c>
      <c r="U1888" s="39" t="s">
        <v>1869</v>
      </c>
      <c r="V1888" s="69" t="s">
        <v>272</v>
      </c>
      <c r="W1888" s="89" t="s">
        <v>173</v>
      </c>
      <c r="X1888" s="106" t="s">
        <v>297</v>
      </c>
      <c r="Y1888" s="107" t="s">
        <v>12</v>
      </c>
      <c r="Z1888" s="67">
        <f>IF(База_КР_КК[[#This Row],[Таб.номер резервиста]]="-","-",IF(OR(База_КР_КК[[#This Row],[Уровень КК]]=2,База_КР_КК[[#This Row],[Уровень КК]]=3),IF(COUNTIFS($U$2:$U1888,$U1888,$F$2:$F1888,$F1888)=1,1,0),IF(COUNTIFS($U$2:$U1888,$U1888,$L$2:$L1888,$L1888)=1,1,0)))</f>
        <v>0</v>
      </c>
      <c r="AA18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88" s="106"/>
      <c r="AC1888" s="51"/>
      <c r="AD1888" s="106" t="s">
        <v>15</v>
      </c>
      <c r="AE1888" s="38" t="s">
        <v>343</v>
      </c>
    </row>
    <row r="1889" spans="1:31" ht="18" customHeight="1" x14ac:dyDescent="0.25">
      <c r="A18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89" s="79">
        <v>4</v>
      </c>
      <c r="C1889" s="23">
        <v>44425</v>
      </c>
      <c r="D1889" s="67">
        <f>IF(COUNTIF($G$2:$G1889,$G1889)=1,1,0)</f>
        <v>0</v>
      </c>
      <c r="E1889" s="67" t="str">
        <f>IFERROR(VLOOKUP(База_КР_КК[[#This Row],[ИД штатной должности (S)]],'уровень защищенности'!$B$7:$F$1095,5,0),"не защищена")</f>
        <v>средний</v>
      </c>
      <c r="F1889" s="68">
        <v>500260</v>
      </c>
      <c r="G1889" s="74" t="s">
        <v>2590</v>
      </c>
      <c r="H1889" s="181">
        <f>INDEX('Списки данных'!$D$2:$D$1048576,MATCH(База_КР_КК[[#This Row],[Структурное подразделение]],'Списки данных'!$C$2:$C$1048576,0))</f>
        <v>13</v>
      </c>
      <c r="I1889" s="80" t="s">
        <v>173</v>
      </c>
      <c r="J1889" s="80" t="s">
        <v>212</v>
      </c>
      <c r="K1889" s="80" t="s">
        <v>21</v>
      </c>
      <c r="L1889" s="30" t="s">
        <v>191</v>
      </c>
      <c r="M1889" s="68">
        <v>7</v>
      </c>
      <c r="N1889" s="181" t="str">
        <f t="shared" si="30"/>
        <v>нет</v>
      </c>
      <c r="O1889" s="23"/>
      <c r="P1889" s="23"/>
      <c r="Q1889" s="106"/>
      <c r="R1889" s="37">
        <v>420</v>
      </c>
      <c r="S1889" s="38" t="s">
        <v>832</v>
      </c>
      <c r="T1889" s="37">
        <v>1506</v>
      </c>
      <c r="U1889" s="39" t="s">
        <v>1870</v>
      </c>
      <c r="V1889" s="69" t="s">
        <v>272</v>
      </c>
      <c r="W1889" s="89" t="s">
        <v>173</v>
      </c>
      <c r="X1889" s="106" t="s">
        <v>297</v>
      </c>
      <c r="Y1889" s="107" t="s">
        <v>12</v>
      </c>
      <c r="Z1889" s="67">
        <f>IF(База_КР_КК[[#This Row],[Таб.номер резервиста]]="-","-",IF(OR(База_КР_КК[[#This Row],[Уровень КК]]=2,База_КР_КК[[#This Row],[Уровень КК]]=3),IF(COUNTIFS($U$2:$U1889,$U1889,$F$2:$F1889,$F1889)=1,1,0),IF(COUNTIFS($U$2:$U1889,$U1889,$L$2:$L1889,$L1889)=1,1,0)))</f>
        <v>0</v>
      </c>
      <c r="AA18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89" s="106"/>
      <c r="AC1889" s="51"/>
      <c r="AD1889" s="106" t="s">
        <v>15</v>
      </c>
      <c r="AE1889" s="38" t="s">
        <v>343</v>
      </c>
    </row>
    <row r="1890" spans="1:31" ht="18" customHeight="1" x14ac:dyDescent="0.25">
      <c r="A18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0" s="79">
        <v>4</v>
      </c>
      <c r="C1890" s="23">
        <v>44425</v>
      </c>
      <c r="D1890" s="67">
        <f>IF(COUNTIF($G$2:$G1890,$G1890)=1,1,0)</f>
        <v>0</v>
      </c>
      <c r="E1890" s="67" t="str">
        <f>IFERROR(VLOOKUP(База_КР_КК[[#This Row],[ИД штатной должности (S)]],'уровень защищенности'!$B$7:$F$1095,5,0),"не защищена")</f>
        <v>средний</v>
      </c>
      <c r="F1890" s="68">
        <v>500260</v>
      </c>
      <c r="G1890" s="74" t="s">
        <v>2590</v>
      </c>
      <c r="H1890" s="181">
        <f>INDEX('Списки данных'!$D$2:$D$1048576,MATCH(База_КР_КК[[#This Row],[Структурное подразделение]],'Списки данных'!$C$2:$C$1048576,0))</f>
        <v>13</v>
      </c>
      <c r="I1890" s="80" t="s">
        <v>173</v>
      </c>
      <c r="J1890" s="80" t="s">
        <v>212</v>
      </c>
      <c r="K1890" s="80" t="s">
        <v>21</v>
      </c>
      <c r="L1890" s="30" t="s">
        <v>191</v>
      </c>
      <c r="M1890" s="68">
        <v>7</v>
      </c>
      <c r="N1890" s="181" t="str">
        <f t="shared" si="30"/>
        <v>нет</v>
      </c>
      <c r="O1890" s="23"/>
      <c r="P1890" s="23"/>
      <c r="Q1890" s="106"/>
      <c r="R1890" s="37">
        <v>420</v>
      </c>
      <c r="S1890" s="38" t="s">
        <v>832</v>
      </c>
      <c r="T1890" s="37">
        <v>419</v>
      </c>
      <c r="U1890" s="39" t="s">
        <v>831</v>
      </c>
      <c r="V1890" s="69" t="s">
        <v>272</v>
      </c>
      <c r="W1890" s="89" t="s">
        <v>173</v>
      </c>
      <c r="X1890" s="106" t="s">
        <v>295</v>
      </c>
      <c r="Y1890" s="107" t="s">
        <v>14</v>
      </c>
      <c r="Z1890" s="67">
        <f>IF(База_КР_КК[[#This Row],[Таб.номер резервиста]]="-","-",IF(OR(База_КР_КК[[#This Row],[Уровень КК]]=2,База_КР_КК[[#This Row],[Уровень КК]]=3),IF(COUNTIFS($U$2:$U1890,$U1890,$F$2:$F1890,$F1890)=1,1,0),IF(COUNTIFS($U$2:$U1890,$U1890,$L$2:$L1890,$L1890)=1,1,0)))</f>
        <v>0</v>
      </c>
      <c r="AA18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0" s="106" t="s">
        <v>24</v>
      </c>
      <c r="AC1890" s="51">
        <v>44815</v>
      </c>
      <c r="AD1890" s="106" t="s">
        <v>15</v>
      </c>
      <c r="AE1890" s="38" t="s">
        <v>343</v>
      </c>
    </row>
    <row r="1891" spans="1:31" ht="18" customHeight="1" x14ac:dyDescent="0.25">
      <c r="A18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1" s="79">
        <v>4</v>
      </c>
      <c r="C1891" s="23">
        <v>44825</v>
      </c>
      <c r="D1891" s="67">
        <f>IF(COUNTIF($G$2:$G1891,$G1891)=1,1,0)</f>
        <v>0</v>
      </c>
      <c r="E1891" s="67" t="str">
        <f>IFERROR(VLOOKUP(База_КР_КК[[#This Row],[ИД штатной должности (S)]],'уровень защищенности'!$B$7:$F$1095,5,0),"не защищена")</f>
        <v>средний</v>
      </c>
      <c r="F1891" s="68">
        <v>500260</v>
      </c>
      <c r="G1891" s="74" t="s">
        <v>2590</v>
      </c>
      <c r="H1891" s="181">
        <f>INDEX('Списки данных'!$D$2:$D$1048576,MATCH(База_КР_КК[[#This Row],[Структурное подразделение]],'Списки данных'!$C$2:$C$1048576,0))</f>
        <v>13</v>
      </c>
      <c r="I1891" s="80" t="s">
        <v>173</v>
      </c>
      <c r="J1891" s="80" t="s">
        <v>212</v>
      </c>
      <c r="K1891" s="80" t="s">
        <v>21</v>
      </c>
      <c r="L1891" s="30" t="s">
        <v>191</v>
      </c>
      <c r="M1891" s="68">
        <v>7</v>
      </c>
      <c r="N1891" s="181" t="str">
        <f t="shared" si="30"/>
        <v>нет</v>
      </c>
      <c r="O1891" s="23"/>
      <c r="P1891" s="23"/>
      <c r="Q1891" s="106"/>
      <c r="R1891" s="37">
        <v>420</v>
      </c>
      <c r="S1891" s="38" t="s">
        <v>832</v>
      </c>
      <c r="T1891" s="37">
        <v>418</v>
      </c>
      <c r="U1891" s="39" t="s">
        <v>830</v>
      </c>
      <c r="V1891" s="69" t="s">
        <v>192</v>
      </c>
      <c r="W1891" s="89" t="s">
        <v>173</v>
      </c>
      <c r="X1891" s="106" t="s">
        <v>295</v>
      </c>
      <c r="Y1891" s="107" t="s">
        <v>14</v>
      </c>
      <c r="Z1891" s="67">
        <f>IF(База_КР_КК[[#This Row],[Таб.номер резервиста]]="-","-",IF(OR(База_КР_КК[[#This Row],[Уровень КК]]=2,База_КР_КК[[#This Row],[Уровень КК]]=3),IF(COUNTIFS($U$2:$U1891,$U1891,$F$2:$F1891,$F1891)=1,1,0),IF(COUNTIFS($U$2:$U1891,$U1891,$L$2:$L1891,$L1891)=1,1,0)))</f>
        <v>0</v>
      </c>
      <c r="AA18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1" s="106" t="s">
        <v>24</v>
      </c>
      <c r="AC1891" s="51">
        <v>44870</v>
      </c>
      <c r="AD1891" s="106" t="s">
        <v>15</v>
      </c>
      <c r="AE1891" s="38" t="s">
        <v>357</v>
      </c>
    </row>
    <row r="1892" spans="1:31" ht="18" customHeight="1" x14ac:dyDescent="0.25">
      <c r="A18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2" s="79">
        <v>4</v>
      </c>
      <c r="C1892" s="23">
        <v>44425</v>
      </c>
      <c r="D1892" s="67">
        <f>IF(COUNTIF($G$2:$G1892,$G1892)=1,1,0)</f>
        <v>0</v>
      </c>
      <c r="E1892" s="67" t="str">
        <f>IFERROR(VLOOKUP(База_КР_КК[[#This Row],[ИД штатной должности (S)]],'уровень защищенности'!$B$7:$F$1095,5,0),"не защищена")</f>
        <v>средний</v>
      </c>
      <c r="F1892" s="68">
        <v>500260</v>
      </c>
      <c r="G1892" s="74" t="s">
        <v>2590</v>
      </c>
      <c r="H1892" s="181">
        <f>INDEX('Списки данных'!$D$2:$D$1048576,MATCH(База_КР_КК[[#This Row],[Структурное подразделение]],'Списки данных'!$C$2:$C$1048576,0))</f>
        <v>13</v>
      </c>
      <c r="I1892" s="80" t="s">
        <v>173</v>
      </c>
      <c r="J1892" s="80" t="s">
        <v>212</v>
      </c>
      <c r="K1892" s="80" t="s">
        <v>21</v>
      </c>
      <c r="L1892" s="30" t="s">
        <v>191</v>
      </c>
      <c r="M1892" s="68">
        <v>7</v>
      </c>
      <c r="N1892" s="181" t="str">
        <f t="shared" si="30"/>
        <v>нет</v>
      </c>
      <c r="O1892" s="23"/>
      <c r="P1892" s="23"/>
      <c r="Q1892" s="106"/>
      <c r="R1892" s="37">
        <v>420</v>
      </c>
      <c r="S1892" s="38" t="s">
        <v>832</v>
      </c>
      <c r="T1892" s="37">
        <v>1507</v>
      </c>
      <c r="U1892" s="39" t="s">
        <v>1871</v>
      </c>
      <c r="V1892" s="69" t="s">
        <v>272</v>
      </c>
      <c r="W1892" s="89" t="s">
        <v>173</v>
      </c>
      <c r="X1892" s="106" t="s">
        <v>296</v>
      </c>
      <c r="Y1892" s="107" t="s">
        <v>18</v>
      </c>
      <c r="Z1892" s="67">
        <f>IF(База_КР_КК[[#This Row],[Таб.номер резервиста]]="-","-",IF(OR(База_КР_КК[[#This Row],[Уровень КК]]=2,База_КР_КК[[#This Row],[Уровень КК]]=3),IF(COUNTIFS($U$2:$U1892,$U1892,$F$2:$F1892,$F1892)=1,1,0),IF(COUNTIFS($U$2:$U1892,$U1892,$L$2:$L1892,$L1892)=1,1,0)))</f>
        <v>0</v>
      </c>
      <c r="AA18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2" s="106" t="s">
        <v>38</v>
      </c>
      <c r="AC1892" s="51">
        <v>44890</v>
      </c>
      <c r="AD1892" s="106" t="s">
        <v>31</v>
      </c>
      <c r="AE1892" s="38" t="s">
        <v>344</v>
      </c>
    </row>
    <row r="1893" spans="1:31" ht="18" customHeight="1" x14ac:dyDescent="0.25">
      <c r="A18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3" s="79">
        <v>4</v>
      </c>
      <c r="C1893" s="23">
        <v>44425</v>
      </c>
      <c r="D1893" s="67">
        <f>IF(COUNTIF($G$2:$G1893,$G1893)=1,1,0)</f>
        <v>1</v>
      </c>
      <c r="E1893" s="67" t="str">
        <f>IFERROR(VLOOKUP(База_КР_КК[[#This Row],[ИД штатной должности (S)]],'уровень защищенности'!$B$7:$F$1095,5,0),"не защищена")</f>
        <v>низкий</v>
      </c>
      <c r="F1893" s="68">
        <v>500261</v>
      </c>
      <c r="G1893" s="74" t="s">
        <v>2591</v>
      </c>
      <c r="H1893" s="181">
        <f>INDEX('Списки данных'!$D$2:$D$1048576,MATCH(База_КР_КК[[#This Row],[Структурное подразделение]],'Списки данных'!$C$2:$C$1048576,0))</f>
        <v>13</v>
      </c>
      <c r="I1893" s="80" t="s">
        <v>173</v>
      </c>
      <c r="J1893" s="80" t="s">
        <v>212</v>
      </c>
      <c r="K1893" s="80" t="s">
        <v>21</v>
      </c>
      <c r="L1893" s="30" t="s">
        <v>192</v>
      </c>
      <c r="M1893" s="68">
        <v>7</v>
      </c>
      <c r="N1893" s="181" t="str">
        <f t="shared" si="30"/>
        <v>да</v>
      </c>
      <c r="O1893" s="23">
        <v>44443</v>
      </c>
      <c r="P1893" s="23">
        <v>44805</v>
      </c>
      <c r="Q1893" s="106" t="s">
        <v>57</v>
      </c>
      <c r="R1893" s="37">
        <v>421</v>
      </c>
      <c r="S1893" s="38" t="s">
        <v>833</v>
      </c>
      <c r="T1893" s="37">
        <v>1505</v>
      </c>
      <c r="U1893" s="39" t="s">
        <v>1869</v>
      </c>
      <c r="V1893" s="69" t="s">
        <v>272</v>
      </c>
      <c r="W1893" s="89" t="s">
        <v>173</v>
      </c>
      <c r="X1893" s="106" t="s">
        <v>296</v>
      </c>
      <c r="Y1893" s="107" t="s">
        <v>12</v>
      </c>
      <c r="Z1893" s="67">
        <f>IF(База_КР_КК[[#This Row],[Таб.номер резервиста]]="-","-",IF(OR(База_КР_КК[[#This Row],[Уровень КК]]=2,База_КР_КК[[#This Row],[Уровень КК]]=3),IF(COUNTIFS($U$2:$U1893,$U1893,$F$2:$F1893,$F1893)=1,1,0),IF(COUNTIFS($U$2:$U1893,$U1893,$L$2:$L1893,$L1893)=1,1,0)))</f>
        <v>1</v>
      </c>
      <c r="AA18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3" s="106"/>
      <c r="AC1893" s="51"/>
      <c r="AD1893" s="106" t="s">
        <v>15</v>
      </c>
      <c r="AE1893" s="38" t="s">
        <v>343</v>
      </c>
    </row>
    <row r="1894" spans="1:31" ht="18" customHeight="1" x14ac:dyDescent="0.25">
      <c r="A18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4" s="79">
        <v>4</v>
      </c>
      <c r="C1894" s="23">
        <v>44890</v>
      </c>
      <c r="D1894" s="67">
        <f>IF(COUNTIF($G$2:$G1894,$G1894)=1,1,0)</f>
        <v>0</v>
      </c>
      <c r="E1894" s="67" t="str">
        <f>IFERROR(VLOOKUP(База_КР_КК[[#This Row],[ИД штатной должности (S)]],'уровень защищенности'!$B$7:$F$1095,5,0),"не защищена")</f>
        <v>низкий</v>
      </c>
      <c r="F1894" s="68">
        <v>500261</v>
      </c>
      <c r="G1894" s="74" t="s">
        <v>2591</v>
      </c>
      <c r="H1894" s="181">
        <f>INDEX('Списки данных'!$D$2:$D$1048576,MATCH(База_КР_КК[[#This Row],[Структурное подразделение]],'Списки данных'!$C$2:$C$1048576,0))</f>
        <v>13</v>
      </c>
      <c r="I1894" s="80" t="s">
        <v>173</v>
      </c>
      <c r="J1894" s="80" t="s">
        <v>212</v>
      </c>
      <c r="K1894" s="80" t="s">
        <v>21</v>
      </c>
      <c r="L1894" s="30" t="s">
        <v>192</v>
      </c>
      <c r="M1894" s="68">
        <v>7</v>
      </c>
      <c r="N1894" s="181" t="str">
        <f t="shared" si="30"/>
        <v>да</v>
      </c>
      <c r="O1894" s="23">
        <v>44443</v>
      </c>
      <c r="P1894" s="23">
        <v>44805</v>
      </c>
      <c r="Q1894" s="106" t="s">
        <v>57</v>
      </c>
      <c r="R1894" s="37">
        <v>421</v>
      </c>
      <c r="S1894" s="38" t="s">
        <v>833</v>
      </c>
      <c r="T1894" s="37">
        <v>418</v>
      </c>
      <c r="U1894" s="39" t="s">
        <v>830</v>
      </c>
      <c r="V1894" s="69" t="s">
        <v>192</v>
      </c>
      <c r="W1894" s="89" t="s">
        <v>173</v>
      </c>
      <c r="X1894" s="106" t="s">
        <v>296</v>
      </c>
      <c r="Y1894" s="107" t="s">
        <v>12</v>
      </c>
      <c r="Z1894" s="67">
        <f>IF(База_КР_КК[[#This Row],[Таб.номер резервиста]]="-","-",IF(OR(База_КР_КК[[#This Row],[Уровень КК]]=2,База_КР_КК[[#This Row],[Уровень КК]]=3),IF(COUNTIFS($U$2:$U1894,$U1894,$F$2:$F1894,$F1894)=1,1,0),IF(COUNTIFS($U$2:$U1894,$U1894,$L$2:$L1894,$L1894)=1,1,0)))</f>
        <v>1</v>
      </c>
      <c r="AA18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4" s="106"/>
      <c r="AC1894" s="51"/>
      <c r="AD1894" s="106" t="s">
        <v>15</v>
      </c>
      <c r="AE1894" s="38" t="s">
        <v>344</v>
      </c>
    </row>
    <row r="1895" spans="1:31" ht="18" customHeight="1" x14ac:dyDescent="0.25">
      <c r="A18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5" s="79">
        <v>4</v>
      </c>
      <c r="C1895" s="23">
        <v>44425</v>
      </c>
      <c r="D1895" s="67">
        <f>IF(COUNTIF($G$2:$G1895,$G1895)=1,1,0)</f>
        <v>0</v>
      </c>
      <c r="E1895" s="67" t="str">
        <f>IFERROR(VLOOKUP(База_КР_КК[[#This Row],[ИД штатной должности (S)]],'уровень защищенности'!$B$7:$F$1095,5,0),"не защищена")</f>
        <v>низкий</v>
      </c>
      <c r="F1895" s="68">
        <v>500261</v>
      </c>
      <c r="G1895" s="74" t="s">
        <v>2591</v>
      </c>
      <c r="H1895" s="181">
        <f>INDEX('Списки данных'!$D$2:$D$1048576,MATCH(База_КР_КК[[#This Row],[Структурное подразделение]],'Списки данных'!$C$2:$C$1048576,0))</f>
        <v>13</v>
      </c>
      <c r="I1895" s="80" t="s">
        <v>173</v>
      </c>
      <c r="J1895" s="80" t="s">
        <v>212</v>
      </c>
      <c r="K1895" s="80" t="s">
        <v>21</v>
      </c>
      <c r="L1895" s="30" t="s">
        <v>192</v>
      </c>
      <c r="M1895" s="68">
        <v>7</v>
      </c>
      <c r="N1895" s="181" t="str">
        <f t="shared" si="30"/>
        <v>да</v>
      </c>
      <c r="O1895" s="23">
        <v>44443</v>
      </c>
      <c r="P1895" s="23">
        <v>44805</v>
      </c>
      <c r="Q1895" s="106" t="s">
        <v>57</v>
      </c>
      <c r="R1895" s="37">
        <v>421</v>
      </c>
      <c r="S1895" s="38" t="s">
        <v>833</v>
      </c>
      <c r="T1895" s="37">
        <v>1514</v>
      </c>
      <c r="U1895" s="39" t="s">
        <v>1845</v>
      </c>
      <c r="V1895" s="69" t="s">
        <v>189</v>
      </c>
      <c r="W1895" s="89" t="s">
        <v>173</v>
      </c>
      <c r="X1895" s="106" t="s">
        <v>295</v>
      </c>
      <c r="Y1895" s="107" t="s">
        <v>18</v>
      </c>
      <c r="Z1895" s="67">
        <f>IF(База_КР_КК[[#This Row],[Таб.номер резервиста]]="-","-",IF(OR(База_КР_КК[[#This Row],[Уровень КК]]=2,База_КР_КК[[#This Row],[Уровень КК]]=3),IF(COUNTIFS($U$2:$U1895,$U1895,$F$2:$F1895,$F1895)=1,1,0),IF(COUNTIFS($U$2:$U1895,$U1895,$L$2:$L1895,$L1895)=1,1,0)))</f>
        <v>0</v>
      </c>
      <c r="AA18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5" s="106" t="s">
        <v>37</v>
      </c>
      <c r="AC1895" s="51">
        <v>44890</v>
      </c>
      <c r="AD1895" s="106" t="s">
        <v>31</v>
      </c>
      <c r="AE1895" s="38" t="s">
        <v>344</v>
      </c>
    </row>
    <row r="1896" spans="1:31" ht="18" customHeight="1" x14ac:dyDescent="0.25">
      <c r="A18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6" s="79">
        <v>3</v>
      </c>
      <c r="C1896" s="23">
        <v>43781</v>
      </c>
      <c r="D1896" s="67">
        <f>IF(COUNTIF($G$2:$G1896,$G1896)=1,1,0)</f>
        <v>1</v>
      </c>
      <c r="E1896" s="67" t="str">
        <f>IFERROR(VLOOKUP(База_КР_КК[[#This Row],[ИД штатной должности (S)]],'уровень защищенности'!$B$7:$F$1095,5,0),"не защищена")</f>
        <v>высокий</v>
      </c>
      <c r="F1896" s="68">
        <v>500262</v>
      </c>
      <c r="G1896" s="74" t="s">
        <v>2592</v>
      </c>
      <c r="H1896" s="181">
        <f>INDEX('Списки данных'!$D$2:$D$1048576,MATCH(База_КР_КК[[#This Row],[Структурное подразделение]],'Списки данных'!$C$2:$C$1048576,0))</f>
        <v>13</v>
      </c>
      <c r="I1896" s="80" t="s">
        <v>173</v>
      </c>
      <c r="J1896" s="80" t="s">
        <v>212</v>
      </c>
      <c r="K1896" s="80" t="s">
        <v>21</v>
      </c>
      <c r="L1896" s="30" t="s">
        <v>186</v>
      </c>
      <c r="M1896" s="68">
        <v>5</v>
      </c>
      <c r="N1896" s="181" t="str">
        <f t="shared" si="30"/>
        <v>да</v>
      </c>
      <c r="O1896" s="23">
        <v>43535</v>
      </c>
      <c r="P1896" s="23">
        <v>43598</v>
      </c>
      <c r="Q1896" s="106" t="s">
        <v>66</v>
      </c>
      <c r="R1896" s="37">
        <v>422</v>
      </c>
      <c r="S1896" s="38" t="s">
        <v>834</v>
      </c>
      <c r="T1896" s="37">
        <v>427</v>
      </c>
      <c r="U1896" s="39" t="s">
        <v>839</v>
      </c>
      <c r="V1896" s="89" t="s">
        <v>192</v>
      </c>
      <c r="W1896" s="89" t="s">
        <v>173</v>
      </c>
      <c r="X1896" s="106" t="s">
        <v>295</v>
      </c>
      <c r="Y1896" s="107" t="s">
        <v>12</v>
      </c>
      <c r="Z1896" s="67">
        <f>IF(База_КР_КК[[#This Row],[Таб.номер резервиста]]="-","-",IF(OR(База_КР_КК[[#This Row],[Уровень КК]]=2,База_КР_КК[[#This Row],[Уровень КК]]=3),IF(COUNTIFS($U$2:$U1896,$U1896,$F$2:$F1896,$F1896)=1,1,0),IF(COUNTIFS($U$2:$U1896,$U1896,$L$2:$L1896,$L1896)=1,1,0)))</f>
        <v>1</v>
      </c>
      <c r="AA18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6" s="106"/>
      <c r="AC1896" s="51"/>
      <c r="AD1896" s="106" t="s">
        <v>17</v>
      </c>
      <c r="AE1896" s="38" t="s">
        <v>345</v>
      </c>
    </row>
    <row r="1897" spans="1:31" ht="18" customHeight="1" x14ac:dyDescent="0.25">
      <c r="A18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7" s="79">
        <v>3</v>
      </c>
      <c r="C1897" s="23">
        <v>44343</v>
      </c>
      <c r="D1897" s="67">
        <f>IF(COUNTIF($G$2:$G1897,$G1897)=1,1,0)</f>
        <v>0</v>
      </c>
      <c r="E1897" s="67" t="str">
        <f>IFERROR(VLOOKUP(База_КР_КК[[#This Row],[ИД штатной должности (S)]],'уровень защищенности'!$B$7:$F$1095,5,0),"не защищена")</f>
        <v>высокий</v>
      </c>
      <c r="F1897" s="68">
        <v>500262</v>
      </c>
      <c r="G1897" s="74" t="s">
        <v>2592</v>
      </c>
      <c r="H1897" s="181">
        <f>INDEX('Списки данных'!$D$2:$D$1048576,MATCH(База_КР_КК[[#This Row],[Структурное подразделение]],'Списки данных'!$C$2:$C$1048576,0))</f>
        <v>13</v>
      </c>
      <c r="I1897" s="80" t="s">
        <v>173</v>
      </c>
      <c r="J1897" s="80" t="s">
        <v>212</v>
      </c>
      <c r="K1897" s="80" t="s">
        <v>21</v>
      </c>
      <c r="L1897" s="30" t="s">
        <v>186</v>
      </c>
      <c r="M1897" s="68">
        <v>5</v>
      </c>
      <c r="N1897" s="181" t="str">
        <f t="shared" si="30"/>
        <v>да</v>
      </c>
      <c r="O1897" s="23">
        <v>43535</v>
      </c>
      <c r="P1897" s="23">
        <v>43598</v>
      </c>
      <c r="Q1897" s="106" t="s">
        <v>66</v>
      </c>
      <c r="R1897" s="37">
        <v>422</v>
      </c>
      <c r="S1897" s="38" t="s">
        <v>834</v>
      </c>
      <c r="T1897" s="37">
        <v>1516</v>
      </c>
      <c r="U1897" s="39" t="s">
        <v>1569</v>
      </c>
      <c r="V1897" s="69" t="s">
        <v>189</v>
      </c>
      <c r="W1897" s="89" t="s">
        <v>173</v>
      </c>
      <c r="X1897" s="106" t="s">
        <v>297</v>
      </c>
      <c r="Y1897" s="107" t="s">
        <v>12</v>
      </c>
      <c r="Z1897" s="67">
        <f>IF(База_КР_КК[[#This Row],[Таб.номер резервиста]]="-","-",IF(OR(База_КР_КК[[#This Row],[Уровень КК]]=2,База_КР_КК[[#This Row],[Уровень КК]]=3),IF(COUNTIFS($U$2:$U1897,$U1897,$F$2:$F1897,$F1897)=1,1,0),IF(COUNTIFS($U$2:$U1897,$U1897,$L$2:$L1897,$L1897)=1,1,0)))</f>
        <v>1</v>
      </c>
      <c r="AA18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7" s="106"/>
      <c r="AC1897" s="51"/>
      <c r="AD1897" s="106" t="s">
        <v>17</v>
      </c>
      <c r="AE1897" s="38" t="s">
        <v>345</v>
      </c>
    </row>
    <row r="1898" spans="1:31" ht="18" customHeight="1" x14ac:dyDescent="0.25">
      <c r="A18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8" s="79">
        <v>3</v>
      </c>
      <c r="C1898" s="23">
        <v>44707</v>
      </c>
      <c r="D1898" s="67">
        <f>IF(COUNTIF($G$2:$G1898,$G1898)=1,1,0)</f>
        <v>0</v>
      </c>
      <c r="E1898" s="67" t="str">
        <f>IFERROR(VLOOKUP(База_КР_КК[[#This Row],[ИД штатной должности (S)]],'уровень защищенности'!$B$7:$F$1095,5,0),"не защищена")</f>
        <v>высокий</v>
      </c>
      <c r="F1898" s="68">
        <v>500262</v>
      </c>
      <c r="G1898" s="74" t="s">
        <v>2592</v>
      </c>
      <c r="H1898" s="181">
        <f>INDEX('Списки данных'!$D$2:$D$1048576,MATCH(База_КР_КК[[#This Row],[Структурное подразделение]],'Списки данных'!$C$2:$C$1048576,0))</f>
        <v>13</v>
      </c>
      <c r="I1898" s="80" t="s">
        <v>173</v>
      </c>
      <c r="J1898" s="80" t="s">
        <v>212</v>
      </c>
      <c r="K1898" s="80" t="s">
        <v>21</v>
      </c>
      <c r="L1898" s="30" t="s">
        <v>186</v>
      </c>
      <c r="M1898" s="68">
        <v>5</v>
      </c>
      <c r="N1898" s="181" t="str">
        <f t="shared" si="30"/>
        <v>да</v>
      </c>
      <c r="O1898" s="23">
        <v>43535</v>
      </c>
      <c r="P1898" s="23">
        <v>43598</v>
      </c>
      <c r="Q1898" s="106" t="s">
        <v>66</v>
      </c>
      <c r="R1898" s="37">
        <v>422</v>
      </c>
      <c r="S1898" s="38" t="s">
        <v>834</v>
      </c>
      <c r="T1898" s="37">
        <v>1517</v>
      </c>
      <c r="U1898" s="39" t="s">
        <v>1877</v>
      </c>
      <c r="V1898" s="89" t="s">
        <v>16</v>
      </c>
      <c r="W1898" s="89" t="s">
        <v>173</v>
      </c>
      <c r="X1898" s="106" t="s">
        <v>296</v>
      </c>
      <c r="Y1898" s="107" t="s">
        <v>12</v>
      </c>
      <c r="Z1898" s="67">
        <f>IF(База_КР_КК[[#This Row],[Таб.номер резервиста]]="-","-",IF(OR(База_КР_КК[[#This Row],[Уровень КК]]=2,База_КР_КК[[#This Row],[Уровень КК]]=3),IF(COUNTIFS($U$2:$U1898,$U1898,$F$2:$F1898,$F1898)=1,1,0),IF(COUNTIFS($U$2:$U1898,$U1898,$L$2:$L1898,$L1898)=1,1,0)))</f>
        <v>1</v>
      </c>
      <c r="AA18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898" s="106"/>
      <c r="AC1898" s="51"/>
      <c r="AD1898" s="106" t="s">
        <v>15</v>
      </c>
      <c r="AE1898" s="38" t="s">
        <v>345</v>
      </c>
    </row>
    <row r="1899" spans="1:31" ht="18" customHeight="1" x14ac:dyDescent="0.25">
      <c r="A18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899" s="79">
        <v>3</v>
      </c>
      <c r="C1899" s="23">
        <v>43425</v>
      </c>
      <c r="D1899" s="67">
        <f>IF(COUNTIF($G$2:$G1899,$G1899)=1,1,0)</f>
        <v>0</v>
      </c>
      <c r="E1899" s="67" t="str">
        <f>IFERROR(VLOOKUP(База_КР_КК[[#This Row],[ИД штатной должности (S)]],'уровень защищенности'!$B$7:$F$1095,5,0),"не защищена")</f>
        <v>высокий</v>
      </c>
      <c r="F1899" s="68">
        <v>500262</v>
      </c>
      <c r="G1899" s="74" t="s">
        <v>2592</v>
      </c>
      <c r="H1899" s="181">
        <f>INDEX('Списки данных'!$D$2:$D$1048576,MATCH(База_КР_КК[[#This Row],[Структурное подразделение]],'Списки данных'!$C$2:$C$1048576,0))</f>
        <v>13</v>
      </c>
      <c r="I1899" s="80" t="s">
        <v>173</v>
      </c>
      <c r="J1899" s="80" t="s">
        <v>212</v>
      </c>
      <c r="K1899" s="80" t="s">
        <v>21</v>
      </c>
      <c r="L1899" s="30" t="s">
        <v>186</v>
      </c>
      <c r="M1899" s="68">
        <v>5</v>
      </c>
      <c r="N1899" s="181" t="str">
        <f t="shared" si="30"/>
        <v>да</v>
      </c>
      <c r="O1899" s="23">
        <v>43535</v>
      </c>
      <c r="P1899" s="23">
        <v>43598</v>
      </c>
      <c r="Q1899" s="106" t="s">
        <v>66</v>
      </c>
      <c r="R1899" s="37">
        <v>422</v>
      </c>
      <c r="S1899" s="38" t="s">
        <v>834</v>
      </c>
      <c r="T1899" s="37">
        <v>422</v>
      </c>
      <c r="U1899" s="39" t="s">
        <v>834</v>
      </c>
      <c r="V1899" s="89" t="s">
        <v>192</v>
      </c>
      <c r="W1899" s="89" t="s">
        <v>173</v>
      </c>
      <c r="X1899" s="106" t="s">
        <v>297</v>
      </c>
      <c r="Y1899" s="107" t="s">
        <v>14</v>
      </c>
      <c r="Z1899" s="67">
        <f>IF(База_КР_КК[[#This Row],[Таб.номер резервиста]]="-","-",IF(OR(База_КР_КК[[#This Row],[Уровень КК]]=2,База_КР_КК[[#This Row],[Уровень КК]]=3),IF(COUNTIFS($U$2:$U1899,$U1899,$F$2:$F1899,$F1899)=1,1,0),IF(COUNTIFS($U$2:$U1899,$U1899,$L$2:$L1899,$L1899)=1,1,0)))</f>
        <v>1</v>
      </c>
      <c r="AA18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899" s="106" t="s">
        <v>24</v>
      </c>
      <c r="AC1899" s="51">
        <v>43535</v>
      </c>
      <c r="AD1899" s="106" t="s">
        <v>15</v>
      </c>
      <c r="AE1899" s="41" t="s">
        <v>349</v>
      </c>
    </row>
    <row r="1900" spans="1:31" ht="18" customHeight="1" x14ac:dyDescent="0.25">
      <c r="A19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0" s="79">
        <v>3</v>
      </c>
      <c r="C1900" s="23">
        <v>43781</v>
      </c>
      <c r="D1900" s="67">
        <f>IF(COUNTIF($G$2:$G1900,$G1900)=1,1,0)</f>
        <v>0</v>
      </c>
      <c r="E1900" s="67" t="str">
        <f>IFERROR(VLOOKUP(База_КР_КК[[#This Row],[ИД штатной должности (S)]],'уровень защищенности'!$B$7:$F$1095,5,0),"не защищена")</f>
        <v>высокий</v>
      </c>
      <c r="F1900" s="68">
        <v>500262</v>
      </c>
      <c r="G1900" s="74" t="s">
        <v>2592</v>
      </c>
      <c r="H1900" s="181">
        <f>INDEX('Списки данных'!$D$2:$D$1048576,MATCH(База_КР_КК[[#This Row],[Структурное подразделение]],'Списки данных'!$C$2:$C$1048576,0))</f>
        <v>13</v>
      </c>
      <c r="I1900" s="80" t="s">
        <v>173</v>
      </c>
      <c r="J1900" s="80" t="s">
        <v>212</v>
      </c>
      <c r="K1900" s="80" t="s">
        <v>21</v>
      </c>
      <c r="L1900" s="30" t="s">
        <v>186</v>
      </c>
      <c r="M1900" s="68">
        <v>5</v>
      </c>
      <c r="N1900" s="181" t="str">
        <f t="shared" si="30"/>
        <v>да</v>
      </c>
      <c r="O1900" s="23">
        <v>43535</v>
      </c>
      <c r="P1900" s="23">
        <v>43598</v>
      </c>
      <c r="Q1900" s="106" t="s">
        <v>66</v>
      </c>
      <c r="R1900" s="37">
        <v>422</v>
      </c>
      <c r="S1900" s="38" t="s">
        <v>834</v>
      </c>
      <c r="T1900" s="37">
        <v>1368</v>
      </c>
      <c r="U1900" s="39" t="s">
        <v>1757</v>
      </c>
      <c r="V1900" s="89" t="s">
        <v>189</v>
      </c>
      <c r="W1900" s="89" t="s">
        <v>173</v>
      </c>
      <c r="X1900" s="106" t="s">
        <v>296</v>
      </c>
      <c r="Y1900" s="107" t="s">
        <v>18</v>
      </c>
      <c r="Z1900" s="67">
        <f>IF(База_КР_КК[[#This Row],[Таб.номер резервиста]]="-","-",IF(OR(База_КР_КК[[#This Row],[Уровень КК]]=2,База_КР_КК[[#This Row],[Уровень КК]]=3),IF(COUNTIFS($U$2:$U1900,$U1900,$F$2:$F1900,$F1900)=1,1,0),IF(COUNTIFS($U$2:$U1900,$U1900,$L$2:$L1900,$L1900)=1,1,0)))</f>
        <v>1</v>
      </c>
      <c r="AA19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0" s="106" t="s">
        <v>20</v>
      </c>
      <c r="AC1900" s="51">
        <v>44343</v>
      </c>
      <c r="AD1900" s="106" t="s">
        <v>13</v>
      </c>
      <c r="AE1900" s="38" t="s">
        <v>348</v>
      </c>
    </row>
    <row r="1901" spans="1:31" ht="18" customHeight="1" x14ac:dyDescent="0.25">
      <c r="A19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1" s="79">
        <v>4</v>
      </c>
      <c r="C1901" s="23">
        <v>44425</v>
      </c>
      <c r="D1901" s="67">
        <f>IF(COUNTIF($G$2:$G1901,$G1901)=1,1,0)</f>
        <v>1</v>
      </c>
      <c r="E1901" s="67" t="str">
        <f>IFERROR(VLOOKUP(База_КР_КК[[#This Row],[ИД штатной должности (S)]],'уровень защищенности'!$B$7:$F$1095,5,0),"не защищена")</f>
        <v>средний</v>
      </c>
      <c r="F1901" s="68">
        <v>500263</v>
      </c>
      <c r="G1901" s="74" t="s">
        <v>2593</v>
      </c>
      <c r="H1901" s="181">
        <f>INDEX('Списки данных'!$D$2:$D$1048576,MATCH(База_КР_КК[[#This Row],[Структурное подразделение]],'Списки данных'!$C$2:$C$1048576,0))</f>
        <v>13</v>
      </c>
      <c r="I1901" s="80" t="s">
        <v>173</v>
      </c>
      <c r="J1901" s="80" t="s">
        <v>212</v>
      </c>
      <c r="K1901" s="80" t="s">
        <v>21</v>
      </c>
      <c r="L1901" s="30" t="s">
        <v>191</v>
      </c>
      <c r="M1901" s="68">
        <v>7</v>
      </c>
      <c r="N1901" s="181" t="str">
        <f t="shared" si="30"/>
        <v>нет</v>
      </c>
      <c r="O1901" s="23"/>
      <c r="P1901" s="23"/>
      <c r="Q1901" s="106"/>
      <c r="R1901" s="37">
        <v>423</v>
      </c>
      <c r="S1901" s="38" t="s">
        <v>835</v>
      </c>
      <c r="T1901" s="37">
        <v>1518</v>
      </c>
      <c r="U1901" s="39" t="s">
        <v>1878</v>
      </c>
      <c r="V1901" s="69" t="s">
        <v>272</v>
      </c>
      <c r="W1901" s="89" t="s">
        <v>173</v>
      </c>
      <c r="X1901" s="106" t="s">
        <v>297</v>
      </c>
      <c r="Y1901" s="107" t="s">
        <v>12</v>
      </c>
      <c r="Z1901" s="67">
        <f>IF(База_КР_КК[[#This Row],[Таб.номер резервиста]]="-","-",IF(OR(База_КР_КК[[#This Row],[Уровень КК]]=2,База_КР_КК[[#This Row],[Уровень КК]]=3),IF(COUNTIFS($U$2:$U1901,$U1901,$F$2:$F1901,$F1901)=1,1,0),IF(COUNTIFS($U$2:$U1901,$U1901,$L$2:$L1901,$L1901)=1,1,0)))</f>
        <v>1</v>
      </c>
      <c r="AA19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1" s="106"/>
      <c r="AC1901" s="51"/>
      <c r="AD1901" s="106" t="s">
        <v>15</v>
      </c>
      <c r="AE1901" s="38" t="s">
        <v>343</v>
      </c>
    </row>
    <row r="1902" spans="1:31" ht="18" customHeight="1" x14ac:dyDescent="0.25">
      <c r="A19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2" s="79">
        <v>4</v>
      </c>
      <c r="C1902" s="23">
        <v>44425</v>
      </c>
      <c r="D1902" s="67">
        <f>IF(COUNTIF($G$2:$G1902,$G1902)=1,1,0)</f>
        <v>0</v>
      </c>
      <c r="E1902" s="67" t="str">
        <f>IFERROR(VLOOKUP(База_КР_КК[[#This Row],[ИД штатной должности (S)]],'уровень защищенности'!$B$7:$F$1095,5,0),"не защищена")</f>
        <v>средний</v>
      </c>
      <c r="F1902" s="68">
        <v>500263</v>
      </c>
      <c r="G1902" s="74" t="s">
        <v>2593</v>
      </c>
      <c r="H1902" s="181">
        <f>INDEX('Списки данных'!$D$2:$D$1048576,MATCH(База_КР_КК[[#This Row],[Структурное подразделение]],'Списки данных'!$C$2:$C$1048576,0))</f>
        <v>13</v>
      </c>
      <c r="I1902" s="80" t="s">
        <v>173</v>
      </c>
      <c r="J1902" s="80" t="s">
        <v>212</v>
      </c>
      <c r="K1902" s="80" t="s">
        <v>21</v>
      </c>
      <c r="L1902" s="30" t="s">
        <v>191</v>
      </c>
      <c r="M1902" s="68">
        <v>7</v>
      </c>
      <c r="N1902" s="181" t="str">
        <f t="shared" si="30"/>
        <v>нет</v>
      </c>
      <c r="O1902" s="23"/>
      <c r="P1902" s="23"/>
      <c r="Q1902" s="106"/>
      <c r="R1902" s="37">
        <v>423</v>
      </c>
      <c r="S1902" s="38" t="s">
        <v>835</v>
      </c>
      <c r="T1902" s="37">
        <v>1519</v>
      </c>
      <c r="U1902" s="39" t="s">
        <v>1820</v>
      </c>
      <c r="V1902" s="69" t="s">
        <v>272</v>
      </c>
      <c r="W1902" s="89" t="s">
        <v>173</v>
      </c>
      <c r="X1902" s="106" t="s">
        <v>297</v>
      </c>
      <c r="Y1902" s="107" t="s">
        <v>12</v>
      </c>
      <c r="Z1902" s="67">
        <f>IF(База_КР_КК[[#This Row],[Таб.номер резервиста]]="-","-",IF(OR(База_КР_КК[[#This Row],[Уровень КК]]=2,База_КР_КК[[#This Row],[Уровень КК]]=3),IF(COUNTIFS($U$2:$U1902,$U1902,$F$2:$F1902,$F1902)=1,1,0),IF(COUNTIFS($U$2:$U1902,$U1902,$L$2:$L1902,$L1902)=1,1,0)))</f>
        <v>1</v>
      </c>
      <c r="AA19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2" s="106"/>
      <c r="AC1902" s="51"/>
      <c r="AD1902" s="106" t="s">
        <v>15</v>
      </c>
      <c r="AE1902" s="38" t="s">
        <v>343</v>
      </c>
    </row>
    <row r="1903" spans="1:31" ht="18" customHeight="1" x14ac:dyDescent="0.25">
      <c r="A19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3" s="79">
        <v>4</v>
      </c>
      <c r="C1903" s="23">
        <v>44425</v>
      </c>
      <c r="D1903" s="67">
        <f>IF(COUNTIF($G$2:$G1903,$G1903)=1,1,0)</f>
        <v>0</v>
      </c>
      <c r="E1903" s="67" t="str">
        <f>IFERROR(VLOOKUP(База_КР_КК[[#This Row],[ИД штатной должности (S)]],'уровень защищенности'!$B$7:$F$1095,5,0),"не защищена")</f>
        <v>средний</v>
      </c>
      <c r="F1903" s="68">
        <v>500263</v>
      </c>
      <c r="G1903" s="74" t="s">
        <v>2593</v>
      </c>
      <c r="H1903" s="181">
        <f>INDEX('Списки данных'!$D$2:$D$1048576,MATCH(База_КР_КК[[#This Row],[Структурное подразделение]],'Списки данных'!$C$2:$C$1048576,0))</f>
        <v>13</v>
      </c>
      <c r="I1903" s="80" t="s">
        <v>173</v>
      </c>
      <c r="J1903" s="80" t="s">
        <v>212</v>
      </c>
      <c r="K1903" s="80" t="s">
        <v>21</v>
      </c>
      <c r="L1903" s="30" t="s">
        <v>191</v>
      </c>
      <c r="M1903" s="68">
        <v>7</v>
      </c>
      <c r="N1903" s="181" t="str">
        <f t="shared" si="30"/>
        <v>нет</v>
      </c>
      <c r="O1903" s="23"/>
      <c r="P1903" s="23"/>
      <c r="Q1903" s="106"/>
      <c r="R1903" s="37">
        <v>423</v>
      </c>
      <c r="S1903" s="38" t="s">
        <v>835</v>
      </c>
      <c r="T1903" s="37">
        <v>1520</v>
      </c>
      <c r="U1903" s="39" t="s">
        <v>1836</v>
      </c>
      <c r="V1903" s="69" t="s">
        <v>272</v>
      </c>
      <c r="W1903" s="89" t="s">
        <v>173</v>
      </c>
      <c r="X1903" s="106" t="s">
        <v>297</v>
      </c>
      <c r="Y1903" s="107" t="s">
        <v>12</v>
      </c>
      <c r="Z1903" s="67">
        <f>IF(База_КР_КК[[#This Row],[Таб.номер резервиста]]="-","-",IF(OR(База_КР_КК[[#This Row],[Уровень КК]]=2,База_КР_КК[[#This Row],[Уровень КК]]=3),IF(COUNTIFS($U$2:$U1903,$U1903,$F$2:$F1903,$F1903)=1,1,0),IF(COUNTIFS($U$2:$U1903,$U1903,$L$2:$L1903,$L1903)=1,1,0)))</f>
        <v>0</v>
      </c>
      <c r="AA19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3" s="106"/>
      <c r="AC1903" s="51"/>
      <c r="AD1903" s="106" t="s">
        <v>15</v>
      </c>
      <c r="AE1903" s="38" t="s">
        <v>343</v>
      </c>
    </row>
    <row r="1904" spans="1:31" ht="18" customHeight="1" x14ac:dyDescent="0.25">
      <c r="A19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4" s="79">
        <v>4</v>
      </c>
      <c r="C1904" s="23">
        <v>44425</v>
      </c>
      <c r="D1904" s="67">
        <f>IF(COUNTIF($G$2:$G1904,$G1904)=1,1,0)</f>
        <v>1</v>
      </c>
      <c r="E1904" s="67" t="str">
        <f>IFERROR(VLOOKUP(База_КР_КК[[#This Row],[ИД штатной должности (S)]],'уровень защищенности'!$B$7:$F$1095,5,0),"не защищена")</f>
        <v>средний</v>
      </c>
      <c r="F1904" s="68">
        <v>500263</v>
      </c>
      <c r="G1904" s="74" t="s">
        <v>2594</v>
      </c>
      <c r="H1904" s="181">
        <f>INDEX('Списки данных'!$D$2:$D$1048576,MATCH(База_КР_КК[[#This Row],[Структурное подразделение]],'Списки данных'!$C$2:$C$1048576,0))</f>
        <v>13</v>
      </c>
      <c r="I1904" s="80" t="s">
        <v>173</v>
      </c>
      <c r="J1904" s="80" t="s">
        <v>212</v>
      </c>
      <c r="K1904" s="80" t="s">
        <v>21</v>
      </c>
      <c r="L1904" s="30" t="s">
        <v>191</v>
      </c>
      <c r="M1904" s="68">
        <v>7</v>
      </c>
      <c r="N1904" s="181" t="str">
        <f t="shared" si="30"/>
        <v>нет</v>
      </c>
      <c r="O1904" s="23"/>
      <c r="P1904" s="23"/>
      <c r="Q1904" s="106"/>
      <c r="R1904" s="37">
        <v>424</v>
      </c>
      <c r="S1904" s="38" t="s">
        <v>836</v>
      </c>
      <c r="T1904" s="37">
        <v>1518</v>
      </c>
      <c r="U1904" s="39" t="s">
        <v>1878</v>
      </c>
      <c r="V1904" s="69" t="s">
        <v>272</v>
      </c>
      <c r="W1904" s="89" t="s">
        <v>173</v>
      </c>
      <c r="X1904" s="106" t="s">
        <v>297</v>
      </c>
      <c r="Y1904" s="107" t="s">
        <v>12</v>
      </c>
      <c r="Z1904" s="67">
        <f>IF(База_КР_КК[[#This Row],[Таб.номер резервиста]]="-","-",IF(OR(База_КР_КК[[#This Row],[Уровень КК]]=2,База_КР_КК[[#This Row],[Уровень КК]]=3),IF(COUNTIFS($U$2:$U1904,$U1904,$F$2:$F1904,$F1904)=1,1,0),IF(COUNTIFS($U$2:$U1904,$U1904,$L$2:$L1904,$L1904)=1,1,0)))</f>
        <v>0</v>
      </c>
      <c r="AA19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4" s="106"/>
      <c r="AC1904" s="51"/>
      <c r="AD1904" s="106" t="s">
        <v>15</v>
      </c>
      <c r="AE1904" s="38" t="s">
        <v>343</v>
      </c>
    </row>
    <row r="1905" spans="1:31" ht="18" customHeight="1" x14ac:dyDescent="0.25">
      <c r="A19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5" s="79">
        <v>4</v>
      </c>
      <c r="C1905" s="23">
        <v>44425</v>
      </c>
      <c r="D1905" s="67">
        <f>IF(COUNTIF($G$2:$G1905,$G1905)=1,1,0)</f>
        <v>0</v>
      </c>
      <c r="E1905" s="67" t="str">
        <f>IFERROR(VLOOKUP(База_КР_КК[[#This Row],[ИД штатной должности (S)]],'уровень защищенности'!$B$7:$F$1095,5,0),"не защищена")</f>
        <v>средний</v>
      </c>
      <c r="F1905" s="68">
        <v>500263</v>
      </c>
      <c r="G1905" s="74" t="s">
        <v>2594</v>
      </c>
      <c r="H1905" s="181">
        <f>INDEX('Списки данных'!$D$2:$D$1048576,MATCH(База_КР_КК[[#This Row],[Структурное подразделение]],'Списки данных'!$C$2:$C$1048576,0))</f>
        <v>13</v>
      </c>
      <c r="I1905" s="80" t="s">
        <v>173</v>
      </c>
      <c r="J1905" s="80" t="s">
        <v>212</v>
      </c>
      <c r="K1905" s="80" t="s">
        <v>21</v>
      </c>
      <c r="L1905" s="30" t="s">
        <v>191</v>
      </c>
      <c r="M1905" s="68">
        <v>7</v>
      </c>
      <c r="N1905" s="181" t="str">
        <f t="shared" si="30"/>
        <v>нет</v>
      </c>
      <c r="O1905" s="23"/>
      <c r="P1905" s="23"/>
      <c r="Q1905" s="106"/>
      <c r="R1905" s="37">
        <v>424</v>
      </c>
      <c r="S1905" s="38" t="s">
        <v>836</v>
      </c>
      <c r="T1905" s="37">
        <v>1519</v>
      </c>
      <c r="U1905" s="39" t="s">
        <v>1820</v>
      </c>
      <c r="V1905" s="69" t="s">
        <v>272</v>
      </c>
      <c r="W1905" s="89" t="s">
        <v>173</v>
      </c>
      <c r="X1905" s="106" t="s">
        <v>297</v>
      </c>
      <c r="Y1905" s="107" t="s">
        <v>12</v>
      </c>
      <c r="Z1905" s="67">
        <f>IF(База_КР_КК[[#This Row],[Таб.номер резервиста]]="-","-",IF(OR(База_КР_КК[[#This Row],[Уровень КК]]=2,База_КР_КК[[#This Row],[Уровень КК]]=3),IF(COUNTIFS($U$2:$U1905,$U1905,$F$2:$F1905,$F1905)=1,1,0),IF(COUNTIFS($U$2:$U1905,$U1905,$L$2:$L1905,$L1905)=1,1,0)))</f>
        <v>0</v>
      </c>
      <c r="AA19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5" s="106"/>
      <c r="AC1905" s="51"/>
      <c r="AD1905" s="106" t="s">
        <v>15</v>
      </c>
      <c r="AE1905" s="38" t="s">
        <v>343</v>
      </c>
    </row>
    <row r="1906" spans="1:31" ht="18" customHeight="1" x14ac:dyDescent="0.25">
      <c r="A19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6" s="79">
        <v>4</v>
      </c>
      <c r="C1906" s="23">
        <v>44425</v>
      </c>
      <c r="D1906" s="67">
        <f>IF(COUNTIF($G$2:$G1906,$G1906)=1,1,0)</f>
        <v>0</v>
      </c>
      <c r="E1906" s="67" t="str">
        <f>IFERROR(VLOOKUP(База_КР_КК[[#This Row],[ИД штатной должности (S)]],'уровень защищенности'!$B$7:$F$1095,5,0),"не защищена")</f>
        <v>средний</v>
      </c>
      <c r="F1906" s="68">
        <v>500263</v>
      </c>
      <c r="G1906" s="74" t="s">
        <v>2594</v>
      </c>
      <c r="H1906" s="181">
        <f>INDEX('Списки данных'!$D$2:$D$1048576,MATCH(База_КР_КК[[#This Row],[Структурное подразделение]],'Списки данных'!$C$2:$C$1048576,0))</f>
        <v>13</v>
      </c>
      <c r="I1906" s="80" t="s">
        <v>173</v>
      </c>
      <c r="J1906" s="80" t="s">
        <v>212</v>
      </c>
      <c r="K1906" s="80" t="s">
        <v>21</v>
      </c>
      <c r="L1906" s="30" t="s">
        <v>191</v>
      </c>
      <c r="M1906" s="68">
        <v>7</v>
      </c>
      <c r="N1906" s="181" t="str">
        <f t="shared" si="30"/>
        <v>нет</v>
      </c>
      <c r="O1906" s="23"/>
      <c r="P1906" s="23"/>
      <c r="Q1906" s="106"/>
      <c r="R1906" s="37">
        <v>424</v>
      </c>
      <c r="S1906" s="38" t="s">
        <v>836</v>
      </c>
      <c r="T1906" s="37">
        <v>1520</v>
      </c>
      <c r="U1906" s="39" t="s">
        <v>1836</v>
      </c>
      <c r="V1906" s="69" t="s">
        <v>272</v>
      </c>
      <c r="W1906" s="89" t="s">
        <v>173</v>
      </c>
      <c r="X1906" s="106" t="s">
        <v>297</v>
      </c>
      <c r="Y1906" s="107" t="s">
        <v>12</v>
      </c>
      <c r="Z1906" s="67">
        <f>IF(База_КР_КК[[#This Row],[Таб.номер резервиста]]="-","-",IF(OR(База_КР_КК[[#This Row],[Уровень КК]]=2,База_КР_КК[[#This Row],[Уровень КК]]=3),IF(COUNTIFS($U$2:$U1906,$U1906,$F$2:$F1906,$F1906)=1,1,0),IF(COUNTIFS($U$2:$U1906,$U1906,$L$2:$L1906,$L1906)=1,1,0)))</f>
        <v>0</v>
      </c>
      <c r="AA19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6" s="106"/>
      <c r="AC1906" s="51"/>
      <c r="AD1906" s="106" t="s">
        <v>15</v>
      </c>
      <c r="AE1906" s="38" t="s">
        <v>343</v>
      </c>
    </row>
    <row r="1907" spans="1:31" ht="18" customHeight="1" x14ac:dyDescent="0.25">
      <c r="A19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7" s="79">
        <v>4</v>
      </c>
      <c r="C1907" s="23">
        <v>44425</v>
      </c>
      <c r="D1907" s="67">
        <f>IF(COUNTIF($G$2:$G1907,$G1907)=1,1,0)</f>
        <v>1</v>
      </c>
      <c r="E1907" s="67" t="str">
        <f>IFERROR(VLOOKUP(База_КР_КК[[#This Row],[ИД штатной должности (S)]],'уровень защищенности'!$B$7:$F$1095,5,0),"не защищена")</f>
        <v>средний</v>
      </c>
      <c r="F1907" s="68">
        <v>500263</v>
      </c>
      <c r="G1907" s="74" t="s">
        <v>2595</v>
      </c>
      <c r="H1907" s="181">
        <f>INDEX('Списки данных'!$D$2:$D$1048576,MATCH(База_КР_КК[[#This Row],[Структурное подразделение]],'Списки данных'!$C$2:$C$1048576,0))</f>
        <v>13</v>
      </c>
      <c r="I1907" s="80" t="s">
        <v>173</v>
      </c>
      <c r="J1907" s="80" t="s">
        <v>212</v>
      </c>
      <c r="K1907" s="80" t="s">
        <v>21</v>
      </c>
      <c r="L1907" s="30" t="s">
        <v>191</v>
      </c>
      <c r="M1907" s="68">
        <v>7</v>
      </c>
      <c r="N1907" s="181" t="str">
        <f t="shared" si="30"/>
        <v>нет</v>
      </c>
      <c r="O1907" s="23"/>
      <c r="P1907" s="23"/>
      <c r="Q1907" s="106"/>
      <c r="R1907" s="37">
        <v>425</v>
      </c>
      <c r="S1907" s="38" t="s">
        <v>837</v>
      </c>
      <c r="T1907" s="37">
        <v>1518</v>
      </c>
      <c r="U1907" s="39" t="s">
        <v>1878</v>
      </c>
      <c r="V1907" s="69" t="s">
        <v>272</v>
      </c>
      <c r="W1907" s="89" t="s">
        <v>173</v>
      </c>
      <c r="X1907" s="106" t="s">
        <v>297</v>
      </c>
      <c r="Y1907" s="107" t="s">
        <v>12</v>
      </c>
      <c r="Z1907" s="67">
        <f>IF(База_КР_КК[[#This Row],[Таб.номер резервиста]]="-","-",IF(OR(База_КР_КК[[#This Row],[Уровень КК]]=2,База_КР_КК[[#This Row],[Уровень КК]]=3),IF(COUNTIFS($U$2:$U1907,$U1907,$F$2:$F1907,$F1907)=1,1,0),IF(COUNTIFS($U$2:$U1907,$U1907,$L$2:$L1907,$L1907)=1,1,0)))</f>
        <v>0</v>
      </c>
      <c r="AA19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7" s="106"/>
      <c r="AC1907" s="51"/>
      <c r="AD1907" s="106" t="s">
        <v>15</v>
      </c>
      <c r="AE1907" s="38" t="s">
        <v>343</v>
      </c>
    </row>
    <row r="1908" spans="1:31" ht="18" customHeight="1" x14ac:dyDescent="0.25">
      <c r="A19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8" s="79">
        <v>4</v>
      </c>
      <c r="C1908" s="23">
        <v>44425</v>
      </c>
      <c r="D1908" s="67">
        <f>IF(COUNTIF($G$2:$G1908,$G1908)=1,1,0)</f>
        <v>0</v>
      </c>
      <c r="E1908" s="67" t="str">
        <f>IFERROR(VLOOKUP(База_КР_КК[[#This Row],[ИД штатной должности (S)]],'уровень защищенности'!$B$7:$F$1095,5,0),"не защищена")</f>
        <v>средний</v>
      </c>
      <c r="F1908" s="68">
        <v>500263</v>
      </c>
      <c r="G1908" s="74" t="s">
        <v>2595</v>
      </c>
      <c r="H1908" s="181">
        <f>INDEX('Списки данных'!$D$2:$D$1048576,MATCH(База_КР_КК[[#This Row],[Структурное подразделение]],'Списки данных'!$C$2:$C$1048576,0))</f>
        <v>13</v>
      </c>
      <c r="I1908" s="80" t="s">
        <v>173</v>
      </c>
      <c r="J1908" s="80" t="s">
        <v>212</v>
      </c>
      <c r="K1908" s="80" t="s">
        <v>21</v>
      </c>
      <c r="L1908" s="30" t="s">
        <v>191</v>
      </c>
      <c r="M1908" s="68">
        <v>7</v>
      </c>
      <c r="N1908" s="181" t="str">
        <f t="shared" si="30"/>
        <v>нет</v>
      </c>
      <c r="O1908" s="23"/>
      <c r="P1908" s="23"/>
      <c r="Q1908" s="106"/>
      <c r="R1908" s="37">
        <v>425</v>
      </c>
      <c r="S1908" s="38" t="s">
        <v>837</v>
      </c>
      <c r="T1908" s="37">
        <v>1519</v>
      </c>
      <c r="U1908" s="39" t="s">
        <v>1820</v>
      </c>
      <c r="V1908" s="69" t="s">
        <v>272</v>
      </c>
      <c r="W1908" s="89" t="s">
        <v>173</v>
      </c>
      <c r="X1908" s="106" t="s">
        <v>297</v>
      </c>
      <c r="Y1908" s="107" t="s">
        <v>12</v>
      </c>
      <c r="Z1908" s="67">
        <f>IF(База_КР_КК[[#This Row],[Таб.номер резервиста]]="-","-",IF(OR(База_КР_КК[[#This Row],[Уровень КК]]=2,База_КР_КК[[#This Row],[Уровень КК]]=3),IF(COUNTIFS($U$2:$U1908,$U1908,$F$2:$F1908,$F1908)=1,1,0),IF(COUNTIFS($U$2:$U1908,$U1908,$L$2:$L1908,$L1908)=1,1,0)))</f>
        <v>0</v>
      </c>
      <c r="AA19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8" s="106"/>
      <c r="AC1908" s="51"/>
      <c r="AD1908" s="106" t="s">
        <v>15</v>
      </c>
      <c r="AE1908" s="38" t="s">
        <v>343</v>
      </c>
    </row>
    <row r="1909" spans="1:31" ht="18" customHeight="1" x14ac:dyDescent="0.25">
      <c r="A19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09" s="79">
        <v>4</v>
      </c>
      <c r="C1909" s="23">
        <v>44425</v>
      </c>
      <c r="D1909" s="67">
        <f>IF(COUNTIF($G$2:$G1909,$G1909)=1,1,0)</f>
        <v>0</v>
      </c>
      <c r="E1909" s="67" t="str">
        <f>IFERROR(VLOOKUP(База_КР_КК[[#This Row],[ИД штатной должности (S)]],'уровень защищенности'!$B$7:$F$1095,5,0),"не защищена")</f>
        <v>средний</v>
      </c>
      <c r="F1909" s="68">
        <v>500263</v>
      </c>
      <c r="G1909" s="74" t="s">
        <v>2595</v>
      </c>
      <c r="H1909" s="181">
        <f>INDEX('Списки данных'!$D$2:$D$1048576,MATCH(База_КР_КК[[#This Row],[Структурное подразделение]],'Списки данных'!$C$2:$C$1048576,0))</f>
        <v>13</v>
      </c>
      <c r="I1909" s="80" t="s">
        <v>173</v>
      </c>
      <c r="J1909" s="80" t="s">
        <v>212</v>
      </c>
      <c r="K1909" s="80" t="s">
        <v>21</v>
      </c>
      <c r="L1909" s="30" t="s">
        <v>191</v>
      </c>
      <c r="M1909" s="68">
        <v>7</v>
      </c>
      <c r="N1909" s="181" t="str">
        <f t="shared" si="30"/>
        <v>нет</v>
      </c>
      <c r="O1909" s="23"/>
      <c r="P1909" s="23"/>
      <c r="Q1909" s="106"/>
      <c r="R1909" s="37">
        <v>425</v>
      </c>
      <c r="S1909" s="38" t="s">
        <v>837</v>
      </c>
      <c r="T1909" s="37">
        <v>1520</v>
      </c>
      <c r="U1909" s="39" t="s">
        <v>1836</v>
      </c>
      <c r="V1909" s="69" t="s">
        <v>272</v>
      </c>
      <c r="W1909" s="89" t="s">
        <v>173</v>
      </c>
      <c r="X1909" s="106" t="s">
        <v>297</v>
      </c>
      <c r="Y1909" s="107" t="s">
        <v>12</v>
      </c>
      <c r="Z1909" s="67">
        <f>IF(База_КР_КК[[#This Row],[Таб.номер резервиста]]="-","-",IF(OR(База_КР_КК[[#This Row],[Уровень КК]]=2,База_КР_КК[[#This Row],[Уровень КК]]=3),IF(COUNTIFS($U$2:$U1909,$U1909,$F$2:$F1909,$F1909)=1,1,0),IF(COUNTIFS($U$2:$U1909,$U1909,$L$2:$L1909,$L1909)=1,1,0)))</f>
        <v>0</v>
      </c>
      <c r="AA19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09" s="106"/>
      <c r="AC1909" s="51"/>
      <c r="AD1909" s="106" t="s">
        <v>15</v>
      </c>
      <c r="AE1909" s="38" t="s">
        <v>343</v>
      </c>
    </row>
    <row r="1910" spans="1:31" ht="18" customHeight="1" x14ac:dyDescent="0.25">
      <c r="A19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0" s="79">
        <v>4</v>
      </c>
      <c r="C1910" s="23">
        <v>44425</v>
      </c>
      <c r="D1910" s="67">
        <f>IF(COUNTIF($G$2:$G1910,$G1910)=1,1,0)</f>
        <v>1</v>
      </c>
      <c r="E1910" s="67" t="str">
        <f>IFERROR(VLOOKUP(База_КР_КК[[#This Row],[ИД штатной должности (S)]],'уровень защищенности'!$B$7:$F$1095,5,0),"не защищена")</f>
        <v>средний</v>
      </c>
      <c r="F1910" s="68">
        <v>500263</v>
      </c>
      <c r="G1910" s="74" t="s">
        <v>2596</v>
      </c>
      <c r="H1910" s="181">
        <f>INDEX('Списки данных'!$D$2:$D$1048576,MATCH(База_КР_КК[[#This Row],[Структурное подразделение]],'Списки данных'!$C$2:$C$1048576,0))</f>
        <v>13</v>
      </c>
      <c r="I1910" s="80" t="s">
        <v>173</v>
      </c>
      <c r="J1910" s="80" t="s">
        <v>212</v>
      </c>
      <c r="K1910" s="80" t="s">
        <v>21</v>
      </c>
      <c r="L1910" s="30" t="s">
        <v>191</v>
      </c>
      <c r="M1910" s="68">
        <v>7</v>
      </c>
      <c r="N1910" s="181" t="str">
        <f t="shared" si="30"/>
        <v>нет</v>
      </c>
      <c r="O1910" s="23"/>
      <c r="P1910" s="23"/>
      <c r="Q1910" s="106"/>
      <c r="R1910" s="37">
        <v>426</v>
      </c>
      <c r="S1910" s="38" t="s">
        <v>838</v>
      </c>
      <c r="T1910" s="37">
        <v>1518</v>
      </c>
      <c r="U1910" s="39" t="s">
        <v>1878</v>
      </c>
      <c r="V1910" s="69" t="s">
        <v>272</v>
      </c>
      <c r="W1910" s="89" t="s">
        <v>173</v>
      </c>
      <c r="X1910" s="106" t="s">
        <v>297</v>
      </c>
      <c r="Y1910" s="107" t="s">
        <v>12</v>
      </c>
      <c r="Z1910" s="67">
        <f>IF(База_КР_КК[[#This Row],[Таб.номер резервиста]]="-","-",IF(OR(База_КР_КК[[#This Row],[Уровень КК]]=2,База_КР_КК[[#This Row],[Уровень КК]]=3),IF(COUNTIFS($U$2:$U1910,$U1910,$F$2:$F1910,$F1910)=1,1,0),IF(COUNTIFS($U$2:$U1910,$U1910,$L$2:$L1910,$L1910)=1,1,0)))</f>
        <v>0</v>
      </c>
      <c r="AA19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0" s="106"/>
      <c r="AC1910" s="51"/>
      <c r="AD1910" s="106" t="s">
        <v>15</v>
      </c>
      <c r="AE1910" s="38" t="s">
        <v>343</v>
      </c>
    </row>
    <row r="1911" spans="1:31" ht="18" customHeight="1" x14ac:dyDescent="0.25">
      <c r="A19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1" s="79">
        <v>4</v>
      </c>
      <c r="C1911" s="23">
        <v>44425</v>
      </c>
      <c r="D1911" s="67">
        <f>IF(COUNTIF($G$2:$G1911,$G1911)=1,1,0)</f>
        <v>0</v>
      </c>
      <c r="E1911" s="67" t="str">
        <f>IFERROR(VLOOKUP(База_КР_КК[[#This Row],[ИД штатной должности (S)]],'уровень защищенности'!$B$7:$F$1095,5,0),"не защищена")</f>
        <v>средний</v>
      </c>
      <c r="F1911" s="68">
        <v>500263</v>
      </c>
      <c r="G1911" s="74" t="s">
        <v>2596</v>
      </c>
      <c r="H1911" s="181">
        <f>INDEX('Списки данных'!$D$2:$D$1048576,MATCH(База_КР_КК[[#This Row],[Структурное подразделение]],'Списки данных'!$C$2:$C$1048576,0))</f>
        <v>13</v>
      </c>
      <c r="I1911" s="80" t="s">
        <v>173</v>
      </c>
      <c r="J1911" s="80" t="s">
        <v>212</v>
      </c>
      <c r="K1911" s="80" t="s">
        <v>21</v>
      </c>
      <c r="L1911" s="30" t="s">
        <v>191</v>
      </c>
      <c r="M1911" s="68">
        <v>7</v>
      </c>
      <c r="N1911" s="181" t="str">
        <f t="shared" si="30"/>
        <v>нет</v>
      </c>
      <c r="O1911" s="23"/>
      <c r="P1911" s="23"/>
      <c r="Q1911" s="106"/>
      <c r="R1911" s="37">
        <v>426</v>
      </c>
      <c r="S1911" s="38" t="s">
        <v>838</v>
      </c>
      <c r="T1911" s="37">
        <v>1519</v>
      </c>
      <c r="U1911" s="39" t="s">
        <v>1820</v>
      </c>
      <c r="V1911" s="69" t="s">
        <v>272</v>
      </c>
      <c r="W1911" s="89" t="s">
        <v>173</v>
      </c>
      <c r="X1911" s="106" t="s">
        <v>297</v>
      </c>
      <c r="Y1911" s="107" t="s">
        <v>12</v>
      </c>
      <c r="Z1911" s="67">
        <f>IF(База_КР_КК[[#This Row],[Таб.номер резервиста]]="-","-",IF(OR(База_КР_КК[[#This Row],[Уровень КК]]=2,База_КР_КК[[#This Row],[Уровень КК]]=3),IF(COUNTIFS($U$2:$U1911,$U1911,$F$2:$F1911,$F1911)=1,1,0),IF(COUNTIFS($U$2:$U1911,$U1911,$L$2:$L1911,$L1911)=1,1,0)))</f>
        <v>0</v>
      </c>
      <c r="AA19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1" s="106"/>
      <c r="AC1911" s="51"/>
      <c r="AD1911" s="106" t="s">
        <v>15</v>
      </c>
      <c r="AE1911" s="38" t="s">
        <v>343</v>
      </c>
    </row>
    <row r="1912" spans="1:31" ht="18" customHeight="1" x14ac:dyDescent="0.25">
      <c r="A19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2" s="79">
        <v>4</v>
      </c>
      <c r="C1912" s="23">
        <v>44425</v>
      </c>
      <c r="D1912" s="67">
        <f>IF(COUNTIF($G$2:$G1912,$G1912)=1,1,0)</f>
        <v>0</v>
      </c>
      <c r="E1912" s="67" t="str">
        <f>IFERROR(VLOOKUP(База_КР_КК[[#This Row],[ИД штатной должности (S)]],'уровень защищенности'!$B$7:$F$1095,5,0),"не защищена")</f>
        <v>средний</v>
      </c>
      <c r="F1912" s="68">
        <v>500263</v>
      </c>
      <c r="G1912" s="74" t="s">
        <v>2596</v>
      </c>
      <c r="H1912" s="181">
        <f>INDEX('Списки данных'!$D$2:$D$1048576,MATCH(База_КР_КК[[#This Row],[Структурное подразделение]],'Списки данных'!$C$2:$C$1048576,0))</f>
        <v>13</v>
      </c>
      <c r="I1912" s="80" t="s">
        <v>173</v>
      </c>
      <c r="J1912" s="80" t="s">
        <v>212</v>
      </c>
      <c r="K1912" s="80" t="s">
        <v>21</v>
      </c>
      <c r="L1912" s="30" t="s">
        <v>191</v>
      </c>
      <c r="M1912" s="68">
        <v>7</v>
      </c>
      <c r="N1912" s="181" t="str">
        <f t="shared" si="30"/>
        <v>нет</v>
      </c>
      <c r="O1912" s="23"/>
      <c r="P1912" s="23"/>
      <c r="Q1912" s="106"/>
      <c r="R1912" s="37">
        <v>426</v>
      </c>
      <c r="S1912" s="38" t="s">
        <v>838</v>
      </c>
      <c r="T1912" s="37">
        <v>1520</v>
      </c>
      <c r="U1912" s="39" t="s">
        <v>1836</v>
      </c>
      <c r="V1912" s="69" t="s">
        <v>272</v>
      </c>
      <c r="W1912" s="89" t="s">
        <v>173</v>
      </c>
      <c r="X1912" s="106" t="s">
        <v>297</v>
      </c>
      <c r="Y1912" s="107" t="s">
        <v>12</v>
      </c>
      <c r="Z1912" s="67">
        <f>IF(База_КР_КК[[#This Row],[Таб.номер резервиста]]="-","-",IF(OR(База_КР_КК[[#This Row],[Уровень КК]]=2,База_КР_КК[[#This Row],[Уровень КК]]=3),IF(COUNTIFS($U$2:$U1912,$U1912,$F$2:$F1912,$F1912)=1,1,0),IF(COUNTIFS($U$2:$U1912,$U1912,$L$2:$L1912,$L1912)=1,1,0)))</f>
        <v>0</v>
      </c>
      <c r="AA19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2" s="106"/>
      <c r="AC1912" s="51"/>
      <c r="AD1912" s="106" t="s">
        <v>15</v>
      </c>
      <c r="AE1912" s="38" t="s">
        <v>343</v>
      </c>
    </row>
    <row r="1913" spans="1:31" ht="18" customHeight="1" x14ac:dyDescent="0.25">
      <c r="A19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3" s="79">
        <v>4</v>
      </c>
      <c r="C1913" s="23">
        <v>44425</v>
      </c>
      <c r="D1913" s="67">
        <f>IF(COUNTIF($G$2:$G1913,$G1913)=1,1,0)</f>
        <v>1</v>
      </c>
      <c r="E1913" s="67" t="str">
        <f>IFERROR(VLOOKUP(База_КР_КК[[#This Row],[ИД штатной должности (S)]],'уровень защищенности'!$B$7:$F$1095,5,0),"не защищена")</f>
        <v>средний</v>
      </c>
      <c r="F1913" s="68">
        <v>500264</v>
      </c>
      <c r="G1913" s="74" t="s">
        <v>2597</v>
      </c>
      <c r="H1913" s="181">
        <f>INDEX('Списки данных'!$D$2:$D$1048576,MATCH(База_КР_КК[[#This Row],[Структурное подразделение]],'Списки данных'!$C$2:$C$1048576,0))</f>
        <v>13</v>
      </c>
      <c r="I1913" s="80" t="s">
        <v>173</v>
      </c>
      <c r="J1913" s="80" t="s">
        <v>212</v>
      </c>
      <c r="K1913" s="80" t="s">
        <v>21</v>
      </c>
      <c r="L1913" s="30" t="s">
        <v>192</v>
      </c>
      <c r="M1913" s="68">
        <v>7</v>
      </c>
      <c r="N1913" s="181" t="str">
        <f t="shared" si="30"/>
        <v>нет</v>
      </c>
      <c r="O1913" s="23"/>
      <c r="P1913" s="23"/>
      <c r="Q1913" s="106"/>
      <c r="R1913" s="37">
        <v>427</v>
      </c>
      <c r="S1913" s="38" t="s">
        <v>839</v>
      </c>
      <c r="T1913" s="37">
        <v>1517</v>
      </c>
      <c r="U1913" s="39" t="s">
        <v>1877</v>
      </c>
      <c r="V1913" s="69" t="s">
        <v>16</v>
      </c>
      <c r="W1913" s="89" t="s">
        <v>173</v>
      </c>
      <c r="X1913" s="106" t="s">
        <v>297</v>
      </c>
      <c r="Y1913" s="107" t="s">
        <v>12</v>
      </c>
      <c r="Z1913" s="67">
        <f>IF(База_КР_КК[[#This Row],[Таб.номер резервиста]]="-","-",IF(OR(База_КР_КК[[#This Row],[Уровень КК]]=2,База_КР_КК[[#This Row],[Уровень КК]]=3),IF(COUNTIFS($U$2:$U1913,$U1913,$F$2:$F1913,$F1913)=1,1,0),IF(COUNTIFS($U$2:$U1913,$U1913,$L$2:$L1913,$L1913)=1,1,0)))</f>
        <v>1</v>
      </c>
      <c r="AA19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3" s="106"/>
      <c r="AC1913" s="51"/>
      <c r="AD1913" s="106" t="s">
        <v>15</v>
      </c>
      <c r="AE1913" s="38" t="s">
        <v>343</v>
      </c>
    </row>
    <row r="1914" spans="1:31" ht="18" customHeight="1" x14ac:dyDescent="0.25">
      <c r="A19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4" s="79">
        <v>3</v>
      </c>
      <c r="C1914" s="23">
        <v>43425</v>
      </c>
      <c r="D1914" s="67">
        <f>IF(COUNTIF($G$2:$G1914,$G1914)=1,1,0)</f>
        <v>1</v>
      </c>
      <c r="E1914" s="67" t="str">
        <f>IFERROR(VLOOKUP(База_КР_КК[[#This Row],[ИД штатной должности (S)]],'уровень защищенности'!$B$7:$F$1095,5,0),"не защищена")</f>
        <v>высокий</v>
      </c>
      <c r="F1914" s="68">
        <v>500265</v>
      </c>
      <c r="G1914" s="74" t="s">
        <v>2598</v>
      </c>
      <c r="H1914" s="181">
        <f>INDEX('Списки данных'!$D$2:$D$1048576,MATCH(База_КР_КК[[#This Row],[Структурное подразделение]],'Списки данных'!$C$2:$C$1048576,0))</f>
        <v>13</v>
      </c>
      <c r="I1914" s="80" t="s">
        <v>173</v>
      </c>
      <c r="J1914" s="80" t="s">
        <v>212</v>
      </c>
      <c r="K1914" s="80" t="s">
        <v>21</v>
      </c>
      <c r="L1914" s="30" t="s">
        <v>186</v>
      </c>
      <c r="M1914" s="68">
        <v>5</v>
      </c>
      <c r="N1914" s="181" t="str">
        <f t="shared" si="30"/>
        <v>да</v>
      </c>
      <c r="O1914" s="23">
        <v>44926</v>
      </c>
      <c r="P1914" s="23">
        <v>45047</v>
      </c>
      <c r="Q1914" s="106" t="s">
        <v>66</v>
      </c>
      <c r="R1914" s="37">
        <v>428</v>
      </c>
      <c r="S1914" s="39" t="s">
        <v>840</v>
      </c>
      <c r="T1914" s="37">
        <v>1521</v>
      </c>
      <c r="U1914" s="39" t="s">
        <v>1879</v>
      </c>
      <c r="V1914" s="89" t="s">
        <v>16</v>
      </c>
      <c r="W1914" s="89" t="s">
        <v>173</v>
      </c>
      <c r="X1914" s="106" t="s">
        <v>296</v>
      </c>
      <c r="Y1914" s="107" t="s">
        <v>12</v>
      </c>
      <c r="Z1914" s="67">
        <f>IF(База_КР_КК[[#This Row],[Таб.номер резервиста]]="-","-",IF(OR(База_КР_КК[[#This Row],[Уровень КК]]=2,База_КР_КК[[#This Row],[Уровень КК]]=3),IF(COUNTIFS($U$2:$U1914,$U1914,$F$2:$F1914,$F1914)=1,1,0),IF(COUNTIFS($U$2:$U1914,$U1914,$L$2:$L1914,$L1914)=1,1,0)))</f>
        <v>1</v>
      </c>
      <c r="AA19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4" s="106"/>
      <c r="AC1914" s="51"/>
      <c r="AD1914" s="106" t="s">
        <v>13</v>
      </c>
      <c r="AE1914" s="38" t="s">
        <v>345</v>
      </c>
    </row>
    <row r="1915" spans="1:31" ht="18" customHeight="1" x14ac:dyDescent="0.25">
      <c r="A19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5" s="79">
        <v>3</v>
      </c>
      <c r="C1915" s="23">
        <v>43425</v>
      </c>
      <c r="D1915" s="67">
        <f>IF(COUNTIF($G$2:$G1915,$G1915)=1,1,0)</f>
        <v>0</v>
      </c>
      <c r="E1915" s="67" t="str">
        <f>IFERROR(VLOOKUP(База_КР_КК[[#This Row],[ИД штатной должности (S)]],'уровень защищенности'!$B$7:$F$1095,5,0),"не защищена")</f>
        <v>высокий</v>
      </c>
      <c r="F1915" s="68">
        <v>500265</v>
      </c>
      <c r="G1915" s="74" t="s">
        <v>2598</v>
      </c>
      <c r="H1915" s="181">
        <f>INDEX('Списки данных'!$D$2:$D$1048576,MATCH(База_КР_КК[[#This Row],[Структурное подразделение]],'Списки данных'!$C$2:$C$1048576,0))</f>
        <v>13</v>
      </c>
      <c r="I1915" s="80" t="s">
        <v>173</v>
      </c>
      <c r="J1915" s="80" t="s">
        <v>212</v>
      </c>
      <c r="K1915" s="80" t="s">
        <v>21</v>
      </c>
      <c r="L1915" s="30" t="s">
        <v>186</v>
      </c>
      <c r="M1915" s="68">
        <v>5</v>
      </c>
      <c r="N1915" s="181" t="str">
        <f t="shared" si="30"/>
        <v>да</v>
      </c>
      <c r="O1915" s="23">
        <v>44926</v>
      </c>
      <c r="P1915" s="23">
        <v>45047</v>
      </c>
      <c r="Q1915" s="106" t="s">
        <v>66</v>
      </c>
      <c r="R1915" s="37">
        <v>428</v>
      </c>
      <c r="S1915" s="39" t="s">
        <v>840</v>
      </c>
      <c r="T1915" s="37">
        <v>1522</v>
      </c>
      <c r="U1915" s="39" t="s">
        <v>1880</v>
      </c>
      <c r="V1915" s="89" t="s">
        <v>200</v>
      </c>
      <c r="W1915" s="89" t="s">
        <v>128</v>
      </c>
      <c r="X1915" s="106" t="s">
        <v>295</v>
      </c>
      <c r="Y1915" s="107" t="s">
        <v>12</v>
      </c>
      <c r="Z1915" s="67">
        <f>IF(База_КР_КК[[#This Row],[Таб.номер резервиста]]="-","-",IF(OR(База_КР_КК[[#This Row],[Уровень КК]]=2,База_КР_КК[[#This Row],[Уровень КК]]=3),IF(COUNTIFS($U$2:$U1915,$U1915,$F$2:$F1915,$F1915)=1,1,0),IF(COUNTIFS($U$2:$U1915,$U1915,$L$2:$L1915,$L1915)=1,1,0)))</f>
        <v>1</v>
      </c>
      <c r="AA19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5" s="106"/>
      <c r="AC1915" s="51"/>
      <c r="AD1915" s="106" t="s">
        <v>13</v>
      </c>
      <c r="AE1915" s="38" t="s">
        <v>345</v>
      </c>
    </row>
    <row r="1916" spans="1:31" ht="18" customHeight="1" x14ac:dyDescent="0.25">
      <c r="A19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6" s="79">
        <v>3</v>
      </c>
      <c r="C1916" s="23">
        <v>43425</v>
      </c>
      <c r="D1916" s="67">
        <f>IF(COUNTIF($G$2:$G1916,$G1916)=1,1,0)</f>
        <v>0</v>
      </c>
      <c r="E1916" s="67" t="str">
        <f>IFERROR(VLOOKUP(База_КР_КК[[#This Row],[ИД штатной должности (S)]],'уровень защищенности'!$B$7:$F$1095,5,0),"не защищена")</f>
        <v>высокий</v>
      </c>
      <c r="F1916" s="68">
        <v>500265</v>
      </c>
      <c r="G1916" s="74" t="s">
        <v>2598</v>
      </c>
      <c r="H1916" s="181">
        <f>INDEX('Списки данных'!$D$2:$D$1048576,MATCH(База_КР_КК[[#This Row],[Структурное подразделение]],'Списки данных'!$C$2:$C$1048576,0))</f>
        <v>13</v>
      </c>
      <c r="I1916" s="80" t="s">
        <v>173</v>
      </c>
      <c r="J1916" s="80" t="s">
        <v>212</v>
      </c>
      <c r="K1916" s="80" t="s">
        <v>21</v>
      </c>
      <c r="L1916" s="30" t="s">
        <v>186</v>
      </c>
      <c r="M1916" s="68">
        <v>5</v>
      </c>
      <c r="N1916" s="181" t="str">
        <f t="shared" si="30"/>
        <v>да</v>
      </c>
      <c r="O1916" s="23">
        <v>44926</v>
      </c>
      <c r="P1916" s="23">
        <v>45047</v>
      </c>
      <c r="Q1916" s="106" t="s">
        <v>66</v>
      </c>
      <c r="R1916" s="37">
        <v>428</v>
      </c>
      <c r="S1916" s="39" t="s">
        <v>840</v>
      </c>
      <c r="T1916" s="37">
        <v>428</v>
      </c>
      <c r="U1916" s="39" t="s">
        <v>840</v>
      </c>
      <c r="V1916" s="89" t="s">
        <v>192</v>
      </c>
      <c r="W1916" s="89" t="s">
        <v>173</v>
      </c>
      <c r="X1916" s="106" t="s">
        <v>295</v>
      </c>
      <c r="Y1916" s="107" t="s">
        <v>14</v>
      </c>
      <c r="Z1916" s="67">
        <f>IF(База_КР_КК[[#This Row],[Таб.номер резервиста]]="-","-",IF(OR(База_КР_КК[[#This Row],[Уровень КК]]=2,База_КР_КК[[#This Row],[Уровень КК]]=3),IF(COUNTIFS($U$2:$U1916,$U1916,$F$2:$F1916,$F1916)=1,1,0),IF(COUNTIFS($U$2:$U1916,$U1916,$L$2:$L1916,$L1916)=1,1,0)))</f>
        <v>1</v>
      </c>
      <c r="AA19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916" s="106" t="s">
        <v>24</v>
      </c>
      <c r="AC1916" s="51">
        <v>45047</v>
      </c>
      <c r="AD1916" s="106" t="s">
        <v>13</v>
      </c>
      <c r="AE1916" s="38" t="s">
        <v>345</v>
      </c>
    </row>
    <row r="1917" spans="1:31" ht="18" customHeight="1" x14ac:dyDescent="0.25">
      <c r="A19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7" s="79">
        <v>3</v>
      </c>
      <c r="C1917" s="23">
        <v>44707</v>
      </c>
      <c r="D1917" s="67">
        <f>IF(COUNTIF($G$2:$G1917,$G1917)=1,1,0)</f>
        <v>0</v>
      </c>
      <c r="E1917" s="67" t="str">
        <f>IFERROR(VLOOKUP(База_КР_КК[[#This Row],[ИД штатной должности (S)]],'уровень защищенности'!$B$7:$F$1095,5,0),"не защищена")</f>
        <v>высокий</v>
      </c>
      <c r="F1917" s="68">
        <v>500265</v>
      </c>
      <c r="G1917" s="74" t="s">
        <v>2598</v>
      </c>
      <c r="H1917" s="181">
        <f>INDEX('Списки данных'!$D$2:$D$1048576,MATCH(База_КР_КК[[#This Row],[Структурное подразделение]],'Списки данных'!$C$2:$C$1048576,0))</f>
        <v>13</v>
      </c>
      <c r="I1917" s="80" t="s">
        <v>173</v>
      </c>
      <c r="J1917" s="80" t="s">
        <v>212</v>
      </c>
      <c r="K1917" s="80" t="s">
        <v>21</v>
      </c>
      <c r="L1917" s="30" t="s">
        <v>186</v>
      </c>
      <c r="M1917" s="68">
        <v>5</v>
      </c>
      <c r="N1917" s="181" t="str">
        <f t="shared" si="30"/>
        <v>да</v>
      </c>
      <c r="O1917" s="23">
        <v>44926</v>
      </c>
      <c r="P1917" s="23">
        <v>45047</v>
      </c>
      <c r="Q1917" s="106" t="s">
        <v>66</v>
      </c>
      <c r="R1917" s="37">
        <v>428</v>
      </c>
      <c r="S1917" s="39" t="s">
        <v>840</v>
      </c>
      <c r="T1917" s="37">
        <v>431</v>
      </c>
      <c r="U1917" s="39" t="s">
        <v>843</v>
      </c>
      <c r="V1917" s="89" t="s">
        <v>192</v>
      </c>
      <c r="W1917" s="89" t="s">
        <v>173</v>
      </c>
      <c r="X1917" s="106" t="s">
        <v>296</v>
      </c>
      <c r="Y1917" s="107" t="s">
        <v>12</v>
      </c>
      <c r="Z1917" s="67">
        <f>IF(База_КР_КК[[#This Row],[Таб.номер резервиста]]="-","-",IF(OR(База_КР_КК[[#This Row],[Уровень КК]]=2,База_КР_КК[[#This Row],[Уровень КК]]=3),IF(COUNTIFS($U$2:$U1917,$U1917,$F$2:$F1917,$F1917)=1,1,0),IF(COUNTIFS($U$2:$U1917,$U1917,$L$2:$L1917,$L1917)=1,1,0)))</f>
        <v>1</v>
      </c>
      <c r="AA19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7" s="106"/>
      <c r="AC1917" s="51"/>
      <c r="AD1917" s="106" t="s">
        <v>15</v>
      </c>
      <c r="AE1917" s="38" t="s">
        <v>345</v>
      </c>
    </row>
    <row r="1918" spans="1:31" ht="18" customHeight="1" x14ac:dyDescent="0.25">
      <c r="A19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8" s="79">
        <v>3</v>
      </c>
      <c r="C1918" s="23">
        <v>44707</v>
      </c>
      <c r="D1918" s="67">
        <f>IF(COUNTIF($G$2:$G1918,$G1918)=1,1,0)</f>
        <v>0</v>
      </c>
      <c r="E1918" s="67" t="str">
        <f>IFERROR(VLOOKUP(База_КР_КК[[#This Row],[ИД штатной должности (S)]],'уровень защищенности'!$B$7:$F$1095,5,0),"не защищена")</f>
        <v>высокий</v>
      </c>
      <c r="F1918" s="68">
        <v>500265</v>
      </c>
      <c r="G1918" s="74" t="s">
        <v>2598</v>
      </c>
      <c r="H1918" s="181">
        <f>INDEX('Списки данных'!$D$2:$D$1048576,MATCH(База_КР_КК[[#This Row],[Структурное подразделение]],'Списки данных'!$C$2:$C$1048576,0))</f>
        <v>13</v>
      </c>
      <c r="I1918" s="80" t="s">
        <v>173</v>
      </c>
      <c r="J1918" s="80" t="s">
        <v>212</v>
      </c>
      <c r="K1918" s="80" t="s">
        <v>21</v>
      </c>
      <c r="L1918" s="30" t="s">
        <v>186</v>
      </c>
      <c r="M1918" s="68">
        <v>5</v>
      </c>
      <c r="N1918" s="181" t="str">
        <f t="shared" si="30"/>
        <v>да</v>
      </c>
      <c r="O1918" s="23">
        <v>44926</v>
      </c>
      <c r="P1918" s="23">
        <v>45047</v>
      </c>
      <c r="Q1918" s="106" t="s">
        <v>66</v>
      </c>
      <c r="R1918" s="37">
        <v>428</v>
      </c>
      <c r="S1918" s="39" t="s">
        <v>840</v>
      </c>
      <c r="T1918" s="37">
        <v>429</v>
      </c>
      <c r="U1918" s="39" t="s">
        <v>841</v>
      </c>
      <c r="V1918" s="89" t="s">
        <v>192</v>
      </c>
      <c r="W1918" s="89" t="s">
        <v>173</v>
      </c>
      <c r="X1918" s="106" t="s">
        <v>296</v>
      </c>
      <c r="Y1918" s="107" t="s">
        <v>12</v>
      </c>
      <c r="Z1918" s="67">
        <f>IF(База_КР_КК[[#This Row],[Таб.номер резервиста]]="-","-",IF(OR(База_КР_КК[[#This Row],[Уровень КК]]=2,База_КР_КК[[#This Row],[Уровень КК]]=3),IF(COUNTIFS($U$2:$U1918,$U1918,$F$2:$F1918,$F1918)=1,1,0),IF(COUNTIFS($U$2:$U1918,$U1918,$L$2:$L1918,$L1918)=1,1,0)))</f>
        <v>1</v>
      </c>
      <c r="AA19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8" s="106"/>
      <c r="AC1918" s="51"/>
      <c r="AD1918" s="106" t="s">
        <v>15</v>
      </c>
      <c r="AE1918" s="38" t="s">
        <v>345</v>
      </c>
    </row>
    <row r="1919" spans="1:31" ht="18" customHeight="1" x14ac:dyDescent="0.25">
      <c r="A19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19" s="79">
        <v>4</v>
      </c>
      <c r="C1919" s="23">
        <v>44425</v>
      </c>
      <c r="D1919" s="67">
        <f>IF(COUNTIF($G$2:$G1919,$G1919)=1,1,0)</f>
        <v>1</v>
      </c>
      <c r="E1919" s="67" t="str">
        <f>IFERROR(VLOOKUP(База_КР_КК[[#This Row],[ИД штатной должности (S)]],'уровень защищенности'!$B$7:$F$1095,5,0),"не защищена")</f>
        <v>высокий</v>
      </c>
      <c r="F1919" s="68">
        <v>500266</v>
      </c>
      <c r="G1919" s="74" t="s">
        <v>2599</v>
      </c>
      <c r="H1919" s="181">
        <f>INDEX('Списки данных'!$D$2:$D$1048576,MATCH(База_КР_КК[[#This Row],[Структурное подразделение]],'Списки данных'!$C$2:$C$1048576,0))</f>
        <v>13</v>
      </c>
      <c r="I1919" s="80" t="s">
        <v>173</v>
      </c>
      <c r="J1919" s="80" t="s">
        <v>212</v>
      </c>
      <c r="K1919" s="80" t="s">
        <v>21</v>
      </c>
      <c r="L1919" s="30" t="s">
        <v>191</v>
      </c>
      <c r="M1919" s="68">
        <v>7</v>
      </c>
      <c r="N1919" s="181" t="str">
        <f t="shared" si="30"/>
        <v>да</v>
      </c>
      <c r="O1919" s="23">
        <v>45086</v>
      </c>
      <c r="P1919" s="23"/>
      <c r="Q1919" s="106"/>
      <c r="R1919" s="37" t="s">
        <v>23</v>
      </c>
      <c r="S1919" s="38" t="s">
        <v>23</v>
      </c>
      <c r="T1919" s="37">
        <v>1523</v>
      </c>
      <c r="U1919" s="39" t="s">
        <v>1881</v>
      </c>
      <c r="V1919" s="69" t="s">
        <v>272</v>
      </c>
      <c r="W1919" s="89" t="s">
        <v>173</v>
      </c>
      <c r="X1919" s="106" t="s">
        <v>296</v>
      </c>
      <c r="Y1919" s="107" t="s">
        <v>12</v>
      </c>
      <c r="Z1919" s="67">
        <f>IF(База_КР_КК[[#This Row],[Таб.номер резервиста]]="-","-",IF(OR(База_КР_КК[[#This Row],[Уровень КК]]=2,База_КР_КК[[#This Row],[Уровень КК]]=3),IF(COUNTIFS($U$2:$U1919,$U1919,$F$2:$F1919,$F1919)=1,1,0),IF(COUNTIFS($U$2:$U1919,$U1919,$L$2:$L1919,$L1919)=1,1,0)))</f>
        <v>1</v>
      </c>
      <c r="AA19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19" s="106"/>
      <c r="AC1919" s="51"/>
      <c r="AD1919" s="106" t="s">
        <v>15</v>
      </c>
      <c r="AE1919" s="38" t="s">
        <v>343</v>
      </c>
    </row>
    <row r="1920" spans="1:31" ht="18" customHeight="1" x14ac:dyDescent="0.25">
      <c r="A19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0" s="79">
        <v>4</v>
      </c>
      <c r="C1920" s="23">
        <v>44425</v>
      </c>
      <c r="D1920" s="67">
        <f>IF(COUNTIF($G$2:$G1920,$G1920)=1,1,0)</f>
        <v>0</v>
      </c>
      <c r="E1920" s="67" t="str">
        <f>IFERROR(VLOOKUP(База_КР_КК[[#This Row],[ИД штатной должности (S)]],'уровень защищенности'!$B$7:$F$1095,5,0),"не защищена")</f>
        <v>высокий</v>
      </c>
      <c r="F1920" s="68">
        <v>500266</v>
      </c>
      <c r="G1920" s="74" t="s">
        <v>2599</v>
      </c>
      <c r="H1920" s="181">
        <f>INDEX('Списки данных'!$D$2:$D$1048576,MATCH(База_КР_КК[[#This Row],[Структурное подразделение]],'Списки данных'!$C$2:$C$1048576,0))</f>
        <v>13</v>
      </c>
      <c r="I1920" s="80" t="s">
        <v>173</v>
      </c>
      <c r="J1920" s="80" t="s">
        <v>212</v>
      </c>
      <c r="K1920" s="80" t="s">
        <v>21</v>
      </c>
      <c r="L1920" s="30" t="s">
        <v>191</v>
      </c>
      <c r="M1920" s="68">
        <v>7</v>
      </c>
      <c r="N1920" s="181" t="str">
        <f t="shared" ref="N1920:N1983" si="31">IF(ISBLANK(O1920),"нет","да")</f>
        <v>да</v>
      </c>
      <c r="O1920" s="23">
        <v>45086</v>
      </c>
      <c r="P1920" s="23"/>
      <c r="Q1920" s="106"/>
      <c r="R1920" s="37" t="s">
        <v>23</v>
      </c>
      <c r="S1920" s="38" t="s">
        <v>23</v>
      </c>
      <c r="T1920" s="37">
        <v>1524</v>
      </c>
      <c r="U1920" s="39" t="s">
        <v>1836</v>
      </c>
      <c r="V1920" s="69" t="s">
        <v>272</v>
      </c>
      <c r="W1920" s="89" t="s">
        <v>173</v>
      </c>
      <c r="X1920" s="106" t="s">
        <v>295</v>
      </c>
      <c r="Y1920" s="107" t="s">
        <v>12</v>
      </c>
      <c r="Z1920" s="67">
        <f>IF(База_КР_КК[[#This Row],[Таб.номер резервиста]]="-","-",IF(OR(База_КР_КК[[#This Row],[Уровень КК]]=2,База_КР_КК[[#This Row],[Уровень КК]]=3),IF(COUNTIFS($U$2:$U1920,$U1920,$F$2:$F1920,$F1920)=1,1,0),IF(COUNTIFS($U$2:$U1920,$U1920,$L$2:$L1920,$L1920)=1,1,0)))</f>
        <v>0</v>
      </c>
      <c r="AA19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0" s="106"/>
      <c r="AC1920" s="51"/>
      <c r="AD1920" s="106" t="s">
        <v>15</v>
      </c>
      <c r="AE1920" s="38" t="s">
        <v>343</v>
      </c>
    </row>
    <row r="1921" spans="1:31" ht="18" customHeight="1" x14ac:dyDescent="0.25">
      <c r="A19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1" s="79">
        <v>4</v>
      </c>
      <c r="C1921" s="23">
        <v>44890</v>
      </c>
      <c r="D1921" s="67">
        <f>IF(COUNTIF($G$2:$G1921,$G1921)=1,1,0)</f>
        <v>0</v>
      </c>
      <c r="E1921" s="67" t="str">
        <f>IFERROR(VLOOKUP(База_КР_КК[[#This Row],[ИД штатной должности (S)]],'уровень защищенности'!$B$7:$F$1095,5,0),"не защищена")</f>
        <v>высокий</v>
      </c>
      <c r="F1921" s="68">
        <v>500266</v>
      </c>
      <c r="G1921" s="74" t="s">
        <v>2599</v>
      </c>
      <c r="H1921" s="181">
        <f>INDEX('Списки данных'!$D$2:$D$1048576,MATCH(База_КР_КК[[#This Row],[Структурное подразделение]],'Списки данных'!$C$2:$C$1048576,0))</f>
        <v>13</v>
      </c>
      <c r="I1921" s="80" t="s">
        <v>173</v>
      </c>
      <c r="J1921" s="80" t="s">
        <v>212</v>
      </c>
      <c r="K1921" s="80" t="s">
        <v>21</v>
      </c>
      <c r="L1921" s="30" t="s">
        <v>191</v>
      </c>
      <c r="M1921" s="68">
        <v>7</v>
      </c>
      <c r="N1921" s="181" t="str">
        <f t="shared" si="31"/>
        <v>да</v>
      </c>
      <c r="O1921" s="23">
        <v>45086</v>
      </c>
      <c r="P1921" s="23"/>
      <c r="Q1921" s="106"/>
      <c r="R1921" s="37" t="s">
        <v>23</v>
      </c>
      <c r="S1921" s="38" t="s">
        <v>23</v>
      </c>
      <c r="T1921" s="37">
        <v>1508</v>
      </c>
      <c r="U1921" s="39" t="s">
        <v>1872</v>
      </c>
      <c r="V1921" s="69" t="s">
        <v>272</v>
      </c>
      <c r="W1921" s="89" t="s">
        <v>173</v>
      </c>
      <c r="X1921" s="106" t="s">
        <v>295</v>
      </c>
      <c r="Y1921" s="107" t="s">
        <v>12</v>
      </c>
      <c r="Z1921" s="67">
        <f>IF(База_КР_КК[[#This Row],[Таб.номер резервиста]]="-","-",IF(OR(База_КР_КК[[#This Row],[Уровень КК]]=2,База_КР_КК[[#This Row],[Уровень КК]]=3),IF(COUNTIFS($U$2:$U1921,$U1921,$F$2:$F1921,$F1921)=1,1,0),IF(COUNTIFS($U$2:$U1921,$U1921,$L$2:$L1921,$L1921)=1,1,0)))</f>
        <v>1</v>
      </c>
      <c r="AA19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1" s="106"/>
      <c r="AC1921" s="51"/>
      <c r="AD1921" s="106" t="s">
        <v>15</v>
      </c>
      <c r="AE1921" s="38" t="s">
        <v>344</v>
      </c>
    </row>
    <row r="1922" spans="1:31" ht="18" customHeight="1" x14ac:dyDescent="0.25">
      <c r="A19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2" s="79">
        <v>4</v>
      </c>
      <c r="C1922" s="23">
        <v>44890</v>
      </c>
      <c r="D1922" s="67">
        <f>IF(COUNTIF($G$2:$G1922,$G1922)=1,1,0)</f>
        <v>0</v>
      </c>
      <c r="E1922" s="67" t="str">
        <f>IFERROR(VLOOKUP(База_КР_КК[[#This Row],[ИД штатной должности (S)]],'уровень защищенности'!$B$7:$F$1095,5,0),"не защищена")</f>
        <v>высокий</v>
      </c>
      <c r="F1922" s="68">
        <v>500266</v>
      </c>
      <c r="G1922" s="74" t="s">
        <v>2599</v>
      </c>
      <c r="H1922" s="181">
        <f>INDEX('Списки данных'!$D$2:$D$1048576,MATCH(База_КР_КК[[#This Row],[Структурное подразделение]],'Списки данных'!$C$2:$C$1048576,0))</f>
        <v>13</v>
      </c>
      <c r="I1922" s="80" t="s">
        <v>173</v>
      </c>
      <c r="J1922" s="80" t="s">
        <v>212</v>
      </c>
      <c r="K1922" s="80" t="s">
        <v>21</v>
      </c>
      <c r="L1922" s="30" t="s">
        <v>191</v>
      </c>
      <c r="M1922" s="68">
        <v>7</v>
      </c>
      <c r="N1922" s="181" t="str">
        <f t="shared" si="31"/>
        <v>да</v>
      </c>
      <c r="O1922" s="23">
        <v>45086</v>
      </c>
      <c r="P1922" s="23"/>
      <c r="Q1922" s="106"/>
      <c r="R1922" s="37" t="s">
        <v>23</v>
      </c>
      <c r="S1922" s="38" t="s">
        <v>23</v>
      </c>
      <c r="T1922" s="37">
        <v>1525</v>
      </c>
      <c r="U1922" s="39" t="s">
        <v>1882</v>
      </c>
      <c r="V1922" s="69" t="s">
        <v>272</v>
      </c>
      <c r="W1922" s="89" t="s">
        <v>173</v>
      </c>
      <c r="X1922" s="106" t="s">
        <v>296</v>
      </c>
      <c r="Y1922" s="107" t="s">
        <v>12</v>
      </c>
      <c r="Z1922" s="67">
        <f>IF(База_КР_КК[[#This Row],[Таб.номер резервиста]]="-","-",IF(OR(База_КР_КК[[#This Row],[Уровень КК]]=2,База_КР_КК[[#This Row],[Уровень КК]]=3),IF(COUNTIFS($U$2:$U1922,$U1922,$F$2:$F1922,$F1922)=1,1,0),IF(COUNTIFS($U$2:$U1922,$U1922,$L$2:$L1922,$L1922)=1,1,0)))</f>
        <v>1</v>
      </c>
      <c r="AA19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2" s="106"/>
      <c r="AC1922" s="51"/>
      <c r="AD1922" s="106" t="s">
        <v>15</v>
      </c>
      <c r="AE1922" s="38" t="s">
        <v>344</v>
      </c>
    </row>
    <row r="1923" spans="1:31" ht="18" customHeight="1" x14ac:dyDescent="0.25">
      <c r="A19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3" s="79">
        <v>4</v>
      </c>
      <c r="C1923" s="23">
        <v>44425</v>
      </c>
      <c r="D1923" s="67">
        <f>IF(COUNTIF($G$2:$G1923,$G1923)=1,1,0)</f>
        <v>0</v>
      </c>
      <c r="E1923" s="67" t="str">
        <f>IFERROR(VLOOKUP(База_КР_КК[[#This Row],[ИД штатной должности (S)]],'уровень защищенности'!$B$7:$F$1095,5,0),"не защищена")</f>
        <v>высокий</v>
      </c>
      <c r="F1923" s="68">
        <v>500266</v>
      </c>
      <c r="G1923" s="74" t="s">
        <v>2599</v>
      </c>
      <c r="H1923" s="181">
        <f>INDEX('Списки данных'!$D$2:$D$1048576,MATCH(База_КР_КК[[#This Row],[Структурное подразделение]],'Списки данных'!$C$2:$C$1048576,0))</f>
        <v>13</v>
      </c>
      <c r="I1923" s="80" t="s">
        <v>173</v>
      </c>
      <c r="J1923" s="80" t="s">
        <v>212</v>
      </c>
      <c r="K1923" s="80" t="s">
        <v>21</v>
      </c>
      <c r="L1923" s="30" t="s">
        <v>191</v>
      </c>
      <c r="M1923" s="68">
        <v>7</v>
      </c>
      <c r="N1923" s="181" t="str">
        <f t="shared" si="31"/>
        <v>да</v>
      </c>
      <c r="O1923" s="23">
        <v>45086</v>
      </c>
      <c r="P1923" s="23"/>
      <c r="Q1923" s="106"/>
      <c r="R1923" s="37" t="s">
        <v>23</v>
      </c>
      <c r="S1923" s="38" t="s">
        <v>23</v>
      </c>
      <c r="T1923" s="37">
        <v>429</v>
      </c>
      <c r="U1923" s="39" t="s">
        <v>841</v>
      </c>
      <c r="V1923" s="89" t="s">
        <v>192</v>
      </c>
      <c r="W1923" s="89" t="s">
        <v>173</v>
      </c>
      <c r="X1923" s="106" t="s">
        <v>295</v>
      </c>
      <c r="Y1923" s="107" t="s">
        <v>14</v>
      </c>
      <c r="Z1923" s="67">
        <f>IF(База_КР_КК[[#This Row],[Таб.номер резервиста]]="-","-",IF(OR(База_КР_КК[[#This Row],[Уровень КК]]=2,База_КР_КК[[#This Row],[Уровень КК]]=3),IF(COUNTIFS($U$2:$U1923,$U1923,$F$2:$F1923,$F1923)=1,1,0),IF(COUNTIFS($U$2:$U1923,$U1923,$L$2:$L1923,$L1923)=1,1,0)))</f>
        <v>1</v>
      </c>
      <c r="AA19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3" s="106" t="s">
        <v>24</v>
      </c>
      <c r="AC1923" s="51">
        <v>44538</v>
      </c>
      <c r="AD1923" s="106" t="s">
        <v>15</v>
      </c>
      <c r="AE1923" s="38" t="s">
        <v>343</v>
      </c>
    </row>
    <row r="1924" spans="1:31" ht="18" customHeight="1" x14ac:dyDescent="0.25">
      <c r="A19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4" s="79">
        <v>4</v>
      </c>
      <c r="C1924" s="23">
        <v>44425</v>
      </c>
      <c r="D1924" s="67">
        <f>IF(COUNTIF($G$2:$G1924,$G1924)=1,1,0)</f>
        <v>0</v>
      </c>
      <c r="E1924" s="67" t="str">
        <f>IFERROR(VLOOKUP(База_КР_КК[[#This Row],[ИД штатной должности (S)]],'уровень защищенности'!$B$7:$F$1095,5,0),"не защищена")</f>
        <v>высокий</v>
      </c>
      <c r="F1924" s="68">
        <v>500266</v>
      </c>
      <c r="G1924" s="74" t="s">
        <v>2599</v>
      </c>
      <c r="H1924" s="181">
        <f>INDEX('Списки данных'!$D$2:$D$1048576,MATCH(База_КР_КК[[#This Row],[Структурное подразделение]],'Списки данных'!$C$2:$C$1048576,0))</f>
        <v>13</v>
      </c>
      <c r="I1924" s="80" t="s">
        <v>173</v>
      </c>
      <c r="J1924" s="80" t="s">
        <v>212</v>
      </c>
      <c r="K1924" s="80" t="s">
        <v>21</v>
      </c>
      <c r="L1924" s="30" t="s">
        <v>191</v>
      </c>
      <c r="M1924" s="68">
        <v>7</v>
      </c>
      <c r="N1924" s="181" t="str">
        <f t="shared" si="31"/>
        <v>да</v>
      </c>
      <c r="O1924" s="23">
        <v>45086</v>
      </c>
      <c r="P1924" s="23"/>
      <c r="Q1924" s="106"/>
      <c r="R1924" s="37" t="s">
        <v>23</v>
      </c>
      <c r="S1924" s="38" t="s">
        <v>23</v>
      </c>
      <c r="T1924" s="37">
        <v>1526</v>
      </c>
      <c r="U1924" s="39" t="s">
        <v>1883</v>
      </c>
      <c r="V1924" s="69" t="s">
        <v>272</v>
      </c>
      <c r="W1924" s="89" t="s">
        <v>173</v>
      </c>
      <c r="X1924" s="106" t="s">
        <v>297</v>
      </c>
      <c r="Y1924" s="107" t="s">
        <v>18</v>
      </c>
      <c r="Z1924" s="67">
        <f>IF(База_КР_КК[[#This Row],[Таб.номер резервиста]]="-","-",IF(OR(База_КР_КК[[#This Row],[Уровень КК]]=2,База_КР_КК[[#This Row],[Уровень КК]]=3),IF(COUNTIFS($U$2:$U1924,$U1924,$F$2:$F1924,$F1924)=1,1,0),IF(COUNTIFS($U$2:$U1924,$U1924,$L$2:$L1924,$L1924)=1,1,0)))</f>
        <v>1</v>
      </c>
      <c r="AA19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4" s="106" t="s">
        <v>20</v>
      </c>
      <c r="AC1924" s="51">
        <v>44552</v>
      </c>
      <c r="AD1924" s="106" t="s">
        <v>15</v>
      </c>
      <c r="AE1924" s="38" t="s">
        <v>343</v>
      </c>
    </row>
    <row r="1925" spans="1:31" ht="18" customHeight="1" x14ac:dyDescent="0.25">
      <c r="A19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5" s="79">
        <v>4</v>
      </c>
      <c r="C1925" s="23">
        <v>44425</v>
      </c>
      <c r="D1925" s="67">
        <f>IF(COUNTIF($G$2:$G1925,$G1925)=1,1,0)</f>
        <v>1</v>
      </c>
      <c r="E1925" s="67" t="str">
        <f>IFERROR(VLOOKUP(База_КР_КК[[#This Row],[ИД штатной должности (S)]],'уровень защищенности'!$B$7:$F$1095,5,0),"не защищена")</f>
        <v>высокий</v>
      </c>
      <c r="F1925" s="68">
        <v>500266</v>
      </c>
      <c r="G1925" s="74" t="s">
        <v>2600</v>
      </c>
      <c r="H1925" s="181">
        <f>INDEX('Списки данных'!$D$2:$D$1048576,MATCH(База_КР_КК[[#This Row],[Структурное подразделение]],'Списки данных'!$C$2:$C$1048576,0))</f>
        <v>13</v>
      </c>
      <c r="I1925" s="80" t="s">
        <v>173</v>
      </c>
      <c r="J1925" s="80" t="s">
        <v>212</v>
      </c>
      <c r="K1925" s="80" t="s">
        <v>21</v>
      </c>
      <c r="L1925" s="30" t="s">
        <v>191</v>
      </c>
      <c r="M1925" s="68">
        <v>7</v>
      </c>
      <c r="N1925" s="181" t="str">
        <f t="shared" si="31"/>
        <v>да</v>
      </c>
      <c r="O1925" s="23">
        <v>44389</v>
      </c>
      <c r="P1925" s="23">
        <v>44538</v>
      </c>
      <c r="Q1925" s="106" t="s">
        <v>66</v>
      </c>
      <c r="R1925" s="37">
        <v>429</v>
      </c>
      <c r="S1925" s="39" t="s">
        <v>841</v>
      </c>
      <c r="T1925" s="37">
        <v>1523</v>
      </c>
      <c r="U1925" s="39" t="s">
        <v>1881</v>
      </c>
      <c r="V1925" s="69" t="s">
        <v>272</v>
      </c>
      <c r="W1925" s="89" t="s">
        <v>173</v>
      </c>
      <c r="X1925" s="106" t="s">
        <v>296</v>
      </c>
      <c r="Y1925" s="107" t="s">
        <v>12</v>
      </c>
      <c r="Z1925" s="67">
        <f>IF(База_КР_КК[[#This Row],[Таб.номер резервиста]]="-","-",IF(OR(База_КР_КК[[#This Row],[Уровень КК]]=2,База_КР_КК[[#This Row],[Уровень КК]]=3),IF(COUNTIFS($U$2:$U1925,$U1925,$F$2:$F1925,$F1925)=1,1,0),IF(COUNTIFS($U$2:$U1925,$U1925,$L$2:$L1925,$L1925)=1,1,0)))</f>
        <v>0</v>
      </c>
      <c r="AA19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5" s="106"/>
      <c r="AC1925" s="51"/>
      <c r="AD1925" s="106" t="s">
        <v>15</v>
      </c>
      <c r="AE1925" s="38" t="s">
        <v>343</v>
      </c>
    </row>
    <row r="1926" spans="1:31" ht="18" customHeight="1" x14ac:dyDescent="0.25">
      <c r="A19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6" s="79">
        <v>4</v>
      </c>
      <c r="C1926" s="23">
        <v>44425</v>
      </c>
      <c r="D1926" s="67">
        <f>IF(COUNTIF($G$2:$G1926,$G1926)=1,1,0)</f>
        <v>0</v>
      </c>
      <c r="E1926" s="67" t="str">
        <f>IFERROR(VLOOKUP(База_КР_КК[[#This Row],[ИД штатной должности (S)]],'уровень защищенности'!$B$7:$F$1095,5,0),"не защищена")</f>
        <v>высокий</v>
      </c>
      <c r="F1926" s="68">
        <v>500266</v>
      </c>
      <c r="G1926" s="74" t="s">
        <v>2600</v>
      </c>
      <c r="H1926" s="181">
        <f>INDEX('Списки данных'!$D$2:$D$1048576,MATCH(База_КР_КК[[#This Row],[Структурное подразделение]],'Списки данных'!$C$2:$C$1048576,0))</f>
        <v>13</v>
      </c>
      <c r="I1926" s="80" t="s">
        <v>173</v>
      </c>
      <c r="J1926" s="80" t="s">
        <v>212</v>
      </c>
      <c r="K1926" s="80" t="s">
        <v>21</v>
      </c>
      <c r="L1926" s="30" t="s">
        <v>191</v>
      </c>
      <c r="M1926" s="68">
        <v>7</v>
      </c>
      <c r="N1926" s="181" t="str">
        <f t="shared" si="31"/>
        <v>да</v>
      </c>
      <c r="O1926" s="23">
        <v>44389</v>
      </c>
      <c r="P1926" s="23">
        <v>44538</v>
      </c>
      <c r="Q1926" s="106" t="s">
        <v>66</v>
      </c>
      <c r="R1926" s="37">
        <v>429</v>
      </c>
      <c r="S1926" s="39" t="s">
        <v>841</v>
      </c>
      <c r="T1926" s="37">
        <v>1524</v>
      </c>
      <c r="U1926" s="39" t="s">
        <v>1836</v>
      </c>
      <c r="V1926" s="69" t="s">
        <v>272</v>
      </c>
      <c r="W1926" s="89" t="s">
        <v>173</v>
      </c>
      <c r="X1926" s="106" t="s">
        <v>295</v>
      </c>
      <c r="Y1926" s="107" t="s">
        <v>12</v>
      </c>
      <c r="Z1926" s="67">
        <f>IF(База_КР_КК[[#This Row],[Таб.номер резервиста]]="-","-",IF(OR(База_КР_КК[[#This Row],[Уровень КК]]=2,База_КР_КК[[#This Row],[Уровень КК]]=3),IF(COUNTIFS($U$2:$U1926,$U1926,$F$2:$F1926,$F1926)=1,1,0),IF(COUNTIFS($U$2:$U1926,$U1926,$L$2:$L1926,$L1926)=1,1,0)))</f>
        <v>0</v>
      </c>
      <c r="AA19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6" s="106"/>
      <c r="AC1926" s="51"/>
      <c r="AD1926" s="106" t="s">
        <v>15</v>
      </c>
      <c r="AE1926" s="38" t="s">
        <v>343</v>
      </c>
    </row>
    <row r="1927" spans="1:31" ht="18" customHeight="1" x14ac:dyDescent="0.25">
      <c r="A19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7" s="79">
        <v>4</v>
      </c>
      <c r="C1927" s="23">
        <v>44890</v>
      </c>
      <c r="D1927" s="67">
        <f>IF(COUNTIF($G$2:$G1927,$G1927)=1,1,0)</f>
        <v>0</v>
      </c>
      <c r="E1927" s="67" t="str">
        <f>IFERROR(VLOOKUP(База_КР_КК[[#This Row],[ИД штатной должности (S)]],'уровень защищенности'!$B$7:$F$1095,5,0),"не защищена")</f>
        <v>высокий</v>
      </c>
      <c r="F1927" s="68">
        <v>500266</v>
      </c>
      <c r="G1927" s="74" t="s">
        <v>2600</v>
      </c>
      <c r="H1927" s="181">
        <f>INDEX('Списки данных'!$D$2:$D$1048576,MATCH(База_КР_КК[[#This Row],[Структурное подразделение]],'Списки данных'!$C$2:$C$1048576,0))</f>
        <v>13</v>
      </c>
      <c r="I1927" s="80" t="s">
        <v>173</v>
      </c>
      <c r="J1927" s="80" t="s">
        <v>212</v>
      </c>
      <c r="K1927" s="80" t="s">
        <v>21</v>
      </c>
      <c r="L1927" s="30" t="s">
        <v>191</v>
      </c>
      <c r="M1927" s="68">
        <v>7</v>
      </c>
      <c r="N1927" s="181" t="str">
        <f t="shared" si="31"/>
        <v>да</v>
      </c>
      <c r="O1927" s="23">
        <v>44389</v>
      </c>
      <c r="P1927" s="23">
        <v>44538</v>
      </c>
      <c r="Q1927" s="106" t="s">
        <v>66</v>
      </c>
      <c r="R1927" s="37">
        <v>429</v>
      </c>
      <c r="S1927" s="39" t="s">
        <v>841</v>
      </c>
      <c r="T1927" s="37">
        <v>1508</v>
      </c>
      <c r="U1927" s="39" t="s">
        <v>1872</v>
      </c>
      <c r="V1927" s="69" t="s">
        <v>272</v>
      </c>
      <c r="W1927" s="89" t="s">
        <v>173</v>
      </c>
      <c r="X1927" s="106" t="s">
        <v>295</v>
      </c>
      <c r="Y1927" s="107" t="s">
        <v>12</v>
      </c>
      <c r="Z1927" s="67">
        <f>IF(База_КР_КК[[#This Row],[Таб.номер резервиста]]="-","-",IF(OR(База_КР_КК[[#This Row],[Уровень КК]]=2,База_КР_КК[[#This Row],[Уровень КК]]=3),IF(COUNTIFS($U$2:$U1927,$U1927,$F$2:$F1927,$F1927)=1,1,0),IF(COUNTIFS($U$2:$U1927,$U1927,$L$2:$L1927,$L1927)=1,1,0)))</f>
        <v>0</v>
      </c>
      <c r="AA19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7" s="106"/>
      <c r="AC1927" s="51"/>
      <c r="AD1927" s="106" t="s">
        <v>15</v>
      </c>
      <c r="AE1927" s="38" t="s">
        <v>344</v>
      </c>
    </row>
    <row r="1928" spans="1:31" ht="18" customHeight="1" x14ac:dyDescent="0.25">
      <c r="A19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8" s="79">
        <v>4</v>
      </c>
      <c r="C1928" s="23">
        <v>44890</v>
      </c>
      <c r="D1928" s="67">
        <f>IF(COUNTIF($G$2:$G1928,$G1928)=1,1,0)</f>
        <v>0</v>
      </c>
      <c r="E1928" s="67" t="str">
        <f>IFERROR(VLOOKUP(База_КР_КК[[#This Row],[ИД штатной должности (S)]],'уровень защищенности'!$B$7:$F$1095,5,0),"не защищена")</f>
        <v>высокий</v>
      </c>
      <c r="F1928" s="68">
        <v>500266</v>
      </c>
      <c r="G1928" s="74" t="s">
        <v>2600</v>
      </c>
      <c r="H1928" s="181">
        <f>INDEX('Списки данных'!$D$2:$D$1048576,MATCH(База_КР_КК[[#This Row],[Структурное подразделение]],'Списки данных'!$C$2:$C$1048576,0))</f>
        <v>13</v>
      </c>
      <c r="I1928" s="80" t="s">
        <v>173</v>
      </c>
      <c r="J1928" s="80" t="s">
        <v>212</v>
      </c>
      <c r="K1928" s="80" t="s">
        <v>21</v>
      </c>
      <c r="L1928" s="30" t="s">
        <v>191</v>
      </c>
      <c r="M1928" s="68">
        <v>7</v>
      </c>
      <c r="N1928" s="181" t="str">
        <f t="shared" si="31"/>
        <v>да</v>
      </c>
      <c r="O1928" s="23">
        <v>44389</v>
      </c>
      <c r="P1928" s="23">
        <v>44538</v>
      </c>
      <c r="Q1928" s="106" t="s">
        <v>66</v>
      </c>
      <c r="R1928" s="37">
        <v>429</v>
      </c>
      <c r="S1928" s="39" t="s">
        <v>841</v>
      </c>
      <c r="T1928" s="37">
        <v>1525</v>
      </c>
      <c r="U1928" s="39" t="s">
        <v>1882</v>
      </c>
      <c r="V1928" s="69" t="s">
        <v>272</v>
      </c>
      <c r="W1928" s="89" t="s">
        <v>173</v>
      </c>
      <c r="X1928" s="106" t="s">
        <v>296</v>
      </c>
      <c r="Y1928" s="107" t="s">
        <v>12</v>
      </c>
      <c r="Z1928" s="67">
        <f>IF(База_КР_КК[[#This Row],[Таб.номер резервиста]]="-","-",IF(OR(База_КР_КК[[#This Row],[Уровень КК]]=2,База_КР_КК[[#This Row],[Уровень КК]]=3),IF(COUNTIFS($U$2:$U1928,$U1928,$F$2:$F1928,$F1928)=1,1,0),IF(COUNTIFS($U$2:$U1928,$U1928,$L$2:$L1928,$L1928)=1,1,0)))</f>
        <v>0</v>
      </c>
      <c r="AA19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28" s="106"/>
      <c r="AC1928" s="51"/>
      <c r="AD1928" s="106" t="s">
        <v>15</v>
      </c>
      <c r="AE1928" s="38" t="s">
        <v>344</v>
      </c>
    </row>
    <row r="1929" spans="1:31" ht="18" customHeight="1" x14ac:dyDescent="0.25">
      <c r="A19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29" s="79">
        <v>4</v>
      </c>
      <c r="C1929" s="23">
        <v>44425</v>
      </c>
      <c r="D1929" s="67">
        <f>IF(COUNTIF($G$2:$G1929,$G1929)=1,1,0)</f>
        <v>0</v>
      </c>
      <c r="E1929" s="67" t="str">
        <f>IFERROR(VLOOKUP(База_КР_КК[[#This Row],[ИД штатной должности (S)]],'уровень защищенности'!$B$7:$F$1095,5,0),"не защищена")</f>
        <v>высокий</v>
      </c>
      <c r="F1929" s="68">
        <v>500266</v>
      </c>
      <c r="G1929" s="74" t="s">
        <v>2600</v>
      </c>
      <c r="H1929" s="181">
        <f>INDEX('Списки данных'!$D$2:$D$1048576,MATCH(База_КР_КК[[#This Row],[Структурное подразделение]],'Списки данных'!$C$2:$C$1048576,0))</f>
        <v>13</v>
      </c>
      <c r="I1929" s="80" t="s">
        <v>173</v>
      </c>
      <c r="J1929" s="80" t="s">
        <v>212</v>
      </c>
      <c r="K1929" s="80" t="s">
        <v>21</v>
      </c>
      <c r="L1929" s="30" t="s">
        <v>191</v>
      </c>
      <c r="M1929" s="68">
        <v>7</v>
      </c>
      <c r="N1929" s="181" t="str">
        <f t="shared" si="31"/>
        <v>да</v>
      </c>
      <c r="O1929" s="23">
        <v>44389</v>
      </c>
      <c r="P1929" s="23">
        <v>44538</v>
      </c>
      <c r="Q1929" s="106" t="s">
        <v>66</v>
      </c>
      <c r="R1929" s="37">
        <v>429</v>
      </c>
      <c r="S1929" s="39" t="s">
        <v>841</v>
      </c>
      <c r="T1929" s="37">
        <v>429</v>
      </c>
      <c r="U1929" s="39" t="s">
        <v>841</v>
      </c>
      <c r="V1929" s="89" t="s">
        <v>192</v>
      </c>
      <c r="W1929" s="89" t="s">
        <v>173</v>
      </c>
      <c r="X1929" s="106" t="s">
        <v>295</v>
      </c>
      <c r="Y1929" s="107" t="s">
        <v>14</v>
      </c>
      <c r="Z1929" s="67">
        <f>IF(База_КР_КК[[#This Row],[Таб.номер резервиста]]="-","-",IF(OR(База_КР_КК[[#This Row],[Уровень КК]]=2,База_КР_КК[[#This Row],[Уровень КК]]=3),IF(COUNTIFS($U$2:$U1929,$U1929,$F$2:$F1929,$F1929)=1,1,0),IF(COUNTIFS($U$2:$U1929,$U1929,$L$2:$L1929,$L1929)=1,1,0)))</f>
        <v>0</v>
      </c>
      <c r="AA19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929" s="106" t="s">
        <v>24</v>
      </c>
      <c r="AC1929" s="51">
        <v>44538</v>
      </c>
      <c r="AD1929" s="106" t="s">
        <v>15</v>
      </c>
      <c r="AE1929" s="38" t="s">
        <v>343</v>
      </c>
    </row>
    <row r="1930" spans="1:31" ht="18" customHeight="1" x14ac:dyDescent="0.25">
      <c r="A19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0" s="79">
        <v>4</v>
      </c>
      <c r="C1930" s="23">
        <v>44425</v>
      </c>
      <c r="D1930" s="67">
        <f>IF(COUNTIF($G$2:$G1930,$G1930)=1,1,0)</f>
        <v>0</v>
      </c>
      <c r="E1930" s="67" t="str">
        <f>IFERROR(VLOOKUP(База_КР_КК[[#This Row],[ИД штатной должности (S)]],'уровень защищенности'!$B$7:$F$1095,5,0),"не защищена")</f>
        <v>высокий</v>
      </c>
      <c r="F1930" s="68">
        <v>500266</v>
      </c>
      <c r="G1930" s="74" t="s">
        <v>2600</v>
      </c>
      <c r="H1930" s="181">
        <f>INDEX('Списки данных'!$D$2:$D$1048576,MATCH(База_КР_КК[[#This Row],[Структурное подразделение]],'Списки данных'!$C$2:$C$1048576,0))</f>
        <v>13</v>
      </c>
      <c r="I1930" s="80" t="s">
        <v>173</v>
      </c>
      <c r="J1930" s="80" t="s">
        <v>212</v>
      </c>
      <c r="K1930" s="80" t="s">
        <v>21</v>
      </c>
      <c r="L1930" s="30" t="s">
        <v>191</v>
      </c>
      <c r="M1930" s="68">
        <v>7</v>
      </c>
      <c r="N1930" s="181" t="str">
        <f t="shared" si="31"/>
        <v>да</v>
      </c>
      <c r="O1930" s="23">
        <v>44389</v>
      </c>
      <c r="P1930" s="23">
        <v>44538</v>
      </c>
      <c r="Q1930" s="106" t="s">
        <v>66</v>
      </c>
      <c r="R1930" s="37">
        <v>429</v>
      </c>
      <c r="S1930" s="39" t="s">
        <v>841</v>
      </c>
      <c r="T1930" s="37">
        <v>1526</v>
      </c>
      <c r="U1930" s="39" t="s">
        <v>1883</v>
      </c>
      <c r="V1930" s="69" t="s">
        <v>272</v>
      </c>
      <c r="W1930" s="89" t="s">
        <v>173</v>
      </c>
      <c r="X1930" s="106" t="s">
        <v>297</v>
      </c>
      <c r="Y1930" s="107" t="s">
        <v>18</v>
      </c>
      <c r="Z1930" s="67">
        <f>IF(База_КР_КК[[#This Row],[Таб.номер резервиста]]="-","-",IF(OR(База_КР_КК[[#This Row],[Уровень КК]]=2,База_КР_КК[[#This Row],[Уровень КК]]=3),IF(COUNTIFS($U$2:$U1930,$U1930,$F$2:$F1930,$F1930)=1,1,0),IF(COUNTIFS($U$2:$U1930,$U1930,$L$2:$L1930,$L1930)=1,1,0)))</f>
        <v>0</v>
      </c>
      <c r="AA19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0" s="106" t="s">
        <v>20</v>
      </c>
      <c r="AC1930" s="51">
        <v>44552</v>
      </c>
      <c r="AD1930" s="106" t="s">
        <v>15</v>
      </c>
      <c r="AE1930" s="38" t="s">
        <v>343</v>
      </c>
    </row>
    <row r="1931" spans="1:31" ht="18" customHeight="1" x14ac:dyDescent="0.25">
      <c r="A19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1" s="79">
        <v>4</v>
      </c>
      <c r="C1931" s="23">
        <v>44425</v>
      </c>
      <c r="D1931" s="67">
        <f>IF(COUNTIF($G$2:$G1931,$G1931)=1,1,0)</f>
        <v>1</v>
      </c>
      <c r="E1931" s="67" t="str">
        <f>IFERROR(VLOOKUP(База_КР_КК[[#This Row],[ИД штатной должности (S)]],'уровень защищенности'!$B$7:$F$1095,5,0),"не защищена")</f>
        <v>высокий</v>
      </c>
      <c r="F1931" s="68">
        <v>500266</v>
      </c>
      <c r="G1931" s="74" t="s">
        <v>2601</v>
      </c>
      <c r="H1931" s="181">
        <f>INDEX('Списки данных'!$D$2:$D$1048576,MATCH(База_КР_КК[[#This Row],[Структурное подразделение]],'Списки данных'!$C$2:$C$1048576,0))</f>
        <v>13</v>
      </c>
      <c r="I1931" s="80" t="s">
        <v>173</v>
      </c>
      <c r="J1931" s="80" t="s">
        <v>212</v>
      </c>
      <c r="K1931" s="80" t="s">
        <v>21</v>
      </c>
      <c r="L1931" s="30" t="s">
        <v>191</v>
      </c>
      <c r="M1931" s="68">
        <v>7</v>
      </c>
      <c r="N1931" s="181" t="str">
        <f t="shared" si="31"/>
        <v>нет</v>
      </c>
      <c r="O1931" s="23"/>
      <c r="P1931" s="23"/>
      <c r="Q1931" s="106"/>
      <c r="R1931" s="37">
        <v>430</v>
      </c>
      <c r="S1931" s="38" t="s">
        <v>842</v>
      </c>
      <c r="T1931" s="37">
        <v>1523</v>
      </c>
      <c r="U1931" s="39" t="s">
        <v>1881</v>
      </c>
      <c r="V1931" s="69" t="s">
        <v>272</v>
      </c>
      <c r="W1931" s="89" t="s">
        <v>173</v>
      </c>
      <c r="X1931" s="106" t="s">
        <v>296</v>
      </c>
      <c r="Y1931" s="107" t="s">
        <v>12</v>
      </c>
      <c r="Z1931" s="67">
        <f>IF(База_КР_КК[[#This Row],[Таб.номер резервиста]]="-","-",IF(OR(База_КР_КК[[#This Row],[Уровень КК]]=2,База_КР_КК[[#This Row],[Уровень КК]]=3),IF(COUNTIFS($U$2:$U1931,$U1931,$F$2:$F1931,$F1931)=1,1,0),IF(COUNTIFS($U$2:$U1931,$U1931,$L$2:$L1931,$L1931)=1,1,0)))</f>
        <v>0</v>
      </c>
      <c r="AA19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1" s="106"/>
      <c r="AC1931" s="51"/>
      <c r="AD1931" s="106" t="s">
        <v>15</v>
      </c>
      <c r="AE1931" s="38" t="s">
        <v>343</v>
      </c>
    </row>
    <row r="1932" spans="1:31" ht="18" customHeight="1" x14ac:dyDescent="0.25">
      <c r="A19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2" s="79">
        <v>4</v>
      </c>
      <c r="C1932" s="23">
        <v>44425</v>
      </c>
      <c r="D1932" s="67">
        <f>IF(COUNTIF($G$2:$G1932,$G1932)=1,1,0)</f>
        <v>0</v>
      </c>
      <c r="E1932" s="67" t="str">
        <f>IFERROR(VLOOKUP(База_КР_КК[[#This Row],[ИД штатной должности (S)]],'уровень защищенности'!$B$7:$F$1095,5,0),"не защищена")</f>
        <v>высокий</v>
      </c>
      <c r="F1932" s="68">
        <v>500266</v>
      </c>
      <c r="G1932" s="74" t="s">
        <v>2601</v>
      </c>
      <c r="H1932" s="181">
        <f>INDEX('Списки данных'!$D$2:$D$1048576,MATCH(База_КР_КК[[#This Row],[Структурное подразделение]],'Списки данных'!$C$2:$C$1048576,0))</f>
        <v>13</v>
      </c>
      <c r="I1932" s="80" t="s">
        <v>173</v>
      </c>
      <c r="J1932" s="80" t="s">
        <v>212</v>
      </c>
      <c r="K1932" s="80" t="s">
        <v>21</v>
      </c>
      <c r="L1932" s="30" t="s">
        <v>191</v>
      </c>
      <c r="M1932" s="68">
        <v>7</v>
      </c>
      <c r="N1932" s="181" t="str">
        <f t="shared" si="31"/>
        <v>нет</v>
      </c>
      <c r="O1932" s="23"/>
      <c r="P1932" s="23"/>
      <c r="Q1932" s="106"/>
      <c r="R1932" s="37">
        <v>430</v>
      </c>
      <c r="S1932" s="38" t="s">
        <v>842</v>
      </c>
      <c r="T1932" s="37">
        <v>1524</v>
      </c>
      <c r="U1932" s="39" t="s">
        <v>1836</v>
      </c>
      <c r="V1932" s="69" t="s">
        <v>272</v>
      </c>
      <c r="W1932" s="89" t="s">
        <v>173</v>
      </c>
      <c r="X1932" s="106" t="s">
        <v>295</v>
      </c>
      <c r="Y1932" s="107" t="s">
        <v>12</v>
      </c>
      <c r="Z1932" s="67">
        <f>IF(База_КР_КК[[#This Row],[Таб.номер резервиста]]="-","-",IF(OR(База_КР_КК[[#This Row],[Уровень КК]]=2,База_КР_КК[[#This Row],[Уровень КК]]=3),IF(COUNTIFS($U$2:$U1932,$U1932,$F$2:$F1932,$F1932)=1,1,0),IF(COUNTIFS($U$2:$U1932,$U1932,$L$2:$L1932,$L1932)=1,1,0)))</f>
        <v>0</v>
      </c>
      <c r="AA19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2" s="106"/>
      <c r="AC1932" s="51"/>
      <c r="AD1932" s="106" t="s">
        <v>15</v>
      </c>
      <c r="AE1932" s="38" t="s">
        <v>343</v>
      </c>
    </row>
    <row r="1933" spans="1:31" ht="18" customHeight="1" x14ac:dyDescent="0.25">
      <c r="A19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3" s="79">
        <v>4</v>
      </c>
      <c r="C1933" s="23">
        <v>44890</v>
      </c>
      <c r="D1933" s="67">
        <f>IF(COUNTIF($G$2:$G1933,$G1933)=1,1,0)</f>
        <v>0</v>
      </c>
      <c r="E1933" s="67" t="str">
        <f>IFERROR(VLOOKUP(База_КР_КК[[#This Row],[ИД штатной должности (S)]],'уровень защищенности'!$B$7:$F$1095,5,0),"не защищена")</f>
        <v>высокий</v>
      </c>
      <c r="F1933" s="68">
        <v>500266</v>
      </c>
      <c r="G1933" s="74" t="s">
        <v>2601</v>
      </c>
      <c r="H1933" s="181">
        <f>INDEX('Списки данных'!$D$2:$D$1048576,MATCH(База_КР_КК[[#This Row],[Структурное подразделение]],'Списки данных'!$C$2:$C$1048576,0))</f>
        <v>13</v>
      </c>
      <c r="I1933" s="80" t="s">
        <v>173</v>
      </c>
      <c r="J1933" s="80" t="s">
        <v>212</v>
      </c>
      <c r="K1933" s="80" t="s">
        <v>21</v>
      </c>
      <c r="L1933" s="30" t="s">
        <v>191</v>
      </c>
      <c r="M1933" s="68">
        <v>7</v>
      </c>
      <c r="N1933" s="181" t="str">
        <f t="shared" si="31"/>
        <v>нет</v>
      </c>
      <c r="O1933" s="23"/>
      <c r="P1933" s="23"/>
      <c r="Q1933" s="106"/>
      <c r="R1933" s="37">
        <v>430</v>
      </c>
      <c r="S1933" s="38" t="s">
        <v>842</v>
      </c>
      <c r="T1933" s="37">
        <v>1508</v>
      </c>
      <c r="U1933" s="39" t="s">
        <v>1872</v>
      </c>
      <c r="V1933" s="69" t="s">
        <v>272</v>
      </c>
      <c r="W1933" s="89" t="s">
        <v>173</v>
      </c>
      <c r="X1933" s="106" t="s">
        <v>295</v>
      </c>
      <c r="Y1933" s="107" t="s">
        <v>12</v>
      </c>
      <c r="Z1933" s="67">
        <f>IF(База_КР_КК[[#This Row],[Таб.номер резервиста]]="-","-",IF(OR(База_КР_КК[[#This Row],[Уровень КК]]=2,База_КР_КК[[#This Row],[Уровень КК]]=3),IF(COUNTIFS($U$2:$U1933,$U1933,$F$2:$F1933,$F1933)=1,1,0),IF(COUNTIFS($U$2:$U1933,$U1933,$L$2:$L1933,$L1933)=1,1,0)))</f>
        <v>0</v>
      </c>
      <c r="AA19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3" s="106"/>
      <c r="AC1933" s="51"/>
      <c r="AD1933" s="106" t="s">
        <v>15</v>
      </c>
      <c r="AE1933" s="38" t="s">
        <v>344</v>
      </c>
    </row>
    <row r="1934" spans="1:31" ht="18" customHeight="1" x14ac:dyDescent="0.25">
      <c r="A19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4" s="79">
        <v>4</v>
      </c>
      <c r="C1934" s="23">
        <v>44890</v>
      </c>
      <c r="D1934" s="67">
        <f>IF(COUNTIF($G$2:$G1934,$G1934)=1,1,0)</f>
        <v>0</v>
      </c>
      <c r="E1934" s="67" t="str">
        <f>IFERROR(VLOOKUP(База_КР_КК[[#This Row],[ИД штатной должности (S)]],'уровень защищенности'!$B$7:$F$1095,5,0),"не защищена")</f>
        <v>высокий</v>
      </c>
      <c r="F1934" s="68">
        <v>500266</v>
      </c>
      <c r="G1934" s="74" t="s">
        <v>2601</v>
      </c>
      <c r="H1934" s="181">
        <f>INDEX('Списки данных'!$D$2:$D$1048576,MATCH(База_КР_КК[[#This Row],[Структурное подразделение]],'Списки данных'!$C$2:$C$1048576,0))</f>
        <v>13</v>
      </c>
      <c r="I1934" s="80" t="s">
        <v>173</v>
      </c>
      <c r="J1934" s="80" t="s">
        <v>212</v>
      </c>
      <c r="K1934" s="80" t="s">
        <v>21</v>
      </c>
      <c r="L1934" s="30" t="s">
        <v>191</v>
      </c>
      <c r="M1934" s="68">
        <v>7</v>
      </c>
      <c r="N1934" s="181" t="str">
        <f t="shared" si="31"/>
        <v>нет</v>
      </c>
      <c r="O1934" s="23"/>
      <c r="P1934" s="23"/>
      <c r="Q1934" s="106"/>
      <c r="R1934" s="37">
        <v>430</v>
      </c>
      <c r="S1934" s="38" t="s">
        <v>842</v>
      </c>
      <c r="T1934" s="37">
        <v>1525</v>
      </c>
      <c r="U1934" s="39" t="s">
        <v>1882</v>
      </c>
      <c r="V1934" s="69" t="s">
        <v>272</v>
      </c>
      <c r="W1934" s="89" t="s">
        <v>173</v>
      </c>
      <c r="X1934" s="106" t="s">
        <v>296</v>
      </c>
      <c r="Y1934" s="107" t="s">
        <v>12</v>
      </c>
      <c r="Z1934" s="67">
        <f>IF(База_КР_КК[[#This Row],[Таб.номер резервиста]]="-","-",IF(OR(База_КР_КК[[#This Row],[Уровень КК]]=2,База_КР_КК[[#This Row],[Уровень КК]]=3),IF(COUNTIFS($U$2:$U1934,$U1934,$F$2:$F1934,$F1934)=1,1,0),IF(COUNTIFS($U$2:$U1934,$U1934,$L$2:$L1934,$L1934)=1,1,0)))</f>
        <v>0</v>
      </c>
      <c r="AA19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4" s="106"/>
      <c r="AC1934" s="51"/>
      <c r="AD1934" s="106" t="s">
        <v>15</v>
      </c>
      <c r="AE1934" s="38" t="s">
        <v>344</v>
      </c>
    </row>
    <row r="1935" spans="1:31" ht="18" customHeight="1" x14ac:dyDescent="0.25">
      <c r="A19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5" s="79">
        <v>4</v>
      </c>
      <c r="C1935" s="23">
        <v>44425</v>
      </c>
      <c r="D1935" s="67">
        <f>IF(COUNTIF($G$2:$G1935,$G1935)=1,1,0)</f>
        <v>0</v>
      </c>
      <c r="E1935" s="67" t="str">
        <f>IFERROR(VLOOKUP(База_КР_КК[[#This Row],[ИД штатной должности (S)]],'уровень защищенности'!$B$7:$F$1095,5,0),"не защищена")</f>
        <v>высокий</v>
      </c>
      <c r="F1935" s="68">
        <v>500266</v>
      </c>
      <c r="G1935" s="74" t="s">
        <v>2601</v>
      </c>
      <c r="H1935" s="181">
        <f>INDEX('Списки данных'!$D$2:$D$1048576,MATCH(База_КР_КК[[#This Row],[Структурное подразделение]],'Списки данных'!$C$2:$C$1048576,0))</f>
        <v>13</v>
      </c>
      <c r="I1935" s="80" t="s">
        <v>173</v>
      </c>
      <c r="J1935" s="80" t="s">
        <v>212</v>
      </c>
      <c r="K1935" s="80" t="s">
        <v>21</v>
      </c>
      <c r="L1935" s="30" t="s">
        <v>191</v>
      </c>
      <c r="M1935" s="68">
        <v>7</v>
      </c>
      <c r="N1935" s="181" t="str">
        <f t="shared" si="31"/>
        <v>нет</v>
      </c>
      <c r="O1935" s="23"/>
      <c r="P1935" s="23"/>
      <c r="Q1935" s="106"/>
      <c r="R1935" s="37">
        <v>430</v>
      </c>
      <c r="S1935" s="38" t="s">
        <v>842</v>
      </c>
      <c r="T1935" s="37">
        <v>429</v>
      </c>
      <c r="U1935" s="39" t="s">
        <v>841</v>
      </c>
      <c r="V1935" s="89" t="s">
        <v>192</v>
      </c>
      <c r="W1935" s="89" t="s">
        <v>173</v>
      </c>
      <c r="X1935" s="106" t="s">
        <v>295</v>
      </c>
      <c r="Y1935" s="107" t="s">
        <v>14</v>
      </c>
      <c r="Z1935" s="67">
        <f>IF(База_КР_КК[[#This Row],[Таб.номер резервиста]]="-","-",IF(OR(База_КР_КК[[#This Row],[Уровень КК]]=2,База_КР_КК[[#This Row],[Уровень КК]]=3),IF(COUNTIFS($U$2:$U1935,$U1935,$F$2:$F1935,$F1935)=1,1,0),IF(COUNTIFS($U$2:$U1935,$U1935,$L$2:$L1935,$L1935)=1,1,0)))</f>
        <v>0</v>
      </c>
      <c r="AA19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5" s="106" t="s">
        <v>24</v>
      </c>
      <c r="AC1935" s="51">
        <v>44538</v>
      </c>
      <c r="AD1935" s="106" t="s">
        <v>15</v>
      </c>
      <c r="AE1935" s="38" t="s">
        <v>343</v>
      </c>
    </row>
    <row r="1936" spans="1:31" ht="18" customHeight="1" x14ac:dyDescent="0.25">
      <c r="A19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6" s="79">
        <v>4</v>
      </c>
      <c r="C1936" s="23">
        <v>44425</v>
      </c>
      <c r="D1936" s="67">
        <f>IF(COUNTIF($G$2:$G1936,$G1936)=1,1,0)</f>
        <v>0</v>
      </c>
      <c r="E1936" s="67" t="str">
        <f>IFERROR(VLOOKUP(База_КР_КК[[#This Row],[ИД штатной должности (S)]],'уровень защищенности'!$B$7:$F$1095,5,0),"не защищена")</f>
        <v>высокий</v>
      </c>
      <c r="F1936" s="68">
        <v>500266</v>
      </c>
      <c r="G1936" s="74" t="s">
        <v>2601</v>
      </c>
      <c r="H1936" s="181">
        <f>INDEX('Списки данных'!$D$2:$D$1048576,MATCH(База_КР_КК[[#This Row],[Структурное подразделение]],'Списки данных'!$C$2:$C$1048576,0))</f>
        <v>13</v>
      </c>
      <c r="I1936" s="80" t="s">
        <v>173</v>
      </c>
      <c r="J1936" s="80" t="s">
        <v>212</v>
      </c>
      <c r="K1936" s="80" t="s">
        <v>21</v>
      </c>
      <c r="L1936" s="30" t="s">
        <v>191</v>
      </c>
      <c r="M1936" s="68">
        <v>7</v>
      </c>
      <c r="N1936" s="181" t="str">
        <f t="shared" si="31"/>
        <v>нет</v>
      </c>
      <c r="O1936" s="23"/>
      <c r="P1936" s="23"/>
      <c r="Q1936" s="106"/>
      <c r="R1936" s="37">
        <v>430</v>
      </c>
      <c r="S1936" s="38" t="s">
        <v>842</v>
      </c>
      <c r="T1936" s="37">
        <v>1526</v>
      </c>
      <c r="U1936" s="39" t="s">
        <v>1883</v>
      </c>
      <c r="V1936" s="69" t="s">
        <v>272</v>
      </c>
      <c r="W1936" s="89" t="s">
        <v>173</v>
      </c>
      <c r="X1936" s="106" t="s">
        <v>297</v>
      </c>
      <c r="Y1936" s="107" t="s">
        <v>18</v>
      </c>
      <c r="Z1936" s="67">
        <f>IF(База_КР_КК[[#This Row],[Таб.номер резервиста]]="-","-",IF(OR(База_КР_КК[[#This Row],[Уровень КК]]=2,База_КР_КК[[#This Row],[Уровень КК]]=3),IF(COUNTIFS($U$2:$U1936,$U1936,$F$2:$F1936,$F1936)=1,1,0),IF(COUNTIFS($U$2:$U1936,$U1936,$L$2:$L1936,$L1936)=1,1,0)))</f>
        <v>0</v>
      </c>
      <c r="AA19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6" s="106" t="s">
        <v>20</v>
      </c>
      <c r="AC1936" s="51">
        <v>44552</v>
      </c>
      <c r="AD1936" s="106" t="s">
        <v>15</v>
      </c>
      <c r="AE1936" s="38" t="s">
        <v>343</v>
      </c>
    </row>
    <row r="1937" spans="1:31" ht="18" customHeight="1" x14ac:dyDescent="0.25">
      <c r="A19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7" s="79">
        <v>4</v>
      </c>
      <c r="C1937" s="23">
        <v>44425</v>
      </c>
      <c r="D1937" s="67">
        <f>IF(COUNTIF($G$2:$G1937,$G1937)=1,1,0)</f>
        <v>1</v>
      </c>
      <c r="E1937" s="67" t="str">
        <f>IFERROR(VLOOKUP(База_КР_КК[[#This Row],[ИД штатной должности (S)]],'уровень защищенности'!$B$7:$F$1095,5,0),"не защищена")</f>
        <v>высокий</v>
      </c>
      <c r="F1937" s="68">
        <v>500266</v>
      </c>
      <c r="G1937" s="74" t="s">
        <v>2602</v>
      </c>
      <c r="H1937" s="181">
        <f>INDEX('Списки данных'!$D$2:$D$1048576,MATCH(База_КР_КК[[#This Row],[Структурное подразделение]],'Списки данных'!$C$2:$C$1048576,0))</f>
        <v>13</v>
      </c>
      <c r="I1937" s="80" t="s">
        <v>173</v>
      </c>
      <c r="J1937" s="80" t="s">
        <v>212</v>
      </c>
      <c r="K1937" s="80" t="s">
        <v>21</v>
      </c>
      <c r="L1937" s="30" t="s">
        <v>191</v>
      </c>
      <c r="M1937" s="68">
        <v>7</v>
      </c>
      <c r="N1937" s="181" t="str">
        <f t="shared" si="31"/>
        <v>да</v>
      </c>
      <c r="O1937" s="23">
        <v>44926</v>
      </c>
      <c r="P1937" s="23"/>
      <c r="Q1937" s="106"/>
      <c r="R1937" s="37" t="s">
        <v>23</v>
      </c>
      <c r="S1937" s="37" t="s">
        <v>23</v>
      </c>
      <c r="T1937" s="37">
        <v>1523</v>
      </c>
      <c r="U1937" s="39" t="s">
        <v>1881</v>
      </c>
      <c r="V1937" s="69" t="s">
        <v>272</v>
      </c>
      <c r="W1937" s="89" t="s">
        <v>173</v>
      </c>
      <c r="X1937" s="106" t="s">
        <v>296</v>
      </c>
      <c r="Y1937" s="107" t="s">
        <v>12</v>
      </c>
      <c r="Z1937" s="67">
        <f>IF(База_КР_КК[[#This Row],[Таб.номер резервиста]]="-","-",IF(OR(База_КР_КК[[#This Row],[Уровень КК]]=2,База_КР_КК[[#This Row],[Уровень КК]]=3),IF(COUNTIFS($U$2:$U1937,$U1937,$F$2:$F1937,$F1937)=1,1,0),IF(COUNTIFS($U$2:$U1937,$U1937,$L$2:$L1937,$L1937)=1,1,0)))</f>
        <v>0</v>
      </c>
      <c r="AA19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7" s="106"/>
      <c r="AC1937" s="51"/>
      <c r="AD1937" s="106" t="s">
        <v>15</v>
      </c>
      <c r="AE1937" s="38" t="s">
        <v>343</v>
      </c>
    </row>
    <row r="1938" spans="1:31" ht="18" customHeight="1" x14ac:dyDescent="0.25">
      <c r="A19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8" s="79">
        <v>4</v>
      </c>
      <c r="C1938" s="23">
        <v>44425</v>
      </c>
      <c r="D1938" s="67">
        <f>IF(COUNTIF($G$2:$G1938,$G1938)=1,1,0)</f>
        <v>0</v>
      </c>
      <c r="E1938" s="67" t="str">
        <f>IFERROR(VLOOKUP(База_КР_КК[[#This Row],[ИД штатной должности (S)]],'уровень защищенности'!$B$7:$F$1095,5,0),"не защищена")</f>
        <v>высокий</v>
      </c>
      <c r="F1938" s="68">
        <v>500266</v>
      </c>
      <c r="G1938" s="74" t="s">
        <v>2602</v>
      </c>
      <c r="H1938" s="181">
        <f>INDEX('Списки данных'!$D$2:$D$1048576,MATCH(База_КР_КК[[#This Row],[Структурное подразделение]],'Списки данных'!$C$2:$C$1048576,0))</f>
        <v>13</v>
      </c>
      <c r="I1938" s="80" t="s">
        <v>173</v>
      </c>
      <c r="J1938" s="80" t="s">
        <v>212</v>
      </c>
      <c r="K1938" s="80" t="s">
        <v>21</v>
      </c>
      <c r="L1938" s="30" t="s">
        <v>191</v>
      </c>
      <c r="M1938" s="68">
        <v>7</v>
      </c>
      <c r="N1938" s="181" t="str">
        <f t="shared" si="31"/>
        <v>да</v>
      </c>
      <c r="O1938" s="23">
        <v>44926</v>
      </c>
      <c r="P1938" s="23"/>
      <c r="Q1938" s="106"/>
      <c r="R1938" s="37" t="s">
        <v>23</v>
      </c>
      <c r="S1938" s="37" t="s">
        <v>23</v>
      </c>
      <c r="T1938" s="37">
        <v>1524</v>
      </c>
      <c r="U1938" s="39" t="s">
        <v>1836</v>
      </c>
      <c r="V1938" s="69" t="s">
        <v>272</v>
      </c>
      <c r="W1938" s="89" t="s">
        <v>173</v>
      </c>
      <c r="X1938" s="106" t="s">
        <v>295</v>
      </c>
      <c r="Y1938" s="107" t="s">
        <v>12</v>
      </c>
      <c r="Z1938" s="67">
        <f>IF(База_КР_КК[[#This Row],[Таб.номер резервиста]]="-","-",IF(OR(База_КР_КК[[#This Row],[Уровень КК]]=2,База_КР_КК[[#This Row],[Уровень КК]]=3),IF(COUNTIFS($U$2:$U1938,$U1938,$F$2:$F1938,$F1938)=1,1,0),IF(COUNTIFS($U$2:$U1938,$U1938,$L$2:$L1938,$L1938)=1,1,0)))</f>
        <v>0</v>
      </c>
      <c r="AA19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8" s="106"/>
      <c r="AC1938" s="51"/>
      <c r="AD1938" s="106" t="s">
        <v>15</v>
      </c>
      <c r="AE1938" s="38" t="s">
        <v>343</v>
      </c>
    </row>
    <row r="1939" spans="1:31" ht="18" customHeight="1" x14ac:dyDescent="0.25">
      <c r="A19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39" s="79">
        <v>4</v>
      </c>
      <c r="C1939" s="23">
        <v>44890</v>
      </c>
      <c r="D1939" s="67">
        <f>IF(COUNTIF($G$2:$G1939,$G1939)=1,1,0)</f>
        <v>0</v>
      </c>
      <c r="E1939" s="67" t="str">
        <f>IFERROR(VLOOKUP(База_КР_КК[[#This Row],[ИД штатной должности (S)]],'уровень защищенности'!$B$7:$F$1095,5,0),"не защищена")</f>
        <v>высокий</v>
      </c>
      <c r="F1939" s="68">
        <v>500266</v>
      </c>
      <c r="G1939" s="74" t="s">
        <v>2602</v>
      </c>
      <c r="H1939" s="181">
        <f>INDEX('Списки данных'!$D$2:$D$1048576,MATCH(База_КР_КК[[#This Row],[Структурное подразделение]],'Списки данных'!$C$2:$C$1048576,0))</f>
        <v>13</v>
      </c>
      <c r="I1939" s="80" t="s">
        <v>173</v>
      </c>
      <c r="J1939" s="80" t="s">
        <v>212</v>
      </c>
      <c r="K1939" s="80" t="s">
        <v>21</v>
      </c>
      <c r="L1939" s="30" t="s">
        <v>191</v>
      </c>
      <c r="M1939" s="68">
        <v>7</v>
      </c>
      <c r="N1939" s="181" t="str">
        <f t="shared" si="31"/>
        <v>да</v>
      </c>
      <c r="O1939" s="23">
        <v>44926</v>
      </c>
      <c r="P1939" s="23"/>
      <c r="Q1939" s="106"/>
      <c r="R1939" s="37" t="s">
        <v>23</v>
      </c>
      <c r="S1939" s="37" t="s">
        <v>23</v>
      </c>
      <c r="T1939" s="37">
        <v>1508</v>
      </c>
      <c r="U1939" s="39" t="s">
        <v>1872</v>
      </c>
      <c r="V1939" s="69" t="s">
        <v>272</v>
      </c>
      <c r="W1939" s="89" t="s">
        <v>173</v>
      </c>
      <c r="X1939" s="106" t="s">
        <v>295</v>
      </c>
      <c r="Y1939" s="107" t="s">
        <v>12</v>
      </c>
      <c r="Z1939" s="67">
        <f>IF(База_КР_КК[[#This Row],[Таб.номер резервиста]]="-","-",IF(OR(База_КР_КК[[#This Row],[Уровень КК]]=2,База_КР_КК[[#This Row],[Уровень КК]]=3),IF(COUNTIFS($U$2:$U1939,$U1939,$F$2:$F1939,$F1939)=1,1,0),IF(COUNTIFS($U$2:$U1939,$U1939,$L$2:$L1939,$L1939)=1,1,0)))</f>
        <v>0</v>
      </c>
      <c r="AA19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39" s="106"/>
      <c r="AC1939" s="51"/>
      <c r="AD1939" s="106" t="s">
        <v>15</v>
      </c>
      <c r="AE1939" s="38" t="s">
        <v>344</v>
      </c>
    </row>
    <row r="1940" spans="1:31" ht="18" customHeight="1" x14ac:dyDescent="0.25">
      <c r="A19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0" s="79">
        <v>4</v>
      </c>
      <c r="C1940" s="23">
        <v>44890</v>
      </c>
      <c r="D1940" s="67">
        <f>IF(COUNTIF($G$2:$G1940,$G1940)=1,1,0)</f>
        <v>0</v>
      </c>
      <c r="E1940" s="67" t="str">
        <f>IFERROR(VLOOKUP(База_КР_КК[[#This Row],[ИД штатной должности (S)]],'уровень защищенности'!$B$7:$F$1095,5,0),"не защищена")</f>
        <v>высокий</v>
      </c>
      <c r="F1940" s="68">
        <v>500266</v>
      </c>
      <c r="G1940" s="74" t="s">
        <v>2602</v>
      </c>
      <c r="H1940" s="181">
        <f>INDEX('Списки данных'!$D$2:$D$1048576,MATCH(База_КР_КК[[#This Row],[Структурное подразделение]],'Списки данных'!$C$2:$C$1048576,0))</f>
        <v>13</v>
      </c>
      <c r="I1940" s="80" t="s">
        <v>173</v>
      </c>
      <c r="J1940" s="80" t="s">
        <v>212</v>
      </c>
      <c r="K1940" s="80" t="s">
        <v>21</v>
      </c>
      <c r="L1940" s="30" t="s">
        <v>191</v>
      </c>
      <c r="M1940" s="68">
        <v>7</v>
      </c>
      <c r="N1940" s="181" t="str">
        <f t="shared" si="31"/>
        <v>да</v>
      </c>
      <c r="O1940" s="23">
        <v>44926</v>
      </c>
      <c r="P1940" s="23"/>
      <c r="Q1940" s="106"/>
      <c r="R1940" s="37" t="s">
        <v>23</v>
      </c>
      <c r="S1940" s="37" t="s">
        <v>23</v>
      </c>
      <c r="T1940" s="37">
        <v>1525</v>
      </c>
      <c r="U1940" s="39" t="s">
        <v>1882</v>
      </c>
      <c r="V1940" s="69" t="s">
        <v>272</v>
      </c>
      <c r="W1940" s="89" t="s">
        <v>173</v>
      </c>
      <c r="X1940" s="106" t="s">
        <v>296</v>
      </c>
      <c r="Y1940" s="107" t="s">
        <v>12</v>
      </c>
      <c r="Z1940" s="67">
        <f>IF(База_КР_КК[[#This Row],[Таб.номер резервиста]]="-","-",IF(OR(База_КР_КК[[#This Row],[Уровень КК]]=2,База_КР_КК[[#This Row],[Уровень КК]]=3),IF(COUNTIFS($U$2:$U1940,$U1940,$F$2:$F1940,$F1940)=1,1,0),IF(COUNTIFS($U$2:$U1940,$U1940,$L$2:$L1940,$L1940)=1,1,0)))</f>
        <v>0</v>
      </c>
      <c r="AA19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0" s="106"/>
      <c r="AC1940" s="51"/>
      <c r="AD1940" s="106" t="s">
        <v>15</v>
      </c>
      <c r="AE1940" s="38" t="s">
        <v>344</v>
      </c>
    </row>
    <row r="1941" spans="1:31" ht="18" customHeight="1" x14ac:dyDescent="0.25">
      <c r="A19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1" s="79">
        <v>4</v>
      </c>
      <c r="C1941" s="23">
        <v>44425</v>
      </c>
      <c r="D1941" s="67">
        <f>IF(COUNTIF($G$2:$G1941,$G1941)=1,1,0)</f>
        <v>0</v>
      </c>
      <c r="E1941" s="67" t="str">
        <f>IFERROR(VLOOKUP(База_КР_КК[[#This Row],[ИД штатной должности (S)]],'уровень защищенности'!$B$7:$F$1095,5,0),"не защищена")</f>
        <v>высокий</v>
      </c>
      <c r="F1941" s="68">
        <v>500266</v>
      </c>
      <c r="G1941" s="74" t="s">
        <v>2602</v>
      </c>
      <c r="H1941" s="181">
        <f>INDEX('Списки данных'!$D$2:$D$1048576,MATCH(База_КР_КК[[#This Row],[Структурное подразделение]],'Списки данных'!$C$2:$C$1048576,0))</f>
        <v>13</v>
      </c>
      <c r="I1941" s="80" t="s">
        <v>173</v>
      </c>
      <c r="J1941" s="80" t="s">
        <v>212</v>
      </c>
      <c r="K1941" s="80" t="s">
        <v>21</v>
      </c>
      <c r="L1941" s="30" t="s">
        <v>191</v>
      </c>
      <c r="M1941" s="68">
        <v>7</v>
      </c>
      <c r="N1941" s="181" t="str">
        <f t="shared" si="31"/>
        <v>да</v>
      </c>
      <c r="O1941" s="23">
        <v>44926</v>
      </c>
      <c r="P1941" s="23"/>
      <c r="Q1941" s="106"/>
      <c r="R1941" s="37" t="s">
        <v>23</v>
      </c>
      <c r="S1941" s="37" t="s">
        <v>23</v>
      </c>
      <c r="T1941" s="37">
        <v>429</v>
      </c>
      <c r="U1941" s="39" t="s">
        <v>841</v>
      </c>
      <c r="V1941" s="89" t="s">
        <v>192</v>
      </c>
      <c r="W1941" s="89" t="s">
        <v>173</v>
      </c>
      <c r="X1941" s="106" t="s">
        <v>295</v>
      </c>
      <c r="Y1941" s="107" t="s">
        <v>14</v>
      </c>
      <c r="Z1941" s="67">
        <f>IF(База_КР_КК[[#This Row],[Таб.номер резервиста]]="-","-",IF(OR(База_КР_КК[[#This Row],[Уровень КК]]=2,База_КР_КК[[#This Row],[Уровень КК]]=3),IF(COUNTIFS($U$2:$U1941,$U1941,$F$2:$F1941,$F1941)=1,1,0),IF(COUNTIFS($U$2:$U1941,$U1941,$L$2:$L1941,$L1941)=1,1,0)))</f>
        <v>0</v>
      </c>
      <c r="AA19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1" s="106" t="s">
        <v>24</v>
      </c>
      <c r="AC1941" s="51">
        <v>44538</v>
      </c>
      <c r="AD1941" s="106" t="s">
        <v>15</v>
      </c>
      <c r="AE1941" s="38" t="s">
        <v>343</v>
      </c>
    </row>
    <row r="1942" spans="1:31" ht="18" customHeight="1" x14ac:dyDescent="0.25">
      <c r="A19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2" s="79">
        <v>4</v>
      </c>
      <c r="C1942" s="23">
        <v>44425</v>
      </c>
      <c r="D1942" s="67">
        <f>IF(COUNTIF($G$2:$G1942,$G1942)=1,1,0)</f>
        <v>0</v>
      </c>
      <c r="E1942" s="67" t="str">
        <f>IFERROR(VLOOKUP(База_КР_КК[[#This Row],[ИД штатной должности (S)]],'уровень защищенности'!$B$7:$F$1095,5,0),"не защищена")</f>
        <v>высокий</v>
      </c>
      <c r="F1942" s="68">
        <v>500266</v>
      </c>
      <c r="G1942" s="74" t="s">
        <v>2602</v>
      </c>
      <c r="H1942" s="181">
        <f>INDEX('Списки данных'!$D$2:$D$1048576,MATCH(База_КР_КК[[#This Row],[Структурное подразделение]],'Списки данных'!$C$2:$C$1048576,0))</f>
        <v>13</v>
      </c>
      <c r="I1942" s="80" t="s">
        <v>173</v>
      </c>
      <c r="J1942" s="80" t="s">
        <v>212</v>
      </c>
      <c r="K1942" s="80" t="s">
        <v>21</v>
      </c>
      <c r="L1942" s="30" t="s">
        <v>191</v>
      </c>
      <c r="M1942" s="68">
        <v>7</v>
      </c>
      <c r="N1942" s="181" t="str">
        <f t="shared" si="31"/>
        <v>да</v>
      </c>
      <c r="O1942" s="23">
        <v>44926</v>
      </c>
      <c r="P1942" s="23"/>
      <c r="Q1942" s="106"/>
      <c r="R1942" s="37" t="s">
        <v>23</v>
      </c>
      <c r="S1942" s="37" t="s">
        <v>23</v>
      </c>
      <c r="T1942" s="37">
        <v>1526</v>
      </c>
      <c r="U1942" s="39" t="s">
        <v>1883</v>
      </c>
      <c r="V1942" s="69" t="s">
        <v>272</v>
      </c>
      <c r="W1942" s="89" t="s">
        <v>173</v>
      </c>
      <c r="X1942" s="106" t="s">
        <v>297</v>
      </c>
      <c r="Y1942" s="107" t="s">
        <v>18</v>
      </c>
      <c r="Z1942" s="67">
        <f>IF(База_КР_КК[[#This Row],[Таб.номер резервиста]]="-","-",IF(OR(База_КР_КК[[#This Row],[Уровень КК]]=2,База_КР_КК[[#This Row],[Уровень КК]]=3),IF(COUNTIFS($U$2:$U1942,$U1942,$F$2:$F1942,$F1942)=1,1,0),IF(COUNTIFS($U$2:$U1942,$U1942,$L$2:$L1942,$L1942)=1,1,0)))</f>
        <v>0</v>
      </c>
      <c r="AA19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2" s="106" t="s">
        <v>20</v>
      </c>
      <c r="AC1942" s="51">
        <v>44552</v>
      </c>
      <c r="AD1942" s="106" t="s">
        <v>15</v>
      </c>
      <c r="AE1942" s="38" t="s">
        <v>343</v>
      </c>
    </row>
    <row r="1943" spans="1:31" ht="18" customHeight="1" x14ac:dyDescent="0.25">
      <c r="A19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3" s="79">
        <v>4</v>
      </c>
      <c r="C1943" s="23">
        <v>44425</v>
      </c>
      <c r="D1943" s="67">
        <f>IF(COUNTIF($G$2:$G1943,$G1943)=1,1,0)</f>
        <v>1</v>
      </c>
      <c r="E1943" s="67" t="str">
        <f>IFERROR(VLOOKUP(База_КР_КК[[#This Row],[ИД штатной должности (S)]],'уровень защищенности'!$B$7:$F$1095,5,0),"не защищена")</f>
        <v>высокий</v>
      </c>
      <c r="F1943" s="68">
        <v>500267</v>
      </c>
      <c r="G1943" s="74" t="s">
        <v>2603</v>
      </c>
      <c r="H1943" s="181">
        <f>INDEX('Списки данных'!$D$2:$D$1048576,MATCH(База_КР_КК[[#This Row],[Структурное подразделение]],'Списки данных'!$C$2:$C$1048576,0))</f>
        <v>13</v>
      </c>
      <c r="I1943" s="80" t="s">
        <v>173</v>
      </c>
      <c r="J1943" s="80" t="s">
        <v>212</v>
      </c>
      <c r="K1943" s="80" t="s">
        <v>21</v>
      </c>
      <c r="L1943" s="30" t="s">
        <v>192</v>
      </c>
      <c r="M1943" s="68">
        <v>7</v>
      </c>
      <c r="N1943" s="181" t="str">
        <f t="shared" si="31"/>
        <v>да</v>
      </c>
      <c r="O1943" s="23">
        <v>45047</v>
      </c>
      <c r="P1943" s="23">
        <v>45086</v>
      </c>
      <c r="Q1943" s="106" t="s">
        <v>65</v>
      </c>
      <c r="R1943" s="37">
        <v>431</v>
      </c>
      <c r="S1943" s="37" t="s">
        <v>843</v>
      </c>
      <c r="T1943" s="37">
        <v>429</v>
      </c>
      <c r="U1943" s="39" t="s">
        <v>841</v>
      </c>
      <c r="V1943" s="89" t="s">
        <v>192</v>
      </c>
      <c r="W1943" s="89" t="s">
        <v>173</v>
      </c>
      <c r="X1943" s="106" t="s">
        <v>295</v>
      </c>
      <c r="Y1943" s="107" t="s">
        <v>12</v>
      </c>
      <c r="Z1943" s="67">
        <f>IF(База_КР_КК[[#This Row],[Таб.номер резервиста]]="-","-",IF(OR(База_КР_КК[[#This Row],[Уровень КК]]=2,База_КР_КК[[#This Row],[Уровень КК]]=3),IF(COUNTIFS($U$2:$U1943,$U1943,$F$2:$F1943,$F1943)=1,1,0),IF(COUNTIFS($U$2:$U1943,$U1943,$L$2:$L1943,$L1943)=1,1,0)))</f>
        <v>1</v>
      </c>
      <c r="AA19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3" s="106"/>
      <c r="AC1943" s="51"/>
      <c r="AD1943" s="106" t="s">
        <v>15</v>
      </c>
      <c r="AE1943" s="38" t="s">
        <v>343</v>
      </c>
    </row>
    <row r="1944" spans="1:31" ht="18" customHeight="1" x14ac:dyDescent="0.25">
      <c r="A19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4" s="79">
        <v>4</v>
      </c>
      <c r="C1944" s="23">
        <v>44890</v>
      </c>
      <c r="D1944" s="67">
        <f>IF(COUNTIF($G$2:$G1944,$G1944)=1,1,0)</f>
        <v>1</v>
      </c>
      <c r="E1944" s="67" t="str">
        <f>IFERROR(VLOOKUP(База_КР_КК[[#This Row],[ИД штатной должности (S)]],'уровень защищенности'!$B$7:$F$1095,5,0),"не защищена")</f>
        <v>средний</v>
      </c>
      <c r="F1944" s="68">
        <v>500268</v>
      </c>
      <c r="G1944" s="74" t="s">
        <v>2604</v>
      </c>
      <c r="H1944" s="181">
        <f>INDEX('Списки данных'!$D$2:$D$1048576,MATCH(База_КР_КК[[#This Row],[Структурное подразделение]],'Списки данных'!$C$2:$C$1048576,0))</f>
        <v>13</v>
      </c>
      <c r="I1944" s="80" t="s">
        <v>173</v>
      </c>
      <c r="J1944" s="80" t="s">
        <v>212</v>
      </c>
      <c r="K1944" s="80" t="s">
        <v>213</v>
      </c>
      <c r="L1944" s="30" t="s">
        <v>192</v>
      </c>
      <c r="M1944" s="68">
        <v>7</v>
      </c>
      <c r="N1944" s="181" t="str">
        <f t="shared" si="31"/>
        <v>нет</v>
      </c>
      <c r="O1944" s="23"/>
      <c r="P1944" s="23"/>
      <c r="Q1944" s="106"/>
      <c r="R1944" s="37">
        <v>432</v>
      </c>
      <c r="S1944" s="38" t="s">
        <v>844</v>
      </c>
      <c r="T1944" s="37">
        <v>1508</v>
      </c>
      <c r="U1944" s="39" t="s">
        <v>1872</v>
      </c>
      <c r="V1944" s="69" t="s">
        <v>272</v>
      </c>
      <c r="W1944" s="89" t="s">
        <v>173</v>
      </c>
      <c r="X1944" s="106" t="s">
        <v>297</v>
      </c>
      <c r="Y1944" s="107" t="s">
        <v>12</v>
      </c>
      <c r="Z1944" s="67">
        <f>IF(База_КР_КК[[#This Row],[Таб.номер резервиста]]="-","-",IF(OR(База_КР_КК[[#This Row],[Уровень КК]]=2,База_КР_КК[[#This Row],[Уровень КК]]=3),IF(COUNTIFS($U$2:$U1944,$U1944,$F$2:$F1944,$F1944)=1,1,0),IF(COUNTIFS($U$2:$U1944,$U1944,$L$2:$L1944,$L1944)=1,1,0)))</f>
        <v>0</v>
      </c>
      <c r="AA19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4" s="106"/>
      <c r="AC1944" s="51"/>
      <c r="AD1944" s="106" t="s">
        <v>15</v>
      </c>
      <c r="AE1944" s="38" t="s">
        <v>344</v>
      </c>
    </row>
    <row r="1945" spans="1:31" ht="18" customHeight="1" x14ac:dyDescent="0.25">
      <c r="A19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5" s="79">
        <v>4</v>
      </c>
      <c r="C1945" s="23">
        <v>44425</v>
      </c>
      <c r="D1945" s="67">
        <f>IF(COUNTIF($G$2:$G1945,$G1945)=1,1,0)</f>
        <v>0</v>
      </c>
      <c r="E1945" s="67" t="str">
        <f>IFERROR(VLOOKUP(База_КР_КК[[#This Row],[ИД штатной должности (S)]],'уровень защищенности'!$B$7:$F$1095,5,0),"не защищена")</f>
        <v>средний</v>
      </c>
      <c r="F1945" s="68">
        <v>500268</v>
      </c>
      <c r="G1945" s="74" t="s">
        <v>2604</v>
      </c>
      <c r="H1945" s="181">
        <f>INDEX('Списки данных'!$D$2:$D$1048576,MATCH(База_КР_КК[[#This Row],[Структурное подразделение]],'Списки данных'!$C$2:$C$1048576,0))</f>
        <v>13</v>
      </c>
      <c r="I1945" s="80" t="s">
        <v>173</v>
      </c>
      <c r="J1945" s="80" t="s">
        <v>212</v>
      </c>
      <c r="K1945" s="80" t="s">
        <v>213</v>
      </c>
      <c r="L1945" s="30" t="s">
        <v>192</v>
      </c>
      <c r="M1945" s="68">
        <v>7</v>
      </c>
      <c r="N1945" s="181" t="str">
        <f t="shared" si="31"/>
        <v>нет</v>
      </c>
      <c r="O1945" s="23"/>
      <c r="P1945" s="23"/>
      <c r="Q1945" s="106"/>
      <c r="R1945" s="37">
        <v>432</v>
      </c>
      <c r="S1945" s="38" t="s">
        <v>844</v>
      </c>
      <c r="T1945" s="37">
        <v>406</v>
      </c>
      <c r="U1945" s="39" t="s">
        <v>818</v>
      </c>
      <c r="V1945" s="69" t="s">
        <v>272</v>
      </c>
      <c r="W1945" s="89" t="s">
        <v>173</v>
      </c>
      <c r="X1945" s="106" t="s">
        <v>295</v>
      </c>
      <c r="Y1945" s="107" t="s">
        <v>18</v>
      </c>
      <c r="Z1945" s="67">
        <f>IF(База_КР_КК[[#This Row],[Таб.номер резервиста]]="-","-",IF(OR(База_КР_КК[[#This Row],[Уровень КК]]=2,База_КР_КК[[#This Row],[Уровень КК]]=3),IF(COUNTIFS($U$2:$U1945,$U1945,$F$2:$F1945,$F1945)=1,1,0),IF(COUNTIFS($U$2:$U1945,$U1945,$L$2:$L1945,$L1945)=1,1,0)))</f>
        <v>0</v>
      </c>
      <c r="AA19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5" s="106" t="s">
        <v>37</v>
      </c>
      <c r="AC1945" s="51">
        <v>44890</v>
      </c>
      <c r="AD1945" s="106" t="s">
        <v>31</v>
      </c>
      <c r="AE1945" s="38" t="s">
        <v>344</v>
      </c>
    </row>
    <row r="1946" spans="1:31" ht="18" customHeight="1" x14ac:dyDescent="0.25">
      <c r="A19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6" s="79">
        <v>3</v>
      </c>
      <c r="C1946" s="23">
        <v>43781</v>
      </c>
      <c r="D1946" s="67">
        <f>IF(COUNTIF($G$2:$G1946,$G1946)=1,1,0)</f>
        <v>1</v>
      </c>
      <c r="E1946" s="67" t="str">
        <f>IFERROR(VLOOKUP(База_КР_КК[[#This Row],[ИД штатной должности (S)]],'уровень защищенности'!$B$7:$F$1095,5,0),"не защищена")</f>
        <v>средний</v>
      </c>
      <c r="F1946" s="68">
        <v>500270</v>
      </c>
      <c r="G1946" s="74" t="s">
        <v>2605</v>
      </c>
      <c r="H1946" s="181">
        <f>INDEX('Списки данных'!$D$2:$D$1048576,MATCH(База_КР_КК[[#This Row],[Структурное подразделение]],'Списки данных'!$C$2:$C$1048576,0))</f>
        <v>13</v>
      </c>
      <c r="I1946" s="80" t="s">
        <v>173</v>
      </c>
      <c r="J1946" s="80" t="s">
        <v>212</v>
      </c>
      <c r="K1946" s="80" t="s">
        <v>21</v>
      </c>
      <c r="L1946" s="30" t="s">
        <v>186</v>
      </c>
      <c r="M1946" s="68">
        <v>5</v>
      </c>
      <c r="N1946" s="181" t="str">
        <f t="shared" si="31"/>
        <v>да</v>
      </c>
      <c r="O1946" s="23">
        <v>43529</v>
      </c>
      <c r="P1946" s="23">
        <v>43529</v>
      </c>
      <c r="Q1946" s="106" t="s">
        <v>66</v>
      </c>
      <c r="R1946" s="37">
        <v>433</v>
      </c>
      <c r="S1946" s="38" t="s">
        <v>845</v>
      </c>
      <c r="T1946" s="37">
        <v>439</v>
      </c>
      <c r="U1946" s="39" t="s">
        <v>851</v>
      </c>
      <c r="V1946" s="89" t="s">
        <v>192</v>
      </c>
      <c r="W1946" s="89" t="s">
        <v>173</v>
      </c>
      <c r="X1946" s="106" t="s">
        <v>296</v>
      </c>
      <c r="Y1946" s="107" t="s">
        <v>12</v>
      </c>
      <c r="Z1946" s="67">
        <f>IF(База_КР_КК[[#This Row],[Таб.номер резервиста]]="-","-",IF(OR(База_КР_КК[[#This Row],[Уровень КК]]=2,База_КР_КК[[#This Row],[Уровень КК]]=3),IF(COUNTIFS($U$2:$U1946,$U1946,$F$2:$F1946,$F1946)=1,1,0),IF(COUNTIFS($U$2:$U1946,$U1946,$L$2:$L1946,$L1946)=1,1,0)))</f>
        <v>1</v>
      </c>
      <c r="AA19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6" s="106"/>
      <c r="AC1946" s="51"/>
      <c r="AD1946" s="106" t="s">
        <v>13</v>
      </c>
      <c r="AE1946" s="38" t="s">
        <v>345</v>
      </c>
    </row>
    <row r="1947" spans="1:31" ht="18" customHeight="1" x14ac:dyDescent="0.25">
      <c r="A19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7" s="79">
        <v>3</v>
      </c>
      <c r="C1947" s="23">
        <v>43781</v>
      </c>
      <c r="D1947" s="67">
        <f>IF(COUNTIF($G$2:$G1947,$G1947)=1,1,0)</f>
        <v>0</v>
      </c>
      <c r="E1947" s="67" t="str">
        <f>IFERROR(VLOOKUP(База_КР_КК[[#This Row],[ИД штатной должности (S)]],'уровень защищенности'!$B$7:$F$1095,5,0),"не защищена")</f>
        <v>средний</v>
      </c>
      <c r="F1947" s="68">
        <v>500270</v>
      </c>
      <c r="G1947" s="74" t="s">
        <v>2605</v>
      </c>
      <c r="H1947" s="181">
        <f>INDEX('Списки данных'!$D$2:$D$1048576,MATCH(База_КР_КК[[#This Row],[Структурное подразделение]],'Списки данных'!$C$2:$C$1048576,0))</f>
        <v>13</v>
      </c>
      <c r="I1947" s="80" t="s">
        <v>173</v>
      </c>
      <c r="J1947" s="80" t="s">
        <v>212</v>
      </c>
      <c r="K1947" s="80" t="s">
        <v>21</v>
      </c>
      <c r="L1947" s="30" t="s">
        <v>186</v>
      </c>
      <c r="M1947" s="68">
        <v>5</v>
      </c>
      <c r="N1947" s="181" t="str">
        <f t="shared" si="31"/>
        <v>да</v>
      </c>
      <c r="O1947" s="23">
        <v>43529</v>
      </c>
      <c r="P1947" s="23">
        <v>43529</v>
      </c>
      <c r="Q1947" s="106" t="s">
        <v>66</v>
      </c>
      <c r="R1947" s="37">
        <v>433</v>
      </c>
      <c r="S1947" s="38" t="s">
        <v>845</v>
      </c>
      <c r="T1947" s="37">
        <v>445</v>
      </c>
      <c r="U1947" s="39" t="s">
        <v>857</v>
      </c>
      <c r="V1947" s="89" t="s">
        <v>192</v>
      </c>
      <c r="W1947" s="89" t="s">
        <v>173</v>
      </c>
      <c r="X1947" s="106" t="s">
        <v>297</v>
      </c>
      <c r="Y1947" s="107" t="s">
        <v>12</v>
      </c>
      <c r="Z1947" s="67">
        <f>IF(База_КР_КК[[#This Row],[Таб.номер резервиста]]="-","-",IF(OR(База_КР_КК[[#This Row],[Уровень КК]]=2,База_КР_КК[[#This Row],[Уровень КК]]=3),IF(COUNTIFS($U$2:$U1947,$U1947,$F$2:$F1947,$F1947)=1,1,0),IF(COUNTIFS($U$2:$U1947,$U1947,$L$2:$L1947,$L1947)=1,1,0)))</f>
        <v>1</v>
      </c>
      <c r="AA19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7" s="106"/>
      <c r="AC1947" s="51"/>
      <c r="AD1947" s="106" t="s">
        <v>17</v>
      </c>
      <c r="AE1947" s="38" t="s">
        <v>345</v>
      </c>
    </row>
    <row r="1948" spans="1:31" ht="18" customHeight="1" x14ac:dyDescent="0.25">
      <c r="A19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8" s="79">
        <v>3</v>
      </c>
      <c r="C1948" s="23">
        <v>44707</v>
      </c>
      <c r="D1948" s="67">
        <f>IF(COUNTIF($G$2:$G1948,$G1948)=1,1,0)</f>
        <v>0</v>
      </c>
      <c r="E1948" s="67" t="str">
        <f>IFERROR(VLOOKUP(База_КР_КК[[#This Row],[ИД штатной должности (S)]],'уровень защищенности'!$B$7:$F$1095,5,0),"не защищена")</f>
        <v>средний</v>
      </c>
      <c r="F1948" s="68">
        <v>500270</v>
      </c>
      <c r="G1948" s="74" t="s">
        <v>2605</v>
      </c>
      <c r="H1948" s="181">
        <f>INDEX('Списки данных'!$D$2:$D$1048576,MATCH(База_КР_КК[[#This Row],[Структурное подразделение]],'Списки данных'!$C$2:$C$1048576,0))</f>
        <v>13</v>
      </c>
      <c r="I1948" s="80" t="s">
        <v>173</v>
      </c>
      <c r="J1948" s="80" t="s">
        <v>212</v>
      </c>
      <c r="K1948" s="80" t="s">
        <v>21</v>
      </c>
      <c r="L1948" s="30" t="s">
        <v>186</v>
      </c>
      <c r="M1948" s="68">
        <v>5</v>
      </c>
      <c r="N1948" s="181" t="str">
        <f t="shared" si="31"/>
        <v>да</v>
      </c>
      <c r="O1948" s="23">
        <v>43529</v>
      </c>
      <c r="P1948" s="23">
        <v>43529</v>
      </c>
      <c r="Q1948" s="106" t="s">
        <v>66</v>
      </c>
      <c r="R1948" s="37">
        <v>433</v>
      </c>
      <c r="S1948" s="38" t="s">
        <v>845</v>
      </c>
      <c r="T1948" s="37">
        <v>436</v>
      </c>
      <c r="U1948" s="39" t="s">
        <v>848</v>
      </c>
      <c r="V1948" s="89" t="s">
        <v>192</v>
      </c>
      <c r="W1948" s="89" t="s">
        <v>173</v>
      </c>
      <c r="X1948" s="106" t="s">
        <v>296</v>
      </c>
      <c r="Y1948" s="107" t="s">
        <v>12</v>
      </c>
      <c r="Z1948" s="67">
        <f>IF(База_КР_КК[[#This Row],[Таб.номер резервиста]]="-","-",IF(OR(База_КР_КК[[#This Row],[Уровень КК]]=2,База_КР_КК[[#This Row],[Уровень КК]]=3),IF(COUNTIFS($U$2:$U1948,$U1948,$F$2:$F1948,$F1948)=1,1,0),IF(COUNTIFS($U$2:$U1948,$U1948,$L$2:$L1948,$L1948)=1,1,0)))</f>
        <v>1</v>
      </c>
      <c r="AA19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48" s="106"/>
      <c r="AC1948" s="51"/>
      <c r="AD1948" s="106" t="s">
        <v>15</v>
      </c>
      <c r="AE1948" s="38" t="s">
        <v>345</v>
      </c>
    </row>
    <row r="1949" spans="1:31" ht="18" customHeight="1" x14ac:dyDescent="0.25">
      <c r="A19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49" s="79">
        <v>3</v>
      </c>
      <c r="C1949" s="23">
        <v>43425</v>
      </c>
      <c r="D1949" s="67">
        <f>IF(COUNTIF($G$2:$G1949,$G1949)=1,1,0)</f>
        <v>0</v>
      </c>
      <c r="E1949" s="67" t="str">
        <f>IFERROR(VLOOKUP(База_КР_КК[[#This Row],[ИД штатной должности (S)]],'уровень защищенности'!$B$7:$F$1095,5,0),"не защищена")</f>
        <v>средний</v>
      </c>
      <c r="F1949" s="68">
        <v>500270</v>
      </c>
      <c r="G1949" s="74" t="s">
        <v>2605</v>
      </c>
      <c r="H1949" s="181">
        <f>INDEX('Списки данных'!$D$2:$D$1048576,MATCH(База_КР_КК[[#This Row],[Структурное подразделение]],'Списки данных'!$C$2:$C$1048576,0))</f>
        <v>13</v>
      </c>
      <c r="I1949" s="80" t="s">
        <v>173</v>
      </c>
      <c r="J1949" s="80" t="s">
        <v>212</v>
      </c>
      <c r="K1949" s="80" t="s">
        <v>21</v>
      </c>
      <c r="L1949" s="30" t="s">
        <v>186</v>
      </c>
      <c r="M1949" s="68">
        <v>5</v>
      </c>
      <c r="N1949" s="181" t="str">
        <f t="shared" si="31"/>
        <v>да</v>
      </c>
      <c r="O1949" s="23">
        <v>43529</v>
      </c>
      <c r="P1949" s="23">
        <v>43529</v>
      </c>
      <c r="Q1949" s="106" t="s">
        <v>66</v>
      </c>
      <c r="R1949" s="37">
        <v>433</v>
      </c>
      <c r="S1949" s="38" t="s">
        <v>845</v>
      </c>
      <c r="T1949" s="37">
        <v>433</v>
      </c>
      <c r="U1949" s="39" t="s">
        <v>845</v>
      </c>
      <c r="V1949" s="89" t="s">
        <v>192</v>
      </c>
      <c r="W1949" s="89" t="s">
        <v>173</v>
      </c>
      <c r="X1949" s="106" t="s">
        <v>297</v>
      </c>
      <c r="Y1949" s="107" t="s">
        <v>14</v>
      </c>
      <c r="Z1949" s="67">
        <f>IF(База_КР_КК[[#This Row],[Таб.номер резервиста]]="-","-",IF(OR(База_КР_КК[[#This Row],[Уровень КК]]=2,База_КР_КК[[#This Row],[Уровень КК]]=3),IF(COUNTIFS($U$2:$U1949,$U1949,$F$2:$F1949,$F1949)=1,1,0),IF(COUNTIFS($U$2:$U1949,$U1949,$L$2:$L1949,$L1949)=1,1,0)))</f>
        <v>1</v>
      </c>
      <c r="AA19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1949" s="106" t="s">
        <v>24</v>
      </c>
      <c r="AC1949" s="51">
        <v>43529</v>
      </c>
      <c r="AD1949" s="106" t="s">
        <v>15</v>
      </c>
      <c r="AE1949" s="41" t="s">
        <v>349</v>
      </c>
    </row>
    <row r="1950" spans="1:31" ht="18" customHeight="1" x14ac:dyDescent="0.25">
      <c r="A19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0" s="79">
        <v>4</v>
      </c>
      <c r="C1950" s="23">
        <v>44425</v>
      </c>
      <c r="D1950" s="67">
        <f>IF(COUNTIF($G$2:$G1950,$G1950)=1,1,0)</f>
        <v>1</v>
      </c>
      <c r="E1950" s="67" t="str">
        <f>IFERROR(VLOOKUP(База_КР_КК[[#This Row],[ИД штатной должности (S)]],'уровень защищенности'!$B$7:$F$1095,5,0),"не защищена")</f>
        <v>высокий</v>
      </c>
      <c r="F1950" s="68">
        <v>500271</v>
      </c>
      <c r="G1950" s="74" t="s">
        <v>2606</v>
      </c>
      <c r="H1950" s="181">
        <f>INDEX('Списки данных'!$D$2:$D$1048576,MATCH(База_КР_КК[[#This Row],[Структурное подразделение]],'Списки данных'!$C$2:$C$1048576,0))</f>
        <v>13</v>
      </c>
      <c r="I1950" s="80" t="s">
        <v>173</v>
      </c>
      <c r="J1950" s="80" t="s">
        <v>212</v>
      </c>
      <c r="K1950" s="80" t="s">
        <v>213</v>
      </c>
      <c r="L1950" s="30" t="s">
        <v>192</v>
      </c>
      <c r="M1950" s="68">
        <v>7</v>
      </c>
      <c r="N1950" s="181" t="str">
        <f t="shared" si="31"/>
        <v>нет</v>
      </c>
      <c r="O1950" s="23"/>
      <c r="P1950" s="23"/>
      <c r="Q1950" s="106"/>
      <c r="R1950" s="37">
        <v>434</v>
      </c>
      <c r="S1950" s="38" t="s">
        <v>846</v>
      </c>
      <c r="T1950" s="37">
        <v>1527</v>
      </c>
      <c r="U1950" s="39" t="s">
        <v>1884</v>
      </c>
      <c r="V1950" s="69" t="s">
        <v>272</v>
      </c>
      <c r="W1950" s="89" t="s">
        <v>173</v>
      </c>
      <c r="X1950" s="106" t="s">
        <v>295</v>
      </c>
      <c r="Y1950" s="107" t="s">
        <v>12</v>
      </c>
      <c r="Z1950" s="67">
        <f>IF(База_КР_КК[[#This Row],[Таб.номер резервиста]]="-","-",IF(OR(База_КР_КК[[#This Row],[Уровень КК]]=2,База_КР_КК[[#This Row],[Уровень КК]]=3),IF(COUNTIFS($U$2:$U1950,$U1950,$F$2:$F1950,$F1950)=1,1,0),IF(COUNTIFS($U$2:$U1950,$U1950,$L$2:$L1950,$L1950)=1,1,0)))</f>
        <v>1</v>
      </c>
      <c r="AA19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0" s="106"/>
      <c r="AC1950" s="51"/>
      <c r="AD1950" s="106" t="s">
        <v>15</v>
      </c>
      <c r="AE1950" s="38" t="s">
        <v>343</v>
      </c>
    </row>
    <row r="1951" spans="1:31" ht="18" customHeight="1" x14ac:dyDescent="0.25">
      <c r="A19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1" s="79">
        <v>4</v>
      </c>
      <c r="C1951" s="23">
        <v>44425</v>
      </c>
      <c r="D1951" s="67">
        <f>IF(COUNTIF($G$2:$G1951,$G1951)=1,1,0)</f>
        <v>0</v>
      </c>
      <c r="E1951" s="67" t="str">
        <f>IFERROR(VLOOKUP(База_КР_КК[[#This Row],[ИД штатной должности (S)]],'уровень защищенности'!$B$7:$F$1095,5,0),"не защищена")</f>
        <v>высокий</v>
      </c>
      <c r="F1951" s="68">
        <v>500271</v>
      </c>
      <c r="G1951" s="74" t="s">
        <v>2606</v>
      </c>
      <c r="H1951" s="181">
        <f>INDEX('Списки данных'!$D$2:$D$1048576,MATCH(База_КР_КК[[#This Row],[Структурное подразделение]],'Списки данных'!$C$2:$C$1048576,0))</f>
        <v>13</v>
      </c>
      <c r="I1951" s="80" t="s">
        <v>173</v>
      </c>
      <c r="J1951" s="80" t="s">
        <v>212</v>
      </c>
      <c r="K1951" s="80" t="s">
        <v>213</v>
      </c>
      <c r="L1951" s="30" t="s">
        <v>192</v>
      </c>
      <c r="M1951" s="68">
        <v>7</v>
      </c>
      <c r="N1951" s="181" t="str">
        <f t="shared" si="31"/>
        <v>нет</v>
      </c>
      <c r="O1951" s="23"/>
      <c r="P1951" s="23"/>
      <c r="Q1951" s="106"/>
      <c r="R1951" s="37">
        <v>434</v>
      </c>
      <c r="S1951" s="38" t="s">
        <v>846</v>
      </c>
      <c r="T1951" s="37">
        <v>1528</v>
      </c>
      <c r="U1951" s="39" t="s">
        <v>1885</v>
      </c>
      <c r="V1951" s="69" t="s">
        <v>272</v>
      </c>
      <c r="W1951" s="89" t="s">
        <v>173</v>
      </c>
      <c r="X1951" s="106" t="s">
        <v>296</v>
      </c>
      <c r="Y1951" s="107" t="s">
        <v>12</v>
      </c>
      <c r="Z1951" s="67">
        <f>IF(База_КР_КК[[#This Row],[Таб.номер резервиста]]="-","-",IF(OR(База_КР_КК[[#This Row],[Уровень КК]]=2,База_КР_КК[[#This Row],[Уровень КК]]=3),IF(COUNTIFS($U$2:$U1951,$U1951,$F$2:$F1951,$F1951)=1,1,0),IF(COUNTIFS($U$2:$U1951,$U1951,$L$2:$L1951,$L1951)=1,1,0)))</f>
        <v>1</v>
      </c>
      <c r="AA19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1" s="106"/>
      <c r="AC1951" s="51"/>
      <c r="AD1951" s="106" t="s">
        <v>15</v>
      </c>
      <c r="AE1951" s="38" t="s">
        <v>343</v>
      </c>
    </row>
    <row r="1952" spans="1:31" ht="18" customHeight="1" x14ac:dyDescent="0.25">
      <c r="A19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2" s="79">
        <v>4</v>
      </c>
      <c r="C1952" s="23">
        <v>44425</v>
      </c>
      <c r="D1952" s="67">
        <f>IF(COUNTIF($G$2:$G1952,$G1952)=1,1,0)</f>
        <v>0</v>
      </c>
      <c r="E1952" s="67" t="str">
        <f>IFERROR(VLOOKUP(База_КР_КК[[#This Row],[ИД штатной должности (S)]],'уровень защищенности'!$B$7:$F$1095,5,0),"не защищена")</f>
        <v>высокий</v>
      </c>
      <c r="F1952" s="68">
        <v>500271</v>
      </c>
      <c r="G1952" s="74" t="s">
        <v>2606</v>
      </c>
      <c r="H1952" s="181">
        <f>INDEX('Списки данных'!$D$2:$D$1048576,MATCH(База_КР_КК[[#This Row],[Структурное подразделение]],'Списки данных'!$C$2:$C$1048576,0))</f>
        <v>13</v>
      </c>
      <c r="I1952" s="80" t="s">
        <v>173</v>
      </c>
      <c r="J1952" s="80" t="s">
        <v>212</v>
      </c>
      <c r="K1952" s="80" t="s">
        <v>213</v>
      </c>
      <c r="L1952" s="30" t="s">
        <v>192</v>
      </c>
      <c r="M1952" s="68">
        <v>7</v>
      </c>
      <c r="N1952" s="181" t="str">
        <f t="shared" si="31"/>
        <v>нет</v>
      </c>
      <c r="O1952" s="23"/>
      <c r="P1952" s="23"/>
      <c r="Q1952" s="106"/>
      <c r="R1952" s="37">
        <v>434</v>
      </c>
      <c r="S1952" s="38" t="s">
        <v>846</v>
      </c>
      <c r="T1952" s="37">
        <v>1529</v>
      </c>
      <c r="U1952" s="39" t="s">
        <v>1886</v>
      </c>
      <c r="V1952" s="69" t="s">
        <v>272</v>
      </c>
      <c r="W1952" s="89" t="s">
        <v>173</v>
      </c>
      <c r="X1952" s="106" t="s">
        <v>297</v>
      </c>
      <c r="Y1952" s="107" t="s">
        <v>12</v>
      </c>
      <c r="Z1952" s="67">
        <f>IF(База_КР_КК[[#This Row],[Таб.номер резервиста]]="-","-",IF(OR(База_КР_КК[[#This Row],[Уровень КК]]=2,База_КР_КК[[#This Row],[Уровень КК]]=3),IF(COUNTIFS($U$2:$U1952,$U1952,$F$2:$F1952,$F1952)=1,1,0),IF(COUNTIFS($U$2:$U1952,$U1952,$L$2:$L1952,$L1952)=1,1,0)))</f>
        <v>1</v>
      </c>
      <c r="AA19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2" s="106"/>
      <c r="AC1952" s="51"/>
      <c r="AD1952" s="106" t="s">
        <v>15</v>
      </c>
      <c r="AE1952" s="38" t="s">
        <v>343</v>
      </c>
    </row>
    <row r="1953" spans="1:31" ht="18" customHeight="1" x14ac:dyDescent="0.25">
      <c r="A19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3" s="79">
        <v>4</v>
      </c>
      <c r="C1953" s="23">
        <v>44425</v>
      </c>
      <c r="D1953" s="67">
        <f>IF(COUNTIF($G$2:$G1953,$G1953)=1,1,0)</f>
        <v>0</v>
      </c>
      <c r="E1953" s="67" t="str">
        <f>IFERROR(VLOOKUP(База_КР_КК[[#This Row],[ИД штатной должности (S)]],'уровень защищенности'!$B$7:$F$1095,5,0),"не защищена")</f>
        <v>высокий</v>
      </c>
      <c r="F1953" s="68">
        <v>500271</v>
      </c>
      <c r="G1953" s="74" t="s">
        <v>2606</v>
      </c>
      <c r="H1953" s="181">
        <f>INDEX('Списки данных'!$D$2:$D$1048576,MATCH(База_КР_КК[[#This Row],[Структурное подразделение]],'Списки данных'!$C$2:$C$1048576,0))</f>
        <v>13</v>
      </c>
      <c r="I1953" s="80" t="s">
        <v>173</v>
      </c>
      <c r="J1953" s="80" t="s">
        <v>212</v>
      </c>
      <c r="K1953" s="80" t="s">
        <v>213</v>
      </c>
      <c r="L1953" s="30" t="s">
        <v>192</v>
      </c>
      <c r="M1953" s="68">
        <v>7</v>
      </c>
      <c r="N1953" s="181" t="str">
        <f t="shared" si="31"/>
        <v>нет</v>
      </c>
      <c r="O1953" s="23"/>
      <c r="P1953" s="23"/>
      <c r="Q1953" s="106"/>
      <c r="R1953" s="37">
        <v>434</v>
      </c>
      <c r="S1953" s="38" t="s">
        <v>846</v>
      </c>
      <c r="T1953" s="37">
        <v>1530</v>
      </c>
      <c r="U1953" s="39" t="s">
        <v>1887</v>
      </c>
      <c r="V1953" s="69" t="s">
        <v>272</v>
      </c>
      <c r="W1953" s="89" t="s">
        <v>173</v>
      </c>
      <c r="X1953" s="106" t="s">
        <v>296</v>
      </c>
      <c r="Y1953" s="107" t="s">
        <v>12</v>
      </c>
      <c r="Z1953" s="67">
        <f>IF(База_КР_КК[[#This Row],[Таб.номер резервиста]]="-","-",IF(OR(База_КР_КК[[#This Row],[Уровень КК]]=2,База_КР_КК[[#This Row],[Уровень КК]]=3),IF(COUNTIFS($U$2:$U1953,$U1953,$F$2:$F1953,$F1953)=1,1,0),IF(COUNTIFS($U$2:$U1953,$U1953,$L$2:$L1953,$L1953)=1,1,0)))</f>
        <v>1</v>
      </c>
      <c r="AA19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3" s="106"/>
      <c r="AC1953" s="51"/>
      <c r="AD1953" s="106" t="s">
        <v>15</v>
      </c>
      <c r="AE1953" s="38" t="s">
        <v>343</v>
      </c>
    </row>
    <row r="1954" spans="1:31" ht="18" customHeight="1" x14ac:dyDescent="0.25">
      <c r="A19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4" s="79">
        <v>4</v>
      </c>
      <c r="C1954" s="23">
        <v>44425</v>
      </c>
      <c r="D1954" s="67">
        <f>IF(COUNTIF($G$2:$G1954,$G1954)=1,1,0)</f>
        <v>0</v>
      </c>
      <c r="E1954" s="67" t="str">
        <f>IFERROR(VLOOKUP(База_КР_КК[[#This Row],[ИД штатной должности (S)]],'уровень защищенности'!$B$7:$F$1095,5,0),"не защищена")</f>
        <v>высокий</v>
      </c>
      <c r="F1954" s="68">
        <v>500271</v>
      </c>
      <c r="G1954" s="74" t="s">
        <v>2606</v>
      </c>
      <c r="H1954" s="181">
        <f>INDEX('Списки данных'!$D$2:$D$1048576,MATCH(База_КР_КК[[#This Row],[Структурное подразделение]],'Списки данных'!$C$2:$C$1048576,0))</f>
        <v>13</v>
      </c>
      <c r="I1954" s="80" t="s">
        <v>173</v>
      </c>
      <c r="J1954" s="80" t="s">
        <v>212</v>
      </c>
      <c r="K1954" s="80" t="s">
        <v>213</v>
      </c>
      <c r="L1954" s="30" t="s">
        <v>192</v>
      </c>
      <c r="M1954" s="68">
        <v>7</v>
      </c>
      <c r="N1954" s="181" t="str">
        <f t="shared" si="31"/>
        <v>нет</v>
      </c>
      <c r="O1954" s="23"/>
      <c r="P1954" s="23"/>
      <c r="Q1954" s="106"/>
      <c r="R1954" s="37">
        <v>434</v>
      </c>
      <c r="S1954" s="38" t="s">
        <v>846</v>
      </c>
      <c r="T1954" s="37">
        <v>1531</v>
      </c>
      <c r="U1954" s="39" t="s">
        <v>1575</v>
      </c>
      <c r="V1954" s="69" t="s">
        <v>272</v>
      </c>
      <c r="W1954" s="89" t="s">
        <v>173</v>
      </c>
      <c r="X1954" s="106" t="s">
        <v>297</v>
      </c>
      <c r="Y1954" s="107" t="s">
        <v>12</v>
      </c>
      <c r="Z1954" s="67">
        <f>IF(База_КР_КК[[#This Row],[Таб.номер резервиста]]="-","-",IF(OR(База_КР_КК[[#This Row],[Уровень КК]]=2,База_КР_КК[[#This Row],[Уровень КК]]=3),IF(COUNTIFS($U$2:$U1954,$U1954,$F$2:$F1954,$F1954)=1,1,0),IF(COUNTIFS($U$2:$U1954,$U1954,$L$2:$L1954,$L1954)=1,1,0)))</f>
        <v>0</v>
      </c>
      <c r="AA19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4" s="106"/>
      <c r="AC1954" s="51"/>
      <c r="AD1954" s="106" t="s">
        <v>15</v>
      </c>
      <c r="AE1954" s="38" t="s">
        <v>343</v>
      </c>
    </row>
    <row r="1955" spans="1:31" ht="18" customHeight="1" x14ac:dyDescent="0.25">
      <c r="A19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5" s="79">
        <v>4</v>
      </c>
      <c r="C1955" s="23">
        <v>44890</v>
      </c>
      <c r="D1955" s="67">
        <f>IF(COUNTIF($G$2:$G1955,$G1955)=1,1,0)</f>
        <v>0</v>
      </c>
      <c r="E1955" s="67" t="str">
        <f>IFERROR(VLOOKUP(База_КР_КК[[#This Row],[ИД штатной должности (S)]],'уровень защищенности'!$B$7:$F$1095,5,0),"не защищена")</f>
        <v>высокий</v>
      </c>
      <c r="F1955" s="68">
        <v>500271</v>
      </c>
      <c r="G1955" s="74" t="s">
        <v>2606</v>
      </c>
      <c r="H1955" s="181">
        <f>INDEX('Списки данных'!$D$2:$D$1048576,MATCH(База_КР_КК[[#This Row],[Структурное подразделение]],'Списки данных'!$C$2:$C$1048576,0))</f>
        <v>13</v>
      </c>
      <c r="I1955" s="80" t="s">
        <v>173</v>
      </c>
      <c r="J1955" s="80" t="s">
        <v>212</v>
      </c>
      <c r="K1955" s="80" t="s">
        <v>213</v>
      </c>
      <c r="L1955" s="30" t="s">
        <v>192</v>
      </c>
      <c r="M1955" s="68">
        <v>7</v>
      </c>
      <c r="N1955" s="181" t="str">
        <f t="shared" si="31"/>
        <v>нет</v>
      </c>
      <c r="O1955" s="23"/>
      <c r="P1955" s="23"/>
      <c r="Q1955" s="106"/>
      <c r="R1955" s="37">
        <v>434</v>
      </c>
      <c r="S1955" s="38" t="s">
        <v>846</v>
      </c>
      <c r="T1955" s="37">
        <v>1532</v>
      </c>
      <c r="U1955" s="39" t="s">
        <v>1888</v>
      </c>
      <c r="V1955" s="69" t="s">
        <v>272</v>
      </c>
      <c r="W1955" s="89" t="s">
        <v>173</v>
      </c>
      <c r="X1955" s="106" t="s">
        <v>296</v>
      </c>
      <c r="Y1955" s="107" t="s">
        <v>12</v>
      </c>
      <c r="Z1955" s="67">
        <f>IF(База_КР_КК[[#This Row],[Таб.номер резервиста]]="-","-",IF(OR(База_КР_КК[[#This Row],[Уровень КК]]=2,База_КР_КК[[#This Row],[Уровень КК]]=3),IF(COUNTIFS($U$2:$U1955,$U1955,$F$2:$F1955,$F1955)=1,1,0),IF(COUNTIFS($U$2:$U1955,$U1955,$L$2:$L1955,$L1955)=1,1,0)))</f>
        <v>1</v>
      </c>
      <c r="AA19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5" s="106"/>
      <c r="AC1955" s="51"/>
      <c r="AD1955" s="106" t="s">
        <v>15</v>
      </c>
      <c r="AE1955" s="38" t="s">
        <v>344</v>
      </c>
    </row>
    <row r="1956" spans="1:31" ht="18" customHeight="1" x14ac:dyDescent="0.25">
      <c r="A19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6" s="79">
        <v>4</v>
      </c>
      <c r="C1956" s="23">
        <v>44890</v>
      </c>
      <c r="D1956" s="67">
        <f>IF(COUNTIF($G$2:$G1956,$G1956)=1,1,0)</f>
        <v>0</v>
      </c>
      <c r="E1956" s="67" t="str">
        <f>IFERROR(VLOOKUP(База_КР_КК[[#This Row],[ИД штатной должности (S)]],'уровень защищенности'!$B$7:$F$1095,5,0),"не защищена")</f>
        <v>высокий</v>
      </c>
      <c r="F1956" s="68">
        <v>500271</v>
      </c>
      <c r="G1956" s="74" t="s">
        <v>2606</v>
      </c>
      <c r="H1956" s="181">
        <f>INDEX('Списки данных'!$D$2:$D$1048576,MATCH(База_КР_КК[[#This Row],[Структурное подразделение]],'Списки данных'!$C$2:$C$1048576,0))</f>
        <v>13</v>
      </c>
      <c r="I1956" s="80" t="s">
        <v>173</v>
      </c>
      <c r="J1956" s="80" t="s">
        <v>212</v>
      </c>
      <c r="K1956" s="80" t="s">
        <v>213</v>
      </c>
      <c r="L1956" s="30" t="s">
        <v>192</v>
      </c>
      <c r="M1956" s="68">
        <v>7</v>
      </c>
      <c r="N1956" s="181" t="str">
        <f t="shared" si="31"/>
        <v>нет</v>
      </c>
      <c r="O1956" s="23"/>
      <c r="P1956" s="23"/>
      <c r="Q1956" s="106"/>
      <c r="R1956" s="37">
        <v>434</v>
      </c>
      <c r="S1956" s="38" t="s">
        <v>846</v>
      </c>
      <c r="T1956" s="37">
        <v>1533</v>
      </c>
      <c r="U1956" s="39" t="s">
        <v>1889</v>
      </c>
      <c r="V1956" s="69" t="s">
        <v>272</v>
      </c>
      <c r="W1956" s="89" t="s">
        <v>173</v>
      </c>
      <c r="X1956" s="106" t="s">
        <v>296</v>
      </c>
      <c r="Y1956" s="107" t="s">
        <v>12</v>
      </c>
      <c r="Z1956" s="67">
        <f>IF(База_КР_КК[[#This Row],[Таб.номер резервиста]]="-","-",IF(OR(База_КР_КК[[#This Row],[Уровень КК]]=2,База_КР_КК[[#This Row],[Уровень КК]]=3),IF(COUNTIFS($U$2:$U1956,$U1956,$F$2:$F1956,$F1956)=1,1,0),IF(COUNTIFS($U$2:$U1956,$U1956,$L$2:$L1956,$L1956)=1,1,0)))</f>
        <v>1</v>
      </c>
      <c r="AA19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6" s="106"/>
      <c r="AC1956" s="51"/>
      <c r="AD1956" s="106" t="s">
        <v>15</v>
      </c>
      <c r="AE1956" s="38" t="s">
        <v>344</v>
      </c>
    </row>
    <row r="1957" spans="1:31" ht="18" customHeight="1" x14ac:dyDescent="0.25">
      <c r="A19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7" s="79">
        <v>4</v>
      </c>
      <c r="C1957" s="23">
        <v>44890</v>
      </c>
      <c r="D1957" s="67">
        <f>IF(COUNTIF($G$2:$G1957,$G1957)=1,1,0)</f>
        <v>0</v>
      </c>
      <c r="E1957" s="67" t="str">
        <f>IFERROR(VLOOKUP(База_КР_КК[[#This Row],[ИД штатной должности (S)]],'уровень защищенности'!$B$7:$F$1095,5,0),"не защищена")</f>
        <v>высокий</v>
      </c>
      <c r="F1957" s="68">
        <v>500271</v>
      </c>
      <c r="G1957" s="74" t="s">
        <v>2606</v>
      </c>
      <c r="H1957" s="181">
        <f>INDEX('Списки данных'!$D$2:$D$1048576,MATCH(База_КР_КК[[#This Row],[Структурное подразделение]],'Списки данных'!$C$2:$C$1048576,0))</f>
        <v>13</v>
      </c>
      <c r="I1957" s="80" t="s">
        <v>173</v>
      </c>
      <c r="J1957" s="80" t="s">
        <v>212</v>
      </c>
      <c r="K1957" s="80" t="s">
        <v>213</v>
      </c>
      <c r="L1957" s="30" t="s">
        <v>192</v>
      </c>
      <c r="M1957" s="68">
        <v>7</v>
      </c>
      <c r="N1957" s="181" t="str">
        <f t="shared" si="31"/>
        <v>нет</v>
      </c>
      <c r="O1957" s="23"/>
      <c r="P1957" s="23"/>
      <c r="Q1957" s="106"/>
      <c r="R1957" s="37">
        <v>434</v>
      </c>
      <c r="S1957" s="38" t="s">
        <v>846</v>
      </c>
      <c r="T1957" s="37">
        <v>1534</v>
      </c>
      <c r="U1957" s="39" t="s">
        <v>1890</v>
      </c>
      <c r="V1957" s="69" t="s">
        <v>272</v>
      </c>
      <c r="W1957" s="89" t="s">
        <v>173</v>
      </c>
      <c r="X1957" s="106" t="s">
        <v>296</v>
      </c>
      <c r="Y1957" s="107" t="s">
        <v>12</v>
      </c>
      <c r="Z1957" s="67">
        <f>IF(База_КР_КК[[#This Row],[Таб.номер резервиста]]="-","-",IF(OR(База_КР_КК[[#This Row],[Уровень КК]]=2,База_КР_КК[[#This Row],[Уровень КК]]=3),IF(COUNTIFS($U$2:$U1957,$U1957,$F$2:$F1957,$F1957)=1,1,0),IF(COUNTIFS($U$2:$U1957,$U1957,$L$2:$L1957,$L1957)=1,1,0)))</f>
        <v>1</v>
      </c>
      <c r="AA19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7" s="106"/>
      <c r="AC1957" s="51"/>
      <c r="AD1957" s="106" t="s">
        <v>15</v>
      </c>
      <c r="AE1957" s="38" t="s">
        <v>344</v>
      </c>
    </row>
    <row r="1958" spans="1:31" ht="18" customHeight="1" x14ac:dyDescent="0.25">
      <c r="A19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8" s="79">
        <v>4</v>
      </c>
      <c r="C1958" s="23">
        <v>44890</v>
      </c>
      <c r="D1958" s="67">
        <f>IF(COUNTIF($G$2:$G1958,$G1958)=1,1,0)</f>
        <v>0</v>
      </c>
      <c r="E1958" s="67" t="str">
        <f>IFERROR(VLOOKUP(База_КР_КК[[#This Row],[ИД штатной должности (S)]],'уровень защищенности'!$B$7:$F$1095,5,0),"не защищена")</f>
        <v>высокий</v>
      </c>
      <c r="F1958" s="68">
        <v>500271</v>
      </c>
      <c r="G1958" s="74" t="s">
        <v>2606</v>
      </c>
      <c r="H1958" s="181">
        <f>INDEX('Списки данных'!$D$2:$D$1048576,MATCH(База_КР_КК[[#This Row],[Структурное подразделение]],'Списки данных'!$C$2:$C$1048576,0))</f>
        <v>13</v>
      </c>
      <c r="I1958" s="80" t="s">
        <v>173</v>
      </c>
      <c r="J1958" s="80" t="s">
        <v>212</v>
      </c>
      <c r="K1958" s="80" t="s">
        <v>213</v>
      </c>
      <c r="L1958" s="30" t="s">
        <v>192</v>
      </c>
      <c r="M1958" s="68">
        <v>7</v>
      </c>
      <c r="N1958" s="181" t="str">
        <f t="shared" si="31"/>
        <v>нет</v>
      </c>
      <c r="O1958" s="23"/>
      <c r="P1958" s="23"/>
      <c r="Q1958" s="106"/>
      <c r="R1958" s="37">
        <v>434</v>
      </c>
      <c r="S1958" s="38" t="s">
        <v>846</v>
      </c>
      <c r="T1958" s="37">
        <v>1535</v>
      </c>
      <c r="U1958" s="39" t="s">
        <v>1634</v>
      </c>
      <c r="V1958" s="69" t="s">
        <v>272</v>
      </c>
      <c r="W1958" s="89" t="s">
        <v>173</v>
      </c>
      <c r="X1958" s="106" t="s">
        <v>296</v>
      </c>
      <c r="Y1958" s="107" t="s">
        <v>12</v>
      </c>
      <c r="Z1958" s="67">
        <f>IF(База_КР_КК[[#This Row],[Таб.номер резервиста]]="-","-",IF(OR(База_КР_КК[[#This Row],[Уровень КК]]=2,База_КР_КК[[#This Row],[Уровень КК]]=3),IF(COUNTIFS($U$2:$U1958,$U1958,$F$2:$F1958,$F1958)=1,1,0),IF(COUNTIFS($U$2:$U1958,$U1958,$L$2:$L1958,$L1958)=1,1,0)))</f>
        <v>0</v>
      </c>
      <c r="AA19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8" s="106"/>
      <c r="AC1958" s="51"/>
      <c r="AD1958" s="106" t="s">
        <v>15</v>
      </c>
      <c r="AE1958" s="38" t="s">
        <v>344</v>
      </c>
    </row>
    <row r="1959" spans="1:31" ht="18" customHeight="1" x14ac:dyDescent="0.25">
      <c r="A19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59" s="79">
        <v>4</v>
      </c>
      <c r="C1959" s="23">
        <v>44890</v>
      </c>
      <c r="D1959" s="67">
        <f>IF(COUNTIF($G$2:$G1959,$G1959)=1,1,0)</f>
        <v>0</v>
      </c>
      <c r="E1959" s="67" t="str">
        <f>IFERROR(VLOOKUP(База_КР_КК[[#This Row],[ИД штатной должности (S)]],'уровень защищенности'!$B$7:$F$1095,5,0),"не защищена")</f>
        <v>высокий</v>
      </c>
      <c r="F1959" s="68">
        <v>500271</v>
      </c>
      <c r="G1959" s="74" t="s">
        <v>2606</v>
      </c>
      <c r="H1959" s="181">
        <f>INDEX('Списки данных'!$D$2:$D$1048576,MATCH(База_КР_КК[[#This Row],[Структурное подразделение]],'Списки данных'!$C$2:$C$1048576,0))</f>
        <v>13</v>
      </c>
      <c r="I1959" s="80" t="s">
        <v>173</v>
      </c>
      <c r="J1959" s="80" t="s">
        <v>212</v>
      </c>
      <c r="K1959" s="80" t="s">
        <v>213</v>
      </c>
      <c r="L1959" s="30" t="s">
        <v>192</v>
      </c>
      <c r="M1959" s="68">
        <v>7</v>
      </c>
      <c r="N1959" s="181" t="str">
        <f t="shared" si="31"/>
        <v>нет</v>
      </c>
      <c r="O1959" s="23"/>
      <c r="P1959" s="23"/>
      <c r="Q1959" s="106"/>
      <c r="R1959" s="37">
        <v>434</v>
      </c>
      <c r="S1959" s="38" t="s">
        <v>846</v>
      </c>
      <c r="T1959" s="37">
        <v>1536</v>
      </c>
      <c r="U1959" s="39" t="s">
        <v>1891</v>
      </c>
      <c r="V1959" s="69" t="s">
        <v>272</v>
      </c>
      <c r="W1959" s="89" t="s">
        <v>173</v>
      </c>
      <c r="X1959" s="106" t="s">
        <v>296</v>
      </c>
      <c r="Y1959" s="107" t="s">
        <v>12</v>
      </c>
      <c r="Z1959" s="67">
        <f>IF(База_КР_КК[[#This Row],[Таб.номер резервиста]]="-","-",IF(OR(База_КР_КК[[#This Row],[Уровень КК]]=2,База_КР_КК[[#This Row],[Уровень КК]]=3),IF(COUNTIFS($U$2:$U1959,$U1959,$F$2:$F1959,$F1959)=1,1,0),IF(COUNTIFS($U$2:$U1959,$U1959,$L$2:$L1959,$L1959)=1,1,0)))</f>
        <v>1</v>
      </c>
      <c r="AA19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59" s="106"/>
      <c r="AC1959" s="51"/>
      <c r="AD1959" s="106" t="s">
        <v>15</v>
      </c>
      <c r="AE1959" s="38" t="s">
        <v>344</v>
      </c>
    </row>
    <row r="1960" spans="1:31" ht="18" customHeight="1" x14ac:dyDescent="0.25">
      <c r="A19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0" s="79">
        <v>4</v>
      </c>
      <c r="C1960" s="23">
        <v>44425</v>
      </c>
      <c r="D1960" s="67">
        <f>IF(COUNTIF($G$2:$G1960,$G1960)=1,1,0)</f>
        <v>0</v>
      </c>
      <c r="E1960" s="67" t="str">
        <f>IFERROR(VLOOKUP(База_КР_КК[[#This Row],[ИД штатной должности (S)]],'уровень защищенности'!$B$7:$F$1095,5,0),"не защищена")</f>
        <v>высокий</v>
      </c>
      <c r="F1960" s="68">
        <v>500271</v>
      </c>
      <c r="G1960" s="74" t="s">
        <v>2606</v>
      </c>
      <c r="H1960" s="181">
        <f>INDEX('Списки данных'!$D$2:$D$1048576,MATCH(База_КР_КК[[#This Row],[Структурное подразделение]],'Списки данных'!$C$2:$C$1048576,0))</f>
        <v>13</v>
      </c>
      <c r="I1960" s="80" t="s">
        <v>173</v>
      </c>
      <c r="J1960" s="80" t="s">
        <v>212</v>
      </c>
      <c r="K1960" s="80" t="s">
        <v>213</v>
      </c>
      <c r="L1960" s="30" t="s">
        <v>192</v>
      </c>
      <c r="M1960" s="68">
        <v>7</v>
      </c>
      <c r="N1960" s="181" t="str">
        <f t="shared" si="31"/>
        <v>нет</v>
      </c>
      <c r="O1960" s="23"/>
      <c r="P1960" s="23"/>
      <c r="Q1960" s="106"/>
      <c r="R1960" s="37">
        <v>434</v>
      </c>
      <c r="S1960" s="38" t="s">
        <v>846</v>
      </c>
      <c r="T1960" s="37">
        <v>1537</v>
      </c>
      <c r="U1960" s="39" t="s">
        <v>1892</v>
      </c>
      <c r="V1960" s="69" t="s">
        <v>272</v>
      </c>
      <c r="W1960" s="89" t="s">
        <v>173</v>
      </c>
      <c r="X1960" s="106" t="s">
        <v>295</v>
      </c>
      <c r="Y1960" s="107" t="s">
        <v>18</v>
      </c>
      <c r="Z1960" s="67">
        <f>IF(База_КР_КК[[#This Row],[Таб.номер резервиста]]="-","-",IF(OR(База_КР_КК[[#This Row],[Уровень КК]]=2,База_КР_КК[[#This Row],[Уровень КК]]=3),IF(COUNTIFS($U$2:$U1960,$U1960,$F$2:$F1960,$F1960)=1,1,0),IF(COUNTIFS($U$2:$U1960,$U1960,$L$2:$L1960,$L1960)=1,1,0)))</f>
        <v>1</v>
      </c>
      <c r="AA19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0" s="106" t="s">
        <v>38</v>
      </c>
      <c r="AC1960" s="51">
        <v>44890</v>
      </c>
      <c r="AD1960" s="106" t="s">
        <v>31</v>
      </c>
      <c r="AE1960" s="38" t="s">
        <v>344</v>
      </c>
    </row>
    <row r="1961" spans="1:31" ht="18" customHeight="1" x14ac:dyDescent="0.25">
      <c r="A19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1" s="79">
        <v>4</v>
      </c>
      <c r="C1961" s="23">
        <v>44425</v>
      </c>
      <c r="D1961" s="67">
        <f>IF(COUNTIF($G$2:$G1961,$G1961)=1,1,0)</f>
        <v>0</v>
      </c>
      <c r="E1961" s="67" t="str">
        <f>IFERROR(VLOOKUP(База_КР_КК[[#This Row],[ИД штатной должности (S)]],'уровень защищенности'!$B$7:$F$1095,5,0),"не защищена")</f>
        <v>высокий</v>
      </c>
      <c r="F1961" s="68">
        <v>500271</v>
      </c>
      <c r="G1961" s="74" t="s">
        <v>2606</v>
      </c>
      <c r="H1961" s="181">
        <f>INDEX('Списки данных'!$D$2:$D$1048576,MATCH(База_КР_КК[[#This Row],[Структурное подразделение]],'Списки данных'!$C$2:$C$1048576,0))</f>
        <v>13</v>
      </c>
      <c r="I1961" s="80" t="s">
        <v>173</v>
      </c>
      <c r="J1961" s="80" t="s">
        <v>212</v>
      </c>
      <c r="K1961" s="80" t="s">
        <v>213</v>
      </c>
      <c r="L1961" s="30" t="s">
        <v>192</v>
      </c>
      <c r="M1961" s="68">
        <v>7</v>
      </c>
      <c r="N1961" s="181" t="str">
        <f t="shared" si="31"/>
        <v>нет</v>
      </c>
      <c r="O1961" s="23"/>
      <c r="P1961" s="23"/>
      <c r="Q1961" s="106"/>
      <c r="R1961" s="37">
        <v>434</v>
      </c>
      <c r="S1961" s="38" t="s">
        <v>846</v>
      </c>
      <c r="T1961" s="37">
        <v>1538</v>
      </c>
      <c r="U1961" s="39" t="s">
        <v>1893</v>
      </c>
      <c r="V1961" s="69" t="s">
        <v>272</v>
      </c>
      <c r="W1961" s="89" t="s">
        <v>173</v>
      </c>
      <c r="X1961" s="106" t="s">
        <v>297</v>
      </c>
      <c r="Y1961" s="107" t="s">
        <v>18</v>
      </c>
      <c r="Z1961" s="67">
        <f>IF(База_КР_КК[[#This Row],[Таб.номер резервиста]]="-","-",IF(OR(База_КР_КК[[#This Row],[Уровень КК]]=2,База_КР_КК[[#This Row],[Уровень КК]]=3),IF(COUNTIFS($U$2:$U1961,$U1961,$F$2:$F1961,$F1961)=1,1,0),IF(COUNTIFS($U$2:$U1961,$U1961,$L$2:$L1961,$L1961)=1,1,0)))</f>
        <v>1</v>
      </c>
      <c r="AA19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1" s="106" t="s">
        <v>20</v>
      </c>
      <c r="AC1961" s="51">
        <v>44552</v>
      </c>
      <c r="AD1961" s="106" t="s">
        <v>15</v>
      </c>
      <c r="AE1961" s="38" t="s">
        <v>343</v>
      </c>
    </row>
    <row r="1962" spans="1:31" ht="18" customHeight="1" x14ac:dyDescent="0.25">
      <c r="A19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2" s="79">
        <v>4</v>
      </c>
      <c r="C1962" s="23">
        <v>44425</v>
      </c>
      <c r="D1962" s="67">
        <f>IF(COUNTIF($G$2:$G1962,$G1962)=1,1,0)</f>
        <v>1</v>
      </c>
      <c r="E1962" s="67" t="str">
        <f>IFERROR(VLOOKUP(База_КР_КК[[#This Row],[ИД штатной должности (S)]],'уровень защищенности'!$B$7:$F$1095,5,0),"не защищена")</f>
        <v>высокий</v>
      </c>
      <c r="F1962" s="68">
        <v>500272</v>
      </c>
      <c r="G1962" s="74" t="s">
        <v>2607</v>
      </c>
      <c r="H1962" s="181">
        <f>INDEX('Списки данных'!$D$2:$D$1048576,MATCH(База_КР_КК[[#This Row],[Структурное подразделение]],'Списки данных'!$C$2:$C$1048576,0))</f>
        <v>13</v>
      </c>
      <c r="I1962" s="80" t="s">
        <v>173</v>
      </c>
      <c r="J1962" s="80" t="s">
        <v>212</v>
      </c>
      <c r="K1962" s="80" t="s">
        <v>213</v>
      </c>
      <c r="L1962" s="30" t="s">
        <v>191</v>
      </c>
      <c r="M1962" s="68">
        <v>7</v>
      </c>
      <c r="N1962" s="181" t="str">
        <f t="shared" si="31"/>
        <v>нет</v>
      </c>
      <c r="O1962" s="23"/>
      <c r="P1962" s="23"/>
      <c r="Q1962" s="106"/>
      <c r="R1962" s="37">
        <v>435</v>
      </c>
      <c r="S1962" s="38" t="s">
        <v>847</v>
      </c>
      <c r="T1962" s="37">
        <v>1537</v>
      </c>
      <c r="U1962" s="39" t="s">
        <v>1892</v>
      </c>
      <c r="V1962" s="69" t="s">
        <v>272</v>
      </c>
      <c r="W1962" s="89" t="s">
        <v>173</v>
      </c>
      <c r="X1962" s="106" t="s">
        <v>295</v>
      </c>
      <c r="Y1962" s="107" t="s">
        <v>12</v>
      </c>
      <c r="Z1962" s="67">
        <f>IF(База_КР_КК[[#This Row],[Таб.номер резервиста]]="-","-",IF(OR(База_КР_КК[[#This Row],[Уровень КК]]=2,База_КР_КК[[#This Row],[Уровень КК]]=3),IF(COUNTIFS($U$2:$U1962,$U1962,$F$2:$F1962,$F1962)=1,1,0),IF(COUNTIFS($U$2:$U1962,$U1962,$L$2:$L1962,$L1962)=1,1,0)))</f>
        <v>1</v>
      </c>
      <c r="AA19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2" s="106"/>
      <c r="AC1962" s="51"/>
      <c r="AD1962" s="106" t="s">
        <v>15</v>
      </c>
      <c r="AE1962" s="38" t="s">
        <v>343</v>
      </c>
    </row>
    <row r="1963" spans="1:31" ht="18" customHeight="1" x14ac:dyDescent="0.25">
      <c r="A19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3" s="79">
        <v>4</v>
      </c>
      <c r="C1963" s="23">
        <v>44425</v>
      </c>
      <c r="D1963" s="67">
        <f>IF(COUNTIF($G$2:$G1963,$G1963)=1,1,0)</f>
        <v>0</v>
      </c>
      <c r="E1963" s="67" t="str">
        <f>IFERROR(VLOOKUP(База_КР_КК[[#This Row],[ИД штатной должности (S)]],'уровень защищенности'!$B$7:$F$1095,5,0),"не защищена")</f>
        <v>высокий</v>
      </c>
      <c r="F1963" s="68">
        <v>500272</v>
      </c>
      <c r="G1963" s="74" t="s">
        <v>2607</v>
      </c>
      <c r="H1963" s="181">
        <f>INDEX('Списки данных'!$D$2:$D$1048576,MATCH(База_КР_КК[[#This Row],[Структурное подразделение]],'Списки данных'!$C$2:$C$1048576,0))</f>
        <v>13</v>
      </c>
      <c r="I1963" s="80" t="s">
        <v>173</v>
      </c>
      <c r="J1963" s="80" t="s">
        <v>212</v>
      </c>
      <c r="K1963" s="80" t="s">
        <v>213</v>
      </c>
      <c r="L1963" s="30" t="s">
        <v>191</v>
      </c>
      <c r="M1963" s="68">
        <v>7</v>
      </c>
      <c r="N1963" s="181" t="str">
        <f t="shared" si="31"/>
        <v>нет</v>
      </c>
      <c r="O1963" s="23"/>
      <c r="P1963" s="23"/>
      <c r="Q1963" s="106"/>
      <c r="R1963" s="37">
        <v>435</v>
      </c>
      <c r="S1963" s="38" t="s">
        <v>847</v>
      </c>
      <c r="T1963" s="37">
        <v>1527</v>
      </c>
      <c r="U1963" s="39" t="s">
        <v>1884</v>
      </c>
      <c r="V1963" s="69" t="s">
        <v>272</v>
      </c>
      <c r="W1963" s="89" t="s">
        <v>173</v>
      </c>
      <c r="X1963" s="106" t="s">
        <v>295</v>
      </c>
      <c r="Y1963" s="107" t="s">
        <v>12</v>
      </c>
      <c r="Z1963" s="67">
        <f>IF(База_КР_КК[[#This Row],[Таб.номер резервиста]]="-","-",IF(OR(База_КР_КК[[#This Row],[Уровень КК]]=2,База_КР_КК[[#This Row],[Уровень КК]]=3),IF(COUNTIFS($U$2:$U1963,$U1963,$F$2:$F1963,$F1963)=1,1,0),IF(COUNTIFS($U$2:$U1963,$U1963,$L$2:$L1963,$L1963)=1,1,0)))</f>
        <v>1</v>
      </c>
      <c r="AA19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3" s="106"/>
      <c r="AC1963" s="51"/>
      <c r="AD1963" s="106" t="s">
        <v>15</v>
      </c>
      <c r="AE1963" s="38" t="s">
        <v>343</v>
      </c>
    </row>
    <row r="1964" spans="1:31" ht="18" customHeight="1" x14ac:dyDescent="0.25">
      <c r="A19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4" s="79">
        <v>4</v>
      </c>
      <c r="C1964" s="23">
        <v>44425</v>
      </c>
      <c r="D1964" s="67">
        <f>IF(COUNTIF($G$2:$G1964,$G1964)=1,1,0)</f>
        <v>0</v>
      </c>
      <c r="E1964" s="67" t="str">
        <f>IFERROR(VLOOKUP(База_КР_КК[[#This Row],[ИД штатной должности (S)]],'уровень защищенности'!$B$7:$F$1095,5,0),"не защищена")</f>
        <v>высокий</v>
      </c>
      <c r="F1964" s="68">
        <v>500272</v>
      </c>
      <c r="G1964" s="74" t="s">
        <v>2607</v>
      </c>
      <c r="H1964" s="181">
        <f>INDEX('Списки данных'!$D$2:$D$1048576,MATCH(База_КР_КК[[#This Row],[Структурное подразделение]],'Списки данных'!$C$2:$C$1048576,0))</f>
        <v>13</v>
      </c>
      <c r="I1964" s="80" t="s">
        <v>173</v>
      </c>
      <c r="J1964" s="80" t="s">
        <v>212</v>
      </c>
      <c r="K1964" s="80" t="s">
        <v>213</v>
      </c>
      <c r="L1964" s="30" t="s">
        <v>191</v>
      </c>
      <c r="M1964" s="68">
        <v>7</v>
      </c>
      <c r="N1964" s="181" t="str">
        <f t="shared" si="31"/>
        <v>нет</v>
      </c>
      <c r="O1964" s="23"/>
      <c r="P1964" s="23"/>
      <c r="Q1964" s="106"/>
      <c r="R1964" s="37">
        <v>435</v>
      </c>
      <c r="S1964" s="38" t="s">
        <v>847</v>
      </c>
      <c r="T1964" s="37">
        <v>1528</v>
      </c>
      <c r="U1964" s="39" t="s">
        <v>1885</v>
      </c>
      <c r="V1964" s="69" t="s">
        <v>272</v>
      </c>
      <c r="W1964" s="89" t="s">
        <v>173</v>
      </c>
      <c r="X1964" s="106" t="s">
        <v>296</v>
      </c>
      <c r="Y1964" s="107" t="s">
        <v>12</v>
      </c>
      <c r="Z1964" s="67">
        <f>IF(База_КР_КК[[#This Row],[Таб.номер резервиста]]="-","-",IF(OR(База_КР_КК[[#This Row],[Уровень КК]]=2,База_КР_КК[[#This Row],[Уровень КК]]=3),IF(COUNTIFS($U$2:$U1964,$U1964,$F$2:$F1964,$F1964)=1,1,0),IF(COUNTIFS($U$2:$U1964,$U1964,$L$2:$L1964,$L1964)=1,1,0)))</f>
        <v>1</v>
      </c>
      <c r="AA19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4" s="106"/>
      <c r="AC1964" s="51"/>
      <c r="AD1964" s="106" t="s">
        <v>15</v>
      </c>
      <c r="AE1964" s="38" t="s">
        <v>343</v>
      </c>
    </row>
    <row r="1965" spans="1:31" ht="18" customHeight="1" x14ac:dyDescent="0.25">
      <c r="A19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5" s="79">
        <v>4</v>
      </c>
      <c r="C1965" s="23">
        <v>44425</v>
      </c>
      <c r="D1965" s="67">
        <f>IF(COUNTIF($G$2:$G1965,$G1965)=1,1,0)</f>
        <v>0</v>
      </c>
      <c r="E1965" s="67" t="str">
        <f>IFERROR(VLOOKUP(База_КР_КК[[#This Row],[ИД штатной должности (S)]],'уровень защищенности'!$B$7:$F$1095,5,0),"не защищена")</f>
        <v>высокий</v>
      </c>
      <c r="F1965" s="68">
        <v>500272</v>
      </c>
      <c r="G1965" s="74" t="s">
        <v>2607</v>
      </c>
      <c r="H1965" s="181">
        <f>INDEX('Списки данных'!$D$2:$D$1048576,MATCH(База_КР_КК[[#This Row],[Структурное подразделение]],'Списки данных'!$C$2:$C$1048576,0))</f>
        <v>13</v>
      </c>
      <c r="I1965" s="80" t="s">
        <v>173</v>
      </c>
      <c r="J1965" s="80" t="s">
        <v>212</v>
      </c>
      <c r="K1965" s="80" t="s">
        <v>213</v>
      </c>
      <c r="L1965" s="30" t="s">
        <v>191</v>
      </c>
      <c r="M1965" s="68">
        <v>7</v>
      </c>
      <c r="N1965" s="181" t="str">
        <f t="shared" si="31"/>
        <v>нет</v>
      </c>
      <c r="O1965" s="23"/>
      <c r="P1965" s="23"/>
      <c r="Q1965" s="106"/>
      <c r="R1965" s="37">
        <v>435</v>
      </c>
      <c r="S1965" s="38" t="s">
        <v>847</v>
      </c>
      <c r="T1965" s="37">
        <v>1529</v>
      </c>
      <c r="U1965" s="39" t="s">
        <v>1886</v>
      </c>
      <c r="V1965" s="69" t="s">
        <v>272</v>
      </c>
      <c r="W1965" s="89" t="s">
        <v>173</v>
      </c>
      <c r="X1965" s="106" t="s">
        <v>297</v>
      </c>
      <c r="Y1965" s="107" t="s">
        <v>12</v>
      </c>
      <c r="Z1965" s="67">
        <f>IF(База_КР_КК[[#This Row],[Таб.номер резервиста]]="-","-",IF(OR(База_КР_КК[[#This Row],[Уровень КК]]=2,База_КР_КК[[#This Row],[Уровень КК]]=3),IF(COUNTIFS($U$2:$U1965,$U1965,$F$2:$F1965,$F1965)=1,1,0),IF(COUNTIFS($U$2:$U1965,$U1965,$L$2:$L1965,$L1965)=1,1,0)))</f>
        <v>1</v>
      </c>
      <c r="AA19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5" s="106"/>
      <c r="AC1965" s="51"/>
      <c r="AD1965" s="106" t="s">
        <v>15</v>
      </c>
      <c r="AE1965" s="38" t="s">
        <v>343</v>
      </c>
    </row>
    <row r="1966" spans="1:31" ht="18" customHeight="1" x14ac:dyDescent="0.25">
      <c r="A19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6" s="79">
        <v>4</v>
      </c>
      <c r="C1966" s="23">
        <v>44425</v>
      </c>
      <c r="D1966" s="67">
        <f>IF(COUNTIF($G$2:$G1966,$G1966)=1,1,0)</f>
        <v>0</v>
      </c>
      <c r="E1966" s="67" t="str">
        <f>IFERROR(VLOOKUP(База_КР_КК[[#This Row],[ИД штатной должности (S)]],'уровень защищенности'!$B$7:$F$1095,5,0),"не защищена")</f>
        <v>высокий</v>
      </c>
      <c r="F1966" s="68">
        <v>500272</v>
      </c>
      <c r="G1966" s="74" t="s">
        <v>2607</v>
      </c>
      <c r="H1966" s="181">
        <f>INDEX('Списки данных'!$D$2:$D$1048576,MATCH(База_КР_КК[[#This Row],[Структурное подразделение]],'Списки данных'!$C$2:$C$1048576,0))</f>
        <v>13</v>
      </c>
      <c r="I1966" s="80" t="s">
        <v>173</v>
      </c>
      <c r="J1966" s="80" t="s">
        <v>212</v>
      </c>
      <c r="K1966" s="80" t="s">
        <v>213</v>
      </c>
      <c r="L1966" s="30" t="s">
        <v>191</v>
      </c>
      <c r="M1966" s="68">
        <v>7</v>
      </c>
      <c r="N1966" s="181" t="str">
        <f t="shared" si="31"/>
        <v>нет</v>
      </c>
      <c r="O1966" s="23"/>
      <c r="P1966" s="23"/>
      <c r="Q1966" s="106"/>
      <c r="R1966" s="37">
        <v>435</v>
      </c>
      <c r="S1966" s="38" t="s">
        <v>847</v>
      </c>
      <c r="T1966" s="37">
        <v>1530</v>
      </c>
      <c r="U1966" s="39" t="s">
        <v>1887</v>
      </c>
      <c r="V1966" s="69" t="s">
        <v>272</v>
      </c>
      <c r="W1966" s="89" t="s">
        <v>173</v>
      </c>
      <c r="X1966" s="106" t="s">
        <v>296</v>
      </c>
      <c r="Y1966" s="107" t="s">
        <v>12</v>
      </c>
      <c r="Z1966" s="67">
        <f>IF(База_КР_КК[[#This Row],[Таб.номер резервиста]]="-","-",IF(OR(База_КР_КК[[#This Row],[Уровень КК]]=2,База_КР_КК[[#This Row],[Уровень КК]]=3),IF(COUNTIFS($U$2:$U1966,$U1966,$F$2:$F1966,$F1966)=1,1,0),IF(COUNTIFS($U$2:$U1966,$U1966,$L$2:$L1966,$L1966)=1,1,0)))</f>
        <v>1</v>
      </c>
      <c r="AA19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6" s="106"/>
      <c r="AC1966" s="51"/>
      <c r="AD1966" s="106" t="s">
        <v>15</v>
      </c>
      <c r="AE1966" s="38" t="s">
        <v>343</v>
      </c>
    </row>
    <row r="1967" spans="1:31" ht="18" customHeight="1" x14ac:dyDescent="0.25">
      <c r="A19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7" s="79">
        <v>4</v>
      </c>
      <c r="C1967" s="23">
        <v>44425</v>
      </c>
      <c r="D1967" s="67">
        <f>IF(COUNTIF($G$2:$G1967,$G1967)=1,1,0)</f>
        <v>0</v>
      </c>
      <c r="E1967" s="67" t="str">
        <f>IFERROR(VLOOKUP(База_КР_КК[[#This Row],[ИД штатной должности (S)]],'уровень защищенности'!$B$7:$F$1095,5,0),"не защищена")</f>
        <v>высокий</v>
      </c>
      <c r="F1967" s="68">
        <v>500272</v>
      </c>
      <c r="G1967" s="74" t="s">
        <v>2607</v>
      </c>
      <c r="H1967" s="181">
        <f>INDEX('Списки данных'!$D$2:$D$1048576,MATCH(База_КР_КК[[#This Row],[Структурное подразделение]],'Списки данных'!$C$2:$C$1048576,0))</f>
        <v>13</v>
      </c>
      <c r="I1967" s="80" t="s">
        <v>173</v>
      </c>
      <c r="J1967" s="80" t="s">
        <v>212</v>
      </c>
      <c r="K1967" s="80" t="s">
        <v>213</v>
      </c>
      <c r="L1967" s="30" t="s">
        <v>191</v>
      </c>
      <c r="M1967" s="68">
        <v>7</v>
      </c>
      <c r="N1967" s="181" t="str">
        <f t="shared" si="31"/>
        <v>нет</v>
      </c>
      <c r="O1967" s="23"/>
      <c r="P1967" s="23"/>
      <c r="Q1967" s="106"/>
      <c r="R1967" s="37">
        <v>435</v>
      </c>
      <c r="S1967" s="38" t="s">
        <v>847</v>
      </c>
      <c r="T1967" s="37">
        <v>1531</v>
      </c>
      <c r="U1967" s="39" t="s">
        <v>1575</v>
      </c>
      <c r="V1967" s="69" t="s">
        <v>272</v>
      </c>
      <c r="W1967" s="89" t="s">
        <v>173</v>
      </c>
      <c r="X1967" s="106" t="s">
        <v>297</v>
      </c>
      <c r="Y1967" s="107" t="s">
        <v>12</v>
      </c>
      <c r="Z1967" s="67">
        <f>IF(База_КР_КК[[#This Row],[Таб.номер резервиста]]="-","-",IF(OR(База_КР_КК[[#This Row],[Уровень КК]]=2,База_КР_КК[[#This Row],[Уровень КК]]=3),IF(COUNTIFS($U$2:$U1967,$U1967,$F$2:$F1967,$F1967)=1,1,0),IF(COUNTIFS($U$2:$U1967,$U1967,$L$2:$L1967,$L1967)=1,1,0)))</f>
        <v>0</v>
      </c>
      <c r="AA19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7" s="106"/>
      <c r="AC1967" s="51"/>
      <c r="AD1967" s="106" t="s">
        <v>15</v>
      </c>
      <c r="AE1967" s="38" t="s">
        <v>343</v>
      </c>
    </row>
    <row r="1968" spans="1:31" ht="18" customHeight="1" x14ac:dyDescent="0.25">
      <c r="A19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8" s="79">
        <v>4</v>
      </c>
      <c r="C1968" s="23">
        <v>44425</v>
      </c>
      <c r="D1968" s="67">
        <f>IF(COUNTIF($G$2:$G1968,$G1968)=1,1,0)</f>
        <v>0</v>
      </c>
      <c r="E1968" s="67" t="str">
        <f>IFERROR(VLOOKUP(База_КР_КК[[#This Row],[ИД штатной должности (S)]],'уровень защищенности'!$B$7:$F$1095,5,0),"не защищена")</f>
        <v>высокий</v>
      </c>
      <c r="F1968" s="68">
        <v>500272</v>
      </c>
      <c r="G1968" s="74" t="s">
        <v>2607</v>
      </c>
      <c r="H1968" s="181">
        <f>INDEX('Списки данных'!$D$2:$D$1048576,MATCH(База_КР_КК[[#This Row],[Структурное подразделение]],'Списки данных'!$C$2:$C$1048576,0))</f>
        <v>13</v>
      </c>
      <c r="I1968" s="80" t="s">
        <v>173</v>
      </c>
      <c r="J1968" s="80" t="s">
        <v>212</v>
      </c>
      <c r="K1968" s="80" t="s">
        <v>213</v>
      </c>
      <c r="L1968" s="30" t="s">
        <v>191</v>
      </c>
      <c r="M1968" s="68">
        <v>7</v>
      </c>
      <c r="N1968" s="181" t="str">
        <f t="shared" si="31"/>
        <v>нет</v>
      </c>
      <c r="O1968" s="23"/>
      <c r="P1968" s="23"/>
      <c r="Q1968" s="106"/>
      <c r="R1968" s="37">
        <v>435</v>
      </c>
      <c r="S1968" s="38" t="s">
        <v>847</v>
      </c>
      <c r="T1968" s="37">
        <v>1538</v>
      </c>
      <c r="U1968" s="39" t="s">
        <v>1893</v>
      </c>
      <c r="V1968" s="69" t="s">
        <v>272</v>
      </c>
      <c r="W1968" s="89" t="s">
        <v>173</v>
      </c>
      <c r="X1968" s="106" t="s">
        <v>297</v>
      </c>
      <c r="Y1968" s="107" t="s">
        <v>18</v>
      </c>
      <c r="Z1968" s="67">
        <f>IF(База_КР_КК[[#This Row],[Таб.номер резервиста]]="-","-",IF(OR(База_КР_КК[[#This Row],[Уровень КК]]=2,База_КР_КК[[#This Row],[Уровень КК]]=3),IF(COUNTIFS($U$2:$U1968,$U1968,$F$2:$F1968,$F1968)=1,1,0),IF(COUNTIFS($U$2:$U1968,$U1968,$L$2:$L1968,$L1968)=1,1,0)))</f>
        <v>1</v>
      </c>
      <c r="AA19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8" s="106" t="s">
        <v>20</v>
      </c>
      <c r="AC1968" s="51">
        <v>44552</v>
      </c>
      <c r="AD1968" s="106" t="s">
        <v>15</v>
      </c>
      <c r="AE1968" s="38" t="s">
        <v>343</v>
      </c>
    </row>
    <row r="1969" spans="1:31" ht="18" customHeight="1" x14ac:dyDescent="0.25">
      <c r="A19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69" s="79">
        <v>4</v>
      </c>
      <c r="C1969" s="23">
        <v>44425</v>
      </c>
      <c r="D1969" s="67">
        <f>IF(COUNTIF($G$2:$G1969,$G1969)=1,1,0)</f>
        <v>1</v>
      </c>
      <c r="E1969" s="67" t="str">
        <f>IFERROR(VLOOKUP(База_КР_КК[[#This Row],[ИД штатной должности (S)]],'уровень защищенности'!$B$7:$F$1095,5,0),"не защищена")</f>
        <v>высокий</v>
      </c>
      <c r="F1969" s="68">
        <v>500272</v>
      </c>
      <c r="G1969" s="74" t="s">
        <v>2608</v>
      </c>
      <c r="H1969" s="181">
        <f>INDEX('Списки данных'!$D$2:$D$1048576,MATCH(База_КР_КК[[#This Row],[Структурное подразделение]],'Списки данных'!$C$2:$C$1048576,0))</f>
        <v>13</v>
      </c>
      <c r="I1969" s="80" t="s">
        <v>173</v>
      </c>
      <c r="J1969" s="80" t="s">
        <v>212</v>
      </c>
      <c r="K1969" s="80" t="s">
        <v>213</v>
      </c>
      <c r="L1969" s="30" t="s">
        <v>191</v>
      </c>
      <c r="M1969" s="68">
        <v>7</v>
      </c>
      <c r="N1969" s="181" t="str">
        <f t="shared" si="31"/>
        <v>нет</v>
      </c>
      <c r="O1969" s="23"/>
      <c r="P1969" s="23"/>
      <c r="Q1969" s="106"/>
      <c r="R1969" s="37">
        <v>436</v>
      </c>
      <c r="S1969" s="38" t="s">
        <v>848</v>
      </c>
      <c r="T1969" s="37">
        <v>1537</v>
      </c>
      <c r="U1969" s="39" t="s">
        <v>1892</v>
      </c>
      <c r="V1969" s="69" t="s">
        <v>272</v>
      </c>
      <c r="W1969" s="89" t="s">
        <v>173</v>
      </c>
      <c r="X1969" s="106" t="s">
        <v>295</v>
      </c>
      <c r="Y1969" s="107" t="s">
        <v>12</v>
      </c>
      <c r="Z1969" s="67">
        <f>IF(База_КР_КК[[#This Row],[Таб.номер резервиста]]="-","-",IF(OR(База_КР_КК[[#This Row],[Уровень КК]]=2,База_КР_КК[[#This Row],[Уровень КК]]=3),IF(COUNTIFS($U$2:$U1969,$U1969,$F$2:$F1969,$F1969)=1,1,0),IF(COUNTIFS($U$2:$U1969,$U1969,$L$2:$L1969,$L1969)=1,1,0)))</f>
        <v>0</v>
      </c>
      <c r="AA19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69" s="106"/>
      <c r="AC1969" s="51"/>
      <c r="AD1969" s="106" t="s">
        <v>15</v>
      </c>
      <c r="AE1969" s="38" t="s">
        <v>343</v>
      </c>
    </row>
    <row r="1970" spans="1:31" ht="18" customHeight="1" x14ac:dyDescent="0.25">
      <c r="A19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0" s="79">
        <v>4</v>
      </c>
      <c r="C1970" s="23">
        <v>44425</v>
      </c>
      <c r="D1970" s="67">
        <f>IF(COUNTIF($G$2:$G1970,$G1970)=1,1,0)</f>
        <v>0</v>
      </c>
      <c r="E1970" s="67" t="str">
        <f>IFERROR(VLOOKUP(База_КР_КК[[#This Row],[ИД штатной должности (S)]],'уровень защищенности'!$B$7:$F$1095,5,0),"не защищена")</f>
        <v>высокий</v>
      </c>
      <c r="F1970" s="68">
        <v>500272</v>
      </c>
      <c r="G1970" s="74" t="s">
        <v>2608</v>
      </c>
      <c r="H1970" s="181">
        <f>INDEX('Списки данных'!$D$2:$D$1048576,MATCH(База_КР_КК[[#This Row],[Структурное подразделение]],'Списки данных'!$C$2:$C$1048576,0))</f>
        <v>13</v>
      </c>
      <c r="I1970" s="80" t="s">
        <v>173</v>
      </c>
      <c r="J1970" s="80" t="s">
        <v>212</v>
      </c>
      <c r="K1970" s="80" t="s">
        <v>213</v>
      </c>
      <c r="L1970" s="30" t="s">
        <v>191</v>
      </c>
      <c r="M1970" s="68">
        <v>7</v>
      </c>
      <c r="N1970" s="181" t="str">
        <f t="shared" si="31"/>
        <v>нет</v>
      </c>
      <c r="O1970" s="23"/>
      <c r="P1970" s="23"/>
      <c r="Q1970" s="106"/>
      <c r="R1970" s="37">
        <v>436</v>
      </c>
      <c r="S1970" s="38" t="s">
        <v>848</v>
      </c>
      <c r="T1970" s="37">
        <v>1527</v>
      </c>
      <c r="U1970" s="39" t="s">
        <v>1884</v>
      </c>
      <c r="V1970" s="69" t="s">
        <v>272</v>
      </c>
      <c r="W1970" s="89" t="s">
        <v>173</v>
      </c>
      <c r="X1970" s="106" t="s">
        <v>295</v>
      </c>
      <c r="Y1970" s="107" t="s">
        <v>12</v>
      </c>
      <c r="Z1970" s="67">
        <f>IF(База_КР_КК[[#This Row],[Таб.номер резервиста]]="-","-",IF(OR(База_КР_КК[[#This Row],[Уровень КК]]=2,База_КР_КК[[#This Row],[Уровень КК]]=3),IF(COUNTIFS($U$2:$U1970,$U1970,$F$2:$F1970,$F1970)=1,1,0),IF(COUNTIFS($U$2:$U1970,$U1970,$L$2:$L1970,$L1970)=1,1,0)))</f>
        <v>0</v>
      </c>
      <c r="AA19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0" s="106"/>
      <c r="AC1970" s="51"/>
      <c r="AD1970" s="106" t="s">
        <v>15</v>
      </c>
      <c r="AE1970" s="38" t="s">
        <v>343</v>
      </c>
    </row>
    <row r="1971" spans="1:31" ht="18" customHeight="1" x14ac:dyDescent="0.25">
      <c r="A19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1" s="79">
        <v>4</v>
      </c>
      <c r="C1971" s="23">
        <v>44425</v>
      </c>
      <c r="D1971" s="67">
        <f>IF(COUNTIF($G$2:$G1971,$G1971)=1,1,0)</f>
        <v>0</v>
      </c>
      <c r="E1971" s="67" t="str">
        <f>IFERROR(VLOOKUP(База_КР_КК[[#This Row],[ИД штатной должности (S)]],'уровень защищенности'!$B$7:$F$1095,5,0),"не защищена")</f>
        <v>высокий</v>
      </c>
      <c r="F1971" s="68">
        <v>500272</v>
      </c>
      <c r="G1971" s="74" t="s">
        <v>2608</v>
      </c>
      <c r="H1971" s="181">
        <f>INDEX('Списки данных'!$D$2:$D$1048576,MATCH(База_КР_КК[[#This Row],[Структурное подразделение]],'Списки данных'!$C$2:$C$1048576,0))</f>
        <v>13</v>
      </c>
      <c r="I1971" s="80" t="s">
        <v>173</v>
      </c>
      <c r="J1971" s="80" t="s">
        <v>212</v>
      </c>
      <c r="K1971" s="80" t="s">
        <v>213</v>
      </c>
      <c r="L1971" s="30" t="s">
        <v>191</v>
      </c>
      <c r="M1971" s="68">
        <v>7</v>
      </c>
      <c r="N1971" s="181" t="str">
        <f t="shared" si="31"/>
        <v>нет</v>
      </c>
      <c r="O1971" s="23"/>
      <c r="P1971" s="23"/>
      <c r="Q1971" s="106"/>
      <c r="R1971" s="37">
        <v>436</v>
      </c>
      <c r="S1971" s="38" t="s">
        <v>848</v>
      </c>
      <c r="T1971" s="37">
        <v>1528</v>
      </c>
      <c r="U1971" s="39" t="s">
        <v>1885</v>
      </c>
      <c r="V1971" s="69" t="s">
        <v>272</v>
      </c>
      <c r="W1971" s="89" t="s">
        <v>173</v>
      </c>
      <c r="X1971" s="106" t="s">
        <v>296</v>
      </c>
      <c r="Y1971" s="107" t="s">
        <v>12</v>
      </c>
      <c r="Z1971" s="67">
        <f>IF(База_КР_КК[[#This Row],[Таб.номер резервиста]]="-","-",IF(OR(База_КР_КК[[#This Row],[Уровень КК]]=2,База_КР_КК[[#This Row],[Уровень КК]]=3),IF(COUNTIFS($U$2:$U1971,$U1971,$F$2:$F1971,$F1971)=1,1,0),IF(COUNTIFS($U$2:$U1971,$U1971,$L$2:$L1971,$L1971)=1,1,0)))</f>
        <v>0</v>
      </c>
      <c r="AA19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1" s="106"/>
      <c r="AC1971" s="51"/>
      <c r="AD1971" s="106" t="s">
        <v>15</v>
      </c>
      <c r="AE1971" s="38" t="s">
        <v>343</v>
      </c>
    </row>
    <row r="1972" spans="1:31" ht="18" customHeight="1" x14ac:dyDescent="0.25">
      <c r="A19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2" s="79">
        <v>4</v>
      </c>
      <c r="C1972" s="23">
        <v>44425</v>
      </c>
      <c r="D1972" s="67">
        <f>IF(COUNTIF($G$2:$G1972,$G1972)=1,1,0)</f>
        <v>0</v>
      </c>
      <c r="E1972" s="67" t="str">
        <f>IFERROR(VLOOKUP(База_КР_КК[[#This Row],[ИД штатной должности (S)]],'уровень защищенности'!$B$7:$F$1095,5,0),"не защищена")</f>
        <v>высокий</v>
      </c>
      <c r="F1972" s="68">
        <v>500272</v>
      </c>
      <c r="G1972" s="74" t="s">
        <v>2608</v>
      </c>
      <c r="H1972" s="181">
        <f>INDEX('Списки данных'!$D$2:$D$1048576,MATCH(База_КР_КК[[#This Row],[Структурное подразделение]],'Списки данных'!$C$2:$C$1048576,0))</f>
        <v>13</v>
      </c>
      <c r="I1972" s="80" t="s">
        <v>173</v>
      </c>
      <c r="J1972" s="80" t="s">
        <v>212</v>
      </c>
      <c r="K1972" s="80" t="s">
        <v>213</v>
      </c>
      <c r="L1972" s="30" t="s">
        <v>191</v>
      </c>
      <c r="M1972" s="68">
        <v>7</v>
      </c>
      <c r="N1972" s="181" t="str">
        <f t="shared" si="31"/>
        <v>нет</v>
      </c>
      <c r="O1972" s="23"/>
      <c r="P1972" s="23"/>
      <c r="Q1972" s="106"/>
      <c r="R1972" s="37">
        <v>436</v>
      </c>
      <c r="S1972" s="38" t="s">
        <v>848</v>
      </c>
      <c r="T1972" s="37">
        <v>1529</v>
      </c>
      <c r="U1972" s="39" t="s">
        <v>1886</v>
      </c>
      <c r="V1972" s="69" t="s">
        <v>272</v>
      </c>
      <c r="W1972" s="89" t="s">
        <v>173</v>
      </c>
      <c r="X1972" s="106" t="s">
        <v>297</v>
      </c>
      <c r="Y1972" s="107" t="s">
        <v>12</v>
      </c>
      <c r="Z1972" s="67">
        <f>IF(База_КР_КК[[#This Row],[Таб.номер резервиста]]="-","-",IF(OR(База_КР_КК[[#This Row],[Уровень КК]]=2,База_КР_КК[[#This Row],[Уровень КК]]=3),IF(COUNTIFS($U$2:$U1972,$U1972,$F$2:$F1972,$F1972)=1,1,0),IF(COUNTIFS($U$2:$U1972,$U1972,$L$2:$L1972,$L1972)=1,1,0)))</f>
        <v>0</v>
      </c>
      <c r="AA19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2" s="106"/>
      <c r="AC1972" s="51"/>
      <c r="AD1972" s="106" t="s">
        <v>15</v>
      </c>
      <c r="AE1972" s="38" t="s">
        <v>343</v>
      </c>
    </row>
    <row r="1973" spans="1:31" ht="18" customHeight="1" x14ac:dyDescent="0.25">
      <c r="A19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3" s="79">
        <v>4</v>
      </c>
      <c r="C1973" s="23">
        <v>44425</v>
      </c>
      <c r="D1973" s="67">
        <f>IF(COUNTIF($G$2:$G1973,$G1973)=1,1,0)</f>
        <v>0</v>
      </c>
      <c r="E1973" s="67" t="str">
        <f>IFERROR(VLOOKUP(База_КР_КК[[#This Row],[ИД штатной должности (S)]],'уровень защищенности'!$B$7:$F$1095,5,0),"не защищена")</f>
        <v>высокий</v>
      </c>
      <c r="F1973" s="68">
        <v>500272</v>
      </c>
      <c r="G1973" s="74" t="s">
        <v>2608</v>
      </c>
      <c r="H1973" s="181">
        <f>INDEX('Списки данных'!$D$2:$D$1048576,MATCH(База_КР_КК[[#This Row],[Структурное подразделение]],'Списки данных'!$C$2:$C$1048576,0))</f>
        <v>13</v>
      </c>
      <c r="I1973" s="80" t="s">
        <v>173</v>
      </c>
      <c r="J1973" s="80" t="s">
        <v>212</v>
      </c>
      <c r="K1973" s="80" t="s">
        <v>213</v>
      </c>
      <c r="L1973" s="30" t="s">
        <v>191</v>
      </c>
      <c r="M1973" s="68">
        <v>7</v>
      </c>
      <c r="N1973" s="181" t="str">
        <f t="shared" si="31"/>
        <v>нет</v>
      </c>
      <c r="O1973" s="23"/>
      <c r="P1973" s="23"/>
      <c r="Q1973" s="106"/>
      <c r="R1973" s="37">
        <v>436</v>
      </c>
      <c r="S1973" s="38" t="s">
        <v>848</v>
      </c>
      <c r="T1973" s="37">
        <v>1530</v>
      </c>
      <c r="U1973" s="39" t="s">
        <v>1887</v>
      </c>
      <c r="V1973" s="69" t="s">
        <v>272</v>
      </c>
      <c r="W1973" s="89" t="s">
        <v>173</v>
      </c>
      <c r="X1973" s="106" t="s">
        <v>296</v>
      </c>
      <c r="Y1973" s="107" t="s">
        <v>12</v>
      </c>
      <c r="Z1973" s="67">
        <f>IF(База_КР_КК[[#This Row],[Таб.номер резервиста]]="-","-",IF(OR(База_КР_КК[[#This Row],[Уровень КК]]=2,База_КР_КК[[#This Row],[Уровень КК]]=3),IF(COUNTIFS($U$2:$U1973,$U1973,$F$2:$F1973,$F1973)=1,1,0),IF(COUNTIFS($U$2:$U1973,$U1973,$L$2:$L1973,$L1973)=1,1,0)))</f>
        <v>0</v>
      </c>
      <c r="AA19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3" s="106"/>
      <c r="AC1973" s="51"/>
      <c r="AD1973" s="106" t="s">
        <v>15</v>
      </c>
      <c r="AE1973" s="38" t="s">
        <v>343</v>
      </c>
    </row>
    <row r="1974" spans="1:31" ht="18" customHeight="1" x14ac:dyDescent="0.25">
      <c r="A19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4" s="79">
        <v>4</v>
      </c>
      <c r="C1974" s="23">
        <v>44425</v>
      </c>
      <c r="D1974" s="67">
        <f>IF(COUNTIF($G$2:$G1974,$G1974)=1,1,0)</f>
        <v>0</v>
      </c>
      <c r="E1974" s="67" t="str">
        <f>IFERROR(VLOOKUP(База_КР_КК[[#This Row],[ИД штатной должности (S)]],'уровень защищенности'!$B$7:$F$1095,5,0),"не защищена")</f>
        <v>высокий</v>
      </c>
      <c r="F1974" s="68">
        <v>500272</v>
      </c>
      <c r="G1974" s="74" t="s">
        <v>2608</v>
      </c>
      <c r="H1974" s="181">
        <f>INDEX('Списки данных'!$D$2:$D$1048576,MATCH(База_КР_КК[[#This Row],[Структурное подразделение]],'Списки данных'!$C$2:$C$1048576,0))</f>
        <v>13</v>
      </c>
      <c r="I1974" s="80" t="s">
        <v>173</v>
      </c>
      <c r="J1974" s="80" t="s">
        <v>212</v>
      </c>
      <c r="K1974" s="80" t="s">
        <v>213</v>
      </c>
      <c r="L1974" s="30" t="s">
        <v>191</v>
      </c>
      <c r="M1974" s="68">
        <v>7</v>
      </c>
      <c r="N1974" s="181" t="str">
        <f t="shared" si="31"/>
        <v>нет</v>
      </c>
      <c r="O1974" s="23"/>
      <c r="P1974" s="23"/>
      <c r="Q1974" s="106"/>
      <c r="R1974" s="37">
        <v>436</v>
      </c>
      <c r="S1974" s="38" t="s">
        <v>848</v>
      </c>
      <c r="T1974" s="37">
        <v>1531</v>
      </c>
      <c r="U1974" s="39" t="s">
        <v>1575</v>
      </c>
      <c r="V1974" s="69" t="s">
        <v>272</v>
      </c>
      <c r="W1974" s="89" t="s">
        <v>173</v>
      </c>
      <c r="X1974" s="106" t="s">
        <v>297</v>
      </c>
      <c r="Y1974" s="107" t="s">
        <v>12</v>
      </c>
      <c r="Z1974" s="67">
        <f>IF(База_КР_КК[[#This Row],[Таб.номер резервиста]]="-","-",IF(OR(База_КР_КК[[#This Row],[Уровень КК]]=2,База_КР_КК[[#This Row],[Уровень КК]]=3),IF(COUNTIFS($U$2:$U1974,$U1974,$F$2:$F1974,$F1974)=1,1,0),IF(COUNTIFS($U$2:$U1974,$U1974,$L$2:$L1974,$L1974)=1,1,0)))</f>
        <v>0</v>
      </c>
      <c r="AA19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4" s="106"/>
      <c r="AC1974" s="51"/>
      <c r="AD1974" s="106" t="s">
        <v>15</v>
      </c>
      <c r="AE1974" s="38" t="s">
        <v>343</v>
      </c>
    </row>
    <row r="1975" spans="1:31" ht="18" customHeight="1" x14ac:dyDescent="0.25">
      <c r="A19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5" s="79">
        <v>4</v>
      </c>
      <c r="C1975" s="23">
        <v>44425</v>
      </c>
      <c r="D1975" s="67">
        <f>IF(COUNTIF($G$2:$G1975,$G1975)=1,1,0)</f>
        <v>0</v>
      </c>
      <c r="E1975" s="67" t="str">
        <f>IFERROR(VLOOKUP(База_КР_КК[[#This Row],[ИД штатной должности (S)]],'уровень защищенности'!$B$7:$F$1095,5,0),"не защищена")</f>
        <v>высокий</v>
      </c>
      <c r="F1975" s="68">
        <v>500272</v>
      </c>
      <c r="G1975" s="74" t="s">
        <v>2608</v>
      </c>
      <c r="H1975" s="181">
        <f>INDEX('Списки данных'!$D$2:$D$1048576,MATCH(База_КР_КК[[#This Row],[Структурное подразделение]],'Списки данных'!$C$2:$C$1048576,0))</f>
        <v>13</v>
      </c>
      <c r="I1975" s="80" t="s">
        <v>173</v>
      </c>
      <c r="J1975" s="80" t="s">
        <v>212</v>
      </c>
      <c r="K1975" s="80" t="s">
        <v>213</v>
      </c>
      <c r="L1975" s="30" t="s">
        <v>191</v>
      </c>
      <c r="M1975" s="68">
        <v>7</v>
      </c>
      <c r="N1975" s="181" t="str">
        <f t="shared" si="31"/>
        <v>нет</v>
      </c>
      <c r="O1975" s="23"/>
      <c r="P1975" s="23"/>
      <c r="Q1975" s="106"/>
      <c r="R1975" s="37">
        <v>436</v>
      </c>
      <c r="S1975" s="38" t="s">
        <v>848</v>
      </c>
      <c r="T1975" s="37">
        <v>1538</v>
      </c>
      <c r="U1975" s="39" t="s">
        <v>1893</v>
      </c>
      <c r="V1975" s="69" t="s">
        <v>272</v>
      </c>
      <c r="W1975" s="89" t="s">
        <v>173</v>
      </c>
      <c r="X1975" s="106" t="s">
        <v>297</v>
      </c>
      <c r="Y1975" s="107" t="s">
        <v>18</v>
      </c>
      <c r="Z1975" s="67">
        <f>IF(База_КР_КК[[#This Row],[Таб.номер резервиста]]="-","-",IF(OR(База_КР_КК[[#This Row],[Уровень КК]]=2,База_КР_КК[[#This Row],[Уровень КК]]=3),IF(COUNTIFS($U$2:$U1975,$U1975,$F$2:$F1975,$F1975)=1,1,0),IF(COUNTIFS($U$2:$U1975,$U1975,$L$2:$L1975,$L1975)=1,1,0)))</f>
        <v>0</v>
      </c>
      <c r="AA19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5" s="106" t="s">
        <v>20</v>
      </c>
      <c r="AC1975" s="51">
        <v>44552</v>
      </c>
      <c r="AD1975" s="106" t="s">
        <v>15</v>
      </c>
      <c r="AE1975" s="38" t="s">
        <v>343</v>
      </c>
    </row>
    <row r="1976" spans="1:31" ht="18" customHeight="1" x14ac:dyDescent="0.25">
      <c r="A19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6" s="79">
        <v>4</v>
      </c>
      <c r="C1976" s="23">
        <v>44425</v>
      </c>
      <c r="D1976" s="67">
        <f>IF(COUNTIF($G$2:$G1976,$G1976)=1,1,0)</f>
        <v>1</v>
      </c>
      <c r="E1976" s="67" t="str">
        <f>IFERROR(VLOOKUP(База_КР_КК[[#This Row],[ИД штатной должности (S)]],'уровень защищенности'!$B$7:$F$1095,5,0),"не защищена")</f>
        <v>высокий</v>
      </c>
      <c r="F1976" s="68">
        <v>500273</v>
      </c>
      <c r="G1976" s="74" t="s">
        <v>2609</v>
      </c>
      <c r="H1976" s="181">
        <f>INDEX('Списки данных'!$D$2:$D$1048576,MATCH(База_КР_КК[[#This Row],[Структурное подразделение]],'Списки данных'!$C$2:$C$1048576,0))</f>
        <v>13</v>
      </c>
      <c r="I1976" s="80" t="s">
        <v>173</v>
      </c>
      <c r="J1976" s="80" t="s">
        <v>212</v>
      </c>
      <c r="K1976" s="80" t="s">
        <v>213</v>
      </c>
      <c r="L1976" s="30" t="s">
        <v>191</v>
      </c>
      <c r="M1976" s="68">
        <v>7</v>
      </c>
      <c r="N1976" s="181" t="str">
        <f t="shared" si="31"/>
        <v>нет</v>
      </c>
      <c r="O1976" s="23"/>
      <c r="P1976" s="23"/>
      <c r="Q1976" s="106"/>
      <c r="R1976" s="37">
        <v>437</v>
      </c>
      <c r="S1976" s="38" t="s">
        <v>849</v>
      </c>
      <c r="T1976" s="37">
        <v>1527</v>
      </c>
      <c r="U1976" s="39" t="s">
        <v>1884</v>
      </c>
      <c r="V1976" s="69" t="s">
        <v>272</v>
      </c>
      <c r="W1976" s="89" t="s">
        <v>173</v>
      </c>
      <c r="X1976" s="106" t="s">
        <v>295</v>
      </c>
      <c r="Y1976" s="107" t="s">
        <v>12</v>
      </c>
      <c r="Z1976" s="67">
        <f>IF(База_КР_КК[[#This Row],[Таб.номер резервиста]]="-","-",IF(OR(База_КР_КК[[#This Row],[Уровень КК]]=2,База_КР_КК[[#This Row],[Уровень КК]]=3),IF(COUNTIFS($U$2:$U1976,$U1976,$F$2:$F1976,$F1976)=1,1,0),IF(COUNTIFS($U$2:$U1976,$U1976,$L$2:$L1976,$L1976)=1,1,0)))</f>
        <v>0</v>
      </c>
      <c r="AA19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6" s="106"/>
      <c r="AC1976" s="51"/>
      <c r="AD1976" s="106" t="s">
        <v>15</v>
      </c>
      <c r="AE1976" s="38" t="s">
        <v>343</v>
      </c>
    </row>
    <row r="1977" spans="1:31" ht="18" customHeight="1" x14ac:dyDescent="0.25">
      <c r="A19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7" s="79">
        <v>4</v>
      </c>
      <c r="C1977" s="23">
        <v>44425</v>
      </c>
      <c r="D1977" s="67">
        <f>IF(COUNTIF($G$2:$G1977,$G1977)=1,1,0)</f>
        <v>0</v>
      </c>
      <c r="E1977" s="67" t="str">
        <f>IFERROR(VLOOKUP(База_КР_КК[[#This Row],[ИД штатной должности (S)]],'уровень защищенности'!$B$7:$F$1095,5,0),"не защищена")</f>
        <v>высокий</v>
      </c>
      <c r="F1977" s="68">
        <v>500273</v>
      </c>
      <c r="G1977" s="74" t="s">
        <v>2609</v>
      </c>
      <c r="H1977" s="181">
        <f>INDEX('Списки данных'!$D$2:$D$1048576,MATCH(База_КР_КК[[#This Row],[Структурное подразделение]],'Списки данных'!$C$2:$C$1048576,0))</f>
        <v>13</v>
      </c>
      <c r="I1977" s="80" t="s">
        <v>173</v>
      </c>
      <c r="J1977" s="80" t="s">
        <v>212</v>
      </c>
      <c r="K1977" s="80" t="s">
        <v>213</v>
      </c>
      <c r="L1977" s="30" t="s">
        <v>191</v>
      </c>
      <c r="M1977" s="68">
        <v>7</v>
      </c>
      <c r="N1977" s="181" t="str">
        <f t="shared" si="31"/>
        <v>нет</v>
      </c>
      <c r="O1977" s="23"/>
      <c r="P1977" s="23"/>
      <c r="Q1977" s="106"/>
      <c r="R1977" s="37">
        <v>437</v>
      </c>
      <c r="S1977" s="38" t="s">
        <v>849</v>
      </c>
      <c r="T1977" s="37">
        <v>1528</v>
      </c>
      <c r="U1977" s="39" t="s">
        <v>1885</v>
      </c>
      <c r="V1977" s="69" t="s">
        <v>272</v>
      </c>
      <c r="W1977" s="89" t="s">
        <v>173</v>
      </c>
      <c r="X1977" s="106" t="s">
        <v>296</v>
      </c>
      <c r="Y1977" s="107" t="s">
        <v>12</v>
      </c>
      <c r="Z1977" s="67">
        <f>IF(База_КР_КК[[#This Row],[Таб.номер резервиста]]="-","-",IF(OR(База_КР_КК[[#This Row],[Уровень КК]]=2,База_КР_КК[[#This Row],[Уровень КК]]=3),IF(COUNTIFS($U$2:$U1977,$U1977,$F$2:$F1977,$F1977)=1,1,0),IF(COUNTIFS($U$2:$U1977,$U1977,$L$2:$L1977,$L1977)=1,1,0)))</f>
        <v>0</v>
      </c>
      <c r="AA19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7" s="106"/>
      <c r="AC1977" s="51"/>
      <c r="AD1977" s="106" t="s">
        <v>15</v>
      </c>
      <c r="AE1977" s="38" t="s">
        <v>343</v>
      </c>
    </row>
    <row r="1978" spans="1:31" ht="18" customHeight="1" x14ac:dyDescent="0.25">
      <c r="A19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8" s="79">
        <v>4</v>
      </c>
      <c r="C1978" s="23">
        <v>44425</v>
      </c>
      <c r="D1978" s="67">
        <f>IF(COUNTIF($G$2:$G1978,$G1978)=1,1,0)</f>
        <v>0</v>
      </c>
      <c r="E1978" s="67" t="str">
        <f>IFERROR(VLOOKUP(База_КР_КК[[#This Row],[ИД штатной должности (S)]],'уровень защищенности'!$B$7:$F$1095,5,0),"не защищена")</f>
        <v>высокий</v>
      </c>
      <c r="F1978" s="68">
        <v>500273</v>
      </c>
      <c r="G1978" s="74" t="s">
        <v>2609</v>
      </c>
      <c r="H1978" s="181">
        <f>INDEX('Списки данных'!$D$2:$D$1048576,MATCH(База_КР_КК[[#This Row],[Структурное подразделение]],'Списки данных'!$C$2:$C$1048576,0))</f>
        <v>13</v>
      </c>
      <c r="I1978" s="80" t="s">
        <v>173</v>
      </c>
      <c r="J1978" s="80" t="s">
        <v>212</v>
      </c>
      <c r="K1978" s="80" t="s">
        <v>213</v>
      </c>
      <c r="L1978" s="30" t="s">
        <v>191</v>
      </c>
      <c r="M1978" s="68">
        <v>7</v>
      </c>
      <c r="N1978" s="181" t="str">
        <f t="shared" si="31"/>
        <v>нет</v>
      </c>
      <c r="O1978" s="23"/>
      <c r="P1978" s="23"/>
      <c r="Q1978" s="106"/>
      <c r="R1978" s="37">
        <v>437</v>
      </c>
      <c r="S1978" s="38" t="s">
        <v>849</v>
      </c>
      <c r="T1978" s="37">
        <v>1529</v>
      </c>
      <c r="U1978" s="39" t="s">
        <v>1886</v>
      </c>
      <c r="V1978" s="69" t="s">
        <v>272</v>
      </c>
      <c r="W1978" s="89" t="s">
        <v>173</v>
      </c>
      <c r="X1978" s="106" t="s">
        <v>297</v>
      </c>
      <c r="Y1978" s="107" t="s">
        <v>12</v>
      </c>
      <c r="Z1978" s="67">
        <f>IF(База_КР_КК[[#This Row],[Таб.номер резервиста]]="-","-",IF(OR(База_КР_КК[[#This Row],[Уровень КК]]=2,База_КР_КК[[#This Row],[Уровень КК]]=3),IF(COUNTIFS($U$2:$U1978,$U1978,$F$2:$F1978,$F1978)=1,1,0),IF(COUNTIFS($U$2:$U1978,$U1978,$L$2:$L1978,$L1978)=1,1,0)))</f>
        <v>0</v>
      </c>
      <c r="AA19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8" s="106"/>
      <c r="AC1978" s="51"/>
      <c r="AD1978" s="106" t="s">
        <v>15</v>
      </c>
      <c r="AE1978" s="38" t="s">
        <v>343</v>
      </c>
    </row>
    <row r="1979" spans="1:31" ht="18" customHeight="1" x14ac:dyDescent="0.25">
      <c r="A19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79" s="79">
        <v>4</v>
      </c>
      <c r="C1979" s="23">
        <v>44425</v>
      </c>
      <c r="D1979" s="67">
        <f>IF(COUNTIF($G$2:$G1979,$G1979)=1,1,0)</f>
        <v>0</v>
      </c>
      <c r="E1979" s="67" t="str">
        <f>IFERROR(VLOOKUP(База_КР_КК[[#This Row],[ИД штатной должности (S)]],'уровень защищенности'!$B$7:$F$1095,5,0),"не защищена")</f>
        <v>высокий</v>
      </c>
      <c r="F1979" s="68">
        <v>500273</v>
      </c>
      <c r="G1979" s="74" t="s">
        <v>2609</v>
      </c>
      <c r="H1979" s="181">
        <f>INDEX('Списки данных'!$D$2:$D$1048576,MATCH(База_КР_КК[[#This Row],[Структурное подразделение]],'Списки данных'!$C$2:$C$1048576,0))</f>
        <v>13</v>
      </c>
      <c r="I1979" s="80" t="s">
        <v>173</v>
      </c>
      <c r="J1979" s="80" t="s">
        <v>212</v>
      </c>
      <c r="K1979" s="80" t="s">
        <v>213</v>
      </c>
      <c r="L1979" s="30" t="s">
        <v>191</v>
      </c>
      <c r="M1979" s="68">
        <v>7</v>
      </c>
      <c r="N1979" s="181" t="str">
        <f t="shared" si="31"/>
        <v>нет</v>
      </c>
      <c r="O1979" s="23"/>
      <c r="P1979" s="23"/>
      <c r="Q1979" s="106"/>
      <c r="R1979" s="37">
        <v>437</v>
      </c>
      <c r="S1979" s="38" t="s">
        <v>849</v>
      </c>
      <c r="T1979" s="37">
        <v>1530</v>
      </c>
      <c r="U1979" s="39" t="s">
        <v>1887</v>
      </c>
      <c r="V1979" s="69" t="s">
        <v>272</v>
      </c>
      <c r="W1979" s="89" t="s">
        <v>173</v>
      </c>
      <c r="X1979" s="106" t="s">
        <v>296</v>
      </c>
      <c r="Y1979" s="107" t="s">
        <v>12</v>
      </c>
      <c r="Z1979" s="67">
        <f>IF(База_КР_КК[[#This Row],[Таб.номер резервиста]]="-","-",IF(OR(База_КР_КК[[#This Row],[Уровень КК]]=2,База_КР_КК[[#This Row],[Уровень КК]]=3),IF(COUNTIFS($U$2:$U1979,$U1979,$F$2:$F1979,$F1979)=1,1,0),IF(COUNTIFS($U$2:$U1979,$U1979,$L$2:$L1979,$L1979)=1,1,0)))</f>
        <v>0</v>
      </c>
      <c r="AA19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79" s="106"/>
      <c r="AC1979" s="51"/>
      <c r="AD1979" s="106" t="s">
        <v>15</v>
      </c>
      <c r="AE1979" s="38" t="s">
        <v>343</v>
      </c>
    </row>
    <row r="1980" spans="1:31" ht="18" customHeight="1" x14ac:dyDescent="0.25">
      <c r="A19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0" s="79">
        <v>4</v>
      </c>
      <c r="C1980" s="23">
        <v>44425</v>
      </c>
      <c r="D1980" s="67">
        <f>IF(COUNTIF($G$2:$G1980,$G1980)=1,1,0)</f>
        <v>0</v>
      </c>
      <c r="E1980" s="67" t="str">
        <f>IFERROR(VLOOKUP(База_КР_КК[[#This Row],[ИД штатной должности (S)]],'уровень защищенности'!$B$7:$F$1095,5,0),"не защищена")</f>
        <v>высокий</v>
      </c>
      <c r="F1980" s="68">
        <v>500273</v>
      </c>
      <c r="G1980" s="74" t="s">
        <v>2609</v>
      </c>
      <c r="H1980" s="181">
        <f>INDEX('Списки данных'!$D$2:$D$1048576,MATCH(База_КР_КК[[#This Row],[Структурное подразделение]],'Списки данных'!$C$2:$C$1048576,0))</f>
        <v>13</v>
      </c>
      <c r="I1980" s="80" t="s">
        <v>173</v>
      </c>
      <c r="J1980" s="80" t="s">
        <v>212</v>
      </c>
      <c r="K1980" s="80" t="s">
        <v>213</v>
      </c>
      <c r="L1980" s="30" t="s">
        <v>191</v>
      </c>
      <c r="M1980" s="68">
        <v>7</v>
      </c>
      <c r="N1980" s="181" t="str">
        <f t="shared" si="31"/>
        <v>нет</v>
      </c>
      <c r="O1980" s="23"/>
      <c r="P1980" s="23"/>
      <c r="Q1980" s="106"/>
      <c r="R1980" s="37">
        <v>437</v>
      </c>
      <c r="S1980" s="38" t="s">
        <v>849</v>
      </c>
      <c r="T1980" s="37">
        <v>1531</v>
      </c>
      <c r="U1980" s="39" t="s">
        <v>1575</v>
      </c>
      <c r="V1980" s="69" t="s">
        <v>272</v>
      </c>
      <c r="W1980" s="89" t="s">
        <v>173</v>
      </c>
      <c r="X1980" s="106" t="s">
        <v>297</v>
      </c>
      <c r="Y1980" s="107" t="s">
        <v>12</v>
      </c>
      <c r="Z1980" s="67">
        <f>IF(База_КР_КК[[#This Row],[Таб.номер резервиста]]="-","-",IF(OR(База_КР_КК[[#This Row],[Уровень КК]]=2,База_КР_КК[[#This Row],[Уровень КК]]=3),IF(COUNTIFS($U$2:$U1980,$U1980,$F$2:$F1980,$F1980)=1,1,0),IF(COUNTIFS($U$2:$U1980,$U1980,$L$2:$L1980,$L1980)=1,1,0)))</f>
        <v>0</v>
      </c>
      <c r="AA19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0" s="106"/>
      <c r="AC1980" s="51"/>
      <c r="AD1980" s="106" t="s">
        <v>15</v>
      </c>
      <c r="AE1980" s="38" t="s">
        <v>343</v>
      </c>
    </row>
    <row r="1981" spans="1:31" ht="18" customHeight="1" x14ac:dyDescent="0.25">
      <c r="A19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1" s="79">
        <v>4</v>
      </c>
      <c r="C1981" s="23">
        <v>44890</v>
      </c>
      <c r="D1981" s="67">
        <f>IF(COUNTIF($G$2:$G1981,$G1981)=1,1,0)</f>
        <v>0</v>
      </c>
      <c r="E1981" s="67" t="str">
        <f>IFERROR(VLOOKUP(База_КР_КК[[#This Row],[ИД штатной должности (S)]],'уровень защищенности'!$B$7:$F$1095,5,0),"не защищена")</f>
        <v>высокий</v>
      </c>
      <c r="F1981" s="68">
        <v>500273</v>
      </c>
      <c r="G1981" s="74" t="s">
        <v>2609</v>
      </c>
      <c r="H1981" s="181">
        <f>INDEX('Списки данных'!$D$2:$D$1048576,MATCH(База_КР_КК[[#This Row],[Структурное подразделение]],'Списки данных'!$C$2:$C$1048576,0))</f>
        <v>13</v>
      </c>
      <c r="I1981" s="80" t="s">
        <v>173</v>
      </c>
      <c r="J1981" s="80" t="s">
        <v>212</v>
      </c>
      <c r="K1981" s="80" t="s">
        <v>213</v>
      </c>
      <c r="L1981" s="30" t="s">
        <v>191</v>
      </c>
      <c r="M1981" s="68">
        <v>7</v>
      </c>
      <c r="N1981" s="181" t="str">
        <f t="shared" si="31"/>
        <v>нет</v>
      </c>
      <c r="O1981" s="23"/>
      <c r="P1981" s="23"/>
      <c r="Q1981" s="106"/>
      <c r="R1981" s="37">
        <v>437</v>
      </c>
      <c r="S1981" s="38" t="s">
        <v>849</v>
      </c>
      <c r="T1981" s="37">
        <v>1532</v>
      </c>
      <c r="U1981" s="39" t="s">
        <v>1888</v>
      </c>
      <c r="V1981" s="69" t="s">
        <v>272</v>
      </c>
      <c r="W1981" s="89" t="s">
        <v>173</v>
      </c>
      <c r="X1981" s="106" t="s">
        <v>296</v>
      </c>
      <c r="Y1981" s="107" t="s">
        <v>12</v>
      </c>
      <c r="Z1981" s="67">
        <f>IF(База_КР_КК[[#This Row],[Таб.номер резервиста]]="-","-",IF(OR(База_КР_КК[[#This Row],[Уровень КК]]=2,База_КР_КК[[#This Row],[Уровень КК]]=3),IF(COUNTIFS($U$2:$U1981,$U1981,$F$2:$F1981,$F1981)=1,1,0),IF(COUNTIFS($U$2:$U1981,$U1981,$L$2:$L1981,$L1981)=1,1,0)))</f>
        <v>1</v>
      </c>
      <c r="AA19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1" s="106"/>
      <c r="AC1981" s="51"/>
      <c r="AD1981" s="106" t="s">
        <v>15</v>
      </c>
      <c r="AE1981" s="38" t="s">
        <v>344</v>
      </c>
    </row>
    <row r="1982" spans="1:31" ht="18" customHeight="1" x14ac:dyDescent="0.25">
      <c r="A19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2" s="79">
        <v>4</v>
      </c>
      <c r="C1982" s="23">
        <v>44890</v>
      </c>
      <c r="D1982" s="67">
        <f>IF(COUNTIF($G$2:$G1982,$G1982)=1,1,0)</f>
        <v>0</v>
      </c>
      <c r="E1982" s="67" t="str">
        <f>IFERROR(VLOOKUP(База_КР_КК[[#This Row],[ИД штатной должности (S)]],'уровень защищенности'!$B$7:$F$1095,5,0),"не защищена")</f>
        <v>высокий</v>
      </c>
      <c r="F1982" s="68">
        <v>500273</v>
      </c>
      <c r="G1982" s="74" t="s">
        <v>2609</v>
      </c>
      <c r="H1982" s="181">
        <f>INDEX('Списки данных'!$D$2:$D$1048576,MATCH(База_КР_КК[[#This Row],[Структурное подразделение]],'Списки данных'!$C$2:$C$1048576,0))</f>
        <v>13</v>
      </c>
      <c r="I1982" s="80" t="s">
        <v>173</v>
      </c>
      <c r="J1982" s="80" t="s">
        <v>212</v>
      </c>
      <c r="K1982" s="80" t="s">
        <v>213</v>
      </c>
      <c r="L1982" s="30" t="s">
        <v>191</v>
      </c>
      <c r="M1982" s="68">
        <v>7</v>
      </c>
      <c r="N1982" s="181" t="str">
        <f t="shared" si="31"/>
        <v>нет</v>
      </c>
      <c r="O1982" s="23"/>
      <c r="P1982" s="23"/>
      <c r="Q1982" s="106"/>
      <c r="R1982" s="37">
        <v>437</v>
      </c>
      <c r="S1982" s="38" t="s">
        <v>849</v>
      </c>
      <c r="T1982" s="37">
        <v>1533</v>
      </c>
      <c r="U1982" s="39" t="s">
        <v>1889</v>
      </c>
      <c r="V1982" s="69" t="s">
        <v>272</v>
      </c>
      <c r="W1982" s="89" t="s">
        <v>173</v>
      </c>
      <c r="X1982" s="106" t="s">
        <v>296</v>
      </c>
      <c r="Y1982" s="107" t="s">
        <v>12</v>
      </c>
      <c r="Z1982" s="67">
        <f>IF(База_КР_КК[[#This Row],[Таб.номер резервиста]]="-","-",IF(OR(База_КР_КК[[#This Row],[Уровень КК]]=2,База_КР_КК[[#This Row],[Уровень КК]]=3),IF(COUNTIFS($U$2:$U1982,$U1982,$F$2:$F1982,$F1982)=1,1,0),IF(COUNTIFS($U$2:$U1982,$U1982,$L$2:$L1982,$L1982)=1,1,0)))</f>
        <v>1</v>
      </c>
      <c r="AA19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2" s="106"/>
      <c r="AC1982" s="51"/>
      <c r="AD1982" s="106" t="s">
        <v>15</v>
      </c>
      <c r="AE1982" s="38" t="s">
        <v>344</v>
      </c>
    </row>
    <row r="1983" spans="1:31" ht="18" customHeight="1" x14ac:dyDescent="0.25">
      <c r="A19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3" s="79">
        <v>4</v>
      </c>
      <c r="C1983" s="23">
        <v>44890</v>
      </c>
      <c r="D1983" s="67">
        <f>IF(COUNTIF($G$2:$G1983,$G1983)=1,1,0)</f>
        <v>0</v>
      </c>
      <c r="E1983" s="67" t="str">
        <f>IFERROR(VLOOKUP(База_КР_КК[[#This Row],[ИД штатной должности (S)]],'уровень защищенности'!$B$7:$F$1095,5,0),"не защищена")</f>
        <v>высокий</v>
      </c>
      <c r="F1983" s="68">
        <v>500273</v>
      </c>
      <c r="G1983" s="74" t="s">
        <v>2609</v>
      </c>
      <c r="H1983" s="181">
        <f>INDEX('Списки данных'!$D$2:$D$1048576,MATCH(База_КР_КК[[#This Row],[Структурное подразделение]],'Списки данных'!$C$2:$C$1048576,0))</f>
        <v>13</v>
      </c>
      <c r="I1983" s="80" t="s">
        <v>173</v>
      </c>
      <c r="J1983" s="80" t="s">
        <v>212</v>
      </c>
      <c r="K1983" s="80" t="s">
        <v>213</v>
      </c>
      <c r="L1983" s="30" t="s">
        <v>191</v>
      </c>
      <c r="M1983" s="68">
        <v>7</v>
      </c>
      <c r="N1983" s="181" t="str">
        <f t="shared" si="31"/>
        <v>нет</v>
      </c>
      <c r="O1983" s="23"/>
      <c r="P1983" s="23"/>
      <c r="Q1983" s="106"/>
      <c r="R1983" s="37">
        <v>437</v>
      </c>
      <c r="S1983" s="38" t="s">
        <v>849</v>
      </c>
      <c r="T1983" s="37">
        <v>1534</v>
      </c>
      <c r="U1983" s="39" t="s">
        <v>1890</v>
      </c>
      <c r="V1983" s="69" t="s">
        <v>272</v>
      </c>
      <c r="W1983" s="89" t="s">
        <v>173</v>
      </c>
      <c r="X1983" s="106" t="s">
        <v>296</v>
      </c>
      <c r="Y1983" s="107" t="s">
        <v>12</v>
      </c>
      <c r="Z1983" s="67">
        <f>IF(База_КР_КК[[#This Row],[Таб.номер резервиста]]="-","-",IF(OR(База_КР_КК[[#This Row],[Уровень КК]]=2,База_КР_КК[[#This Row],[Уровень КК]]=3),IF(COUNTIFS($U$2:$U1983,$U1983,$F$2:$F1983,$F1983)=1,1,0),IF(COUNTIFS($U$2:$U1983,$U1983,$L$2:$L1983,$L1983)=1,1,0)))</f>
        <v>1</v>
      </c>
      <c r="AA19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3" s="106"/>
      <c r="AC1983" s="51"/>
      <c r="AD1983" s="106" t="s">
        <v>15</v>
      </c>
      <c r="AE1983" s="38" t="s">
        <v>344</v>
      </c>
    </row>
    <row r="1984" spans="1:31" ht="18" customHeight="1" x14ac:dyDescent="0.25">
      <c r="A19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4" s="79">
        <v>4</v>
      </c>
      <c r="C1984" s="23">
        <v>44890</v>
      </c>
      <c r="D1984" s="67">
        <f>IF(COUNTIF($G$2:$G1984,$G1984)=1,1,0)</f>
        <v>0</v>
      </c>
      <c r="E1984" s="67" t="str">
        <f>IFERROR(VLOOKUP(База_КР_КК[[#This Row],[ИД штатной должности (S)]],'уровень защищенности'!$B$7:$F$1095,5,0),"не защищена")</f>
        <v>высокий</v>
      </c>
      <c r="F1984" s="68">
        <v>500273</v>
      </c>
      <c r="G1984" s="74" t="s">
        <v>2609</v>
      </c>
      <c r="H1984" s="181">
        <f>INDEX('Списки данных'!$D$2:$D$1048576,MATCH(База_КР_КК[[#This Row],[Структурное подразделение]],'Списки данных'!$C$2:$C$1048576,0))</f>
        <v>13</v>
      </c>
      <c r="I1984" s="80" t="s">
        <v>173</v>
      </c>
      <c r="J1984" s="80" t="s">
        <v>212</v>
      </c>
      <c r="K1984" s="80" t="s">
        <v>213</v>
      </c>
      <c r="L1984" s="30" t="s">
        <v>191</v>
      </c>
      <c r="M1984" s="68">
        <v>7</v>
      </c>
      <c r="N1984" s="181" t="str">
        <f t="shared" ref="N1984:N2047" si="32">IF(ISBLANK(O1984),"нет","да")</f>
        <v>нет</v>
      </c>
      <c r="O1984" s="23"/>
      <c r="P1984" s="23"/>
      <c r="Q1984" s="106"/>
      <c r="R1984" s="37">
        <v>437</v>
      </c>
      <c r="S1984" s="38" t="s">
        <v>849</v>
      </c>
      <c r="T1984" s="37">
        <v>1535</v>
      </c>
      <c r="U1984" s="39" t="s">
        <v>1634</v>
      </c>
      <c r="V1984" s="69" t="s">
        <v>272</v>
      </c>
      <c r="W1984" s="89" t="s">
        <v>173</v>
      </c>
      <c r="X1984" s="106" t="s">
        <v>296</v>
      </c>
      <c r="Y1984" s="107" t="s">
        <v>12</v>
      </c>
      <c r="Z1984" s="67">
        <f>IF(База_КР_КК[[#This Row],[Таб.номер резервиста]]="-","-",IF(OR(База_КР_КК[[#This Row],[Уровень КК]]=2,База_КР_КК[[#This Row],[Уровень КК]]=3),IF(COUNTIFS($U$2:$U1984,$U1984,$F$2:$F1984,$F1984)=1,1,0),IF(COUNTIFS($U$2:$U1984,$U1984,$L$2:$L1984,$L1984)=1,1,0)))</f>
        <v>1</v>
      </c>
      <c r="AA19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4" s="106"/>
      <c r="AC1984" s="51"/>
      <c r="AD1984" s="106" t="s">
        <v>15</v>
      </c>
      <c r="AE1984" s="38" t="s">
        <v>344</v>
      </c>
    </row>
    <row r="1985" spans="1:31" ht="18" customHeight="1" x14ac:dyDescent="0.25">
      <c r="A19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5" s="79">
        <v>4</v>
      </c>
      <c r="C1985" s="23">
        <v>44890</v>
      </c>
      <c r="D1985" s="67">
        <f>IF(COUNTIF($G$2:$G1985,$G1985)=1,1,0)</f>
        <v>0</v>
      </c>
      <c r="E1985" s="67" t="str">
        <f>IFERROR(VLOOKUP(База_КР_КК[[#This Row],[ИД штатной должности (S)]],'уровень защищенности'!$B$7:$F$1095,5,0),"не защищена")</f>
        <v>высокий</v>
      </c>
      <c r="F1985" s="68">
        <v>500273</v>
      </c>
      <c r="G1985" s="74" t="s">
        <v>2609</v>
      </c>
      <c r="H1985" s="181">
        <f>INDEX('Списки данных'!$D$2:$D$1048576,MATCH(База_КР_КК[[#This Row],[Структурное подразделение]],'Списки данных'!$C$2:$C$1048576,0))</f>
        <v>13</v>
      </c>
      <c r="I1985" s="80" t="s">
        <v>173</v>
      </c>
      <c r="J1985" s="80" t="s">
        <v>212</v>
      </c>
      <c r="K1985" s="80" t="s">
        <v>213</v>
      </c>
      <c r="L1985" s="30" t="s">
        <v>191</v>
      </c>
      <c r="M1985" s="68">
        <v>7</v>
      </c>
      <c r="N1985" s="181" t="str">
        <f t="shared" si="32"/>
        <v>нет</v>
      </c>
      <c r="O1985" s="23"/>
      <c r="P1985" s="23"/>
      <c r="Q1985" s="106"/>
      <c r="R1985" s="37">
        <v>437</v>
      </c>
      <c r="S1985" s="38" t="s">
        <v>849</v>
      </c>
      <c r="T1985" s="37">
        <v>1536</v>
      </c>
      <c r="U1985" s="39" t="s">
        <v>1891</v>
      </c>
      <c r="V1985" s="69" t="s">
        <v>272</v>
      </c>
      <c r="W1985" s="89" t="s">
        <v>173</v>
      </c>
      <c r="X1985" s="106" t="s">
        <v>296</v>
      </c>
      <c r="Y1985" s="107" t="s">
        <v>12</v>
      </c>
      <c r="Z1985" s="67">
        <f>IF(База_КР_КК[[#This Row],[Таб.номер резервиста]]="-","-",IF(OR(База_КР_КК[[#This Row],[Уровень КК]]=2,База_КР_КК[[#This Row],[Уровень КК]]=3),IF(COUNTIFS($U$2:$U1985,$U1985,$F$2:$F1985,$F1985)=1,1,0),IF(COUNTIFS($U$2:$U1985,$U1985,$L$2:$L1985,$L1985)=1,1,0)))</f>
        <v>1</v>
      </c>
      <c r="AA19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5" s="106"/>
      <c r="AC1985" s="51"/>
      <c r="AD1985" s="106" t="s">
        <v>15</v>
      </c>
      <c r="AE1985" s="38" t="s">
        <v>344</v>
      </c>
    </row>
    <row r="1986" spans="1:31" ht="18" customHeight="1" x14ac:dyDescent="0.25">
      <c r="A19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6" s="79">
        <v>4</v>
      </c>
      <c r="C1986" s="23">
        <v>44425</v>
      </c>
      <c r="D1986" s="67">
        <f>IF(COUNTIF($G$2:$G1986,$G1986)=1,1,0)</f>
        <v>0</v>
      </c>
      <c r="E1986" s="67" t="str">
        <f>IFERROR(VLOOKUP(База_КР_КК[[#This Row],[ИД штатной должности (S)]],'уровень защищенности'!$B$7:$F$1095,5,0),"не защищена")</f>
        <v>высокий</v>
      </c>
      <c r="F1986" s="68">
        <v>500273</v>
      </c>
      <c r="G1986" s="74" t="s">
        <v>2609</v>
      </c>
      <c r="H1986" s="181">
        <f>INDEX('Списки данных'!$D$2:$D$1048576,MATCH(База_КР_КК[[#This Row],[Структурное подразделение]],'Списки данных'!$C$2:$C$1048576,0))</f>
        <v>13</v>
      </c>
      <c r="I1986" s="80" t="s">
        <v>173</v>
      </c>
      <c r="J1986" s="80" t="s">
        <v>212</v>
      </c>
      <c r="K1986" s="80" t="s">
        <v>213</v>
      </c>
      <c r="L1986" s="30" t="s">
        <v>191</v>
      </c>
      <c r="M1986" s="68">
        <v>7</v>
      </c>
      <c r="N1986" s="181" t="str">
        <f t="shared" si="32"/>
        <v>нет</v>
      </c>
      <c r="O1986" s="23"/>
      <c r="P1986" s="23"/>
      <c r="Q1986" s="106"/>
      <c r="R1986" s="37">
        <v>437</v>
      </c>
      <c r="S1986" s="38" t="s">
        <v>849</v>
      </c>
      <c r="T1986" s="37">
        <v>1537</v>
      </c>
      <c r="U1986" s="39" t="s">
        <v>1892</v>
      </c>
      <c r="V1986" s="69" t="s">
        <v>272</v>
      </c>
      <c r="W1986" s="89" t="s">
        <v>173</v>
      </c>
      <c r="X1986" s="106" t="s">
        <v>295</v>
      </c>
      <c r="Y1986" s="107" t="s">
        <v>18</v>
      </c>
      <c r="Z1986" s="67">
        <f>IF(База_КР_КК[[#This Row],[Таб.номер резервиста]]="-","-",IF(OR(База_КР_КК[[#This Row],[Уровень КК]]=2,База_КР_КК[[#This Row],[Уровень КК]]=3),IF(COUNTIFS($U$2:$U1986,$U1986,$F$2:$F1986,$F1986)=1,1,0),IF(COUNTIFS($U$2:$U1986,$U1986,$L$2:$L1986,$L1986)=1,1,0)))</f>
        <v>0</v>
      </c>
      <c r="AA19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6" s="106" t="s">
        <v>38</v>
      </c>
      <c r="AC1986" s="51">
        <v>44890</v>
      </c>
      <c r="AD1986" s="106" t="s">
        <v>31</v>
      </c>
      <c r="AE1986" s="38" t="s">
        <v>344</v>
      </c>
    </row>
    <row r="1987" spans="1:31" ht="18" customHeight="1" x14ac:dyDescent="0.25">
      <c r="A19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7" s="79">
        <v>4</v>
      </c>
      <c r="C1987" s="23">
        <v>44425</v>
      </c>
      <c r="D1987" s="67">
        <f>IF(COUNTIF($G$2:$G1987,$G1987)=1,1,0)</f>
        <v>0</v>
      </c>
      <c r="E1987" s="67" t="str">
        <f>IFERROR(VLOOKUP(База_КР_КК[[#This Row],[ИД штатной должности (S)]],'уровень защищенности'!$B$7:$F$1095,5,0),"не защищена")</f>
        <v>высокий</v>
      </c>
      <c r="F1987" s="68">
        <v>500273</v>
      </c>
      <c r="G1987" s="74" t="s">
        <v>2609</v>
      </c>
      <c r="H1987" s="181">
        <f>INDEX('Списки данных'!$D$2:$D$1048576,MATCH(База_КР_КК[[#This Row],[Структурное подразделение]],'Списки данных'!$C$2:$C$1048576,0))</f>
        <v>13</v>
      </c>
      <c r="I1987" s="80" t="s">
        <v>173</v>
      </c>
      <c r="J1987" s="80" t="s">
        <v>212</v>
      </c>
      <c r="K1987" s="80" t="s">
        <v>213</v>
      </c>
      <c r="L1987" s="30" t="s">
        <v>191</v>
      </c>
      <c r="M1987" s="68">
        <v>7</v>
      </c>
      <c r="N1987" s="181" t="str">
        <f t="shared" si="32"/>
        <v>нет</v>
      </c>
      <c r="O1987" s="23"/>
      <c r="P1987" s="23"/>
      <c r="Q1987" s="106"/>
      <c r="R1987" s="37">
        <v>437</v>
      </c>
      <c r="S1987" s="38" t="s">
        <v>849</v>
      </c>
      <c r="T1987" s="37">
        <v>1538</v>
      </c>
      <c r="U1987" s="39" t="s">
        <v>1893</v>
      </c>
      <c r="V1987" s="69" t="s">
        <v>272</v>
      </c>
      <c r="W1987" s="89" t="s">
        <v>173</v>
      </c>
      <c r="X1987" s="106" t="s">
        <v>297</v>
      </c>
      <c r="Y1987" s="107" t="s">
        <v>18</v>
      </c>
      <c r="Z1987" s="67">
        <f>IF(База_КР_КК[[#This Row],[Таб.номер резервиста]]="-","-",IF(OR(База_КР_КК[[#This Row],[Уровень КК]]=2,База_КР_КК[[#This Row],[Уровень КК]]=3),IF(COUNTIFS($U$2:$U1987,$U1987,$F$2:$F1987,$F1987)=1,1,0),IF(COUNTIFS($U$2:$U1987,$U1987,$L$2:$L1987,$L1987)=1,1,0)))</f>
        <v>0</v>
      </c>
      <c r="AA19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7" s="106" t="s">
        <v>20</v>
      </c>
      <c r="AC1987" s="51">
        <v>44552</v>
      </c>
      <c r="AD1987" s="106" t="s">
        <v>15</v>
      </c>
      <c r="AE1987" s="38" t="s">
        <v>343</v>
      </c>
    </row>
    <row r="1988" spans="1:31" ht="18" customHeight="1" x14ac:dyDescent="0.25">
      <c r="A19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8" s="79">
        <v>4</v>
      </c>
      <c r="C1988" s="23">
        <v>44425</v>
      </c>
      <c r="D1988" s="67">
        <f>IF(COUNTIF($G$2:$G1988,$G1988)=1,1,0)</f>
        <v>1</v>
      </c>
      <c r="E1988" s="67" t="str">
        <f>IFERROR(VLOOKUP(База_КР_КК[[#This Row],[ИД штатной должности (S)]],'уровень защищенности'!$B$7:$F$1095,5,0),"не защищена")</f>
        <v>высокий</v>
      </c>
      <c r="F1988" s="68">
        <v>500273</v>
      </c>
      <c r="G1988" s="74" t="s">
        <v>2610</v>
      </c>
      <c r="H1988" s="181">
        <f>INDEX('Списки данных'!$D$2:$D$1048576,MATCH(База_КР_КК[[#This Row],[Структурное подразделение]],'Списки данных'!$C$2:$C$1048576,0))</f>
        <v>13</v>
      </c>
      <c r="I1988" s="80" t="s">
        <v>173</v>
      </c>
      <c r="J1988" s="80" t="s">
        <v>212</v>
      </c>
      <c r="K1988" s="80" t="s">
        <v>213</v>
      </c>
      <c r="L1988" s="30" t="s">
        <v>191</v>
      </c>
      <c r="M1988" s="68">
        <v>7</v>
      </c>
      <c r="N1988" s="181" t="str">
        <f t="shared" si="32"/>
        <v>нет</v>
      </c>
      <c r="O1988" s="23"/>
      <c r="P1988" s="23"/>
      <c r="Q1988" s="106"/>
      <c r="R1988" s="37">
        <v>438</v>
      </c>
      <c r="S1988" s="38" t="s">
        <v>850</v>
      </c>
      <c r="T1988" s="37">
        <v>1527</v>
      </c>
      <c r="U1988" s="39" t="s">
        <v>1884</v>
      </c>
      <c r="V1988" s="69" t="s">
        <v>272</v>
      </c>
      <c r="W1988" s="89" t="s">
        <v>173</v>
      </c>
      <c r="X1988" s="106" t="s">
        <v>295</v>
      </c>
      <c r="Y1988" s="107" t="s">
        <v>12</v>
      </c>
      <c r="Z1988" s="67">
        <f>IF(База_КР_КК[[#This Row],[Таб.номер резервиста]]="-","-",IF(OR(База_КР_КК[[#This Row],[Уровень КК]]=2,База_КР_КК[[#This Row],[Уровень КК]]=3),IF(COUNTIFS($U$2:$U1988,$U1988,$F$2:$F1988,$F1988)=1,1,0),IF(COUNTIFS($U$2:$U1988,$U1988,$L$2:$L1988,$L1988)=1,1,0)))</f>
        <v>0</v>
      </c>
      <c r="AA19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8" s="106"/>
      <c r="AC1988" s="51"/>
      <c r="AD1988" s="106" t="s">
        <v>15</v>
      </c>
      <c r="AE1988" s="38" t="s">
        <v>343</v>
      </c>
    </row>
    <row r="1989" spans="1:31" ht="18" customHeight="1" x14ac:dyDescent="0.25">
      <c r="A19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89" s="79">
        <v>4</v>
      </c>
      <c r="C1989" s="23">
        <v>44425</v>
      </c>
      <c r="D1989" s="67">
        <f>IF(COUNTIF($G$2:$G1989,$G1989)=1,1,0)</f>
        <v>0</v>
      </c>
      <c r="E1989" s="67" t="str">
        <f>IFERROR(VLOOKUP(База_КР_КК[[#This Row],[ИД штатной должности (S)]],'уровень защищенности'!$B$7:$F$1095,5,0),"не защищена")</f>
        <v>высокий</v>
      </c>
      <c r="F1989" s="68">
        <v>500273</v>
      </c>
      <c r="G1989" s="74" t="s">
        <v>2610</v>
      </c>
      <c r="H1989" s="181">
        <f>INDEX('Списки данных'!$D$2:$D$1048576,MATCH(База_КР_КК[[#This Row],[Структурное подразделение]],'Списки данных'!$C$2:$C$1048576,0))</f>
        <v>13</v>
      </c>
      <c r="I1989" s="80" t="s">
        <v>173</v>
      </c>
      <c r="J1989" s="80" t="s">
        <v>212</v>
      </c>
      <c r="K1989" s="80" t="s">
        <v>213</v>
      </c>
      <c r="L1989" s="30" t="s">
        <v>191</v>
      </c>
      <c r="M1989" s="68">
        <v>7</v>
      </c>
      <c r="N1989" s="181" t="str">
        <f t="shared" si="32"/>
        <v>нет</v>
      </c>
      <c r="O1989" s="23"/>
      <c r="P1989" s="23"/>
      <c r="Q1989" s="106"/>
      <c r="R1989" s="37">
        <v>438</v>
      </c>
      <c r="S1989" s="38" t="s">
        <v>850</v>
      </c>
      <c r="T1989" s="37">
        <v>1528</v>
      </c>
      <c r="U1989" s="39" t="s">
        <v>1885</v>
      </c>
      <c r="V1989" s="69" t="s">
        <v>272</v>
      </c>
      <c r="W1989" s="89" t="s">
        <v>173</v>
      </c>
      <c r="X1989" s="106" t="s">
        <v>296</v>
      </c>
      <c r="Y1989" s="107" t="s">
        <v>12</v>
      </c>
      <c r="Z1989" s="67">
        <f>IF(База_КР_КК[[#This Row],[Таб.номер резервиста]]="-","-",IF(OR(База_КР_КК[[#This Row],[Уровень КК]]=2,База_КР_КК[[#This Row],[Уровень КК]]=3),IF(COUNTIFS($U$2:$U1989,$U1989,$F$2:$F1989,$F1989)=1,1,0),IF(COUNTIFS($U$2:$U1989,$U1989,$L$2:$L1989,$L1989)=1,1,0)))</f>
        <v>0</v>
      </c>
      <c r="AA19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89" s="106"/>
      <c r="AC1989" s="51"/>
      <c r="AD1989" s="106" t="s">
        <v>15</v>
      </c>
      <c r="AE1989" s="38" t="s">
        <v>343</v>
      </c>
    </row>
    <row r="1990" spans="1:31" ht="18" customHeight="1" x14ac:dyDescent="0.25">
      <c r="A19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0" s="79">
        <v>4</v>
      </c>
      <c r="C1990" s="23">
        <v>44425</v>
      </c>
      <c r="D1990" s="67">
        <f>IF(COUNTIF($G$2:$G1990,$G1990)=1,1,0)</f>
        <v>0</v>
      </c>
      <c r="E1990" s="67" t="str">
        <f>IFERROR(VLOOKUP(База_КР_КК[[#This Row],[ИД штатной должности (S)]],'уровень защищенности'!$B$7:$F$1095,5,0),"не защищена")</f>
        <v>высокий</v>
      </c>
      <c r="F1990" s="68">
        <v>500273</v>
      </c>
      <c r="G1990" s="74" t="s">
        <v>2610</v>
      </c>
      <c r="H1990" s="181">
        <f>INDEX('Списки данных'!$D$2:$D$1048576,MATCH(База_КР_КК[[#This Row],[Структурное подразделение]],'Списки данных'!$C$2:$C$1048576,0))</f>
        <v>13</v>
      </c>
      <c r="I1990" s="80" t="s">
        <v>173</v>
      </c>
      <c r="J1990" s="80" t="s">
        <v>212</v>
      </c>
      <c r="K1990" s="80" t="s">
        <v>213</v>
      </c>
      <c r="L1990" s="30" t="s">
        <v>191</v>
      </c>
      <c r="M1990" s="68">
        <v>7</v>
      </c>
      <c r="N1990" s="181" t="str">
        <f t="shared" si="32"/>
        <v>нет</v>
      </c>
      <c r="O1990" s="23"/>
      <c r="P1990" s="23"/>
      <c r="Q1990" s="106"/>
      <c r="R1990" s="37">
        <v>438</v>
      </c>
      <c r="S1990" s="38" t="s">
        <v>850</v>
      </c>
      <c r="T1990" s="37">
        <v>1529</v>
      </c>
      <c r="U1990" s="39" t="s">
        <v>1886</v>
      </c>
      <c r="V1990" s="69" t="s">
        <v>272</v>
      </c>
      <c r="W1990" s="89" t="s">
        <v>173</v>
      </c>
      <c r="X1990" s="106" t="s">
        <v>297</v>
      </c>
      <c r="Y1990" s="107" t="s">
        <v>12</v>
      </c>
      <c r="Z1990" s="67">
        <f>IF(База_КР_КК[[#This Row],[Таб.номер резервиста]]="-","-",IF(OR(База_КР_КК[[#This Row],[Уровень КК]]=2,База_КР_КК[[#This Row],[Уровень КК]]=3),IF(COUNTIFS($U$2:$U1990,$U1990,$F$2:$F1990,$F1990)=1,1,0),IF(COUNTIFS($U$2:$U1990,$U1990,$L$2:$L1990,$L1990)=1,1,0)))</f>
        <v>0</v>
      </c>
      <c r="AA19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0" s="106"/>
      <c r="AC1990" s="51"/>
      <c r="AD1990" s="106" t="s">
        <v>15</v>
      </c>
      <c r="AE1990" s="38" t="s">
        <v>343</v>
      </c>
    </row>
    <row r="1991" spans="1:31" ht="18" customHeight="1" x14ac:dyDescent="0.25">
      <c r="A19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1" s="79">
        <v>4</v>
      </c>
      <c r="C1991" s="23">
        <v>44425</v>
      </c>
      <c r="D1991" s="67">
        <f>IF(COUNTIF($G$2:$G1991,$G1991)=1,1,0)</f>
        <v>0</v>
      </c>
      <c r="E1991" s="67" t="str">
        <f>IFERROR(VLOOKUP(База_КР_КК[[#This Row],[ИД штатной должности (S)]],'уровень защищенности'!$B$7:$F$1095,5,0),"не защищена")</f>
        <v>высокий</v>
      </c>
      <c r="F1991" s="68">
        <v>500273</v>
      </c>
      <c r="G1991" s="74" t="s">
        <v>2610</v>
      </c>
      <c r="H1991" s="181">
        <f>INDEX('Списки данных'!$D$2:$D$1048576,MATCH(База_КР_КК[[#This Row],[Структурное подразделение]],'Списки данных'!$C$2:$C$1048576,0))</f>
        <v>13</v>
      </c>
      <c r="I1991" s="80" t="s">
        <v>173</v>
      </c>
      <c r="J1991" s="80" t="s">
        <v>212</v>
      </c>
      <c r="K1991" s="80" t="s">
        <v>213</v>
      </c>
      <c r="L1991" s="30" t="s">
        <v>191</v>
      </c>
      <c r="M1991" s="68">
        <v>7</v>
      </c>
      <c r="N1991" s="181" t="str">
        <f t="shared" si="32"/>
        <v>нет</v>
      </c>
      <c r="O1991" s="23"/>
      <c r="P1991" s="23"/>
      <c r="Q1991" s="106"/>
      <c r="R1991" s="37">
        <v>438</v>
      </c>
      <c r="S1991" s="38" t="s">
        <v>850</v>
      </c>
      <c r="T1991" s="37">
        <v>1530</v>
      </c>
      <c r="U1991" s="39" t="s">
        <v>1887</v>
      </c>
      <c r="V1991" s="69" t="s">
        <v>272</v>
      </c>
      <c r="W1991" s="89" t="s">
        <v>173</v>
      </c>
      <c r="X1991" s="106" t="s">
        <v>296</v>
      </c>
      <c r="Y1991" s="107" t="s">
        <v>12</v>
      </c>
      <c r="Z1991" s="67">
        <f>IF(База_КР_КК[[#This Row],[Таб.номер резервиста]]="-","-",IF(OR(База_КР_КК[[#This Row],[Уровень КК]]=2,База_КР_КК[[#This Row],[Уровень КК]]=3),IF(COUNTIFS($U$2:$U1991,$U1991,$F$2:$F1991,$F1991)=1,1,0),IF(COUNTIFS($U$2:$U1991,$U1991,$L$2:$L1991,$L1991)=1,1,0)))</f>
        <v>0</v>
      </c>
      <c r="AA19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1" s="106"/>
      <c r="AC1991" s="51"/>
      <c r="AD1991" s="106" t="s">
        <v>15</v>
      </c>
      <c r="AE1991" s="38" t="s">
        <v>343</v>
      </c>
    </row>
    <row r="1992" spans="1:31" ht="18" customHeight="1" x14ac:dyDescent="0.25">
      <c r="A19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2" s="79">
        <v>4</v>
      </c>
      <c r="C1992" s="23">
        <v>44425</v>
      </c>
      <c r="D1992" s="67">
        <f>IF(COUNTIF($G$2:$G1992,$G1992)=1,1,0)</f>
        <v>0</v>
      </c>
      <c r="E1992" s="67" t="str">
        <f>IFERROR(VLOOKUP(База_КР_КК[[#This Row],[ИД штатной должности (S)]],'уровень защищенности'!$B$7:$F$1095,5,0),"не защищена")</f>
        <v>высокий</v>
      </c>
      <c r="F1992" s="68">
        <v>500273</v>
      </c>
      <c r="G1992" s="74" t="s">
        <v>2610</v>
      </c>
      <c r="H1992" s="181">
        <f>INDEX('Списки данных'!$D$2:$D$1048576,MATCH(База_КР_КК[[#This Row],[Структурное подразделение]],'Списки данных'!$C$2:$C$1048576,0))</f>
        <v>13</v>
      </c>
      <c r="I1992" s="80" t="s">
        <v>173</v>
      </c>
      <c r="J1992" s="80" t="s">
        <v>212</v>
      </c>
      <c r="K1992" s="80" t="s">
        <v>213</v>
      </c>
      <c r="L1992" s="30" t="s">
        <v>191</v>
      </c>
      <c r="M1992" s="68">
        <v>7</v>
      </c>
      <c r="N1992" s="181" t="str">
        <f t="shared" si="32"/>
        <v>нет</v>
      </c>
      <c r="O1992" s="23"/>
      <c r="P1992" s="23"/>
      <c r="Q1992" s="106"/>
      <c r="R1992" s="37">
        <v>438</v>
      </c>
      <c r="S1992" s="38" t="s">
        <v>850</v>
      </c>
      <c r="T1992" s="37">
        <v>1531</v>
      </c>
      <c r="U1992" s="39" t="s">
        <v>1575</v>
      </c>
      <c r="V1992" s="69" t="s">
        <v>272</v>
      </c>
      <c r="W1992" s="89" t="s">
        <v>173</v>
      </c>
      <c r="X1992" s="106" t="s">
        <v>297</v>
      </c>
      <c r="Y1992" s="107" t="s">
        <v>12</v>
      </c>
      <c r="Z1992" s="67">
        <f>IF(База_КР_КК[[#This Row],[Таб.номер резервиста]]="-","-",IF(OR(База_КР_КК[[#This Row],[Уровень КК]]=2,База_КР_КК[[#This Row],[Уровень КК]]=3),IF(COUNTIFS($U$2:$U1992,$U1992,$F$2:$F1992,$F1992)=1,1,0),IF(COUNTIFS($U$2:$U1992,$U1992,$L$2:$L1992,$L1992)=1,1,0)))</f>
        <v>0</v>
      </c>
      <c r="AA19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2" s="106"/>
      <c r="AC1992" s="51"/>
      <c r="AD1992" s="106" t="s">
        <v>15</v>
      </c>
      <c r="AE1992" s="38" t="s">
        <v>343</v>
      </c>
    </row>
    <row r="1993" spans="1:31" ht="18" customHeight="1" x14ac:dyDescent="0.25">
      <c r="A19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3" s="79">
        <v>4</v>
      </c>
      <c r="C1993" s="23">
        <v>44890</v>
      </c>
      <c r="D1993" s="67">
        <f>IF(COUNTIF($G$2:$G1993,$G1993)=1,1,0)</f>
        <v>0</v>
      </c>
      <c r="E1993" s="67" t="str">
        <f>IFERROR(VLOOKUP(База_КР_КК[[#This Row],[ИД штатной должности (S)]],'уровень защищенности'!$B$7:$F$1095,5,0),"не защищена")</f>
        <v>высокий</v>
      </c>
      <c r="F1993" s="68">
        <v>500273</v>
      </c>
      <c r="G1993" s="74" t="s">
        <v>2610</v>
      </c>
      <c r="H1993" s="181">
        <f>INDEX('Списки данных'!$D$2:$D$1048576,MATCH(База_КР_КК[[#This Row],[Структурное подразделение]],'Списки данных'!$C$2:$C$1048576,0))</f>
        <v>13</v>
      </c>
      <c r="I1993" s="80" t="s">
        <v>173</v>
      </c>
      <c r="J1993" s="80" t="s">
        <v>212</v>
      </c>
      <c r="K1993" s="80" t="s">
        <v>213</v>
      </c>
      <c r="L1993" s="30" t="s">
        <v>191</v>
      </c>
      <c r="M1993" s="68">
        <v>7</v>
      </c>
      <c r="N1993" s="181" t="str">
        <f t="shared" si="32"/>
        <v>нет</v>
      </c>
      <c r="O1993" s="23"/>
      <c r="P1993" s="23"/>
      <c r="Q1993" s="106"/>
      <c r="R1993" s="37">
        <v>438</v>
      </c>
      <c r="S1993" s="38" t="s">
        <v>850</v>
      </c>
      <c r="T1993" s="37">
        <v>1532</v>
      </c>
      <c r="U1993" s="39" t="s">
        <v>1888</v>
      </c>
      <c r="V1993" s="69" t="s">
        <v>272</v>
      </c>
      <c r="W1993" s="89" t="s">
        <v>173</v>
      </c>
      <c r="X1993" s="106" t="s">
        <v>296</v>
      </c>
      <c r="Y1993" s="107" t="s">
        <v>12</v>
      </c>
      <c r="Z1993" s="67">
        <f>IF(База_КР_КК[[#This Row],[Таб.номер резервиста]]="-","-",IF(OR(База_КР_КК[[#This Row],[Уровень КК]]=2,База_КР_КК[[#This Row],[Уровень КК]]=3),IF(COUNTIFS($U$2:$U1993,$U1993,$F$2:$F1993,$F1993)=1,1,0),IF(COUNTIFS($U$2:$U1993,$U1993,$L$2:$L1993,$L1993)=1,1,0)))</f>
        <v>0</v>
      </c>
      <c r="AA19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3" s="106"/>
      <c r="AC1993" s="51"/>
      <c r="AD1993" s="106" t="s">
        <v>15</v>
      </c>
      <c r="AE1993" s="38" t="s">
        <v>344</v>
      </c>
    </row>
    <row r="1994" spans="1:31" ht="18" customHeight="1" x14ac:dyDescent="0.25">
      <c r="A19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4" s="79">
        <v>4</v>
      </c>
      <c r="C1994" s="23">
        <v>44890</v>
      </c>
      <c r="D1994" s="67">
        <f>IF(COUNTIF($G$2:$G1994,$G1994)=1,1,0)</f>
        <v>0</v>
      </c>
      <c r="E1994" s="67" t="str">
        <f>IFERROR(VLOOKUP(База_КР_КК[[#This Row],[ИД штатной должности (S)]],'уровень защищенности'!$B$7:$F$1095,5,0),"не защищена")</f>
        <v>высокий</v>
      </c>
      <c r="F1994" s="68">
        <v>500273</v>
      </c>
      <c r="G1994" s="74" t="s">
        <v>2610</v>
      </c>
      <c r="H1994" s="181">
        <f>INDEX('Списки данных'!$D$2:$D$1048576,MATCH(База_КР_КК[[#This Row],[Структурное подразделение]],'Списки данных'!$C$2:$C$1048576,0))</f>
        <v>13</v>
      </c>
      <c r="I1994" s="80" t="s">
        <v>173</v>
      </c>
      <c r="J1994" s="80" t="s">
        <v>212</v>
      </c>
      <c r="K1994" s="80" t="s">
        <v>213</v>
      </c>
      <c r="L1994" s="30" t="s">
        <v>191</v>
      </c>
      <c r="M1994" s="68">
        <v>7</v>
      </c>
      <c r="N1994" s="181" t="str">
        <f t="shared" si="32"/>
        <v>нет</v>
      </c>
      <c r="O1994" s="23"/>
      <c r="P1994" s="23"/>
      <c r="Q1994" s="106"/>
      <c r="R1994" s="37">
        <v>438</v>
      </c>
      <c r="S1994" s="38" t="s">
        <v>850</v>
      </c>
      <c r="T1994" s="37">
        <v>1533</v>
      </c>
      <c r="U1994" s="39" t="s">
        <v>1889</v>
      </c>
      <c r="V1994" s="69" t="s">
        <v>272</v>
      </c>
      <c r="W1994" s="89" t="s">
        <v>173</v>
      </c>
      <c r="X1994" s="106" t="s">
        <v>296</v>
      </c>
      <c r="Y1994" s="107" t="s">
        <v>12</v>
      </c>
      <c r="Z1994" s="67">
        <f>IF(База_КР_КК[[#This Row],[Таб.номер резервиста]]="-","-",IF(OR(База_КР_КК[[#This Row],[Уровень КК]]=2,База_КР_КК[[#This Row],[Уровень КК]]=3),IF(COUNTIFS($U$2:$U1994,$U1994,$F$2:$F1994,$F1994)=1,1,0),IF(COUNTIFS($U$2:$U1994,$U1994,$L$2:$L1994,$L1994)=1,1,0)))</f>
        <v>0</v>
      </c>
      <c r="AA19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4" s="106"/>
      <c r="AC1994" s="51"/>
      <c r="AD1994" s="106" t="s">
        <v>15</v>
      </c>
      <c r="AE1994" s="38" t="s">
        <v>344</v>
      </c>
    </row>
    <row r="1995" spans="1:31" ht="18" customHeight="1" x14ac:dyDescent="0.25">
      <c r="A19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5" s="79">
        <v>4</v>
      </c>
      <c r="C1995" s="23">
        <v>44890</v>
      </c>
      <c r="D1995" s="67">
        <f>IF(COUNTIF($G$2:$G1995,$G1995)=1,1,0)</f>
        <v>0</v>
      </c>
      <c r="E1995" s="67" t="str">
        <f>IFERROR(VLOOKUP(База_КР_КК[[#This Row],[ИД штатной должности (S)]],'уровень защищенности'!$B$7:$F$1095,5,0),"не защищена")</f>
        <v>высокий</v>
      </c>
      <c r="F1995" s="68">
        <v>500273</v>
      </c>
      <c r="G1995" s="74" t="s">
        <v>2610</v>
      </c>
      <c r="H1995" s="181">
        <f>INDEX('Списки данных'!$D$2:$D$1048576,MATCH(База_КР_КК[[#This Row],[Структурное подразделение]],'Списки данных'!$C$2:$C$1048576,0))</f>
        <v>13</v>
      </c>
      <c r="I1995" s="80" t="s">
        <v>173</v>
      </c>
      <c r="J1995" s="80" t="s">
        <v>212</v>
      </c>
      <c r="K1995" s="80" t="s">
        <v>213</v>
      </c>
      <c r="L1995" s="30" t="s">
        <v>191</v>
      </c>
      <c r="M1995" s="68">
        <v>7</v>
      </c>
      <c r="N1995" s="181" t="str">
        <f t="shared" si="32"/>
        <v>нет</v>
      </c>
      <c r="O1995" s="23"/>
      <c r="P1995" s="23"/>
      <c r="Q1995" s="106"/>
      <c r="R1995" s="37">
        <v>438</v>
      </c>
      <c r="S1995" s="38" t="s">
        <v>850</v>
      </c>
      <c r="T1995" s="37">
        <v>1534</v>
      </c>
      <c r="U1995" s="39" t="s">
        <v>1890</v>
      </c>
      <c r="V1995" s="69" t="s">
        <v>272</v>
      </c>
      <c r="W1995" s="89" t="s">
        <v>173</v>
      </c>
      <c r="X1995" s="106" t="s">
        <v>296</v>
      </c>
      <c r="Y1995" s="107" t="s">
        <v>12</v>
      </c>
      <c r="Z1995" s="67">
        <f>IF(База_КР_КК[[#This Row],[Таб.номер резервиста]]="-","-",IF(OR(База_КР_КК[[#This Row],[Уровень КК]]=2,База_КР_КК[[#This Row],[Уровень КК]]=3),IF(COUNTIFS($U$2:$U1995,$U1995,$F$2:$F1995,$F1995)=1,1,0),IF(COUNTIFS($U$2:$U1995,$U1995,$L$2:$L1995,$L1995)=1,1,0)))</f>
        <v>0</v>
      </c>
      <c r="AA19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5" s="106"/>
      <c r="AC1995" s="51"/>
      <c r="AD1995" s="106" t="s">
        <v>15</v>
      </c>
      <c r="AE1995" s="38" t="s">
        <v>344</v>
      </c>
    </row>
    <row r="1996" spans="1:31" ht="18" customHeight="1" x14ac:dyDescent="0.25">
      <c r="A19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6" s="79">
        <v>4</v>
      </c>
      <c r="C1996" s="23">
        <v>44890</v>
      </c>
      <c r="D1996" s="67">
        <f>IF(COUNTIF($G$2:$G1996,$G1996)=1,1,0)</f>
        <v>0</v>
      </c>
      <c r="E1996" s="67" t="str">
        <f>IFERROR(VLOOKUP(База_КР_КК[[#This Row],[ИД штатной должности (S)]],'уровень защищенности'!$B$7:$F$1095,5,0),"не защищена")</f>
        <v>высокий</v>
      </c>
      <c r="F1996" s="68">
        <v>500273</v>
      </c>
      <c r="G1996" s="74" t="s">
        <v>2610</v>
      </c>
      <c r="H1996" s="181">
        <f>INDEX('Списки данных'!$D$2:$D$1048576,MATCH(База_КР_КК[[#This Row],[Структурное подразделение]],'Списки данных'!$C$2:$C$1048576,0))</f>
        <v>13</v>
      </c>
      <c r="I1996" s="80" t="s">
        <v>173</v>
      </c>
      <c r="J1996" s="80" t="s">
        <v>212</v>
      </c>
      <c r="K1996" s="80" t="s">
        <v>213</v>
      </c>
      <c r="L1996" s="30" t="s">
        <v>191</v>
      </c>
      <c r="M1996" s="68">
        <v>7</v>
      </c>
      <c r="N1996" s="181" t="str">
        <f t="shared" si="32"/>
        <v>нет</v>
      </c>
      <c r="O1996" s="23"/>
      <c r="P1996" s="23"/>
      <c r="Q1996" s="106"/>
      <c r="R1996" s="37">
        <v>438</v>
      </c>
      <c r="S1996" s="38" t="s">
        <v>850</v>
      </c>
      <c r="T1996" s="37">
        <v>1535</v>
      </c>
      <c r="U1996" s="39" t="s">
        <v>1634</v>
      </c>
      <c r="V1996" s="69" t="s">
        <v>272</v>
      </c>
      <c r="W1996" s="89" t="s">
        <v>173</v>
      </c>
      <c r="X1996" s="106" t="s">
        <v>296</v>
      </c>
      <c r="Y1996" s="107" t="s">
        <v>12</v>
      </c>
      <c r="Z1996" s="67">
        <f>IF(База_КР_КК[[#This Row],[Таб.номер резервиста]]="-","-",IF(OR(База_КР_КК[[#This Row],[Уровень КК]]=2,База_КР_КК[[#This Row],[Уровень КК]]=3),IF(COUNTIFS($U$2:$U1996,$U1996,$F$2:$F1996,$F1996)=1,1,0),IF(COUNTIFS($U$2:$U1996,$U1996,$L$2:$L1996,$L1996)=1,1,0)))</f>
        <v>0</v>
      </c>
      <c r="AA19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6" s="106"/>
      <c r="AC1996" s="51"/>
      <c r="AD1996" s="106" t="s">
        <v>15</v>
      </c>
      <c r="AE1996" s="38" t="s">
        <v>344</v>
      </c>
    </row>
    <row r="1997" spans="1:31" ht="18" customHeight="1" x14ac:dyDescent="0.25">
      <c r="A19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7" s="79">
        <v>4</v>
      </c>
      <c r="C1997" s="23">
        <v>44890</v>
      </c>
      <c r="D1997" s="67">
        <f>IF(COUNTIF($G$2:$G1997,$G1997)=1,1,0)</f>
        <v>0</v>
      </c>
      <c r="E1997" s="67" t="str">
        <f>IFERROR(VLOOKUP(База_КР_КК[[#This Row],[ИД штатной должности (S)]],'уровень защищенности'!$B$7:$F$1095,5,0),"не защищена")</f>
        <v>высокий</v>
      </c>
      <c r="F1997" s="68">
        <v>500273</v>
      </c>
      <c r="G1997" s="74" t="s">
        <v>2610</v>
      </c>
      <c r="H1997" s="181">
        <f>INDEX('Списки данных'!$D$2:$D$1048576,MATCH(База_КР_КК[[#This Row],[Структурное подразделение]],'Списки данных'!$C$2:$C$1048576,0))</f>
        <v>13</v>
      </c>
      <c r="I1997" s="80" t="s">
        <v>173</v>
      </c>
      <c r="J1997" s="80" t="s">
        <v>212</v>
      </c>
      <c r="K1997" s="80" t="s">
        <v>213</v>
      </c>
      <c r="L1997" s="30" t="s">
        <v>191</v>
      </c>
      <c r="M1997" s="68">
        <v>7</v>
      </c>
      <c r="N1997" s="181" t="str">
        <f t="shared" si="32"/>
        <v>нет</v>
      </c>
      <c r="O1997" s="23"/>
      <c r="P1997" s="23"/>
      <c r="Q1997" s="106"/>
      <c r="R1997" s="37">
        <v>438</v>
      </c>
      <c r="S1997" s="38" t="s">
        <v>850</v>
      </c>
      <c r="T1997" s="37">
        <v>1536</v>
      </c>
      <c r="U1997" s="39" t="s">
        <v>1891</v>
      </c>
      <c r="V1997" s="69" t="s">
        <v>272</v>
      </c>
      <c r="W1997" s="89" t="s">
        <v>173</v>
      </c>
      <c r="X1997" s="106" t="s">
        <v>296</v>
      </c>
      <c r="Y1997" s="107" t="s">
        <v>12</v>
      </c>
      <c r="Z1997" s="67">
        <f>IF(База_КР_КК[[#This Row],[Таб.номер резервиста]]="-","-",IF(OR(База_КР_КК[[#This Row],[Уровень КК]]=2,База_КР_КК[[#This Row],[Уровень КК]]=3),IF(COUNTIFS($U$2:$U1997,$U1997,$F$2:$F1997,$F1997)=1,1,0),IF(COUNTIFS($U$2:$U1997,$U1997,$L$2:$L1997,$L1997)=1,1,0)))</f>
        <v>0</v>
      </c>
      <c r="AA19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7" s="106"/>
      <c r="AC1997" s="51"/>
      <c r="AD1997" s="106" t="s">
        <v>15</v>
      </c>
      <c r="AE1997" s="38" t="s">
        <v>344</v>
      </c>
    </row>
    <row r="1998" spans="1:31" ht="18" customHeight="1" x14ac:dyDescent="0.25">
      <c r="A19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8" s="79">
        <v>4</v>
      </c>
      <c r="C1998" s="23">
        <v>44425</v>
      </c>
      <c r="D1998" s="67">
        <f>IF(COUNTIF($G$2:$G1998,$G1998)=1,1,0)</f>
        <v>0</v>
      </c>
      <c r="E1998" s="67" t="str">
        <f>IFERROR(VLOOKUP(База_КР_КК[[#This Row],[ИД штатной должности (S)]],'уровень защищенности'!$B$7:$F$1095,5,0),"не защищена")</f>
        <v>высокий</v>
      </c>
      <c r="F1998" s="68">
        <v>500273</v>
      </c>
      <c r="G1998" s="74" t="s">
        <v>2610</v>
      </c>
      <c r="H1998" s="181">
        <f>INDEX('Списки данных'!$D$2:$D$1048576,MATCH(База_КР_КК[[#This Row],[Структурное подразделение]],'Списки данных'!$C$2:$C$1048576,0))</f>
        <v>13</v>
      </c>
      <c r="I1998" s="80" t="s">
        <v>173</v>
      </c>
      <c r="J1998" s="80" t="s">
        <v>212</v>
      </c>
      <c r="K1998" s="80" t="s">
        <v>213</v>
      </c>
      <c r="L1998" s="30" t="s">
        <v>191</v>
      </c>
      <c r="M1998" s="68">
        <v>7</v>
      </c>
      <c r="N1998" s="181" t="str">
        <f t="shared" si="32"/>
        <v>нет</v>
      </c>
      <c r="O1998" s="23"/>
      <c r="P1998" s="23"/>
      <c r="Q1998" s="106"/>
      <c r="R1998" s="37">
        <v>438</v>
      </c>
      <c r="S1998" s="38" t="s">
        <v>850</v>
      </c>
      <c r="T1998" s="37">
        <v>1537</v>
      </c>
      <c r="U1998" s="39" t="s">
        <v>1892</v>
      </c>
      <c r="V1998" s="69" t="s">
        <v>272</v>
      </c>
      <c r="W1998" s="89" t="s">
        <v>173</v>
      </c>
      <c r="X1998" s="106" t="s">
        <v>295</v>
      </c>
      <c r="Y1998" s="107" t="s">
        <v>18</v>
      </c>
      <c r="Z1998" s="67">
        <f>IF(База_КР_КК[[#This Row],[Таб.номер резервиста]]="-","-",IF(OR(База_КР_КК[[#This Row],[Уровень КК]]=2,База_КР_КК[[#This Row],[Уровень КК]]=3),IF(COUNTIFS($U$2:$U1998,$U1998,$F$2:$F1998,$F1998)=1,1,0),IF(COUNTIFS($U$2:$U1998,$U1998,$L$2:$L1998,$L1998)=1,1,0)))</f>
        <v>0</v>
      </c>
      <c r="AA19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8" s="106" t="s">
        <v>38</v>
      </c>
      <c r="AC1998" s="51">
        <v>44890</v>
      </c>
      <c r="AD1998" s="106" t="s">
        <v>31</v>
      </c>
      <c r="AE1998" s="38" t="s">
        <v>344</v>
      </c>
    </row>
    <row r="1999" spans="1:31" ht="18" customHeight="1" x14ac:dyDescent="0.25">
      <c r="A19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1999" s="79">
        <v>4</v>
      </c>
      <c r="C1999" s="23">
        <v>44425</v>
      </c>
      <c r="D1999" s="67">
        <f>IF(COUNTIF($G$2:$G1999,$G1999)=1,1,0)</f>
        <v>0</v>
      </c>
      <c r="E1999" s="67" t="str">
        <f>IFERROR(VLOOKUP(База_КР_КК[[#This Row],[ИД штатной должности (S)]],'уровень защищенности'!$B$7:$F$1095,5,0),"не защищена")</f>
        <v>высокий</v>
      </c>
      <c r="F1999" s="68">
        <v>500273</v>
      </c>
      <c r="G1999" s="74" t="s">
        <v>2610</v>
      </c>
      <c r="H1999" s="181">
        <f>INDEX('Списки данных'!$D$2:$D$1048576,MATCH(База_КР_КК[[#This Row],[Структурное подразделение]],'Списки данных'!$C$2:$C$1048576,0))</f>
        <v>13</v>
      </c>
      <c r="I1999" s="80" t="s">
        <v>173</v>
      </c>
      <c r="J1999" s="80" t="s">
        <v>212</v>
      </c>
      <c r="K1999" s="80" t="s">
        <v>213</v>
      </c>
      <c r="L1999" s="30" t="s">
        <v>191</v>
      </c>
      <c r="M1999" s="68">
        <v>7</v>
      </c>
      <c r="N1999" s="181" t="str">
        <f t="shared" si="32"/>
        <v>нет</v>
      </c>
      <c r="O1999" s="23"/>
      <c r="P1999" s="23"/>
      <c r="Q1999" s="106"/>
      <c r="R1999" s="37">
        <v>438</v>
      </c>
      <c r="S1999" s="38" t="s">
        <v>850</v>
      </c>
      <c r="T1999" s="37">
        <v>1538</v>
      </c>
      <c r="U1999" s="39" t="s">
        <v>1893</v>
      </c>
      <c r="V1999" s="69" t="s">
        <v>272</v>
      </c>
      <c r="W1999" s="89" t="s">
        <v>173</v>
      </c>
      <c r="X1999" s="106" t="s">
        <v>297</v>
      </c>
      <c r="Y1999" s="107" t="s">
        <v>18</v>
      </c>
      <c r="Z1999" s="67">
        <f>IF(База_КР_КК[[#This Row],[Таб.номер резервиста]]="-","-",IF(OR(База_КР_КК[[#This Row],[Уровень КК]]=2,База_КР_КК[[#This Row],[Уровень КК]]=3),IF(COUNTIFS($U$2:$U1999,$U1999,$F$2:$F1999,$F1999)=1,1,0),IF(COUNTIFS($U$2:$U1999,$U1999,$L$2:$L1999,$L1999)=1,1,0)))</f>
        <v>0</v>
      </c>
      <c r="AA19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1999" s="106" t="s">
        <v>20</v>
      </c>
      <c r="AC1999" s="51">
        <v>44552</v>
      </c>
      <c r="AD1999" s="106" t="s">
        <v>15</v>
      </c>
      <c r="AE1999" s="38" t="s">
        <v>343</v>
      </c>
    </row>
    <row r="2000" spans="1:31" ht="18" customHeight="1" x14ac:dyDescent="0.25">
      <c r="A20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0" s="79">
        <v>4</v>
      </c>
      <c r="C2000" s="23">
        <v>44425</v>
      </c>
      <c r="D2000" s="67">
        <f>IF(COUNTIF($G$2:$G2000,$G2000)=1,1,0)</f>
        <v>1</v>
      </c>
      <c r="E2000" s="67" t="str">
        <f>IFERROR(VLOOKUP(База_КР_КК[[#This Row],[ИД штатной должности (S)]],'уровень защищенности'!$B$7:$F$1095,5,0),"не защищена")</f>
        <v>высокий</v>
      </c>
      <c r="F2000" s="68">
        <v>500273</v>
      </c>
      <c r="G2000" s="74" t="s">
        <v>2611</v>
      </c>
      <c r="H2000" s="181">
        <f>INDEX('Списки данных'!$D$2:$D$1048576,MATCH(База_КР_КК[[#This Row],[Структурное подразделение]],'Списки данных'!$C$2:$C$1048576,0))</f>
        <v>13</v>
      </c>
      <c r="I2000" s="80" t="s">
        <v>173</v>
      </c>
      <c r="J2000" s="80" t="s">
        <v>212</v>
      </c>
      <c r="K2000" s="80" t="s">
        <v>213</v>
      </c>
      <c r="L2000" s="30" t="s">
        <v>191</v>
      </c>
      <c r="M2000" s="68">
        <v>7</v>
      </c>
      <c r="N2000" s="181" t="str">
        <f t="shared" si="32"/>
        <v>нет</v>
      </c>
      <c r="O2000" s="23"/>
      <c r="P2000" s="23"/>
      <c r="Q2000" s="106"/>
      <c r="R2000" s="37">
        <v>439</v>
      </c>
      <c r="S2000" s="38" t="s">
        <v>851</v>
      </c>
      <c r="T2000" s="37">
        <v>1527</v>
      </c>
      <c r="U2000" s="39" t="s">
        <v>1884</v>
      </c>
      <c r="V2000" s="69" t="s">
        <v>272</v>
      </c>
      <c r="W2000" s="89" t="s">
        <v>173</v>
      </c>
      <c r="X2000" s="106" t="s">
        <v>295</v>
      </c>
      <c r="Y2000" s="107" t="s">
        <v>12</v>
      </c>
      <c r="Z2000" s="67">
        <f>IF(База_КР_КК[[#This Row],[Таб.номер резервиста]]="-","-",IF(OR(База_КР_КК[[#This Row],[Уровень КК]]=2,База_КР_КК[[#This Row],[Уровень КК]]=3),IF(COUNTIFS($U$2:$U2000,$U2000,$F$2:$F2000,$F2000)=1,1,0),IF(COUNTIFS($U$2:$U2000,$U2000,$L$2:$L2000,$L2000)=1,1,0)))</f>
        <v>0</v>
      </c>
      <c r="AA20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0" s="106"/>
      <c r="AC2000" s="51"/>
      <c r="AD2000" s="106" t="s">
        <v>15</v>
      </c>
      <c r="AE2000" s="38" t="s">
        <v>343</v>
      </c>
    </row>
    <row r="2001" spans="1:31" ht="18" customHeight="1" x14ac:dyDescent="0.25">
      <c r="A20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1" s="79">
        <v>4</v>
      </c>
      <c r="C2001" s="23">
        <v>44425</v>
      </c>
      <c r="D2001" s="67">
        <f>IF(COUNTIF($G$2:$G2001,$G2001)=1,1,0)</f>
        <v>0</v>
      </c>
      <c r="E2001" s="67" t="str">
        <f>IFERROR(VLOOKUP(База_КР_КК[[#This Row],[ИД штатной должности (S)]],'уровень защищенности'!$B$7:$F$1095,5,0),"не защищена")</f>
        <v>высокий</v>
      </c>
      <c r="F2001" s="68">
        <v>500273</v>
      </c>
      <c r="G2001" s="74" t="s">
        <v>2611</v>
      </c>
      <c r="H2001" s="181">
        <f>INDEX('Списки данных'!$D$2:$D$1048576,MATCH(База_КР_КК[[#This Row],[Структурное подразделение]],'Списки данных'!$C$2:$C$1048576,0))</f>
        <v>13</v>
      </c>
      <c r="I2001" s="80" t="s">
        <v>173</v>
      </c>
      <c r="J2001" s="80" t="s">
        <v>212</v>
      </c>
      <c r="K2001" s="80" t="s">
        <v>213</v>
      </c>
      <c r="L2001" s="30" t="s">
        <v>191</v>
      </c>
      <c r="M2001" s="68">
        <v>7</v>
      </c>
      <c r="N2001" s="181" t="str">
        <f t="shared" si="32"/>
        <v>нет</v>
      </c>
      <c r="O2001" s="23"/>
      <c r="P2001" s="23"/>
      <c r="Q2001" s="106"/>
      <c r="R2001" s="37">
        <v>439</v>
      </c>
      <c r="S2001" s="38" t="s">
        <v>851</v>
      </c>
      <c r="T2001" s="37">
        <v>1528</v>
      </c>
      <c r="U2001" s="39" t="s">
        <v>1885</v>
      </c>
      <c r="V2001" s="69" t="s">
        <v>272</v>
      </c>
      <c r="W2001" s="89" t="s">
        <v>173</v>
      </c>
      <c r="X2001" s="106" t="s">
        <v>296</v>
      </c>
      <c r="Y2001" s="107" t="s">
        <v>12</v>
      </c>
      <c r="Z2001" s="67">
        <f>IF(База_КР_КК[[#This Row],[Таб.номер резервиста]]="-","-",IF(OR(База_КР_КК[[#This Row],[Уровень КК]]=2,База_КР_КК[[#This Row],[Уровень КК]]=3),IF(COUNTIFS($U$2:$U2001,$U2001,$F$2:$F2001,$F2001)=1,1,0),IF(COUNTIFS($U$2:$U2001,$U2001,$L$2:$L2001,$L2001)=1,1,0)))</f>
        <v>0</v>
      </c>
      <c r="AA20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1" s="106"/>
      <c r="AC2001" s="51"/>
      <c r="AD2001" s="106" t="s">
        <v>15</v>
      </c>
      <c r="AE2001" s="38" t="s">
        <v>343</v>
      </c>
    </row>
    <row r="2002" spans="1:31" ht="18" customHeight="1" x14ac:dyDescent="0.25">
      <c r="A20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2" s="79">
        <v>4</v>
      </c>
      <c r="C2002" s="23">
        <v>44425</v>
      </c>
      <c r="D2002" s="67">
        <f>IF(COUNTIF($G$2:$G2002,$G2002)=1,1,0)</f>
        <v>0</v>
      </c>
      <c r="E2002" s="67" t="str">
        <f>IFERROR(VLOOKUP(База_КР_КК[[#This Row],[ИД штатной должности (S)]],'уровень защищенности'!$B$7:$F$1095,5,0),"не защищена")</f>
        <v>высокий</v>
      </c>
      <c r="F2002" s="68">
        <v>500273</v>
      </c>
      <c r="G2002" s="74" t="s">
        <v>2611</v>
      </c>
      <c r="H2002" s="181">
        <f>INDEX('Списки данных'!$D$2:$D$1048576,MATCH(База_КР_КК[[#This Row],[Структурное подразделение]],'Списки данных'!$C$2:$C$1048576,0))</f>
        <v>13</v>
      </c>
      <c r="I2002" s="80" t="s">
        <v>173</v>
      </c>
      <c r="J2002" s="80" t="s">
        <v>212</v>
      </c>
      <c r="K2002" s="80" t="s">
        <v>213</v>
      </c>
      <c r="L2002" s="30" t="s">
        <v>191</v>
      </c>
      <c r="M2002" s="68">
        <v>7</v>
      </c>
      <c r="N2002" s="181" t="str">
        <f t="shared" si="32"/>
        <v>нет</v>
      </c>
      <c r="O2002" s="23"/>
      <c r="P2002" s="23"/>
      <c r="Q2002" s="106"/>
      <c r="R2002" s="37">
        <v>439</v>
      </c>
      <c r="S2002" s="38" t="s">
        <v>851</v>
      </c>
      <c r="T2002" s="37">
        <v>1529</v>
      </c>
      <c r="U2002" s="39" t="s">
        <v>1886</v>
      </c>
      <c r="V2002" s="69" t="s">
        <v>272</v>
      </c>
      <c r="W2002" s="89" t="s">
        <v>173</v>
      </c>
      <c r="X2002" s="106" t="s">
        <v>297</v>
      </c>
      <c r="Y2002" s="107" t="s">
        <v>12</v>
      </c>
      <c r="Z2002" s="67">
        <f>IF(База_КР_КК[[#This Row],[Таб.номер резервиста]]="-","-",IF(OR(База_КР_КК[[#This Row],[Уровень КК]]=2,База_КР_КК[[#This Row],[Уровень КК]]=3),IF(COUNTIFS($U$2:$U2002,$U2002,$F$2:$F2002,$F2002)=1,1,0),IF(COUNTIFS($U$2:$U2002,$U2002,$L$2:$L2002,$L2002)=1,1,0)))</f>
        <v>0</v>
      </c>
      <c r="AA20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2" s="106"/>
      <c r="AC2002" s="51"/>
      <c r="AD2002" s="106" t="s">
        <v>15</v>
      </c>
      <c r="AE2002" s="38" t="s">
        <v>343</v>
      </c>
    </row>
    <row r="2003" spans="1:31" ht="18" customHeight="1" x14ac:dyDescent="0.25">
      <c r="A20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3" s="79">
        <v>4</v>
      </c>
      <c r="C2003" s="23">
        <v>44425</v>
      </c>
      <c r="D2003" s="67">
        <f>IF(COUNTIF($G$2:$G2003,$G2003)=1,1,0)</f>
        <v>0</v>
      </c>
      <c r="E2003" s="67" t="str">
        <f>IFERROR(VLOOKUP(База_КР_КК[[#This Row],[ИД штатной должности (S)]],'уровень защищенности'!$B$7:$F$1095,5,0),"не защищена")</f>
        <v>высокий</v>
      </c>
      <c r="F2003" s="68">
        <v>500273</v>
      </c>
      <c r="G2003" s="74" t="s">
        <v>2611</v>
      </c>
      <c r="H2003" s="181">
        <f>INDEX('Списки данных'!$D$2:$D$1048576,MATCH(База_КР_КК[[#This Row],[Структурное подразделение]],'Списки данных'!$C$2:$C$1048576,0))</f>
        <v>13</v>
      </c>
      <c r="I2003" s="80" t="s">
        <v>173</v>
      </c>
      <c r="J2003" s="80" t="s">
        <v>212</v>
      </c>
      <c r="K2003" s="80" t="s">
        <v>213</v>
      </c>
      <c r="L2003" s="30" t="s">
        <v>191</v>
      </c>
      <c r="M2003" s="68">
        <v>7</v>
      </c>
      <c r="N2003" s="181" t="str">
        <f t="shared" si="32"/>
        <v>нет</v>
      </c>
      <c r="O2003" s="23"/>
      <c r="P2003" s="23"/>
      <c r="Q2003" s="106"/>
      <c r="R2003" s="37">
        <v>439</v>
      </c>
      <c r="S2003" s="38" t="s">
        <v>851</v>
      </c>
      <c r="T2003" s="37">
        <v>1530</v>
      </c>
      <c r="U2003" s="39" t="s">
        <v>1887</v>
      </c>
      <c r="V2003" s="69" t="s">
        <v>272</v>
      </c>
      <c r="W2003" s="89" t="s">
        <v>173</v>
      </c>
      <c r="X2003" s="106" t="s">
        <v>296</v>
      </c>
      <c r="Y2003" s="107" t="s">
        <v>12</v>
      </c>
      <c r="Z2003" s="67">
        <f>IF(База_КР_КК[[#This Row],[Таб.номер резервиста]]="-","-",IF(OR(База_КР_КК[[#This Row],[Уровень КК]]=2,База_КР_КК[[#This Row],[Уровень КК]]=3),IF(COUNTIFS($U$2:$U2003,$U2003,$F$2:$F2003,$F2003)=1,1,0),IF(COUNTIFS($U$2:$U2003,$U2003,$L$2:$L2003,$L2003)=1,1,0)))</f>
        <v>0</v>
      </c>
      <c r="AA20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3" s="106"/>
      <c r="AC2003" s="51"/>
      <c r="AD2003" s="106" t="s">
        <v>15</v>
      </c>
      <c r="AE2003" s="38" t="s">
        <v>343</v>
      </c>
    </row>
    <row r="2004" spans="1:31" ht="18" customHeight="1" x14ac:dyDescent="0.25">
      <c r="A20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4" s="79">
        <v>4</v>
      </c>
      <c r="C2004" s="23">
        <v>44425</v>
      </c>
      <c r="D2004" s="67">
        <f>IF(COUNTIF($G$2:$G2004,$G2004)=1,1,0)</f>
        <v>0</v>
      </c>
      <c r="E2004" s="67" t="str">
        <f>IFERROR(VLOOKUP(База_КР_КК[[#This Row],[ИД штатной должности (S)]],'уровень защищенности'!$B$7:$F$1095,5,0),"не защищена")</f>
        <v>высокий</v>
      </c>
      <c r="F2004" s="68">
        <v>500273</v>
      </c>
      <c r="G2004" s="74" t="s">
        <v>2611</v>
      </c>
      <c r="H2004" s="181">
        <f>INDEX('Списки данных'!$D$2:$D$1048576,MATCH(База_КР_КК[[#This Row],[Структурное подразделение]],'Списки данных'!$C$2:$C$1048576,0))</f>
        <v>13</v>
      </c>
      <c r="I2004" s="80" t="s">
        <v>173</v>
      </c>
      <c r="J2004" s="80" t="s">
        <v>212</v>
      </c>
      <c r="K2004" s="80" t="s">
        <v>213</v>
      </c>
      <c r="L2004" s="30" t="s">
        <v>191</v>
      </c>
      <c r="M2004" s="68">
        <v>7</v>
      </c>
      <c r="N2004" s="181" t="str">
        <f t="shared" si="32"/>
        <v>нет</v>
      </c>
      <c r="O2004" s="23"/>
      <c r="P2004" s="23"/>
      <c r="Q2004" s="106"/>
      <c r="R2004" s="37">
        <v>439</v>
      </c>
      <c r="S2004" s="38" t="s">
        <v>851</v>
      </c>
      <c r="T2004" s="37">
        <v>1531</v>
      </c>
      <c r="U2004" s="39" t="s">
        <v>1575</v>
      </c>
      <c r="V2004" s="69" t="s">
        <v>272</v>
      </c>
      <c r="W2004" s="89" t="s">
        <v>173</v>
      </c>
      <c r="X2004" s="106" t="s">
        <v>297</v>
      </c>
      <c r="Y2004" s="107" t="s">
        <v>12</v>
      </c>
      <c r="Z2004" s="67">
        <f>IF(База_КР_КК[[#This Row],[Таб.номер резервиста]]="-","-",IF(OR(База_КР_КК[[#This Row],[Уровень КК]]=2,База_КР_КК[[#This Row],[Уровень КК]]=3),IF(COUNTIFS($U$2:$U2004,$U2004,$F$2:$F2004,$F2004)=1,1,0),IF(COUNTIFS($U$2:$U2004,$U2004,$L$2:$L2004,$L2004)=1,1,0)))</f>
        <v>0</v>
      </c>
      <c r="AA20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4" s="106"/>
      <c r="AC2004" s="51"/>
      <c r="AD2004" s="106" t="s">
        <v>15</v>
      </c>
      <c r="AE2004" s="38" t="s">
        <v>343</v>
      </c>
    </row>
    <row r="2005" spans="1:31" ht="18" customHeight="1" x14ac:dyDescent="0.25">
      <c r="A20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5" s="79">
        <v>4</v>
      </c>
      <c r="C2005" s="23">
        <v>44890</v>
      </c>
      <c r="D2005" s="67">
        <f>IF(COUNTIF($G$2:$G2005,$G2005)=1,1,0)</f>
        <v>0</v>
      </c>
      <c r="E2005" s="67" t="str">
        <f>IFERROR(VLOOKUP(База_КР_КК[[#This Row],[ИД штатной должности (S)]],'уровень защищенности'!$B$7:$F$1095,5,0),"не защищена")</f>
        <v>высокий</v>
      </c>
      <c r="F2005" s="68">
        <v>500273</v>
      </c>
      <c r="G2005" s="74" t="s">
        <v>2611</v>
      </c>
      <c r="H2005" s="181">
        <f>INDEX('Списки данных'!$D$2:$D$1048576,MATCH(База_КР_КК[[#This Row],[Структурное подразделение]],'Списки данных'!$C$2:$C$1048576,0))</f>
        <v>13</v>
      </c>
      <c r="I2005" s="80" t="s">
        <v>173</v>
      </c>
      <c r="J2005" s="80" t="s">
        <v>212</v>
      </c>
      <c r="K2005" s="80" t="s">
        <v>213</v>
      </c>
      <c r="L2005" s="30" t="s">
        <v>191</v>
      </c>
      <c r="M2005" s="68">
        <v>7</v>
      </c>
      <c r="N2005" s="181" t="str">
        <f t="shared" si="32"/>
        <v>нет</v>
      </c>
      <c r="O2005" s="23"/>
      <c r="P2005" s="23"/>
      <c r="Q2005" s="106"/>
      <c r="R2005" s="37">
        <v>439</v>
      </c>
      <c r="S2005" s="38" t="s">
        <v>851</v>
      </c>
      <c r="T2005" s="37">
        <v>1532</v>
      </c>
      <c r="U2005" s="39" t="s">
        <v>1888</v>
      </c>
      <c r="V2005" s="69" t="s">
        <v>272</v>
      </c>
      <c r="W2005" s="89" t="s">
        <v>173</v>
      </c>
      <c r="X2005" s="106" t="s">
        <v>296</v>
      </c>
      <c r="Y2005" s="107" t="s">
        <v>12</v>
      </c>
      <c r="Z2005" s="67">
        <f>IF(База_КР_КК[[#This Row],[Таб.номер резервиста]]="-","-",IF(OR(База_КР_КК[[#This Row],[Уровень КК]]=2,База_КР_КК[[#This Row],[Уровень КК]]=3),IF(COUNTIFS($U$2:$U2005,$U2005,$F$2:$F2005,$F2005)=1,1,0),IF(COUNTIFS($U$2:$U2005,$U2005,$L$2:$L2005,$L2005)=1,1,0)))</f>
        <v>0</v>
      </c>
      <c r="AA20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5" s="106"/>
      <c r="AC2005" s="51"/>
      <c r="AD2005" s="106" t="s">
        <v>15</v>
      </c>
      <c r="AE2005" s="38" t="s">
        <v>344</v>
      </c>
    </row>
    <row r="2006" spans="1:31" ht="18" customHeight="1" x14ac:dyDescent="0.25">
      <c r="A20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6" s="79">
        <v>4</v>
      </c>
      <c r="C2006" s="23">
        <v>44890</v>
      </c>
      <c r="D2006" s="67">
        <f>IF(COUNTIF($G$2:$G2006,$G2006)=1,1,0)</f>
        <v>0</v>
      </c>
      <c r="E2006" s="67" t="str">
        <f>IFERROR(VLOOKUP(База_КР_КК[[#This Row],[ИД штатной должности (S)]],'уровень защищенности'!$B$7:$F$1095,5,0),"не защищена")</f>
        <v>высокий</v>
      </c>
      <c r="F2006" s="68">
        <v>500273</v>
      </c>
      <c r="G2006" s="74" t="s">
        <v>2611</v>
      </c>
      <c r="H2006" s="181">
        <f>INDEX('Списки данных'!$D$2:$D$1048576,MATCH(База_КР_КК[[#This Row],[Структурное подразделение]],'Списки данных'!$C$2:$C$1048576,0))</f>
        <v>13</v>
      </c>
      <c r="I2006" s="80" t="s">
        <v>173</v>
      </c>
      <c r="J2006" s="80" t="s">
        <v>212</v>
      </c>
      <c r="K2006" s="80" t="s">
        <v>213</v>
      </c>
      <c r="L2006" s="30" t="s">
        <v>191</v>
      </c>
      <c r="M2006" s="68">
        <v>7</v>
      </c>
      <c r="N2006" s="181" t="str">
        <f t="shared" si="32"/>
        <v>нет</v>
      </c>
      <c r="O2006" s="23"/>
      <c r="P2006" s="23"/>
      <c r="Q2006" s="106"/>
      <c r="R2006" s="37">
        <v>439</v>
      </c>
      <c r="S2006" s="38" t="s">
        <v>851</v>
      </c>
      <c r="T2006" s="37">
        <v>1533</v>
      </c>
      <c r="U2006" s="39" t="s">
        <v>1889</v>
      </c>
      <c r="V2006" s="69" t="s">
        <v>272</v>
      </c>
      <c r="W2006" s="89" t="s">
        <v>173</v>
      </c>
      <c r="X2006" s="106" t="s">
        <v>296</v>
      </c>
      <c r="Y2006" s="107" t="s">
        <v>12</v>
      </c>
      <c r="Z2006" s="67">
        <f>IF(База_КР_КК[[#This Row],[Таб.номер резервиста]]="-","-",IF(OR(База_КР_КК[[#This Row],[Уровень КК]]=2,База_КР_КК[[#This Row],[Уровень КК]]=3),IF(COUNTIFS($U$2:$U2006,$U2006,$F$2:$F2006,$F2006)=1,1,0),IF(COUNTIFS($U$2:$U2006,$U2006,$L$2:$L2006,$L2006)=1,1,0)))</f>
        <v>0</v>
      </c>
      <c r="AA20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6" s="106"/>
      <c r="AC2006" s="51"/>
      <c r="AD2006" s="106" t="s">
        <v>15</v>
      </c>
      <c r="AE2006" s="38" t="s">
        <v>344</v>
      </c>
    </row>
    <row r="2007" spans="1:31" ht="18" customHeight="1" x14ac:dyDescent="0.25">
      <c r="A20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7" s="79">
        <v>4</v>
      </c>
      <c r="C2007" s="23">
        <v>44890</v>
      </c>
      <c r="D2007" s="67">
        <f>IF(COUNTIF($G$2:$G2007,$G2007)=1,1,0)</f>
        <v>0</v>
      </c>
      <c r="E2007" s="67" t="str">
        <f>IFERROR(VLOOKUP(База_КР_КК[[#This Row],[ИД штатной должности (S)]],'уровень защищенности'!$B$7:$F$1095,5,0),"не защищена")</f>
        <v>высокий</v>
      </c>
      <c r="F2007" s="68">
        <v>500273</v>
      </c>
      <c r="G2007" s="74" t="s">
        <v>2611</v>
      </c>
      <c r="H2007" s="181">
        <f>INDEX('Списки данных'!$D$2:$D$1048576,MATCH(База_КР_КК[[#This Row],[Структурное подразделение]],'Списки данных'!$C$2:$C$1048576,0))</f>
        <v>13</v>
      </c>
      <c r="I2007" s="80" t="s">
        <v>173</v>
      </c>
      <c r="J2007" s="80" t="s">
        <v>212</v>
      </c>
      <c r="K2007" s="80" t="s">
        <v>213</v>
      </c>
      <c r="L2007" s="30" t="s">
        <v>191</v>
      </c>
      <c r="M2007" s="68">
        <v>7</v>
      </c>
      <c r="N2007" s="181" t="str">
        <f t="shared" si="32"/>
        <v>нет</v>
      </c>
      <c r="O2007" s="23"/>
      <c r="P2007" s="23"/>
      <c r="Q2007" s="106"/>
      <c r="R2007" s="37">
        <v>439</v>
      </c>
      <c r="S2007" s="38" t="s">
        <v>851</v>
      </c>
      <c r="T2007" s="37">
        <v>1534</v>
      </c>
      <c r="U2007" s="39" t="s">
        <v>1890</v>
      </c>
      <c r="V2007" s="69" t="s">
        <v>272</v>
      </c>
      <c r="W2007" s="89" t="s">
        <v>173</v>
      </c>
      <c r="X2007" s="106" t="s">
        <v>296</v>
      </c>
      <c r="Y2007" s="107" t="s">
        <v>12</v>
      </c>
      <c r="Z2007" s="67">
        <f>IF(База_КР_КК[[#This Row],[Таб.номер резервиста]]="-","-",IF(OR(База_КР_КК[[#This Row],[Уровень КК]]=2,База_КР_КК[[#This Row],[Уровень КК]]=3),IF(COUNTIFS($U$2:$U2007,$U2007,$F$2:$F2007,$F2007)=1,1,0),IF(COUNTIFS($U$2:$U2007,$U2007,$L$2:$L2007,$L2007)=1,1,0)))</f>
        <v>0</v>
      </c>
      <c r="AA20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7" s="106"/>
      <c r="AC2007" s="51"/>
      <c r="AD2007" s="106" t="s">
        <v>15</v>
      </c>
      <c r="AE2007" s="38" t="s">
        <v>344</v>
      </c>
    </row>
    <row r="2008" spans="1:31" ht="18" customHeight="1" x14ac:dyDescent="0.25">
      <c r="A20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8" s="79">
        <v>4</v>
      </c>
      <c r="C2008" s="23">
        <v>44890</v>
      </c>
      <c r="D2008" s="67">
        <f>IF(COUNTIF($G$2:$G2008,$G2008)=1,1,0)</f>
        <v>0</v>
      </c>
      <c r="E2008" s="67" t="str">
        <f>IFERROR(VLOOKUP(База_КР_КК[[#This Row],[ИД штатной должности (S)]],'уровень защищенности'!$B$7:$F$1095,5,0),"не защищена")</f>
        <v>высокий</v>
      </c>
      <c r="F2008" s="68">
        <v>500273</v>
      </c>
      <c r="G2008" s="74" t="s">
        <v>2611</v>
      </c>
      <c r="H2008" s="181">
        <f>INDEX('Списки данных'!$D$2:$D$1048576,MATCH(База_КР_КК[[#This Row],[Структурное подразделение]],'Списки данных'!$C$2:$C$1048576,0))</f>
        <v>13</v>
      </c>
      <c r="I2008" s="80" t="s">
        <v>173</v>
      </c>
      <c r="J2008" s="80" t="s">
        <v>212</v>
      </c>
      <c r="K2008" s="80" t="s">
        <v>213</v>
      </c>
      <c r="L2008" s="30" t="s">
        <v>191</v>
      </c>
      <c r="M2008" s="68">
        <v>7</v>
      </c>
      <c r="N2008" s="181" t="str">
        <f t="shared" si="32"/>
        <v>нет</v>
      </c>
      <c r="O2008" s="23"/>
      <c r="P2008" s="23"/>
      <c r="Q2008" s="106"/>
      <c r="R2008" s="37">
        <v>439</v>
      </c>
      <c r="S2008" s="38" t="s">
        <v>851</v>
      </c>
      <c r="T2008" s="37">
        <v>1535</v>
      </c>
      <c r="U2008" s="39" t="s">
        <v>1634</v>
      </c>
      <c r="V2008" s="69" t="s">
        <v>272</v>
      </c>
      <c r="W2008" s="89" t="s">
        <v>173</v>
      </c>
      <c r="X2008" s="106" t="s">
        <v>296</v>
      </c>
      <c r="Y2008" s="107" t="s">
        <v>12</v>
      </c>
      <c r="Z2008" s="67">
        <f>IF(База_КР_КК[[#This Row],[Таб.номер резервиста]]="-","-",IF(OR(База_КР_КК[[#This Row],[Уровень КК]]=2,База_КР_КК[[#This Row],[Уровень КК]]=3),IF(COUNTIFS($U$2:$U2008,$U2008,$F$2:$F2008,$F2008)=1,1,0),IF(COUNTIFS($U$2:$U2008,$U2008,$L$2:$L2008,$L2008)=1,1,0)))</f>
        <v>0</v>
      </c>
      <c r="AA20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8" s="106"/>
      <c r="AC2008" s="51"/>
      <c r="AD2008" s="106" t="s">
        <v>15</v>
      </c>
      <c r="AE2008" s="38" t="s">
        <v>344</v>
      </c>
    </row>
    <row r="2009" spans="1:31" ht="18" customHeight="1" x14ac:dyDescent="0.25">
      <c r="A20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09" s="79">
        <v>4</v>
      </c>
      <c r="C2009" s="23">
        <v>44890</v>
      </c>
      <c r="D2009" s="67">
        <f>IF(COUNTIF($G$2:$G2009,$G2009)=1,1,0)</f>
        <v>0</v>
      </c>
      <c r="E2009" s="67" t="str">
        <f>IFERROR(VLOOKUP(База_КР_КК[[#This Row],[ИД штатной должности (S)]],'уровень защищенности'!$B$7:$F$1095,5,0),"не защищена")</f>
        <v>высокий</v>
      </c>
      <c r="F2009" s="68">
        <v>500273</v>
      </c>
      <c r="G2009" s="74" t="s">
        <v>2611</v>
      </c>
      <c r="H2009" s="181">
        <f>INDEX('Списки данных'!$D$2:$D$1048576,MATCH(База_КР_КК[[#This Row],[Структурное подразделение]],'Списки данных'!$C$2:$C$1048576,0))</f>
        <v>13</v>
      </c>
      <c r="I2009" s="80" t="s">
        <v>173</v>
      </c>
      <c r="J2009" s="80" t="s">
        <v>212</v>
      </c>
      <c r="K2009" s="80" t="s">
        <v>213</v>
      </c>
      <c r="L2009" s="30" t="s">
        <v>191</v>
      </c>
      <c r="M2009" s="68">
        <v>7</v>
      </c>
      <c r="N2009" s="181" t="str">
        <f t="shared" si="32"/>
        <v>нет</v>
      </c>
      <c r="O2009" s="23"/>
      <c r="P2009" s="23"/>
      <c r="Q2009" s="106"/>
      <c r="R2009" s="37">
        <v>439</v>
      </c>
      <c r="S2009" s="38" t="s">
        <v>851</v>
      </c>
      <c r="T2009" s="37">
        <v>1536</v>
      </c>
      <c r="U2009" s="39" t="s">
        <v>1891</v>
      </c>
      <c r="V2009" s="69" t="s">
        <v>272</v>
      </c>
      <c r="W2009" s="89" t="s">
        <v>173</v>
      </c>
      <c r="X2009" s="106" t="s">
        <v>296</v>
      </c>
      <c r="Y2009" s="107" t="s">
        <v>12</v>
      </c>
      <c r="Z2009" s="67">
        <f>IF(База_КР_КК[[#This Row],[Таб.номер резервиста]]="-","-",IF(OR(База_КР_КК[[#This Row],[Уровень КК]]=2,База_КР_КК[[#This Row],[Уровень КК]]=3),IF(COUNTIFS($U$2:$U2009,$U2009,$F$2:$F2009,$F2009)=1,1,0),IF(COUNTIFS($U$2:$U2009,$U2009,$L$2:$L2009,$L2009)=1,1,0)))</f>
        <v>0</v>
      </c>
      <c r="AA20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09" s="106"/>
      <c r="AC2009" s="51"/>
      <c r="AD2009" s="106" t="s">
        <v>15</v>
      </c>
      <c r="AE2009" s="38" t="s">
        <v>344</v>
      </c>
    </row>
    <row r="2010" spans="1:31" ht="18" customHeight="1" x14ac:dyDescent="0.25">
      <c r="A20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0" s="79">
        <v>4</v>
      </c>
      <c r="C2010" s="23">
        <v>44425</v>
      </c>
      <c r="D2010" s="67">
        <f>IF(COUNTIF($G$2:$G2010,$G2010)=1,1,0)</f>
        <v>0</v>
      </c>
      <c r="E2010" s="67" t="str">
        <f>IFERROR(VLOOKUP(База_КР_КК[[#This Row],[ИД штатной должности (S)]],'уровень защищенности'!$B$7:$F$1095,5,0),"не защищена")</f>
        <v>высокий</v>
      </c>
      <c r="F2010" s="68">
        <v>500273</v>
      </c>
      <c r="G2010" s="74" t="s">
        <v>2611</v>
      </c>
      <c r="H2010" s="181">
        <f>INDEX('Списки данных'!$D$2:$D$1048576,MATCH(База_КР_КК[[#This Row],[Структурное подразделение]],'Списки данных'!$C$2:$C$1048576,0))</f>
        <v>13</v>
      </c>
      <c r="I2010" s="80" t="s">
        <v>173</v>
      </c>
      <c r="J2010" s="80" t="s">
        <v>212</v>
      </c>
      <c r="K2010" s="80" t="s">
        <v>213</v>
      </c>
      <c r="L2010" s="30" t="s">
        <v>191</v>
      </c>
      <c r="M2010" s="68">
        <v>7</v>
      </c>
      <c r="N2010" s="181" t="str">
        <f t="shared" si="32"/>
        <v>нет</v>
      </c>
      <c r="O2010" s="23"/>
      <c r="P2010" s="23"/>
      <c r="Q2010" s="106"/>
      <c r="R2010" s="37">
        <v>439</v>
      </c>
      <c r="S2010" s="38" t="s">
        <v>851</v>
      </c>
      <c r="T2010" s="37">
        <v>1537</v>
      </c>
      <c r="U2010" s="39" t="s">
        <v>1892</v>
      </c>
      <c r="V2010" s="69" t="s">
        <v>272</v>
      </c>
      <c r="W2010" s="89" t="s">
        <v>173</v>
      </c>
      <c r="X2010" s="106" t="s">
        <v>295</v>
      </c>
      <c r="Y2010" s="107" t="s">
        <v>18</v>
      </c>
      <c r="Z2010" s="67">
        <f>IF(База_КР_КК[[#This Row],[Таб.номер резервиста]]="-","-",IF(OR(База_КР_КК[[#This Row],[Уровень КК]]=2,База_КР_КК[[#This Row],[Уровень КК]]=3),IF(COUNTIFS($U$2:$U2010,$U2010,$F$2:$F2010,$F2010)=1,1,0),IF(COUNTIFS($U$2:$U2010,$U2010,$L$2:$L2010,$L2010)=1,1,0)))</f>
        <v>0</v>
      </c>
      <c r="AA20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0" s="106" t="s">
        <v>38</v>
      </c>
      <c r="AC2010" s="51">
        <v>44890</v>
      </c>
      <c r="AD2010" s="106" t="s">
        <v>31</v>
      </c>
      <c r="AE2010" s="38" t="s">
        <v>344</v>
      </c>
    </row>
    <row r="2011" spans="1:31" ht="18" customHeight="1" x14ac:dyDescent="0.25">
      <c r="A20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1" s="79">
        <v>4</v>
      </c>
      <c r="C2011" s="23">
        <v>44425</v>
      </c>
      <c r="D2011" s="67">
        <f>IF(COUNTIF($G$2:$G2011,$G2011)=1,1,0)</f>
        <v>0</v>
      </c>
      <c r="E2011" s="67" t="str">
        <f>IFERROR(VLOOKUP(База_КР_КК[[#This Row],[ИД штатной должности (S)]],'уровень защищенности'!$B$7:$F$1095,5,0),"не защищена")</f>
        <v>высокий</v>
      </c>
      <c r="F2011" s="68">
        <v>500273</v>
      </c>
      <c r="G2011" s="74" t="s">
        <v>2611</v>
      </c>
      <c r="H2011" s="181">
        <f>INDEX('Списки данных'!$D$2:$D$1048576,MATCH(База_КР_КК[[#This Row],[Структурное подразделение]],'Списки данных'!$C$2:$C$1048576,0))</f>
        <v>13</v>
      </c>
      <c r="I2011" s="80" t="s">
        <v>173</v>
      </c>
      <c r="J2011" s="80" t="s">
        <v>212</v>
      </c>
      <c r="K2011" s="80" t="s">
        <v>213</v>
      </c>
      <c r="L2011" s="30" t="s">
        <v>191</v>
      </c>
      <c r="M2011" s="68">
        <v>7</v>
      </c>
      <c r="N2011" s="181" t="str">
        <f t="shared" si="32"/>
        <v>нет</v>
      </c>
      <c r="O2011" s="23"/>
      <c r="P2011" s="23"/>
      <c r="Q2011" s="106"/>
      <c r="R2011" s="37">
        <v>439</v>
      </c>
      <c r="S2011" s="38" t="s">
        <v>851</v>
      </c>
      <c r="T2011" s="37">
        <v>1538</v>
      </c>
      <c r="U2011" s="39" t="s">
        <v>1893</v>
      </c>
      <c r="V2011" s="69" t="s">
        <v>272</v>
      </c>
      <c r="W2011" s="89" t="s">
        <v>173</v>
      </c>
      <c r="X2011" s="106" t="s">
        <v>297</v>
      </c>
      <c r="Y2011" s="107" t="s">
        <v>18</v>
      </c>
      <c r="Z2011" s="67">
        <f>IF(База_КР_КК[[#This Row],[Таб.номер резервиста]]="-","-",IF(OR(База_КР_КК[[#This Row],[Уровень КК]]=2,База_КР_КК[[#This Row],[Уровень КК]]=3),IF(COUNTIFS($U$2:$U2011,$U2011,$F$2:$F2011,$F2011)=1,1,0),IF(COUNTIFS($U$2:$U2011,$U2011,$L$2:$L2011,$L2011)=1,1,0)))</f>
        <v>0</v>
      </c>
      <c r="AA20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1" s="106" t="s">
        <v>20</v>
      </c>
      <c r="AC2011" s="51">
        <v>44552</v>
      </c>
      <c r="AD2011" s="106" t="s">
        <v>15</v>
      </c>
      <c r="AE2011" s="38" t="s">
        <v>343</v>
      </c>
    </row>
    <row r="2012" spans="1:31" ht="18" customHeight="1" x14ac:dyDescent="0.25">
      <c r="A20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2" s="79">
        <v>4</v>
      </c>
      <c r="C2012" s="23">
        <v>44425</v>
      </c>
      <c r="D2012" s="67">
        <f>IF(COUNTIF($G$2:$G2012,$G2012)=1,1,0)</f>
        <v>1</v>
      </c>
      <c r="E2012" s="67" t="str">
        <f>IFERROR(VLOOKUP(База_КР_КК[[#This Row],[ИД штатной должности (S)]],'уровень защищенности'!$B$7:$F$1095,5,0),"не защищена")</f>
        <v>высокий</v>
      </c>
      <c r="F2012" s="68">
        <v>500273</v>
      </c>
      <c r="G2012" s="74" t="s">
        <v>2612</v>
      </c>
      <c r="H2012" s="181">
        <f>INDEX('Списки данных'!$D$2:$D$1048576,MATCH(База_КР_КК[[#This Row],[Структурное подразделение]],'Списки данных'!$C$2:$C$1048576,0))</f>
        <v>13</v>
      </c>
      <c r="I2012" s="80" t="s">
        <v>173</v>
      </c>
      <c r="J2012" s="80" t="s">
        <v>212</v>
      </c>
      <c r="K2012" s="80" t="s">
        <v>213</v>
      </c>
      <c r="L2012" s="30" t="s">
        <v>191</v>
      </c>
      <c r="M2012" s="68">
        <v>7</v>
      </c>
      <c r="N2012" s="181" t="str">
        <f t="shared" si="32"/>
        <v>нет</v>
      </c>
      <c r="O2012" s="23"/>
      <c r="P2012" s="23"/>
      <c r="Q2012" s="106"/>
      <c r="R2012" s="37">
        <v>440</v>
      </c>
      <c r="S2012" s="38" t="s">
        <v>852</v>
      </c>
      <c r="T2012" s="37">
        <v>1527</v>
      </c>
      <c r="U2012" s="39" t="s">
        <v>1884</v>
      </c>
      <c r="V2012" s="69" t="s">
        <v>272</v>
      </c>
      <c r="W2012" s="89" t="s">
        <v>173</v>
      </c>
      <c r="X2012" s="106" t="s">
        <v>295</v>
      </c>
      <c r="Y2012" s="107" t="s">
        <v>12</v>
      </c>
      <c r="Z2012" s="67">
        <f>IF(База_КР_КК[[#This Row],[Таб.номер резервиста]]="-","-",IF(OR(База_КР_КК[[#This Row],[Уровень КК]]=2,База_КР_КК[[#This Row],[Уровень КК]]=3),IF(COUNTIFS($U$2:$U2012,$U2012,$F$2:$F2012,$F2012)=1,1,0),IF(COUNTIFS($U$2:$U2012,$U2012,$L$2:$L2012,$L2012)=1,1,0)))</f>
        <v>0</v>
      </c>
      <c r="AA20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2" s="106"/>
      <c r="AC2012" s="51"/>
      <c r="AD2012" s="106" t="s">
        <v>15</v>
      </c>
      <c r="AE2012" s="38" t="s">
        <v>343</v>
      </c>
    </row>
    <row r="2013" spans="1:31" ht="18" customHeight="1" x14ac:dyDescent="0.25">
      <c r="A20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3" s="79">
        <v>4</v>
      </c>
      <c r="C2013" s="23">
        <v>44425</v>
      </c>
      <c r="D2013" s="67">
        <f>IF(COUNTIF($G$2:$G2013,$G2013)=1,1,0)</f>
        <v>0</v>
      </c>
      <c r="E2013" s="67" t="str">
        <f>IFERROR(VLOOKUP(База_КР_КК[[#This Row],[ИД штатной должности (S)]],'уровень защищенности'!$B$7:$F$1095,5,0),"не защищена")</f>
        <v>высокий</v>
      </c>
      <c r="F2013" s="68">
        <v>500273</v>
      </c>
      <c r="G2013" s="74" t="s">
        <v>2612</v>
      </c>
      <c r="H2013" s="181">
        <f>INDEX('Списки данных'!$D$2:$D$1048576,MATCH(База_КР_КК[[#This Row],[Структурное подразделение]],'Списки данных'!$C$2:$C$1048576,0))</f>
        <v>13</v>
      </c>
      <c r="I2013" s="80" t="s">
        <v>173</v>
      </c>
      <c r="J2013" s="80" t="s">
        <v>212</v>
      </c>
      <c r="K2013" s="80" t="s">
        <v>213</v>
      </c>
      <c r="L2013" s="30" t="s">
        <v>191</v>
      </c>
      <c r="M2013" s="68">
        <v>7</v>
      </c>
      <c r="N2013" s="181" t="str">
        <f t="shared" si="32"/>
        <v>нет</v>
      </c>
      <c r="O2013" s="23"/>
      <c r="P2013" s="23"/>
      <c r="Q2013" s="106"/>
      <c r="R2013" s="37">
        <v>440</v>
      </c>
      <c r="S2013" s="38" t="s">
        <v>852</v>
      </c>
      <c r="T2013" s="37">
        <v>1528</v>
      </c>
      <c r="U2013" s="39" t="s">
        <v>1885</v>
      </c>
      <c r="V2013" s="69" t="s">
        <v>272</v>
      </c>
      <c r="W2013" s="89" t="s">
        <v>173</v>
      </c>
      <c r="X2013" s="106" t="s">
        <v>296</v>
      </c>
      <c r="Y2013" s="107" t="s">
        <v>12</v>
      </c>
      <c r="Z2013" s="67">
        <f>IF(База_КР_КК[[#This Row],[Таб.номер резервиста]]="-","-",IF(OR(База_КР_КК[[#This Row],[Уровень КК]]=2,База_КР_КК[[#This Row],[Уровень КК]]=3),IF(COUNTIFS($U$2:$U2013,$U2013,$F$2:$F2013,$F2013)=1,1,0),IF(COUNTIFS($U$2:$U2013,$U2013,$L$2:$L2013,$L2013)=1,1,0)))</f>
        <v>0</v>
      </c>
      <c r="AA20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3" s="106"/>
      <c r="AC2013" s="51"/>
      <c r="AD2013" s="106" t="s">
        <v>15</v>
      </c>
      <c r="AE2013" s="38" t="s">
        <v>343</v>
      </c>
    </row>
    <row r="2014" spans="1:31" ht="18" customHeight="1" x14ac:dyDescent="0.25">
      <c r="A20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4" s="79">
        <v>4</v>
      </c>
      <c r="C2014" s="23">
        <v>44425</v>
      </c>
      <c r="D2014" s="67">
        <f>IF(COUNTIF($G$2:$G2014,$G2014)=1,1,0)</f>
        <v>0</v>
      </c>
      <c r="E2014" s="67" t="str">
        <f>IFERROR(VLOOKUP(База_КР_КК[[#This Row],[ИД штатной должности (S)]],'уровень защищенности'!$B$7:$F$1095,5,0),"не защищена")</f>
        <v>высокий</v>
      </c>
      <c r="F2014" s="68">
        <v>500273</v>
      </c>
      <c r="G2014" s="74" t="s">
        <v>2612</v>
      </c>
      <c r="H2014" s="181">
        <f>INDEX('Списки данных'!$D$2:$D$1048576,MATCH(База_КР_КК[[#This Row],[Структурное подразделение]],'Списки данных'!$C$2:$C$1048576,0))</f>
        <v>13</v>
      </c>
      <c r="I2014" s="80" t="s">
        <v>173</v>
      </c>
      <c r="J2014" s="80" t="s">
        <v>212</v>
      </c>
      <c r="K2014" s="80" t="s">
        <v>213</v>
      </c>
      <c r="L2014" s="30" t="s">
        <v>191</v>
      </c>
      <c r="M2014" s="68">
        <v>7</v>
      </c>
      <c r="N2014" s="181" t="str">
        <f t="shared" si="32"/>
        <v>нет</v>
      </c>
      <c r="O2014" s="23"/>
      <c r="P2014" s="23"/>
      <c r="Q2014" s="106"/>
      <c r="R2014" s="37">
        <v>440</v>
      </c>
      <c r="S2014" s="38" t="s">
        <v>852</v>
      </c>
      <c r="T2014" s="37">
        <v>1529</v>
      </c>
      <c r="U2014" s="39" t="s">
        <v>1886</v>
      </c>
      <c r="V2014" s="69" t="s">
        <v>272</v>
      </c>
      <c r="W2014" s="89" t="s">
        <v>173</v>
      </c>
      <c r="X2014" s="106" t="s">
        <v>297</v>
      </c>
      <c r="Y2014" s="107" t="s">
        <v>12</v>
      </c>
      <c r="Z2014" s="67">
        <f>IF(База_КР_КК[[#This Row],[Таб.номер резервиста]]="-","-",IF(OR(База_КР_КК[[#This Row],[Уровень КК]]=2,База_КР_КК[[#This Row],[Уровень КК]]=3),IF(COUNTIFS($U$2:$U2014,$U2014,$F$2:$F2014,$F2014)=1,1,0),IF(COUNTIFS($U$2:$U2014,$U2014,$L$2:$L2014,$L2014)=1,1,0)))</f>
        <v>0</v>
      </c>
      <c r="AA20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4" s="106"/>
      <c r="AC2014" s="51"/>
      <c r="AD2014" s="106" t="s">
        <v>15</v>
      </c>
      <c r="AE2014" s="38" t="s">
        <v>343</v>
      </c>
    </row>
    <row r="2015" spans="1:31" ht="18" customHeight="1" x14ac:dyDescent="0.25">
      <c r="A20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5" s="79">
        <v>4</v>
      </c>
      <c r="C2015" s="23">
        <v>44425</v>
      </c>
      <c r="D2015" s="67">
        <f>IF(COUNTIF($G$2:$G2015,$G2015)=1,1,0)</f>
        <v>0</v>
      </c>
      <c r="E2015" s="67" t="str">
        <f>IFERROR(VLOOKUP(База_КР_КК[[#This Row],[ИД штатной должности (S)]],'уровень защищенности'!$B$7:$F$1095,5,0),"не защищена")</f>
        <v>высокий</v>
      </c>
      <c r="F2015" s="68">
        <v>500273</v>
      </c>
      <c r="G2015" s="74" t="s">
        <v>2612</v>
      </c>
      <c r="H2015" s="181">
        <f>INDEX('Списки данных'!$D$2:$D$1048576,MATCH(База_КР_КК[[#This Row],[Структурное подразделение]],'Списки данных'!$C$2:$C$1048576,0))</f>
        <v>13</v>
      </c>
      <c r="I2015" s="80" t="s">
        <v>173</v>
      </c>
      <c r="J2015" s="80" t="s">
        <v>212</v>
      </c>
      <c r="K2015" s="80" t="s">
        <v>213</v>
      </c>
      <c r="L2015" s="30" t="s">
        <v>191</v>
      </c>
      <c r="M2015" s="68">
        <v>7</v>
      </c>
      <c r="N2015" s="181" t="str">
        <f t="shared" si="32"/>
        <v>нет</v>
      </c>
      <c r="O2015" s="23"/>
      <c r="P2015" s="23"/>
      <c r="Q2015" s="106"/>
      <c r="R2015" s="37">
        <v>440</v>
      </c>
      <c r="S2015" s="38" t="s">
        <v>852</v>
      </c>
      <c r="T2015" s="37">
        <v>1530</v>
      </c>
      <c r="U2015" s="39" t="s">
        <v>1887</v>
      </c>
      <c r="V2015" s="69" t="s">
        <v>272</v>
      </c>
      <c r="W2015" s="89" t="s">
        <v>173</v>
      </c>
      <c r="X2015" s="106" t="s">
        <v>296</v>
      </c>
      <c r="Y2015" s="107" t="s">
        <v>12</v>
      </c>
      <c r="Z2015" s="67">
        <f>IF(База_КР_КК[[#This Row],[Таб.номер резервиста]]="-","-",IF(OR(База_КР_КК[[#This Row],[Уровень КК]]=2,База_КР_КК[[#This Row],[Уровень КК]]=3),IF(COUNTIFS($U$2:$U2015,$U2015,$F$2:$F2015,$F2015)=1,1,0),IF(COUNTIFS($U$2:$U2015,$U2015,$L$2:$L2015,$L2015)=1,1,0)))</f>
        <v>0</v>
      </c>
      <c r="AA20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5" s="106"/>
      <c r="AC2015" s="51"/>
      <c r="AD2015" s="106" t="s">
        <v>15</v>
      </c>
      <c r="AE2015" s="38" t="s">
        <v>343</v>
      </c>
    </row>
    <row r="2016" spans="1:31" ht="18" customHeight="1" x14ac:dyDescent="0.25">
      <c r="A20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6" s="79">
        <v>4</v>
      </c>
      <c r="C2016" s="23">
        <v>44425</v>
      </c>
      <c r="D2016" s="67">
        <f>IF(COUNTIF($G$2:$G2016,$G2016)=1,1,0)</f>
        <v>0</v>
      </c>
      <c r="E2016" s="67" t="str">
        <f>IFERROR(VLOOKUP(База_КР_КК[[#This Row],[ИД штатной должности (S)]],'уровень защищенности'!$B$7:$F$1095,5,0),"не защищена")</f>
        <v>высокий</v>
      </c>
      <c r="F2016" s="68">
        <v>500273</v>
      </c>
      <c r="G2016" s="74" t="s">
        <v>2612</v>
      </c>
      <c r="H2016" s="181">
        <f>INDEX('Списки данных'!$D$2:$D$1048576,MATCH(База_КР_КК[[#This Row],[Структурное подразделение]],'Списки данных'!$C$2:$C$1048576,0))</f>
        <v>13</v>
      </c>
      <c r="I2016" s="80" t="s">
        <v>173</v>
      </c>
      <c r="J2016" s="80" t="s">
        <v>212</v>
      </c>
      <c r="K2016" s="80" t="s">
        <v>213</v>
      </c>
      <c r="L2016" s="30" t="s">
        <v>191</v>
      </c>
      <c r="M2016" s="68">
        <v>7</v>
      </c>
      <c r="N2016" s="181" t="str">
        <f t="shared" si="32"/>
        <v>нет</v>
      </c>
      <c r="O2016" s="23"/>
      <c r="P2016" s="23"/>
      <c r="Q2016" s="106"/>
      <c r="R2016" s="37">
        <v>440</v>
      </c>
      <c r="S2016" s="38" t="s">
        <v>852</v>
      </c>
      <c r="T2016" s="37">
        <v>1531</v>
      </c>
      <c r="U2016" s="39" t="s">
        <v>1575</v>
      </c>
      <c r="V2016" s="69" t="s">
        <v>272</v>
      </c>
      <c r="W2016" s="89" t="s">
        <v>173</v>
      </c>
      <c r="X2016" s="106" t="s">
        <v>297</v>
      </c>
      <c r="Y2016" s="107" t="s">
        <v>12</v>
      </c>
      <c r="Z2016" s="67">
        <f>IF(База_КР_КК[[#This Row],[Таб.номер резервиста]]="-","-",IF(OR(База_КР_КК[[#This Row],[Уровень КК]]=2,База_КР_КК[[#This Row],[Уровень КК]]=3),IF(COUNTIFS($U$2:$U2016,$U2016,$F$2:$F2016,$F2016)=1,1,0),IF(COUNTIFS($U$2:$U2016,$U2016,$L$2:$L2016,$L2016)=1,1,0)))</f>
        <v>0</v>
      </c>
      <c r="AA20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6" s="106"/>
      <c r="AC2016" s="51"/>
      <c r="AD2016" s="106" t="s">
        <v>15</v>
      </c>
      <c r="AE2016" s="38" t="s">
        <v>343</v>
      </c>
    </row>
    <row r="2017" spans="1:31" ht="18" customHeight="1" x14ac:dyDescent="0.25">
      <c r="A20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7" s="79">
        <v>4</v>
      </c>
      <c r="C2017" s="23">
        <v>44890</v>
      </c>
      <c r="D2017" s="67">
        <f>IF(COUNTIF($G$2:$G2017,$G2017)=1,1,0)</f>
        <v>0</v>
      </c>
      <c r="E2017" s="67" t="str">
        <f>IFERROR(VLOOKUP(База_КР_КК[[#This Row],[ИД штатной должности (S)]],'уровень защищенности'!$B$7:$F$1095,5,0),"не защищена")</f>
        <v>высокий</v>
      </c>
      <c r="F2017" s="68">
        <v>500273</v>
      </c>
      <c r="G2017" s="74" t="s">
        <v>2612</v>
      </c>
      <c r="H2017" s="181">
        <f>INDEX('Списки данных'!$D$2:$D$1048576,MATCH(База_КР_КК[[#This Row],[Структурное подразделение]],'Списки данных'!$C$2:$C$1048576,0))</f>
        <v>13</v>
      </c>
      <c r="I2017" s="80" t="s">
        <v>173</v>
      </c>
      <c r="J2017" s="80" t="s">
        <v>212</v>
      </c>
      <c r="K2017" s="80" t="s">
        <v>213</v>
      </c>
      <c r="L2017" s="30" t="s">
        <v>191</v>
      </c>
      <c r="M2017" s="68">
        <v>7</v>
      </c>
      <c r="N2017" s="181" t="str">
        <f t="shared" si="32"/>
        <v>нет</v>
      </c>
      <c r="O2017" s="23"/>
      <c r="P2017" s="23"/>
      <c r="Q2017" s="106"/>
      <c r="R2017" s="37">
        <v>440</v>
      </c>
      <c r="S2017" s="38" t="s">
        <v>852</v>
      </c>
      <c r="T2017" s="37">
        <v>1532</v>
      </c>
      <c r="U2017" s="39" t="s">
        <v>1888</v>
      </c>
      <c r="V2017" s="69" t="s">
        <v>272</v>
      </c>
      <c r="W2017" s="89" t="s">
        <v>173</v>
      </c>
      <c r="X2017" s="106" t="s">
        <v>296</v>
      </c>
      <c r="Y2017" s="107" t="s">
        <v>12</v>
      </c>
      <c r="Z2017" s="67">
        <f>IF(База_КР_КК[[#This Row],[Таб.номер резервиста]]="-","-",IF(OR(База_КР_КК[[#This Row],[Уровень КК]]=2,База_КР_КК[[#This Row],[Уровень КК]]=3),IF(COUNTIFS($U$2:$U2017,$U2017,$F$2:$F2017,$F2017)=1,1,0),IF(COUNTIFS($U$2:$U2017,$U2017,$L$2:$L2017,$L2017)=1,1,0)))</f>
        <v>0</v>
      </c>
      <c r="AA20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7" s="106"/>
      <c r="AC2017" s="51"/>
      <c r="AD2017" s="106" t="s">
        <v>15</v>
      </c>
      <c r="AE2017" s="38" t="s">
        <v>344</v>
      </c>
    </row>
    <row r="2018" spans="1:31" ht="18" customHeight="1" x14ac:dyDescent="0.25">
      <c r="A20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8" s="79">
        <v>4</v>
      </c>
      <c r="C2018" s="23">
        <v>44890</v>
      </c>
      <c r="D2018" s="67">
        <f>IF(COUNTIF($G$2:$G2018,$G2018)=1,1,0)</f>
        <v>0</v>
      </c>
      <c r="E2018" s="67" t="str">
        <f>IFERROR(VLOOKUP(База_КР_КК[[#This Row],[ИД штатной должности (S)]],'уровень защищенности'!$B$7:$F$1095,5,0),"не защищена")</f>
        <v>высокий</v>
      </c>
      <c r="F2018" s="68">
        <v>500273</v>
      </c>
      <c r="G2018" s="74" t="s">
        <v>2612</v>
      </c>
      <c r="H2018" s="181">
        <f>INDEX('Списки данных'!$D$2:$D$1048576,MATCH(База_КР_КК[[#This Row],[Структурное подразделение]],'Списки данных'!$C$2:$C$1048576,0))</f>
        <v>13</v>
      </c>
      <c r="I2018" s="80" t="s">
        <v>173</v>
      </c>
      <c r="J2018" s="80" t="s">
        <v>212</v>
      </c>
      <c r="K2018" s="80" t="s">
        <v>213</v>
      </c>
      <c r="L2018" s="30" t="s">
        <v>191</v>
      </c>
      <c r="M2018" s="68">
        <v>7</v>
      </c>
      <c r="N2018" s="181" t="str">
        <f t="shared" si="32"/>
        <v>нет</v>
      </c>
      <c r="O2018" s="23"/>
      <c r="P2018" s="23"/>
      <c r="Q2018" s="106"/>
      <c r="R2018" s="37">
        <v>440</v>
      </c>
      <c r="S2018" s="38" t="s">
        <v>852</v>
      </c>
      <c r="T2018" s="37">
        <v>1533</v>
      </c>
      <c r="U2018" s="39" t="s">
        <v>1889</v>
      </c>
      <c r="V2018" s="69" t="s">
        <v>272</v>
      </c>
      <c r="W2018" s="89" t="s">
        <v>173</v>
      </c>
      <c r="X2018" s="106" t="s">
        <v>296</v>
      </c>
      <c r="Y2018" s="107" t="s">
        <v>12</v>
      </c>
      <c r="Z2018" s="67">
        <f>IF(База_КР_КК[[#This Row],[Таб.номер резервиста]]="-","-",IF(OR(База_КР_КК[[#This Row],[Уровень КК]]=2,База_КР_КК[[#This Row],[Уровень КК]]=3),IF(COUNTIFS($U$2:$U2018,$U2018,$F$2:$F2018,$F2018)=1,1,0),IF(COUNTIFS($U$2:$U2018,$U2018,$L$2:$L2018,$L2018)=1,1,0)))</f>
        <v>0</v>
      </c>
      <c r="AA20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8" s="106"/>
      <c r="AC2018" s="51"/>
      <c r="AD2018" s="106" t="s">
        <v>15</v>
      </c>
      <c r="AE2018" s="38" t="s">
        <v>344</v>
      </c>
    </row>
    <row r="2019" spans="1:31" ht="18" customHeight="1" x14ac:dyDescent="0.25">
      <c r="A20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19" s="79">
        <v>4</v>
      </c>
      <c r="C2019" s="23">
        <v>44890</v>
      </c>
      <c r="D2019" s="67">
        <f>IF(COUNTIF($G$2:$G2019,$G2019)=1,1,0)</f>
        <v>0</v>
      </c>
      <c r="E2019" s="67" t="str">
        <f>IFERROR(VLOOKUP(База_КР_КК[[#This Row],[ИД штатной должности (S)]],'уровень защищенности'!$B$7:$F$1095,5,0),"не защищена")</f>
        <v>высокий</v>
      </c>
      <c r="F2019" s="68">
        <v>500273</v>
      </c>
      <c r="G2019" s="74" t="s">
        <v>2612</v>
      </c>
      <c r="H2019" s="181">
        <f>INDEX('Списки данных'!$D$2:$D$1048576,MATCH(База_КР_КК[[#This Row],[Структурное подразделение]],'Списки данных'!$C$2:$C$1048576,0))</f>
        <v>13</v>
      </c>
      <c r="I2019" s="80" t="s">
        <v>173</v>
      </c>
      <c r="J2019" s="80" t="s">
        <v>212</v>
      </c>
      <c r="K2019" s="80" t="s">
        <v>213</v>
      </c>
      <c r="L2019" s="30" t="s">
        <v>191</v>
      </c>
      <c r="M2019" s="68">
        <v>7</v>
      </c>
      <c r="N2019" s="181" t="str">
        <f t="shared" si="32"/>
        <v>нет</v>
      </c>
      <c r="O2019" s="23"/>
      <c r="P2019" s="23"/>
      <c r="Q2019" s="106"/>
      <c r="R2019" s="37">
        <v>440</v>
      </c>
      <c r="S2019" s="38" t="s">
        <v>852</v>
      </c>
      <c r="T2019" s="37">
        <v>1534</v>
      </c>
      <c r="U2019" s="39" t="s">
        <v>1890</v>
      </c>
      <c r="V2019" s="69" t="s">
        <v>272</v>
      </c>
      <c r="W2019" s="89" t="s">
        <v>173</v>
      </c>
      <c r="X2019" s="106" t="s">
        <v>296</v>
      </c>
      <c r="Y2019" s="107" t="s">
        <v>12</v>
      </c>
      <c r="Z2019" s="67">
        <f>IF(База_КР_КК[[#This Row],[Таб.номер резервиста]]="-","-",IF(OR(База_КР_КК[[#This Row],[Уровень КК]]=2,База_КР_КК[[#This Row],[Уровень КК]]=3),IF(COUNTIFS($U$2:$U2019,$U2019,$F$2:$F2019,$F2019)=1,1,0),IF(COUNTIFS($U$2:$U2019,$U2019,$L$2:$L2019,$L2019)=1,1,0)))</f>
        <v>0</v>
      </c>
      <c r="AA20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19" s="106"/>
      <c r="AC2019" s="51"/>
      <c r="AD2019" s="106" t="s">
        <v>15</v>
      </c>
      <c r="AE2019" s="38" t="s">
        <v>344</v>
      </c>
    </row>
    <row r="2020" spans="1:31" ht="18" customHeight="1" x14ac:dyDescent="0.25">
      <c r="A20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0" s="79">
        <v>4</v>
      </c>
      <c r="C2020" s="23">
        <v>44890</v>
      </c>
      <c r="D2020" s="67">
        <f>IF(COUNTIF($G$2:$G2020,$G2020)=1,1,0)</f>
        <v>0</v>
      </c>
      <c r="E2020" s="67" t="str">
        <f>IFERROR(VLOOKUP(База_КР_КК[[#This Row],[ИД штатной должности (S)]],'уровень защищенности'!$B$7:$F$1095,5,0),"не защищена")</f>
        <v>высокий</v>
      </c>
      <c r="F2020" s="68">
        <v>500273</v>
      </c>
      <c r="G2020" s="74" t="s">
        <v>2612</v>
      </c>
      <c r="H2020" s="181">
        <f>INDEX('Списки данных'!$D$2:$D$1048576,MATCH(База_КР_КК[[#This Row],[Структурное подразделение]],'Списки данных'!$C$2:$C$1048576,0))</f>
        <v>13</v>
      </c>
      <c r="I2020" s="80" t="s">
        <v>173</v>
      </c>
      <c r="J2020" s="80" t="s">
        <v>212</v>
      </c>
      <c r="K2020" s="80" t="s">
        <v>213</v>
      </c>
      <c r="L2020" s="30" t="s">
        <v>191</v>
      </c>
      <c r="M2020" s="68">
        <v>7</v>
      </c>
      <c r="N2020" s="181" t="str">
        <f t="shared" si="32"/>
        <v>нет</v>
      </c>
      <c r="O2020" s="23"/>
      <c r="P2020" s="23"/>
      <c r="Q2020" s="106"/>
      <c r="R2020" s="37">
        <v>440</v>
      </c>
      <c r="S2020" s="38" t="s">
        <v>852</v>
      </c>
      <c r="T2020" s="37">
        <v>1535</v>
      </c>
      <c r="U2020" s="39" t="s">
        <v>1634</v>
      </c>
      <c r="V2020" s="69" t="s">
        <v>272</v>
      </c>
      <c r="W2020" s="89" t="s">
        <v>173</v>
      </c>
      <c r="X2020" s="106" t="s">
        <v>296</v>
      </c>
      <c r="Y2020" s="107" t="s">
        <v>12</v>
      </c>
      <c r="Z2020" s="67">
        <f>IF(База_КР_КК[[#This Row],[Таб.номер резервиста]]="-","-",IF(OR(База_КР_КК[[#This Row],[Уровень КК]]=2,База_КР_КК[[#This Row],[Уровень КК]]=3),IF(COUNTIFS($U$2:$U2020,$U2020,$F$2:$F2020,$F2020)=1,1,0),IF(COUNTIFS($U$2:$U2020,$U2020,$L$2:$L2020,$L2020)=1,1,0)))</f>
        <v>0</v>
      </c>
      <c r="AA20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0" s="106"/>
      <c r="AC2020" s="51"/>
      <c r="AD2020" s="106" t="s">
        <v>15</v>
      </c>
      <c r="AE2020" s="38" t="s">
        <v>344</v>
      </c>
    </row>
    <row r="2021" spans="1:31" ht="18" customHeight="1" x14ac:dyDescent="0.25">
      <c r="A20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1" s="79">
        <v>4</v>
      </c>
      <c r="C2021" s="23">
        <v>44890</v>
      </c>
      <c r="D2021" s="67">
        <f>IF(COUNTIF($G$2:$G2021,$G2021)=1,1,0)</f>
        <v>0</v>
      </c>
      <c r="E2021" s="67" t="str">
        <f>IFERROR(VLOOKUP(База_КР_КК[[#This Row],[ИД штатной должности (S)]],'уровень защищенности'!$B$7:$F$1095,5,0),"не защищена")</f>
        <v>высокий</v>
      </c>
      <c r="F2021" s="68">
        <v>500273</v>
      </c>
      <c r="G2021" s="74" t="s">
        <v>2612</v>
      </c>
      <c r="H2021" s="181">
        <f>INDEX('Списки данных'!$D$2:$D$1048576,MATCH(База_КР_КК[[#This Row],[Структурное подразделение]],'Списки данных'!$C$2:$C$1048576,0))</f>
        <v>13</v>
      </c>
      <c r="I2021" s="80" t="s">
        <v>173</v>
      </c>
      <c r="J2021" s="80" t="s">
        <v>212</v>
      </c>
      <c r="K2021" s="80" t="s">
        <v>213</v>
      </c>
      <c r="L2021" s="30" t="s">
        <v>191</v>
      </c>
      <c r="M2021" s="68">
        <v>7</v>
      </c>
      <c r="N2021" s="181" t="str">
        <f t="shared" si="32"/>
        <v>нет</v>
      </c>
      <c r="O2021" s="23"/>
      <c r="P2021" s="23"/>
      <c r="Q2021" s="106"/>
      <c r="R2021" s="37">
        <v>440</v>
      </c>
      <c r="S2021" s="38" t="s">
        <v>852</v>
      </c>
      <c r="T2021" s="37">
        <v>1536</v>
      </c>
      <c r="U2021" s="39" t="s">
        <v>1891</v>
      </c>
      <c r="V2021" s="69" t="s">
        <v>272</v>
      </c>
      <c r="W2021" s="89" t="s">
        <v>173</v>
      </c>
      <c r="X2021" s="106" t="s">
        <v>296</v>
      </c>
      <c r="Y2021" s="107" t="s">
        <v>12</v>
      </c>
      <c r="Z2021" s="67">
        <f>IF(База_КР_КК[[#This Row],[Таб.номер резервиста]]="-","-",IF(OR(База_КР_КК[[#This Row],[Уровень КК]]=2,База_КР_КК[[#This Row],[Уровень КК]]=3),IF(COUNTIFS($U$2:$U2021,$U2021,$F$2:$F2021,$F2021)=1,1,0),IF(COUNTIFS($U$2:$U2021,$U2021,$L$2:$L2021,$L2021)=1,1,0)))</f>
        <v>0</v>
      </c>
      <c r="AA20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1" s="106"/>
      <c r="AC2021" s="51"/>
      <c r="AD2021" s="106" t="s">
        <v>15</v>
      </c>
      <c r="AE2021" s="38" t="s">
        <v>344</v>
      </c>
    </row>
    <row r="2022" spans="1:31" ht="18" customHeight="1" x14ac:dyDescent="0.25">
      <c r="A20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2" s="79">
        <v>4</v>
      </c>
      <c r="C2022" s="23">
        <v>44425</v>
      </c>
      <c r="D2022" s="67">
        <f>IF(COUNTIF($G$2:$G2022,$G2022)=1,1,0)</f>
        <v>0</v>
      </c>
      <c r="E2022" s="67" t="str">
        <f>IFERROR(VLOOKUP(База_КР_КК[[#This Row],[ИД штатной должности (S)]],'уровень защищенности'!$B$7:$F$1095,5,0),"не защищена")</f>
        <v>высокий</v>
      </c>
      <c r="F2022" s="68">
        <v>500273</v>
      </c>
      <c r="G2022" s="74" t="s">
        <v>2612</v>
      </c>
      <c r="H2022" s="181">
        <f>INDEX('Списки данных'!$D$2:$D$1048576,MATCH(База_КР_КК[[#This Row],[Структурное подразделение]],'Списки данных'!$C$2:$C$1048576,0))</f>
        <v>13</v>
      </c>
      <c r="I2022" s="80" t="s">
        <v>173</v>
      </c>
      <c r="J2022" s="80" t="s">
        <v>212</v>
      </c>
      <c r="K2022" s="80" t="s">
        <v>213</v>
      </c>
      <c r="L2022" s="30" t="s">
        <v>191</v>
      </c>
      <c r="M2022" s="68">
        <v>7</v>
      </c>
      <c r="N2022" s="181" t="str">
        <f t="shared" si="32"/>
        <v>нет</v>
      </c>
      <c r="O2022" s="23"/>
      <c r="P2022" s="23"/>
      <c r="Q2022" s="106"/>
      <c r="R2022" s="37">
        <v>440</v>
      </c>
      <c r="S2022" s="38" t="s">
        <v>852</v>
      </c>
      <c r="T2022" s="37">
        <v>1537</v>
      </c>
      <c r="U2022" s="39" t="s">
        <v>1892</v>
      </c>
      <c r="V2022" s="69" t="s">
        <v>272</v>
      </c>
      <c r="W2022" s="89" t="s">
        <v>173</v>
      </c>
      <c r="X2022" s="106" t="s">
        <v>295</v>
      </c>
      <c r="Y2022" s="107" t="s">
        <v>18</v>
      </c>
      <c r="Z2022" s="67">
        <f>IF(База_КР_КК[[#This Row],[Таб.номер резервиста]]="-","-",IF(OR(База_КР_КК[[#This Row],[Уровень КК]]=2,База_КР_КК[[#This Row],[Уровень КК]]=3),IF(COUNTIFS($U$2:$U2022,$U2022,$F$2:$F2022,$F2022)=1,1,0),IF(COUNTIFS($U$2:$U2022,$U2022,$L$2:$L2022,$L2022)=1,1,0)))</f>
        <v>0</v>
      </c>
      <c r="AA20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2" s="106" t="s">
        <v>38</v>
      </c>
      <c r="AC2022" s="51">
        <v>44890</v>
      </c>
      <c r="AD2022" s="106" t="s">
        <v>31</v>
      </c>
      <c r="AE2022" s="38" t="s">
        <v>344</v>
      </c>
    </row>
    <row r="2023" spans="1:31" ht="18" customHeight="1" x14ac:dyDescent="0.25">
      <c r="A20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3" s="79">
        <v>4</v>
      </c>
      <c r="C2023" s="23">
        <v>44425</v>
      </c>
      <c r="D2023" s="67">
        <f>IF(COUNTIF($G$2:$G2023,$G2023)=1,1,0)</f>
        <v>0</v>
      </c>
      <c r="E2023" s="67" t="str">
        <f>IFERROR(VLOOKUP(База_КР_КК[[#This Row],[ИД штатной должности (S)]],'уровень защищенности'!$B$7:$F$1095,5,0),"не защищена")</f>
        <v>высокий</v>
      </c>
      <c r="F2023" s="68">
        <v>500273</v>
      </c>
      <c r="G2023" s="74" t="s">
        <v>2612</v>
      </c>
      <c r="H2023" s="181">
        <f>INDEX('Списки данных'!$D$2:$D$1048576,MATCH(База_КР_КК[[#This Row],[Структурное подразделение]],'Списки данных'!$C$2:$C$1048576,0))</f>
        <v>13</v>
      </c>
      <c r="I2023" s="80" t="s">
        <v>173</v>
      </c>
      <c r="J2023" s="80" t="s">
        <v>212</v>
      </c>
      <c r="K2023" s="80" t="s">
        <v>213</v>
      </c>
      <c r="L2023" s="30" t="s">
        <v>191</v>
      </c>
      <c r="M2023" s="68">
        <v>7</v>
      </c>
      <c r="N2023" s="181" t="str">
        <f t="shared" si="32"/>
        <v>нет</v>
      </c>
      <c r="O2023" s="23"/>
      <c r="P2023" s="23"/>
      <c r="Q2023" s="106"/>
      <c r="R2023" s="37">
        <v>440</v>
      </c>
      <c r="S2023" s="38" t="s">
        <v>852</v>
      </c>
      <c r="T2023" s="37">
        <v>1538</v>
      </c>
      <c r="U2023" s="39" t="s">
        <v>1893</v>
      </c>
      <c r="V2023" s="69" t="s">
        <v>272</v>
      </c>
      <c r="W2023" s="89" t="s">
        <v>173</v>
      </c>
      <c r="X2023" s="106" t="s">
        <v>297</v>
      </c>
      <c r="Y2023" s="107" t="s">
        <v>18</v>
      </c>
      <c r="Z2023" s="67">
        <f>IF(База_КР_КК[[#This Row],[Таб.номер резервиста]]="-","-",IF(OR(База_КР_КК[[#This Row],[Уровень КК]]=2,База_КР_КК[[#This Row],[Уровень КК]]=3),IF(COUNTIFS($U$2:$U2023,$U2023,$F$2:$F2023,$F2023)=1,1,0),IF(COUNTIFS($U$2:$U2023,$U2023,$L$2:$L2023,$L2023)=1,1,0)))</f>
        <v>0</v>
      </c>
      <c r="AA20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3" s="106" t="s">
        <v>20</v>
      </c>
      <c r="AC2023" s="51">
        <v>44552</v>
      </c>
      <c r="AD2023" s="106" t="s">
        <v>15</v>
      </c>
      <c r="AE2023" s="38" t="s">
        <v>343</v>
      </c>
    </row>
    <row r="2024" spans="1:31" ht="18" customHeight="1" x14ac:dyDescent="0.25">
      <c r="A20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4" s="79">
        <v>4</v>
      </c>
      <c r="C2024" s="23">
        <v>44425</v>
      </c>
      <c r="D2024" s="67">
        <f>IF(COUNTIF($G$2:$G2024,$G2024)=1,1,0)</f>
        <v>1</v>
      </c>
      <c r="E2024" s="67" t="str">
        <f>IFERROR(VLOOKUP(База_КР_КК[[#This Row],[ИД штатной должности (S)]],'уровень защищенности'!$B$7:$F$1095,5,0),"не защищена")</f>
        <v>высокий</v>
      </c>
      <c r="F2024" s="68">
        <v>500274</v>
      </c>
      <c r="G2024" s="74" t="s">
        <v>2613</v>
      </c>
      <c r="H2024" s="181">
        <f>INDEX('Списки данных'!$D$2:$D$1048576,MATCH(База_КР_КК[[#This Row],[Структурное подразделение]],'Списки данных'!$C$2:$C$1048576,0))</f>
        <v>13</v>
      </c>
      <c r="I2024" s="80" t="s">
        <v>173</v>
      </c>
      <c r="J2024" s="80" t="s">
        <v>212</v>
      </c>
      <c r="K2024" s="80" t="s">
        <v>213</v>
      </c>
      <c r="L2024" s="30" t="s">
        <v>191</v>
      </c>
      <c r="M2024" s="68">
        <v>7</v>
      </c>
      <c r="N2024" s="181" t="str">
        <f t="shared" si="32"/>
        <v>нет</v>
      </c>
      <c r="O2024" s="23"/>
      <c r="P2024" s="23"/>
      <c r="Q2024" s="106"/>
      <c r="R2024" s="37">
        <v>441</v>
      </c>
      <c r="S2024" s="38" t="s">
        <v>853</v>
      </c>
      <c r="T2024" s="37">
        <v>1527</v>
      </c>
      <c r="U2024" s="39" t="s">
        <v>1884</v>
      </c>
      <c r="V2024" s="69" t="s">
        <v>272</v>
      </c>
      <c r="W2024" s="89" t="s">
        <v>173</v>
      </c>
      <c r="X2024" s="106" t="s">
        <v>295</v>
      </c>
      <c r="Y2024" s="107" t="s">
        <v>12</v>
      </c>
      <c r="Z2024" s="67">
        <f>IF(База_КР_КК[[#This Row],[Таб.номер резервиста]]="-","-",IF(OR(База_КР_КК[[#This Row],[Уровень КК]]=2,База_КР_КК[[#This Row],[Уровень КК]]=3),IF(COUNTIFS($U$2:$U2024,$U2024,$F$2:$F2024,$F2024)=1,1,0),IF(COUNTIFS($U$2:$U2024,$U2024,$L$2:$L2024,$L2024)=1,1,0)))</f>
        <v>0</v>
      </c>
      <c r="AA20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4" s="106"/>
      <c r="AC2024" s="51"/>
      <c r="AD2024" s="106" t="s">
        <v>15</v>
      </c>
      <c r="AE2024" s="38" t="s">
        <v>343</v>
      </c>
    </row>
    <row r="2025" spans="1:31" ht="18" customHeight="1" x14ac:dyDescent="0.25">
      <c r="A20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5" s="79">
        <v>4</v>
      </c>
      <c r="C2025" s="23">
        <v>44425</v>
      </c>
      <c r="D2025" s="67">
        <f>IF(COUNTIF($G$2:$G2025,$G2025)=1,1,0)</f>
        <v>0</v>
      </c>
      <c r="E2025" s="67" t="str">
        <f>IFERROR(VLOOKUP(База_КР_КК[[#This Row],[ИД штатной должности (S)]],'уровень защищенности'!$B$7:$F$1095,5,0),"не защищена")</f>
        <v>высокий</v>
      </c>
      <c r="F2025" s="68">
        <v>500274</v>
      </c>
      <c r="G2025" s="74" t="s">
        <v>2613</v>
      </c>
      <c r="H2025" s="181">
        <f>INDEX('Списки данных'!$D$2:$D$1048576,MATCH(База_КР_КК[[#This Row],[Структурное подразделение]],'Списки данных'!$C$2:$C$1048576,0))</f>
        <v>13</v>
      </c>
      <c r="I2025" s="80" t="s">
        <v>173</v>
      </c>
      <c r="J2025" s="80" t="s">
        <v>212</v>
      </c>
      <c r="K2025" s="80" t="s">
        <v>213</v>
      </c>
      <c r="L2025" s="30" t="s">
        <v>191</v>
      </c>
      <c r="M2025" s="68">
        <v>7</v>
      </c>
      <c r="N2025" s="181" t="str">
        <f t="shared" si="32"/>
        <v>нет</v>
      </c>
      <c r="O2025" s="23"/>
      <c r="P2025" s="23"/>
      <c r="Q2025" s="106"/>
      <c r="R2025" s="37">
        <v>441</v>
      </c>
      <c r="S2025" s="38" t="s">
        <v>853</v>
      </c>
      <c r="T2025" s="37">
        <v>1528</v>
      </c>
      <c r="U2025" s="39" t="s">
        <v>1885</v>
      </c>
      <c r="V2025" s="93" t="s">
        <v>272</v>
      </c>
      <c r="W2025" s="89" t="s">
        <v>173</v>
      </c>
      <c r="X2025" s="106" t="s">
        <v>296</v>
      </c>
      <c r="Y2025" s="107" t="s">
        <v>12</v>
      </c>
      <c r="Z2025" s="67">
        <f>IF(База_КР_КК[[#This Row],[Таб.номер резервиста]]="-","-",IF(OR(База_КР_КК[[#This Row],[Уровень КК]]=2,База_КР_КК[[#This Row],[Уровень КК]]=3),IF(COUNTIFS($U$2:$U2025,$U2025,$F$2:$F2025,$F2025)=1,1,0),IF(COUNTIFS($U$2:$U2025,$U2025,$L$2:$L2025,$L2025)=1,1,0)))</f>
        <v>0</v>
      </c>
      <c r="AA20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5" s="106"/>
      <c r="AC2025" s="51"/>
      <c r="AD2025" s="106" t="s">
        <v>15</v>
      </c>
      <c r="AE2025" s="38" t="s">
        <v>343</v>
      </c>
    </row>
    <row r="2026" spans="1:31" ht="18" customHeight="1" x14ac:dyDescent="0.25">
      <c r="A20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6" s="79">
        <v>4</v>
      </c>
      <c r="C2026" s="23">
        <v>44425</v>
      </c>
      <c r="D2026" s="67">
        <f>IF(COUNTIF($G$2:$G2026,$G2026)=1,1,0)</f>
        <v>0</v>
      </c>
      <c r="E2026" s="67" t="str">
        <f>IFERROR(VLOOKUP(База_КР_КК[[#This Row],[ИД штатной должности (S)]],'уровень защищенности'!$B$7:$F$1095,5,0),"не защищена")</f>
        <v>высокий</v>
      </c>
      <c r="F2026" s="68">
        <v>500274</v>
      </c>
      <c r="G2026" s="74" t="s">
        <v>2613</v>
      </c>
      <c r="H2026" s="181">
        <f>INDEX('Списки данных'!$D$2:$D$1048576,MATCH(База_КР_КК[[#This Row],[Структурное подразделение]],'Списки данных'!$C$2:$C$1048576,0))</f>
        <v>13</v>
      </c>
      <c r="I2026" s="80" t="s">
        <v>173</v>
      </c>
      <c r="J2026" s="80" t="s">
        <v>212</v>
      </c>
      <c r="K2026" s="80" t="s">
        <v>213</v>
      </c>
      <c r="L2026" s="30" t="s">
        <v>191</v>
      </c>
      <c r="M2026" s="68">
        <v>7</v>
      </c>
      <c r="N2026" s="181" t="str">
        <f t="shared" si="32"/>
        <v>нет</v>
      </c>
      <c r="O2026" s="23"/>
      <c r="P2026" s="23"/>
      <c r="Q2026" s="106"/>
      <c r="R2026" s="37">
        <v>441</v>
      </c>
      <c r="S2026" s="38" t="s">
        <v>853</v>
      </c>
      <c r="T2026" s="37">
        <v>1529</v>
      </c>
      <c r="U2026" s="39" t="s">
        <v>1886</v>
      </c>
      <c r="V2026" s="69" t="s">
        <v>272</v>
      </c>
      <c r="W2026" s="89" t="s">
        <v>173</v>
      </c>
      <c r="X2026" s="106" t="s">
        <v>297</v>
      </c>
      <c r="Y2026" s="107" t="s">
        <v>12</v>
      </c>
      <c r="Z2026" s="67">
        <f>IF(База_КР_КК[[#This Row],[Таб.номер резервиста]]="-","-",IF(OR(База_КР_КК[[#This Row],[Уровень КК]]=2,База_КР_КК[[#This Row],[Уровень КК]]=3),IF(COUNTIFS($U$2:$U2026,$U2026,$F$2:$F2026,$F2026)=1,1,0),IF(COUNTIFS($U$2:$U2026,$U2026,$L$2:$L2026,$L2026)=1,1,0)))</f>
        <v>0</v>
      </c>
      <c r="AA20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6" s="106"/>
      <c r="AC2026" s="51"/>
      <c r="AD2026" s="106" t="s">
        <v>15</v>
      </c>
      <c r="AE2026" s="38" t="s">
        <v>343</v>
      </c>
    </row>
    <row r="2027" spans="1:31" ht="18" customHeight="1" x14ac:dyDescent="0.25">
      <c r="A20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7" s="79">
        <v>4</v>
      </c>
      <c r="C2027" s="23">
        <v>44425</v>
      </c>
      <c r="D2027" s="67">
        <f>IF(COUNTIF($G$2:$G2027,$G2027)=1,1,0)</f>
        <v>0</v>
      </c>
      <c r="E2027" s="67" t="str">
        <f>IFERROR(VLOOKUP(База_КР_КК[[#This Row],[ИД штатной должности (S)]],'уровень защищенности'!$B$7:$F$1095,5,0),"не защищена")</f>
        <v>высокий</v>
      </c>
      <c r="F2027" s="68">
        <v>500274</v>
      </c>
      <c r="G2027" s="74" t="s">
        <v>2613</v>
      </c>
      <c r="H2027" s="181">
        <f>INDEX('Списки данных'!$D$2:$D$1048576,MATCH(База_КР_КК[[#This Row],[Структурное подразделение]],'Списки данных'!$C$2:$C$1048576,0))</f>
        <v>13</v>
      </c>
      <c r="I2027" s="80" t="s">
        <v>173</v>
      </c>
      <c r="J2027" s="80" t="s">
        <v>212</v>
      </c>
      <c r="K2027" s="80" t="s">
        <v>213</v>
      </c>
      <c r="L2027" s="30" t="s">
        <v>191</v>
      </c>
      <c r="M2027" s="68">
        <v>7</v>
      </c>
      <c r="N2027" s="181" t="str">
        <f t="shared" si="32"/>
        <v>нет</v>
      </c>
      <c r="O2027" s="23"/>
      <c r="P2027" s="23"/>
      <c r="Q2027" s="106"/>
      <c r="R2027" s="37">
        <v>441</v>
      </c>
      <c r="S2027" s="38" t="s">
        <v>853</v>
      </c>
      <c r="T2027" s="37">
        <v>1530</v>
      </c>
      <c r="U2027" s="39" t="s">
        <v>1887</v>
      </c>
      <c r="V2027" s="69" t="s">
        <v>272</v>
      </c>
      <c r="W2027" s="89" t="s">
        <v>173</v>
      </c>
      <c r="X2027" s="106" t="s">
        <v>296</v>
      </c>
      <c r="Y2027" s="107" t="s">
        <v>12</v>
      </c>
      <c r="Z2027" s="67">
        <f>IF(База_КР_КК[[#This Row],[Таб.номер резервиста]]="-","-",IF(OR(База_КР_КК[[#This Row],[Уровень КК]]=2,База_КР_КК[[#This Row],[Уровень КК]]=3),IF(COUNTIFS($U$2:$U2027,$U2027,$F$2:$F2027,$F2027)=1,1,0),IF(COUNTIFS($U$2:$U2027,$U2027,$L$2:$L2027,$L2027)=1,1,0)))</f>
        <v>0</v>
      </c>
      <c r="AA20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7" s="106"/>
      <c r="AC2027" s="51"/>
      <c r="AD2027" s="106" t="s">
        <v>15</v>
      </c>
      <c r="AE2027" s="38" t="s">
        <v>343</v>
      </c>
    </row>
    <row r="2028" spans="1:31" ht="18" customHeight="1" x14ac:dyDescent="0.25">
      <c r="A20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8" s="79">
        <v>4</v>
      </c>
      <c r="C2028" s="23">
        <v>44425</v>
      </c>
      <c r="D2028" s="67">
        <f>IF(COUNTIF($G$2:$G2028,$G2028)=1,1,0)</f>
        <v>0</v>
      </c>
      <c r="E2028" s="67" t="str">
        <f>IFERROR(VLOOKUP(База_КР_КК[[#This Row],[ИД штатной должности (S)]],'уровень защищенности'!$B$7:$F$1095,5,0),"не защищена")</f>
        <v>высокий</v>
      </c>
      <c r="F2028" s="68">
        <v>500274</v>
      </c>
      <c r="G2028" s="74" t="s">
        <v>2613</v>
      </c>
      <c r="H2028" s="181">
        <f>INDEX('Списки данных'!$D$2:$D$1048576,MATCH(База_КР_КК[[#This Row],[Структурное подразделение]],'Списки данных'!$C$2:$C$1048576,0))</f>
        <v>13</v>
      </c>
      <c r="I2028" s="80" t="s">
        <v>173</v>
      </c>
      <c r="J2028" s="80" t="s">
        <v>212</v>
      </c>
      <c r="K2028" s="80" t="s">
        <v>213</v>
      </c>
      <c r="L2028" s="30" t="s">
        <v>191</v>
      </c>
      <c r="M2028" s="68">
        <v>7</v>
      </c>
      <c r="N2028" s="181" t="str">
        <f t="shared" si="32"/>
        <v>нет</v>
      </c>
      <c r="O2028" s="23"/>
      <c r="P2028" s="23"/>
      <c r="Q2028" s="106"/>
      <c r="R2028" s="37">
        <v>441</v>
      </c>
      <c r="S2028" s="38" t="s">
        <v>853</v>
      </c>
      <c r="T2028" s="37">
        <v>1531</v>
      </c>
      <c r="U2028" s="39" t="s">
        <v>1575</v>
      </c>
      <c r="V2028" s="69" t="s">
        <v>272</v>
      </c>
      <c r="W2028" s="89" t="s">
        <v>173</v>
      </c>
      <c r="X2028" s="106" t="s">
        <v>297</v>
      </c>
      <c r="Y2028" s="107" t="s">
        <v>12</v>
      </c>
      <c r="Z2028" s="67">
        <f>IF(База_КР_КК[[#This Row],[Таб.номер резервиста]]="-","-",IF(OR(База_КР_КК[[#This Row],[Уровень КК]]=2,База_КР_КК[[#This Row],[Уровень КК]]=3),IF(COUNTIFS($U$2:$U2028,$U2028,$F$2:$F2028,$F2028)=1,1,0),IF(COUNTIFS($U$2:$U2028,$U2028,$L$2:$L2028,$L2028)=1,1,0)))</f>
        <v>0</v>
      </c>
      <c r="AA20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8" s="106"/>
      <c r="AC2028" s="51"/>
      <c r="AD2028" s="106" t="s">
        <v>15</v>
      </c>
      <c r="AE2028" s="38" t="s">
        <v>343</v>
      </c>
    </row>
    <row r="2029" spans="1:31" ht="18" customHeight="1" x14ac:dyDescent="0.25">
      <c r="A20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29" s="79">
        <v>4</v>
      </c>
      <c r="C2029" s="23">
        <v>44890</v>
      </c>
      <c r="D2029" s="67">
        <f>IF(COUNTIF($G$2:$G2029,$G2029)=1,1,0)</f>
        <v>0</v>
      </c>
      <c r="E2029" s="67" t="str">
        <f>IFERROR(VLOOKUP(База_КР_КК[[#This Row],[ИД штатной должности (S)]],'уровень защищенности'!$B$7:$F$1095,5,0),"не защищена")</f>
        <v>высокий</v>
      </c>
      <c r="F2029" s="68">
        <v>500274</v>
      </c>
      <c r="G2029" s="74" t="s">
        <v>2613</v>
      </c>
      <c r="H2029" s="181">
        <f>INDEX('Списки данных'!$D$2:$D$1048576,MATCH(База_КР_КК[[#This Row],[Структурное подразделение]],'Списки данных'!$C$2:$C$1048576,0))</f>
        <v>13</v>
      </c>
      <c r="I2029" s="80" t="s">
        <v>173</v>
      </c>
      <c r="J2029" s="80" t="s">
        <v>212</v>
      </c>
      <c r="K2029" s="80" t="s">
        <v>213</v>
      </c>
      <c r="L2029" s="30" t="s">
        <v>191</v>
      </c>
      <c r="M2029" s="68">
        <v>7</v>
      </c>
      <c r="N2029" s="181" t="str">
        <f t="shared" si="32"/>
        <v>нет</v>
      </c>
      <c r="O2029" s="23"/>
      <c r="P2029" s="23"/>
      <c r="Q2029" s="106"/>
      <c r="R2029" s="37">
        <v>441</v>
      </c>
      <c r="S2029" s="38" t="s">
        <v>853</v>
      </c>
      <c r="T2029" s="37">
        <v>1532</v>
      </c>
      <c r="U2029" s="39" t="s">
        <v>1888</v>
      </c>
      <c r="V2029" s="69" t="s">
        <v>272</v>
      </c>
      <c r="W2029" s="89" t="s">
        <v>173</v>
      </c>
      <c r="X2029" s="106" t="s">
        <v>296</v>
      </c>
      <c r="Y2029" s="107" t="s">
        <v>12</v>
      </c>
      <c r="Z2029" s="67">
        <f>IF(База_КР_КК[[#This Row],[Таб.номер резервиста]]="-","-",IF(OR(База_КР_КК[[#This Row],[Уровень КК]]=2,База_КР_КК[[#This Row],[Уровень КК]]=3),IF(COUNTIFS($U$2:$U2029,$U2029,$F$2:$F2029,$F2029)=1,1,0),IF(COUNTIFS($U$2:$U2029,$U2029,$L$2:$L2029,$L2029)=1,1,0)))</f>
        <v>0</v>
      </c>
      <c r="AA20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29" s="106"/>
      <c r="AC2029" s="51"/>
      <c r="AD2029" s="106" t="s">
        <v>15</v>
      </c>
      <c r="AE2029" s="38" t="s">
        <v>344</v>
      </c>
    </row>
    <row r="2030" spans="1:31" ht="18" customHeight="1" x14ac:dyDescent="0.25">
      <c r="A20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0" s="79">
        <v>4</v>
      </c>
      <c r="C2030" s="23">
        <v>44890</v>
      </c>
      <c r="D2030" s="67">
        <f>IF(COUNTIF($G$2:$G2030,$G2030)=1,1,0)</f>
        <v>0</v>
      </c>
      <c r="E2030" s="67" t="str">
        <f>IFERROR(VLOOKUP(База_КР_КК[[#This Row],[ИД штатной должности (S)]],'уровень защищенности'!$B$7:$F$1095,5,0),"не защищена")</f>
        <v>высокий</v>
      </c>
      <c r="F2030" s="68">
        <v>500274</v>
      </c>
      <c r="G2030" s="74" t="s">
        <v>2613</v>
      </c>
      <c r="H2030" s="181">
        <f>INDEX('Списки данных'!$D$2:$D$1048576,MATCH(База_КР_КК[[#This Row],[Структурное подразделение]],'Списки данных'!$C$2:$C$1048576,0))</f>
        <v>13</v>
      </c>
      <c r="I2030" s="80" t="s">
        <v>173</v>
      </c>
      <c r="J2030" s="80" t="s">
        <v>212</v>
      </c>
      <c r="K2030" s="80" t="s">
        <v>213</v>
      </c>
      <c r="L2030" s="30" t="s">
        <v>191</v>
      </c>
      <c r="M2030" s="68">
        <v>7</v>
      </c>
      <c r="N2030" s="181" t="str">
        <f t="shared" si="32"/>
        <v>нет</v>
      </c>
      <c r="O2030" s="23"/>
      <c r="P2030" s="23"/>
      <c r="Q2030" s="106"/>
      <c r="R2030" s="37">
        <v>441</v>
      </c>
      <c r="S2030" s="38" t="s">
        <v>853</v>
      </c>
      <c r="T2030" s="37">
        <v>1533</v>
      </c>
      <c r="U2030" s="39" t="s">
        <v>1889</v>
      </c>
      <c r="V2030" s="69" t="s">
        <v>272</v>
      </c>
      <c r="W2030" s="89" t="s">
        <v>173</v>
      </c>
      <c r="X2030" s="106" t="s">
        <v>296</v>
      </c>
      <c r="Y2030" s="107" t="s">
        <v>12</v>
      </c>
      <c r="Z2030" s="67">
        <f>IF(База_КР_КК[[#This Row],[Таб.номер резервиста]]="-","-",IF(OR(База_КР_КК[[#This Row],[Уровень КК]]=2,База_КР_КК[[#This Row],[Уровень КК]]=3),IF(COUNTIFS($U$2:$U2030,$U2030,$F$2:$F2030,$F2030)=1,1,0),IF(COUNTIFS($U$2:$U2030,$U2030,$L$2:$L2030,$L2030)=1,1,0)))</f>
        <v>0</v>
      </c>
      <c r="AA20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0" s="106"/>
      <c r="AC2030" s="51"/>
      <c r="AD2030" s="106" t="s">
        <v>15</v>
      </c>
      <c r="AE2030" s="38" t="s">
        <v>344</v>
      </c>
    </row>
    <row r="2031" spans="1:31" ht="18" customHeight="1" x14ac:dyDescent="0.25">
      <c r="A20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1" s="79">
        <v>4</v>
      </c>
      <c r="C2031" s="23">
        <v>44890</v>
      </c>
      <c r="D2031" s="67">
        <f>IF(COUNTIF($G$2:$G2031,$G2031)=1,1,0)</f>
        <v>0</v>
      </c>
      <c r="E2031" s="67" t="str">
        <f>IFERROR(VLOOKUP(База_КР_КК[[#This Row],[ИД штатной должности (S)]],'уровень защищенности'!$B$7:$F$1095,5,0),"не защищена")</f>
        <v>высокий</v>
      </c>
      <c r="F2031" s="68">
        <v>500274</v>
      </c>
      <c r="G2031" s="74" t="s">
        <v>2613</v>
      </c>
      <c r="H2031" s="181">
        <f>INDEX('Списки данных'!$D$2:$D$1048576,MATCH(База_КР_КК[[#This Row],[Структурное подразделение]],'Списки данных'!$C$2:$C$1048576,0))</f>
        <v>13</v>
      </c>
      <c r="I2031" s="80" t="s">
        <v>173</v>
      </c>
      <c r="J2031" s="80" t="s">
        <v>212</v>
      </c>
      <c r="K2031" s="80" t="s">
        <v>213</v>
      </c>
      <c r="L2031" s="30" t="s">
        <v>191</v>
      </c>
      <c r="M2031" s="68">
        <v>7</v>
      </c>
      <c r="N2031" s="181" t="str">
        <f t="shared" si="32"/>
        <v>нет</v>
      </c>
      <c r="O2031" s="23"/>
      <c r="P2031" s="23"/>
      <c r="Q2031" s="106"/>
      <c r="R2031" s="37">
        <v>441</v>
      </c>
      <c r="S2031" s="38" t="s">
        <v>853</v>
      </c>
      <c r="T2031" s="37">
        <v>1534</v>
      </c>
      <c r="U2031" s="39" t="s">
        <v>1890</v>
      </c>
      <c r="V2031" s="69" t="s">
        <v>272</v>
      </c>
      <c r="W2031" s="89" t="s">
        <v>173</v>
      </c>
      <c r="X2031" s="106" t="s">
        <v>296</v>
      </c>
      <c r="Y2031" s="107" t="s">
        <v>12</v>
      </c>
      <c r="Z2031" s="67">
        <f>IF(База_КР_КК[[#This Row],[Таб.номер резервиста]]="-","-",IF(OR(База_КР_КК[[#This Row],[Уровень КК]]=2,База_КР_КК[[#This Row],[Уровень КК]]=3),IF(COUNTIFS($U$2:$U2031,$U2031,$F$2:$F2031,$F2031)=1,1,0),IF(COUNTIFS($U$2:$U2031,$U2031,$L$2:$L2031,$L2031)=1,1,0)))</f>
        <v>0</v>
      </c>
      <c r="AA20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1" s="106"/>
      <c r="AC2031" s="51"/>
      <c r="AD2031" s="106" t="s">
        <v>15</v>
      </c>
      <c r="AE2031" s="38" t="s">
        <v>344</v>
      </c>
    </row>
    <row r="2032" spans="1:31" ht="18" customHeight="1" x14ac:dyDescent="0.25">
      <c r="A20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2" s="79">
        <v>4</v>
      </c>
      <c r="C2032" s="23">
        <v>44890</v>
      </c>
      <c r="D2032" s="67">
        <f>IF(COUNTIF($G$2:$G2032,$G2032)=1,1,0)</f>
        <v>0</v>
      </c>
      <c r="E2032" s="67" t="str">
        <f>IFERROR(VLOOKUP(База_КР_КК[[#This Row],[ИД штатной должности (S)]],'уровень защищенности'!$B$7:$F$1095,5,0),"не защищена")</f>
        <v>высокий</v>
      </c>
      <c r="F2032" s="68">
        <v>500274</v>
      </c>
      <c r="G2032" s="74" t="s">
        <v>2613</v>
      </c>
      <c r="H2032" s="181">
        <f>INDEX('Списки данных'!$D$2:$D$1048576,MATCH(База_КР_КК[[#This Row],[Структурное подразделение]],'Списки данных'!$C$2:$C$1048576,0))</f>
        <v>13</v>
      </c>
      <c r="I2032" s="80" t="s">
        <v>173</v>
      </c>
      <c r="J2032" s="80" t="s">
        <v>212</v>
      </c>
      <c r="K2032" s="80" t="s">
        <v>213</v>
      </c>
      <c r="L2032" s="30" t="s">
        <v>191</v>
      </c>
      <c r="M2032" s="68">
        <v>7</v>
      </c>
      <c r="N2032" s="181" t="str">
        <f t="shared" si="32"/>
        <v>нет</v>
      </c>
      <c r="O2032" s="23"/>
      <c r="P2032" s="23"/>
      <c r="Q2032" s="106"/>
      <c r="R2032" s="37">
        <v>441</v>
      </c>
      <c r="S2032" s="38" t="s">
        <v>853</v>
      </c>
      <c r="T2032" s="37">
        <v>1535</v>
      </c>
      <c r="U2032" s="39" t="s">
        <v>1634</v>
      </c>
      <c r="V2032" s="69" t="s">
        <v>272</v>
      </c>
      <c r="W2032" s="89" t="s">
        <v>173</v>
      </c>
      <c r="X2032" s="106" t="s">
        <v>296</v>
      </c>
      <c r="Y2032" s="107" t="s">
        <v>12</v>
      </c>
      <c r="Z2032" s="67">
        <f>IF(База_КР_КК[[#This Row],[Таб.номер резервиста]]="-","-",IF(OR(База_КР_КК[[#This Row],[Уровень КК]]=2,База_КР_КК[[#This Row],[Уровень КК]]=3),IF(COUNTIFS($U$2:$U2032,$U2032,$F$2:$F2032,$F2032)=1,1,0),IF(COUNTIFS($U$2:$U2032,$U2032,$L$2:$L2032,$L2032)=1,1,0)))</f>
        <v>0</v>
      </c>
      <c r="AA20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2" s="106"/>
      <c r="AC2032" s="51"/>
      <c r="AD2032" s="106" t="s">
        <v>15</v>
      </c>
      <c r="AE2032" s="38" t="s">
        <v>344</v>
      </c>
    </row>
    <row r="2033" spans="1:31" ht="18" customHeight="1" x14ac:dyDescent="0.25">
      <c r="A20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3" s="79">
        <v>4</v>
      </c>
      <c r="C2033" s="23">
        <v>44890</v>
      </c>
      <c r="D2033" s="67">
        <f>IF(COUNTIF($G$2:$G2033,$G2033)=1,1,0)</f>
        <v>0</v>
      </c>
      <c r="E2033" s="67" t="str">
        <f>IFERROR(VLOOKUP(База_КР_КК[[#This Row],[ИД штатной должности (S)]],'уровень защищенности'!$B$7:$F$1095,5,0),"не защищена")</f>
        <v>высокий</v>
      </c>
      <c r="F2033" s="68">
        <v>500274</v>
      </c>
      <c r="G2033" s="74" t="s">
        <v>2613</v>
      </c>
      <c r="H2033" s="181">
        <f>INDEX('Списки данных'!$D$2:$D$1048576,MATCH(База_КР_КК[[#This Row],[Структурное подразделение]],'Списки данных'!$C$2:$C$1048576,0))</f>
        <v>13</v>
      </c>
      <c r="I2033" s="80" t="s">
        <v>173</v>
      </c>
      <c r="J2033" s="80" t="s">
        <v>212</v>
      </c>
      <c r="K2033" s="80" t="s">
        <v>213</v>
      </c>
      <c r="L2033" s="30" t="s">
        <v>191</v>
      </c>
      <c r="M2033" s="68">
        <v>7</v>
      </c>
      <c r="N2033" s="181" t="str">
        <f t="shared" si="32"/>
        <v>нет</v>
      </c>
      <c r="O2033" s="23"/>
      <c r="P2033" s="23"/>
      <c r="Q2033" s="106"/>
      <c r="R2033" s="37">
        <v>441</v>
      </c>
      <c r="S2033" s="38" t="s">
        <v>853</v>
      </c>
      <c r="T2033" s="37">
        <v>1536</v>
      </c>
      <c r="U2033" s="39" t="s">
        <v>1891</v>
      </c>
      <c r="V2033" s="69" t="s">
        <v>272</v>
      </c>
      <c r="W2033" s="89" t="s">
        <v>173</v>
      </c>
      <c r="X2033" s="106" t="s">
        <v>296</v>
      </c>
      <c r="Y2033" s="107" t="s">
        <v>12</v>
      </c>
      <c r="Z2033" s="67">
        <f>IF(База_КР_КК[[#This Row],[Таб.номер резервиста]]="-","-",IF(OR(База_КР_КК[[#This Row],[Уровень КК]]=2,База_КР_КК[[#This Row],[Уровень КК]]=3),IF(COUNTIFS($U$2:$U2033,$U2033,$F$2:$F2033,$F2033)=1,1,0),IF(COUNTIFS($U$2:$U2033,$U2033,$L$2:$L2033,$L2033)=1,1,0)))</f>
        <v>0</v>
      </c>
      <c r="AA20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3" s="106"/>
      <c r="AC2033" s="51"/>
      <c r="AD2033" s="106" t="s">
        <v>15</v>
      </c>
      <c r="AE2033" s="38" t="s">
        <v>344</v>
      </c>
    </row>
    <row r="2034" spans="1:31" ht="18" customHeight="1" x14ac:dyDescent="0.25">
      <c r="A20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4" s="79">
        <v>4</v>
      </c>
      <c r="C2034" s="23">
        <v>44425</v>
      </c>
      <c r="D2034" s="67">
        <f>IF(COUNTIF($G$2:$G2034,$G2034)=1,1,0)</f>
        <v>0</v>
      </c>
      <c r="E2034" s="67" t="str">
        <f>IFERROR(VLOOKUP(База_КР_КК[[#This Row],[ИД штатной должности (S)]],'уровень защищенности'!$B$7:$F$1095,5,0),"не защищена")</f>
        <v>высокий</v>
      </c>
      <c r="F2034" s="68">
        <v>500274</v>
      </c>
      <c r="G2034" s="74" t="s">
        <v>2613</v>
      </c>
      <c r="H2034" s="181">
        <f>INDEX('Списки данных'!$D$2:$D$1048576,MATCH(База_КР_КК[[#This Row],[Структурное подразделение]],'Списки данных'!$C$2:$C$1048576,0))</f>
        <v>13</v>
      </c>
      <c r="I2034" s="80" t="s">
        <v>173</v>
      </c>
      <c r="J2034" s="80" t="s">
        <v>212</v>
      </c>
      <c r="K2034" s="80" t="s">
        <v>213</v>
      </c>
      <c r="L2034" s="30" t="s">
        <v>191</v>
      </c>
      <c r="M2034" s="68">
        <v>7</v>
      </c>
      <c r="N2034" s="181" t="str">
        <f t="shared" si="32"/>
        <v>нет</v>
      </c>
      <c r="O2034" s="23"/>
      <c r="P2034" s="23"/>
      <c r="Q2034" s="106"/>
      <c r="R2034" s="37">
        <v>441</v>
      </c>
      <c r="S2034" s="38" t="s">
        <v>853</v>
      </c>
      <c r="T2034" s="37">
        <v>1537</v>
      </c>
      <c r="U2034" s="39" t="s">
        <v>1892</v>
      </c>
      <c r="V2034" s="69" t="s">
        <v>272</v>
      </c>
      <c r="W2034" s="89" t="s">
        <v>173</v>
      </c>
      <c r="X2034" s="106" t="s">
        <v>295</v>
      </c>
      <c r="Y2034" s="107" t="s">
        <v>18</v>
      </c>
      <c r="Z2034" s="67">
        <f>IF(База_КР_КК[[#This Row],[Таб.номер резервиста]]="-","-",IF(OR(База_КР_КК[[#This Row],[Уровень КК]]=2,База_КР_КК[[#This Row],[Уровень КК]]=3),IF(COUNTIFS($U$2:$U2034,$U2034,$F$2:$F2034,$F2034)=1,1,0),IF(COUNTIFS($U$2:$U2034,$U2034,$L$2:$L2034,$L2034)=1,1,0)))</f>
        <v>0</v>
      </c>
      <c r="AA20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4" s="106" t="s">
        <v>38</v>
      </c>
      <c r="AC2034" s="51">
        <v>44890</v>
      </c>
      <c r="AD2034" s="106" t="s">
        <v>31</v>
      </c>
      <c r="AE2034" s="38" t="s">
        <v>344</v>
      </c>
    </row>
    <row r="2035" spans="1:31" ht="18" customHeight="1" x14ac:dyDescent="0.25">
      <c r="A20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5" s="79">
        <v>4</v>
      </c>
      <c r="C2035" s="23">
        <v>44425</v>
      </c>
      <c r="D2035" s="67">
        <f>IF(COUNTIF($G$2:$G2035,$G2035)=1,1,0)</f>
        <v>0</v>
      </c>
      <c r="E2035" s="67" t="str">
        <f>IFERROR(VLOOKUP(База_КР_КК[[#This Row],[ИД штатной должности (S)]],'уровень защищенности'!$B$7:$F$1095,5,0),"не защищена")</f>
        <v>высокий</v>
      </c>
      <c r="F2035" s="68">
        <v>500274</v>
      </c>
      <c r="G2035" s="74" t="s">
        <v>2613</v>
      </c>
      <c r="H2035" s="181">
        <f>INDEX('Списки данных'!$D$2:$D$1048576,MATCH(База_КР_КК[[#This Row],[Структурное подразделение]],'Списки данных'!$C$2:$C$1048576,0))</f>
        <v>13</v>
      </c>
      <c r="I2035" s="80" t="s">
        <v>173</v>
      </c>
      <c r="J2035" s="80" t="s">
        <v>212</v>
      </c>
      <c r="K2035" s="80" t="s">
        <v>213</v>
      </c>
      <c r="L2035" s="30" t="s">
        <v>191</v>
      </c>
      <c r="M2035" s="68">
        <v>7</v>
      </c>
      <c r="N2035" s="181" t="str">
        <f t="shared" si="32"/>
        <v>нет</v>
      </c>
      <c r="O2035" s="23"/>
      <c r="P2035" s="23"/>
      <c r="Q2035" s="106"/>
      <c r="R2035" s="37">
        <v>441</v>
      </c>
      <c r="S2035" s="38" t="s">
        <v>853</v>
      </c>
      <c r="T2035" s="37">
        <v>1538</v>
      </c>
      <c r="U2035" s="39" t="s">
        <v>1893</v>
      </c>
      <c r="V2035" s="69" t="s">
        <v>272</v>
      </c>
      <c r="W2035" s="89" t="s">
        <v>173</v>
      </c>
      <c r="X2035" s="106" t="s">
        <v>297</v>
      </c>
      <c r="Y2035" s="107" t="s">
        <v>18</v>
      </c>
      <c r="Z2035" s="67">
        <f>IF(База_КР_КК[[#This Row],[Таб.номер резервиста]]="-","-",IF(OR(База_КР_КК[[#This Row],[Уровень КК]]=2,База_КР_КК[[#This Row],[Уровень КК]]=3),IF(COUNTIFS($U$2:$U2035,$U2035,$F$2:$F2035,$F2035)=1,1,0),IF(COUNTIFS($U$2:$U2035,$U2035,$L$2:$L2035,$L2035)=1,1,0)))</f>
        <v>0</v>
      </c>
      <c r="AA20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5" s="106" t="s">
        <v>20</v>
      </c>
      <c r="AC2035" s="51">
        <v>44552</v>
      </c>
      <c r="AD2035" s="106" t="s">
        <v>15</v>
      </c>
      <c r="AE2035" s="38" t="s">
        <v>343</v>
      </c>
    </row>
    <row r="2036" spans="1:31" ht="18" customHeight="1" x14ac:dyDescent="0.25">
      <c r="A20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6" s="79">
        <v>4</v>
      </c>
      <c r="C2036" s="23">
        <v>44425</v>
      </c>
      <c r="D2036" s="67">
        <f>IF(COUNTIF($G$2:$G2036,$G2036)=1,1,0)</f>
        <v>1</v>
      </c>
      <c r="E2036" s="67" t="str">
        <f>IFERROR(VLOOKUP(База_КР_КК[[#This Row],[ИД штатной должности (S)]],'уровень защищенности'!$B$7:$F$1095,5,0),"не защищена")</f>
        <v>высокий</v>
      </c>
      <c r="F2036" s="68">
        <v>500274</v>
      </c>
      <c r="G2036" s="74" t="s">
        <v>2614</v>
      </c>
      <c r="H2036" s="181">
        <f>INDEX('Списки данных'!$D$2:$D$1048576,MATCH(База_КР_КК[[#This Row],[Структурное подразделение]],'Списки данных'!$C$2:$C$1048576,0))</f>
        <v>13</v>
      </c>
      <c r="I2036" s="80" t="s">
        <v>173</v>
      </c>
      <c r="J2036" s="80" t="s">
        <v>212</v>
      </c>
      <c r="K2036" s="80" t="s">
        <v>213</v>
      </c>
      <c r="L2036" s="30" t="s">
        <v>191</v>
      </c>
      <c r="M2036" s="68">
        <v>7</v>
      </c>
      <c r="N2036" s="181" t="str">
        <f t="shared" si="32"/>
        <v>нет</v>
      </c>
      <c r="O2036" s="23"/>
      <c r="P2036" s="23"/>
      <c r="Q2036" s="106"/>
      <c r="R2036" s="37">
        <v>442</v>
      </c>
      <c r="S2036" s="38" t="s">
        <v>854</v>
      </c>
      <c r="T2036" s="37">
        <v>1527</v>
      </c>
      <c r="U2036" s="39" t="s">
        <v>1884</v>
      </c>
      <c r="V2036" s="69" t="s">
        <v>272</v>
      </c>
      <c r="W2036" s="89" t="s">
        <v>173</v>
      </c>
      <c r="X2036" s="106" t="s">
        <v>295</v>
      </c>
      <c r="Y2036" s="107" t="s">
        <v>12</v>
      </c>
      <c r="Z2036" s="67">
        <f>IF(База_КР_КК[[#This Row],[Таб.номер резервиста]]="-","-",IF(OR(База_КР_КК[[#This Row],[Уровень КК]]=2,База_КР_КК[[#This Row],[Уровень КК]]=3),IF(COUNTIFS($U$2:$U2036,$U2036,$F$2:$F2036,$F2036)=1,1,0),IF(COUNTIFS($U$2:$U2036,$U2036,$L$2:$L2036,$L2036)=1,1,0)))</f>
        <v>0</v>
      </c>
      <c r="AA20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6" s="106"/>
      <c r="AC2036" s="51"/>
      <c r="AD2036" s="106" t="s">
        <v>15</v>
      </c>
      <c r="AE2036" s="38" t="s">
        <v>343</v>
      </c>
    </row>
    <row r="2037" spans="1:31" ht="18" customHeight="1" x14ac:dyDescent="0.25">
      <c r="A20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7" s="79">
        <v>4</v>
      </c>
      <c r="C2037" s="23">
        <v>44425</v>
      </c>
      <c r="D2037" s="67">
        <f>IF(COUNTIF($G$2:$G2037,$G2037)=1,1,0)</f>
        <v>0</v>
      </c>
      <c r="E2037" s="67" t="str">
        <f>IFERROR(VLOOKUP(База_КР_КК[[#This Row],[ИД штатной должности (S)]],'уровень защищенности'!$B$7:$F$1095,5,0),"не защищена")</f>
        <v>высокий</v>
      </c>
      <c r="F2037" s="68">
        <v>500274</v>
      </c>
      <c r="G2037" s="74" t="s">
        <v>2614</v>
      </c>
      <c r="H2037" s="181">
        <f>INDEX('Списки данных'!$D$2:$D$1048576,MATCH(База_КР_КК[[#This Row],[Структурное подразделение]],'Списки данных'!$C$2:$C$1048576,0))</f>
        <v>13</v>
      </c>
      <c r="I2037" s="80" t="s">
        <v>173</v>
      </c>
      <c r="J2037" s="80" t="s">
        <v>212</v>
      </c>
      <c r="K2037" s="80" t="s">
        <v>213</v>
      </c>
      <c r="L2037" s="30" t="s">
        <v>191</v>
      </c>
      <c r="M2037" s="68">
        <v>7</v>
      </c>
      <c r="N2037" s="181" t="str">
        <f t="shared" si="32"/>
        <v>нет</v>
      </c>
      <c r="O2037" s="23"/>
      <c r="P2037" s="23"/>
      <c r="Q2037" s="106"/>
      <c r="R2037" s="37">
        <v>442</v>
      </c>
      <c r="S2037" s="38" t="s">
        <v>854</v>
      </c>
      <c r="T2037" s="37">
        <v>1528</v>
      </c>
      <c r="U2037" s="39" t="s">
        <v>1885</v>
      </c>
      <c r="V2037" s="69" t="s">
        <v>272</v>
      </c>
      <c r="W2037" s="89" t="s">
        <v>173</v>
      </c>
      <c r="X2037" s="106" t="s">
        <v>296</v>
      </c>
      <c r="Y2037" s="107" t="s">
        <v>12</v>
      </c>
      <c r="Z2037" s="67">
        <f>IF(База_КР_КК[[#This Row],[Таб.номер резервиста]]="-","-",IF(OR(База_КР_КК[[#This Row],[Уровень КК]]=2,База_КР_КК[[#This Row],[Уровень КК]]=3),IF(COUNTIFS($U$2:$U2037,$U2037,$F$2:$F2037,$F2037)=1,1,0),IF(COUNTIFS($U$2:$U2037,$U2037,$L$2:$L2037,$L2037)=1,1,0)))</f>
        <v>0</v>
      </c>
      <c r="AA20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7" s="106"/>
      <c r="AC2037" s="51"/>
      <c r="AD2037" s="106" t="s">
        <v>15</v>
      </c>
      <c r="AE2037" s="38" t="s">
        <v>343</v>
      </c>
    </row>
    <row r="2038" spans="1:31" ht="18" customHeight="1" x14ac:dyDescent="0.25">
      <c r="A20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8" s="79">
        <v>4</v>
      </c>
      <c r="C2038" s="23">
        <v>44425</v>
      </c>
      <c r="D2038" s="67">
        <f>IF(COUNTIF($G$2:$G2038,$G2038)=1,1,0)</f>
        <v>0</v>
      </c>
      <c r="E2038" s="67" t="str">
        <f>IFERROR(VLOOKUP(База_КР_КК[[#This Row],[ИД штатной должности (S)]],'уровень защищенности'!$B$7:$F$1095,5,0),"не защищена")</f>
        <v>высокий</v>
      </c>
      <c r="F2038" s="68">
        <v>500274</v>
      </c>
      <c r="G2038" s="74" t="s">
        <v>2614</v>
      </c>
      <c r="H2038" s="181">
        <f>INDEX('Списки данных'!$D$2:$D$1048576,MATCH(База_КР_КК[[#This Row],[Структурное подразделение]],'Списки данных'!$C$2:$C$1048576,0))</f>
        <v>13</v>
      </c>
      <c r="I2038" s="80" t="s">
        <v>173</v>
      </c>
      <c r="J2038" s="80" t="s">
        <v>212</v>
      </c>
      <c r="K2038" s="80" t="s">
        <v>213</v>
      </c>
      <c r="L2038" s="30" t="s">
        <v>191</v>
      </c>
      <c r="M2038" s="68">
        <v>7</v>
      </c>
      <c r="N2038" s="181" t="str">
        <f t="shared" si="32"/>
        <v>нет</v>
      </c>
      <c r="O2038" s="23"/>
      <c r="P2038" s="23"/>
      <c r="Q2038" s="106"/>
      <c r="R2038" s="37">
        <v>442</v>
      </c>
      <c r="S2038" s="38" t="s">
        <v>854</v>
      </c>
      <c r="T2038" s="37">
        <v>1529</v>
      </c>
      <c r="U2038" s="39" t="s">
        <v>1886</v>
      </c>
      <c r="V2038" s="69" t="s">
        <v>272</v>
      </c>
      <c r="W2038" s="89" t="s">
        <v>173</v>
      </c>
      <c r="X2038" s="106" t="s">
        <v>297</v>
      </c>
      <c r="Y2038" s="107" t="s">
        <v>12</v>
      </c>
      <c r="Z2038" s="67">
        <f>IF(База_КР_КК[[#This Row],[Таб.номер резервиста]]="-","-",IF(OR(База_КР_КК[[#This Row],[Уровень КК]]=2,База_КР_КК[[#This Row],[Уровень КК]]=3),IF(COUNTIFS($U$2:$U2038,$U2038,$F$2:$F2038,$F2038)=1,1,0),IF(COUNTIFS($U$2:$U2038,$U2038,$L$2:$L2038,$L2038)=1,1,0)))</f>
        <v>0</v>
      </c>
      <c r="AA20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8" s="106"/>
      <c r="AC2038" s="51"/>
      <c r="AD2038" s="106" t="s">
        <v>15</v>
      </c>
      <c r="AE2038" s="38" t="s">
        <v>343</v>
      </c>
    </row>
    <row r="2039" spans="1:31" ht="18" customHeight="1" x14ac:dyDescent="0.25">
      <c r="A20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39" s="79">
        <v>4</v>
      </c>
      <c r="C2039" s="23">
        <v>44425</v>
      </c>
      <c r="D2039" s="67">
        <f>IF(COUNTIF($G$2:$G2039,$G2039)=1,1,0)</f>
        <v>0</v>
      </c>
      <c r="E2039" s="67" t="str">
        <f>IFERROR(VLOOKUP(База_КР_КК[[#This Row],[ИД штатной должности (S)]],'уровень защищенности'!$B$7:$F$1095,5,0),"не защищена")</f>
        <v>высокий</v>
      </c>
      <c r="F2039" s="68">
        <v>500274</v>
      </c>
      <c r="G2039" s="74" t="s">
        <v>2614</v>
      </c>
      <c r="H2039" s="181">
        <f>INDEX('Списки данных'!$D$2:$D$1048576,MATCH(База_КР_КК[[#This Row],[Структурное подразделение]],'Списки данных'!$C$2:$C$1048576,0))</f>
        <v>13</v>
      </c>
      <c r="I2039" s="80" t="s">
        <v>173</v>
      </c>
      <c r="J2039" s="80" t="s">
        <v>212</v>
      </c>
      <c r="K2039" s="80" t="s">
        <v>213</v>
      </c>
      <c r="L2039" s="30" t="s">
        <v>191</v>
      </c>
      <c r="M2039" s="68">
        <v>7</v>
      </c>
      <c r="N2039" s="181" t="str">
        <f t="shared" si="32"/>
        <v>нет</v>
      </c>
      <c r="O2039" s="23"/>
      <c r="P2039" s="23"/>
      <c r="Q2039" s="106"/>
      <c r="R2039" s="37">
        <v>442</v>
      </c>
      <c r="S2039" s="38" t="s">
        <v>854</v>
      </c>
      <c r="T2039" s="37">
        <v>1530</v>
      </c>
      <c r="U2039" s="39" t="s">
        <v>1887</v>
      </c>
      <c r="V2039" s="69" t="s">
        <v>272</v>
      </c>
      <c r="W2039" s="89" t="s">
        <v>173</v>
      </c>
      <c r="X2039" s="106" t="s">
        <v>296</v>
      </c>
      <c r="Y2039" s="107" t="s">
        <v>12</v>
      </c>
      <c r="Z2039" s="67">
        <f>IF(База_КР_КК[[#This Row],[Таб.номер резервиста]]="-","-",IF(OR(База_КР_КК[[#This Row],[Уровень КК]]=2,База_КР_КК[[#This Row],[Уровень КК]]=3),IF(COUNTIFS($U$2:$U2039,$U2039,$F$2:$F2039,$F2039)=1,1,0),IF(COUNTIFS($U$2:$U2039,$U2039,$L$2:$L2039,$L2039)=1,1,0)))</f>
        <v>0</v>
      </c>
      <c r="AA20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39" s="106"/>
      <c r="AC2039" s="51"/>
      <c r="AD2039" s="106" t="s">
        <v>15</v>
      </c>
      <c r="AE2039" s="38" t="s">
        <v>343</v>
      </c>
    </row>
    <row r="2040" spans="1:31" ht="18" customHeight="1" x14ac:dyDescent="0.25">
      <c r="A20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0" s="79">
        <v>4</v>
      </c>
      <c r="C2040" s="23">
        <v>44425</v>
      </c>
      <c r="D2040" s="67">
        <f>IF(COUNTIF($G$2:$G2040,$G2040)=1,1,0)</f>
        <v>0</v>
      </c>
      <c r="E2040" s="67" t="str">
        <f>IFERROR(VLOOKUP(База_КР_КК[[#This Row],[ИД штатной должности (S)]],'уровень защищенности'!$B$7:$F$1095,5,0),"не защищена")</f>
        <v>высокий</v>
      </c>
      <c r="F2040" s="68">
        <v>500274</v>
      </c>
      <c r="G2040" s="74" t="s">
        <v>2614</v>
      </c>
      <c r="H2040" s="181">
        <f>INDEX('Списки данных'!$D$2:$D$1048576,MATCH(База_КР_КК[[#This Row],[Структурное подразделение]],'Списки данных'!$C$2:$C$1048576,0))</f>
        <v>13</v>
      </c>
      <c r="I2040" s="80" t="s">
        <v>173</v>
      </c>
      <c r="J2040" s="80" t="s">
        <v>212</v>
      </c>
      <c r="K2040" s="80" t="s">
        <v>213</v>
      </c>
      <c r="L2040" s="30" t="s">
        <v>191</v>
      </c>
      <c r="M2040" s="68">
        <v>7</v>
      </c>
      <c r="N2040" s="181" t="str">
        <f t="shared" si="32"/>
        <v>нет</v>
      </c>
      <c r="O2040" s="23"/>
      <c r="P2040" s="23"/>
      <c r="Q2040" s="106"/>
      <c r="R2040" s="37">
        <v>442</v>
      </c>
      <c r="S2040" s="38" t="s">
        <v>854</v>
      </c>
      <c r="T2040" s="37">
        <v>1531</v>
      </c>
      <c r="U2040" s="39" t="s">
        <v>1575</v>
      </c>
      <c r="V2040" s="69" t="s">
        <v>272</v>
      </c>
      <c r="W2040" s="89" t="s">
        <v>173</v>
      </c>
      <c r="X2040" s="106" t="s">
        <v>297</v>
      </c>
      <c r="Y2040" s="107" t="s">
        <v>12</v>
      </c>
      <c r="Z2040" s="67">
        <f>IF(База_КР_КК[[#This Row],[Таб.номер резервиста]]="-","-",IF(OR(База_КР_КК[[#This Row],[Уровень КК]]=2,База_КР_КК[[#This Row],[Уровень КК]]=3),IF(COUNTIFS($U$2:$U2040,$U2040,$F$2:$F2040,$F2040)=1,1,0),IF(COUNTIFS($U$2:$U2040,$U2040,$L$2:$L2040,$L2040)=1,1,0)))</f>
        <v>0</v>
      </c>
      <c r="AA20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0" s="106"/>
      <c r="AC2040" s="51"/>
      <c r="AD2040" s="106" t="s">
        <v>15</v>
      </c>
      <c r="AE2040" s="38" t="s">
        <v>343</v>
      </c>
    </row>
    <row r="2041" spans="1:31" ht="18" customHeight="1" x14ac:dyDescent="0.25">
      <c r="A20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1" s="79">
        <v>4</v>
      </c>
      <c r="C2041" s="23">
        <v>44890</v>
      </c>
      <c r="D2041" s="67">
        <f>IF(COUNTIF($G$2:$G2041,$G2041)=1,1,0)</f>
        <v>0</v>
      </c>
      <c r="E2041" s="67" t="str">
        <f>IFERROR(VLOOKUP(База_КР_КК[[#This Row],[ИД штатной должности (S)]],'уровень защищенности'!$B$7:$F$1095,5,0),"не защищена")</f>
        <v>высокий</v>
      </c>
      <c r="F2041" s="68">
        <v>500274</v>
      </c>
      <c r="G2041" s="74" t="s">
        <v>2614</v>
      </c>
      <c r="H2041" s="181">
        <f>INDEX('Списки данных'!$D$2:$D$1048576,MATCH(База_КР_КК[[#This Row],[Структурное подразделение]],'Списки данных'!$C$2:$C$1048576,0))</f>
        <v>13</v>
      </c>
      <c r="I2041" s="80" t="s">
        <v>173</v>
      </c>
      <c r="J2041" s="80" t="s">
        <v>212</v>
      </c>
      <c r="K2041" s="80" t="s">
        <v>213</v>
      </c>
      <c r="L2041" s="30" t="s">
        <v>191</v>
      </c>
      <c r="M2041" s="68">
        <v>7</v>
      </c>
      <c r="N2041" s="181" t="str">
        <f t="shared" si="32"/>
        <v>нет</v>
      </c>
      <c r="O2041" s="23"/>
      <c r="P2041" s="23"/>
      <c r="Q2041" s="106"/>
      <c r="R2041" s="37">
        <v>442</v>
      </c>
      <c r="S2041" s="38" t="s">
        <v>854</v>
      </c>
      <c r="T2041" s="37">
        <v>1532</v>
      </c>
      <c r="U2041" s="39" t="s">
        <v>1888</v>
      </c>
      <c r="V2041" s="69" t="s">
        <v>272</v>
      </c>
      <c r="W2041" s="89" t="s">
        <v>173</v>
      </c>
      <c r="X2041" s="106" t="s">
        <v>296</v>
      </c>
      <c r="Y2041" s="107" t="s">
        <v>12</v>
      </c>
      <c r="Z2041" s="67">
        <f>IF(База_КР_КК[[#This Row],[Таб.номер резервиста]]="-","-",IF(OR(База_КР_КК[[#This Row],[Уровень КК]]=2,База_КР_КК[[#This Row],[Уровень КК]]=3),IF(COUNTIFS($U$2:$U2041,$U2041,$F$2:$F2041,$F2041)=1,1,0),IF(COUNTIFS($U$2:$U2041,$U2041,$L$2:$L2041,$L2041)=1,1,0)))</f>
        <v>0</v>
      </c>
      <c r="AA20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1" s="106"/>
      <c r="AC2041" s="51"/>
      <c r="AD2041" s="106" t="s">
        <v>15</v>
      </c>
      <c r="AE2041" s="38" t="s">
        <v>344</v>
      </c>
    </row>
    <row r="2042" spans="1:31" ht="18" customHeight="1" x14ac:dyDescent="0.25">
      <c r="A20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2" s="79">
        <v>4</v>
      </c>
      <c r="C2042" s="23">
        <v>44890</v>
      </c>
      <c r="D2042" s="67">
        <f>IF(COUNTIF($G$2:$G2042,$G2042)=1,1,0)</f>
        <v>0</v>
      </c>
      <c r="E2042" s="67" t="str">
        <f>IFERROR(VLOOKUP(База_КР_КК[[#This Row],[ИД штатной должности (S)]],'уровень защищенности'!$B$7:$F$1095,5,0),"не защищена")</f>
        <v>высокий</v>
      </c>
      <c r="F2042" s="68">
        <v>500274</v>
      </c>
      <c r="G2042" s="74" t="s">
        <v>2614</v>
      </c>
      <c r="H2042" s="181">
        <f>INDEX('Списки данных'!$D$2:$D$1048576,MATCH(База_КР_КК[[#This Row],[Структурное подразделение]],'Списки данных'!$C$2:$C$1048576,0))</f>
        <v>13</v>
      </c>
      <c r="I2042" s="80" t="s">
        <v>173</v>
      </c>
      <c r="J2042" s="80" t="s">
        <v>212</v>
      </c>
      <c r="K2042" s="80" t="s">
        <v>213</v>
      </c>
      <c r="L2042" s="30" t="s">
        <v>191</v>
      </c>
      <c r="M2042" s="68">
        <v>7</v>
      </c>
      <c r="N2042" s="181" t="str">
        <f t="shared" si="32"/>
        <v>нет</v>
      </c>
      <c r="O2042" s="23"/>
      <c r="P2042" s="23"/>
      <c r="Q2042" s="106"/>
      <c r="R2042" s="37">
        <v>442</v>
      </c>
      <c r="S2042" s="38" t="s">
        <v>854</v>
      </c>
      <c r="T2042" s="37">
        <v>1533</v>
      </c>
      <c r="U2042" s="39" t="s">
        <v>1889</v>
      </c>
      <c r="V2042" s="69" t="s">
        <v>272</v>
      </c>
      <c r="W2042" s="89" t="s">
        <v>173</v>
      </c>
      <c r="X2042" s="106" t="s">
        <v>296</v>
      </c>
      <c r="Y2042" s="107" t="s">
        <v>12</v>
      </c>
      <c r="Z2042" s="67">
        <f>IF(База_КР_КК[[#This Row],[Таб.номер резервиста]]="-","-",IF(OR(База_КР_КК[[#This Row],[Уровень КК]]=2,База_КР_КК[[#This Row],[Уровень КК]]=3),IF(COUNTIFS($U$2:$U2042,$U2042,$F$2:$F2042,$F2042)=1,1,0),IF(COUNTIFS($U$2:$U2042,$U2042,$L$2:$L2042,$L2042)=1,1,0)))</f>
        <v>0</v>
      </c>
      <c r="AA20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2" s="106"/>
      <c r="AC2042" s="51"/>
      <c r="AD2042" s="106" t="s">
        <v>15</v>
      </c>
      <c r="AE2042" s="38" t="s">
        <v>344</v>
      </c>
    </row>
    <row r="2043" spans="1:31" ht="18" customHeight="1" x14ac:dyDescent="0.25">
      <c r="A20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3" s="79">
        <v>4</v>
      </c>
      <c r="C2043" s="23">
        <v>44890</v>
      </c>
      <c r="D2043" s="67">
        <f>IF(COUNTIF($G$2:$G2043,$G2043)=1,1,0)</f>
        <v>0</v>
      </c>
      <c r="E2043" s="67" t="str">
        <f>IFERROR(VLOOKUP(База_КР_КК[[#This Row],[ИД штатной должности (S)]],'уровень защищенности'!$B$7:$F$1095,5,0),"не защищена")</f>
        <v>высокий</v>
      </c>
      <c r="F2043" s="68">
        <v>500274</v>
      </c>
      <c r="G2043" s="74" t="s">
        <v>2614</v>
      </c>
      <c r="H2043" s="181">
        <f>INDEX('Списки данных'!$D$2:$D$1048576,MATCH(База_КР_КК[[#This Row],[Структурное подразделение]],'Списки данных'!$C$2:$C$1048576,0))</f>
        <v>13</v>
      </c>
      <c r="I2043" s="80" t="s">
        <v>173</v>
      </c>
      <c r="J2043" s="80" t="s">
        <v>212</v>
      </c>
      <c r="K2043" s="80" t="s">
        <v>213</v>
      </c>
      <c r="L2043" s="30" t="s">
        <v>191</v>
      </c>
      <c r="M2043" s="68">
        <v>7</v>
      </c>
      <c r="N2043" s="181" t="str">
        <f t="shared" si="32"/>
        <v>нет</v>
      </c>
      <c r="O2043" s="23"/>
      <c r="P2043" s="23"/>
      <c r="Q2043" s="106"/>
      <c r="R2043" s="37">
        <v>442</v>
      </c>
      <c r="S2043" s="38" t="s">
        <v>854</v>
      </c>
      <c r="T2043" s="37">
        <v>1534</v>
      </c>
      <c r="U2043" s="39" t="s">
        <v>1890</v>
      </c>
      <c r="V2043" s="69" t="s">
        <v>272</v>
      </c>
      <c r="W2043" s="89" t="s">
        <v>173</v>
      </c>
      <c r="X2043" s="106" t="s">
        <v>296</v>
      </c>
      <c r="Y2043" s="107" t="s">
        <v>12</v>
      </c>
      <c r="Z2043" s="67">
        <f>IF(База_КР_КК[[#This Row],[Таб.номер резервиста]]="-","-",IF(OR(База_КР_КК[[#This Row],[Уровень КК]]=2,База_КР_КК[[#This Row],[Уровень КК]]=3),IF(COUNTIFS($U$2:$U2043,$U2043,$F$2:$F2043,$F2043)=1,1,0),IF(COUNTIFS($U$2:$U2043,$U2043,$L$2:$L2043,$L2043)=1,1,0)))</f>
        <v>0</v>
      </c>
      <c r="AA20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3" s="106"/>
      <c r="AC2043" s="51"/>
      <c r="AD2043" s="106" t="s">
        <v>15</v>
      </c>
      <c r="AE2043" s="38" t="s">
        <v>344</v>
      </c>
    </row>
    <row r="2044" spans="1:31" ht="18" customHeight="1" x14ac:dyDescent="0.25">
      <c r="A20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4" s="79">
        <v>4</v>
      </c>
      <c r="C2044" s="23">
        <v>44890</v>
      </c>
      <c r="D2044" s="67">
        <f>IF(COUNTIF($G$2:$G2044,$G2044)=1,1,0)</f>
        <v>0</v>
      </c>
      <c r="E2044" s="67" t="str">
        <f>IFERROR(VLOOKUP(База_КР_КК[[#This Row],[ИД штатной должности (S)]],'уровень защищенности'!$B$7:$F$1095,5,0),"не защищена")</f>
        <v>высокий</v>
      </c>
      <c r="F2044" s="68">
        <v>500274</v>
      </c>
      <c r="G2044" s="74" t="s">
        <v>2614</v>
      </c>
      <c r="H2044" s="181">
        <f>INDEX('Списки данных'!$D$2:$D$1048576,MATCH(База_КР_КК[[#This Row],[Структурное подразделение]],'Списки данных'!$C$2:$C$1048576,0))</f>
        <v>13</v>
      </c>
      <c r="I2044" s="80" t="s">
        <v>173</v>
      </c>
      <c r="J2044" s="80" t="s">
        <v>212</v>
      </c>
      <c r="K2044" s="80" t="s">
        <v>213</v>
      </c>
      <c r="L2044" s="30" t="s">
        <v>191</v>
      </c>
      <c r="M2044" s="68">
        <v>7</v>
      </c>
      <c r="N2044" s="181" t="str">
        <f t="shared" si="32"/>
        <v>нет</v>
      </c>
      <c r="O2044" s="23"/>
      <c r="P2044" s="23"/>
      <c r="Q2044" s="106"/>
      <c r="R2044" s="37">
        <v>442</v>
      </c>
      <c r="S2044" s="38" t="s">
        <v>854</v>
      </c>
      <c r="T2044" s="37">
        <v>1535</v>
      </c>
      <c r="U2044" s="39" t="s">
        <v>1634</v>
      </c>
      <c r="V2044" s="69" t="s">
        <v>272</v>
      </c>
      <c r="W2044" s="89" t="s">
        <v>173</v>
      </c>
      <c r="X2044" s="106" t="s">
        <v>296</v>
      </c>
      <c r="Y2044" s="107" t="s">
        <v>12</v>
      </c>
      <c r="Z2044" s="67">
        <f>IF(База_КР_КК[[#This Row],[Таб.номер резервиста]]="-","-",IF(OR(База_КР_КК[[#This Row],[Уровень КК]]=2,База_КР_КК[[#This Row],[Уровень КК]]=3),IF(COUNTIFS($U$2:$U2044,$U2044,$F$2:$F2044,$F2044)=1,1,0),IF(COUNTIFS($U$2:$U2044,$U2044,$L$2:$L2044,$L2044)=1,1,0)))</f>
        <v>0</v>
      </c>
      <c r="AA20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4" s="106"/>
      <c r="AC2044" s="51"/>
      <c r="AD2044" s="106" t="s">
        <v>15</v>
      </c>
      <c r="AE2044" s="38" t="s">
        <v>344</v>
      </c>
    </row>
    <row r="2045" spans="1:31" ht="18" customHeight="1" x14ac:dyDescent="0.25">
      <c r="A20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5" s="79">
        <v>4</v>
      </c>
      <c r="C2045" s="23">
        <v>44890</v>
      </c>
      <c r="D2045" s="67">
        <f>IF(COUNTIF($G$2:$G2045,$G2045)=1,1,0)</f>
        <v>0</v>
      </c>
      <c r="E2045" s="67" t="str">
        <f>IFERROR(VLOOKUP(База_КР_КК[[#This Row],[ИД штатной должности (S)]],'уровень защищенности'!$B$7:$F$1095,5,0),"не защищена")</f>
        <v>высокий</v>
      </c>
      <c r="F2045" s="68">
        <v>500274</v>
      </c>
      <c r="G2045" s="74" t="s">
        <v>2614</v>
      </c>
      <c r="H2045" s="181">
        <f>INDEX('Списки данных'!$D$2:$D$1048576,MATCH(База_КР_КК[[#This Row],[Структурное подразделение]],'Списки данных'!$C$2:$C$1048576,0))</f>
        <v>13</v>
      </c>
      <c r="I2045" s="80" t="s">
        <v>173</v>
      </c>
      <c r="J2045" s="80" t="s">
        <v>212</v>
      </c>
      <c r="K2045" s="80" t="s">
        <v>213</v>
      </c>
      <c r="L2045" s="30" t="s">
        <v>191</v>
      </c>
      <c r="M2045" s="68">
        <v>7</v>
      </c>
      <c r="N2045" s="181" t="str">
        <f t="shared" si="32"/>
        <v>нет</v>
      </c>
      <c r="O2045" s="23"/>
      <c r="P2045" s="23"/>
      <c r="Q2045" s="106"/>
      <c r="R2045" s="37">
        <v>442</v>
      </c>
      <c r="S2045" s="38" t="s">
        <v>854</v>
      </c>
      <c r="T2045" s="37">
        <v>1536</v>
      </c>
      <c r="U2045" s="39" t="s">
        <v>1891</v>
      </c>
      <c r="V2045" s="69" t="s">
        <v>272</v>
      </c>
      <c r="W2045" s="89" t="s">
        <v>173</v>
      </c>
      <c r="X2045" s="106" t="s">
        <v>296</v>
      </c>
      <c r="Y2045" s="107" t="s">
        <v>12</v>
      </c>
      <c r="Z2045" s="67">
        <f>IF(База_КР_КК[[#This Row],[Таб.номер резервиста]]="-","-",IF(OR(База_КР_КК[[#This Row],[Уровень КК]]=2,База_КР_КК[[#This Row],[Уровень КК]]=3),IF(COUNTIFS($U$2:$U2045,$U2045,$F$2:$F2045,$F2045)=1,1,0),IF(COUNTIFS($U$2:$U2045,$U2045,$L$2:$L2045,$L2045)=1,1,0)))</f>
        <v>0</v>
      </c>
      <c r="AA20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5" s="106"/>
      <c r="AC2045" s="51"/>
      <c r="AD2045" s="106" t="s">
        <v>15</v>
      </c>
      <c r="AE2045" s="38" t="s">
        <v>344</v>
      </c>
    </row>
    <row r="2046" spans="1:31" ht="18" customHeight="1" x14ac:dyDescent="0.25">
      <c r="A20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6" s="79">
        <v>4</v>
      </c>
      <c r="C2046" s="23">
        <v>44425</v>
      </c>
      <c r="D2046" s="67">
        <f>IF(COUNTIF($G$2:$G2046,$G2046)=1,1,0)</f>
        <v>0</v>
      </c>
      <c r="E2046" s="67" t="str">
        <f>IFERROR(VLOOKUP(База_КР_КК[[#This Row],[ИД штатной должности (S)]],'уровень защищенности'!$B$7:$F$1095,5,0),"не защищена")</f>
        <v>высокий</v>
      </c>
      <c r="F2046" s="68">
        <v>500274</v>
      </c>
      <c r="G2046" s="74" t="s">
        <v>2614</v>
      </c>
      <c r="H2046" s="181">
        <f>INDEX('Списки данных'!$D$2:$D$1048576,MATCH(База_КР_КК[[#This Row],[Структурное подразделение]],'Списки данных'!$C$2:$C$1048576,0))</f>
        <v>13</v>
      </c>
      <c r="I2046" s="80" t="s">
        <v>173</v>
      </c>
      <c r="J2046" s="80" t="s">
        <v>212</v>
      </c>
      <c r="K2046" s="80" t="s">
        <v>213</v>
      </c>
      <c r="L2046" s="30" t="s">
        <v>191</v>
      </c>
      <c r="M2046" s="68">
        <v>7</v>
      </c>
      <c r="N2046" s="181" t="str">
        <f t="shared" si="32"/>
        <v>нет</v>
      </c>
      <c r="O2046" s="23"/>
      <c r="P2046" s="23"/>
      <c r="Q2046" s="106"/>
      <c r="R2046" s="37">
        <v>442</v>
      </c>
      <c r="S2046" s="38" t="s">
        <v>854</v>
      </c>
      <c r="T2046" s="37">
        <v>1537</v>
      </c>
      <c r="U2046" s="39" t="s">
        <v>1892</v>
      </c>
      <c r="V2046" s="69" t="s">
        <v>272</v>
      </c>
      <c r="W2046" s="89" t="s">
        <v>173</v>
      </c>
      <c r="X2046" s="106" t="s">
        <v>295</v>
      </c>
      <c r="Y2046" s="107" t="s">
        <v>18</v>
      </c>
      <c r="Z2046" s="67">
        <f>IF(База_КР_КК[[#This Row],[Таб.номер резервиста]]="-","-",IF(OR(База_КР_КК[[#This Row],[Уровень КК]]=2,База_КР_КК[[#This Row],[Уровень КК]]=3),IF(COUNTIFS($U$2:$U2046,$U2046,$F$2:$F2046,$F2046)=1,1,0),IF(COUNTIFS($U$2:$U2046,$U2046,$L$2:$L2046,$L2046)=1,1,0)))</f>
        <v>0</v>
      </c>
      <c r="AA20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6" s="106" t="s">
        <v>38</v>
      </c>
      <c r="AC2046" s="51">
        <v>44890</v>
      </c>
      <c r="AD2046" s="106" t="s">
        <v>31</v>
      </c>
      <c r="AE2046" s="38" t="s">
        <v>344</v>
      </c>
    </row>
    <row r="2047" spans="1:31" ht="18" customHeight="1" x14ac:dyDescent="0.25">
      <c r="A20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7" s="79">
        <v>4</v>
      </c>
      <c r="C2047" s="23">
        <v>44425</v>
      </c>
      <c r="D2047" s="67">
        <f>IF(COUNTIF($G$2:$G2047,$G2047)=1,1,0)</f>
        <v>0</v>
      </c>
      <c r="E2047" s="67" t="str">
        <f>IFERROR(VLOOKUP(База_КР_КК[[#This Row],[ИД штатной должности (S)]],'уровень защищенности'!$B$7:$F$1095,5,0),"не защищена")</f>
        <v>высокий</v>
      </c>
      <c r="F2047" s="68">
        <v>500274</v>
      </c>
      <c r="G2047" s="74" t="s">
        <v>2614</v>
      </c>
      <c r="H2047" s="181">
        <f>INDEX('Списки данных'!$D$2:$D$1048576,MATCH(База_КР_КК[[#This Row],[Структурное подразделение]],'Списки данных'!$C$2:$C$1048576,0))</f>
        <v>13</v>
      </c>
      <c r="I2047" s="80" t="s">
        <v>173</v>
      </c>
      <c r="J2047" s="80" t="s">
        <v>212</v>
      </c>
      <c r="K2047" s="80" t="s">
        <v>213</v>
      </c>
      <c r="L2047" s="30" t="s">
        <v>191</v>
      </c>
      <c r="M2047" s="68">
        <v>7</v>
      </c>
      <c r="N2047" s="181" t="str">
        <f t="shared" si="32"/>
        <v>нет</v>
      </c>
      <c r="O2047" s="23"/>
      <c r="P2047" s="23"/>
      <c r="Q2047" s="106"/>
      <c r="R2047" s="37">
        <v>442</v>
      </c>
      <c r="S2047" s="38" t="s">
        <v>854</v>
      </c>
      <c r="T2047" s="37">
        <v>1538</v>
      </c>
      <c r="U2047" s="39" t="s">
        <v>1893</v>
      </c>
      <c r="V2047" s="69" t="s">
        <v>272</v>
      </c>
      <c r="W2047" s="89" t="s">
        <v>173</v>
      </c>
      <c r="X2047" s="106" t="s">
        <v>297</v>
      </c>
      <c r="Y2047" s="107" t="s">
        <v>18</v>
      </c>
      <c r="Z2047" s="67">
        <f>IF(База_КР_КК[[#This Row],[Таб.номер резервиста]]="-","-",IF(OR(База_КР_КК[[#This Row],[Уровень КК]]=2,База_КР_КК[[#This Row],[Уровень КК]]=3),IF(COUNTIFS($U$2:$U2047,$U2047,$F$2:$F2047,$F2047)=1,1,0),IF(COUNTIFS($U$2:$U2047,$U2047,$L$2:$L2047,$L2047)=1,1,0)))</f>
        <v>0</v>
      </c>
      <c r="AA20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7" s="106" t="s">
        <v>20</v>
      </c>
      <c r="AC2047" s="51">
        <v>44552</v>
      </c>
      <c r="AD2047" s="106" t="s">
        <v>15</v>
      </c>
      <c r="AE2047" s="38" t="s">
        <v>343</v>
      </c>
    </row>
    <row r="2048" spans="1:31" ht="18" customHeight="1" x14ac:dyDescent="0.25">
      <c r="A20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8" s="79">
        <v>4</v>
      </c>
      <c r="C2048" s="23">
        <v>44425</v>
      </c>
      <c r="D2048" s="67">
        <f>IF(COUNTIF($G$2:$G2048,$G2048)=1,1,0)</f>
        <v>1</v>
      </c>
      <c r="E2048" s="67" t="str">
        <f>IFERROR(VLOOKUP(База_КР_КК[[#This Row],[ИД штатной должности (S)]],'уровень защищенности'!$B$7:$F$1095,5,0),"не защищена")</f>
        <v>высокий</v>
      </c>
      <c r="F2048" s="68">
        <v>500274</v>
      </c>
      <c r="G2048" s="74" t="s">
        <v>2615</v>
      </c>
      <c r="H2048" s="181">
        <f>INDEX('Списки данных'!$D$2:$D$1048576,MATCH(База_КР_КК[[#This Row],[Структурное подразделение]],'Списки данных'!$C$2:$C$1048576,0))</f>
        <v>13</v>
      </c>
      <c r="I2048" s="80" t="s">
        <v>173</v>
      </c>
      <c r="J2048" s="80" t="s">
        <v>212</v>
      </c>
      <c r="K2048" s="80" t="s">
        <v>213</v>
      </c>
      <c r="L2048" s="30" t="s">
        <v>191</v>
      </c>
      <c r="M2048" s="68">
        <v>7</v>
      </c>
      <c r="N2048" s="181" t="str">
        <f t="shared" ref="N2048:N2111" si="33">IF(ISBLANK(O2048),"нет","да")</f>
        <v>нет</v>
      </c>
      <c r="O2048" s="23"/>
      <c r="P2048" s="23"/>
      <c r="Q2048" s="106"/>
      <c r="R2048" s="37">
        <v>443</v>
      </c>
      <c r="S2048" s="38" t="s">
        <v>855</v>
      </c>
      <c r="T2048" s="37">
        <v>1527</v>
      </c>
      <c r="U2048" s="39" t="s">
        <v>1884</v>
      </c>
      <c r="V2048" s="69" t="s">
        <v>272</v>
      </c>
      <c r="W2048" s="89" t="s">
        <v>173</v>
      </c>
      <c r="X2048" s="106" t="s">
        <v>295</v>
      </c>
      <c r="Y2048" s="107" t="s">
        <v>12</v>
      </c>
      <c r="Z2048" s="67">
        <f>IF(База_КР_КК[[#This Row],[Таб.номер резервиста]]="-","-",IF(OR(База_КР_КК[[#This Row],[Уровень КК]]=2,База_КР_КК[[#This Row],[Уровень КК]]=3),IF(COUNTIFS($U$2:$U2048,$U2048,$F$2:$F2048,$F2048)=1,1,0),IF(COUNTIFS($U$2:$U2048,$U2048,$L$2:$L2048,$L2048)=1,1,0)))</f>
        <v>0</v>
      </c>
      <c r="AA20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8" s="106"/>
      <c r="AC2048" s="51"/>
      <c r="AD2048" s="106" t="s">
        <v>15</v>
      </c>
      <c r="AE2048" s="38" t="s">
        <v>343</v>
      </c>
    </row>
    <row r="2049" spans="1:31" ht="18" customHeight="1" x14ac:dyDescent="0.25">
      <c r="A20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49" s="79">
        <v>4</v>
      </c>
      <c r="C2049" s="23">
        <v>44425</v>
      </c>
      <c r="D2049" s="67">
        <f>IF(COUNTIF($G$2:$G2049,$G2049)=1,1,0)</f>
        <v>0</v>
      </c>
      <c r="E2049" s="67" t="str">
        <f>IFERROR(VLOOKUP(База_КР_КК[[#This Row],[ИД штатной должности (S)]],'уровень защищенности'!$B$7:$F$1095,5,0),"не защищена")</f>
        <v>высокий</v>
      </c>
      <c r="F2049" s="68">
        <v>500274</v>
      </c>
      <c r="G2049" s="74" t="s">
        <v>2615</v>
      </c>
      <c r="H2049" s="181">
        <f>INDEX('Списки данных'!$D$2:$D$1048576,MATCH(База_КР_КК[[#This Row],[Структурное подразделение]],'Списки данных'!$C$2:$C$1048576,0))</f>
        <v>13</v>
      </c>
      <c r="I2049" s="80" t="s">
        <v>173</v>
      </c>
      <c r="J2049" s="80" t="s">
        <v>212</v>
      </c>
      <c r="K2049" s="80" t="s">
        <v>213</v>
      </c>
      <c r="L2049" s="30" t="s">
        <v>191</v>
      </c>
      <c r="M2049" s="68">
        <v>7</v>
      </c>
      <c r="N2049" s="181" t="str">
        <f t="shared" si="33"/>
        <v>нет</v>
      </c>
      <c r="O2049" s="23"/>
      <c r="P2049" s="23"/>
      <c r="Q2049" s="106"/>
      <c r="R2049" s="37">
        <v>443</v>
      </c>
      <c r="S2049" s="38" t="s">
        <v>855</v>
      </c>
      <c r="T2049" s="37">
        <v>1528</v>
      </c>
      <c r="U2049" s="39" t="s">
        <v>1885</v>
      </c>
      <c r="V2049" s="69" t="s">
        <v>272</v>
      </c>
      <c r="W2049" s="89" t="s">
        <v>173</v>
      </c>
      <c r="X2049" s="106" t="s">
        <v>296</v>
      </c>
      <c r="Y2049" s="107" t="s">
        <v>12</v>
      </c>
      <c r="Z2049" s="67">
        <f>IF(База_КР_КК[[#This Row],[Таб.номер резервиста]]="-","-",IF(OR(База_КР_КК[[#This Row],[Уровень КК]]=2,База_КР_КК[[#This Row],[Уровень КК]]=3),IF(COUNTIFS($U$2:$U2049,$U2049,$F$2:$F2049,$F2049)=1,1,0),IF(COUNTIFS($U$2:$U2049,$U2049,$L$2:$L2049,$L2049)=1,1,0)))</f>
        <v>0</v>
      </c>
      <c r="AA20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49" s="106"/>
      <c r="AC2049" s="51"/>
      <c r="AD2049" s="106" t="s">
        <v>15</v>
      </c>
      <c r="AE2049" s="38" t="s">
        <v>343</v>
      </c>
    </row>
    <row r="2050" spans="1:31" ht="18" customHeight="1" x14ac:dyDescent="0.25">
      <c r="A20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0" s="79">
        <v>4</v>
      </c>
      <c r="C2050" s="23">
        <v>44425</v>
      </c>
      <c r="D2050" s="67">
        <f>IF(COUNTIF($G$2:$G2050,$G2050)=1,1,0)</f>
        <v>0</v>
      </c>
      <c r="E2050" s="67" t="str">
        <f>IFERROR(VLOOKUP(База_КР_КК[[#This Row],[ИД штатной должности (S)]],'уровень защищенности'!$B$7:$F$1095,5,0),"не защищена")</f>
        <v>высокий</v>
      </c>
      <c r="F2050" s="68">
        <v>500274</v>
      </c>
      <c r="G2050" s="74" t="s">
        <v>2615</v>
      </c>
      <c r="H2050" s="181">
        <f>INDEX('Списки данных'!$D$2:$D$1048576,MATCH(База_КР_КК[[#This Row],[Структурное подразделение]],'Списки данных'!$C$2:$C$1048576,0))</f>
        <v>13</v>
      </c>
      <c r="I2050" s="80" t="s">
        <v>173</v>
      </c>
      <c r="J2050" s="80" t="s">
        <v>212</v>
      </c>
      <c r="K2050" s="80" t="s">
        <v>213</v>
      </c>
      <c r="L2050" s="30" t="s">
        <v>191</v>
      </c>
      <c r="M2050" s="68">
        <v>7</v>
      </c>
      <c r="N2050" s="181" t="str">
        <f t="shared" si="33"/>
        <v>нет</v>
      </c>
      <c r="O2050" s="23"/>
      <c r="P2050" s="23"/>
      <c r="Q2050" s="106"/>
      <c r="R2050" s="37">
        <v>443</v>
      </c>
      <c r="S2050" s="38" t="s">
        <v>855</v>
      </c>
      <c r="T2050" s="37">
        <v>1529</v>
      </c>
      <c r="U2050" s="39" t="s">
        <v>1886</v>
      </c>
      <c r="V2050" s="69" t="s">
        <v>272</v>
      </c>
      <c r="W2050" s="89" t="s">
        <v>173</v>
      </c>
      <c r="X2050" s="106" t="s">
        <v>297</v>
      </c>
      <c r="Y2050" s="107" t="s">
        <v>12</v>
      </c>
      <c r="Z2050" s="67">
        <f>IF(База_КР_КК[[#This Row],[Таб.номер резервиста]]="-","-",IF(OR(База_КР_КК[[#This Row],[Уровень КК]]=2,База_КР_КК[[#This Row],[Уровень КК]]=3),IF(COUNTIFS($U$2:$U2050,$U2050,$F$2:$F2050,$F2050)=1,1,0),IF(COUNTIFS($U$2:$U2050,$U2050,$L$2:$L2050,$L2050)=1,1,0)))</f>
        <v>0</v>
      </c>
      <c r="AA20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0" s="106"/>
      <c r="AC2050" s="51"/>
      <c r="AD2050" s="106" t="s">
        <v>15</v>
      </c>
      <c r="AE2050" s="38" t="s">
        <v>343</v>
      </c>
    </row>
    <row r="2051" spans="1:31" ht="18" customHeight="1" x14ac:dyDescent="0.25">
      <c r="A20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1" s="79">
        <v>4</v>
      </c>
      <c r="C2051" s="23">
        <v>44425</v>
      </c>
      <c r="D2051" s="67">
        <f>IF(COUNTIF($G$2:$G2051,$G2051)=1,1,0)</f>
        <v>0</v>
      </c>
      <c r="E2051" s="67" t="str">
        <f>IFERROR(VLOOKUP(База_КР_КК[[#This Row],[ИД штатной должности (S)]],'уровень защищенности'!$B$7:$F$1095,5,0),"не защищена")</f>
        <v>высокий</v>
      </c>
      <c r="F2051" s="68">
        <v>500274</v>
      </c>
      <c r="G2051" s="74" t="s">
        <v>2615</v>
      </c>
      <c r="H2051" s="181">
        <f>INDEX('Списки данных'!$D$2:$D$1048576,MATCH(База_КР_КК[[#This Row],[Структурное подразделение]],'Списки данных'!$C$2:$C$1048576,0))</f>
        <v>13</v>
      </c>
      <c r="I2051" s="80" t="s">
        <v>173</v>
      </c>
      <c r="J2051" s="80" t="s">
        <v>212</v>
      </c>
      <c r="K2051" s="80" t="s">
        <v>213</v>
      </c>
      <c r="L2051" s="30" t="s">
        <v>191</v>
      </c>
      <c r="M2051" s="68">
        <v>7</v>
      </c>
      <c r="N2051" s="181" t="str">
        <f t="shared" si="33"/>
        <v>нет</v>
      </c>
      <c r="O2051" s="23"/>
      <c r="P2051" s="23"/>
      <c r="Q2051" s="106"/>
      <c r="R2051" s="37">
        <v>443</v>
      </c>
      <c r="S2051" s="38" t="s">
        <v>855</v>
      </c>
      <c r="T2051" s="37">
        <v>1530</v>
      </c>
      <c r="U2051" s="39" t="s">
        <v>1887</v>
      </c>
      <c r="V2051" s="69" t="s">
        <v>272</v>
      </c>
      <c r="W2051" s="89" t="s">
        <v>173</v>
      </c>
      <c r="X2051" s="106" t="s">
        <v>296</v>
      </c>
      <c r="Y2051" s="107" t="s">
        <v>12</v>
      </c>
      <c r="Z2051" s="67">
        <f>IF(База_КР_КК[[#This Row],[Таб.номер резервиста]]="-","-",IF(OR(База_КР_КК[[#This Row],[Уровень КК]]=2,База_КР_КК[[#This Row],[Уровень КК]]=3),IF(COUNTIFS($U$2:$U2051,$U2051,$F$2:$F2051,$F2051)=1,1,0),IF(COUNTIFS($U$2:$U2051,$U2051,$L$2:$L2051,$L2051)=1,1,0)))</f>
        <v>0</v>
      </c>
      <c r="AA20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1" s="106"/>
      <c r="AC2051" s="51"/>
      <c r="AD2051" s="106" t="s">
        <v>15</v>
      </c>
      <c r="AE2051" s="38" t="s">
        <v>343</v>
      </c>
    </row>
    <row r="2052" spans="1:31" ht="18" customHeight="1" x14ac:dyDescent="0.25">
      <c r="A20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2" s="79">
        <v>4</v>
      </c>
      <c r="C2052" s="23">
        <v>44425</v>
      </c>
      <c r="D2052" s="67">
        <f>IF(COUNTIF($G$2:$G2052,$G2052)=1,1,0)</f>
        <v>0</v>
      </c>
      <c r="E2052" s="67" t="str">
        <f>IFERROR(VLOOKUP(База_КР_КК[[#This Row],[ИД штатной должности (S)]],'уровень защищенности'!$B$7:$F$1095,5,0),"не защищена")</f>
        <v>высокий</v>
      </c>
      <c r="F2052" s="68">
        <v>500274</v>
      </c>
      <c r="G2052" s="74" t="s">
        <v>2615</v>
      </c>
      <c r="H2052" s="181">
        <f>INDEX('Списки данных'!$D$2:$D$1048576,MATCH(База_КР_КК[[#This Row],[Структурное подразделение]],'Списки данных'!$C$2:$C$1048576,0))</f>
        <v>13</v>
      </c>
      <c r="I2052" s="80" t="s">
        <v>173</v>
      </c>
      <c r="J2052" s="80" t="s">
        <v>212</v>
      </c>
      <c r="K2052" s="80" t="s">
        <v>213</v>
      </c>
      <c r="L2052" s="30" t="s">
        <v>191</v>
      </c>
      <c r="M2052" s="68">
        <v>7</v>
      </c>
      <c r="N2052" s="181" t="str">
        <f t="shared" si="33"/>
        <v>нет</v>
      </c>
      <c r="O2052" s="23"/>
      <c r="P2052" s="23"/>
      <c r="Q2052" s="106"/>
      <c r="R2052" s="37">
        <v>443</v>
      </c>
      <c r="S2052" s="38" t="s">
        <v>855</v>
      </c>
      <c r="T2052" s="37">
        <v>1531</v>
      </c>
      <c r="U2052" s="39" t="s">
        <v>1575</v>
      </c>
      <c r="V2052" s="69" t="s">
        <v>272</v>
      </c>
      <c r="W2052" s="89" t="s">
        <v>173</v>
      </c>
      <c r="X2052" s="106" t="s">
        <v>297</v>
      </c>
      <c r="Y2052" s="107" t="s">
        <v>12</v>
      </c>
      <c r="Z2052" s="67">
        <f>IF(База_КР_КК[[#This Row],[Таб.номер резервиста]]="-","-",IF(OR(База_КР_КК[[#This Row],[Уровень КК]]=2,База_КР_КК[[#This Row],[Уровень КК]]=3),IF(COUNTIFS($U$2:$U2052,$U2052,$F$2:$F2052,$F2052)=1,1,0),IF(COUNTIFS($U$2:$U2052,$U2052,$L$2:$L2052,$L2052)=1,1,0)))</f>
        <v>0</v>
      </c>
      <c r="AA20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2" s="106"/>
      <c r="AC2052" s="51"/>
      <c r="AD2052" s="106" t="s">
        <v>15</v>
      </c>
      <c r="AE2052" s="38" t="s">
        <v>343</v>
      </c>
    </row>
    <row r="2053" spans="1:31" ht="18" customHeight="1" x14ac:dyDescent="0.25">
      <c r="A20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3" s="79">
        <v>4</v>
      </c>
      <c r="C2053" s="23">
        <v>44890</v>
      </c>
      <c r="D2053" s="67">
        <f>IF(COUNTIF($G$2:$G2053,$G2053)=1,1,0)</f>
        <v>0</v>
      </c>
      <c r="E2053" s="67" t="str">
        <f>IFERROR(VLOOKUP(База_КР_КК[[#This Row],[ИД штатной должности (S)]],'уровень защищенности'!$B$7:$F$1095,5,0),"не защищена")</f>
        <v>высокий</v>
      </c>
      <c r="F2053" s="68">
        <v>500274</v>
      </c>
      <c r="G2053" s="74" t="s">
        <v>2615</v>
      </c>
      <c r="H2053" s="181">
        <f>INDEX('Списки данных'!$D$2:$D$1048576,MATCH(База_КР_КК[[#This Row],[Структурное подразделение]],'Списки данных'!$C$2:$C$1048576,0))</f>
        <v>13</v>
      </c>
      <c r="I2053" s="80" t="s">
        <v>173</v>
      </c>
      <c r="J2053" s="80" t="s">
        <v>212</v>
      </c>
      <c r="K2053" s="80" t="s">
        <v>213</v>
      </c>
      <c r="L2053" s="30" t="s">
        <v>191</v>
      </c>
      <c r="M2053" s="68">
        <v>7</v>
      </c>
      <c r="N2053" s="181" t="str">
        <f t="shared" si="33"/>
        <v>нет</v>
      </c>
      <c r="O2053" s="23"/>
      <c r="P2053" s="23"/>
      <c r="Q2053" s="106"/>
      <c r="R2053" s="37">
        <v>443</v>
      </c>
      <c r="S2053" s="38" t="s">
        <v>855</v>
      </c>
      <c r="T2053" s="37">
        <v>1532</v>
      </c>
      <c r="U2053" s="39" t="s">
        <v>1888</v>
      </c>
      <c r="V2053" s="69" t="s">
        <v>272</v>
      </c>
      <c r="W2053" s="89" t="s">
        <v>173</v>
      </c>
      <c r="X2053" s="106" t="s">
        <v>296</v>
      </c>
      <c r="Y2053" s="107" t="s">
        <v>12</v>
      </c>
      <c r="Z2053" s="67">
        <f>IF(База_КР_КК[[#This Row],[Таб.номер резервиста]]="-","-",IF(OR(База_КР_КК[[#This Row],[Уровень КК]]=2,База_КР_КК[[#This Row],[Уровень КК]]=3),IF(COUNTIFS($U$2:$U2053,$U2053,$F$2:$F2053,$F2053)=1,1,0),IF(COUNTIFS($U$2:$U2053,$U2053,$L$2:$L2053,$L2053)=1,1,0)))</f>
        <v>0</v>
      </c>
      <c r="AA20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3" s="106"/>
      <c r="AC2053" s="51"/>
      <c r="AD2053" s="106" t="s">
        <v>15</v>
      </c>
      <c r="AE2053" s="38" t="s">
        <v>344</v>
      </c>
    </row>
    <row r="2054" spans="1:31" ht="18" customHeight="1" x14ac:dyDescent="0.25">
      <c r="A20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4" s="79">
        <v>4</v>
      </c>
      <c r="C2054" s="23">
        <v>44890</v>
      </c>
      <c r="D2054" s="67">
        <f>IF(COUNTIF($G$2:$G2054,$G2054)=1,1,0)</f>
        <v>0</v>
      </c>
      <c r="E2054" s="67" t="str">
        <f>IFERROR(VLOOKUP(База_КР_КК[[#This Row],[ИД штатной должности (S)]],'уровень защищенности'!$B$7:$F$1095,5,0),"не защищена")</f>
        <v>высокий</v>
      </c>
      <c r="F2054" s="68">
        <v>500274</v>
      </c>
      <c r="G2054" s="74" t="s">
        <v>2615</v>
      </c>
      <c r="H2054" s="181">
        <f>INDEX('Списки данных'!$D$2:$D$1048576,MATCH(База_КР_КК[[#This Row],[Структурное подразделение]],'Списки данных'!$C$2:$C$1048576,0))</f>
        <v>13</v>
      </c>
      <c r="I2054" s="80" t="s">
        <v>173</v>
      </c>
      <c r="J2054" s="80" t="s">
        <v>212</v>
      </c>
      <c r="K2054" s="80" t="s">
        <v>213</v>
      </c>
      <c r="L2054" s="30" t="s">
        <v>191</v>
      </c>
      <c r="M2054" s="68">
        <v>7</v>
      </c>
      <c r="N2054" s="181" t="str">
        <f t="shared" si="33"/>
        <v>нет</v>
      </c>
      <c r="O2054" s="23"/>
      <c r="P2054" s="23"/>
      <c r="Q2054" s="106"/>
      <c r="R2054" s="37">
        <v>443</v>
      </c>
      <c r="S2054" s="38" t="s">
        <v>855</v>
      </c>
      <c r="T2054" s="37">
        <v>1533</v>
      </c>
      <c r="U2054" s="39" t="s">
        <v>1889</v>
      </c>
      <c r="V2054" s="69" t="s">
        <v>272</v>
      </c>
      <c r="W2054" s="89" t="s">
        <v>173</v>
      </c>
      <c r="X2054" s="106" t="s">
        <v>296</v>
      </c>
      <c r="Y2054" s="107" t="s">
        <v>12</v>
      </c>
      <c r="Z2054" s="67">
        <f>IF(База_КР_КК[[#This Row],[Таб.номер резервиста]]="-","-",IF(OR(База_КР_КК[[#This Row],[Уровень КК]]=2,База_КР_КК[[#This Row],[Уровень КК]]=3),IF(COUNTIFS($U$2:$U2054,$U2054,$F$2:$F2054,$F2054)=1,1,0),IF(COUNTIFS($U$2:$U2054,$U2054,$L$2:$L2054,$L2054)=1,1,0)))</f>
        <v>0</v>
      </c>
      <c r="AA20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4" s="106"/>
      <c r="AC2054" s="51"/>
      <c r="AD2054" s="106" t="s">
        <v>15</v>
      </c>
      <c r="AE2054" s="38" t="s">
        <v>344</v>
      </c>
    </row>
    <row r="2055" spans="1:31" ht="18" customHeight="1" x14ac:dyDescent="0.25">
      <c r="A20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5" s="79">
        <v>4</v>
      </c>
      <c r="C2055" s="23">
        <v>44890</v>
      </c>
      <c r="D2055" s="67">
        <f>IF(COUNTIF($G$2:$G2055,$G2055)=1,1,0)</f>
        <v>0</v>
      </c>
      <c r="E2055" s="67" t="str">
        <f>IFERROR(VLOOKUP(База_КР_КК[[#This Row],[ИД штатной должности (S)]],'уровень защищенности'!$B$7:$F$1095,5,0),"не защищена")</f>
        <v>высокий</v>
      </c>
      <c r="F2055" s="68">
        <v>500274</v>
      </c>
      <c r="G2055" s="74" t="s">
        <v>2615</v>
      </c>
      <c r="H2055" s="181">
        <f>INDEX('Списки данных'!$D$2:$D$1048576,MATCH(База_КР_КК[[#This Row],[Структурное подразделение]],'Списки данных'!$C$2:$C$1048576,0))</f>
        <v>13</v>
      </c>
      <c r="I2055" s="80" t="s">
        <v>173</v>
      </c>
      <c r="J2055" s="80" t="s">
        <v>212</v>
      </c>
      <c r="K2055" s="80" t="s">
        <v>213</v>
      </c>
      <c r="L2055" s="30" t="s">
        <v>191</v>
      </c>
      <c r="M2055" s="68">
        <v>7</v>
      </c>
      <c r="N2055" s="181" t="str">
        <f t="shared" si="33"/>
        <v>нет</v>
      </c>
      <c r="O2055" s="23"/>
      <c r="P2055" s="23"/>
      <c r="Q2055" s="106"/>
      <c r="R2055" s="37">
        <v>443</v>
      </c>
      <c r="S2055" s="38" t="s">
        <v>855</v>
      </c>
      <c r="T2055" s="37">
        <v>1534</v>
      </c>
      <c r="U2055" s="39" t="s">
        <v>1890</v>
      </c>
      <c r="V2055" s="69" t="s">
        <v>272</v>
      </c>
      <c r="W2055" s="89" t="s">
        <v>173</v>
      </c>
      <c r="X2055" s="106" t="s">
        <v>296</v>
      </c>
      <c r="Y2055" s="107" t="s">
        <v>12</v>
      </c>
      <c r="Z2055" s="67">
        <f>IF(База_КР_КК[[#This Row],[Таб.номер резервиста]]="-","-",IF(OR(База_КР_КК[[#This Row],[Уровень КК]]=2,База_КР_КК[[#This Row],[Уровень КК]]=3),IF(COUNTIFS($U$2:$U2055,$U2055,$F$2:$F2055,$F2055)=1,1,0),IF(COUNTIFS($U$2:$U2055,$U2055,$L$2:$L2055,$L2055)=1,1,0)))</f>
        <v>0</v>
      </c>
      <c r="AA20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5" s="106"/>
      <c r="AC2055" s="51"/>
      <c r="AD2055" s="106" t="s">
        <v>15</v>
      </c>
      <c r="AE2055" s="38" t="s">
        <v>344</v>
      </c>
    </row>
    <row r="2056" spans="1:31" ht="18" customHeight="1" x14ac:dyDescent="0.25">
      <c r="A20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6" s="79">
        <v>4</v>
      </c>
      <c r="C2056" s="23">
        <v>44890</v>
      </c>
      <c r="D2056" s="67">
        <f>IF(COUNTIF($G$2:$G2056,$G2056)=1,1,0)</f>
        <v>0</v>
      </c>
      <c r="E2056" s="67" t="str">
        <f>IFERROR(VLOOKUP(База_КР_КК[[#This Row],[ИД штатной должности (S)]],'уровень защищенности'!$B$7:$F$1095,5,0),"не защищена")</f>
        <v>высокий</v>
      </c>
      <c r="F2056" s="68">
        <v>500274</v>
      </c>
      <c r="G2056" s="74" t="s">
        <v>2615</v>
      </c>
      <c r="H2056" s="181">
        <f>INDEX('Списки данных'!$D$2:$D$1048576,MATCH(База_КР_КК[[#This Row],[Структурное подразделение]],'Списки данных'!$C$2:$C$1048576,0))</f>
        <v>13</v>
      </c>
      <c r="I2056" s="80" t="s">
        <v>173</v>
      </c>
      <c r="J2056" s="80" t="s">
        <v>212</v>
      </c>
      <c r="K2056" s="80" t="s">
        <v>213</v>
      </c>
      <c r="L2056" s="30" t="s">
        <v>191</v>
      </c>
      <c r="M2056" s="68">
        <v>7</v>
      </c>
      <c r="N2056" s="181" t="str">
        <f t="shared" si="33"/>
        <v>нет</v>
      </c>
      <c r="O2056" s="23"/>
      <c r="P2056" s="23"/>
      <c r="Q2056" s="106"/>
      <c r="R2056" s="37">
        <v>443</v>
      </c>
      <c r="S2056" s="38" t="s">
        <v>855</v>
      </c>
      <c r="T2056" s="37">
        <v>1535</v>
      </c>
      <c r="U2056" s="39" t="s">
        <v>1634</v>
      </c>
      <c r="V2056" s="69" t="s">
        <v>272</v>
      </c>
      <c r="W2056" s="89" t="s">
        <v>173</v>
      </c>
      <c r="X2056" s="106" t="s">
        <v>296</v>
      </c>
      <c r="Y2056" s="107" t="s">
        <v>12</v>
      </c>
      <c r="Z2056" s="67">
        <f>IF(База_КР_КК[[#This Row],[Таб.номер резервиста]]="-","-",IF(OR(База_КР_КК[[#This Row],[Уровень КК]]=2,База_КР_КК[[#This Row],[Уровень КК]]=3),IF(COUNTIFS($U$2:$U2056,$U2056,$F$2:$F2056,$F2056)=1,1,0),IF(COUNTIFS($U$2:$U2056,$U2056,$L$2:$L2056,$L2056)=1,1,0)))</f>
        <v>0</v>
      </c>
      <c r="AA20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6" s="106"/>
      <c r="AC2056" s="51"/>
      <c r="AD2056" s="106" t="s">
        <v>15</v>
      </c>
      <c r="AE2056" s="38" t="s">
        <v>344</v>
      </c>
    </row>
    <row r="2057" spans="1:31" ht="18" customHeight="1" x14ac:dyDescent="0.25">
      <c r="A20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7" s="79">
        <v>4</v>
      </c>
      <c r="C2057" s="23">
        <v>44890</v>
      </c>
      <c r="D2057" s="67">
        <f>IF(COUNTIF($G$2:$G2057,$G2057)=1,1,0)</f>
        <v>0</v>
      </c>
      <c r="E2057" s="67" t="str">
        <f>IFERROR(VLOOKUP(База_КР_КК[[#This Row],[ИД штатной должности (S)]],'уровень защищенности'!$B$7:$F$1095,5,0),"не защищена")</f>
        <v>высокий</v>
      </c>
      <c r="F2057" s="68">
        <v>500274</v>
      </c>
      <c r="G2057" s="74" t="s">
        <v>2615</v>
      </c>
      <c r="H2057" s="181">
        <f>INDEX('Списки данных'!$D$2:$D$1048576,MATCH(База_КР_КК[[#This Row],[Структурное подразделение]],'Списки данных'!$C$2:$C$1048576,0))</f>
        <v>13</v>
      </c>
      <c r="I2057" s="80" t="s">
        <v>173</v>
      </c>
      <c r="J2057" s="80" t="s">
        <v>212</v>
      </c>
      <c r="K2057" s="80" t="s">
        <v>213</v>
      </c>
      <c r="L2057" s="30" t="s">
        <v>191</v>
      </c>
      <c r="M2057" s="68">
        <v>7</v>
      </c>
      <c r="N2057" s="181" t="str">
        <f t="shared" si="33"/>
        <v>нет</v>
      </c>
      <c r="O2057" s="23"/>
      <c r="P2057" s="23"/>
      <c r="Q2057" s="106"/>
      <c r="R2057" s="37">
        <v>443</v>
      </c>
      <c r="S2057" s="38" t="s">
        <v>855</v>
      </c>
      <c r="T2057" s="37">
        <v>1536</v>
      </c>
      <c r="U2057" s="39" t="s">
        <v>1891</v>
      </c>
      <c r="V2057" s="69" t="s">
        <v>272</v>
      </c>
      <c r="W2057" s="89" t="s">
        <v>173</v>
      </c>
      <c r="X2057" s="106" t="s">
        <v>296</v>
      </c>
      <c r="Y2057" s="107" t="s">
        <v>12</v>
      </c>
      <c r="Z2057" s="67">
        <f>IF(База_КР_КК[[#This Row],[Таб.номер резервиста]]="-","-",IF(OR(База_КР_КК[[#This Row],[Уровень КК]]=2,База_КР_КК[[#This Row],[Уровень КК]]=3),IF(COUNTIFS($U$2:$U2057,$U2057,$F$2:$F2057,$F2057)=1,1,0),IF(COUNTIFS($U$2:$U2057,$U2057,$L$2:$L2057,$L2057)=1,1,0)))</f>
        <v>0</v>
      </c>
      <c r="AA20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7" s="106"/>
      <c r="AC2057" s="51"/>
      <c r="AD2057" s="106" t="s">
        <v>15</v>
      </c>
      <c r="AE2057" s="38" t="s">
        <v>344</v>
      </c>
    </row>
    <row r="2058" spans="1:31" ht="18" customHeight="1" x14ac:dyDescent="0.25">
      <c r="A20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8" s="79">
        <v>4</v>
      </c>
      <c r="C2058" s="23">
        <v>44425</v>
      </c>
      <c r="D2058" s="67">
        <f>IF(COUNTIF($G$2:$G2058,$G2058)=1,1,0)</f>
        <v>0</v>
      </c>
      <c r="E2058" s="67" t="str">
        <f>IFERROR(VLOOKUP(База_КР_КК[[#This Row],[ИД штатной должности (S)]],'уровень защищенности'!$B$7:$F$1095,5,0),"не защищена")</f>
        <v>высокий</v>
      </c>
      <c r="F2058" s="68">
        <v>500274</v>
      </c>
      <c r="G2058" s="74" t="s">
        <v>2615</v>
      </c>
      <c r="H2058" s="181">
        <f>INDEX('Списки данных'!$D$2:$D$1048576,MATCH(База_КР_КК[[#This Row],[Структурное подразделение]],'Списки данных'!$C$2:$C$1048576,0))</f>
        <v>13</v>
      </c>
      <c r="I2058" s="80" t="s">
        <v>173</v>
      </c>
      <c r="J2058" s="80" t="s">
        <v>212</v>
      </c>
      <c r="K2058" s="80" t="s">
        <v>213</v>
      </c>
      <c r="L2058" s="30" t="s">
        <v>191</v>
      </c>
      <c r="M2058" s="68">
        <v>7</v>
      </c>
      <c r="N2058" s="181" t="str">
        <f t="shared" si="33"/>
        <v>нет</v>
      </c>
      <c r="O2058" s="23"/>
      <c r="P2058" s="23"/>
      <c r="Q2058" s="106"/>
      <c r="R2058" s="37">
        <v>443</v>
      </c>
      <c r="S2058" s="38" t="s">
        <v>855</v>
      </c>
      <c r="T2058" s="37">
        <v>1537</v>
      </c>
      <c r="U2058" s="39" t="s">
        <v>1892</v>
      </c>
      <c r="V2058" s="69" t="s">
        <v>272</v>
      </c>
      <c r="W2058" s="89" t="s">
        <v>173</v>
      </c>
      <c r="X2058" s="106" t="s">
        <v>295</v>
      </c>
      <c r="Y2058" s="107" t="s">
        <v>18</v>
      </c>
      <c r="Z2058" s="67">
        <f>IF(База_КР_КК[[#This Row],[Таб.номер резервиста]]="-","-",IF(OR(База_КР_КК[[#This Row],[Уровень КК]]=2,База_КР_КК[[#This Row],[Уровень КК]]=3),IF(COUNTIFS($U$2:$U2058,$U2058,$F$2:$F2058,$F2058)=1,1,0),IF(COUNTIFS($U$2:$U2058,$U2058,$L$2:$L2058,$L2058)=1,1,0)))</f>
        <v>0</v>
      </c>
      <c r="AA20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8" s="106" t="s">
        <v>38</v>
      </c>
      <c r="AC2058" s="51">
        <v>44890</v>
      </c>
      <c r="AD2058" s="106" t="s">
        <v>31</v>
      </c>
      <c r="AE2058" s="38" t="s">
        <v>344</v>
      </c>
    </row>
    <row r="2059" spans="1:31" ht="18" customHeight="1" x14ac:dyDescent="0.25">
      <c r="A20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59" s="79">
        <v>4</v>
      </c>
      <c r="C2059" s="23">
        <v>44425</v>
      </c>
      <c r="D2059" s="67">
        <f>IF(COUNTIF($G$2:$G2059,$G2059)=1,1,0)</f>
        <v>0</v>
      </c>
      <c r="E2059" s="67" t="str">
        <f>IFERROR(VLOOKUP(База_КР_КК[[#This Row],[ИД штатной должности (S)]],'уровень защищенности'!$B$7:$F$1095,5,0),"не защищена")</f>
        <v>высокий</v>
      </c>
      <c r="F2059" s="68">
        <v>500274</v>
      </c>
      <c r="G2059" s="74" t="s">
        <v>2615</v>
      </c>
      <c r="H2059" s="181">
        <f>INDEX('Списки данных'!$D$2:$D$1048576,MATCH(База_КР_КК[[#This Row],[Структурное подразделение]],'Списки данных'!$C$2:$C$1048576,0))</f>
        <v>13</v>
      </c>
      <c r="I2059" s="80" t="s">
        <v>173</v>
      </c>
      <c r="J2059" s="80" t="s">
        <v>212</v>
      </c>
      <c r="K2059" s="80" t="s">
        <v>213</v>
      </c>
      <c r="L2059" s="30" t="s">
        <v>191</v>
      </c>
      <c r="M2059" s="68">
        <v>7</v>
      </c>
      <c r="N2059" s="181" t="str">
        <f t="shared" si="33"/>
        <v>нет</v>
      </c>
      <c r="O2059" s="23"/>
      <c r="P2059" s="23"/>
      <c r="Q2059" s="106"/>
      <c r="R2059" s="37">
        <v>443</v>
      </c>
      <c r="S2059" s="38" t="s">
        <v>855</v>
      </c>
      <c r="T2059" s="37">
        <v>1538</v>
      </c>
      <c r="U2059" s="39" t="s">
        <v>1893</v>
      </c>
      <c r="V2059" s="69" t="s">
        <v>272</v>
      </c>
      <c r="W2059" s="89" t="s">
        <v>173</v>
      </c>
      <c r="X2059" s="106" t="s">
        <v>297</v>
      </c>
      <c r="Y2059" s="107" t="s">
        <v>18</v>
      </c>
      <c r="Z2059" s="67">
        <f>IF(База_КР_КК[[#This Row],[Таб.номер резервиста]]="-","-",IF(OR(База_КР_КК[[#This Row],[Уровень КК]]=2,База_КР_КК[[#This Row],[Уровень КК]]=3),IF(COUNTIFS($U$2:$U2059,$U2059,$F$2:$F2059,$F2059)=1,1,0),IF(COUNTIFS($U$2:$U2059,$U2059,$L$2:$L2059,$L2059)=1,1,0)))</f>
        <v>0</v>
      </c>
      <c r="AA20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59" s="106" t="s">
        <v>20</v>
      </c>
      <c r="AC2059" s="51">
        <v>44552</v>
      </c>
      <c r="AD2059" s="106" t="s">
        <v>15</v>
      </c>
      <c r="AE2059" s="38" t="s">
        <v>343</v>
      </c>
    </row>
    <row r="2060" spans="1:31" ht="18" customHeight="1" x14ac:dyDescent="0.25">
      <c r="A20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0" s="79">
        <v>4</v>
      </c>
      <c r="C2060" s="23">
        <v>44425</v>
      </c>
      <c r="D2060" s="67">
        <f>IF(COUNTIF($G$2:$G2060,$G2060)=1,1,0)</f>
        <v>1</v>
      </c>
      <c r="E2060" s="67" t="str">
        <f>IFERROR(VLOOKUP(База_КР_КК[[#This Row],[ИД штатной должности (S)]],'уровень защищенности'!$B$7:$F$1095,5,0),"не защищена")</f>
        <v>высокий</v>
      </c>
      <c r="F2060" s="68">
        <v>500275</v>
      </c>
      <c r="G2060" s="74" t="s">
        <v>2616</v>
      </c>
      <c r="H2060" s="181">
        <f>INDEX('Списки данных'!$D$2:$D$1048576,MATCH(База_КР_КК[[#This Row],[Структурное подразделение]],'Списки данных'!$C$2:$C$1048576,0))</f>
        <v>13</v>
      </c>
      <c r="I2060" s="80" t="s">
        <v>173</v>
      </c>
      <c r="J2060" s="80" t="s">
        <v>212</v>
      </c>
      <c r="K2060" s="80" t="s">
        <v>213</v>
      </c>
      <c r="L2060" s="30" t="s">
        <v>192</v>
      </c>
      <c r="M2060" s="68">
        <v>7</v>
      </c>
      <c r="N2060" s="181" t="str">
        <f t="shared" si="33"/>
        <v>нет</v>
      </c>
      <c r="O2060" s="23"/>
      <c r="P2060" s="23"/>
      <c r="Q2060" s="106"/>
      <c r="R2060" s="37">
        <v>444</v>
      </c>
      <c r="S2060" s="38" t="s">
        <v>856</v>
      </c>
      <c r="T2060" s="37">
        <v>1539</v>
      </c>
      <c r="U2060" s="39" t="s">
        <v>1894</v>
      </c>
      <c r="V2060" s="69" t="s">
        <v>272</v>
      </c>
      <c r="W2060" s="89" t="s">
        <v>173</v>
      </c>
      <c r="X2060" s="106" t="s">
        <v>295</v>
      </c>
      <c r="Y2060" s="107" t="s">
        <v>12</v>
      </c>
      <c r="Z2060" s="67">
        <f>IF(База_КР_КК[[#This Row],[Таб.номер резервиста]]="-","-",IF(OR(База_КР_КК[[#This Row],[Уровень КК]]=2,База_КР_КК[[#This Row],[Уровень КК]]=3),IF(COUNTIFS($U$2:$U2060,$U2060,$F$2:$F2060,$F2060)=1,1,0),IF(COUNTIFS($U$2:$U2060,$U2060,$L$2:$L2060,$L2060)=1,1,0)))</f>
        <v>1</v>
      </c>
      <c r="AA20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0" s="106"/>
      <c r="AC2060" s="51"/>
      <c r="AD2060" s="106" t="s">
        <v>15</v>
      </c>
      <c r="AE2060" s="38" t="s">
        <v>343</v>
      </c>
    </row>
    <row r="2061" spans="1:31" ht="18" customHeight="1" x14ac:dyDescent="0.25">
      <c r="A20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1" s="79">
        <v>4</v>
      </c>
      <c r="C2061" s="23">
        <v>44890</v>
      </c>
      <c r="D2061" s="67">
        <f>IF(COUNTIF($G$2:$G2061,$G2061)=1,1,0)</f>
        <v>1</v>
      </c>
      <c r="E2061" s="67" t="str">
        <f>IFERROR(VLOOKUP(База_КР_КК[[#This Row],[ИД штатной должности (S)]],'уровень защищенности'!$B$7:$F$1095,5,0),"не защищена")</f>
        <v>низкий</v>
      </c>
      <c r="F2061" s="68">
        <v>500276</v>
      </c>
      <c r="G2061" s="74" t="s">
        <v>2617</v>
      </c>
      <c r="H2061" s="181">
        <f>INDEX('Списки данных'!$D$2:$D$1048576,MATCH(База_КР_КК[[#This Row],[Структурное подразделение]],'Списки данных'!$C$2:$C$1048576,0))</f>
        <v>13</v>
      </c>
      <c r="I2061" s="80" t="s">
        <v>173</v>
      </c>
      <c r="J2061" s="80" t="s">
        <v>212</v>
      </c>
      <c r="K2061" s="80" t="s">
        <v>213</v>
      </c>
      <c r="L2061" s="30" t="s">
        <v>192</v>
      </c>
      <c r="M2061" s="68">
        <v>7</v>
      </c>
      <c r="N2061" s="181" t="str">
        <f t="shared" si="33"/>
        <v>да</v>
      </c>
      <c r="O2061" s="23">
        <v>45078</v>
      </c>
      <c r="P2061" s="23"/>
      <c r="Q2061" s="106"/>
      <c r="R2061" s="37" t="s">
        <v>23</v>
      </c>
      <c r="S2061" s="38" t="s">
        <v>23</v>
      </c>
      <c r="T2061" s="37">
        <v>1540</v>
      </c>
      <c r="U2061" s="39" t="s">
        <v>1895</v>
      </c>
      <c r="V2061" s="69" t="s">
        <v>272</v>
      </c>
      <c r="W2061" s="89" t="s">
        <v>173</v>
      </c>
      <c r="X2061" s="106" t="s">
        <v>296</v>
      </c>
      <c r="Y2061" s="107" t="s">
        <v>12</v>
      </c>
      <c r="Z2061" s="67">
        <f>IF(База_КР_КК[[#This Row],[Таб.номер резервиста]]="-","-",IF(OR(База_КР_КК[[#This Row],[Уровень КК]]=2,База_КР_КК[[#This Row],[Уровень КК]]=3),IF(COUNTIFS($U$2:$U2061,$U2061,$F$2:$F2061,$F2061)=1,1,0),IF(COUNTIFS($U$2:$U2061,$U2061,$L$2:$L2061,$L2061)=1,1,0)))</f>
        <v>1</v>
      </c>
      <c r="AA20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1" s="106"/>
      <c r="AC2061" s="51"/>
      <c r="AD2061" s="106" t="s">
        <v>15</v>
      </c>
      <c r="AE2061" s="38" t="s">
        <v>344</v>
      </c>
    </row>
    <row r="2062" spans="1:31" ht="18" customHeight="1" x14ac:dyDescent="0.25">
      <c r="A20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2" s="79">
        <v>4</v>
      </c>
      <c r="C2062" s="23">
        <v>44425</v>
      </c>
      <c r="D2062" s="67">
        <f>IF(COUNTIF($G$2:$G2062,$G2062)=1,1,0)</f>
        <v>0</v>
      </c>
      <c r="E2062" s="67" t="str">
        <f>IFERROR(VLOOKUP(База_КР_КК[[#This Row],[ИД штатной должности (S)]],'уровень защищенности'!$B$7:$F$1095,5,0),"не защищена")</f>
        <v>низкий</v>
      </c>
      <c r="F2062" s="68">
        <v>500276</v>
      </c>
      <c r="G2062" s="74" t="s">
        <v>2617</v>
      </c>
      <c r="H2062" s="181">
        <f>INDEX('Списки данных'!$D$2:$D$1048576,MATCH(База_КР_КК[[#This Row],[Структурное подразделение]],'Списки данных'!$C$2:$C$1048576,0))</f>
        <v>13</v>
      </c>
      <c r="I2062" s="80" t="s">
        <v>173</v>
      </c>
      <c r="J2062" s="80" t="s">
        <v>212</v>
      </c>
      <c r="K2062" s="80" t="s">
        <v>213</v>
      </c>
      <c r="L2062" s="30" t="s">
        <v>192</v>
      </c>
      <c r="M2062" s="68">
        <v>7</v>
      </c>
      <c r="N2062" s="181" t="str">
        <f t="shared" si="33"/>
        <v>да</v>
      </c>
      <c r="O2062" s="23">
        <v>45078</v>
      </c>
      <c r="P2062" s="23"/>
      <c r="Q2062" s="106"/>
      <c r="R2062" s="37" t="s">
        <v>23</v>
      </c>
      <c r="S2062" s="38" t="s">
        <v>23</v>
      </c>
      <c r="T2062" s="37">
        <v>1541</v>
      </c>
      <c r="U2062" s="39" t="s">
        <v>1896</v>
      </c>
      <c r="V2062" s="69" t="s">
        <v>272</v>
      </c>
      <c r="W2062" s="89" t="s">
        <v>173</v>
      </c>
      <c r="X2062" s="106" t="s">
        <v>296</v>
      </c>
      <c r="Y2062" s="107" t="s">
        <v>18</v>
      </c>
      <c r="Z2062" s="67">
        <f>IF(База_КР_КК[[#This Row],[Таб.номер резервиста]]="-","-",IF(OR(База_КР_КК[[#This Row],[Уровень КК]]=2,База_КР_КК[[#This Row],[Уровень КК]]=3),IF(COUNTIFS($U$2:$U2062,$U2062,$F$2:$F2062,$F2062)=1,1,0),IF(COUNTIFS($U$2:$U2062,$U2062,$L$2:$L2062,$L2062)=1,1,0)))</f>
        <v>1</v>
      </c>
      <c r="AA20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2" s="106" t="s">
        <v>20</v>
      </c>
      <c r="AC2062" s="51">
        <v>44552</v>
      </c>
      <c r="AD2062" s="106" t="s">
        <v>15</v>
      </c>
      <c r="AE2062" s="38" t="s">
        <v>343</v>
      </c>
    </row>
    <row r="2063" spans="1:31" ht="18" customHeight="1" x14ac:dyDescent="0.25">
      <c r="A20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3" s="79">
        <v>4</v>
      </c>
      <c r="C2063" s="23">
        <v>44425</v>
      </c>
      <c r="D2063" s="67">
        <f>IF(COUNTIF($G$2:$G2063,$G2063)=1,1,0)</f>
        <v>1</v>
      </c>
      <c r="E2063" s="67" t="str">
        <f>IFERROR(VLOOKUP(База_КР_КК[[#This Row],[ИД штатной должности (S)]],'уровень защищенности'!$B$7:$F$1095,5,0),"не защищена")</f>
        <v>высокий</v>
      </c>
      <c r="F2063" s="68">
        <v>500277</v>
      </c>
      <c r="G2063" s="74" t="s">
        <v>2618</v>
      </c>
      <c r="H2063" s="181">
        <f>INDEX('Списки данных'!$D$2:$D$1048576,MATCH(База_КР_КК[[#This Row],[Структурное подразделение]],'Списки данных'!$C$2:$C$1048576,0))</f>
        <v>13</v>
      </c>
      <c r="I2063" s="80" t="s">
        <v>173</v>
      </c>
      <c r="J2063" s="80" t="s">
        <v>212</v>
      </c>
      <c r="K2063" s="80" t="s">
        <v>213</v>
      </c>
      <c r="L2063" s="30" t="s">
        <v>192</v>
      </c>
      <c r="M2063" s="68">
        <v>7</v>
      </c>
      <c r="N2063" s="181" t="str">
        <f t="shared" si="33"/>
        <v>нет</v>
      </c>
      <c r="O2063" s="23"/>
      <c r="P2063" s="23"/>
      <c r="Q2063" s="106"/>
      <c r="R2063" s="37">
        <v>445</v>
      </c>
      <c r="S2063" s="38" t="s">
        <v>857</v>
      </c>
      <c r="T2063" s="37">
        <v>1527</v>
      </c>
      <c r="U2063" s="39" t="s">
        <v>1884</v>
      </c>
      <c r="V2063" s="69" t="s">
        <v>272</v>
      </c>
      <c r="W2063" s="89" t="s">
        <v>173</v>
      </c>
      <c r="X2063" s="106" t="s">
        <v>295</v>
      </c>
      <c r="Y2063" s="107" t="s">
        <v>12</v>
      </c>
      <c r="Z2063" s="67">
        <f>IF(База_КР_КК[[#This Row],[Таб.номер резервиста]]="-","-",IF(OR(База_КР_КК[[#This Row],[Уровень КК]]=2,База_КР_КК[[#This Row],[Уровень КК]]=3),IF(COUNTIFS($U$2:$U2063,$U2063,$F$2:$F2063,$F2063)=1,1,0),IF(COUNTIFS($U$2:$U2063,$U2063,$L$2:$L2063,$L2063)=1,1,0)))</f>
        <v>0</v>
      </c>
      <c r="AA20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3" s="106"/>
      <c r="AC2063" s="51"/>
      <c r="AD2063" s="106" t="s">
        <v>15</v>
      </c>
      <c r="AE2063" s="38" t="s">
        <v>343</v>
      </c>
    </row>
    <row r="2064" spans="1:31" ht="18" customHeight="1" x14ac:dyDescent="0.25">
      <c r="A20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4" s="79">
        <v>4</v>
      </c>
      <c r="C2064" s="23">
        <v>44425</v>
      </c>
      <c r="D2064" s="67">
        <f>IF(COUNTIF($G$2:$G2064,$G2064)=1,1,0)</f>
        <v>0</v>
      </c>
      <c r="E2064" s="67" t="str">
        <f>IFERROR(VLOOKUP(База_КР_КК[[#This Row],[ИД штатной должности (S)]],'уровень защищенности'!$B$7:$F$1095,5,0),"не защищена")</f>
        <v>высокий</v>
      </c>
      <c r="F2064" s="68">
        <v>500277</v>
      </c>
      <c r="G2064" s="74" t="s">
        <v>2618</v>
      </c>
      <c r="H2064" s="181">
        <f>INDEX('Списки данных'!$D$2:$D$1048576,MATCH(База_КР_КК[[#This Row],[Структурное подразделение]],'Списки данных'!$C$2:$C$1048576,0))</f>
        <v>13</v>
      </c>
      <c r="I2064" s="80" t="s">
        <v>173</v>
      </c>
      <c r="J2064" s="80" t="s">
        <v>212</v>
      </c>
      <c r="K2064" s="80" t="s">
        <v>213</v>
      </c>
      <c r="L2064" s="30" t="s">
        <v>192</v>
      </c>
      <c r="M2064" s="68">
        <v>7</v>
      </c>
      <c r="N2064" s="181" t="str">
        <f t="shared" si="33"/>
        <v>нет</v>
      </c>
      <c r="O2064" s="23"/>
      <c r="P2064" s="23"/>
      <c r="Q2064" s="106"/>
      <c r="R2064" s="37">
        <v>445</v>
      </c>
      <c r="S2064" s="38" t="s">
        <v>857</v>
      </c>
      <c r="T2064" s="37">
        <v>1528</v>
      </c>
      <c r="U2064" s="39" t="s">
        <v>1885</v>
      </c>
      <c r="V2064" s="69" t="s">
        <v>272</v>
      </c>
      <c r="W2064" s="89" t="s">
        <v>173</v>
      </c>
      <c r="X2064" s="106" t="s">
        <v>296</v>
      </c>
      <c r="Y2064" s="107" t="s">
        <v>12</v>
      </c>
      <c r="Z2064" s="67">
        <f>IF(База_КР_КК[[#This Row],[Таб.номер резервиста]]="-","-",IF(OR(База_КР_КК[[#This Row],[Уровень КК]]=2,База_КР_КК[[#This Row],[Уровень КК]]=3),IF(COUNTIFS($U$2:$U2064,$U2064,$F$2:$F2064,$F2064)=1,1,0),IF(COUNTIFS($U$2:$U2064,$U2064,$L$2:$L2064,$L2064)=1,1,0)))</f>
        <v>0</v>
      </c>
      <c r="AA20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4" s="106"/>
      <c r="AC2064" s="51"/>
      <c r="AD2064" s="106" t="s">
        <v>15</v>
      </c>
      <c r="AE2064" s="38" t="s">
        <v>343</v>
      </c>
    </row>
    <row r="2065" spans="1:31" ht="18" customHeight="1" x14ac:dyDescent="0.25">
      <c r="A20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5" s="79">
        <v>4</v>
      </c>
      <c r="C2065" s="23">
        <v>44425</v>
      </c>
      <c r="D2065" s="67">
        <f>IF(COUNTIF($G$2:$G2065,$G2065)=1,1,0)</f>
        <v>0</v>
      </c>
      <c r="E2065" s="67" t="str">
        <f>IFERROR(VLOOKUP(База_КР_КК[[#This Row],[ИД штатной должности (S)]],'уровень защищенности'!$B$7:$F$1095,5,0),"не защищена")</f>
        <v>высокий</v>
      </c>
      <c r="F2065" s="68">
        <v>500277</v>
      </c>
      <c r="G2065" s="74" t="s">
        <v>2618</v>
      </c>
      <c r="H2065" s="181">
        <f>INDEX('Списки данных'!$D$2:$D$1048576,MATCH(База_КР_КК[[#This Row],[Структурное подразделение]],'Списки данных'!$C$2:$C$1048576,0))</f>
        <v>13</v>
      </c>
      <c r="I2065" s="80" t="s">
        <v>173</v>
      </c>
      <c r="J2065" s="80" t="s">
        <v>212</v>
      </c>
      <c r="K2065" s="80" t="s">
        <v>213</v>
      </c>
      <c r="L2065" s="30" t="s">
        <v>192</v>
      </c>
      <c r="M2065" s="68">
        <v>7</v>
      </c>
      <c r="N2065" s="181" t="str">
        <f t="shared" si="33"/>
        <v>нет</v>
      </c>
      <c r="O2065" s="23"/>
      <c r="P2065" s="23"/>
      <c r="Q2065" s="106"/>
      <c r="R2065" s="37">
        <v>445</v>
      </c>
      <c r="S2065" s="38" t="s">
        <v>857</v>
      </c>
      <c r="T2065" s="37">
        <v>1529</v>
      </c>
      <c r="U2065" s="39" t="s">
        <v>1886</v>
      </c>
      <c r="V2065" s="69" t="s">
        <v>272</v>
      </c>
      <c r="W2065" s="89" t="s">
        <v>173</v>
      </c>
      <c r="X2065" s="106" t="s">
        <v>297</v>
      </c>
      <c r="Y2065" s="107" t="s">
        <v>12</v>
      </c>
      <c r="Z2065" s="67">
        <f>IF(База_КР_КК[[#This Row],[Таб.номер резервиста]]="-","-",IF(OR(База_КР_КК[[#This Row],[Уровень КК]]=2,База_КР_КК[[#This Row],[Уровень КК]]=3),IF(COUNTIFS($U$2:$U2065,$U2065,$F$2:$F2065,$F2065)=1,1,0),IF(COUNTIFS($U$2:$U2065,$U2065,$L$2:$L2065,$L2065)=1,1,0)))</f>
        <v>0</v>
      </c>
      <c r="AA20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5" s="106"/>
      <c r="AC2065" s="51"/>
      <c r="AD2065" s="106" t="s">
        <v>15</v>
      </c>
      <c r="AE2065" s="38" t="s">
        <v>343</v>
      </c>
    </row>
    <row r="2066" spans="1:31" ht="18" customHeight="1" x14ac:dyDescent="0.25">
      <c r="A20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6" s="79">
        <v>4</v>
      </c>
      <c r="C2066" s="23">
        <v>44425</v>
      </c>
      <c r="D2066" s="67">
        <f>IF(COUNTIF($G$2:$G2066,$G2066)=1,1,0)</f>
        <v>0</v>
      </c>
      <c r="E2066" s="67" t="str">
        <f>IFERROR(VLOOKUP(База_КР_КК[[#This Row],[ИД штатной должности (S)]],'уровень защищенности'!$B$7:$F$1095,5,0),"не защищена")</f>
        <v>высокий</v>
      </c>
      <c r="F2066" s="68">
        <v>500277</v>
      </c>
      <c r="G2066" s="74" t="s">
        <v>2618</v>
      </c>
      <c r="H2066" s="181">
        <f>INDEX('Списки данных'!$D$2:$D$1048576,MATCH(База_КР_КК[[#This Row],[Структурное подразделение]],'Списки данных'!$C$2:$C$1048576,0))</f>
        <v>13</v>
      </c>
      <c r="I2066" s="80" t="s">
        <v>173</v>
      </c>
      <c r="J2066" s="80" t="s">
        <v>212</v>
      </c>
      <c r="K2066" s="80" t="s">
        <v>213</v>
      </c>
      <c r="L2066" s="30" t="s">
        <v>192</v>
      </c>
      <c r="M2066" s="68">
        <v>7</v>
      </c>
      <c r="N2066" s="181" t="str">
        <f t="shared" si="33"/>
        <v>нет</v>
      </c>
      <c r="O2066" s="23"/>
      <c r="P2066" s="23"/>
      <c r="Q2066" s="106"/>
      <c r="R2066" s="37">
        <v>445</v>
      </c>
      <c r="S2066" s="38" t="s">
        <v>857</v>
      </c>
      <c r="T2066" s="37">
        <v>1530</v>
      </c>
      <c r="U2066" s="39" t="s">
        <v>1887</v>
      </c>
      <c r="V2066" s="69" t="s">
        <v>272</v>
      </c>
      <c r="W2066" s="89" t="s">
        <v>173</v>
      </c>
      <c r="X2066" s="106" t="s">
        <v>296</v>
      </c>
      <c r="Y2066" s="107" t="s">
        <v>12</v>
      </c>
      <c r="Z2066" s="67">
        <f>IF(База_КР_КК[[#This Row],[Таб.номер резервиста]]="-","-",IF(OR(База_КР_КК[[#This Row],[Уровень КК]]=2,База_КР_КК[[#This Row],[Уровень КК]]=3),IF(COUNTIFS($U$2:$U2066,$U2066,$F$2:$F2066,$F2066)=1,1,0),IF(COUNTIFS($U$2:$U2066,$U2066,$L$2:$L2066,$L2066)=1,1,0)))</f>
        <v>0</v>
      </c>
      <c r="AA20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6" s="106"/>
      <c r="AC2066" s="51"/>
      <c r="AD2066" s="106" t="s">
        <v>15</v>
      </c>
      <c r="AE2066" s="38" t="s">
        <v>343</v>
      </c>
    </row>
    <row r="2067" spans="1:31" ht="18" customHeight="1" x14ac:dyDescent="0.25">
      <c r="A20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7" s="79">
        <v>4</v>
      </c>
      <c r="C2067" s="23">
        <v>44425</v>
      </c>
      <c r="D2067" s="67">
        <f>IF(COUNTIF($G$2:$G2067,$G2067)=1,1,0)</f>
        <v>0</v>
      </c>
      <c r="E2067" s="67" t="str">
        <f>IFERROR(VLOOKUP(База_КР_КК[[#This Row],[ИД штатной должности (S)]],'уровень защищенности'!$B$7:$F$1095,5,0),"не защищена")</f>
        <v>высокий</v>
      </c>
      <c r="F2067" s="68">
        <v>500277</v>
      </c>
      <c r="G2067" s="74" t="s">
        <v>2618</v>
      </c>
      <c r="H2067" s="181">
        <f>INDEX('Списки данных'!$D$2:$D$1048576,MATCH(База_КР_КК[[#This Row],[Структурное подразделение]],'Списки данных'!$C$2:$C$1048576,0))</f>
        <v>13</v>
      </c>
      <c r="I2067" s="80" t="s">
        <v>173</v>
      </c>
      <c r="J2067" s="80" t="s">
        <v>212</v>
      </c>
      <c r="K2067" s="80" t="s">
        <v>213</v>
      </c>
      <c r="L2067" s="30" t="s">
        <v>192</v>
      </c>
      <c r="M2067" s="68">
        <v>7</v>
      </c>
      <c r="N2067" s="181" t="str">
        <f t="shared" si="33"/>
        <v>нет</v>
      </c>
      <c r="O2067" s="23"/>
      <c r="P2067" s="23"/>
      <c r="Q2067" s="106"/>
      <c r="R2067" s="37">
        <v>445</v>
      </c>
      <c r="S2067" s="38" t="s">
        <v>857</v>
      </c>
      <c r="T2067" s="37">
        <v>1531</v>
      </c>
      <c r="U2067" s="39" t="s">
        <v>1575</v>
      </c>
      <c r="V2067" s="69" t="s">
        <v>272</v>
      </c>
      <c r="W2067" s="89" t="s">
        <v>173</v>
      </c>
      <c r="X2067" s="106" t="s">
        <v>297</v>
      </c>
      <c r="Y2067" s="107" t="s">
        <v>12</v>
      </c>
      <c r="Z2067" s="67">
        <f>IF(База_КР_КК[[#This Row],[Таб.номер резервиста]]="-","-",IF(OR(База_КР_КК[[#This Row],[Уровень КК]]=2,База_КР_КК[[#This Row],[Уровень КК]]=3),IF(COUNTIFS($U$2:$U2067,$U2067,$F$2:$F2067,$F2067)=1,1,0),IF(COUNTIFS($U$2:$U2067,$U2067,$L$2:$L2067,$L2067)=1,1,0)))</f>
        <v>0</v>
      </c>
      <c r="AA20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7" s="106"/>
      <c r="AC2067" s="51"/>
      <c r="AD2067" s="106" t="s">
        <v>15</v>
      </c>
      <c r="AE2067" s="38" t="s">
        <v>343</v>
      </c>
    </row>
    <row r="2068" spans="1:31" ht="18" customHeight="1" x14ac:dyDescent="0.25">
      <c r="A20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8" s="79">
        <v>4</v>
      </c>
      <c r="C2068" s="23">
        <v>44890</v>
      </c>
      <c r="D2068" s="67">
        <f>IF(COUNTIF($G$2:$G2068,$G2068)=1,1,0)</f>
        <v>0</v>
      </c>
      <c r="E2068" s="67" t="str">
        <f>IFERROR(VLOOKUP(База_КР_КК[[#This Row],[ИД штатной должности (S)]],'уровень защищенности'!$B$7:$F$1095,5,0),"не защищена")</f>
        <v>высокий</v>
      </c>
      <c r="F2068" s="68">
        <v>500277</v>
      </c>
      <c r="G2068" s="74" t="s">
        <v>2618</v>
      </c>
      <c r="H2068" s="181">
        <f>INDEX('Списки данных'!$D$2:$D$1048576,MATCH(База_КР_КК[[#This Row],[Структурное подразделение]],'Списки данных'!$C$2:$C$1048576,0))</f>
        <v>13</v>
      </c>
      <c r="I2068" s="80" t="s">
        <v>173</v>
      </c>
      <c r="J2068" s="80" t="s">
        <v>212</v>
      </c>
      <c r="K2068" s="80" t="s">
        <v>213</v>
      </c>
      <c r="L2068" s="30" t="s">
        <v>192</v>
      </c>
      <c r="M2068" s="68">
        <v>7</v>
      </c>
      <c r="N2068" s="181" t="str">
        <f t="shared" si="33"/>
        <v>нет</v>
      </c>
      <c r="O2068" s="23"/>
      <c r="P2068" s="23"/>
      <c r="Q2068" s="106"/>
      <c r="R2068" s="37">
        <v>445</v>
      </c>
      <c r="S2068" s="38" t="s">
        <v>857</v>
      </c>
      <c r="T2068" s="37">
        <v>1532</v>
      </c>
      <c r="U2068" s="39" t="s">
        <v>1888</v>
      </c>
      <c r="V2068" s="69" t="s">
        <v>272</v>
      </c>
      <c r="W2068" s="89" t="s">
        <v>173</v>
      </c>
      <c r="X2068" s="106" t="s">
        <v>296</v>
      </c>
      <c r="Y2068" s="107" t="s">
        <v>12</v>
      </c>
      <c r="Z2068" s="67">
        <f>IF(База_КР_КК[[#This Row],[Таб.номер резервиста]]="-","-",IF(OR(База_КР_КК[[#This Row],[Уровень КК]]=2,База_КР_КК[[#This Row],[Уровень КК]]=3),IF(COUNTIFS($U$2:$U2068,$U2068,$F$2:$F2068,$F2068)=1,1,0),IF(COUNTIFS($U$2:$U2068,$U2068,$L$2:$L2068,$L2068)=1,1,0)))</f>
        <v>0</v>
      </c>
      <c r="AA20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8" s="106"/>
      <c r="AC2068" s="51"/>
      <c r="AD2068" s="106" t="s">
        <v>15</v>
      </c>
      <c r="AE2068" s="38" t="s">
        <v>344</v>
      </c>
    </row>
    <row r="2069" spans="1:31" ht="18" customHeight="1" x14ac:dyDescent="0.25">
      <c r="A20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69" s="79">
        <v>4</v>
      </c>
      <c r="C2069" s="23">
        <v>44890</v>
      </c>
      <c r="D2069" s="67">
        <f>IF(COUNTIF($G$2:$G2069,$G2069)=1,1,0)</f>
        <v>0</v>
      </c>
      <c r="E2069" s="67" t="str">
        <f>IFERROR(VLOOKUP(База_КР_КК[[#This Row],[ИД штатной должности (S)]],'уровень защищенности'!$B$7:$F$1095,5,0),"не защищена")</f>
        <v>высокий</v>
      </c>
      <c r="F2069" s="68">
        <v>500277</v>
      </c>
      <c r="G2069" s="74" t="s">
        <v>2618</v>
      </c>
      <c r="H2069" s="181">
        <f>INDEX('Списки данных'!$D$2:$D$1048576,MATCH(База_КР_КК[[#This Row],[Структурное подразделение]],'Списки данных'!$C$2:$C$1048576,0))</f>
        <v>13</v>
      </c>
      <c r="I2069" s="80" t="s">
        <v>173</v>
      </c>
      <c r="J2069" s="80" t="s">
        <v>212</v>
      </c>
      <c r="K2069" s="80" t="s">
        <v>213</v>
      </c>
      <c r="L2069" s="30" t="s">
        <v>192</v>
      </c>
      <c r="M2069" s="68">
        <v>7</v>
      </c>
      <c r="N2069" s="181" t="str">
        <f t="shared" si="33"/>
        <v>нет</v>
      </c>
      <c r="O2069" s="23"/>
      <c r="P2069" s="23"/>
      <c r="Q2069" s="106"/>
      <c r="R2069" s="37">
        <v>445</v>
      </c>
      <c r="S2069" s="38" t="s">
        <v>857</v>
      </c>
      <c r="T2069" s="37">
        <v>1533</v>
      </c>
      <c r="U2069" s="39" t="s">
        <v>1889</v>
      </c>
      <c r="V2069" s="69" t="s">
        <v>272</v>
      </c>
      <c r="W2069" s="89" t="s">
        <v>173</v>
      </c>
      <c r="X2069" s="106" t="s">
        <v>296</v>
      </c>
      <c r="Y2069" s="107" t="s">
        <v>12</v>
      </c>
      <c r="Z2069" s="67">
        <f>IF(База_КР_КК[[#This Row],[Таб.номер резервиста]]="-","-",IF(OR(База_КР_КК[[#This Row],[Уровень КК]]=2,База_КР_КК[[#This Row],[Уровень КК]]=3),IF(COUNTIFS($U$2:$U2069,$U2069,$F$2:$F2069,$F2069)=1,1,0),IF(COUNTIFS($U$2:$U2069,$U2069,$L$2:$L2069,$L2069)=1,1,0)))</f>
        <v>0</v>
      </c>
      <c r="AA20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69" s="106"/>
      <c r="AC2069" s="51"/>
      <c r="AD2069" s="106" t="s">
        <v>15</v>
      </c>
      <c r="AE2069" s="38" t="s">
        <v>344</v>
      </c>
    </row>
    <row r="2070" spans="1:31" ht="18" customHeight="1" x14ac:dyDescent="0.25">
      <c r="A20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0" s="79">
        <v>4</v>
      </c>
      <c r="C2070" s="23">
        <v>44890</v>
      </c>
      <c r="D2070" s="67">
        <f>IF(COUNTIF($G$2:$G2070,$G2070)=1,1,0)</f>
        <v>0</v>
      </c>
      <c r="E2070" s="67" t="str">
        <f>IFERROR(VLOOKUP(База_КР_КК[[#This Row],[ИД штатной должности (S)]],'уровень защищенности'!$B$7:$F$1095,5,0),"не защищена")</f>
        <v>высокий</v>
      </c>
      <c r="F2070" s="68">
        <v>500277</v>
      </c>
      <c r="G2070" s="74" t="s">
        <v>2618</v>
      </c>
      <c r="H2070" s="181">
        <f>INDEX('Списки данных'!$D$2:$D$1048576,MATCH(База_КР_КК[[#This Row],[Структурное подразделение]],'Списки данных'!$C$2:$C$1048576,0))</f>
        <v>13</v>
      </c>
      <c r="I2070" s="80" t="s">
        <v>173</v>
      </c>
      <c r="J2070" s="80" t="s">
        <v>212</v>
      </c>
      <c r="K2070" s="80" t="s">
        <v>213</v>
      </c>
      <c r="L2070" s="30" t="s">
        <v>192</v>
      </c>
      <c r="M2070" s="68">
        <v>7</v>
      </c>
      <c r="N2070" s="181" t="str">
        <f t="shared" si="33"/>
        <v>нет</v>
      </c>
      <c r="O2070" s="23"/>
      <c r="P2070" s="23"/>
      <c r="Q2070" s="106"/>
      <c r="R2070" s="37">
        <v>445</v>
      </c>
      <c r="S2070" s="38" t="s">
        <v>857</v>
      </c>
      <c r="T2070" s="37">
        <v>1534</v>
      </c>
      <c r="U2070" s="39" t="s">
        <v>1890</v>
      </c>
      <c r="V2070" s="69" t="s">
        <v>272</v>
      </c>
      <c r="W2070" s="89" t="s">
        <v>173</v>
      </c>
      <c r="X2070" s="106" t="s">
        <v>296</v>
      </c>
      <c r="Y2070" s="107" t="s">
        <v>12</v>
      </c>
      <c r="Z2070" s="67">
        <f>IF(База_КР_КК[[#This Row],[Таб.номер резервиста]]="-","-",IF(OR(База_КР_КК[[#This Row],[Уровень КК]]=2,База_КР_КК[[#This Row],[Уровень КК]]=3),IF(COUNTIFS($U$2:$U2070,$U2070,$F$2:$F2070,$F2070)=1,1,0),IF(COUNTIFS($U$2:$U2070,$U2070,$L$2:$L2070,$L2070)=1,1,0)))</f>
        <v>0</v>
      </c>
      <c r="AA20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0" s="106"/>
      <c r="AC2070" s="51"/>
      <c r="AD2070" s="106" t="s">
        <v>15</v>
      </c>
      <c r="AE2070" s="38" t="s">
        <v>344</v>
      </c>
    </row>
    <row r="2071" spans="1:31" ht="18" customHeight="1" x14ac:dyDescent="0.25">
      <c r="A20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1" s="79">
        <v>4</v>
      </c>
      <c r="C2071" s="23">
        <v>44890</v>
      </c>
      <c r="D2071" s="67">
        <f>IF(COUNTIF($G$2:$G2071,$G2071)=1,1,0)</f>
        <v>0</v>
      </c>
      <c r="E2071" s="67" t="str">
        <f>IFERROR(VLOOKUP(База_КР_КК[[#This Row],[ИД штатной должности (S)]],'уровень защищенности'!$B$7:$F$1095,5,0),"не защищена")</f>
        <v>высокий</v>
      </c>
      <c r="F2071" s="68">
        <v>500277</v>
      </c>
      <c r="G2071" s="74" t="s">
        <v>2618</v>
      </c>
      <c r="H2071" s="181">
        <f>INDEX('Списки данных'!$D$2:$D$1048576,MATCH(База_КР_КК[[#This Row],[Структурное подразделение]],'Списки данных'!$C$2:$C$1048576,0))</f>
        <v>13</v>
      </c>
      <c r="I2071" s="80" t="s">
        <v>173</v>
      </c>
      <c r="J2071" s="80" t="s">
        <v>212</v>
      </c>
      <c r="K2071" s="80" t="s">
        <v>213</v>
      </c>
      <c r="L2071" s="30" t="s">
        <v>192</v>
      </c>
      <c r="M2071" s="68">
        <v>7</v>
      </c>
      <c r="N2071" s="181" t="str">
        <f t="shared" si="33"/>
        <v>нет</v>
      </c>
      <c r="O2071" s="23"/>
      <c r="P2071" s="23"/>
      <c r="Q2071" s="106"/>
      <c r="R2071" s="37">
        <v>445</v>
      </c>
      <c r="S2071" s="38" t="s">
        <v>857</v>
      </c>
      <c r="T2071" s="37">
        <v>1535</v>
      </c>
      <c r="U2071" s="39" t="s">
        <v>1634</v>
      </c>
      <c r="V2071" s="69" t="s">
        <v>272</v>
      </c>
      <c r="W2071" s="89" t="s">
        <v>173</v>
      </c>
      <c r="X2071" s="106" t="s">
        <v>296</v>
      </c>
      <c r="Y2071" s="107" t="s">
        <v>12</v>
      </c>
      <c r="Z2071" s="67">
        <f>IF(База_КР_КК[[#This Row],[Таб.номер резервиста]]="-","-",IF(OR(База_КР_КК[[#This Row],[Уровень КК]]=2,База_КР_КК[[#This Row],[Уровень КК]]=3),IF(COUNTIFS($U$2:$U2071,$U2071,$F$2:$F2071,$F2071)=1,1,0),IF(COUNTIFS($U$2:$U2071,$U2071,$L$2:$L2071,$L2071)=1,1,0)))</f>
        <v>0</v>
      </c>
      <c r="AA20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1" s="106"/>
      <c r="AC2071" s="51"/>
      <c r="AD2071" s="106" t="s">
        <v>15</v>
      </c>
      <c r="AE2071" s="38" t="s">
        <v>344</v>
      </c>
    </row>
    <row r="2072" spans="1:31" ht="18" customHeight="1" x14ac:dyDescent="0.25">
      <c r="A20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2" s="79">
        <v>4</v>
      </c>
      <c r="C2072" s="23">
        <v>44890</v>
      </c>
      <c r="D2072" s="67">
        <f>IF(COUNTIF($G$2:$G2072,$G2072)=1,1,0)</f>
        <v>0</v>
      </c>
      <c r="E2072" s="67" t="str">
        <f>IFERROR(VLOOKUP(База_КР_КК[[#This Row],[ИД штатной должности (S)]],'уровень защищенности'!$B$7:$F$1095,5,0),"не защищена")</f>
        <v>высокий</v>
      </c>
      <c r="F2072" s="68">
        <v>500277</v>
      </c>
      <c r="G2072" s="74" t="s">
        <v>2618</v>
      </c>
      <c r="H2072" s="181">
        <f>INDEX('Списки данных'!$D$2:$D$1048576,MATCH(База_КР_КК[[#This Row],[Структурное подразделение]],'Списки данных'!$C$2:$C$1048576,0))</f>
        <v>13</v>
      </c>
      <c r="I2072" s="80" t="s">
        <v>173</v>
      </c>
      <c r="J2072" s="80" t="s">
        <v>212</v>
      </c>
      <c r="K2072" s="80" t="s">
        <v>213</v>
      </c>
      <c r="L2072" s="30" t="s">
        <v>192</v>
      </c>
      <c r="M2072" s="68">
        <v>7</v>
      </c>
      <c r="N2072" s="181" t="str">
        <f t="shared" si="33"/>
        <v>нет</v>
      </c>
      <c r="O2072" s="23"/>
      <c r="P2072" s="23"/>
      <c r="Q2072" s="106"/>
      <c r="R2072" s="37">
        <v>445</v>
      </c>
      <c r="S2072" s="38" t="s">
        <v>857</v>
      </c>
      <c r="T2072" s="37">
        <v>1536</v>
      </c>
      <c r="U2072" s="39" t="s">
        <v>1891</v>
      </c>
      <c r="V2072" s="69" t="s">
        <v>272</v>
      </c>
      <c r="W2072" s="89" t="s">
        <v>173</v>
      </c>
      <c r="X2072" s="106" t="s">
        <v>296</v>
      </c>
      <c r="Y2072" s="107" t="s">
        <v>12</v>
      </c>
      <c r="Z2072" s="67">
        <f>IF(База_КР_КК[[#This Row],[Таб.номер резервиста]]="-","-",IF(OR(База_КР_КК[[#This Row],[Уровень КК]]=2,База_КР_КК[[#This Row],[Уровень КК]]=3),IF(COUNTIFS($U$2:$U2072,$U2072,$F$2:$F2072,$F2072)=1,1,0),IF(COUNTIFS($U$2:$U2072,$U2072,$L$2:$L2072,$L2072)=1,1,0)))</f>
        <v>0</v>
      </c>
      <c r="AA20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2" s="106"/>
      <c r="AC2072" s="51"/>
      <c r="AD2072" s="106" t="s">
        <v>15</v>
      </c>
      <c r="AE2072" s="38" t="s">
        <v>344</v>
      </c>
    </row>
    <row r="2073" spans="1:31" ht="18" customHeight="1" x14ac:dyDescent="0.25">
      <c r="A20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3" s="79">
        <v>4</v>
      </c>
      <c r="C2073" s="23">
        <v>44425</v>
      </c>
      <c r="D2073" s="67">
        <f>IF(COUNTIF($G$2:$G2073,$G2073)=1,1,0)</f>
        <v>0</v>
      </c>
      <c r="E2073" s="67" t="str">
        <f>IFERROR(VLOOKUP(База_КР_КК[[#This Row],[ИД штатной должности (S)]],'уровень защищенности'!$B$7:$F$1095,5,0),"не защищена")</f>
        <v>высокий</v>
      </c>
      <c r="F2073" s="68">
        <v>500277</v>
      </c>
      <c r="G2073" s="74" t="s">
        <v>2618</v>
      </c>
      <c r="H2073" s="181">
        <f>INDEX('Списки данных'!$D$2:$D$1048576,MATCH(База_КР_КК[[#This Row],[Структурное подразделение]],'Списки данных'!$C$2:$C$1048576,0))</f>
        <v>13</v>
      </c>
      <c r="I2073" s="80" t="s">
        <v>173</v>
      </c>
      <c r="J2073" s="80" t="s">
        <v>212</v>
      </c>
      <c r="K2073" s="80" t="s">
        <v>213</v>
      </c>
      <c r="L2073" s="30" t="s">
        <v>192</v>
      </c>
      <c r="M2073" s="68">
        <v>7</v>
      </c>
      <c r="N2073" s="181" t="str">
        <f t="shared" si="33"/>
        <v>нет</v>
      </c>
      <c r="O2073" s="23"/>
      <c r="P2073" s="23"/>
      <c r="Q2073" s="106"/>
      <c r="R2073" s="37">
        <v>445</v>
      </c>
      <c r="S2073" s="38" t="s">
        <v>857</v>
      </c>
      <c r="T2073" s="37">
        <v>1537</v>
      </c>
      <c r="U2073" s="39" t="s">
        <v>1892</v>
      </c>
      <c r="V2073" s="69" t="s">
        <v>272</v>
      </c>
      <c r="W2073" s="89" t="s">
        <v>173</v>
      </c>
      <c r="X2073" s="106" t="s">
        <v>295</v>
      </c>
      <c r="Y2073" s="107" t="s">
        <v>18</v>
      </c>
      <c r="Z2073" s="67">
        <f>IF(База_КР_КК[[#This Row],[Таб.номер резервиста]]="-","-",IF(OR(База_КР_КК[[#This Row],[Уровень КК]]=2,База_КР_КК[[#This Row],[Уровень КК]]=3),IF(COUNTIFS($U$2:$U2073,$U2073,$F$2:$F2073,$F2073)=1,1,0),IF(COUNTIFS($U$2:$U2073,$U2073,$L$2:$L2073,$L2073)=1,1,0)))</f>
        <v>0</v>
      </c>
      <c r="AA20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3" s="106" t="s">
        <v>38</v>
      </c>
      <c r="AC2073" s="51">
        <v>44890</v>
      </c>
      <c r="AD2073" s="106" t="s">
        <v>31</v>
      </c>
      <c r="AE2073" s="38" t="s">
        <v>344</v>
      </c>
    </row>
    <row r="2074" spans="1:31" ht="18" customHeight="1" x14ac:dyDescent="0.25">
      <c r="A20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4" s="79">
        <v>4</v>
      </c>
      <c r="C2074" s="23">
        <v>44425</v>
      </c>
      <c r="D2074" s="67">
        <f>IF(COUNTIF($G$2:$G2074,$G2074)=1,1,0)</f>
        <v>0</v>
      </c>
      <c r="E2074" s="67" t="str">
        <f>IFERROR(VLOOKUP(База_КР_КК[[#This Row],[ИД штатной должности (S)]],'уровень защищенности'!$B$7:$F$1095,5,0),"не защищена")</f>
        <v>высокий</v>
      </c>
      <c r="F2074" s="68">
        <v>500277</v>
      </c>
      <c r="G2074" s="74" t="s">
        <v>2618</v>
      </c>
      <c r="H2074" s="181">
        <f>INDEX('Списки данных'!$D$2:$D$1048576,MATCH(База_КР_КК[[#This Row],[Структурное подразделение]],'Списки данных'!$C$2:$C$1048576,0))</f>
        <v>13</v>
      </c>
      <c r="I2074" s="80" t="s">
        <v>173</v>
      </c>
      <c r="J2074" s="80" t="s">
        <v>212</v>
      </c>
      <c r="K2074" s="80" t="s">
        <v>213</v>
      </c>
      <c r="L2074" s="30" t="s">
        <v>192</v>
      </c>
      <c r="M2074" s="68">
        <v>7</v>
      </c>
      <c r="N2074" s="181" t="str">
        <f t="shared" si="33"/>
        <v>нет</v>
      </c>
      <c r="O2074" s="23"/>
      <c r="P2074" s="23"/>
      <c r="Q2074" s="106"/>
      <c r="R2074" s="37">
        <v>445</v>
      </c>
      <c r="S2074" s="38" t="s">
        <v>857</v>
      </c>
      <c r="T2074" s="37">
        <v>1538</v>
      </c>
      <c r="U2074" s="39" t="s">
        <v>1893</v>
      </c>
      <c r="V2074" s="69" t="s">
        <v>272</v>
      </c>
      <c r="W2074" s="89" t="s">
        <v>173</v>
      </c>
      <c r="X2074" s="106" t="s">
        <v>297</v>
      </c>
      <c r="Y2074" s="107" t="s">
        <v>18</v>
      </c>
      <c r="Z2074" s="67">
        <f>IF(База_КР_КК[[#This Row],[Таб.номер резервиста]]="-","-",IF(OR(База_КР_КК[[#This Row],[Уровень КК]]=2,База_КР_КК[[#This Row],[Уровень КК]]=3),IF(COUNTIFS($U$2:$U2074,$U2074,$F$2:$F2074,$F2074)=1,1,0),IF(COUNTIFS($U$2:$U2074,$U2074,$L$2:$L2074,$L2074)=1,1,0)))</f>
        <v>0</v>
      </c>
      <c r="AA20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4" s="106" t="s">
        <v>20</v>
      </c>
      <c r="AC2074" s="51">
        <v>44552</v>
      </c>
      <c r="AD2074" s="106" t="s">
        <v>15</v>
      </c>
      <c r="AE2074" s="38" t="s">
        <v>343</v>
      </c>
    </row>
    <row r="2075" spans="1:31" ht="18" customHeight="1" x14ac:dyDescent="0.25">
      <c r="A20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5" s="79">
        <v>4</v>
      </c>
      <c r="C2075" s="23">
        <v>44425</v>
      </c>
      <c r="D2075" s="67">
        <f>IF(COUNTIF($G$2:$G2075,$G2075)=1,1,0)</f>
        <v>1</v>
      </c>
      <c r="E2075" s="67" t="str">
        <f>IFERROR(VLOOKUP(База_КР_КК[[#This Row],[ИД штатной должности (S)]],'уровень защищенности'!$B$7:$F$1095,5,0),"не защищена")</f>
        <v>высокий</v>
      </c>
      <c r="F2075" s="68">
        <v>500278</v>
      </c>
      <c r="G2075" s="74" t="s">
        <v>2619</v>
      </c>
      <c r="H2075" s="181">
        <f>INDEX('Списки данных'!$D$2:$D$1048576,MATCH(База_КР_КК[[#This Row],[Структурное подразделение]],'Списки данных'!$C$2:$C$1048576,0))</f>
        <v>13</v>
      </c>
      <c r="I2075" s="80" t="s">
        <v>173</v>
      </c>
      <c r="J2075" s="80" t="s">
        <v>212</v>
      </c>
      <c r="K2075" s="80" t="s">
        <v>213</v>
      </c>
      <c r="L2075" s="30" t="s">
        <v>192</v>
      </c>
      <c r="M2075" s="68">
        <v>7</v>
      </c>
      <c r="N2075" s="181" t="str">
        <f t="shared" si="33"/>
        <v>нет</v>
      </c>
      <c r="O2075" s="23"/>
      <c r="P2075" s="23"/>
      <c r="Q2075" s="106"/>
      <c r="R2075" s="37">
        <v>446</v>
      </c>
      <c r="S2075" s="38" t="s">
        <v>858</v>
      </c>
      <c r="T2075" s="37">
        <v>1527</v>
      </c>
      <c r="U2075" s="39" t="s">
        <v>1884</v>
      </c>
      <c r="V2075" s="69" t="s">
        <v>272</v>
      </c>
      <c r="W2075" s="89" t="s">
        <v>173</v>
      </c>
      <c r="X2075" s="106" t="s">
        <v>295</v>
      </c>
      <c r="Y2075" s="107" t="s">
        <v>12</v>
      </c>
      <c r="Z2075" s="67">
        <f>IF(База_КР_КК[[#This Row],[Таб.номер резервиста]]="-","-",IF(OR(База_КР_КК[[#This Row],[Уровень КК]]=2,База_КР_КК[[#This Row],[Уровень КК]]=3),IF(COUNTIFS($U$2:$U2075,$U2075,$F$2:$F2075,$F2075)=1,1,0),IF(COUNTIFS($U$2:$U2075,$U2075,$L$2:$L2075,$L2075)=1,1,0)))</f>
        <v>0</v>
      </c>
      <c r="AA20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5" s="106"/>
      <c r="AC2075" s="51"/>
      <c r="AD2075" s="106" t="s">
        <v>15</v>
      </c>
      <c r="AE2075" s="38" t="s">
        <v>343</v>
      </c>
    </row>
    <row r="2076" spans="1:31" ht="18" customHeight="1" x14ac:dyDescent="0.25">
      <c r="A20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6" s="79">
        <v>4</v>
      </c>
      <c r="C2076" s="23">
        <v>44425</v>
      </c>
      <c r="D2076" s="67">
        <f>IF(COUNTIF($G$2:$G2076,$G2076)=1,1,0)</f>
        <v>0</v>
      </c>
      <c r="E2076" s="67" t="str">
        <f>IFERROR(VLOOKUP(База_КР_КК[[#This Row],[ИД штатной должности (S)]],'уровень защищенности'!$B$7:$F$1095,5,0),"не защищена")</f>
        <v>высокий</v>
      </c>
      <c r="F2076" s="68">
        <v>500278</v>
      </c>
      <c r="G2076" s="74" t="s">
        <v>2619</v>
      </c>
      <c r="H2076" s="181">
        <f>INDEX('Списки данных'!$D$2:$D$1048576,MATCH(База_КР_КК[[#This Row],[Структурное подразделение]],'Списки данных'!$C$2:$C$1048576,0))</f>
        <v>13</v>
      </c>
      <c r="I2076" s="80" t="s">
        <v>173</v>
      </c>
      <c r="J2076" s="80" t="s">
        <v>212</v>
      </c>
      <c r="K2076" s="80" t="s">
        <v>213</v>
      </c>
      <c r="L2076" s="30" t="s">
        <v>192</v>
      </c>
      <c r="M2076" s="68">
        <v>7</v>
      </c>
      <c r="N2076" s="181" t="str">
        <f t="shared" si="33"/>
        <v>нет</v>
      </c>
      <c r="O2076" s="23"/>
      <c r="P2076" s="23"/>
      <c r="Q2076" s="106"/>
      <c r="R2076" s="37">
        <v>446</v>
      </c>
      <c r="S2076" s="38" t="s">
        <v>858</v>
      </c>
      <c r="T2076" s="37">
        <v>1528</v>
      </c>
      <c r="U2076" s="39" t="s">
        <v>1885</v>
      </c>
      <c r="V2076" s="69" t="s">
        <v>272</v>
      </c>
      <c r="W2076" s="89" t="s">
        <v>173</v>
      </c>
      <c r="X2076" s="106" t="s">
        <v>296</v>
      </c>
      <c r="Y2076" s="107" t="s">
        <v>12</v>
      </c>
      <c r="Z2076" s="67">
        <f>IF(База_КР_КК[[#This Row],[Таб.номер резервиста]]="-","-",IF(OR(База_КР_КК[[#This Row],[Уровень КК]]=2,База_КР_КК[[#This Row],[Уровень КК]]=3),IF(COUNTIFS($U$2:$U2076,$U2076,$F$2:$F2076,$F2076)=1,1,0),IF(COUNTIFS($U$2:$U2076,$U2076,$L$2:$L2076,$L2076)=1,1,0)))</f>
        <v>0</v>
      </c>
      <c r="AA20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6" s="106"/>
      <c r="AC2076" s="51"/>
      <c r="AD2076" s="106" t="s">
        <v>15</v>
      </c>
      <c r="AE2076" s="38" t="s">
        <v>343</v>
      </c>
    </row>
    <row r="2077" spans="1:31" ht="18" customHeight="1" x14ac:dyDescent="0.25">
      <c r="A20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7" s="79">
        <v>4</v>
      </c>
      <c r="C2077" s="23">
        <v>44425</v>
      </c>
      <c r="D2077" s="67">
        <f>IF(COUNTIF($G$2:$G2077,$G2077)=1,1,0)</f>
        <v>0</v>
      </c>
      <c r="E2077" s="67" t="str">
        <f>IFERROR(VLOOKUP(База_КР_КК[[#This Row],[ИД штатной должности (S)]],'уровень защищенности'!$B$7:$F$1095,5,0),"не защищена")</f>
        <v>высокий</v>
      </c>
      <c r="F2077" s="68">
        <v>500278</v>
      </c>
      <c r="G2077" s="74" t="s">
        <v>2619</v>
      </c>
      <c r="H2077" s="181">
        <f>INDEX('Списки данных'!$D$2:$D$1048576,MATCH(База_КР_КК[[#This Row],[Структурное подразделение]],'Списки данных'!$C$2:$C$1048576,0))</f>
        <v>13</v>
      </c>
      <c r="I2077" s="80" t="s">
        <v>173</v>
      </c>
      <c r="J2077" s="80" t="s">
        <v>212</v>
      </c>
      <c r="K2077" s="80" t="s">
        <v>213</v>
      </c>
      <c r="L2077" s="30" t="s">
        <v>192</v>
      </c>
      <c r="M2077" s="68">
        <v>7</v>
      </c>
      <c r="N2077" s="181" t="str">
        <f t="shared" si="33"/>
        <v>нет</v>
      </c>
      <c r="O2077" s="23"/>
      <c r="P2077" s="23"/>
      <c r="Q2077" s="106"/>
      <c r="R2077" s="37">
        <v>446</v>
      </c>
      <c r="S2077" s="38" t="s">
        <v>858</v>
      </c>
      <c r="T2077" s="37">
        <v>1529</v>
      </c>
      <c r="U2077" s="39" t="s">
        <v>1886</v>
      </c>
      <c r="V2077" s="69" t="s">
        <v>272</v>
      </c>
      <c r="W2077" s="89" t="s">
        <v>173</v>
      </c>
      <c r="X2077" s="106" t="s">
        <v>297</v>
      </c>
      <c r="Y2077" s="107" t="s">
        <v>12</v>
      </c>
      <c r="Z2077" s="67">
        <f>IF(База_КР_КК[[#This Row],[Таб.номер резервиста]]="-","-",IF(OR(База_КР_КК[[#This Row],[Уровень КК]]=2,База_КР_КК[[#This Row],[Уровень КК]]=3),IF(COUNTIFS($U$2:$U2077,$U2077,$F$2:$F2077,$F2077)=1,1,0),IF(COUNTIFS($U$2:$U2077,$U2077,$L$2:$L2077,$L2077)=1,1,0)))</f>
        <v>0</v>
      </c>
      <c r="AA20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7" s="106"/>
      <c r="AC2077" s="51"/>
      <c r="AD2077" s="106" t="s">
        <v>15</v>
      </c>
      <c r="AE2077" s="38" t="s">
        <v>343</v>
      </c>
    </row>
    <row r="2078" spans="1:31" ht="18" customHeight="1" x14ac:dyDescent="0.25">
      <c r="A20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8" s="79">
        <v>4</v>
      </c>
      <c r="C2078" s="23">
        <v>44425</v>
      </c>
      <c r="D2078" s="67">
        <f>IF(COUNTIF($G$2:$G2078,$G2078)=1,1,0)</f>
        <v>0</v>
      </c>
      <c r="E2078" s="67" t="str">
        <f>IFERROR(VLOOKUP(База_КР_КК[[#This Row],[ИД штатной должности (S)]],'уровень защищенности'!$B$7:$F$1095,5,0),"не защищена")</f>
        <v>высокий</v>
      </c>
      <c r="F2078" s="68">
        <v>500278</v>
      </c>
      <c r="G2078" s="74" t="s">
        <v>2619</v>
      </c>
      <c r="H2078" s="181">
        <f>INDEX('Списки данных'!$D$2:$D$1048576,MATCH(База_КР_КК[[#This Row],[Структурное подразделение]],'Списки данных'!$C$2:$C$1048576,0))</f>
        <v>13</v>
      </c>
      <c r="I2078" s="80" t="s">
        <v>173</v>
      </c>
      <c r="J2078" s="80" t="s">
        <v>212</v>
      </c>
      <c r="K2078" s="80" t="s">
        <v>213</v>
      </c>
      <c r="L2078" s="30" t="s">
        <v>192</v>
      </c>
      <c r="M2078" s="68">
        <v>7</v>
      </c>
      <c r="N2078" s="181" t="str">
        <f t="shared" si="33"/>
        <v>нет</v>
      </c>
      <c r="O2078" s="23"/>
      <c r="P2078" s="23"/>
      <c r="Q2078" s="106"/>
      <c r="R2078" s="37">
        <v>446</v>
      </c>
      <c r="S2078" s="38" t="s">
        <v>858</v>
      </c>
      <c r="T2078" s="37">
        <v>1530</v>
      </c>
      <c r="U2078" s="39" t="s">
        <v>1887</v>
      </c>
      <c r="V2078" s="69" t="s">
        <v>272</v>
      </c>
      <c r="W2078" s="89" t="s">
        <v>173</v>
      </c>
      <c r="X2078" s="106" t="s">
        <v>296</v>
      </c>
      <c r="Y2078" s="107" t="s">
        <v>12</v>
      </c>
      <c r="Z2078" s="67">
        <f>IF(База_КР_КК[[#This Row],[Таб.номер резервиста]]="-","-",IF(OR(База_КР_КК[[#This Row],[Уровень КК]]=2,База_КР_КК[[#This Row],[Уровень КК]]=3),IF(COUNTIFS($U$2:$U2078,$U2078,$F$2:$F2078,$F2078)=1,1,0),IF(COUNTIFS($U$2:$U2078,$U2078,$L$2:$L2078,$L2078)=1,1,0)))</f>
        <v>0</v>
      </c>
      <c r="AA20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8" s="106"/>
      <c r="AC2078" s="51"/>
      <c r="AD2078" s="106" t="s">
        <v>15</v>
      </c>
      <c r="AE2078" s="38" t="s">
        <v>343</v>
      </c>
    </row>
    <row r="2079" spans="1:31" ht="18" customHeight="1" x14ac:dyDescent="0.25">
      <c r="A20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79" s="79">
        <v>4</v>
      </c>
      <c r="C2079" s="23">
        <v>44425</v>
      </c>
      <c r="D2079" s="67">
        <f>IF(COUNTIF($G$2:$G2079,$G2079)=1,1,0)</f>
        <v>0</v>
      </c>
      <c r="E2079" s="67" t="str">
        <f>IFERROR(VLOOKUP(База_КР_КК[[#This Row],[ИД штатной должности (S)]],'уровень защищенности'!$B$7:$F$1095,5,0),"не защищена")</f>
        <v>высокий</v>
      </c>
      <c r="F2079" s="68">
        <v>500278</v>
      </c>
      <c r="G2079" s="74" t="s">
        <v>2619</v>
      </c>
      <c r="H2079" s="181">
        <f>INDEX('Списки данных'!$D$2:$D$1048576,MATCH(База_КР_КК[[#This Row],[Структурное подразделение]],'Списки данных'!$C$2:$C$1048576,0))</f>
        <v>13</v>
      </c>
      <c r="I2079" s="80" t="s">
        <v>173</v>
      </c>
      <c r="J2079" s="80" t="s">
        <v>212</v>
      </c>
      <c r="K2079" s="80" t="s">
        <v>213</v>
      </c>
      <c r="L2079" s="30" t="s">
        <v>192</v>
      </c>
      <c r="M2079" s="68">
        <v>7</v>
      </c>
      <c r="N2079" s="181" t="str">
        <f t="shared" si="33"/>
        <v>нет</v>
      </c>
      <c r="O2079" s="23"/>
      <c r="P2079" s="23"/>
      <c r="Q2079" s="106"/>
      <c r="R2079" s="37">
        <v>446</v>
      </c>
      <c r="S2079" s="38" t="s">
        <v>858</v>
      </c>
      <c r="T2079" s="37">
        <v>1531</v>
      </c>
      <c r="U2079" s="39" t="s">
        <v>1575</v>
      </c>
      <c r="V2079" s="69" t="s">
        <v>272</v>
      </c>
      <c r="W2079" s="89" t="s">
        <v>173</v>
      </c>
      <c r="X2079" s="106" t="s">
        <v>297</v>
      </c>
      <c r="Y2079" s="107" t="s">
        <v>12</v>
      </c>
      <c r="Z2079" s="67">
        <f>IF(База_КР_КК[[#This Row],[Таб.номер резервиста]]="-","-",IF(OR(База_КР_КК[[#This Row],[Уровень КК]]=2,База_КР_КК[[#This Row],[Уровень КК]]=3),IF(COUNTIFS($U$2:$U2079,$U2079,$F$2:$F2079,$F2079)=1,1,0),IF(COUNTIFS($U$2:$U2079,$U2079,$L$2:$L2079,$L2079)=1,1,0)))</f>
        <v>0</v>
      </c>
      <c r="AA20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79" s="106"/>
      <c r="AC2079" s="51"/>
      <c r="AD2079" s="106" t="s">
        <v>15</v>
      </c>
      <c r="AE2079" s="38" t="s">
        <v>343</v>
      </c>
    </row>
    <row r="2080" spans="1:31" ht="18" customHeight="1" x14ac:dyDescent="0.25">
      <c r="A20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0" s="79">
        <v>4</v>
      </c>
      <c r="C2080" s="23">
        <v>44890</v>
      </c>
      <c r="D2080" s="67">
        <f>IF(COUNTIF($G$2:$G2080,$G2080)=1,1,0)</f>
        <v>0</v>
      </c>
      <c r="E2080" s="67" t="str">
        <f>IFERROR(VLOOKUP(База_КР_КК[[#This Row],[ИД штатной должности (S)]],'уровень защищенности'!$B$7:$F$1095,5,0),"не защищена")</f>
        <v>высокий</v>
      </c>
      <c r="F2080" s="68">
        <v>500278</v>
      </c>
      <c r="G2080" s="74" t="s">
        <v>2619</v>
      </c>
      <c r="H2080" s="181">
        <f>INDEX('Списки данных'!$D$2:$D$1048576,MATCH(База_КР_КК[[#This Row],[Структурное подразделение]],'Списки данных'!$C$2:$C$1048576,0))</f>
        <v>13</v>
      </c>
      <c r="I2080" s="80" t="s">
        <v>173</v>
      </c>
      <c r="J2080" s="80" t="s">
        <v>212</v>
      </c>
      <c r="K2080" s="80" t="s">
        <v>213</v>
      </c>
      <c r="L2080" s="30" t="s">
        <v>192</v>
      </c>
      <c r="M2080" s="68">
        <v>7</v>
      </c>
      <c r="N2080" s="181" t="str">
        <f t="shared" si="33"/>
        <v>нет</v>
      </c>
      <c r="O2080" s="23"/>
      <c r="P2080" s="23"/>
      <c r="Q2080" s="106"/>
      <c r="R2080" s="37">
        <v>446</v>
      </c>
      <c r="S2080" s="38" t="s">
        <v>858</v>
      </c>
      <c r="T2080" s="37">
        <v>1532</v>
      </c>
      <c r="U2080" s="39" t="s">
        <v>1888</v>
      </c>
      <c r="V2080" s="69" t="s">
        <v>272</v>
      </c>
      <c r="W2080" s="89" t="s">
        <v>173</v>
      </c>
      <c r="X2080" s="106" t="s">
        <v>296</v>
      </c>
      <c r="Y2080" s="107" t="s">
        <v>12</v>
      </c>
      <c r="Z2080" s="67">
        <f>IF(База_КР_КК[[#This Row],[Таб.номер резервиста]]="-","-",IF(OR(База_КР_КК[[#This Row],[Уровень КК]]=2,База_КР_КК[[#This Row],[Уровень КК]]=3),IF(COUNTIFS($U$2:$U2080,$U2080,$F$2:$F2080,$F2080)=1,1,0),IF(COUNTIFS($U$2:$U2080,$U2080,$L$2:$L2080,$L2080)=1,1,0)))</f>
        <v>0</v>
      </c>
      <c r="AA20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0" s="106"/>
      <c r="AC2080" s="51"/>
      <c r="AD2080" s="106" t="s">
        <v>15</v>
      </c>
      <c r="AE2080" s="38" t="s">
        <v>344</v>
      </c>
    </row>
    <row r="2081" spans="1:31" ht="18" customHeight="1" x14ac:dyDescent="0.25">
      <c r="A20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1" s="79">
        <v>4</v>
      </c>
      <c r="C2081" s="23">
        <v>44890</v>
      </c>
      <c r="D2081" s="67">
        <f>IF(COUNTIF($G$2:$G2081,$G2081)=1,1,0)</f>
        <v>0</v>
      </c>
      <c r="E2081" s="67" t="str">
        <f>IFERROR(VLOOKUP(База_КР_КК[[#This Row],[ИД штатной должности (S)]],'уровень защищенности'!$B$7:$F$1095,5,0),"не защищена")</f>
        <v>высокий</v>
      </c>
      <c r="F2081" s="68">
        <v>500278</v>
      </c>
      <c r="G2081" s="74" t="s">
        <v>2619</v>
      </c>
      <c r="H2081" s="181">
        <f>INDEX('Списки данных'!$D$2:$D$1048576,MATCH(База_КР_КК[[#This Row],[Структурное подразделение]],'Списки данных'!$C$2:$C$1048576,0))</f>
        <v>13</v>
      </c>
      <c r="I2081" s="80" t="s">
        <v>173</v>
      </c>
      <c r="J2081" s="80" t="s">
        <v>212</v>
      </c>
      <c r="K2081" s="80" t="s">
        <v>213</v>
      </c>
      <c r="L2081" s="30" t="s">
        <v>192</v>
      </c>
      <c r="M2081" s="68">
        <v>7</v>
      </c>
      <c r="N2081" s="181" t="str">
        <f t="shared" si="33"/>
        <v>нет</v>
      </c>
      <c r="O2081" s="23"/>
      <c r="P2081" s="23"/>
      <c r="Q2081" s="106"/>
      <c r="R2081" s="37">
        <v>446</v>
      </c>
      <c r="S2081" s="38" t="s">
        <v>858</v>
      </c>
      <c r="T2081" s="37">
        <v>1533</v>
      </c>
      <c r="U2081" s="39" t="s">
        <v>1889</v>
      </c>
      <c r="V2081" s="69" t="s">
        <v>272</v>
      </c>
      <c r="W2081" s="89" t="s">
        <v>173</v>
      </c>
      <c r="X2081" s="106" t="s">
        <v>296</v>
      </c>
      <c r="Y2081" s="107" t="s">
        <v>12</v>
      </c>
      <c r="Z2081" s="67">
        <f>IF(База_КР_КК[[#This Row],[Таб.номер резервиста]]="-","-",IF(OR(База_КР_КК[[#This Row],[Уровень КК]]=2,База_КР_КК[[#This Row],[Уровень КК]]=3),IF(COUNTIFS($U$2:$U2081,$U2081,$F$2:$F2081,$F2081)=1,1,0),IF(COUNTIFS($U$2:$U2081,$U2081,$L$2:$L2081,$L2081)=1,1,0)))</f>
        <v>0</v>
      </c>
      <c r="AA20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1" s="106"/>
      <c r="AC2081" s="51"/>
      <c r="AD2081" s="106" t="s">
        <v>15</v>
      </c>
      <c r="AE2081" s="38" t="s">
        <v>344</v>
      </c>
    </row>
    <row r="2082" spans="1:31" ht="18" customHeight="1" x14ac:dyDescent="0.25">
      <c r="A20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2" s="79">
        <v>4</v>
      </c>
      <c r="C2082" s="23">
        <v>44890</v>
      </c>
      <c r="D2082" s="67">
        <f>IF(COUNTIF($G$2:$G2082,$G2082)=1,1,0)</f>
        <v>0</v>
      </c>
      <c r="E2082" s="67" t="str">
        <f>IFERROR(VLOOKUP(База_КР_КК[[#This Row],[ИД штатной должности (S)]],'уровень защищенности'!$B$7:$F$1095,5,0),"не защищена")</f>
        <v>высокий</v>
      </c>
      <c r="F2082" s="68">
        <v>500278</v>
      </c>
      <c r="G2082" s="74" t="s">
        <v>2619</v>
      </c>
      <c r="H2082" s="181">
        <f>INDEX('Списки данных'!$D$2:$D$1048576,MATCH(База_КР_КК[[#This Row],[Структурное подразделение]],'Списки данных'!$C$2:$C$1048576,0))</f>
        <v>13</v>
      </c>
      <c r="I2082" s="80" t="s">
        <v>173</v>
      </c>
      <c r="J2082" s="80" t="s">
        <v>212</v>
      </c>
      <c r="K2082" s="80" t="s">
        <v>213</v>
      </c>
      <c r="L2082" s="30" t="s">
        <v>192</v>
      </c>
      <c r="M2082" s="68">
        <v>7</v>
      </c>
      <c r="N2082" s="181" t="str">
        <f t="shared" si="33"/>
        <v>нет</v>
      </c>
      <c r="O2082" s="23"/>
      <c r="P2082" s="23"/>
      <c r="Q2082" s="106"/>
      <c r="R2082" s="37">
        <v>446</v>
      </c>
      <c r="S2082" s="38" t="s">
        <v>858</v>
      </c>
      <c r="T2082" s="37">
        <v>1534</v>
      </c>
      <c r="U2082" s="39" t="s">
        <v>1890</v>
      </c>
      <c r="V2082" s="69" t="s">
        <v>272</v>
      </c>
      <c r="W2082" s="89" t="s">
        <v>173</v>
      </c>
      <c r="X2082" s="106" t="s">
        <v>296</v>
      </c>
      <c r="Y2082" s="107" t="s">
        <v>12</v>
      </c>
      <c r="Z2082" s="67">
        <f>IF(База_КР_КК[[#This Row],[Таб.номер резервиста]]="-","-",IF(OR(База_КР_КК[[#This Row],[Уровень КК]]=2,База_КР_КК[[#This Row],[Уровень КК]]=3),IF(COUNTIFS($U$2:$U2082,$U2082,$F$2:$F2082,$F2082)=1,1,0),IF(COUNTIFS($U$2:$U2082,$U2082,$L$2:$L2082,$L2082)=1,1,0)))</f>
        <v>0</v>
      </c>
      <c r="AA20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2" s="106"/>
      <c r="AC2082" s="51"/>
      <c r="AD2082" s="106" t="s">
        <v>15</v>
      </c>
      <c r="AE2082" s="38" t="s">
        <v>344</v>
      </c>
    </row>
    <row r="2083" spans="1:31" ht="18" customHeight="1" x14ac:dyDescent="0.25">
      <c r="A20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3" s="79">
        <v>4</v>
      </c>
      <c r="C2083" s="23">
        <v>44890</v>
      </c>
      <c r="D2083" s="67">
        <f>IF(COUNTIF($G$2:$G2083,$G2083)=1,1,0)</f>
        <v>0</v>
      </c>
      <c r="E2083" s="67" t="str">
        <f>IFERROR(VLOOKUP(База_КР_КК[[#This Row],[ИД штатной должности (S)]],'уровень защищенности'!$B$7:$F$1095,5,0),"не защищена")</f>
        <v>высокий</v>
      </c>
      <c r="F2083" s="68">
        <v>500278</v>
      </c>
      <c r="G2083" s="74" t="s">
        <v>2619</v>
      </c>
      <c r="H2083" s="181">
        <f>INDEX('Списки данных'!$D$2:$D$1048576,MATCH(База_КР_КК[[#This Row],[Структурное подразделение]],'Списки данных'!$C$2:$C$1048576,0))</f>
        <v>13</v>
      </c>
      <c r="I2083" s="80" t="s">
        <v>173</v>
      </c>
      <c r="J2083" s="80" t="s">
        <v>212</v>
      </c>
      <c r="K2083" s="80" t="s">
        <v>213</v>
      </c>
      <c r="L2083" s="30" t="s">
        <v>192</v>
      </c>
      <c r="M2083" s="68">
        <v>7</v>
      </c>
      <c r="N2083" s="181" t="str">
        <f t="shared" si="33"/>
        <v>нет</v>
      </c>
      <c r="O2083" s="23"/>
      <c r="P2083" s="23"/>
      <c r="Q2083" s="106"/>
      <c r="R2083" s="37">
        <v>446</v>
      </c>
      <c r="S2083" s="38" t="s">
        <v>858</v>
      </c>
      <c r="T2083" s="37">
        <v>1535</v>
      </c>
      <c r="U2083" s="39" t="s">
        <v>1634</v>
      </c>
      <c r="V2083" s="69" t="s">
        <v>272</v>
      </c>
      <c r="W2083" s="89" t="s">
        <v>173</v>
      </c>
      <c r="X2083" s="106" t="s">
        <v>296</v>
      </c>
      <c r="Y2083" s="107" t="s">
        <v>12</v>
      </c>
      <c r="Z2083" s="67">
        <f>IF(База_КР_КК[[#This Row],[Таб.номер резервиста]]="-","-",IF(OR(База_КР_КК[[#This Row],[Уровень КК]]=2,База_КР_КК[[#This Row],[Уровень КК]]=3),IF(COUNTIFS($U$2:$U2083,$U2083,$F$2:$F2083,$F2083)=1,1,0),IF(COUNTIFS($U$2:$U2083,$U2083,$L$2:$L2083,$L2083)=1,1,0)))</f>
        <v>0</v>
      </c>
      <c r="AA20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3" s="106"/>
      <c r="AC2083" s="51"/>
      <c r="AD2083" s="106" t="s">
        <v>15</v>
      </c>
      <c r="AE2083" s="38" t="s">
        <v>344</v>
      </c>
    </row>
    <row r="2084" spans="1:31" ht="18" customHeight="1" x14ac:dyDescent="0.25">
      <c r="A20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4" s="79">
        <v>4</v>
      </c>
      <c r="C2084" s="23">
        <v>44890</v>
      </c>
      <c r="D2084" s="67">
        <f>IF(COUNTIF($G$2:$G2084,$G2084)=1,1,0)</f>
        <v>0</v>
      </c>
      <c r="E2084" s="67" t="str">
        <f>IFERROR(VLOOKUP(База_КР_КК[[#This Row],[ИД штатной должности (S)]],'уровень защищенности'!$B$7:$F$1095,5,0),"не защищена")</f>
        <v>высокий</v>
      </c>
      <c r="F2084" s="68">
        <v>500278</v>
      </c>
      <c r="G2084" s="74" t="s">
        <v>2619</v>
      </c>
      <c r="H2084" s="181">
        <f>INDEX('Списки данных'!$D$2:$D$1048576,MATCH(База_КР_КК[[#This Row],[Структурное подразделение]],'Списки данных'!$C$2:$C$1048576,0))</f>
        <v>13</v>
      </c>
      <c r="I2084" s="80" t="s">
        <v>173</v>
      </c>
      <c r="J2084" s="80" t="s">
        <v>212</v>
      </c>
      <c r="K2084" s="80" t="s">
        <v>213</v>
      </c>
      <c r="L2084" s="30" t="s">
        <v>192</v>
      </c>
      <c r="M2084" s="68">
        <v>7</v>
      </c>
      <c r="N2084" s="181" t="str">
        <f t="shared" si="33"/>
        <v>нет</v>
      </c>
      <c r="O2084" s="23"/>
      <c r="P2084" s="23"/>
      <c r="Q2084" s="106"/>
      <c r="R2084" s="37">
        <v>446</v>
      </c>
      <c r="S2084" s="38" t="s">
        <v>858</v>
      </c>
      <c r="T2084" s="37">
        <v>1536</v>
      </c>
      <c r="U2084" s="39" t="s">
        <v>1891</v>
      </c>
      <c r="V2084" s="69" t="s">
        <v>272</v>
      </c>
      <c r="W2084" s="89" t="s">
        <v>173</v>
      </c>
      <c r="X2084" s="106" t="s">
        <v>296</v>
      </c>
      <c r="Y2084" s="107" t="s">
        <v>12</v>
      </c>
      <c r="Z2084" s="67">
        <f>IF(База_КР_КК[[#This Row],[Таб.номер резервиста]]="-","-",IF(OR(База_КР_КК[[#This Row],[Уровень КК]]=2,База_КР_КК[[#This Row],[Уровень КК]]=3),IF(COUNTIFS($U$2:$U2084,$U2084,$F$2:$F2084,$F2084)=1,1,0),IF(COUNTIFS($U$2:$U2084,$U2084,$L$2:$L2084,$L2084)=1,1,0)))</f>
        <v>0</v>
      </c>
      <c r="AA20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4" s="106"/>
      <c r="AC2084" s="51"/>
      <c r="AD2084" s="106" t="s">
        <v>15</v>
      </c>
      <c r="AE2084" s="38" t="s">
        <v>344</v>
      </c>
    </row>
    <row r="2085" spans="1:31" ht="18" customHeight="1" x14ac:dyDescent="0.25">
      <c r="A20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5" s="79">
        <v>4</v>
      </c>
      <c r="C2085" s="23">
        <v>44425</v>
      </c>
      <c r="D2085" s="67">
        <f>IF(COUNTIF($G$2:$G2085,$G2085)=1,1,0)</f>
        <v>0</v>
      </c>
      <c r="E2085" s="67" t="str">
        <f>IFERROR(VLOOKUP(База_КР_КК[[#This Row],[ИД штатной должности (S)]],'уровень защищенности'!$B$7:$F$1095,5,0),"не защищена")</f>
        <v>высокий</v>
      </c>
      <c r="F2085" s="68">
        <v>500278</v>
      </c>
      <c r="G2085" s="74" t="s">
        <v>2619</v>
      </c>
      <c r="H2085" s="181">
        <f>INDEX('Списки данных'!$D$2:$D$1048576,MATCH(База_КР_КК[[#This Row],[Структурное подразделение]],'Списки данных'!$C$2:$C$1048576,0))</f>
        <v>13</v>
      </c>
      <c r="I2085" s="80" t="s">
        <v>173</v>
      </c>
      <c r="J2085" s="80" t="s">
        <v>212</v>
      </c>
      <c r="K2085" s="80" t="s">
        <v>213</v>
      </c>
      <c r="L2085" s="30" t="s">
        <v>192</v>
      </c>
      <c r="M2085" s="68">
        <v>7</v>
      </c>
      <c r="N2085" s="181" t="str">
        <f t="shared" si="33"/>
        <v>нет</v>
      </c>
      <c r="O2085" s="23"/>
      <c r="P2085" s="23"/>
      <c r="Q2085" s="106"/>
      <c r="R2085" s="37">
        <v>446</v>
      </c>
      <c r="S2085" s="38" t="s">
        <v>858</v>
      </c>
      <c r="T2085" s="37">
        <v>1537</v>
      </c>
      <c r="U2085" s="39" t="s">
        <v>1892</v>
      </c>
      <c r="V2085" s="69" t="s">
        <v>272</v>
      </c>
      <c r="W2085" s="89" t="s">
        <v>173</v>
      </c>
      <c r="X2085" s="106" t="s">
        <v>295</v>
      </c>
      <c r="Y2085" s="107" t="s">
        <v>18</v>
      </c>
      <c r="Z2085" s="67">
        <f>IF(База_КР_КК[[#This Row],[Таб.номер резервиста]]="-","-",IF(OR(База_КР_КК[[#This Row],[Уровень КК]]=2,База_КР_КК[[#This Row],[Уровень КК]]=3),IF(COUNTIFS($U$2:$U2085,$U2085,$F$2:$F2085,$F2085)=1,1,0),IF(COUNTIFS($U$2:$U2085,$U2085,$L$2:$L2085,$L2085)=1,1,0)))</f>
        <v>0</v>
      </c>
      <c r="AA20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5" s="106" t="s">
        <v>38</v>
      </c>
      <c r="AC2085" s="51">
        <v>44890</v>
      </c>
      <c r="AD2085" s="106" t="s">
        <v>31</v>
      </c>
      <c r="AE2085" s="38" t="s">
        <v>344</v>
      </c>
    </row>
    <row r="2086" spans="1:31" ht="18" customHeight="1" x14ac:dyDescent="0.25">
      <c r="A20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6" s="79">
        <v>4</v>
      </c>
      <c r="C2086" s="23">
        <v>44425</v>
      </c>
      <c r="D2086" s="67">
        <f>IF(COUNTIF($G$2:$G2086,$G2086)=1,1,0)</f>
        <v>0</v>
      </c>
      <c r="E2086" s="67" t="str">
        <f>IFERROR(VLOOKUP(База_КР_КК[[#This Row],[ИД штатной должности (S)]],'уровень защищенности'!$B$7:$F$1095,5,0),"не защищена")</f>
        <v>высокий</v>
      </c>
      <c r="F2086" s="68">
        <v>500278</v>
      </c>
      <c r="G2086" s="74" t="s">
        <v>2619</v>
      </c>
      <c r="H2086" s="181">
        <f>INDEX('Списки данных'!$D$2:$D$1048576,MATCH(База_КР_КК[[#This Row],[Структурное подразделение]],'Списки данных'!$C$2:$C$1048576,0))</f>
        <v>13</v>
      </c>
      <c r="I2086" s="80" t="s">
        <v>173</v>
      </c>
      <c r="J2086" s="80" t="s">
        <v>212</v>
      </c>
      <c r="K2086" s="80" t="s">
        <v>213</v>
      </c>
      <c r="L2086" s="30" t="s">
        <v>192</v>
      </c>
      <c r="M2086" s="68">
        <v>7</v>
      </c>
      <c r="N2086" s="181" t="str">
        <f t="shared" si="33"/>
        <v>нет</v>
      </c>
      <c r="O2086" s="23"/>
      <c r="P2086" s="23"/>
      <c r="Q2086" s="106"/>
      <c r="R2086" s="37">
        <v>446</v>
      </c>
      <c r="S2086" s="38" t="s">
        <v>858</v>
      </c>
      <c r="T2086" s="37">
        <v>1538</v>
      </c>
      <c r="U2086" s="39" t="s">
        <v>1893</v>
      </c>
      <c r="V2086" s="69" t="s">
        <v>272</v>
      </c>
      <c r="W2086" s="89" t="s">
        <v>173</v>
      </c>
      <c r="X2086" s="106" t="s">
        <v>297</v>
      </c>
      <c r="Y2086" s="107" t="s">
        <v>18</v>
      </c>
      <c r="Z2086" s="67">
        <f>IF(База_КР_КК[[#This Row],[Таб.номер резервиста]]="-","-",IF(OR(База_КР_КК[[#This Row],[Уровень КК]]=2,База_КР_КК[[#This Row],[Уровень КК]]=3),IF(COUNTIFS($U$2:$U2086,$U2086,$F$2:$F2086,$F2086)=1,1,0),IF(COUNTIFS($U$2:$U2086,$U2086,$L$2:$L2086,$L2086)=1,1,0)))</f>
        <v>0</v>
      </c>
      <c r="AA20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6" s="106" t="s">
        <v>20</v>
      </c>
      <c r="AC2086" s="51">
        <v>44552</v>
      </c>
      <c r="AD2086" s="106" t="s">
        <v>15</v>
      </c>
      <c r="AE2086" s="38" t="s">
        <v>343</v>
      </c>
    </row>
    <row r="2087" spans="1:31" ht="18" customHeight="1" x14ac:dyDescent="0.25">
      <c r="A20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7" s="79">
        <v>4</v>
      </c>
      <c r="C2087" s="23">
        <v>44425</v>
      </c>
      <c r="D2087" s="67">
        <f>IF(COUNTIF($G$2:$G2087,$G2087)=1,1,0)</f>
        <v>1</v>
      </c>
      <c r="E2087" s="67" t="str">
        <f>IFERROR(VLOOKUP(База_КР_КК[[#This Row],[ИД штатной должности (S)]],'уровень защищенности'!$B$7:$F$1095,5,0),"не защищена")</f>
        <v>высокий</v>
      </c>
      <c r="F2087" s="68">
        <v>500279</v>
      </c>
      <c r="G2087" s="74" t="s">
        <v>2620</v>
      </c>
      <c r="H2087" s="181">
        <f>INDEX('Списки данных'!$D$2:$D$1048576,MATCH(База_КР_КК[[#This Row],[Структурное подразделение]],'Списки данных'!$C$2:$C$1048576,0))</f>
        <v>13</v>
      </c>
      <c r="I2087" s="80" t="s">
        <v>173</v>
      </c>
      <c r="J2087" s="80" t="s">
        <v>212</v>
      </c>
      <c r="K2087" s="80" t="s">
        <v>213</v>
      </c>
      <c r="L2087" s="30" t="s">
        <v>191</v>
      </c>
      <c r="M2087" s="68">
        <v>7</v>
      </c>
      <c r="N2087" s="181" t="str">
        <f t="shared" si="33"/>
        <v>нет</v>
      </c>
      <c r="O2087" s="23"/>
      <c r="P2087" s="23"/>
      <c r="Q2087" s="106"/>
      <c r="R2087" s="37">
        <v>447</v>
      </c>
      <c r="S2087" s="38" t="s">
        <v>859</v>
      </c>
      <c r="T2087" s="37">
        <v>1527</v>
      </c>
      <c r="U2087" s="39" t="s">
        <v>1884</v>
      </c>
      <c r="V2087" s="69" t="s">
        <v>272</v>
      </c>
      <c r="W2087" s="89" t="s">
        <v>173</v>
      </c>
      <c r="X2087" s="106" t="s">
        <v>295</v>
      </c>
      <c r="Y2087" s="107" t="s">
        <v>12</v>
      </c>
      <c r="Z2087" s="67">
        <f>IF(База_КР_КК[[#This Row],[Таб.номер резервиста]]="-","-",IF(OR(База_КР_КК[[#This Row],[Уровень КК]]=2,База_КР_КК[[#This Row],[Уровень КК]]=3),IF(COUNTIFS($U$2:$U2087,$U2087,$F$2:$F2087,$F2087)=1,1,0),IF(COUNTIFS($U$2:$U2087,$U2087,$L$2:$L2087,$L2087)=1,1,0)))</f>
        <v>0</v>
      </c>
      <c r="AA20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7" s="106"/>
      <c r="AC2087" s="51"/>
      <c r="AD2087" s="106" t="s">
        <v>15</v>
      </c>
      <c r="AE2087" s="38" t="s">
        <v>343</v>
      </c>
    </row>
    <row r="2088" spans="1:31" ht="18" customHeight="1" x14ac:dyDescent="0.25">
      <c r="A20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8" s="79">
        <v>4</v>
      </c>
      <c r="C2088" s="23">
        <v>44425</v>
      </c>
      <c r="D2088" s="67">
        <f>IF(COUNTIF($G$2:$G2088,$G2088)=1,1,0)</f>
        <v>0</v>
      </c>
      <c r="E2088" s="67" t="str">
        <f>IFERROR(VLOOKUP(База_КР_КК[[#This Row],[ИД штатной должности (S)]],'уровень защищенности'!$B$7:$F$1095,5,0),"не защищена")</f>
        <v>высокий</v>
      </c>
      <c r="F2088" s="68">
        <v>500279</v>
      </c>
      <c r="G2088" s="74" t="s">
        <v>2620</v>
      </c>
      <c r="H2088" s="181">
        <f>INDEX('Списки данных'!$D$2:$D$1048576,MATCH(База_КР_КК[[#This Row],[Структурное подразделение]],'Списки данных'!$C$2:$C$1048576,0))</f>
        <v>13</v>
      </c>
      <c r="I2088" s="80" t="s">
        <v>173</v>
      </c>
      <c r="J2088" s="80" t="s">
        <v>212</v>
      </c>
      <c r="K2088" s="80" t="s">
        <v>213</v>
      </c>
      <c r="L2088" s="30" t="s">
        <v>191</v>
      </c>
      <c r="M2088" s="68">
        <v>7</v>
      </c>
      <c r="N2088" s="181" t="str">
        <f t="shared" si="33"/>
        <v>нет</v>
      </c>
      <c r="O2088" s="23"/>
      <c r="P2088" s="23"/>
      <c r="Q2088" s="106"/>
      <c r="R2088" s="37">
        <v>447</v>
      </c>
      <c r="S2088" s="38" t="s">
        <v>859</v>
      </c>
      <c r="T2088" s="37">
        <v>1528</v>
      </c>
      <c r="U2088" s="39" t="s">
        <v>1885</v>
      </c>
      <c r="V2088" s="69" t="s">
        <v>272</v>
      </c>
      <c r="W2088" s="89" t="s">
        <v>173</v>
      </c>
      <c r="X2088" s="106" t="s">
        <v>296</v>
      </c>
      <c r="Y2088" s="107" t="s">
        <v>12</v>
      </c>
      <c r="Z2088" s="67">
        <f>IF(База_КР_КК[[#This Row],[Таб.номер резервиста]]="-","-",IF(OR(База_КР_КК[[#This Row],[Уровень КК]]=2,База_КР_КК[[#This Row],[Уровень КК]]=3),IF(COUNTIFS($U$2:$U2088,$U2088,$F$2:$F2088,$F2088)=1,1,0),IF(COUNTIFS($U$2:$U2088,$U2088,$L$2:$L2088,$L2088)=1,1,0)))</f>
        <v>0</v>
      </c>
      <c r="AA20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8" s="106"/>
      <c r="AC2088" s="51"/>
      <c r="AD2088" s="106" t="s">
        <v>15</v>
      </c>
      <c r="AE2088" s="38" t="s">
        <v>343</v>
      </c>
    </row>
    <row r="2089" spans="1:31" ht="18" customHeight="1" x14ac:dyDescent="0.25">
      <c r="A20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89" s="79">
        <v>4</v>
      </c>
      <c r="C2089" s="23">
        <v>44425</v>
      </c>
      <c r="D2089" s="67">
        <f>IF(COUNTIF($G$2:$G2089,$G2089)=1,1,0)</f>
        <v>0</v>
      </c>
      <c r="E2089" s="67" t="str">
        <f>IFERROR(VLOOKUP(База_КР_КК[[#This Row],[ИД штатной должности (S)]],'уровень защищенности'!$B$7:$F$1095,5,0),"не защищена")</f>
        <v>высокий</v>
      </c>
      <c r="F2089" s="68">
        <v>500279</v>
      </c>
      <c r="G2089" s="74" t="s">
        <v>2620</v>
      </c>
      <c r="H2089" s="181">
        <f>INDEX('Списки данных'!$D$2:$D$1048576,MATCH(База_КР_КК[[#This Row],[Структурное подразделение]],'Списки данных'!$C$2:$C$1048576,0))</f>
        <v>13</v>
      </c>
      <c r="I2089" s="80" t="s">
        <v>173</v>
      </c>
      <c r="J2089" s="80" t="s">
        <v>212</v>
      </c>
      <c r="K2089" s="80" t="s">
        <v>213</v>
      </c>
      <c r="L2089" s="30" t="s">
        <v>191</v>
      </c>
      <c r="M2089" s="68">
        <v>7</v>
      </c>
      <c r="N2089" s="181" t="str">
        <f t="shared" si="33"/>
        <v>нет</v>
      </c>
      <c r="O2089" s="23"/>
      <c r="P2089" s="23"/>
      <c r="Q2089" s="106"/>
      <c r="R2089" s="37">
        <v>447</v>
      </c>
      <c r="S2089" s="38" t="s">
        <v>859</v>
      </c>
      <c r="T2089" s="37">
        <v>1529</v>
      </c>
      <c r="U2089" s="39" t="s">
        <v>1886</v>
      </c>
      <c r="V2089" s="69" t="s">
        <v>272</v>
      </c>
      <c r="W2089" s="89" t="s">
        <v>173</v>
      </c>
      <c r="X2089" s="106" t="s">
        <v>297</v>
      </c>
      <c r="Y2089" s="107" t="s">
        <v>12</v>
      </c>
      <c r="Z2089" s="67">
        <f>IF(База_КР_КК[[#This Row],[Таб.номер резервиста]]="-","-",IF(OR(База_КР_КК[[#This Row],[Уровень КК]]=2,База_КР_КК[[#This Row],[Уровень КК]]=3),IF(COUNTIFS($U$2:$U2089,$U2089,$F$2:$F2089,$F2089)=1,1,0),IF(COUNTIFS($U$2:$U2089,$U2089,$L$2:$L2089,$L2089)=1,1,0)))</f>
        <v>0</v>
      </c>
      <c r="AA20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89" s="106"/>
      <c r="AC2089" s="51"/>
      <c r="AD2089" s="106" t="s">
        <v>15</v>
      </c>
      <c r="AE2089" s="38" t="s">
        <v>343</v>
      </c>
    </row>
    <row r="2090" spans="1:31" ht="18" customHeight="1" x14ac:dyDescent="0.25">
      <c r="A20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0" s="79">
        <v>4</v>
      </c>
      <c r="C2090" s="23">
        <v>44425</v>
      </c>
      <c r="D2090" s="67">
        <f>IF(COUNTIF($G$2:$G2090,$G2090)=1,1,0)</f>
        <v>0</v>
      </c>
      <c r="E2090" s="67" t="str">
        <f>IFERROR(VLOOKUP(База_КР_КК[[#This Row],[ИД штатной должности (S)]],'уровень защищенности'!$B$7:$F$1095,5,0),"не защищена")</f>
        <v>высокий</v>
      </c>
      <c r="F2090" s="68">
        <v>500279</v>
      </c>
      <c r="G2090" s="74" t="s">
        <v>2620</v>
      </c>
      <c r="H2090" s="181">
        <f>INDEX('Списки данных'!$D$2:$D$1048576,MATCH(База_КР_КК[[#This Row],[Структурное подразделение]],'Списки данных'!$C$2:$C$1048576,0))</f>
        <v>13</v>
      </c>
      <c r="I2090" s="80" t="s">
        <v>173</v>
      </c>
      <c r="J2090" s="80" t="s">
        <v>212</v>
      </c>
      <c r="K2090" s="80" t="s">
        <v>213</v>
      </c>
      <c r="L2090" s="30" t="s">
        <v>191</v>
      </c>
      <c r="M2090" s="68">
        <v>7</v>
      </c>
      <c r="N2090" s="181" t="str">
        <f t="shared" si="33"/>
        <v>нет</v>
      </c>
      <c r="O2090" s="23"/>
      <c r="P2090" s="23"/>
      <c r="Q2090" s="106"/>
      <c r="R2090" s="37">
        <v>447</v>
      </c>
      <c r="S2090" s="38" t="s">
        <v>859</v>
      </c>
      <c r="T2090" s="37">
        <v>1530</v>
      </c>
      <c r="U2090" s="39" t="s">
        <v>1887</v>
      </c>
      <c r="V2090" s="69" t="s">
        <v>272</v>
      </c>
      <c r="W2090" s="89" t="s">
        <v>173</v>
      </c>
      <c r="X2090" s="106" t="s">
        <v>296</v>
      </c>
      <c r="Y2090" s="107" t="s">
        <v>12</v>
      </c>
      <c r="Z2090" s="67">
        <f>IF(База_КР_КК[[#This Row],[Таб.номер резервиста]]="-","-",IF(OR(База_КР_КК[[#This Row],[Уровень КК]]=2,База_КР_КК[[#This Row],[Уровень КК]]=3),IF(COUNTIFS($U$2:$U2090,$U2090,$F$2:$F2090,$F2090)=1,1,0),IF(COUNTIFS($U$2:$U2090,$U2090,$L$2:$L2090,$L2090)=1,1,0)))</f>
        <v>0</v>
      </c>
      <c r="AA20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0" s="106"/>
      <c r="AC2090" s="51"/>
      <c r="AD2090" s="106" t="s">
        <v>15</v>
      </c>
      <c r="AE2090" s="38" t="s">
        <v>343</v>
      </c>
    </row>
    <row r="2091" spans="1:31" ht="18" customHeight="1" x14ac:dyDescent="0.25">
      <c r="A20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1" s="79">
        <v>4</v>
      </c>
      <c r="C2091" s="23">
        <v>44425</v>
      </c>
      <c r="D2091" s="67">
        <f>IF(COUNTIF($G$2:$G2091,$G2091)=1,1,0)</f>
        <v>0</v>
      </c>
      <c r="E2091" s="67" t="str">
        <f>IFERROR(VLOOKUP(База_КР_КК[[#This Row],[ИД штатной должности (S)]],'уровень защищенности'!$B$7:$F$1095,5,0),"не защищена")</f>
        <v>высокий</v>
      </c>
      <c r="F2091" s="68">
        <v>500279</v>
      </c>
      <c r="G2091" s="74" t="s">
        <v>2620</v>
      </c>
      <c r="H2091" s="181">
        <f>INDEX('Списки данных'!$D$2:$D$1048576,MATCH(База_КР_КК[[#This Row],[Структурное подразделение]],'Списки данных'!$C$2:$C$1048576,0))</f>
        <v>13</v>
      </c>
      <c r="I2091" s="80" t="s">
        <v>173</v>
      </c>
      <c r="J2091" s="80" t="s">
        <v>212</v>
      </c>
      <c r="K2091" s="80" t="s">
        <v>213</v>
      </c>
      <c r="L2091" s="30" t="s">
        <v>191</v>
      </c>
      <c r="M2091" s="68">
        <v>7</v>
      </c>
      <c r="N2091" s="181" t="str">
        <f t="shared" si="33"/>
        <v>нет</v>
      </c>
      <c r="O2091" s="23"/>
      <c r="P2091" s="23"/>
      <c r="Q2091" s="106"/>
      <c r="R2091" s="37">
        <v>447</v>
      </c>
      <c r="S2091" s="38" t="s">
        <v>859</v>
      </c>
      <c r="T2091" s="37">
        <v>1531</v>
      </c>
      <c r="U2091" s="39" t="s">
        <v>1575</v>
      </c>
      <c r="V2091" s="69" t="s">
        <v>272</v>
      </c>
      <c r="W2091" s="89" t="s">
        <v>173</v>
      </c>
      <c r="X2091" s="106" t="s">
        <v>297</v>
      </c>
      <c r="Y2091" s="107" t="s">
        <v>12</v>
      </c>
      <c r="Z2091" s="67">
        <f>IF(База_КР_КК[[#This Row],[Таб.номер резервиста]]="-","-",IF(OR(База_КР_КК[[#This Row],[Уровень КК]]=2,База_КР_КК[[#This Row],[Уровень КК]]=3),IF(COUNTIFS($U$2:$U2091,$U2091,$F$2:$F2091,$F2091)=1,1,0),IF(COUNTIFS($U$2:$U2091,$U2091,$L$2:$L2091,$L2091)=1,1,0)))</f>
        <v>0</v>
      </c>
      <c r="AA20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1" s="106"/>
      <c r="AC2091" s="51"/>
      <c r="AD2091" s="106" t="s">
        <v>15</v>
      </c>
      <c r="AE2091" s="38" t="s">
        <v>343</v>
      </c>
    </row>
    <row r="2092" spans="1:31" ht="18" customHeight="1" x14ac:dyDescent="0.25">
      <c r="A20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2" s="79">
        <v>4</v>
      </c>
      <c r="C2092" s="23">
        <v>44890</v>
      </c>
      <c r="D2092" s="67">
        <f>IF(COUNTIF($G$2:$G2092,$G2092)=1,1,0)</f>
        <v>0</v>
      </c>
      <c r="E2092" s="67" t="str">
        <f>IFERROR(VLOOKUP(База_КР_КК[[#This Row],[ИД штатной должности (S)]],'уровень защищенности'!$B$7:$F$1095,5,0),"не защищена")</f>
        <v>высокий</v>
      </c>
      <c r="F2092" s="68">
        <v>500279</v>
      </c>
      <c r="G2092" s="74" t="s">
        <v>2620</v>
      </c>
      <c r="H2092" s="181">
        <f>INDEX('Списки данных'!$D$2:$D$1048576,MATCH(База_КР_КК[[#This Row],[Структурное подразделение]],'Списки данных'!$C$2:$C$1048576,0))</f>
        <v>13</v>
      </c>
      <c r="I2092" s="80" t="s">
        <v>173</v>
      </c>
      <c r="J2092" s="80" t="s">
        <v>212</v>
      </c>
      <c r="K2092" s="80" t="s">
        <v>213</v>
      </c>
      <c r="L2092" s="30" t="s">
        <v>191</v>
      </c>
      <c r="M2092" s="68">
        <v>7</v>
      </c>
      <c r="N2092" s="181" t="str">
        <f t="shared" si="33"/>
        <v>нет</v>
      </c>
      <c r="O2092" s="23"/>
      <c r="P2092" s="23"/>
      <c r="Q2092" s="106"/>
      <c r="R2092" s="37">
        <v>447</v>
      </c>
      <c r="S2092" s="38" t="s">
        <v>859</v>
      </c>
      <c r="T2092" s="37">
        <v>1532</v>
      </c>
      <c r="U2092" s="39" t="s">
        <v>1888</v>
      </c>
      <c r="V2092" s="69" t="s">
        <v>272</v>
      </c>
      <c r="W2092" s="89" t="s">
        <v>173</v>
      </c>
      <c r="X2092" s="106" t="s">
        <v>296</v>
      </c>
      <c r="Y2092" s="107" t="s">
        <v>12</v>
      </c>
      <c r="Z2092" s="67">
        <f>IF(База_КР_КК[[#This Row],[Таб.номер резервиста]]="-","-",IF(OR(База_КР_КК[[#This Row],[Уровень КК]]=2,База_КР_КК[[#This Row],[Уровень КК]]=3),IF(COUNTIFS($U$2:$U2092,$U2092,$F$2:$F2092,$F2092)=1,1,0),IF(COUNTIFS($U$2:$U2092,$U2092,$L$2:$L2092,$L2092)=1,1,0)))</f>
        <v>0</v>
      </c>
      <c r="AA20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2" s="106"/>
      <c r="AC2092" s="51"/>
      <c r="AD2092" s="106" t="s">
        <v>15</v>
      </c>
      <c r="AE2092" s="38" t="s">
        <v>344</v>
      </c>
    </row>
    <row r="2093" spans="1:31" ht="18" customHeight="1" x14ac:dyDescent="0.25">
      <c r="A20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3" s="79">
        <v>4</v>
      </c>
      <c r="C2093" s="23">
        <v>44890</v>
      </c>
      <c r="D2093" s="67">
        <f>IF(COUNTIF($G$2:$G2093,$G2093)=1,1,0)</f>
        <v>0</v>
      </c>
      <c r="E2093" s="67" t="str">
        <f>IFERROR(VLOOKUP(База_КР_КК[[#This Row],[ИД штатной должности (S)]],'уровень защищенности'!$B$7:$F$1095,5,0),"не защищена")</f>
        <v>высокий</v>
      </c>
      <c r="F2093" s="68">
        <v>500279</v>
      </c>
      <c r="G2093" s="74" t="s">
        <v>2620</v>
      </c>
      <c r="H2093" s="181">
        <f>INDEX('Списки данных'!$D$2:$D$1048576,MATCH(База_КР_КК[[#This Row],[Структурное подразделение]],'Списки данных'!$C$2:$C$1048576,0))</f>
        <v>13</v>
      </c>
      <c r="I2093" s="80" t="s">
        <v>173</v>
      </c>
      <c r="J2093" s="80" t="s">
        <v>212</v>
      </c>
      <c r="K2093" s="80" t="s">
        <v>213</v>
      </c>
      <c r="L2093" s="30" t="s">
        <v>191</v>
      </c>
      <c r="M2093" s="68">
        <v>7</v>
      </c>
      <c r="N2093" s="181" t="str">
        <f t="shared" si="33"/>
        <v>нет</v>
      </c>
      <c r="O2093" s="23"/>
      <c r="P2093" s="23"/>
      <c r="Q2093" s="106"/>
      <c r="R2093" s="37">
        <v>447</v>
      </c>
      <c r="S2093" s="38" t="s">
        <v>859</v>
      </c>
      <c r="T2093" s="37">
        <v>1533</v>
      </c>
      <c r="U2093" s="39" t="s">
        <v>1889</v>
      </c>
      <c r="V2093" s="69" t="s">
        <v>272</v>
      </c>
      <c r="W2093" s="89" t="s">
        <v>173</v>
      </c>
      <c r="X2093" s="106" t="s">
        <v>296</v>
      </c>
      <c r="Y2093" s="107" t="s">
        <v>12</v>
      </c>
      <c r="Z2093" s="67">
        <f>IF(База_КР_КК[[#This Row],[Таб.номер резервиста]]="-","-",IF(OR(База_КР_КК[[#This Row],[Уровень КК]]=2,База_КР_КК[[#This Row],[Уровень КК]]=3),IF(COUNTIFS($U$2:$U2093,$U2093,$F$2:$F2093,$F2093)=1,1,0),IF(COUNTIFS($U$2:$U2093,$U2093,$L$2:$L2093,$L2093)=1,1,0)))</f>
        <v>0</v>
      </c>
      <c r="AA20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3" s="106"/>
      <c r="AC2093" s="51"/>
      <c r="AD2093" s="106" t="s">
        <v>15</v>
      </c>
      <c r="AE2093" s="38" t="s">
        <v>344</v>
      </c>
    </row>
    <row r="2094" spans="1:31" ht="18" customHeight="1" x14ac:dyDescent="0.25">
      <c r="A20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4" s="79">
        <v>4</v>
      </c>
      <c r="C2094" s="23">
        <v>44890</v>
      </c>
      <c r="D2094" s="67">
        <f>IF(COUNTIF($G$2:$G2094,$G2094)=1,1,0)</f>
        <v>0</v>
      </c>
      <c r="E2094" s="67" t="str">
        <f>IFERROR(VLOOKUP(База_КР_КК[[#This Row],[ИД штатной должности (S)]],'уровень защищенности'!$B$7:$F$1095,5,0),"не защищена")</f>
        <v>высокий</v>
      </c>
      <c r="F2094" s="68">
        <v>500279</v>
      </c>
      <c r="G2094" s="74" t="s">
        <v>2620</v>
      </c>
      <c r="H2094" s="181">
        <f>INDEX('Списки данных'!$D$2:$D$1048576,MATCH(База_КР_КК[[#This Row],[Структурное подразделение]],'Списки данных'!$C$2:$C$1048576,0))</f>
        <v>13</v>
      </c>
      <c r="I2094" s="80" t="s">
        <v>173</v>
      </c>
      <c r="J2094" s="80" t="s">
        <v>212</v>
      </c>
      <c r="K2094" s="80" t="s">
        <v>213</v>
      </c>
      <c r="L2094" s="30" t="s">
        <v>191</v>
      </c>
      <c r="M2094" s="68">
        <v>7</v>
      </c>
      <c r="N2094" s="181" t="str">
        <f t="shared" si="33"/>
        <v>нет</v>
      </c>
      <c r="O2094" s="23"/>
      <c r="P2094" s="23"/>
      <c r="Q2094" s="106"/>
      <c r="R2094" s="37">
        <v>447</v>
      </c>
      <c r="S2094" s="38" t="s">
        <v>859</v>
      </c>
      <c r="T2094" s="37">
        <v>1534</v>
      </c>
      <c r="U2094" s="39" t="s">
        <v>1890</v>
      </c>
      <c r="V2094" s="69" t="s">
        <v>272</v>
      </c>
      <c r="W2094" s="89" t="s">
        <v>173</v>
      </c>
      <c r="X2094" s="106" t="s">
        <v>296</v>
      </c>
      <c r="Y2094" s="107" t="s">
        <v>12</v>
      </c>
      <c r="Z2094" s="67">
        <f>IF(База_КР_КК[[#This Row],[Таб.номер резервиста]]="-","-",IF(OR(База_КР_КК[[#This Row],[Уровень КК]]=2,База_КР_КК[[#This Row],[Уровень КК]]=3),IF(COUNTIFS($U$2:$U2094,$U2094,$F$2:$F2094,$F2094)=1,1,0),IF(COUNTIFS($U$2:$U2094,$U2094,$L$2:$L2094,$L2094)=1,1,0)))</f>
        <v>0</v>
      </c>
      <c r="AA20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4" s="106"/>
      <c r="AC2094" s="51"/>
      <c r="AD2094" s="106" t="s">
        <v>15</v>
      </c>
      <c r="AE2094" s="38" t="s">
        <v>344</v>
      </c>
    </row>
    <row r="2095" spans="1:31" ht="18" customHeight="1" x14ac:dyDescent="0.25">
      <c r="A20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5" s="79">
        <v>4</v>
      </c>
      <c r="C2095" s="23">
        <v>44890</v>
      </c>
      <c r="D2095" s="67">
        <f>IF(COUNTIF($G$2:$G2095,$G2095)=1,1,0)</f>
        <v>0</v>
      </c>
      <c r="E2095" s="67" t="str">
        <f>IFERROR(VLOOKUP(База_КР_КК[[#This Row],[ИД штатной должности (S)]],'уровень защищенности'!$B$7:$F$1095,5,0),"не защищена")</f>
        <v>высокий</v>
      </c>
      <c r="F2095" s="68">
        <v>500279</v>
      </c>
      <c r="G2095" s="74" t="s">
        <v>2620</v>
      </c>
      <c r="H2095" s="181">
        <f>INDEX('Списки данных'!$D$2:$D$1048576,MATCH(База_КР_КК[[#This Row],[Структурное подразделение]],'Списки данных'!$C$2:$C$1048576,0))</f>
        <v>13</v>
      </c>
      <c r="I2095" s="80" t="s">
        <v>173</v>
      </c>
      <c r="J2095" s="80" t="s">
        <v>212</v>
      </c>
      <c r="K2095" s="80" t="s">
        <v>213</v>
      </c>
      <c r="L2095" s="30" t="s">
        <v>191</v>
      </c>
      <c r="M2095" s="68">
        <v>7</v>
      </c>
      <c r="N2095" s="181" t="str">
        <f t="shared" si="33"/>
        <v>нет</v>
      </c>
      <c r="O2095" s="23"/>
      <c r="P2095" s="23"/>
      <c r="Q2095" s="106"/>
      <c r="R2095" s="37">
        <v>447</v>
      </c>
      <c r="S2095" s="38" t="s">
        <v>859</v>
      </c>
      <c r="T2095" s="37">
        <v>1535</v>
      </c>
      <c r="U2095" s="39" t="s">
        <v>1634</v>
      </c>
      <c r="V2095" s="69" t="s">
        <v>272</v>
      </c>
      <c r="W2095" s="89" t="s">
        <v>173</v>
      </c>
      <c r="X2095" s="106" t="s">
        <v>296</v>
      </c>
      <c r="Y2095" s="107" t="s">
        <v>12</v>
      </c>
      <c r="Z2095" s="67">
        <f>IF(База_КР_КК[[#This Row],[Таб.номер резервиста]]="-","-",IF(OR(База_КР_КК[[#This Row],[Уровень КК]]=2,База_КР_КК[[#This Row],[Уровень КК]]=3),IF(COUNTIFS($U$2:$U2095,$U2095,$F$2:$F2095,$F2095)=1,1,0),IF(COUNTIFS($U$2:$U2095,$U2095,$L$2:$L2095,$L2095)=1,1,0)))</f>
        <v>0</v>
      </c>
      <c r="AA20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5" s="106"/>
      <c r="AC2095" s="51"/>
      <c r="AD2095" s="106" t="s">
        <v>15</v>
      </c>
      <c r="AE2095" s="38" t="s">
        <v>344</v>
      </c>
    </row>
    <row r="2096" spans="1:31" ht="18" customHeight="1" x14ac:dyDescent="0.25">
      <c r="A20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6" s="79">
        <v>4</v>
      </c>
      <c r="C2096" s="23">
        <v>44890</v>
      </c>
      <c r="D2096" s="67">
        <f>IF(COUNTIF($G$2:$G2096,$G2096)=1,1,0)</f>
        <v>0</v>
      </c>
      <c r="E2096" s="67" t="str">
        <f>IFERROR(VLOOKUP(База_КР_КК[[#This Row],[ИД штатной должности (S)]],'уровень защищенности'!$B$7:$F$1095,5,0),"не защищена")</f>
        <v>высокий</v>
      </c>
      <c r="F2096" s="68">
        <v>500279</v>
      </c>
      <c r="G2096" s="74" t="s">
        <v>2620</v>
      </c>
      <c r="H2096" s="181">
        <f>INDEX('Списки данных'!$D$2:$D$1048576,MATCH(База_КР_КК[[#This Row],[Структурное подразделение]],'Списки данных'!$C$2:$C$1048576,0))</f>
        <v>13</v>
      </c>
      <c r="I2096" s="80" t="s">
        <v>173</v>
      </c>
      <c r="J2096" s="80" t="s">
        <v>212</v>
      </c>
      <c r="K2096" s="80" t="s">
        <v>213</v>
      </c>
      <c r="L2096" s="30" t="s">
        <v>191</v>
      </c>
      <c r="M2096" s="68">
        <v>7</v>
      </c>
      <c r="N2096" s="181" t="str">
        <f t="shared" si="33"/>
        <v>нет</v>
      </c>
      <c r="O2096" s="23"/>
      <c r="P2096" s="23"/>
      <c r="Q2096" s="106"/>
      <c r="R2096" s="37">
        <v>447</v>
      </c>
      <c r="S2096" s="38" t="s">
        <v>859</v>
      </c>
      <c r="T2096" s="37">
        <v>1536</v>
      </c>
      <c r="U2096" s="39" t="s">
        <v>1891</v>
      </c>
      <c r="V2096" s="69" t="s">
        <v>272</v>
      </c>
      <c r="W2096" s="89" t="s">
        <v>173</v>
      </c>
      <c r="X2096" s="106" t="s">
        <v>296</v>
      </c>
      <c r="Y2096" s="107" t="s">
        <v>12</v>
      </c>
      <c r="Z2096" s="67">
        <f>IF(База_КР_КК[[#This Row],[Таб.номер резервиста]]="-","-",IF(OR(База_КР_КК[[#This Row],[Уровень КК]]=2,База_КР_КК[[#This Row],[Уровень КК]]=3),IF(COUNTIFS($U$2:$U2096,$U2096,$F$2:$F2096,$F2096)=1,1,0),IF(COUNTIFS($U$2:$U2096,$U2096,$L$2:$L2096,$L2096)=1,1,0)))</f>
        <v>0</v>
      </c>
      <c r="AA20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6" s="106"/>
      <c r="AC2096" s="51"/>
      <c r="AD2096" s="106" t="s">
        <v>15</v>
      </c>
      <c r="AE2096" s="38" t="s">
        <v>344</v>
      </c>
    </row>
    <row r="2097" spans="1:31" ht="18" customHeight="1" x14ac:dyDescent="0.25">
      <c r="A20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7" s="79">
        <v>4</v>
      </c>
      <c r="C2097" s="23">
        <v>44425</v>
      </c>
      <c r="D2097" s="67">
        <f>IF(COUNTIF($G$2:$G2097,$G2097)=1,1,0)</f>
        <v>0</v>
      </c>
      <c r="E2097" s="67" t="str">
        <f>IFERROR(VLOOKUP(База_КР_КК[[#This Row],[ИД штатной должности (S)]],'уровень защищенности'!$B$7:$F$1095,5,0),"не защищена")</f>
        <v>высокий</v>
      </c>
      <c r="F2097" s="68">
        <v>500279</v>
      </c>
      <c r="G2097" s="74" t="s">
        <v>2620</v>
      </c>
      <c r="H2097" s="181">
        <f>INDEX('Списки данных'!$D$2:$D$1048576,MATCH(База_КР_КК[[#This Row],[Структурное подразделение]],'Списки данных'!$C$2:$C$1048576,0))</f>
        <v>13</v>
      </c>
      <c r="I2097" s="80" t="s">
        <v>173</v>
      </c>
      <c r="J2097" s="80" t="s">
        <v>212</v>
      </c>
      <c r="K2097" s="80" t="s">
        <v>213</v>
      </c>
      <c r="L2097" s="30" t="s">
        <v>191</v>
      </c>
      <c r="M2097" s="68">
        <v>7</v>
      </c>
      <c r="N2097" s="181" t="str">
        <f t="shared" si="33"/>
        <v>нет</v>
      </c>
      <c r="O2097" s="23"/>
      <c r="P2097" s="23"/>
      <c r="Q2097" s="106"/>
      <c r="R2097" s="37">
        <v>447</v>
      </c>
      <c r="S2097" s="38" t="s">
        <v>859</v>
      </c>
      <c r="T2097" s="37">
        <v>1537</v>
      </c>
      <c r="U2097" s="39" t="s">
        <v>1892</v>
      </c>
      <c r="V2097" s="69" t="s">
        <v>272</v>
      </c>
      <c r="W2097" s="89" t="s">
        <v>173</v>
      </c>
      <c r="X2097" s="106" t="s">
        <v>295</v>
      </c>
      <c r="Y2097" s="107" t="s">
        <v>18</v>
      </c>
      <c r="Z2097" s="67">
        <f>IF(База_КР_КК[[#This Row],[Таб.номер резервиста]]="-","-",IF(OR(База_КР_КК[[#This Row],[Уровень КК]]=2,База_КР_КК[[#This Row],[Уровень КК]]=3),IF(COUNTIFS($U$2:$U2097,$U2097,$F$2:$F2097,$F2097)=1,1,0),IF(COUNTIFS($U$2:$U2097,$U2097,$L$2:$L2097,$L2097)=1,1,0)))</f>
        <v>0</v>
      </c>
      <c r="AA20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7" s="106" t="s">
        <v>38</v>
      </c>
      <c r="AC2097" s="51">
        <v>44890</v>
      </c>
      <c r="AD2097" s="106" t="s">
        <v>31</v>
      </c>
      <c r="AE2097" s="38" t="s">
        <v>344</v>
      </c>
    </row>
    <row r="2098" spans="1:31" ht="18" customHeight="1" x14ac:dyDescent="0.25">
      <c r="A20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8" s="79">
        <v>4</v>
      </c>
      <c r="C2098" s="23">
        <v>44425</v>
      </c>
      <c r="D2098" s="67">
        <f>IF(COUNTIF($G$2:$G2098,$G2098)=1,1,0)</f>
        <v>0</v>
      </c>
      <c r="E2098" s="67" t="str">
        <f>IFERROR(VLOOKUP(База_КР_КК[[#This Row],[ИД штатной должности (S)]],'уровень защищенности'!$B$7:$F$1095,5,0),"не защищена")</f>
        <v>высокий</v>
      </c>
      <c r="F2098" s="68">
        <v>500279</v>
      </c>
      <c r="G2098" s="74" t="s">
        <v>2620</v>
      </c>
      <c r="H2098" s="181">
        <f>INDEX('Списки данных'!$D$2:$D$1048576,MATCH(База_КР_КК[[#This Row],[Структурное подразделение]],'Списки данных'!$C$2:$C$1048576,0))</f>
        <v>13</v>
      </c>
      <c r="I2098" s="80" t="s">
        <v>173</v>
      </c>
      <c r="J2098" s="80" t="s">
        <v>212</v>
      </c>
      <c r="K2098" s="80" t="s">
        <v>213</v>
      </c>
      <c r="L2098" s="30" t="s">
        <v>191</v>
      </c>
      <c r="M2098" s="68">
        <v>7</v>
      </c>
      <c r="N2098" s="181" t="str">
        <f t="shared" si="33"/>
        <v>нет</v>
      </c>
      <c r="O2098" s="23"/>
      <c r="P2098" s="23"/>
      <c r="Q2098" s="106"/>
      <c r="R2098" s="37">
        <v>447</v>
      </c>
      <c r="S2098" s="38" t="s">
        <v>859</v>
      </c>
      <c r="T2098" s="37">
        <v>1538</v>
      </c>
      <c r="U2098" s="39" t="s">
        <v>1893</v>
      </c>
      <c r="V2098" s="69" t="s">
        <v>272</v>
      </c>
      <c r="W2098" s="89" t="s">
        <v>173</v>
      </c>
      <c r="X2098" s="106" t="s">
        <v>297</v>
      </c>
      <c r="Y2098" s="107" t="s">
        <v>18</v>
      </c>
      <c r="Z2098" s="67">
        <f>IF(База_КР_КК[[#This Row],[Таб.номер резервиста]]="-","-",IF(OR(База_КР_КК[[#This Row],[Уровень КК]]=2,База_КР_КК[[#This Row],[Уровень КК]]=3),IF(COUNTIFS($U$2:$U2098,$U2098,$F$2:$F2098,$F2098)=1,1,0),IF(COUNTIFS($U$2:$U2098,$U2098,$L$2:$L2098,$L2098)=1,1,0)))</f>
        <v>0</v>
      </c>
      <c r="AA20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8" s="106" t="s">
        <v>20</v>
      </c>
      <c r="AC2098" s="51">
        <v>44552</v>
      </c>
      <c r="AD2098" s="106" t="s">
        <v>15</v>
      </c>
      <c r="AE2098" s="38" t="s">
        <v>343</v>
      </c>
    </row>
    <row r="2099" spans="1:31" ht="18" customHeight="1" x14ac:dyDescent="0.25">
      <c r="A20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099" s="79">
        <v>4</v>
      </c>
      <c r="C2099" s="23">
        <v>44425</v>
      </c>
      <c r="D2099" s="67">
        <f>IF(COUNTIF($G$2:$G2099,$G2099)=1,1,0)</f>
        <v>1</v>
      </c>
      <c r="E2099" s="67" t="str">
        <f>IFERROR(VLOOKUP(База_КР_КК[[#This Row],[ИД штатной должности (S)]],'уровень защищенности'!$B$7:$F$1095,5,0),"не защищена")</f>
        <v>высокий</v>
      </c>
      <c r="F2099" s="68">
        <v>500279</v>
      </c>
      <c r="G2099" s="74" t="s">
        <v>2621</v>
      </c>
      <c r="H2099" s="181">
        <f>INDEX('Списки данных'!$D$2:$D$1048576,MATCH(База_КР_КК[[#This Row],[Структурное подразделение]],'Списки данных'!$C$2:$C$1048576,0))</f>
        <v>13</v>
      </c>
      <c r="I2099" s="80" t="s">
        <v>173</v>
      </c>
      <c r="J2099" s="80" t="s">
        <v>212</v>
      </c>
      <c r="K2099" s="80" t="s">
        <v>213</v>
      </c>
      <c r="L2099" s="30" t="s">
        <v>191</v>
      </c>
      <c r="M2099" s="68">
        <v>7</v>
      </c>
      <c r="N2099" s="181" t="str">
        <f t="shared" si="33"/>
        <v>нет</v>
      </c>
      <c r="O2099" s="23"/>
      <c r="P2099" s="23"/>
      <c r="Q2099" s="106"/>
      <c r="R2099" s="37">
        <v>448</v>
      </c>
      <c r="S2099" s="38" t="s">
        <v>860</v>
      </c>
      <c r="T2099" s="37">
        <v>1527</v>
      </c>
      <c r="U2099" s="39" t="s">
        <v>1884</v>
      </c>
      <c r="V2099" s="69" t="s">
        <v>272</v>
      </c>
      <c r="W2099" s="89" t="s">
        <v>173</v>
      </c>
      <c r="X2099" s="106" t="s">
        <v>295</v>
      </c>
      <c r="Y2099" s="107" t="s">
        <v>12</v>
      </c>
      <c r="Z2099" s="67">
        <f>IF(База_КР_КК[[#This Row],[Таб.номер резервиста]]="-","-",IF(OR(База_КР_КК[[#This Row],[Уровень КК]]=2,База_КР_КК[[#This Row],[Уровень КК]]=3),IF(COUNTIFS($U$2:$U2099,$U2099,$F$2:$F2099,$F2099)=1,1,0),IF(COUNTIFS($U$2:$U2099,$U2099,$L$2:$L2099,$L2099)=1,1,0)))</f>
        <v>0</v>
      </c>
      <c r="AA20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099" s="106"/>
      <c r="AC2099" s="51"/>
      <c r="AD2099" s="106" t="s">
        <v>15</v>
      </c>
      <c r="AE2099" s="38" t="s">
        <v>343</v>
      </c>
    </row>
    <row r="2100" spans="1:31" ht="18" customHeight="1" x14ac:dyDescent="0.25">
      <c r="A21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0" s="79">
        <v>4</v>
      </c>
      <c r="C2100" s="23">
        <v>44425</v>
      </c>
      <c r="D2100" s="67">
        <f>IF(COUNTIF($G$2:$G2100,$G2100)=1,1,0)</f>
        <v>0</v>
      </c>
      <c r="E2100" s="67" t="str">
        <f>IFERROR(VLOOKUP(База_КР_КК[[#This Row],[ИД штатной должности (S)]],'уровень защищенности'!$B$7:$F$1095,5,0),"не защищена")</f>
        <v>высокий</v>
      </c>
      <c r="F2100" s="68">
        <v>500279</v>
      </c>
      <c r="G2100" s="74" t="s">
        <v>2621</v>
      </c>
      <c r="H2100" s="181">
        <f>INDEX('Списки данных'!$D$2:$D$1048576,MATCH(База_КР_КК[[#This Row],[Структурное подразделение]],'Списки данных'!$C$2:$C$1048576,0))</f>
        <v>13</v>
      </c>
      <c r="I2100" s="80" t="s">
        <v>173</v>
      </c>
      <c r="J2100" s="80" t="s">
        <v>212</v>
      </c>
      <c r="K2100" s="80" t="s">
        <v>213</v>
      </c>
      <c r="L2100" s="30" t="s">
        <v>191</v>
      </c>
      <c r="M2100" s="68">
        <v>7</v>
      </c>
      <c r="N2100" s="181" t="str">
        <f t="shared" si="33"/>
        <v>нет</v>
      </c>
      <c r="O2100" s="23"/>
      <c r="P2100" s="23"/>
      <c r="Q2100" s="106"/>
      <c r="R2100" s="37">
        <v>448</v>
      </c>
      <c r="S2100" s="38" t="s">
        <v>860</v>
      </c>
      <c r="T2100" s="37">
        <v>1528</v>
      </c>
      <c r="U2100" s="39" t="s">
        <v>1885</v>
      </c>
      <c r="V2100" s="69" t="s">
        <v>272</v>
      </c>
      <c r="W2100" s="89" t="s">
        <v>173</v>
      </c>
      <c r="X2100" s="106" t="s">
        <v>296</v>
      </c>
      <c r="Y2100" s="107" t="s">
        <v>12</v>
      </c>
      <c r="Z2100" s="67">
        <f>IF(База_КР_КК[[#This Row],[Таб.номер резервиста]]="-","-",IF(OR(База_КР_КК[[#This Row],[Уровень КК]]=2,База_КР_КК[[#This Row],[Уровень КК]]=3),IF(COUNTIFS($U$2:$U2100,$U2100,$F$2:$F2100,$F2100)=1,1,0),IF(COUNTIFS($U$2:$U2100,$U2100,$L$2:$L2100,$L2100)=1,1,0)))</f>
        <v>0</v>
      </c>
      <c r="AA21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0" s="106"/>
      <c r="AC2100" s="51"/>
      <c r="AD2100" s="106" t="s">
        <v>15</v>
      </c>
      <c r="AE2100" s="38" t="s">
        <v>343</v>
      </c>
    </row>
    <row r="2101" spans="1:31" ht="18" customHeight="1" x14ac:dyDescent="0.25">
      <c r="A21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1" s="79">
        <v>4</v>
      </c>
      <c r="C2101" s="23">
        <v>44425</v>
      </c>
      <c r="D2101" s="67">
        <f>IF(COUNTIF($G$2:$G2101,$G2101)=1,1,0)</f>
        <v>0</v>
      </c>
      <c r="E2101" s="67" t="str">
        <f>IFERROR(VLOOKUP(База_КР_КК[[#This Row],[ИД штатной должности (S)]],'уровень защищенности'!$B$7:$F$1095,5,0),"не защищена")</f>
        <v>высокий</v>
      </c>
      <c r="F2101" s="68">
        <v>500279</v>
      </c>
      <c r="G2101" s="74" t="s">
        <v>2621</v>
      </c>
      <c r="H2101" s="181">
        <f>INDEX('Списки данных'!$D$2:$D$1048576,MATCH(База_КР_КК[[#This Row],[Структурное подразделение]],'Списки данных'!$C$2:$C$1048576,0))</f>
        <v>13</v>
      </c>
      <c r="I2101" s="80" t="s">
        <v>173</v>
      </c>
      <c r="J2101" s="80" t="s">
        <v>212</v>
      </c>
      <c r="K2101" s="80" t="s">
        <v>213</v>
      </c>
      <c r="L2101" s="30" t="s">
        <v>191</v>
      </c>
      <c r="M2101" s="68">
        <v>7</v>
      </c>
      <c r="N2101" s="181" t="str">
        <f t="shared" si="33"/>
        <v>нет</v>
      </c>
      <c r="O2101" s="23"/>
      <c r="P2101" s="23"/>
      <c r="Q2101" s="106"/>
      <c r="R2101" s="37">
        <v>448</v>
      </c>
      <c r="S2101" s="38" t="s">
        <v>860</v>
      </c>
      <c r="T2101" s="37">
        <v>1529</v>
      </c>
      <c r="U2101" s="39" t="s">
        <v>1886</v>
      </c>
      <c r="V2101" s="69" t="s">
        <v>272</v>
      </c>
      <c r="W2101" s="89" t="s">
        <v>173</v>
      </c>
      <c r="X2101" s="106" t="s">
        <v>297</v>
      </c>
      <c r="Y2101" s="107" t="s">
        <v>12</v>
      </c>
      <c r="Z2101" s="67">
        <f>IF(База_КР_КК[[#This Row],[Таб.номер резервиста]]="-","-",IF(OR(База_КР_КК[[#This Row],[Уровень КК]]=2,База_КР_КК[[#This Row],[Уровень КК]]=3),IF(COUNTIFS($U$2:$U2101,$U2101,$F$2:$F2101,$F2101)=1,1,0),IF(COUNTIFS($U$2:$U2101,$U2101,$L$2:$L2101,$L2101)=1,1,0)))</f>
        <v>0</v>
      </c>
      <c r="AA21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1" s="106"/>
      <c r="AC2101" s="51"/>
      <c r="AD2101" s="106" t="s">
        <v>15</v>
      </c>
      <c r="AE2101" s="38" t="s">
        <v>343</v>
      </c>
    </row>
    <row r="2102" spans="1:31" ht="18" customHeight="1" x14ac:dyDescent="0.25">
      <c r="A21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2" s="79">
        <v>4</v>
      </c>
      <c r="C2102" s="23">
        <v>44425</v>
      </c>
      <c r="D2102" s="67">
        <f>IF(COUNTIF($G$2:$G2102,$G2102)=1,1,0)</f>
        <v>0</v>
      </c>
      <c r="E2102" s="67" t="str">
        <f>IFERROR(VLOOKUP(База_КР_КК[[#This Row],[ИД штатной должности (S)]],'уровень защищенности'!$B$7:$F$1095,5,0),"не защищена")</f>
        <v>высокий</v>
      </c>
      <c r="F2102" s="68">
        <v>500279</v>
      </c>
      <c r="G2102" s="74" t="s">
        <v>2621</v>
      </c>
      <c r="H2102" s="181">
        <f>INDEX('Списки данных'!$D$2:$D$1048576,MATCH(База_КР_КК[[#This Row],[Структурное подразделение]],'Списки данных'!$C$2:$C$1048576,0))</f>
        <v>13</v>
      </c>
      <c r="I2102" s="80" t="s">
        <v>173</v>
      </c>
      <c r="J2102" s="80" t="s">
        <v>212</v>
      </c>
      <c r="K2102" s="80" t="s">
        <v>213</v>
      </c>
      <c r="L2102" s="30" t="s">
        <v>191</v>
      </c>
      <c r="M2102" s="68">
        <v>7</v>
      </c>
      <c r="N2102" s="181" t="str">
        <f t="shared" si="33"/>
        <v>нет</v>
      </c>
      <c r="O2102" s="23"/>
      <c r="P2102" s="23"/>
      <c r="Q2102" s="106"/>
      <c r="R2102" s="37">
        <v>448</v>
      </c>
      <c r="S2102" s="38" t="s">
        <v>860</v>
      </c>
      <c r="T2102" s="37">
        <v>1530</v>
      </c>
      <c r="U2102" s="39" t="s">
        <v>1887</v>
      </c>
      <c r="V2102" s="69" t="s">
        <v>272</v>
      </c>
      <c r="W2102" s="89" t="s">
        <v>173</v>
      </c>
      <c r="X2102" s="106" t="s">
        <v>296</v>
      </c>
      <c r="Y2102" s="107" t="s">
        <v>12</v>
      </c>
      <c r="Z2102" s="67">
        <f>IF(База_КР_КК[[#This Row],[Таб.номер резервиста]]="-","-",IF(OR(База_КР_КК[[#This Row],[Уровень КК]]=2,База_КР_КК[[#This Row],[Уровень КК]]=3),IF(COUNTIFS($U$2:$U2102,$U2102,$F$2:$F2102,$F2102)=1,1,0),IF(COUNTIFS($U$2:$U2102,$U2102,$L$2:$L2102,$L2102)=1,1,0)))</f>
        <v>0</v>
      </c>
      <c r="AA21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2" s="106"/>
      <c r="AC2102" s="51"/>
      <c r="AD2102" s="106" t="s">
        <v>15</v>
      </c>
      <c r="AE2102" s="38" t="s">
        <v>343</v>
      </c>
    </row>
    <row r="2103" spans="1:31" ht="18" customHeight="1" x14ac:dyDescent="0.25">
      <c r="A21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3" s="79">
        <v>4</v>
      </c>
      <c r="C2103" s="23">
        <v>44425</v>
      </c>
      <c r="D2103" s="67">
        <f>IF(COUNTIF($G$2:$G2103,$G2103)=1,1,0)</f>
        <v>0</v>
      </c>
      <c r="E2103" s="67" t="str">
        <f>IFERROR(VLOOKUP(База_КР_КК[[#This Row],[ИД штатной должности (S)]],'уровень защищенности'!$B$7:$F$1095,5,0),"не защищена")</f>
        <v>высокий</v>
      </c>
      <c r="F2103" s="68">
        <v>500279</v>
      </c>
      <c r="G2103" s="74" t="s">
        <v>2621</v>
      </c>
      <c r="H2103" s="181">
        <f>INDEX('Списки данных'!$D$2:$D$1048576,MATCH(База_КР_КК[[#This Row],[Структурное подразделение]],'Списки данных'!$C$2:$C$1048576,0))</f>
        <v>13</v>
      </c>
      <c r="I2103" s="80" t="s">
        <v>173</v>
      </c>
      <c r="J2103" s="80" t="s">
        <v>212</v>
      </c>
      <c r="K2103" s="80" t="s">
        <v>213</v>
      </c>
      <c r="L2103" s="30" t="s">
        <v>191</v>
      </c>
      <c r="M2103" s="68">
        <v>7</v>
      </c>
      <c r="N2103" s="181" t="str">
        <f t="shared" si="33"/>
        <v>нет</v>
      </c>
      <c r="O2103" s="23"/>
      <c r="P2103" s="23"/>
      <c r="Q2103" s="106"/>
      <c r="R2103" s="37">
        <v>448</v>
      </c>
      <c r="S2103" s="38" t="s">
        <v>860</v>
      </c>
      <c r="T2103" s="37">
        <v>1531</v>
      </c>
      <c r="U2103" s="39" t="s">
        <v>1575</v>
      </c>
      <c r="V2103" s="69" t="s">
        <v>272</v>
      </c>
      <c r="W2103" s="89" t="s">
        <v>173</v>
      </c>
      <c r="X2103" s="106" t="s">
        <v>297</v>
      </c>
      <c r="Y2103" s="107" t="s">
        <v>12</v>
      </c>
      <c r="Z2103" s="67">
        <f>IF(База_КР_КК[[#This Row],[Таб.номер резервиста]]="-","-",IF(OR(База_КР_КК[[#This Row],[Уровень КК]]=2,База_КР_КК[[#This Row],[Уровень КК]]=3),IF(COUNTIFS($U$2:$U2103,$U2103,$F$2:$F2103,$F2103)=1,1,0),IF(COUNTIFS($U$2:$U2103,$U2103,$L$2:$L2103,$L2103)=1,1,0)))</f>
        <v>0</v>
      </c>
      <c r="AA21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3" s="106"/>
      <c r="AC2103" s="51"/>
      <c r="AD2103" s="106" t="s">
        <v>15</v>
      </c>
      <c r="AE2103" s="38" t="s">
        <v>343</v>
      </c>
    </row>
    <row r="2104" spans="1:31" ht="18" customHeight="1" x14ac:dyDescent="0.25">
      <c r="A21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4" s="79">
        <v>4</v>
      </c>
      <c r="C2104" s="23">
        <v>44890</v>
      </c>
      <c r="D2104" s="67">
        <f>IF(COUNTIF($G$2:$G2104,$G2104)=1,1,0)</f>
        <v>0</v>
      </c>
      <c r="E2104" s="67" t="str">
        <f>IFERROR(VLOOKUP(База_КР_КК[[#This Row],[ИД штатной должности (S)]],'уровень защищенности'!$B$7:$F$1095,5,0),"не защищена")</f>
        <v>высокий</v>
      </c>
      <c r="F2104" s="68">
        <v>500279</v>
      </c>
      <c r="G2104" s="74" t="s">
        <v>2621</v>
      </c>
      <c r="H2104" s="181">
        <f>INDEX('Списки данных'!$D$2:$D$1048576,MATCH(База_КР_КК[[#This Row],[Структурное подразделение]],'Списки данных'!$C$2:$C$1048576,0))</f>
        <v>13</v>
      </c>
      <c r="I2104" s="80" t="s">
        <v>173</v>
      </c>
      <c r="J2104" s="80" t="s">
        <v>212</v>
      </c>
      <c r="K2104" s="80" t="s">
        <v>213</v>
      </c>
      <c r="L2104" s="30" t="s">
        <v>191</v>
      </c>
      <c r="M2104" s="68">
        <v>7</v>
      </c>
      <c r="N2104" s="181" t="str">
        <f t="shared" si="33"/>
        <v>нет</v>
      </c>
      <c r="O2104" s="23"/>
      <c r="P2104" s="23"/>
      <c r="Q2104" s="106"/>
      <c r="R2104" s="37">
        <v>448</v>
      </c>
      <c r="S2104" s="38" t="s">
        <v>860</v>
      </c>
      <c r="T2104" s="37">
        <v>1532</v>
      </c>
      <c r="U2104" s="39" t="s">
        <v>1888</v>
      </c>
      <c r="V2104" s="69" t="s">
        <v>272</v>
      </c>
      <c r="W2104" s="89" t="s">
        <v>173</v>
      </c>
      <c r="X2104" s="106" t="s">
        <v>296</v>
      </c>
      <c r="Y2104" s="107" t="s">
        <v>12</v>
      </c>
      <c r="Z2104" s="67">
        <f>IF(База_КР_КК[[#This Row],[Таб.номер резервиста]]="-","-",IF(OR(База_КР_КК[[#This Row],[Уровень КК]]=2,База_КР_КК[[#This Row],[Уровень КК]]=3),IF(COUNTIFS($U$2:$U2104,$U2104,$F$2:$F2104,$F2104)=1,1,0),IF(COUNTIFS($U$2:$U2104,$U2104,$L$2:$L2104,$L2104)=1,1,0)))</f>
        <v>0</v>
      </c>
      <c r="AA21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4" s="106"/>
      <c r="AC2104" s="51"/>
      <c r="AD2104" s="106" t="s">
        <v>15</v>
      </c>
      <c r="AE2104" s="38" t="s">
        <v>344</v>
      </c>
    </row>
    <row r="2105" spans="1:31" ht="18" customHeight="1" x14ac:dyDescent="0.25">
      <c r="A21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5" s="79">
        <v>4</v>
      </c>
      <c r="C2105" s="23">
        <v>44890</v>
      </c>
      <c r="D2105" s="67">
        <f>IF(COUNTIF($G$2:$G2105,$G2105)=1,1,0)</f>
        <v>0</v>
      </c>
      <c r="E2105" s="67" t="str">
        <f>IFERROR(VLOOKUP(База_КР_КК[[#This Row],[ИД штатной должности (S)]],'уровень защищенности'!$B$7:$F$1095,5,0),"не защищена")</f>
        <v>высокий</v>
      </c>
      <c r="F2105" s="68">
        <v>500279</v>
      </c>
      <c r="G2105" s="74" t="s">
        <v>2621</v>
      </c>
      <c r="H2105" s="181">
        <f>INDEX('Списки данных'!$D$2:$D$1048576,MATCH(База_КР_КК[[#This Row],[Структурное подразделение]],'Списки данных'!$C$2:$C$1048576,0))</f>
        <v>13</v>
      </c>
      <c r="I2105" s="80" t="s">
        <v>173</v>
      </c>
      <c r="J2105" s="80" t="s">
        <v>212</v>
      </c>
      <c r="K2105" s="80" t="s">
        <v>213</v>
      </c>
      <c r="L2105" s="30" t="s">
        <v>191</v>
      </c>
      <c r="M2105" s="68">
        <v>7</v>
      </c>
      <c r="N2105" s="181" t="str">
        <f t="shared" si="33"/>
        <v>нет</v>
      </c>
      <c r="O2105" s="23"/>
      <c r="P2105" s="23"/>
      <c r="Q2105" s="106"/>
      <c r="R2105" s="37">
        <v>448</v>
      </c>
      <c r="S2105" s="38" t="s">
        <v>860</v>
      </c>
      <c r="T2105" s="37">
        <v>1533</v>
      </c>
      <c r="U2105" s="39" t="s">
        <v>1889</v>
      </c>
      <c r="V2105" s="69" t="s">
        <v>272</v>
      </c>
      <c r="W2105" s="89" t="s">
        <v>173</v>
      </c>
      <c r="X2105" s="106" t="s">
        <v>296</v>
      </c>
      <c r="Y2105" s="107" t="s">
        <v>12</v>
      </c>
      <c r="Z2105" s="67">
        <f>IF(База_КР_КК[[#This Row],[Таб.номер резервиста]]="-","-",IF(OR(База_КР_КК[[#This Row],[Уровень КК]]=2,База_КР_КК[[#This Row],[Уровень КК]]=3),IF(COUNTIFS($U$2:$U2105,$U2105,$F$2:$F2105,$F2105)=1,1,0),IF(COUNTIFS($U$2:$U2105,$U2105,$L$2:$L2105,$L2105)=1,1,0)))</f>
        <v>0</v>
      </c>
      <c r="AA21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5" s="106"/>
      <c r="AC2105" s="51"/>
      <c r="AD2105" s="106" t="s">
        <v>15</v>
      </c>
      <c r="AE2105" s="38" t="s">
        <v>344</v>
      </c>
    </row>
    <row r="2106" spans="1:31" ht="18" customHeight="1" x14ac:dyDescent="0.25">
      <c r="A21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6" s="79">
        <v>4</v>
      </c>
      <c r="C2106" s="23">
        <v>44890</v>
      </c>
      <c r="D2106" s="67">
        <f>IF(COUNTIF($G$2:$G2106,$G2106)=1,1,0)</f>
        <v>0</v>
      </c>
      <c r="E2106" s="67" t="str">
        <f>IFERROR(VLOOKUP(База_КР_КК[[#This Row],[ИД штатной должности (S)]],'уровень защищенности'!$B$7:$F$1095,5,0),"не защищена")</f>
        <v>высокий</v>
      </c>
      <c r="F2106" s="68">
        <v>500279</v>
      </c>
      <c r="G2106" s="74" t="s">
        <v>2621</v>
      </c>
      <c r="H2106" s="181">
        <f>INDEX('Списки данных'!$D$2:$D$1048576,MATCH(База_КР_КК[[#This Row],[Структурное подразделение]],'Списки данных'!$C$2:$C$1048576,0))</f>
        <v>13</v>
      </c>
      <c r="I2106" s="80" t="s">
        <v>173</v>
      </c>
      <c r="J2106" s="80" t="s">
        <v>212</v>
      </c>
      <c r="K2106" s="80" t="s">
        <v>213</v>
      </c>
      <c r="L2106" s="30" t="s">
        <v>191</v>
      </c>
      <c r="M2106" s="68">
        <v>7</v>
      </c>
      <c r="N2106" s="181" t="str">
        <f t="shared" si="33"/>
        <v>нет</v>
      </c>
      <c r="O2106" s="23"/>
      <c r="P2106" s="23"/>
      <c r="Q2106" s="106"/>
      <c r="R2106" s="37">
        <v>448</v>
      </c>
      <c r="S2106" s="38" t="s">
        <v>860</v>
      </c>
      <c r="T2106" s="37">
        <v>1534</v>
      </c>
      <c r="U2106" s="39" t="s">
        <v>1890</v>
      </c>
      <c r="V2106" s="69" t="s">
        <v>272</v>
      </c>
      <c r="W2106" s="89" t="s">
        <v>173</v>
      </c>
      <c r="X2106" s="106" t="s">
        <v>296</v>
      </c>
      <c r="Y2106" s="107" t="s">
        <v>12</v>
      </c>
      <c r="Z2106" s="67">
        <f>IF(База_КР_КК[[#This Row],[Таб.номер резервиста]]="-","-",IF(OR(База_КР_КК[[#This Row],[Уровень КК]]=2,База_КР_КК[[#This Row],[Уровень КК]]=3),IF(COUNTIFS($U$2:$U2106,$U2106,$F$2:$F2106,$F2106)=1,1,0),IF(COUNTIFS($U$2:$U2106,$U2106,$L$2:$L2106,$L2106)=1,1,0)))</f>
        <v>0</v>
      </c>
      <c r="AA21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6" s="106"/>
      <c r="AC2106" s="51"/>
      <c r="AD2106" s="106" t="s">
        <v>15</v>
      </c>
      <c r="AE2106" s="38" t="s">
        <v>344</v>
      </c>
    </row>
    <row r="2107" spans="1:31" ht="18" customHeight="1" x14ac:dyDescent="0.25">
      <c r="A21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7" s="79">
        <v>4</v>
      </c>
      <c r="C2107" s="23">
        <v>44890</v>
      </c>
      <c r="D2107" s="67">
        <f>IF(COUNTIF($G$2:$G2107,$G2107)=1,1,0)</f>
        <v>0</v>
      </c>
      <c r="E2107" s="67" t="str">
        <f>IFERROR(VLOOKUP(База_КР_КК[[#This Row],[ИД штатной должности (S)]],'уровень защищенности'!$B$7:$F$1095,5,0),"не защищена")</f>
        <v>высокий</v>
      </c>
      <c r="F2107" s="68">
        <v>500279</v>
      </c>
      <c r="G2107" s="74" t="s">
        <v>2621</v>
      </c>
      <c r="H2107" s="181">
        <f>INDEX('Списки данных'!$D$2:$D$1048576,MATCH(База_КР_КК[[#This Row],[Структурное подразделение]],'Списки данных'!$C$2:$C$1048576,0))</f>
        <v>13</v>
      </c>
      <c r="I2107" s="80" t="s">
        <v>173</v>
      </c>
      <c r="J2107" s="80" t="s">
        <v>212</v>
      </c>
      <c r="K2107" s="80" t="s">
        <v>213</v>
      </c>
      <c r="L2107" s="30" t="s">
        <v>191</v>
      </c>
      <c r="M2107" s="68">
        <v>7</v>
      </c>
      <c r="N2107" s="181" t="str">
        <f t="shared" si="33"/>
        <v>нет</v>
      </c>
      <c r="O2107" s="23"/>
      <c r="P2107" s="23"/>
      <c r="Q2107" s="106"/>
      <c r="R2107" s="37">
        <v>448</v>
      </c>
      <c r="S2107" s="38" t="s">
        <v>860</v>
      </c>
      <c r="T2107" s="37">
        <v>1535</v>
      </c>
      <c r="U2107" s="39" t="s">
        <v>1634</v>
      </c>
      <c r="V2107" s="69" t="s">
        <v>272</v>
      </c>
      <c r="W2107" s="89" t="s">
        <v>173</v>
      </c>
      <c r="X2107" s="106" t="s">
        <v>296</v>
      </c>
      <c r="Y2107" s="107" t="s">
        <v>12</v>
      </c>
      <c r="Z2107" s="67">
        <f>IF(База_КР_КК[[#This Row],[Таб.номер резервиста]]="-","-",IF(OR(База_КР_КК[[#This Row],[Уровень КК]]=2,База_КР_КК[[#This Row],[Уровень КК]]=3),IF(COUNTIFS($U$2:$U2107,$U2107,$F$2:$F2107,$F2107)=1,1,0),IF(COUNTIFS($U$2:$U2107,$U2107,$L$2:$L2107,$L2107)=1,1,0)))</f>
        <v>0</v>
      </c>
      <c r="AA21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7" s="106"/>
      <c r="AC2107" s="51"/>
      <c r="AD2107" s="106" t="s">
        <v>15</v>
      </c>
      <c r="AE2107" s="38" t="s">
        <v>344</v>
      </c>
    </row>
    <row r="2108" spans="1:31" ht="18" customHeight="1" x14ac:dyDescent="0.25">
      <c r="A21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8" s="79">
        <v>4</v>
      </c>
      <c r="C2108" s="23">
        <v>44890</v>
      </c>
      <c r="D2108" s="67">
        <f>IF(COUNTIF($G$2:$G2108,$G2108)=1,1,0)</f>
        <v>0</v>
      </c>
      <c r="E2108" s="67" t="str">
        <f>IFERROR(VLOOKUP(База_КР_КК[[#This Row],[ИД штатной должности (S)]],'уровень защищенности'!$B$7:$F$1095,5,0),"не защищена")</f>
        <v>высокий</v>
      </c>
      <c r="F2108" s="68">
        <v>500279</v>
      </c>
      <c r="G2108" s="74" t="s">
        <v>2621</v>
      </c>
      <c r="H2108" s="181">
        <f>INDEX('Списки данных'!$D$2:$D$1048576,MATCH(База_КР_КК[[#This Row],[Структурное подразделение]],'Списки данных'!$C$2:$C$1048576,0))</f>
        <v>13</v>
      </c>
      <c r="I2108" s="80" t="s">
        <v>173</v>
      </c>
      <c r="J2108" s="80" t="s">
        <v>212</v>
      </c>
      <c r="K2108" s="80" t="s">
        <v>213</v>
      </c>
      <c r="L2108" s="30" t="s">
        <v>191</v>
      </c>
      <c r="M2108" s="68">
        <v>7</v>
      </c>
      <c r="N2108" s="181" t="str">
        <f t="shared" si="33"/>
        <v>нет</v>
      </c>
      <c r="O2108" s="23"/>
      <c r="P2108" s="23"/>
      <c r="Q2108" s="106"/>
      <c r="R2108" s="37">
        <v>448</v>
      </c>
      <c r="S2108" s="38" t="s">
        <v>860</v>
      </c>
      <c r="T2108" s="37">
        <v>1536</v>
      </c>
      <c r="U2108" s="39" t="s">
        <v>1891</v>
      </c>
      <c r="V2108" s="69" t="s">
        <v>272</v>
      </c>
      <c r="W2108" s="89" t="s">
        <v>173</v>
      </c>
      <c r="X2108" s="106" t="s">
        <v>296</v>
      </c>
      <c r="Y2108" s="107" t="s">
        <v>12</v>
      </c>
      <c r="Z2108" s="67">
        <f>IF(База_КР_КК[[#This Row],[Таб.номер резервиста]]="-","-",IF(OR(База_КР_КК[[#This Row],[Уровень КК]]=2,База_КР_КК[[#This Row],[Уровень КК]]=3),IF(COUNTIFS($U$2:$U2108,$U2108,$F$2:$F2108,$F2108)=1,1,0),IF(COUNTIFS($U$2:$U2108,$U2108,$L$2:$L2108,$L2108)=1,1,0)))</f>
        <v>0</v>
      </c>
      <c r="AA21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8" s="106"/>
      <c r="AC2108" s="51"/>
      <c r="AD2108" s="106" t="s">
        <v>15</v>
      </c>
      <c r="AE2108" s="38" t="s">
        <v>344</v>
      </c>
    </row>
    <row r="2109" spans="1:31" ht="18" customHeight="1" x14ac:dyDescent="0.25">
      <c r="A21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09" s="79">
        <v>4</v>
      </c>
      <c r="C2109" s="23">
        <v>44425</v>
      </c>
      <c r="D2109" s="67">
        <f>IF(COUNTIF($G$2:$G2109,$G2109)=1,1,0)</f>
        <v>0</v>
      </c>
      <c r="E2109" s="67" t="str">
        <f>IFERROR(VLOOKUP(База_КР_КК[[#This Row],[ИД штатной должности (S)]],'уровень защищенности'!$B$7:$F$1095,5,0),"не защищена")</f>
        <v>высокий</v>
      </c>
      <c r="F2109" s="68">
        <v>500279</v>
      </c>
      <c r="G2109" s="74" t="s">
        <v>2621</v>
      </c>
      <c r="H2109" s="181">
        <f>INDEX('Списки данных'!$D$2:$D$1048576,MATCH(База_КР_КК[[#This Row],[Структурное подразделение]],'Списки данных'!$C$2:$C$1048576,0))</f>
        <v>13</v>
      </c>
      <c r="I2109" s="80" t="s">
        <v>173</v>
      </c>
      <c r="J2109" s="80" t="s">
        <v>212</v>
      </c>
      <c r="K2109" s="80" t="s">
        <v>213</v>
      </c>
      <c r="L2109" s="30" t="s">
        <v>191</v>
      </c>
      <c r="M2109" s="68">
        <v>7</v>
      </c>
      <c r="N2109" s="181" t="str">
        <f t="shared" si="33"/>
        <v>нет</v>
      </c>
      <c r="O2109" s="23"/>
      <c r="P2109" s="23"/>
      <c r="Q2109" s="106"/>
      <c r="R2109" s="37">
        <v>448</v>
      </c>
      <c r="S2109" s="38" t="s">
        <v>860</v>
      </c>
      <c r="T2109" s="37">
        <v>1537</v>
      </c>
      <c r="U2109" s="39" t="s">
        <v>1892</v>
      </c>
      <c r="V2109" s="69" t="s">
        <v>272</v>
      </c>
      <c r="W2109" s="89" t="s">
        <v>173</v>
      </c>
      <c r="X2109" s="106" t="s">
        <v>295</v>
      </c>
      <c r="Y2109" s="107" t="s">
        <v>18</v>
      </c>
      <c r="Z2109" s="67">
        <f>IF(База_КР_КК[[#This Row],[Таб.номер резервиста]]="-","-",IF(OR(База_КР_КК[[#This Row],[Уровень КК]]=2,База_КР_КК[[#This Row],[Уровень КК]]=3),IF(COUNTIFS($U$2:$U2109,$U2109,$F$2:$F2109,$F2109)=1,1,0),IF(COUNTIFS($U$2:$U2109,$U2109,$L$2:$L2109,$L2109)=1,1,0)))</f>
        <v>0</v>
      </c>
      <c r="AA21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09" s="106" t="s">
        <v>38</v>
      </c>
      <c r="AC2109" s="51">
        <v>44890</v>
      </c>
      <c r="AD2109" s="106" t="s">
        <v>31</v>
      </c>
      <c r="AE2109" s="38" t="s">
        <v>344</v>
      </c>
    </row>
    <row r="2110" spans="1:31" ht="18" customHeight="1" x14ac:dyDescent="0.25">
      <c r="A21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0" s="79">
        <v>4</v>
      </c>
      <c r="C2110" s="23">
        <v>44425</v>
      </c>
      <c r="D2110" s="67">
        <f>IF(COUNTIF($G$2:$G2110,$G2110)=1,1,0)</f>
        <v>0</v>
      </c>
      <c r="E2110" s="67" t="str">
        <f>IFERROR(VLOOKUP(База_КР_КК[[#This Row],[ИД штатной должности (S)]],'уровень защищенности'!$B$7:$F$1095,5,0),"не защищена")</f>
        <v>высокий</v>
      </c>
      <c r="F2110" s="68">
        <v>500279</v>
      </c>
      <c r="G2110" s="74" t="s">
        <v>2621</v>
      </c>
      <c r="H2110" s="181">
        <f>INDEX('Списки данных'!$D$2:$D$1048576,MATCH(База_КР_КК[[#This Row],[Структурное подразделение]],'Списки данных'!$C$2:$C$1048576,0))</f>
        <v>13</v>
      </c>
      <c r="I2110" s="80" t="s">
        <v>173</v>
      </c>
      <c r="J2110" s="80" t="s">
        <v>212</v>
      </c>
      <c r="K2110" s="80" t="s">
        <v>213</v>
      </c>
      <c r="L2110" s="30" t="s">
        <v>191</v>
      </c>
      <c r="M2110" s="68">
        <v>7</v>
      </c>
      <c r="N2110" s="181" t="str">
        <f t="shared" si="33"/>
        <v>нет</v>
      </c>
      <c r="O2110" s="23"/>
      <c r="P2110" s="23"/>
      <c r="Q2110" s="106"/>
      <c r="R2110" s="37">
        <v>448</v>
      </c>
      <c r="S2110" s="38" t="s">
        <v>860</v>
      </c>
      <c r="T2110" s="37">
        <v>1538</v>
      </c>
      <c r="U2110" s="39" t="s">
        <v>1893</v>
      </c>
      <c r="V2110" s="69" t="s">
        <v>272</v>
      </c>
      <c r="W2110" s="89" t="s">
        <v>173</v>
      </c>
      <c r="X2110" s="106" t="s">
        <v>297</v>
      </c>
      <c r="Y2110" s="107" t="s">
        <v>18</v>
      </c>
      <c r="Z2110" s="67">
        <f>IF(База_КР_КК[[#This Row],[Таб.номер резервиста]]="-","-",IF(OR(База_КР_КК[[#This Row],[Уровень КК]]=2,База_КР_КК[[#This Row],[Уровень КК]]=3),IF(COUNTIFS($U$2:$U2110,$U2110,$F$2:$F2110,$F2110)=1,1,0),IF(COUNTIFS($U$2:$U2110,$U2110,$L$2:$L2110,$L2110)=1,1,0)))</f>
        <v>0</v>
      </c>
      <c r="AA21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0" s="106" t="s">
        <v>20</v>
      </c>
      <c r="AC2110" s="51">
        <v>44552</v>
      </c>
      <c r="AD2110" s="106" t="s">
        <v>15</v>
      </c>
      <c r="AE2110" s="38" t="s">
        <v>343</v>
      </c>
    </row>
    <row r="2111" spans="1:31" ht="18" customHeight="1" x14ac:dyDescent="0.25">
      <c r="A21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1" s="79">
        <v>4</v>
      </c>
      <c r="C2111" s="23">
        <v>44425</v>
      </c>
      <c r="D2111" s="67">
        <f>IF(COUNTIF($G$2:$G2111,$G2111)=1,1,0)</f>
        <v>1</v>
      </c>
      <c r="E2111" s="67" t="str">
        <f>IFERROR(VLOOKUP(База_КР_КК[[#This Row],[ИД штатной должности (S)]],'уровень защищенности'!$B$7:$F$1095,5,0),"не защищена")</f>
        <v>высокий</v>
      </c>
      <c r="F2111" s="68">
        <v>500279</v>
      </c>
      <c r="G2111" s="74" t="s">
        <v>2622</v>
      </c>
      <c r="H2111" s="181">
        <f>INDEX('Списки данных'!$D$2:$D$1048576,MATCH(База_КР_КК[[#This Row],[Структурное подразделение]],'Списки данных'!$C$2:$C$1048576,0))</f>
        <v>13</v>
      </c>
      <c r="I2111" s="80" t="s">
        <v>173</v>
      </c>
      <c r="J2111" s="80" t="s">
        <v>212</v>
      </c>
      <c r="K2111" s="80" t="s">
        <v>213</v>
      </c>
      <c r="L2111" s="30" t="s">
        <v>191</v>
      </c>
      <c r="M2111" s="68">
        <v>7</v>
      </c>
      <c r="N2111" s="181" t="str">
        <f t="shared" si="33"/>
        <v>нет</v>
      </c>
      <c r="O2111" s="23"/>
      <c r="P2111" s="23"/>
      <c r="Q2111" s="106"/>
      <c r="R2111" s="37">
        <v>449</v>
      </c>
      <c r="S2111" s="38" t="s">
        <v>861</v>
      </c>
      <c r="T2111" s="37">
        <v>1527</v>
      </c>
      <c r="U2111" s="39" t="s">
        <v>1884</v>
      </c>
      <c r="V2111" s="69" t="s">
        <v>272</v>
      </c>
      <c r="W2111" s="89" t="s">
        <v>173</v>
      </c>
      <c r="X2111" s="106" t="s">
        <v>295</v>
      </c>
      <c r="Y2111" s="107" t="s">
        <v>12</v>
      </c>
      <c r="Z2111" s="67">
        <f>IF(База_КР_КК[[#This Row],[Таб.номер резервиста]]="-","-",IF(OR(База_КР_КК[[#This Row],[Уровень КК]]=2,База_КР_КК[[#This Row],[Уровень КК]]=3),IF(COUNTIFS($U$2:$U2111,$U2111,$F$2:$F2111,$F2111)=1,1,0),IF(COUNTIFS($U$2:$U2111,$U2111,$L$2:$L2111,$L2111)=1,1,0)))</f>
        <v>0</v>
      </c>
      <c r="AA21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1" s="106"/>
      <c r="AC2111" s="51"/>
      <c r="AD2111" s="106" t="s">
        <v>15</v>
      </c>
      <c r="AE2111" s="38" t="s">
        <v>343</v>
      </c>
    </row>
    <row r="2112" spans="1:31" ht="18" customHeight="1" x14ac:dyDescent="0.25">
      <c r="A21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2" s="79">
        <v>4</v>
      </c>
      <c r="C2112" s="23">
        <v>44425</v>
      </c>
      <c r="D2112" s="67">
        <f>IF(COUNTIF($G$2:$G2112,$G2112)=1,1,0)</f>
        <v>0</v>
      </c>
      <c r="E2112" s="67" t="str">
        <f>IFERROR(VLOOKUP(База_КР_КК[[#This Row],[ИД штатной должности (S)]],'уровень защищенности'!$B$7:$F$1095,5,0),"не защищена")</f>
        <v>высокий</v>
      </c>
      <c r="F2112" s="68">
        <v>500279</v>
      </c>
      <c r="G2112" s="74" t="s">
        <v>2622</v>
      </c>
      <c r="H2112" s="181">
        <f>INDEX('Списки данных'!$D$2:$D$1048576,MATCH(База_КР_КК[[#This Row],[Структурное подразделение]],'Списки данных'!$C$2:$C$1048576,0))</f>
        <v>13</v>
      </c>
      <c r="I2112" s="80" t="s">
        <v>173</v>
      </c>
      <c r="J2112" s="80" t="s">
        <v>212</v>
      </c>
      <c r="K2112" s="80" t="s">
        <v>213</v>
      </c>
      <c r="L2112" s="30" t="s">
        <v>191</v>
      </c>
      <c r="M2112" s="68">
        <v>7</v>
      </c>
      <c r="N2112" s="181" t="str">
        <f t="shared" ref="N2112:N2175" si="34">IF(ISBLANK(O2112),"нет","да")</f>
        <v>нет</v>
      </c>
      <c r="O2112" s="23"/>
      <c r="P2112" s="23"/>
      <c r="Q2112" s="106"/>
      <c r="R2112" s="37">
        <v>449</v>
      </c>
      <c r="S2112" s="38" t="s">
        <v>861</v>
      </c>
      <c r="T2112" s="37">
        <v>1528</v>
      </c>
      <c r="U2112" s="39" t="s">
        <v>1885</v>
      </c>
      <c r="V2112" s="69" t="s">
        <v>272</v>
      </c>
      <c r="W2112" s="89" t="s">
        <v>173</v>
      </c>
      <c r="X2112" s="106" t="s">
        <v>296</v>
      </c>
      <c r="Y2112" s="107" t="s">
        <v>12</v>
      </c>
      <c r="Z2112" s="67">
        <f>IF(База_КР_КК[[#This Row],[Таб.номер резервиста]]="-","-",IF(OR(База_КР_КК[[#This Row],[Уровень КК]]=2,База_КР_КК[[#This Row],[Уровень КК]]=3),IF(COUNTIFS($U$2:$U2112,$U2112,$F$2:$F2112,$F2112)=1,1,0),IF(COUNTIFS($U$2:$U2112,$U2112,$L$2:$L2112,$L2112)=1,1,0)))</f>
        <v>0</v>
      </c>
      <c r="AA21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2" s="106"/>
      <c r="AC2112" s="51"/>
      <c r="AD2112" s="106" t="s">
        <v>15</v>
      </c>
      <c r="AE2112" s="38" t="s">
        <v>343</v>
      </c>
    </row>
    <row r="2113" spans="1:31" ht="18" customHeight="1" x14ac:dyDescent="0.25">
      <c r="A21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3" s="79">
        <v>4</v>
      </c>
      <c r="C2113" s="23">
        <v>44425</v>
      </c>
      <c r="D2113" s="67">
        <f>IF(COUNTIF($G$2:$G2113,$G2113)=1,1,0)</f>
        <v>0</v>
      </c>
      <c r="E2113" s="67" t="str">
        <f>IFERROR(VLOOKUP(База_КР_КК[[#This Row],[ИД штатной должности (S)]],'уровень защищенности'!$B$7:$F$1095,5,0),"не защищена")</f>
        <v>высокий</v>
      </c>
      <c r="F2113" s="68">
        <v>500279</v>
      </c>
      <c r="G2113" s="74" t="s">
        <v>2622</v>
      </c>
      <c r="H2113" s="181">
        <f>INDEX('Списки данных'!$D$2:$D$1048576,MATCH(База_КР_КК[[#This Row],[Структурное подразделение]],'Списки данных'!$C$2:$C$1048576,0))</f>
        <v>13</v>
      </c>
      <c r="I2113" s="80" t="s">
        <v>173</v>
      </c>
      <c r="J2113" s="80" t="s">
        <v>212</v>
      </c>
      <c r="K2113" s="80" t="s">
        <v>213</v>
      </c>
      <c r="L2113" s="30" t="s">
        <v>191</v>
      </c>
      <c r="M2113" s="68">
        <v>7</v>
      </c>
      <c r="N2113" s="181" t="str">
        <f t="shared" si="34"/>
        <v>нет</v>
      </c>
      <c r="O2113" s="23"/>
      <c r="P2113" s="23"/>
      <c r="Q2113" s="106"/>
      <c r="R2113" s="37">
        <v>449</v>
      </c>
      <c r="S2113" s="38" t="s">
        <v>861</v>
      </c>
      <c r="T2113" s="37">
        <v>1529</v>
      </c>
      <c r="U2113" s="39" t="s">
        <v>1886</v>
      </c>
      <c r="V2113" s="69" t="s">
        <v>272</v>
      </c>
      <c r="W2113" s="89" t="s">
        <v>173</v>
      </c>
      <c r="X2113" s="106" t="s">
        <v>297</v>
      </c>
      <c r="Y2113" s="107" t="s">
        <v>12</v>
      </c>
      <c r="Z2113" s="67">
        <f>IF(База_КР_КК[[#This Row],[Таб.номер резервиста]]="-","-",IF(OR(База_КР_КК[[#This Row],[Уровень КК]]=2,База_КР_КК[[#This Row],[Уровень КК]]=3),IF(COUNTIFS($U$2:$U2113,$U2113,$F$2:$F2113,$F2113)=1,1,0),IF(COUNTIFS($U$2:$U2113,$U2113,$L$2:$L2113,$L2113)=1,1,0)))</f>
        <v>0</v>
      </c>
      <c r="AA21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3" s="106"/>
      <c r="AC2113" s="51"/>
      <c r="AD2113" s="106" t="s">
        <v>15</v>
      </c>
      <c r="AE2113" s="38" t="s">
        <v>343</v>
      </c>
    </row>
    <row r="2114" spans="1:31" ht="18" customHeight="1" x14ac:dyDescent="0.25">
      <c r="A21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4" s="79">
        <v>4</v>
      </c>
      <c r="C2114" s="23">
        <v>44425</v>
      </c>
      <c r="D2114" s="67">
        <f>IF(COUNTIF($G$2:$G2114,$G2114)=1,1,0)</f>
        <v>0</v>
      </c>
      <c r="E2114" s="67" t="str">
        <f>IFERROR(VLOOKUP(База_КР_КК[[#This Row],[ИД штатной должности (S)]],'уровень защищенности'!$B$7:$F$1095,5,0),"не защищена")</f>
        <v>высокий</v>
      </c>
      <c r="F2114" s="68">
        <v>500279</v>
      </c>
      <c r="G2114" s="74" t="s">
        <v>2622</v>
      </c>
      <c r="H2114" s="181">
        <f>INDEX('Списки данных'!$D$2:$D$1048576,MATCH(База_КР_КК[[#This Row],[Структурное подразделение]],'Списки данных'!$C$2:$C$1048576,0))</f>
        <v>13</v>
      </c>
      <c r="I2114" s="80" t="s">
        <v>173</v>
      </c>
      <c r="J2114" s="80" t="s">
        <v>212</v>
      </c>
      <c r="K2114" s="80" t="s">
        <v>213</v>
      </c>
      <c r="L2114" s="30" t="s">
        <v>191</v>
      </c>
      <c r="M2114" s="68">
        <v>7</v>
      </c>
      <c r="N2114" s="181" t="str">
        <f t="shared" si="34"/>
        <v>нет</v>
      </c>
      <c r="O2114" s="23"/>
      <c r="P2114" s="23"/>
      <c r="Q2114" s="106"/>
      <c r="R2114" s="37">
        <v>449</v>
      </c>
      <c r="S2114" s="38" t="s">
        <v>861</v>
      </c>
      <c r="T2114" s="37">
        <v>1530</v>
      </c>
      <c r="U2114" s="39" t="s">
        <v>1887</v>
      </c>
      <c r="V2114" s="69" t="s">
        <v>272</v>
      </c>
      <c r="W2114" s="89" t="s">
        <v>173</v>
      </c>
      <c r="X2114" s="106" t="s">
        <v>296</v>
      </c>
      <c r="Y2114" s="107" t="s">
        <v>12</v>
      </c>
      <c r="Z2114" s="67">
        <f>IF(База_КР_КК[[#This Row],[Таб.номер резервиста]]="-","-",IF(OR(База_КР_КК[[#This Row],[Уровень КК]]=2,База_КР_КК[[#This Row],[Уровень КК]]=3),IF(COUNTIFS($U$2:$U2114,$U2114,$F$2:$F2114,$F2114)=1,1,0),IF(COUNTIFS($U$2:$U2114,$U2114,$L$2:$L2114,$L2114)=1,1,0)))</f>
        <v>0</v>
      </c>
      <c r="AA21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4" s="106"/>
      <c r="AC2114" s="51"/>
      <c r="AD2114" s="106" t="s">
        <v>15</v>
      </c>
      <c r="AE2114" s="38" t="s">
        <v>343</v>
      </c>
    </row>
    <row r="2115" spans="1:31" ht="18" customHeight="1" x14ac:dyDescent="0.25">
      <c r="A21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5" s="79">
        <v>4</v>
      </c>
      <c r="C2115" s="23">
        <v>44425</v>
      </c>
      <c r="D2115" s="67">
        <f>IF(COUNTIF($G$2:$G2115,$G2115)=1,1,0)</f>
        <v>0</v>
      </c>
      <c r="E2115" s="67" t="str">
        <f>IFERROR(VLOOKUP(База_КР_КК[[#This Row],[ИД штатной должности (S)]],'уровень защищенности'!$B$7:$F$1095,5,0),"не защищена")</f>
        <v>высокий</v>
      </c>
      <c r="F2115" s="68">
        <v>500279</v>
      </c>
      <c r="G2115" s="74" t="s">
        <v>2622</v>
      </c>
      <c r="H2115" s="181">
        <f>INDEX('Списки данных'!$D$2:$D$1048576,MATCH(База_КР_КК[[#This Row],[Структурное подразделение]],'Списки данных'!$C$2:$C$1048576,0))</f>
        <v>13</v>
      </c>
      <c r="I2115" s="80" t="s">
        <v>173</v>
      </c>
      <c r="J2115" s="80" t="s">
        <v>212</v>
      </c>
      <c r="K2115" s="80" t="s">
        <v>213</v>
      </c>
      <c r="L2115" s="30" t="s">
        <v>191</v>
      </c>
      <c r="M2115" s="68">
        <v>7</v>
      </c>
      <c r="N2115" s="181" t="str">
        <f t="shared" si="34"/>
        <v>нет</v>
      </c>
      <c r="O2115" s="23"/>
      <c r="P2115" s="23"/>
      <c r="Q2115" s="106"/>
      <c r="R2115" s="37">
        <v>449</v>
      </c>
      <c r="S2115" s="38" t="s">
        <v>861</v>
      </c>
      <c r="T2115" s="37">
        <v>1531</v>
      </c>
      <c r="U2115" s="39" t="s">
        <v>1575</v>
      </c>
      <c r="V2115" s="69" t="s">
        <v>272</v>
      </c>
      <c r="W2115" s="89" t="s">
        <v>173</v>
      </c>
      <c r="X2115" s="106" t="s">
        <v>297</v>
      </c>
      <c r="Y2115" s="107" t="s">
        <v>12</v>
      </c>
      <c r="Z2115" s="67">
        <f>IF(База_КР_КК[[#This Row],[Таб.номер резервиста]]="-","-",IF(OR(База_КР_КК[[#This Row],[Уровень КК]]=2,База_КР_КК[[#This Row],[Уровень КК]]=3),IF(COUNTIFS($U$2:$U2115,$U2115,$F$2:$F2115,$F2115)=1,1,0),IF(COUNTIFS($U$2:$U2115,$U2115,$L$2:$L2115,$L2115)=1,1,0)))</f>
        <v>0</v>
      </c>
      <c r="AA21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5" s="106"/>
      <c r="AC2115" s="51"/>
      <c r="AD2115" s="106" t="s">
        <v>15</v>
      </c>
      <c r="AE2115" s="38" t="s">
        <v>343</v>
      </c>
    </row>
    <row r="2116" spans="1:31" ht="18" customHeight="1" x14ac:dyDescent="0.25">
      <c r="A21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6" s="79">
        <v>4</v>
      </c>
      <c r="C2116" s="23">
        <v>44890</v>
      </c>
      <c r="D2116" s="67">
        <f>IF(COUNTIF($G$2:$G2116,$G2116)=1,1,0)</f>
        <v>0</v>
      </c>
      <c r="E2116" s="67" t="str">
        <f>IFERROR(VLOOKUP(База_КР_КК[[#This Row],[ИД штатной должности (S)]],'уровень защищенности'!$B$7:$F$1095,5,0),"не защищена")</f>
        <v>высокий</v>
      </c>
      <c r="F2116" s="68">
        <v>500279</v>
      </c>
      <c r="G2116" s="74" t="s">
        <v>2622</v>
      </c>
      <c r="H2116" s="181">
        <f>INDEX('Списки данных'!$D$2:$D$1048576,MATCH(База_КР_КК[[#This Row],[Структурное подразделение]],'Списки данных'!$C$2:$C$1048576,0))</f>
        <v>13</v>
      </c>
      <c r="I2116" s="80" t="s">
        <v>173</v>
      </c>
      <c r="J2116" s="80" t="s">
        <v>212</v>
      </c>
      <c r="K2116" s="80" t="s">
        <v>213</v>
      </c>
      <c r="L2116" s="30" t="s">
        <v>191</v>
      </c>
      <c r="M2116" s="68">
        <v>7</v>
      </c>
      <c r="N2116" s="181" t="str">
        <f t="shared" si="34"/>
        <v>нет</v>
      </c>
      <c r="O2116" s="23"/>
      <c r="P2116" s="23"/>
      <c r="Q2116" s="106"/>
      <c r="R2116" s="37">
        <v>449</v>
      </c>
      <c r="S2116" s="38" t="s">
        <v>861</v>
      </c>
      <c r="T2116" s="37">
        <v>1532</v>
      </c>
      <c r="U2116" s="39" t="s">
        <v>1888</v>
      </c>
      <c r="V2116" s="69" t="s">
        <v>272</v>
      </c>
      <c r="W2116" s="89" t="s">
        <v>173</v>
      </c>
      <c r="X2116" s="106" t="s">
        <v>296</v>
      </c>
      <c r="Y2116" s="107" t="s">
        <v>12</v>
      </c>
      <c r="Z2116" s="67">
        <f>IF(База_КР_КК[[#This Row],[Таб.номер резервиста]]="-","-",IF(OR(База_КР_КК[[#This Row],[Уровень КК]]=2,База_КР_КК[[#This Row],[Уровень КК]]=3),IF(COUNTIFS($U$2:$U2116,$U2116,$F$2:$F2116,$F2116)=1,1,0),IF(COUNTIFS($U$2:$U2116,$U2116,$L$2:$L2116,$L2116)=1,1,0)))</f>
        <v>0</v>
      </c>
      <c r="AA21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6" s="106"/>
      <c r="AC2116" s="51"/>
      <c r="AD2116" s="106" t="s">
        <v>15</v>
      </c>
      <c r="AE2116" s="38" t="s">
        <v>344</v>
      </c>
    </row>
    <row r="2117" spans="1:31" ht="18" customHeight="1" x14ac:dyDescent="0.25">
      <c r="A21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7" s="79">
        <v>4</v>
      </c>
      <c r="C2117" s="23">
        <v>44890</v>
      </c>
      <c r="D2117" s="67">
        <f>IF(COUNTIF($G$2:$G2117,$G2117)=1,1,0)</f>
        <v>0</v>
      </c>
      <c r="E2117" s="67" t="str">
        <f>IFERROR(VLOOKUP(База_КР_КК[[#This Row],[ИД штатной должности (S)]],'уровень защищенности'!$B$7:$F$1095,5,0),"не защищена")</f>
        <v>высокий</v>
      </c>
      <c r="F2117" s="68">
        <v>500279</v>
      </c>
      <c r="G2117" s="74" t="s">
        <v>2622</v>
      </c>
      <c r="H2117" s="181">
        <f>INDEX('Списки данных'!$D$2:$D$1048576,MATCH(База_КР_КК[[#This Row],[Структурное подразделение]],'Списки данных'!$C$2:$C$1048576,0))</f>
        <v>13</v>
      </c>
      <c r="I2117" s="80" t="s">
        <v>173</v>
      </c>
      <c r="J2117" s="80" t="s">
        <v>212</v>
      </c>
      <c r="K2117" s="80" t="s">
        <v>213</v>
      </c>
      <c r="L2117" s="30" t="s">
        <v>191</v>
      </c>
      <c r="M2117" s="68">
        <v>7</v>
      </c>
      <c r="N2117" s="181" t="str">
        <f t="shared" si="34"/>
        <v>нет</v>
      </c>
      <c r="O2117" s="23"/>
      <c r="P2117" s="23"/>
      <c r="Q2117" s="106"/>
      <c r="R2117" s="37">
        <v>449</v>
      </c>
      <c r="S2117" s="38" t="s">
        <v>861</v>
      </c>
      <c r="T2117" s="37">
        <v>1533</v>
      </c>
      <c r="U2117" s="39" t="s">
        <v>1889</v>
      </c>
      <c r="V2117" s="69" t="s">
        <v>272</v>
      </c>
      <c r="W2117" s="89" t="s">
        <v>173</v>
      </c>
      <c r="X2117" s="106" t="s">
        <v>296</v>
      </c>
      <c r="Y2117" s="107" t="s">
        <v>12</v>
      </c>
      <c r="Z2117" s="67">
        <f>IF(База_КР_КК[[#This Row],[Таб.номер резервиста]]="-","-",IF(OR(База_КР_КК[[#This Row],[Уровень КК]]=2,База_КР_КК[[#This Row],[Уровень КК]]=3),IF(COUNTIFS($U$2:$U2117,$U2117,$F$2:$F2117,$F2117)=1,1,0),IF(COUNTIFS($U$2:$U2117,$U2117,$L$2:$L2117,$L2117)=1,1,0)))</f>
        <v>0</v>
      </c>
      <c r="AA21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7" s="106"/>
      <c r="AC2117" s="51"/>
      <c r="AD2117" s="106" t="s">
        <v>15</v>
      </c>
      <c r="AE2117" s="38" t="s">
        <v>344</v>
      </c>
    </row>
    <row r="2118" spans="1:31" ht="18" customHeight="1" x14ac:dyDescent="0.25">
      <c r="A21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8" s="79">
        <v>4</v>
      </c>
      <c r="C2118" s="23">
        <v>44890</v>
      </c>
      <c r="D2118" s="67">
        <f>IF(COUNTIF($G$2:$G2118,$G2118)=1,1,0)</f>
        <v>0</v>
      </c>
      <c r="E2118" s="67" t="str">
        <f>IFERROR(VLOOKUP(База_КР_КК[[#This Row],[ИД штатной должности (S)]],'уровень защищенности'!$B$7:$F$1095,5,0),"не защищена")</f>
        <v>высокий</v>
      </c>
      <c r="F2118" s="68">
        <v>500279</v>
      </c>
      <c r="G2118" s="74" t="s">
        <v>2622</v>
      </c>
      <c r="H2118" s="181">
        <f>INDEX('Списки данных'!$D$2:$D$1048576,MATCH(База_КР_КК[[#This Row],[Структурное подразделение]],'Списки данных'!$C$2:$C$1048576,0))</f>
        <v>13</v>
      </c>
      <c r="I2118" s="80" t="s">
        <v>173</v>
      </c>
      <c r="J2118" s="80" t="s">
        <v>212</v>
      </c>
      <c r="K2118" s="80" t="s">
        <v>213</v>
      </c>
      <c r="L2118" s="30" t="s">
        <v>191</v>
      </c>
      <c r="M2118" s="68">
        <v>7</v>
      </c>
      <c r="N2118" s="181" t="str">
        <f t="shared" si="34"/>
        <v>нет</v>
      </c>
      <c r="O2118" s="23"/>
      <c r="P2118" s="23"/>
      <c r="Q2118" s="106"/>
      <c r="R2118" s="37">
        <v>449</v>
      </c>
      <c r="S2118" s="38" t="s">
        <v>861</v>
      </c>
      <c r="T2118" s="37">
        <v>1534</v>
      </c>
      <c r="U2118" s="39" t="s">
        <v>1890</v>
      </c>
      <c r="V2118" s="69" t="s">
        <v>272</v>
      </c>
      <c r="W2118" s="89" t="s">
        <v>173</v>
      </c>
      <c r="X2118" s="106" t="s">
        <v>296</v>
      </c>
      <c r="Y2118" s="107" t="s">
        <v>12</v>
      </c>
      <c r="Z2118" s="67">
        <f>IF(База_КР_КК[[#This Row],[Таб.номер резервиста]]="-","-",IF(OR(База_КР_КК[[#This Row],[Уровень КК]]=2,База_КР_КК[[#This Row],[Уровень КК]]=3),IF(COUNTIFS($U$2:$U2118,$U2118,$F$2:$F2118,$F2118)=1,1,0),IF(COUNTIFS($U$2:$U2118,$U2118,$L$2:$L2118,$L2118)=1,1,0)))</f>
        <v>0</v>
      </c>
      <c r="AA21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8" s="106"/>
      <c r="AC2118" s="51"/>
      <c r="AD2118" s="106" t="s">
        <v>15</v>
      </c>
      <c r="AE2118" s="38" t="s">
        <v>344</v>
      </c>
    </row>
    <row r="2119" spans="1:31" ht="18" customHeight="1" x14ac:dyDescent="0.25">
      <c r="A21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19" s="79">
        <v>4</v>
      </c>
      <c r="C2119" s="23">
        <v>44890</v>
      </c>
      <c r="D2119" s="67">
        <f>IF(COUNTIF($G$2:$G2119,$G2119)=1,1,0)</f>
        <v>0</v>
      </c>
      <c r="E2119" s="67" t="str">
        <f>IFERROR(VLOOKUP(База_КР_КК[[#This Row],[ИД штатной должности (S)]],'уровень защищенности'!$B$7:$F$1095,5,0),"не защищена")</f>
        <v>высокий</v>
      </c>
      <c r="F2119" s="68">
        <v>500279</v>
      </c>
      <c r="G2119" s="74" t="s">
        <v>2622</v>
      </c>
      <c r="H2119" s="181">
        <f>INDEX('Списки данных'!$D$2:$D$1048576,MATCH(База_КР_КК[[#This Row],[Структурное подразделение]],'Списки данных'!$C$2:$C$1048576,0))</f>
        <v>13</v>
      </c>
      <c r="I2119" s="80" t="s">
        <v>173</v>
      </c>
      <c r="J2119" s="80" t="s">
        <v>212</v>
      </c>
      <c r="K2119" s="80" t="s">
        <v>213</v>
      </c>
      <c r="L2119" s="30" t="s">
        <v>191</v>
      </c>
      <c r="M2119" s="68">
        <v>7</v>
      </c>
      <c r="N2119" s="181" t="str">
        <f t="shared" si="34"/>
        <v>нет</v>
      </c>
      <c r="O2119" s="23"/>
      <c r="P2119" s="23"/>
      <c r="Q2119" s="106"/>
      <c r="R2119" s="37">
        <v>449</v>
      </c>
      <c r="S2119" s="38" t="s">
        <v>861</v>
      </c>
      <c r="T2119" s="37">
        <v>1535</v>
      </c>
      <c r="U2119" s="39" t="s">
        <v>1634</v>
      </c>
      <c r="V2119" s="69" t="s">
        <v>272</v>
      </c>
      <c r="W2119" s="89" t="s">
        <v>173</v>
      </c>
      <c r="X2119" s="106" t="s">
        <v>296</v>
      </c>
      <c r="Y2119" s="107" t="s">
        <v>12</v>
      </c>
      <c r="Z2119" s="67">
        <f>IF(База_КР_КК[[#This Row],[Таб.номер резервиста]]="-","-",IF(OR(База_КР_КК[[#This Row],[Уровень КК]]=2,База_КР_КК[[#This Row],[Уровень КК]]=3),IF(COUNTIFS($U$2:$U2119,$U2119,$F$2:$F2119,$F2119)=1,1,0),IF(COUNTIFS($U$2:$U2119,$U2119,$L$2:$L2119,$L2119)=1,1,0)))</f>
        <v>0</v>
      </c>
      <c r="AA21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19" s="106"/>
      <c r="AC2119" s="51"/>
      <c r="AD2119" s="106" t="s">
        <v>15</v>
      </c>
      <c r="AE2119" s="38" t="s">
        <v>344</v>
      </c>
    </row>
    <row r="2120" spans="1:31" ht="18" customHeight="1" x14ac:dyDescent="0.25">
      <c r="A21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0" s="79">
        <v>4</v>
      </c>
      <c r="C2120" s="23">
        <v>44890</v>
      </c>
      <c r="D2120" s="67">
        <f>IF(COUNTIF($G$2:$G2120,$G2120)=1,1,0)</f>
        <v>0</v>
      </c>
      <c r="E2120" s="67" t="str">
        <f>IFERROR(VLOOKUP(База_КР_КК[[#This Row],[ИД штатной должности (S)]],'уровень защищенности'!$B$7:$F$1095,5,0),"не защищена")</f>
        <v>высокий</v>
      </c>
      <c r="F2120" s="68">
        <v>500279</v>
      </c>
      <c r="G2120" s="74" t="s">
        <v>2622</v>
      </c>
      <c r="H2120" s="181">
        <f>INDEX('Списки данных'!$D$2:$D$1048576,MATCH(База_КР_КК[[#This Row],[Структурное подразделение]],'Списки данных'!$C$2:$C$1048576,0))</f>
        <v>13</v>
      </c>
      <c r="I2120" s="80" t="s">
        <v>173</v>
      </c>
      <c r="J2120" s="80" t="s">
        <v>212</v>
      </c>
      <c r="K2120" s="80" t="s">
        <v>213</v>
      </c>
      <c r="L2120" s="30" t="s">
        <v>191</v>
      </c>
      <c r="M2120" s="68">
        <v>7</v>
      </c>
      <c r="N2120" s="181" t="str">
        <f t="shared" si="34"/>
        <v>нет</v>
      </c>
      <c r="O2120" s="23"/>
      <c r="P2120" s="23"/>
      <c r="Q2120" s="106"/>
      <c r="R2120" s="37">
        <v>449</v>
      </c>
      <c r="S2120" s="38" t="s">
        <v>861</v>
      </c>
      <c r="T2120" s="37">
        <v>1536</v>
      </c>
      <c r="U2120" s="39" t="s">
        <v>1891</v>
      </c>
      <c r="V2120" s="69" t="s">
        <v>272</v>
      </c>
      <c r="W2120" s="89" t="s">
        <v>173</v>
      </c>
      <c r="X2120" s="106" t="s">
        <v>296</v>
      </c>
      <c r="Y2120" s="107" t="s">
        <v>12</v>
      </c>
      <c r="Z2120" s="67">
        <f>IF(База_КР_КК[[#This Row],[Таб.номер резервиста]]="-","-",IF(OR(База_КР_КК[[#This Row],[Уровень КК]]=2,База_КР_КК[[#This Row],[Уровень КК]]=3),IF(COUNTIFS($U$2:$U2120,$U2120,$F$2:$F2120,$F2120)=1,1,0),IF(COUNTIFS($U$2:$U2120,$U2120,$L$2:$L2120,$L2120)=1,1,0)))</f>
        <v>0</v>
      </c>
      <c r="AA21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0" s="106"/>
      <c r="AC2120" s="51"/>
      <c r="AD2120" s="106" t="s">
        <v>15</v>
      </c>
      <c r="AE2120" s="38" t="s">
        <v>344</v>
      </c>
    </row>
    <row r="2121" spans="1:31" ht="18" customHeight="1" x14ac:dyDescent="0.25">
      <c r="A21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1" s="79">
        <v>4</v>
      </c>
      <c r="C2121" s="23">
        <v>44425</v>
      </c>
      <c r="D2121" s="67">
        <f>IF(COUNTIF($G$2:$G2121,$G2121)=1,1,0)</f>
        <v>0</v>
      </c>
      <c r="E2121" s="67" t="str">
        <f>IFERROR(VLOOKUP(База_КР_КК[[#This Row],[ИД штатной должности (S)]],'уровень защищенности'!$B$7:$F$1095,5,0),"не защищена")</f>
        <v>высокий</v>
      </c>
      <c r="F2121" s="68">
        <v>500279</v>
      </c>
      <c r="G2121" s="74" t="s">
        <v>2622</v>
      </c>
      <c r="H2121" s="181">
        <f>INDEX('Списки данных'!$D$2:$D$1048576,MATCH(База_КР_КК[[#This Row],[Структурное подразделение]],'Списки данных'!$C$2:$C$1048576,0))</f>
        <v>13</v>
      </c>
      <c r="I2121" s="80" t="s">
        <v>173</v>
      </c>
      <c r="J2121" s="80" t="s">
        <v>212</v>
      </c>
      <c r="K2121" s="80" t="s">
        <v>213</v>
      </c>
      <c r="L2121" s="30" t="s">
        <v>191</v>
      </c>
      <c r="M2121" s="68">
        <v>7</v>
      </c>
      <c r="N2121" s="181" t="str">
        <f t="shared" si="34"/>
        <v>нет</v>
      </c>
      <c r="O2121" s="23"/>
      <c r="P2121" s="23"/>
      <c r="Q2121" s="106"/>
      <c r="R2121" s="37">
        <v>449</v>
      </c>
      <c r="S2121" s="38" t="s">
        <v>861</v>
      </c>
      <c r="T2121" s="37">
        <v>1537</v>
      </c>
      <c r="U2121" s="39" t="s">
        <v>1892</v>
      </c>
      <c r="V2121" s="69" t="s">
        <v>272</v>
      </c>
      <c r="W2121" s="89" t="s">
        <v>173</v>
      </c>
      <c r="X2121" s="106" t="s">
        <v>295</v>
      </c>
      <c r="Y2121" s="107" t="s">
        <v>18</v>
      </c>
      <c r="Z2121" s="67">
        <f>IF(База_КР_КК[[#This Row],[Таб.номер резервиста]]="-","-",IF(OR(База_КР_КК[[#This Row],[Уровень КК]]=2,База_КР_КК[[#This Row],[Уровень КК]]=3),IF(COUNTIFS($U$2:$U2121,$U2121,$F$2:$F2121,$F2121)=1,1,0),IF(COUNTIFS($U$2:$U2121,$U2121,$L$2:$L2121,$L2121)=1,1,0)))</f>
        <v>0</v>
      </c>
      <c r="AA21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1" s="106" t="s">
        <v>38</v>
      </c>
      <c r="AC2121" s="51">
        <v>44890</v>
      </c>
      <c r="AD2121" s="106" t="s">
        <v>31</v>
      </c>
      <c r="AE2121" s="38" t="s">
        <v>344</v>
      </c>
    </row>
    <row r="2122" spans="1:31" ht="18" customHeight="1" x14ac:dyDescent="0.25">
      <c r="A21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2" s="79">
        <v>4</v>
      </c>
      <c r="C2122" s="23">
        <v>44425</v>
      </c>
      <c r="D2122" s="67">
        <f>IF(COUNTIF($G$2:$G2122,$G2122)=1,1,0)</f>
        <v>0</v>
      </c>
      <c r="E2122" s="67" t="str">
        <f>IFERROR(VLOOKUP(База_КР_КК[[#This Row],[ИД штатной должности (S)]],'уровень защищенности'!$B$7:$F$1095,5,0),"не защищена")</f>
        <v>высокий</v>
      </c>
      <c r="F2122" s="68">
        <v>500279</v>
      </c>
      <c r="G2122" s="74" t="s">
        <v>2622</v>
      </c>
      <c r="H2122" s="181">
        <f>INDEX('Списки данных'!$D$2:$D$1048576,MATCH(База_КР_КК[[#This Row],[Структурное подразделение]],'Списки данных'!$C$2:$C$1048576,0))</f>
        <v>13</v>
      </c>
      <c r="I2122" s="80" t="s">
        <v>173</v>
      </c>
      <c r="J2122" s="80" t="s">
        <v>212</v>
      </c>
      <c r="K2122" s="80" t="s">
        <v>213</v>
      </c>
      <c r="L2122" s="30" t="s">
        <v>191</v>
      </c>
      <c r="M2122" s="68">
        <v>7</v>
      </c>
      <c r="N2122" s="181" t="str">
        <f t="shared" si="34"/>
        <v>нет</v>
      </c>
      <c r="O2122" s="23"/>
      <c r="P2122" s="23"/>
      <c r="Q2122" s="106"/>
      <c r="R2122" s="37">
        <v>449</v>
      </c>
      <c r="S2122" s="38" t="s">
        <v>861</v>
      </c>
      <c r="T2122" s="37">
        <v>1538</v>
      </c>
      <c r="U2122" s="39" t="s">
        <v>1893</v>
      </c>
      <c r="V2122" s="69" t="s">
        <v>272</v>
      </c>
      <c r="W2122" s="89" t="s">
        <v>173</v>
      </c>
      <c r="X2122" s="106" t="s">
        <v>297</v>
      </c>
      <c r="Y2122" s="107" t="s">
        <v>18</v>
      </c>
      <c r="Z2122" s="67">
        <f>IF(База_КР_КК[[#This Row],[Таб.номер резервиста]]="-","-",IF(OR(База_КР_КК[[#This Row],[Уровень КК]]=2,База_КР_КК[[#This Row],[Уровень КК]]=3),IF(COUNTIFS($U$2:$U2122,$U2122,$F$2:$F2122,$F2122)=1,1,0),IF(COUNTIFS($U$2:$U2122,$U2122,$L$2:$L2122,$L2122)=1,1,0)))</f>
        <v>0</v>
      </c>
      <c r="AA21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2" s="106" t="s">
        <v>20</v>
      </c>
      <c r="AC2122" s="51">
        <v>44552</v>
      </c>
      <c r="AD2122" s="106" t="s">
        <v>15</v>
      </c>
      <c r="AE2122" s="38" t="s">
        <v>343</v>
      </c>
    </row>
    <row r="2123" spans="1:31" ht="18" customHeight="1" x14ac:dyDescent="0.25">
      <c r="A21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3" s="79">
        <v>2</v>
      </c>
      <c r="C2123" s="23">
        <v>43080</v>
      </c>
      <c r="D2123" s="67">
        <f>IF(COUNTIF($G$2:$G2123,$G2123)=1,1,0)</f>
        <v>1</v>
      </c>
      <c r="E2123" s="67" t="str">
        <f>IFERROR(VLOOKUP(База_КР_КК[[#This Row],[ИД штатной должности (S)]],'уровень защищенности'!$B$7:$F$1095,5,0),"не защищена")</f>
        <v>высокий</v>
      </c>
      <c r="F2123" s="68">
        <v>500551</v>
      </c>
      <c r="G2123" s="74" t="s">
        <v>2623</v>
      </c>
      <c r="H2123" s="181">
        <f>INDEX('Списки данных'!$D$2:$D$1048576,MATCH(База_КР_КК[[#This Row],[Структурное подразделение]],'Списки данных'!$C$2:$C$1048576,0))</f>
        <v>219</v>
      </c>
      <c r="I2123" s="80" t="s">
        <v>128</v>
      </c>
      <c r="J2123" s="80" t="s">
        <v>219</v>
      </c>
      <c r="K2123" s="80" t="s">
        <v>21</v>
      </c>
      <c r="L2123" s="30" t="s">
        <v>181</v>
      </c>
      <c r="M2123" s="68">
        <v>3</v>
      </c>
      <c r="N2123" s="181" t="str">
        <f t="shared" si="34"/>
        <v>да</v>
      </c>
      <c r="O2123" s="23">
        <v>43586</v>
      </c>
      <c r="P2123" s="23">
        <v>43586</v>
      </c>
      <c r="Q2123" s="106" t="s">
        <v>66</v>
      </c>
      <c r="R2123" s="37">
        <v>450</v>
      </c>
      <c r="S2123" s="38" t="s">
        <v>862</v>
      </c>
      <c r="T2123" s="37">
        <v>293</v>
      </c>
      <c r="U2123" s="39" t="s">
        <v>705</v>
      </c>
      <c r="V2123" s="89" t="s">
        <v>183</v>
      </c>
      <c r="W2123" s="89" t="s">
        <v>161</v>
      </c>
      <c r="X2123" s="106" t="s">
        <v>295</v>
      </c>
      <c r="Y2123" s="107" t="s">
        <v>12</v>
      </c>
      <c r="Z2123" s="67">
        <f>IF(База_КР_КК[[#This Row],[Таб.номер резервиста]]="-","-",IF(OR(База_КР_КК[[#This Row],[Уровень КК]]=2,База_КР_КК[[#This Row],[Уровень КК]]=3),IF(COUNTIFS($U$2:$U2123,$U2123,$F$2:$F2123,$F2123)=1,1,0),IF(COUNTIFS($U$2:$U2123,$U2123,$L$2:$L2123,$L2123)=1,1,0)))</f>
        <v>1</v>
      </c>
      <c r="AA21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3" s="106"/>
      <c r="AC2123" s="51"/>
      <c r="AD2123" s="106" t="s">
        <v>13</v>
      </c>
      <c r="AE2123" s="40" t="s">
        <v>358</v>
      </c>
    </row>
    <row r="2124" spans="1:31" ht="18" customHeight="1" x14ac:dyDescent="0.25">
      <c r="A21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4" s="79">
        <v>2</v>
      </c>
      <c r="C2124" s="23">
        <v>44340</v>
      </c>
      <c r="D2124" s="67">
        <f>IF(COUNTIF($G$2:$G2124,$G2124)=1,1,0)</f>
        <v>0</v>
      </c>
      <c r="E2124" s="67" t="str">
        <f>IFERROR(VLOOKUP(База_КР_КК[[#This Row],[ИД штатной должности (S)]],'уровень защищенности'!$B$7:$F$1095,5,0),"не защищена")</f>
        <v>высокий</v>
      </c>
      <c r="F2124" s="68">
        <v>500551</v>
      </c>
      <c r="G2124" s="74" t="s">
        <v>2623</v>
      </c>
      <c r="H2124" s="181">
        <f>INDEX('Списки данных'!$D$2:$D$1048576,MATCH(База_КР_КК[[#This Row],[Структурное подразделение]],'Списки данных'!$C$2:$C$1048576,0))</f>
        <v>219</v>
      </c>
      <c r="I2124" s="80" t="s">
        <v>128</v>
      </c>
      <c r="J2124" s="80" t="s">
        <v>219</v>
      </c>
      <c r="K2124" s="80" t="s">
        <v>21</v>
      </c>
      <c r="L2124" s="30" t="s">
        <v>181</v>
      </c>
      <c r="M2124" s="68">
        <v>3</v>
      </c>
      <c r="N2124" s="181" t="str">
        <f t="shared" si="34"/>
        <v>да</v>
      </c>
      <c r="O2124" s="23">
        <v>43586</v>
      </c>
      <c r="P2124" s="23">
        <v>43586</v>
      </c>
      <c r="Q2124" s="106" t="s">
        <v>66</v>
      </c>
      <c r="R2124" s="37">
        <v>450</v>
      </c>
      <c r="S2124" s="38" t="s">
        <v>862</v>
      </c>
      <c r="T2124" s="37">
        <v>410</v>
      </c>
      <c r="U2124" s="39" t="s">
        <v>822</v>
      </c>
      <c r="V2124" s="89" t="s">
        <v>183</v>
      </c>
      <c r="W2124" s="89" t="s">
        <v>173</v>
      </c>
      <c r="X2124" s="106" t="s">
        <v>297</v>
      </c>
      <c r="Y2124" s="107" t="s">
        <v>12</v>
      </c>
      <c r="Z2124" s="67">
        <f>IF(База_КР_КК[[#This Row],[Таб.номер резервиста]]="-","-",IF(OR(База_КР_КК[[#This Row],[Уровень КК]]=2,База_КР_КК[[#This Row],[Уровень КК]]=3),IF(COUNTIFS($U$2:$U2124,$U2124,$F$2:$F2124,$F2124)=1,1,0),IF(COUNTIFS($U$2:$U2124,$U2124,$L$2:$L2124,$L2124)=1,1,0)))</f>
        <v>1</v>
      </c>
      <c r="AA21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4" s="106"/>
      <c r="AC2124" s="51"/>
      <c r="AD2124" s="106" t="s">
        <v>17</v>
      </c>
      <c r="AE2124" s="40" t="s">
        <v>358</v>
      </c>
    </row>
    <row r="2125" spans="1:31" ht="18" customHeight="1" x14ac:dyDescent="0.25">
      <c r="A21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5" s="79">
        <v>2</v>
      </c>
      <c r="C2125" s="23">
        <v>43080</v>
      </c>
      <c r="D2125" s="67">
        <f>IF(COUNTIF($G$2:$G2125,$G2125)=1,1,0)</f>
        <v>0</v>
      </c>
      <c r="E2125" s="67" t="str">
        <f>IFERROR(VLOOKUP(База_КР_КК[[#This Row],[ИД штатной должности (S)]],'уровень защищенности'!$B$7:$F$1095,5,0),"не защищена")</f>
        <v>высокий</v>
      </c>
      <c r="F2125" s="68">
        <v>500551</v>
      </c>
      <c r="G2125" s="74" t="s">
        <v>2623</v>
      </c>
      <c r="H2125" s="181">
        <f>INDEX('Списки данных'!$D$2:$D$1048576,MATCH(База_КР_КК[[#This Row],[Структурное подразделение]],'Списки данных'!$C$2:$C$1048576,0))</f>
        <v>219</v>
      </c>
      <c r="I2125" s="80" t="s">
        <v>128</v>
      </c>
      <c r="J2125" s="80" t="s">
        <v>219</v>
      </c>
      <c r="K2125" s="80" t="s">
        <v>21</v>
      </c>
      <c r="L2125" s="30" t="s">
        <v>181</v>
      </c>
      <c r="M2125" s="68">
        <v>3</v>
      </c>
      <c r="N2125" s="181" t="str">
        <f t="shared" si="34"/>
        <v>да</v>
      </c>
      <c r="O2125" s="23">
        <v>43586</v>
      </c>
      <c r="P2125" s="23">
        <v>43586</v>
      </c>
      <c r="Q2125" s="106" t="s">
        <v>66</v>
      </c>
      <c r="R2125" s="37">
        <v>450</v>
      </c>
      <c r="S2125" s="38" t="s">
        <v>862</v>
      </c>
      <c r="T2125" s="37">
        <v>450</v>
      </c>
      <c r="U2125" s="39" t="s">
        <v>862</v>
      </c>
      <c r="V2125" s="89" t="s">
        <v>183</v>
      </c>
      <c r="W2125" s="89" t="s">
        <v>128</v>
      </c>
      <c r="X2125" s="106" t="s">
        <v>295</v>
      </c>
      <c r="Y2125" s="107" t="s">
        <v>14</v>
      </c>
      <c r="Z2125" s="67">
        <f>IF(База_КР_КК[[#This Row],[Таб.номер резервиста]]="-","-",IF(OR(База_КР_КК[[#This Row],[Уровень КК]]=2,База_КР_КК[[#This Row],[Уровень КК]]=3),IF(COUNTIFS($U$2:$U2125,$U2125,$F$2:$F2125,$F2125)=1,1,0),IF(COUNTIFS($U$2:$U2125,$U2125,$L$2:$L2125,$L2125)=1,1,0)))</f>
        <v>1</v>
      </c>
      <c r="AA21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125" s="106" t="s">
        <v>24</v>
      </c>
      <c r="AC2125" s="51">
        <v>43586</v>
      </c>
      <c r="AD2125" s="106" t="s">
        <v>17</v>
      </c>
      <c r="AE2125" s="40" t="s">
        <v>358</v>
      </c>
    </row>
    <row r="2126" spans="1:31" ht="18" customHeight="1" x14ac:dyDescent="0.25">
      <c r="A21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6" s="79">
        <v>2</v>
      </c>
      <c r="C2126" s="23">
        <v>43080</v>
      </c>
      <c r="D2126" s="67">
        <f>IF(COUNTIF($G$2:$G2126,$G2126)=1,1,0)</f>
        <v>0</v>
      </c>
      <c r="E2126" s="67" t="str">
        <f>IFERROR(VLOOKUP(База_КР_КК[[#This Row],[ИД штатной должности (S)]],'уровень защищенности'!$B$7:$F$1095,5,0),"не защищена")</f>
        <v>высокий</v>
      </c>
      <c r="F2126" s="68">
        <v>500551</v>
      </c>
      <c r="G2126" s="74" t="s">
        <v>2623</v>
      </c>
      <c r="H2126" s="181">
        <f>INDEX('Списки данных'!$D$2:$D$1048576,MATCH(База_КР_КК[[#This Row],[Структурное подразделение]],'Списки данных'!$C$2:$C$1048576,0))</f>
        <v>219</v>
      </c>
      <c r="I2126" s="80" t="s">
        <v>128</v>
      </c>
      <c r="J2126" s="80" t="s">
        <v>219</v>
      </c>
      <c r="K2126" s="80" t="s">
        <v>21</v>
      </c>
      <c r="L2126" s="30" t="s">
        <v>181</v>
      </c>
      <c r="M2126" s="68">
        <v>3</v>
      </c>
      <c r="N2126" s="181" t="str">
        <f t="shared" si="34"/>
        <v>да</v>
      </c>
      <c r="O2126" s="23">
        <v>43586</v>
      </c>
      <c r="P2126" s="23">
        <v>43586</v>
      </c>
      <c r="Q2126" s="106" t="s">
        <v>66</v>
      </c>
      <c r="R2126" s="37">
        <v>450</v>
      </c>
      <c r="S2126" s="38" t="s">
        <v>862</v>
      </c>
      <c r="T2126" s="37">
        <v>463</v>
      </c>
      <c r="U2126" s="39" t="s">
        <v>875</v>
      </c>
      <c r="V2126" s="89" t="s">
        <v>183</v>
      </c>
      <c r="W2126" s="89" t="s">
        <v>128</v>
      </c>
      <c r="X2126" s="106" t="s">
        <v>295</v>
      </c>
      <c r="Y2126" s="107" t="s">
        <v>18</v>
      </c>
      <c r="Z2126" s="67">
        <f>IF(База_КР_КК[[#This Row],[Таб.номер резервиста]]="-","-",IF(OR(База_КР_КК[[#This Row],[Уровень КК]]=2,База_КР_КК[[#This Row],[Уровень КК]]=3),IF(COUNTIFS($U$2:$U2126,$U2126,$F$2:$F2126,$F2126)=1,1,0),IF(COUNTIFS($U$2:$U2126,$U2126,$L$2:$L2126,$L2126)=1,1,0)))</f>
        <v>1</v>
      </c>
      <c r="AA21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6" s="106" t="s">
        <v>38</v>
      </c>
      <c r="AC2126" s="51">
        <v>44926</v>
      </c>
      <c r="AD2126" s="106" t="s">
        <v>31</v>
      </c>
      <c r="AE2126" s="40" t="s">
        <v>358</v>
      </c>
    </row>
    <row r="2127" spans="1:31" ht="18" customHeight="1" x14ac:dyDescent="0.25">
      <c r="A21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7" s="79">
        <v>4</v>
      </c>
      <c r="C2127" s="23">
        <v>44425</v>
      </c>
      <c r="D2127" s="67">
        <f>IF(COUNTIF($G$2:$G2127,$G2127)=1,1,0)</f>
        <v>1</v>
      </c>
      <c r="E2127" s="67" t="str">
        <f>IFERROR(VLOOKUP(База_КР_КК[[#This Row],[ИД штатной должности (S)]],'уровень защищенности'!$B$7:$F$1095,5,0),"не защищена")</f>
        <v>высокий</v>
      </c>
      <c r="F2127" s="68">
        <v>500274</v>
      </c>
      <c r="G2127" s="74" t="s">
        <v>2624</v>
      </c>
      <c r="H2127" s="181">
        <f>INDEX('Списки данных'!$D$2:$D$1048576,MATCH(База_КР_КК[[#This Row],[Структурное подразделение]],'Списки данных'!$C$2:$C$1048576,0))</f>
        <v>13</v>
      </c>
      <c r="I2127" s="80" t="s">
        <v>173</v>
      </c>
      <c r="J2127" s="80" t="s">
        <v>212</v>
      </c>
      <c r="K2127" s="80" t="s">
        <v>213</v>
      </c>
      <c r="L2127" s="30" t="s">
        <v>191</v>
      </c>
      <c r="M2127" s="68">
        <v>7</v>
      </c>
      <c r="N2127" s="181" t="str">
        <f t="shared" si="34"/>
        <v>нет</v>
      </c>
      <c r="O2127" s="23"/>
      <c r="P2127" s="23"/>
      <c r="Q2127" s="106"/>
      <c r="R2127" s="37">
        <v>451</v>
      </c>
      <c r="S2127" s="38" t="s">
        <v>863</v>
      </c>
      <c r="T2127" s="37">
        <v>1527</v>
      </c>
      <c r="U2127" s="39" t="s">
        <v>1884</v>
      </c>
      <c r="V2127" s="69" t="s">
        <v>272</v>
      </c>
      <c r="W2127" s="89" t="s">
        <v>173</v>
      </c>
      <c r="X2127" s="106" t="s">
        <v>295</v>
      </c>
      <c r="Y2127" s="107" t="s">
        <v>12</v>
      </c>
      <c r="Z2127" s="67">
        <f>IF(База_КР_КК[[#This Row],[Таб.номер резервиста]]="-","-",IF(OR(База_КР_КК[[#This Row],[Уровень КК]]=2,База_КР_КК[[#This Row],[Уровень КК]]=3),IF(COUNTIFS($U$2:$U2127,$U2127,$F$2:$F2127,$F2127)=1,1,0),IF(COUNTIFS($U$2:$U2127,$U2127,$L$2:$L2127,$L2127)=1,1,0)))</f>
        <v>0</v>
      </c>
      <c r="AA21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7" s="106"/>
      <c r="AC2127" s="51"/>
      <c r="AD2127" s="106" t="s">
        <v>15</v>
      </c>
      <c r="AE2127" s="38" t="s">
        <v>343</v>
      </c>
    </row>
    <row r="2128" spans="1:31" ht="18" customHeight="1" x14ac:dyDescent="0.25">
      <c r="A21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8" s="79">
        <v>4</v>
      </c>
      <c r="C2128" s="23">
        <v>44425</v>
      </c>
      <c r="D2128" s="67">
        <f>IF(COUNTIF($G$2:$G2128,$G2128)=1,1,0)</f>
        <v>0</v>
      </c>
      <c r="E2128" s="67" t="str">
        <f>IFERROR(VLOOKUP(База_КР_КК[[#This Row],[ИД штатной должности (S)]],'уровень защищенности'!$B$7:$F$1095,5,0),"не защищена")</f>
        <v>высокий</v>
      </c>
      <c r="F2128" s="68">
        <v>500274</v>
      </c>
      <c r="G2128" s="74" t="s">
        <v>2624</v>
      </c>
      <c r="H2128" s="181">
        <f>INDEX('Списки данных'!$D$2:$D$1048576,MATCH(База_КР_КК[[#This Row],[Структурное подразделение]],'Списки данных'!$C$2:$C$1048576,0))</f>
        <v>13</v>
      </c>
      <c r="I2128" s="80" t="s">
        <v>173</v>
      </c>
      <c r="J2128" s="80" t="s">
        <v>212</v>
      </c>
      <c r="K2128" s="80" t="s">
        <v>213</v>
      </c>
      <c r="L2128" s="30" t="s">
        <v>191</v>
      </c>
      <c r="M2128" s="68">
        <v>7</v>
      </c>
      <c r="N2128" s="181" t="str">
        <f t="shared" si="34"/>
        <v>нет</v>
      </c>
      <c r="O2128" s="23"/>
      <c r="P2128" s="23"/>
      <c r="Q2128" s="106"/>
      <c r="R2128" s="37">
        <v>451</v>
      </c>
      <c r="S2128" s="38" t="s">
        <v>863</v>
      </c>
      <c r="T2128" s="37">
        <v>1528</v>
      </c>
      <c r="U2128" s="39" t="s">
        <v>1885</v>
      </c>
      <c r="V2128" s="69" t="s">
        <v>272</v>
      </c>
      <c r="W2128" s="89" t="s">
        <v>173</v>
      </c>
      <c r="X2128" s="106" t="s">
        <v>296</v>
      </c>
      <c r="Y2128" s="107" t="s">
        <v>12</v>
      </c>
      <c r="Z2128" s="67">
        <f>IF(База_КР_КК[[#This Row],[Таб.номер резервиста]]="-","-",IF(OR(База_КР_КК[[#This Row],[Уровень КК]]=2,База_КР_КК[[#This Row],[Уровень КК]]=3),IF(COUNTIFS($U$2:$U2128,$U2128,$F$2:$F2128,$F2128)=1,1,0),IF(COUNTIFS($U$2:$U2128,$U2128,$L$2:$L2128,$L2128)=1,1,0)))</f>
        <v>0</v>
      </c>
      <c r="AA21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8" s="106"/>
      <c r="AC2128" s="51"/>
      <c r="AD2128" s="106" t="s">
        <v>15</v>
      </c>
      <c r="AE2128" s="38" t="s">
        <v>343</v>
      </c>
    </row>
    <row r="2129" spans="1:31" ht="18" customHeight="1" x14ac:dyDescent="0.25">
      <c r="A21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29" s="79">
        <v>4</v>
      </c>
      <c r="C2129" s="23">
        <v>44425</v>
      </c>
      <c r="D2129" s="67">
        <f>IF(COUNTIF($G$2:$G2129,$G2129)=1,1,0)</f>
        <v>0</v>
      </c>
      <c r="E2129" s="67" t="str">
        <f>IFERROR(VLOOKUP(База_КР_КК[[#This Row],[ИД штатной должности (S)]],'уровень защищенности'!$B$7:$F$1095,5,0),"не защищена")</f>
        <v>высокий</v>
      </c>
      <c r="F2129" s="68">
        <v>500274</v>
      </c>
      <c r="G2129" s="74" t="s">
        <v>2624</v>
      </c>
      <c r="H2129" s="181">
        <f>INDEX('Списки данных'!$D$2:$D$1048576,MATCH(База_КР_КК[[#This Row],[Структурное подразделение]],'Списки данных'!$C$2:$C$1048576,0))</f>
        <v>13</v>
      </c>
      <c r="I2129" s="80" t="s">
        <v>173</v>
      </c>
      <c r="J2129" s="80" t="s">
        <v>212</v>
      </c>
      <c r="K2129" s="80" t="s">
        <v>213</v>
      </c>
      <c r="L2129" s="30" t="s">
        <v>191</v>
      </c>
      <c r="M2129" s="68">
        <v>7</v>
      </c>
      <c r="N2129" s="181" t="str">
        <f t="shared" si="34"/>
        <v>нет</v>
      </c>
      <c r="O2129" s="23"/>
      <c r="P2129" s="23"/>
      <c r="Q2129" s="106"/>
      <c r="R2129" s="37">
        <v>451</v>
      </c>
      <c r="S2129" s="38" t="s">
        <v>863</v>
      </c>
      <c r="T2129" s="37">
        <v>1529</v>
      </c>
      <c r="U2129" s="39" t="s">
        <v>1886</v>
      </c>
      <c r="V2129" s="69" t="s">
        <v>272</v>
      </c>
      <c r="W2129" s="89" t="s">
        <v>173</v>
      </c>
      <c r="X2129" s="106" t="s">
        <v>297</v>
      </c>
      <c r="Y2129" s="107" t="s">
        <v>12</v>
      </c>
      <c r="Z2129" s="67">
        <f>IF(База_КР_КК[[#This Row],[Таб.номер резервиста]]="-","-",IF(OR(База_КР_КК[[#This Row],[Уровень КК]]=2,База_КР_КК[[#This Row],[Уровень КК]]=3),IF(COUNTIFS($U$2:$U2129,$U2129,$F$2:$F2129,$F2129)=1,1,0),IF(COUNTIFS($U$2:$U2129,$U2129,$L$2:$L2129,$L2129)=1,1,0)))</f>
        <v>0</v>
      </c>
      <c r="AA21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29" s="106"/>
      <c r="AC2129" s="51"/>
      <c r="AD2129" s="106" t="s">
        <v>15</v>
      </c>
      <c r="AE2129" s="38" t="s">
        <v>343</v>
      </c>
    </row>
    <row r="2130" spans="1:31" ht="18" customHeight="1" x14ac:dyDescent="0.25">
      <c r="A21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0" s="79">
        <v>4</v>
      </c>
      <c r="C2130" s="23">
        <v>44425</v>
      </c>
      <c r="D2130" s="67">
        <f>IF(COUNTIF($G$2:$G2130,$G2130)=1,1,0)</f>
        <v>0</v>
      </c>
      <c r="E2130" s="67" t="str">
        <f>IFERROR(VLOOKUP(База_КР_КК[[#This Row],[ИД штатной должности (S)]],'уровень защищенности'!$B$7:$F$1095,5,0),"не защищена")</f>
        <v>высокий</v>
      </c>
      <c r="F2130" s="68">
        <v>500274</v>
      </c>
      <c r="G2130" s="74" t="s">
        <v>2624</v>
      </c>
      <c r="H2130" s="181">
        <f>INDEX('Списки данных'!$D$2:$D$1048576,MATCH(База_КР_КК[[#This Row],[Структурное подразделение]],'Списки данных'!$C$2:$C$1048576,0))</f>
        <v>13</v>
      </c>
      <c r="I2130" s="80" t="s">
        <v>173</v>
      </c>
      <c r="J2130" s="80" t="s">
        <v>212</v>
      </c>
      <c r="K2130" s="80" t="s">
        <v>213</v>
      </c>
      <c r="L2130" s="30" t="s">
        <v>191</v>
      </c>
      <c r="M2130" s="68">
        <v>7</v>
      </c>
      <c r="N2130" s="181" t="str">
        <f t="shared" si="34"/>
        <v>нет</v>
      </c>
      <c r="O2130" s="23"/>
      <c r="P2130" s="23"/>
      <c r="Q2130" s="106"/>
      <c r="R2130" s="37">
        <v>451</v>
      </c>
      <c r="S2130" s="38" t="s">
        <v>863</v>
      </c>
      <c r="T2130" s="37">
        <v>1530</v>
      </c>
      <c r="U2130" s="39" t="s">
        <v>1887</v>
      </c>
      <c r="V2130" s="69" t="s">
        <v>272</v>
      </c>
      <c r="W2130" s="89" t="s">
        <v>173</v>
      </c>
      <c r="X2130" s="106" t="s">
        <v>296</v>
      </c>
      <c r="Y2130" s="107" t="s">
        <v>12</v>
      </c>
      <c r="Z2130" s="67">
        <f>IF(База_КР_КК[[#This Row],[Таб.номер резервиста]]="-","-",IF(OR(База_КР_КК[[#This Row],[Уровень КК]]=2,База_КР_КК[[#This Row],[Уровень КК]]=3),IF(COUNTIFS($U$2:$U2130,$U2130,$F$2:$F2130,$F2130)=1,1,0),IF(COUNTIFS($U$2:$U2130,$U2130,$L$2:$L2130,$L2130)=1,1,0)))</f>
        <v>0</v>
      </c>
      <c r="AA21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0" s="106"/>
      <c r="AC2130" s="51"/>
      <c r="AD2130" s="106" t="s">
        <v>15</v>
      </c>
      <c r="AE2130" s="38" t="s">
        <v>343</v>
      </c>
    </row>
    <row r="2131" spans="1:31" ht="18" customHeight="1" x14ac:dyDescent="0.25">
      <c r="A21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1" s="79">
        <v>4</v>
      </c>
      <c r="C2131" s="23">
        <v>44425</v>
      </c>
      <c r="D2131" s="67">
        <f>IF(COUNTIF($G$2:$G2131,$G2131)=1,1,0)</f>
        <v>0</v>
      </c>
      <c r="E2131" s="67" t="str">
        <f>IFERROR(VLOOKUP(База_КР_КК[[#This Row],[ИД штатной должности (S)]],'уровень защищенности'!$B$7:$F$1095,5,0),"не защищена")</f>
        <v>высокий</v>
      </c>
      <c r="F2131" s="68">
        <v>500274</v>
      </c>
      <c r="G2131" s="74" t="s">
        <v>2624</v>
      </c>
      <c r="H2131" s="181">
        <f>INDEX('Списки данных'!$D$2:$D$1048576,MATCH(База_КР_КК[[#This Row],[Структурное подразделение]],'Списки данных'!$C$2:$C$1048576,0))</f>
        <v>13</v>
      </c>
      <c r="I2131" s="80" t="s">
        <v>173</v>
      </c>
      <c r="J2131" s="80" t="s">
        <v>212</v>
      </c>
      <c r="K2131" s="80" t="s">
        <v>213</v>
      </c>
      <c r="L2131" s="30" t="s">
        <v>191</v>
      </c>
      <c r="M2131" s="68">
        <v>7</v>
      </c>
      <c r="N2131" s="181" t="str">
        <f t="shared" si="34"/>
        <v>нет</v>
      </c>
      <c r="O2131" s="23"/>
      <c r="P2131" s="23"/>
      <c r="Q2131" s="106"/>
      <c r="R2131" s="37">
        <v>451</v>
      </c>
      <c r="S2131" s="38" t="s">
        <v>863</v>
      </c>
      <c r="T2131" s="37">
        <v>1531</v>
      </c>
      <c r="U2131" s="39" t="s">
        <v>1575</v>
      </c>
      <c r="V2131" s="69" t="s">
        <v>272</v>
      </c>
      <c r="W2131" s="89" t="s">
        <v>173</v>
      </c>
      <c r="X2131" s="106" t="s">
        <v>297</v>
      </c>
      <c r="Y2131" s="107" t="s">
        <v>12</v>
      </c>
      <c r="Z2131" s="67">
        <f>IF(База_КР_КК[[#This Row],[Таб.номер резервиста]]="-","-",IF(OR(База_КР_КК[[#This Row],[Уровень КК]]=2,База_КР_КК[[#This Row],[Уровень КК]]=3),IF(COUNTIFS($U$2:$U2131,$U2131,$F$2:$F2131,$F2131)=1,1,0),IF(COUNTIFS($U$2:$U2131,$U2131,$L$2:$L2131,$L2131)=1,1,0)))</f>
        <v>0</v>
      </c>
      <c r="AA21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1" s="106"/>
      <c r="AC2131" s="51"/>
      <c r="AD2131" s="106" t="s">
        <v>15</v>
      </c>
      <c r="AE2131" s="38" t="s">
        <v>343</v>
      </c>
    </row>
    <row r="2132" spans="1:31" ht="18" customHeight="1" x14ac:dyDescent="0.25">
      <c r="A21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2" s="79">
        <v>4</v>
      </c>
      <c r="C2132" s="23">
        <v>44890</v>
      </c>
      <c r="D2132" s="67">
        <f>IF(COUNTIF($G$2:$G2132,$G2132)=1,1,0)</f>
        <v>0</v>
      </c>
      <c r="E2132" s="67" t="str">
        <f>IFERROR(VLOOKUP(База_КР_КК[[#This Row],[ИД штатной должности (S)]],'уровень защищенности'!$B$7:$F$1095,5,0),"не защищена")</f>
        <v>высокий</v>
      </c>
      <c r="F2132" s="68">
        <v>500274</v>
      </c>
      <c r="G2132" s="74" t="s">
        <v>2624</v>
      </c>
      <c r="H2132" s="181">
        <f>INDEX('Списки данных'!$D$2:$D$1048576,MATCH(База_КР_КК[[#This Row],[Структурное подразделение]],'Списки данных'!$C$2:$C$1048576,0))</f>
        <v>13</v>
      </c>
      <c r="I2132" s="80" t="s">
        <v>173</v>
      </c>
      <c r="J2132" s="80" t="s">
        <v>212</v>
      </c>
      <c r="K2132" s="80" t="s">
        <v>213</v>
      </c>
      <c r="L2132" s="30" t="s">
        <v>191</v>
      </c>
      <c r="M2132" s="68">
        <v>7</v>
      </c>
      <c r="N2132" s="181" t="str">
        <f t="shared" si="34"/>
        <v>нет</v>
      </c>
      <c r="O2132" s="23"/>
      <c r="P2132" s="23"/>
      <c r="Q2132" s="106"/>
      <c r="R2132" s="37">
        <v>451</v>
      </c>
      <c r="S2132" s="38" t="s">
        <v>863</v>
      </c>
      <c r="T2132" s="37">
        <v>1532</v>
      </c>
      <c r="U2132" s="39" t="s">
        <v>1888</v>
      </c>
      <c r="V2132" s="69" t="s">
        <v>272</v>
      </c>
      <c r="W2132" s="89" t="s">
        <v>173</v>
      </c>
      <c r="X2132" s="106" t="s">
        <v>296</v>
      </c>
      <c r="Y2132" s="107" t="s">
        <v>12</v>
      </c>
      <c r="Z2132" s="67">
        <f>IF(База_КР_КК[[#This Row],[Таб.номер резервиста]]="-","-",IF(OR(База_КР_КК[[#This Row],[Уровень КК]]=2,База_КР_КК[[#This Row],[Уровень КК]]=3),IF(COUNTIFS($U$2:$U2132,$U2132,$F$2:$F2132,$F2132)=1,1,0),IF(COUNTIFS($U$2:$U2132,$U2132,$L$2:$L2132,$L2132)=1,1,0)))</f>
        <v>0</v>
      </c>
      <c r="AA21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2" s="106"/>
      <c r="AC2132" s="51"/>
      <c r="AD2132" s="106" t="s">
        <v>15</v>
      </c>
      <c r="AE2132" s="38" t="s">
        <v>344</v>
      </c>
    </row>
    <row r="2133" spans="1:31" ht="18" customHeight="1" x14ac:dyDescent="0.25">
      <c r="A21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3" s="79">
        <v>4</v>
      </c>
      <c r="C2133" s="23">
        <v>44890</v>
      </c>
      <c r="D2133" s="67">
        <f>IF(COUNTIF($G$2:$G2133,$G2133)=1,1,0)</f>
        <v>0</v>
      </c>
      <c r="E2133" s="67" t="str">
        <f>IFERROR(VLOOKUP(База_КР_КК[[#This Row],[ИД штатной должности (S)]],'уровень защищенности'!$B$7:$F$1095,5,0),"не защищена")</f>
        <v>высокий</v>
      </c>
      <c r="F2133" s="68">
        <v>500274</v>
      </c>
      <c r="G2133" s="74" t="s">
        <v>2624</v>
      </c>
      <c r="H2133" s="181">
        <f>INDEX('Списки данных'!$D$2:$D$1048576,MATCH(База_КР_КК[[#This Row],[Структурное подразделение]],'Списки данных'!$C$2:$C$1048576,0))</f>
        <v>13</v>
      </c>
      <c r="I2133" s="80" t="s">
        <v>173</v>
      </c>
      <c r="J2133" s="80" t="s">
        <v>212</v>
      </c>
      <c r="K2133" s="80" t="s">
        <v>213</v>
      </c>
      <c r="L2133" s="30" t="s">
        <v>191</v>
      </c>
      <c r="M2133" s="68">
        <v>7</v>
      </c>
      <c r="N2133" s="181" t="str">
        <f t="shared" si="34"/>
        <v>нет</v>
      </c>
      <c r="O2133" s="23"/>
      <c r="P2133" s="23"/>
      <c r="Q2133" s="106"/>
      <c r="R2133" s="37">
        <v>451</v>
      </c>
      <c r="S2133" s="38" t="s">
        <v>863</v>
      </c>
      <c r="T2133" s="37">
        <v>1533</v>
      </c>
      <c r="U2133" s="39" t="s">
        <v>1889</v>
      </c>
      <c r="V2133" s="69" t="s">
        <v>272</v>
      </c>
      <c r="W2133" s="89" t="s">
        <v>173</v>
      </c>
      <c r="X2133" s="106" t="s">
        <v>296</v>
      </c>
      <c r="Y2133" s="107" t="s">
        <v>12</v>
      </c>
      <c r="Z2133" s="67">
        <f>IF(База_КР_КК[[#This Row],[Таб.номер резервиста]]="-","-",IF(OR(База_КР_КК[[#This Row],[Уровень КК]]=2,База_КР_КК[[#This Row],[Уровень КК]]=3),IF(COUNTIFS($U$2:$U2133,$U2133,$F$2:$F2133,$F2133)=1,1,0),IF(COUNTIFS($U$2:$U2133,$U2133,$L$2:$L2133,$L2133)=1,1,0)))</f>
        <v>0</v>
      </c>
      <c r="AA21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3" s="106"/>
      <c r="AC2133" s="51"/>
      <c r="AD2133" s="106" t="s">
        <v>15</v>
      </c>
      <c r="AE2133" s="38" t="s">
        <v>344</v>
      </c>
    </row>
    <row r="2134" spans="1:31" ht="18" customHeight="1" x14ac:dyDescent="0.25">
      <c r="A21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4" s="79">
        <v>4</v>
      </c>
      <c r="C2134" s="23">
        <v>44890</v>
      </c>
      <c r="D2134" s="67">
        <f>IF(COUNTIF($G$2:$G2134,$G2134)=1,1,0)</f>
        <v>0</v>
      </c>
      <c r="E2134" s="67" t="str">
        <f>IFERROR(VLOOKUP(База_КР_КК[[#This Row],[ИД штатной должности (S)]],'уровень защищенности'!$B$7:$F$1095,5,0),"не защищена")</f>
        <v>высокий</v>
      </c>
      <c r="F2134" s="68">
        <v>500274</v>
      </c>
      <c r="G2134" s="74" t="s">
        <v>2624</v>
      </c>
      <c r="H2134" s="181">
        <f>INDEX('Списки данных'!$D$2:$D$1048576,MATCH(База_КР_КК[[#This Row],[Структурное подразделение]],'Списки данных'!$C$2:$C$1048576,0))</f>
        <v>13</v>
      </c>
      <c r="I2134" s="80" t="s">
        <v>173</v>
      </c>
      <c r="J2134" s="80" t="s">
        <v>212</v>
      </c>
      <c r="K2134" s="80" t="s">
        <v>213</v>
      </c>
      <c r="L2134" s="30" t="s">
        <v>191</v>
      </c>
      <c r="M2134" s="68">
        <v>7</v>
      </c>
      <c r="N2134" s="181" t="str">
        <f t="shared" si="34"/>
        <v>нет</v>
      </c>
      <c r="O2134" s="23"/>
      <c r="P2134" s="23"/>
      <c r="Q2134" s="106"/>
      <c r="R2134" s="37">
        <v>451</v>
      </c>
      <c r="S2134" s="38" t="s">
        <v>863</v>
      </c>
      <c r="T2134" s="37">
        <v>1534</v>
      </c>
      <c r="U2134" s="39" t="s">
        <v>1890</v>
      </c>
      <c r="V2134" s="69" t="s">
        <v>272</v>
      </c>
      <c r="W2134" s="89" t="s">
        <v>173</v>
      </c>
      <c r="X2134" s="106" t="s">
        <v>296</v>
      </c>
      <c r="Y2134" s="107" t="s">
        <v>12</v>
      </c>
      <c r="Z2134" s="67">
        <f>IF(База_КР_КК[[#This Row],[Таб.номер резервиста]]="-","-",IF(OR(База_КР_КК[[#This Row],[Уровень КК]]=2,База_КР_КК[[#This Row],[Уровень КК]]=3),IF(COUNTIFS($U$2:$U2134,$U2134,$F$2:$F2134,$F2134)=1,1,0),IF(COUNTIFS($U$2:$U2134,$U2134,$L$2:$L2134,$L2134)=1,1,0)))</f>
        <v>0</v>
      </c>
      <c r="AA21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4" s="106"/>
      <c r="AC2134" s="51"/>
      <c r="AD2134" s="106" t="s">
        <v>15</v>
      </c>
      <c r="AE2134" s="38" t="s">
        <v>344</v>
      </c>
    </row>
    <row r="2135" spans="1:31" ht="18" customHeight="1" x14ac:dyDescent="0.25">
      <c r="A21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5" s="79">
        <v>4</v>
      </c>
      <c r="C2135" s="23">
        <v>44890</v>
      </c>
      <c r="D2135" s="67">
        <f>IF(COUNTIF($G$2:$G2135,$G2135)=1,1,0)</f>
        <v>0</v>
      </c>
      <c r="E2135" s="67" t="str">
        <f>IFERROR(VLOOKUP(База_КР_КК[[#This Row],[ИД штатной должности (S)]],'уровень защищенности'!$B$7:$F$1095,5,0),"не защищена")</f>
        <v>высокий</v>
      </c>
      <c r="F2135" s="68">
        <v>500274</v>
      </c>
      <c r="G2135" s="74" t="s">
        <v>2624</v>
      </c>
      <c r="H2135" s="181">
        <f>INDEX('Списки данных'!$D$2:$D$1048576,MATCH(База_КР_КК[[#This Row],[Структурное подразделение]],'Списки данных'!$C$2:$C$1048576,0))</f>
        <v>13</v>
      </c>
      <c r="I2135" s="80" t="s">
        <v>173</v>
      </c>
      <c r="J2135" s="80" t="s">
        <v>212</v>
      </c>
      <c r="K2135" s="80" t="s">
        <v>213</v>
      </c>
      <c r="L2135" s="30" t="s">
        <v>191</v>
      </c>
      <c r="M2135" s="68">
        <v>7</v>
      </c>
      <c r="N2135" s="181" t="str">
        <f t="shared" si="34"/>
        <v>нет</v>
      </c>
      <c r="O2135" s="23"/>
      <c r="P2135" s="23"/>
      <c r="Q2135" s="106"/>
      <c r="R2135" s="37">
        <v>451</v>
      </c>
      <c r="S2135" s="38" t="s">
        <v>863</v>
      </c>
      <c r="T2135" s="37">
        <v>1535</v>
      </c>
      <c r="U2135" s="39" t="s">
        <v>1634</v>
      </c>
      <c r="V2135" s="69" t="s">
        <v>272</v>
      </c>
      <c r="W2135" s="89" t="s">
        <v>173</v>
      </c>
      <c r="X2135" s="106" t="s">
        <v>296</v>
      </c>
      <c r="Y2135" s="107" t="s">
        <v>12</v>
      </c>
      <c r="Z2135" s="67">
        <f>IF(База_КР_КК[[#This Row],[Таб.номер резервиста]]="-","-",IF(OR(База_КР_КК[[#This Row],[Уровень КК]]=2,База_КР_КК[[#This Row],[Уровень КК]]=3),IF(COUNTIFS($U$2:$U2135,$U2135,$F$2:$F2135,$F2135)=1,1,0),IF(COUNTIFS($U$2:$U2135,$U2135,$L$2:$L2135,$L2135)=1,1,0)))</f>
        <v>0</v>
      </c>
      <c r="AA21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5" s="106"/>
      <c r="AC2135" s="51"/>
      <c r="AD2135" s="106" t="s">
        <v>15</v>
      </c>
      <c r="AE2135" s="38" t="s">
        <v>344</v>
      </c>
    </row>
    <row r="2136" spans="1:31" ht="18" customHeight="1" x14ac:dyDescent="0.25">
      <c r="A21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6" s="79">
        <v>4</v>
      </c>
      <c r="C2136" s="23">
        <v>44890</v>
      </c>
      <c r="D2136" s="67">
        <f>IF(COUNTIF($G$2:$G2136,$G2136)=1,1,0)</f>
        <v>0</v>
      </c>
      <c r="E2136" s="67" t="str">
        <f>IFERROR(VLOOKUP(База_КР_КК[[#This Row],[ИД штатной должности (S)]],'уровень защищенности'!$B$7:$F$1095,5,0),"не защищена")</f>
        <v>высокий</v>
      </c>
      <c r="F2136" s="68">
        <v>500274</v>
      </c>
      <c r="G2136" s="74" t="s">
        <v>2624</v>
      </c>
      <c r="H2136" s="181">
        <f>INDEX('Списки данных'!$D$2:$D$1048576,MATCH(База_КР_КК[[#This Row],[Структурное подразделение]],'Списки данных'!$C$2:$C$1048576,0))</f>
        <v>13</v>
      </c>
      <c r="I2136" s="80" t="s">
        <v>173</v>
      </c>
      <c r="J2136" s="80" t="s">
        <v>212</v>
      </c>
      <c r="K2136" s="80" t="s">
        <v>213</v>
      </c>
      <c r="L2136" s="30" t="s">
        <v>191</v>
      </c>
      <c r="M2136" s="68">
        <v>7</v>
      </c>
      <c r="N2136" s="181" t="str">
        <f t="shared" si="34"/>
        <v>нет</v>
      </c>
      <c r="O2136" s="23"/>
      <c r="P2136" s="23"/>
      <c r="Q2136" s="106"/>
      <c r="R2136" s="37">
        <v>451</v>
      </c>
      <c r="S2136" s="38" t="s">
        <v>863</v>
      </c>
      <c r="T2136" s="37">
        <v>1536</v>
      </c>
      <c r="U2136" s="39" t="s">
        <v>1891</v>
      </c>
      <c r="V2136" s="69" t="s">
        <v>272</v>
      </c>
      <c r="W2136" s="89" t="s">
        <v>173</v>
      </c>
      <c r="X2136" s="106" t="s">
        <v>296</v>
      </c>
      <c r="Y2136" s="107" t="s">
        <v>12</v>
      </c>
      <c r="Z2136" s="67">
        <f>IF(База_КР_КК[[#This Row],[Таб.номер резервиста]]="-","-",IF(OR(База_КР_КК[[#This Row],[Уровень КК]]=2,База_КР_КК[[#This Row],[Уровень КК]]=3),IF(COUNTIFS($U$2:$U2136,$U2136,$F$2:$F2136,$F2136)=1,1,0),IF(COUNTIFS($U$2:$U2136,$U2136,$L$2:$L2136,$L2136)=1,1,0)))</f>
        <v>0</v>
      </c>
      <c r="AA21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6" s="106"/>
      <c r="AC2136" s="51"/>
      <c r="AD2136" s="106" t="s">
        <v>15</v>
      </c>
      <c r="AE2136" s="38" t="s">
        <v>344</v>
      </c>
    </row>
    <row r="2137" spans="1:31" ht="18" customHeight="1" x14ac:dyDescent="0.25">
      <c r="A21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7" s="79">
        <v>4</v>
      </c>
      <c r="C2137" s="23">
        <v>44425</v>
      </c>
      <c r="D2137" s="67">
        <f>IF(COUNTIF($G$2:$G2137,$G2137)=1,1,0)</f>
        <v>0</v>
      </c>
      <c r="E2137" s="67" t="str">
        <f>IFERROR(VLOOKUP(База_КР_КК[[#This Row],[ИД штатной должности (S)]],'уровень защищенности'!$B$7:$F$1095,5,0),"не защищена")</f>
        <v>высокий</v>
      </c>
      <c r="F2137" s="68">
        <v>500274</v>
      </c>
      <c r="G2137" s="74" t="s">
        <v>2624</v>
      </c>
      <c r="H2137" s="181">
        <f>INDEX('Списки данных'!$D$2:$D$1048576,MATCH(База_КР_КК[[#This Row],[Структурное подразделение]],'Списки данных'!$C$2:$C$1048576,0))</f>
        <v>13</v>
      </c>
      <c r="I2137" s="80" t="s">
        <v>173</v>
      </c>
      <c r="J2137" s="80" t="s">
        <v>212</v>
      </c>
      <c r="K2137" s="80" t="s">
        <v>213</v>
      </c>
      <c r="L2137" s="30" t="s">
        <v>191</v>
      </c>
      <c r="M2137" s="68">
        <v>7</v>
      </c>
      <c r="N2137" s="181" t="str">
        <f t="shared" si="34"/>
        <v>нет</v>
      </c>
      <c r="O2137" s="23"/>
      <c r="P2137" s="23"/>
      <c r="Q2137" s="106"/>
      <c r="R2137" s="37">
        <v>451</v>
      </c>
      <c r="S2137" s="38" t="s">
        <v>863</v>
      </c>
      <c r="T2137" s="37">
        <v>1537</v>
      </c>
      <c r="U2137" s="39" t="s">
        <v>1892</v>
      </c>
      <c r="V2137" s="69" t="s">
        <v>272</v>
      </c>
      <c r="W2137" s="89" t="s">
        <v>173</v>
      </c>
      <c r="X2137" s="106" t="s">
        <v>295</v>
      </c>
      <c r="Y2137" s="107" t="s">
        <v>18</v>
      </c>
      <c r="Z2137" s="67">
        <f>IF(База_КР_КК[[#This Row],[Таб.номер резервиста]]="-","-",IF(OR(База_КР_КК[[#This Row],[Уровень КК]]=2,База_КР_КК[[#This Row],[Уровень КК]]=3),IF(COUNTIFS($U$2:$U2137,$U2137,$F$2:$F2137,$F2137)=1,1,0),IF(COUNTIFS($U$2:$U2137,$U2137,$L$2:$L2137,$L2137)=1,1,0)))</f>
        <v>0</v>
      </c>
      <c r="AA21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7" s="106" t="s">
        <v>38</v>
      </c>
      <c r="AC2137" s="51">
        <v>44890</v>
      </c>
      <c r="AD2137" s="106" t="s">
        <v>31</v>
      </c>
      <c r="AE2137" s="38" t="s">
        <v>344</v>
      </c>
    </row>
    <row r="2138" spans="1:31" ht="18" customHeight="1" x14ac:dyDescent="0.25">
      <c r="A21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8" s="79">
        <v>4</v>
      </c>
      <c r="C2138" s="23">
        <v>44425</v>
      </c>
      <c r="D2138" s="67">
        <f>IF(COUNTIF($G$2:$G2138,$G2138)=1,1,0)</f>
        <v>0</v>
      </c>
      <c r="E2138" s="67" t="str">
        <f>IFERROR(VLOOKUP(База_КР_КК[[#This Row],[ИД штатной должности (S)]],'уровень защищенности'!$B$7:$F$1095,5,0),"не защищена")</f>
        <v>высокий</v>
      </c>
      <c r="F2138" s="68">
        <v>500274</v>
      </c>
      <c r="G2138" s="74" t="s">
        <v>2624</v>
      </c>
      <c r="H2138" s="181">
        <f>INDEX('Списки данных'!$D$2:$D$1048576,MATCH(База_КР_КК[[#This Row],[Структурное подразделение]],'Списки данных'!$C$2:$C$1048576,0))</f>
        <v>13</v>
      </c>
      <c r="I2138" s="80" t="s">
        <v>173</v>
      </c>
      <c r="J2138" s="80" t="s">
        <v>212</v>
      </c>
      <c r="K2138" s="80" t="s">
        <v>213</v>
      </c>
      <c r="L2138" s="30" t="s">
        <v>191</v>
      </c>
      <c r="M2138" s="68">
        <v>7</v>
      </c>
      <c r="N2138" s="181" t="str">
        <f t="shared" si="34"/>
        <v>нет</v>
      </c>
      <c r="O2138" s="23"/>
      <c r="P2138" s="23"/>
      <c r="Q2138" s="106"/>
      <c r="R2138" s="37">
        <v>451</v>
      </c>
      <c r="S2138" s="38" t="s">
        <v>863</v>
      </c>
      <c r="T2138" s="37">
        <v>1538</v>
      </c>
      <c r="U2138" s="39" t="s">
        <v>1893</v>
      </c>
      <c r="V2138" s="69" t="s">
        <v>272</v>
      </c>
      <c r="W2138" s="89" t="s">
        <v>173</v>
      </c>
      <c r="X2138" s="106" t="s">
        <v>297</v>
      </c>
      <c r="Y2138" s="107" t="s">
        <v>18</v>
      </c>
      <c r="Z2138" s="67">
        <f>IF(База_КР_КК[[#This Row],[Таб.номер резервиста]]="-","-",IF(OR(База_КР_КК[[#This Row],[Уровень КК]]=2,База_КР_КК[[#This Row],[Уровень КК]]=3),IF(COUNTIFS($U$2:$U2138,$U2138,$F$2:$F2138,$F2138)=1,1,0),IF(COUNTIFS($U$2:$U2138,$U2138,$L$2:$L2138,$L2138)=1,1,0)))</f>
        <v>0</v>
      </c>
      <c r="AA21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8" s="106" t="s">
        <v>20</v>
      </c>
      <c r="AC2138" s="51">
        <v>44552</v>
      </c>
      <c r="AD2138" s="106" t="s">
        <v>15</v>
      </c>
      <c r="AE2138" s="38" t="s">
        <v>343</v>
      </c>
    </row>
    <row r="2139" spans="1:31" ht="18" customHeight="1" x14ac:dyDescent="0.25">
      <c r="A21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39" s="79">
        <v>4</v>
      </c>
      <c r="C2139" s="23">
        <v>44425</v>
      </c>
      <c r="D2139" s="67">
        <f>IF(COUNTIF($G$2:$G2139,$G2139)=1,1,0)</f>
        <v>1</v>
      </c>
      <c r="E2139" s="67" t="str">
        <f>IFERROR(VLOOKUP(База_КР_КК[[#This Row],[ИД штатной должности (S)]],'уровень защищенности'!$B$7:$F$1095,5,0),"не защищена")</f>
        <v>высокий</v>
      </c>
      <c r="F2139" s="68">
        <v>500279</v>
      </c>
      <c r="G2139" s="74" t="s">
        <v>2625</v>
      </c>
      <c r="H2139" s="181">
        <f>INDEX('Списки данных'!$D$2:$D$1048576,MATCH(База_КР_КК[[#This Row],[Структурное подразделение]],'Списки данных'!$C$2:$C$1048576,0))</f>
        <v>13</v>
      </c>
      <c r="I2139" s="80" t="s">
        <v>173</v>
      </c>
      <c r="J2139" s="80" t="s">
        <v>212</v>
      </c>
      <c r="K2139" s="80" t="s">
        <v>213</v>
      </c>
      <c r="L2139" s="30" t="s">
        <v>191</v>
      </c>
      <c r="M2139" s="68">
        <v>7</v>
      </c>
      <c r="N2139" s="181" t="str">
        <f t="shared" si="34"/>
        <v>нет</v>
      </c>
      <c r="O2139" s="23"/>
      <c r="P2139" s="23"/>
      <c r="Q2139" s="106"/>
      <c r="R2139" s="37">
        <v>452</v>
      </c>
      <c r="S2139" s="38" t="s">
        <v>864</v>
      </c>
      <c r="T2139" s="37">
        <v>1527</v>
      </c>
      <c r="U2139" s="39" t="s">
        <v>1884</v>
      </c>
      <c r="V2139" s="69" t="s">
        <v>272</v>
      </c>
      <c r="W2139" s="89" t="s">
        <v>173</v>
      </c>
      <c r="X2139" s="106" t="s">
        <v>295</v>
      </c>
      <c r="Y2139" s="107" t="s">
        <v>12</v>
      </c>
      <c r="Z2139" s="67">
        <f>IF(База_КР_КК[[#This Row],[Таб.номер резервиста]]="-","-",IF(OR(База_КР_КК[[#This Row],[Уровень КК]]=2,База_КР_КК[[#This Row],[Уровень КК]]=3),IF(COUNTIFS($U$2:$U2139,$U2139,$F$2:$F2139,$F2139)=1,1,0),IF(COUNTIFS($U$2:$U2139,$U2139,$L$2:$L2139,$L2139)=1,1,0)))</f>
        <v>0</v>
      </c>
      <c r="AA21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39" s="106"/>
      <c r="AC2139" s="51"/>
      <c r="AD2139" s="106" t="s">
        <v>15</v>
      </c>
      <c r="AE2139" s="38" t="s">
        <v>343</v>
      </c>
    </row>
    <row r="2140" spans="1:31" ht="18" customHeight="1" x14ac:dyDescent="0.25">
      <c r="A21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0" s="79">
        <v>4</v>
      </c>
      <c r="C2140" s="23">
        <v>44425</v>
      </c>
      <c r="D2140" s="67">
        <f>IF(COUNTIF($G$2:$G2140,$G2140)=1,1,0)</f>
        <v>0</v>
      </c>
      <c r="E2140" s="67" t="str">
        <f>IFERROR(VLOOKUP(База_КР_КК[[#This Row],[ИД штатной должности (S)]],'уровень защищенности'!$B$7:$F$1095,5,0),"не защищена")</f>
        <v>высокий</v>
      </c>
      <c r="F2140" s="68">
        <v>500279</v>
      </c>
      <c r="G2140" s="74" t="s">
        <v>2625</v>
      </c>
      <c r="H2140" s="181">
        <f>INDEX('Списки данных'!$D$2:$D$1048576,MATCH(База_КР_КК[[#This Row],[Структурное подразделение]],'Списки данных'!$C$2:$C$1048576,0))</f>
        <v>13</v>
      </c>
      <c r="I2140" s="80" t="s">
        <v>173</v>
      </c>
      <c r="J2140" s="80" t="s">
        <v>212</v>
      </c>
      <c r="K2140" s="80" t="s">
        <v>213</v>
      </c>
      <c r="L2140" s="30" t="s">
        <v>191</v>
      </c>
      <c r="M2140" s="68">
        <v>7</v>
      </c>
      <c r="N2140" s="181" t="str">
        <f t="shared" si="34"/>
        <v>нет</v>
      </c>
      <c r="O2140" s="23"/>
      <c r="P2140" s="23"/>
      <c r="Q2140" s="106"/>
      <c r="R2140" s="37">
        <v>452</v>
      </c>
      <c r="S2140" s="38" t="s">
        <v>864</v>
      </c>
      <c r="T2140" s="37">
        <v>1528</v>
      </c>
      <c r="U2140" s="39" t="s">
        <v>1885</v>
      </c>
      <c r="V2140" s="69" t="s">
        <v>272</v>
      </c>
      <c r="W2140" s="89" t="s">
        <v>173</v>
      </c>
      <c r="X2140" s="106" t="s">
        <v>296</v>
      </c>
      <c r="Y2140" s="107" t="s">
        <v>12</v>
      </c>
      <c r="Z2140" s="67">
        <f>IF(База_КР_КК[[#This Row],[Таб.номер резервиста]]="-","-",IF(OR(База_КР_КК[[#This Row],[Уровень КК]]=2,База_КР_КК[[#This Row],[Уровень КК]]=3),IF(COUNTIFS($U$2:$U2140,$U2140,$F$2:$F2140,$F2140)=1,1,0),IF(COUNTIFS($U$2:$U2140,$U2140,$L$2:$L2140,$L2140)=1,1,0)))</f>
        <v>0</v>
      </c>
      <c r="AA21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0" s="106"/>
      <c r="AC2140" s="51"/>
      <c r="AD2140" s="106" t="s">
        <v>15</v>
      </c>
      <c r="AE2140" s="38" t="s">
        <v>343</v>
      </c>
    </row>
    <row r="2141" spans="1:31" ht="18" customHeight="1" x14ac:dyDescent="0.25">
      <c r="A21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1" s="79">
        <v>4</v>
      </c>
      <c r="C2141" s="23">
        <v>44425</v>
      </c>
      <c r="D2141" s="67">
        <f>IF(COUNTIF($G$2:$G2141,$G2141)=1,1,0)</f>
        <v>0</v>
      </c>
      <c r="E2141" s="67" t="str">
        <f>IFERROR(VLOOKUP(База_КР_КК[[#This Row],[ИД штатной должности (S)]],'уровень защищенности'!$B$7:$F$1095,5,0),"не защищена")</f>
        <v>высокий</v>
      </c>
      <c r="F2141" s="68">
        <v>500279</v>
      </c>
      <c r="G2141" s="74" t="s">
        <v>2625</v>
      </c>
      <c r="H2141" s="181">
        <f>INDEX('Списки данных'!$D$2:$D$1048576,MATCH(База_КР_КК[[#This Row],[Структурное подразделение]],'Списки данных'!$C$2:$C$1048576,0))</f>
        <v>13</v>
      </c>
      <c r="I2141" s="80" t="s">
        <v>173</v>
      </c>
      <c r="J2141" s="80" t="s">
        <v>212</v>
      </c>
      <c r="K2141" s="80" t="s">
        <v>213</v>
      </c>
      <c r="L2141" s="30" t="s">
        <v>191</v>
      </c>
      <c r="M2141" s="68">
        <v>7</v>
      </c>
      <c r="N2141" s="181" t="str">
        <f t="shared" si="34"/>
        <v>нет</v>
      </c>
      <c r="O2141" s="23"/>
      <c r="P2141" s="23"/>
      <c r="Q2141" s="106"/>
      <c r="R2141" s="37">
        <v>452</v>
      </c>
      <c r="S2141" s="38" t="s">
        <v>864</v>
      </c>
      <c r="T2141" s="37">
        <v>1529</v>
      </c>
      <c r="U2141" s="39" t="s">
        <v>1886</v>
      </c>
      <c r="V2141" s="69" t="s">
        <v>272</v>
      </c>
      <c r="W2141" s="89" t="s">
        <v>173</v>
      </c>
      <c r="X2141" s="106" t="s">
        <v>297</v>
      </c>
      <c r="Y2141" s="107" t="s">
        <v>12</v>
      </c>
      <c r="Z2141" s="67">
        <f>IF(База_КР_КК[[#This Row],[Таб.номер резервиста]]="-","-",IF(OR(База_КР_КК[[#This Row],[Уровень КК]]=2,База_КР_КК[[#This Row],[Уровень КК]]=3),IF(COUNTIFS($U$2:$U2141,$U2141,$F$2:$F2141,$F2141)=1,1,0),IF(COUNTIFS($U$2:$U2141,$U2141,$L$2:$L2141,$L2141)=1,1,0)))</f>
        <v>0</v>
      </c>
      <c r="AA21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1" s="106"/>
      <c r="AC2141" s="51"/>
      <c r="AD2141" s="106" t="s">
        <v>15</v>
      </c>
      <c r="AE2141" s="38" t="s">
        <v>343</v>
      </c>
    </row>
    <row r="2142" spans="1:31" ht="18" customHeight="1" x14ac:dyDescent="0.25">
      <c r="A21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2" s="79">
        <v>4</v>
      </c>
      <c r="C2142" s="23">
        <v>44425</v>
      </c>
      <c r="D2142" s="67">
        <f>IF(COUNTIF($G$2:$G2142,$G2142)=1,1,0)</f>
        <v>0</v>
      </c>
      <c r="E2142" s="67" t="str">
        <f>IFERROR(VLOOKUP(База_КР_КК[[#This Row],[ИД штатной должности (S)]],'уровень защищенности'!$B$7:$F$1095,5,0),"не защищена")</f>
        <v>высокий</v>
      </c>
      <c r="F2142" s="68">
        <v>500279</v>
      </c>
      <c r="G2142" s="74" t="s">
        <v>2625</v>
      </c>
      <c r="H2142" s="181">
        <f>INDEX('Списки данных'!$D$2:$D$1048576,MATCH(База_КР_КК[[#This Row],[Структурное подразделение]],'Списки данных'!$C$2:$C$1048576,0))</f>
        <v>13</v>
      </c>
      <c r="I2142" s="80" t="s">
        <v>173</v>
      </c>
      <c r="J2142" s="80" t="s">
        <v>212</v>
      </c>
      <c r="K2142" s="80" t="s">
        <v>213</v>
      </c>
      <c r="L2142" s="30" t="s">
        <v>191</v>
      </c>
      <c r="M2142" s="68">
        <v>7</v>
      </c>
      <c r="N2142" s="181" t="str">
        <f t="shared" si="34"/>
        <v>нет</v>
      </c>
      <c r="O2142" s="23"/>
      <c r="P2142" s="23"/>
      <c r="Q2142" s="106"/>
      <c r="R2142" s="37">
        <v>452</v>
      </c>
      <c r="S2142" s="38" t="s">
        <v>864</v>
      </c>
      <c r="T2142" s="37">
        <v>1530</v>
      </c>
      <c r="U2142" s="39" t="s">
        <v>1887</v>
      </c>
      <c r="V2142" s="69" t="s">
        <v>272</v>
      </c>
      <c r="W2142" s="89" t="s">
        <v>173</v>
      </c>
      <c r="X2142" s="106" t="s">
        <v>296</v>
      </c>
      <c r="Y2142" s="107" t="s">
        <v>12</v>
      </c>
      <c r="Z2142" s="67">
        <f>IF(База_КР_КК[[#This Row],[Таб.номер резервиста]]="-","-",IF(OR(База_КР_КК[[#This Row],[Уровень КК]]=2,База_КР_КК[[#This Row],[Уровень КК]]=3),IF(COUNTIFS($U$2:$U2142,$U2142,$F$2:$F2142,$F2142)=1,1,0),IF(COUNTIFS($U$2:$U2142,$U2142,$L$2:$L2142,$L2142)=1,1,0)))</f>
        <v>0</v>
      </c>
      <c r="AA21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2" s="106"/>
      <c r="AC2142" s="51"/>
      <c r="AD2142" s="106" t="s">
        <v>15</v>
      </c>
      <c r="AE2142" s="38" t="s">
        <v>343</v>
      </c>
    </row>
    <row r="2143" spans="1:31" ht="18" customHeight="1" x14ac:dyDescent="0.25">
      <c r="A21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3" s="79">
        <v>4</v>
      </c>
      <c r="C2143" s="23">
        <v>44425</v>
      </c>
      <c r="D2143" s="67">
        <f>IF(COUNTIF($G$2:$G2143,$G2143)=1,1,0)</f>
        <v>0</v>
      </c>
      <c r="E2143" s="67" t="str">
        <f>IFERROR(VLOOKUP(База_КР_КК[[#This Row],[ИД штатной должности (S)]],'уровень защищенности'!$B$7:$F$1095,5,0),"не защищена")</f>
        <v>высокий</v>
      </c>
      <c r="F2143" s="68">
        <v>500279</v>
      </c>
      <c r="G2143" s="74" t="s">
        <v>2625</v>
      </c>
      <c r="H2143" s="181">
        <f>INDEX('Списки данных'!$D$2:$D$1048576,MATCH(База_КР_КК[[#This Row],[Структурное подразделение]],'Списки данных'!$C$2:$C$1048576,0))</f>
        <v>13</v>
      </c>
      <c r="I2143" s="80" t="s">
        <v>173</v>
      </c>
      <c r="J2143" s="80" t="s">
        <v>212</v>
      </c>
      <c r="K2143" s="80" t="s">
        <v>213</v>
      </c>
      <c r="L2143" s="30" t="s">
        <v>191</v>
      </c>
      <c r="M2143" s="68">
        <v>7</v>
      </c>
      <c r="N2143" s="181" t="str">
        <f t="shared" si="34"/>
        <v>нет</v>
      </c>
      <c r="O2143" s="23"/>
      <c r="P2143" s="23"/>
      <c r="Q2143" s="106"/>
      <c r="R2143" s="37">
        <v>452</v>
      </c>
      <c r="S2143" s="38" t="s">
        <v>864</v>
      </c>
      <c r="T2143" s="37">
        <v>1531</v>
      </c>
      <c r="U2143" s="39" t="s">
        <v>1575</v>
      </c>
      <c r="V2143" s="69" t="s">
        <v>272</v>
      </c>
      <c r="W2143" s="89" t="s">
        <v>173</v>
      </c>
      <c r="X2143" s="106" t="s">
        <v>297</v>
      </c>
      <c r="Y2143" s="107" t="s">
        <v>12</v>
      </c>
      <c r="Z2143" s="67">
        <f>IF(База_КР_КК[[#This Row],[Таб.номер резервиста]]="-","-",IF(OR(База_КР_КК[[#This Row],[Уровень КК]]=2,База_КР_КК[[#This Row],[Уровень КК]]=3),IF(COUNTIFS($U$2:$U2143,$U2143,$F$2:$F2143,$F2143)=1,1,0),IF(COUNTIFS($U$2:$U2143,$U2143,$L$2:$L2143,$L2143)=1,1,0)))</f>
        <v>0</v>
      </c>
      <c r="AA21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3" s="106"/>
      <c r="AC2143" s="51"/>
      <c r="AD2143" s="106" t="s">
        <v>15</v>
      </c>
      <c r="AE2143" s="38" t="s">
        <v>343</v>
      </c>
    </row>
    <row r="2144" spans="1:31" ht="18" customHeight="1" x14ac:dyDescent="0.25">
      <c r="A21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4" s="79">
        <v>4</v>
      </c>
      <c r="C2144" s="23">
        <v>44890</v>
      </c>
      <c r="D2144" s="67">
        <f>IF(COUNTIF($G$2:$G2144,$G2144)=1,1,0)</f>
        <v>0</v>
      </c>
      <c r="E2144" s="67" t="str">
        <f>IFERROR(VLOOKUP(База_КР_КК[[#This Row],[ИД штатной должности (S)]],'уровень защищенности'!$B$7:$F$1095,5,0),"не защищена")</f>
        <v>высокий</v>
      </c>
      <c r="F2144" s="68">
        <v>500279</v>
      </c>
      <c r="G2144" s="74" t="s">
        <v>2625</v>
      </c>
      <c r="H2144" s="181">
        <f>INDEX('Списки данных'!$D$2:$D$1048576,MATCH(База_КР_КК[[#This Row],[Структурное подразделение]],'Списки данных'!$C$2:$C$1048576,0))</f>
        <v>13</v>
      </c>
      <c r="I2144" s="80" t="s">
        <v>173</v>
      </c>
      <c r="J2144" s="80" t="s">
        <v>212</v>
      </c>
      <c r="K2144" s="80" t="s">
        <v>213</v>
      </c>
      <c r="L2144" s="30" t="s">
        <v>191</v>
      </c>
      <c r="M2144" s="68">
        <v>7</v>
      </c>
      <c r="N2144" s="181" t="str">
        <f t="shared" si="34"/>
        <v>нет</v>
      </c>
      <c r="O2144" s="23"/>
      <c r="P2144" s="23"/>
      <c r="Q2144" s="106"/>
      <c r="R2144" s="37">
        <v>452</v>
      </c>
      <c r="S2144" s="38" t="s">
        <v>864</v>
      </c>
      <c r="T2144" s="37">
        <v>1532</v>
      </c>
      <c r="U2144" s="39" t="s">
        <v>1888</v>
      </c>
      <c r="V2144" s="69" t="s">
        <v>272</v>
      </c>
      <c r="W2144" s="89" t="s">
        <v>173</v>
      </c>
      <c r="X2144" s="106" t="s">
        <v>296</v>
      </c>
      <c r="Y2144" s="107" t="s">
        <v>12</v>
      </c>
      <c r="Z2144" s="67">
        <f>IF(База_КР_КК[[#This Row],[Таб.номер резервиста]]="-","-",IF(OR(База_КР_КК[[#This Row],[Уровень КК]]=2,База_КР_КК[[#This Row],[Уровень КК]]=3),IF(COUNTIFS($U$2:$U2144,$U2144,$F$2:$F2144,$F2144)=1,1,0),IF(COUNTIFS($U$2:$U2144,$U2144,$L$2:$L2144,$L2144)=1,1,0)))</f>
        <v>0</v>
      </c>
      <c r="AA21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4" s="106"/>
      <c r="AC2144" s="51"/>
      <c r="AD2144" s="106" t="s">
        <v>15</v>
      </c>
      <c r="AE2144" s="38" t="s">
        <v>344</v>
      </c>
    </row>
    <row r="2145" spans="1:31" ht="18" customHeight="1" x14ac:dyDescent="0.25">
      <c r="A21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5" s="79">
        <v>4</v>
      </c>
      <c r="C2145" s="23">
        <v>44890</v>
      </c>
      <c r="D2145" s="67">
        <f>IF(COUNTIF($G$2:$G2145,$G2145)=1,1,0)</f>
        <v>0</v>
      </c>
      <c r="E2145" s="67" t="str">
        <f>IFERROR(VLOOKUP(База_КР_КК[[#This Row],[ИД штатной должности (S)]],'уровень защищенности'!$B$7:$F$1095,5,0),"не защищена")</f>
        <v>высокий</v>
      </c>
      <c r="F2145" s="68">
        <v>500279</v>
      </c>
      <c r="G2145" s="74" t="s">
        <v>2625</v>
      </c>
      <c r="H2145" s="181">
        <f>INDEX('Списки данных'!$D$2:$D$1048576,MATCH(База_КР_КК[[#This Row],[Структурное подразделение]],'Списки данных'!$C$2:$C$1048576,0))</f>
        <v>13</v>
      </c>
      <c r="I2145" s="80" t="s">
        <v>173</v>
      </c>
      <c r="J2145" s="80" t="s">
        <v>212</v>
      </c>
      <c r="K2145" s="80" t="s">
        <v>213</v>
      </c>
      <c r="L2145" s="30" t="s">
        <v>191</v>
      </c>
      <c r="M2145" s="68">
        <v>7</v>
      </c>
      <c r="N2145" s="181" t="str">
        <f t="shared" si="34"/>
        <v>нет</v>
      </c>
      <c r="O2145" s="23"/>
      <c r="P2145" s="23"/>
      <c r="Q2145" s="106"/>
      <c r="R2145" s="37">
        <v>452</v>
      </c>
      <c r="S2145" s="38" t="s">
        <v>864</v>
      </c>
      <c r="T2145" s="37">
        <v>1533</v>
      </c>
      <c r="U2145" s="39" t="s">
        <v>1889</v>
      </c>
      <c r="V2145" s="69" t="s">
        <v>272</v>
      </c>
      <c r="W2145" s="89" t="s">
        <v>173</v>
      </c>
      <c r="X2145" s="106" t="s">
        <v>296</v>
      </c>
      <c r="Y2145" s="107" t="s">
        <v>12</v>
      </c>
      <c r="Z2145" s="67">
        <f>IF(База_КР_КК[[#This Row],[Таб.номер резервиста]]="-","-",IF(OR(База_КР_КК[[#This Row],[Уровень КК]]=2,База_КР_КК[[#This Row],[Уровень КК]]=3),IF(COUNTIFS($U$2:$U2145,$U2145,$F$2:$F2145,$F2145)=1,1,0),IF(COUNTIFS($U$2:$U2145,$U2145,$L$2:$L2145,$L2145)=1,1,0)))</f>
        <v>0</v>
      </c>
      <c r="AA21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5" s="106"/>
      <c r="AC2145" s="51"/>
      <c r="AD2145" s="106" t="s">
        <v>15</v>
      </c>
      <c r="AE2145" s="38" t="s">
        <v>344</v>
      </c>
    </row>
    <row r="2146" spans="1:31" ht="18" customHeight="1" x14ac:dyDescent="0.25">
      <c r="A21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6" s="79">
        <v>4</v>
      </c>
      <c r="C2146" s="23">
        <v>44890</v>
      </c>
      <c r="D2146" s="67">
        <f>IF(COUNTIF($G$2:$G2146,$G2146)=1,1,0)</f>
        <v>0</v>
      </c>
      <c r="E2146" s="67" t="str">
        <f>IFERROR(VLOOKUP(База_КР_КК[[#This Row],[ИД штатной должности (S)]],'уровень защищенности'!$B$7:$F$1095,5,0),"не защищена")</f>
        <v>высокий</v>
      </c>
      <c r="F2146" s="68">
        <v>500279</v>
      </c>
      <c r="G2146" s="74" t="s">
        <v>2625</v>
      </c>
      <c r="H2146" s="181">
        <f>INDEX('Списки данных'!$D$2:$D$1048576,MATCH(База_КР_КК[[#This Row],[Структурное подразделение]],'Списки данных'!$C$2:$C$1048576,0))</f>
        <v>13</v>
      </c>
      <c r="I2146" s="80" t="s">
        <v>173</v>
      </c>
      <c r="J2146" s="80" t="s">
        <v>212</v>
      </c>
      <c r="K2146" s="80" t="s">
        <v>213</v>
      </c>
      <c r="L2146" s="30" t="s">
        <v>191</v>
      </c>
      <c r="M2146" s="68">
        <v>7</v>
      </c>
      <c r="N2146" s="181" t="str">
        <f t="shared" si="34"/>
        <v>нет</v>
      </c>
      <c r="O2146" s="23"/>
      <c r="P2146" s="23"/>
      <c r="Q2146" s="106"/>
      <c r="R2146" s="37">
        <v>452</v>
      </c>
      <c r="S2146" s="38" t="s">
        <v>864</v>
      </c>
      <c r="T2146" s="37">
        <v>1534</v>
      </c>
      <c r="U2146" s="39" t="s">
        <v>1890</v>
      </c>
      <c r="V2146" s="69" t="s">
        <v>272</v>
      </c>
      <c r="W2146" s="89" t="s">
        <v>173</v>
      </c>
      <c r="X2146" s="106" t="s">
        <v>296</v>
      </c>
      <c r="Y2146" s="107" t="s">
        <v>12</v>
      </c>
      <c r="Z2146" s="67">
        <f>IF(База_КР_КК[[#This Row],[Таб.номер резервиста]]="-","-",IF(OR(База_КР_КК[[#This Row],[Уровень КК]]=2,База_КР_КК[[#This Row],[Уровень КК]]=3),IF(COUNTIFS($U$2:$U2146,$U2146,$F$2:$F2146,$F2146)=1,1,0),IF(COUNTIFS($U$2:$U2146,$U2146,$L$2:$L2146,$L2146)=1,1,0)))</f>
        <v>0</v>
      </c>
      <c r="AA21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6" s="106"/>
      <c r="AC2146" s="51"/>
      <c r="AD2146" s="106" t="s">
        <v>15</v>
      </c>
      <c r="AE2146" s="38" t="s">
        <v>344</v>
      </c>
    </row>
    <row r="2147" spans="1:31" ht="18" customHeight="1" x14ac:dyDescent="0.25">
      <c r="A21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7" s="79">
        <v>4</v>
      </c>
      <c r="C2147" s="23">
        <v>44890</v>
      </c>
      <c r="D2147" s="67">
        <f>IF(COUNTIF($G$2:$G2147,$G2147)=1,1,0)</f>
        <v>0</v>
      </c>
      <c r="E2147" s="67" t="str">
        <f>IFERROR(VLOOKUP(База_КР_КК[[#This Row],[ИД штатной должности (S)]],'уровень защищенности'!$B$7:$F$1095,5,0),"не защищена")</f>
        <v>высокий</v>
      </c>
      <c r="F2147" s="68">
        <v>500279</v>
      </c>
      <c r="G2147" s="74" t="s">
        <v>2625</v>
      </c>
      <c r="H2147" s="181">
        <f>INDEX('Списки данных'!$D$2:$D$1048576,MATCH(База_КР_КК[[#This Row],[Структурное подразделение]],'Списки данных'!$C$2:$C$1048576,0))</f>
        <v>13</v>
      </c>
      <c r="I2147" s="80" t="s">
        <v>173</v>
      </c>
      <c r="J2147" s="80" t="s">
        <v>212</v>
      </c>
      <c r="K2147" s="80" t="s">
        <v>213</v>
      </c>
      <c r="L2147" s="30" t="s">
        <v>191</v>
      </c>
      <c r="M2147" s="68">
        <v>7</v>
      </c>
      <c r="N2147" s="181" t="str">
        <f t="shared" si="34"/>
        <v>нет</v>
      </c>
      <c r="O2147" s="23"/>
      <c r="P2147" s="23"/>
      <c r="Q2147" s="106"/>
      <c r="R2147" s="37">
        <v>452</v>
      </c>
      <c r="S2147" s="38" t="s">
        <v>864</v>
      </c>
      <c r="T2147" s="37">
        <v>1535</v>
      </c>
      <c r="U2147" s="39" t="s">
        <v>1634</v>
      </c>
      <c r="V2147" s="69" t="s">
        <v>272</v>
      </c>
      <c r="W2147" s="89" t="s">
        <v>173</v>
      </c>
      <c r="X2147" s="106" t="s">
        <v>296</v>
      </c>
      <c r="Y2147" s="107" t="s">
        <v>12</v>
      </c>
      <c r="Z2147" s="67">
        <f>IF(База_КР_КК[[#This Row],[Таб.номер резервиста]]="-","-",IF(OR(База_КР_КК[[#This Row],[Уровень КК]]=2,База_КР_КК[[#This Row],[Уровень КК]]=3),IF(COUNTIFS($U$2:$U2147,$U2147,$F$2:$F2147,$F2147)=1,1,0),IF(COUNTIFS($U$2:$U2147,$U2147,$L$2:$L2147,$L2147)=1,1,0)))</f>
        <v>0</v>
      </c>
      <c r="AA21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7" s="106"/>
      <c r="AC2147" s="51"/>
      <c r="AD2147" s="106" t="s">
        <v>15</v>
      </c>
      <c r="AE2147" s="38" t="s">
        <v>344</v>
      </c>
    </row>
    <row r="2148" spans="1:31" ht="18" customHeight="1" x14ac:dyDescent="0.25">
      <c r="A21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8" s="79">
        <v>4</v>
      </c>
      <c r="C2148" s="23">
        <v>44890</v>
      </c>
      <c r="D2148" s="67">
        <f>IF(COUNTIF($G$2:$G2148,$G2148)=1,1,0)</f>
        <v>0</v>
      </c>
      <c r="E2148" s="67" t="str">
        <f>IFERROR(VLOOKUP(База_КР_КК[[#This Row],[ИД штатной должности (S)]],'уровень защищенности'!$B$7:$F$1095,5,0),"не защищена")</f>
        <v>высокий</v>
      </c>
      <c r="F2148" s="68">
        <v>500279</v>
      </c>
      <c r="G2148" s="74" t="s">
        <v>2625</v>
      </c>
      <c r="H2148" s="181">
        <f>INDEX('Списки данных'!$D$2:$D$1048576,MATCH(База_КР_КК[[#This Row],[Структурное подразделение]],'Списки данных'!$C$2:$C$1048576,0))</f>
        <v>13</v>
      </c>
      <c r="I2148" s="80" t="s">
        <v>173</v>
      </c>
      <c r="J2148" s="80" t="s">
        <v>212</v>
      </c>
      <c r="K2148" s="80" t="s">
        <v>213</v>
      </c>
      <c r="L2148" s="30" t="s">
        <v>191</v>
      </c>
      <c r="M2148" s="68">
        <v>7</v>
      </c>
      <c r="N2148" s="181" t="str">
        <f t="shared" si="34"/>
        <v>нет</v>
      </c>
      <c r="O2148" s="23"/>
      <c r="P2148" s="23"/>
      <c r="Q2148" s="106"/>
      <c r="R2148" s="37">
        <v>452</v>
      </c>
      <c r="S2148" s="38" t="s">
        <v>864</v>
      </c>
      <c r="T2148" s="37">
        <v>1536</v>
      </c>
      <c r="U2148" s="39" t="s">
        <v>1891</v>
      </c>
      <c r="V2148" s="69" t="s">
        <v>272</v>
      </c>
      <c r="W2148" s="89" t="s">
        <v>173</v>
      </c>
      <c r="X2148" s="106" t="s">
        <v>296</v>
      </c>
      <c r="Y2148" s="107" t="s">
        <v>12</v>
      </c>
      <c r="Z2148" s="67">
        <f>IF(База_КР_КК[[#This Row],[Таб.номер резервиста]]="-","-",IF(OR(База_КР_КК[[#This Row],[Уровень КК]]=2,База_КР_КК[[#This Row],[Уровень КК]]=3),IF(COUNTIFS($U$2:$U2148,$U2148,$F$2:$F2148,$F2148)=1,1,0),IF(COUNTIFS($U$2:$U2148,$U2148,$L$2:$L2148,$L2148)=1,1,0)))</f>
        <v>0</v>
      </c>
      <c r="AA21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8" s="106"/>
      <c r="AC2148" s="51"/>
      <c r="AD2148" s="106" t="s">
        <v>15</v>
      </c>
      <c r="AE2148" s="38" t="s">
        <v>344</v>
      </c>
    </row>
    <row r="2149" spans="1:31" ht="18" customHeight="1" x14ac:dyDescent="0.25">
      <c r="A21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49" s="79">
        <v>4</v>
      </c>
      <c r="C2149" s="23">
        <v>44425</v>
      </c>
      <c r="D2149" s="67">
        <f>IF(COUNTIF($G$2:$G2149,$G2149)=1,1,0)</f>
        <v>0</v>
      </c>
      <c r="E2149" s="67" t="str">
        <f>IFERROR(VLOOKUP(База_КР_КК[[#This Row],[ИД штатной должности (S)]],'уровень защищенности'!$B$7:$F$1095,5,0),"не защищена")</f>
        <v>высокий</v>
      </c>
      <c r="F2149" s="68">
        <v>500279</v>
      </c>
      <c r="G2149" s="74" t="s">
        <v>2625</v>
      </c>
      <c r="H2149" s="181">
        <f>INDEX('Списки данных'!$D$2:$D$1048576,MATCH(База_КР_КК[[#This Row],[Структурное подразделение]],'Списки данных'!$C$2:$C$1048576,0))</f>
        <v>13</v>
      </c>
      <c r="I2149" s="80" t="s">
        <v>173</v>
      </c>
      <c r="J2149" s="80" t="s">
        <v>212</v>
      </c>
      <c r="K2149" s="80" t="s">
        <v>213</v>
      </c>
      <c r="L2149" s="30" t="s">
        <v>191</v>
      </c>
      <c r="M2149" s="68">
        <v>7</v>
      </c>
      <c r="N2149" s="181" t="str">
        <f t="shared" si="34"/>
        <v>нет</v>
      </c>
      <c r="O2149" s="23"/>
      <c r="P2149" s="23"/>
      <c r="Q2149" s="106"/>
      <c r="R2149" s="37">
        <v>452</v>
      </c>
      <c r="S2149" s="38" t="s">
        <v>864</v>
      </c>
      <c r="T2149" s="37">
        <v>1537</v>
      </c>
      <c r="U2149" s="39" t="s">
        <v>1892</v>
      </c>
      <c r="V2149" s="69" t="s">
        <v>272</v>
      </c>
      <c r="W2149" s="89" t="s">
        <v>173</v>
      </c>
      <c r="X2149" s="106" t="s">
        <v>295</v>
      </c>
      <c r="Y2149" s="107" t="s">
        <v>18</v>
      </c>
      <c r="Z2149" s="67">
        <f>IF(База_КР_КК[[#This Row],[Таб.номер резервиста]]="-","-",IF(OR(База_КР_КК[[#This Row],[Уровень КК]]=2,База_КР_КК[[#This Row],[Уровень КК]]=3),IF(COUNTIFS($U$2:$U2149,$U2149,$F$2:$F2149,$F2149)=1,1,0),IF(COUNTIFS($U$2:$U2149,$U2149,$L$2:$L2149,$L2149)=1,1,0)))</f>
        <v>0</v>
      </c>
      <c r="AA21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49" s="106" t="s">
        <v>38</v>
      </c>
      <c r="AC2149" s="51">
        <v>44890</v>
      </c>
      <c r="AD2149" s="106" t="s">
        <v>31</v>
      </c>
      <c r="AE2149" s="38" t="s">
        <v>344</v>
      </c>
    </row>
    <row r="2150" spans="1:31" ht="18" customHeight="1" x14ac:dyDescent="0.25">
      <c r="A21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0" s="79">
        <v>4</v>
      </c>
      <c r="C2150" s="23">
        <v>44425</v>
      </c>
      <c r="D2150" s="67">
        <f>IF(COUNTIF($G$2:$G2150,$G2150)=1,1,0)</f>
        <v>0</v>
      </c>
      <c r="E2150" s="67" t="str">
        <f>IFERROR(VLOOKUP(База_КР_КК[[#This Row],[ИД штатной должности (S)]],'уровень защищенности'!$B$7:$F$1095,5,0),"не защищена")</f>
        <v>высокий</v>
      </c>
      <c r="F2150" s="68">
        <v>500279</v>
      </c>
      <c r="G2150" s="74" t="s">
        <v>2625</v>
      </c>
      <c r="H2150" s="181">
        <f>INDEX('Списки данных'!$D$2:$D$1048576,MATCH(База_КР_КК[[#This Row],[Структурное подразделение]],'Списки данных'!$C$2:$C$1048576,0))</f>
        <v>13</v>
      </c>
      <c r="I2150" s="80" t="s">
        <v>173</v>
      </c>
      <c r="J2150" s="80" t="s">
        <v>212</v>
      </c>
      <c r="K2150" s="80" t="s">
        <v>213</v>
      </c>
      <c r="L2150" s="30" t="s">
        <v>191</v>
      </c>
      <c r="M2150" s="68">
        <v>7</v>
      </c>
      <c r="N2150" s="181" t="str">
        <f t="shared" si="34"/>
        <v>нет</v>
      </c>
      <c r="O2150" s="23"/>
      <c r="P2150" s="23"/>
      <c r="Q2150" s="106"/>
      <c r="R2150" s="37">
        <v>452</v>
      </c>
      <c r="S2150" s="38" t="s">
        <v>864</v>
      </c>
      <c r="T2150" s="37">
        <v>1538</v>
      </c>
      <c r="U2150" s="39" t="s">
        <v>1893</v>
      </c>
      <c r="V2150" s="69" t="s">
        <v>272</v>
      </c>
      <c r="W2150" s="89" t="s">
        <v>173</v>
      </c>
      <c r="X2150" s="106" t="s">
        <v>297</v>
      </c>
      <c r="Y2150" s="107" t="s">
        <v>18</v>
      </c>
      <c r="Z2150" s="67">
        <f>IF(База_КР_КК[[#This Row],[Таб.номер резервиста]]="-","-",IF(OR(База_КР_КК[[#This Row],[Уровень КК]]=2,База_КР_КК[[#This Row],[Уровень КК]]=3),IF(COUNTIFS($U$2:$U2150,$U2150,$F$2:$F2150,$F2150)=1,1,0),IF(COUNTIFS($U$2:$U2150,$U2150,$L$2:$L2150,$L2150)=1,1,0)))</f>
        <v>0</v>
      </c>
      <c r="AA21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0" s="106" t="s">
        <v>20</v>
      </c>
      <c r="AC2150" s="51">
        <v>44552</v>
      </c>
      <c r="AD2150" s="106" t="s">
        <v>15</v>
      </c>
      <c r="AE2150" s="38" t="s">
        <v>343</v>
      </c>
    </row>
    <row r="2151" spans="1:31" ht="18" customHeight="1" x14ac:dyDescent="0.25">
      <c r="A21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1" s="79">
        <v>3</v>
      </c>
      <c r="C2151" s="23">
        <v>43992</v>
      </c>
      <c r="D2151" s="67">
        <f>IF(COUNTIF($G$2:$G2151,$G2151)=1,1,0)</f>
        <v>1</v>
      </c>
      <c r="E2151" s="67" t="str">
        <f>IFERROR(VLOOKUP(База_КР_КК[[#This Row],[ИД штатной должности (S)]],'уровень защищенности'!$B$7:$F$1095,5,0),"не защищена")</f>
        <v>средний</v>
      </c>
      <c r="F2151" s="68">
        <v>500581</v>
      </c>
      <c r="G2151" s="74" t="s">
        <v>2626</v>
      </c>
      <c r="H2151" s="181">
        <f>INDEX('Списки данных'!$D$2:$D$1048576,MATCH(База_КР_КК[[#This Row],[Структурное подразделение]],'Списки данных'!$C$2:$C$1048576,0))</f>
        <v>238</v>
      </c>
      <c r="I2151" s="80" t="s">
        <v>170</v>
      </c>
      <c r="J2151" s="80" t="s">
        <v>216</v>
      </c>
      <c r="K2151" s="80" t="s">
        <v>21</v>
      </c>
      <c r="L2151" s="30" t="s">
        <v>198</v>
      </c>
      <c r="M2151" s="68">
        <v>6</v>
      </c>
      <c r="N2151" s="181" t="str">
        <f t="shared" si="34"/>
        <v>нет</v>
      </c>
      <c r="O2151" s="23"/>
      <c r="P2151" s="23"/>
      <c r="Q2151" s="106"/>
      <c r="R2151" s="37">
        <v>453</v>
      </c>
      <c r="S2151" s="38" t="s">
        <v>865</v>
      </c>
      <c r="T2151" s="37">
        <v>454</v>
      </c>
      <c r="U2151" s="39" t="s">
        <v>866</v>
      </c>
      <c r="V2151" s="89" t="s">
        <v>192</v>
      </c>
      <c r="W2151" s="89" t="s">
        <v>170</v>
      </c>
      <c r="X2151" s="106" t="s">
        <v>297</v>
      </c>
      <c r="Y2151" s="107" t="s">
        <v>12</v>
      </c>
      <c r="Z2151" s="67">
        <f>IF(База_КР_КК[[#This Row],[Таб.номер резервиста]]="-","-",IF(OR(База_КР_КК[[#This Row],[Уровень КК]]=2,База_КР_КК[[#This Row],[Уровень КК]]=3),IF(COUNTIFS($U$2:$U2151,$U2151,$F$2:$F2151,$F2151)=1,1,0),IF(COUNTIFS($U$2:$U2151,$U2151,$L$2:$L2151,$L2151)=1,1,0)))</f>
        <v>1</v>
      </c>
      <c r="AA21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1" s="106"/>
      <c r="AC2151" s="51"/>
      <c r="AD2151" s="106" t="s">
        <v>13</v>
      </c>
      <c r="AE2151" s="38" t="s">
        <v>345</v>
      </c>
    </row>
    <row r="2152" spans="1:31" ht="18" customHeight="1" x14ac:dyDescent="0.25">
      <c r="A21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2" s="79">
        <v>3</v>
      </c>
      <c r="C2152" s="23">
        <v>43992</v>
      </c>
      <c r="D2152" s="67">
        <f>IF(COUNTIF($G$2:$G2152,$G2152)=1,1,0)</f>
        <v>0</v>
      </c>
      <c r="E2152" s="67" t="str">
        <f>IFERROR(VLOOKUP(База_КР_КК[[#This Row],[ИД штатной должности (S)]],'уровень защищенности'!$B$7:$F$1095,5,0),"не защищена")</f>
        <v>средний</v>
      </c>
      <c r="F2152" s="68">
        <v>500581</v>
      </c>
      <c r="G2152" s="74" t="s">
        <v>2626</v>
      </c>
      <c r="H2152" s="181">
        <f>INDEX('Списки данных'!$D$2:$D$1048576,MATCH(База_КР_КК[[#This Row],[Структурное подразделение]],'Списки данных'!$C$2:$C$1048576,0))</f>
        <v>238</v>
      </c>
      <c r="I2152" s="80" t="s">
        <v>170</v>
      </c>
      <c r="J2152" s="80" t="s">
        <v>216</v>
      </c>
      <c r="K2152" s="80" t="s">
        <v>21</v>
      </c>
      <c r="L2152" s="30" t="s">
        <v>198</v>
      </c>
      <c r="M2152" s="68">
        <v>6</v>
      </c>
      <c r="N2152" s="181" t="str">
        <f t="shared" si="34"/>
        <v>нет</v>
      </c>
      <c r="O2152" s="23"/>
      <c r="P2152" s="23"/>
      <c r="Q2152" s="106"/>
      <c r="R2152" s="37">
        <v>453</v>
      </c>
      <c r="S2152" s="38" t="s">
        <v>865</v>
      </c>
      <c r="T2152" s="37">
        <v>455</v>
      </c>
      <c r="U2152" s="39" t="s">
        <v>867</v>
      </c>
      <c r="V2152" s="89" t="s">
        <v>192</v>
      </c>
      <c r="W2152" s="89" t="s">
        <v>170</v>
      </c>
      <c r="X2152" s="106" t="s">
        <v>297</v>
      </c>
      <c r="Y2152" s="107" t="s">
        <v>12</v>
      </c>
      <c r="Z2152" s="67">
        <f>IF(База_КР_КК[[#This Row],[Таб.номер резервиста]]="-","-",IF(OR(База_КР_КК[[#This Row],[Уровень КК]]=2,База_КР_КК[[#This Row],[Уровень КК]]=3),IF(COUNTIFS($U$2:$U2152,$U2152,$F$2:$F2152,$F2152)=1,1,0),IF(COUNTIFS($U$2:$U2152,$U2152,$L$2:$L2152,$L2152)=1,1,0)))</f>
        <v>1</v>
      </c>
      <c r="AA21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2" s="106"/>
      <c r="AC2152" s="51"/>
      <c r="AD2152" s="106" t="s">
        <v>13</v>
      </c>
      <c r="AE2152" s="38" t="s">
        <v>345</v>
      </c>
    </row>
    <row r="2153" spans="1:31" ht="18" customHeight="1" x14ac:dyDescent="0.25">
      <c r="A21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3" s="79">
        <v>3</v>
      </c>
      <c r="C2153" s="23">
        <v>43992</v>
      </c>
      <c r="D2153" s="67">
        <f>IF(COUNTIF($G$2:$G2153,$G2153)=1,1,0)</f>
        <v>0</v>
      </c>
      <c r="E2153" s="67" t="str">
        <f>IFERROR(VLOOKUP(База_КР_КК[[#This Row],[ИД штатной должности (S)]],'уровень защищенности'!$B$7:$F$1095,5,0),"не защищена")</f>
        <v>средний</v>
      </c>
      <c r="F2153" s="68">
        <v>500581</v>
      </c>
      <c r="G2153" s="74" t="s">
        <v>2626</v>
      </c>
      <c r="H2153" s="181">
        <f>INDEX('Списки данных'!$D$2:$D$1048576,MATCH(База_КР_КК[[#This Row],[Структурное подразделение]],'Списки данных'!$C$2:$C$1048576,0))</f>
        <v>238</v>
      </c>
      <c r="I2153" s="80" t="s">
        <v>170</v>
      </c>
      <c r="J2153" s="80" t="s">
        <v>216</v>
      </c>
      <c r="K2153" s="80" t="s">
        <v>21</v>
      </c>
      <c r="L2153" s="30" t="s">
        <v>198</v>
      </c>
      <c r="M2153" s="68">
        <v>6</v>
      </c>
      <c r="N2153" s="181" t="str">
        <f t="shared" si="34"/>
        <v>нет</v>
      </c>
      <c r="O2153" s="23"/>
      <c r="P2153" s="23"/>
      <c r="Q2153" s="106"/>
      <c r="R2153" s="37">
        <v>453</v>
      </c>
      <c r="S2153" s="38" t="s">
        <v>865</v>
      </c>
      <c r="T2153" s="37">
        <v>1542</v>
      </c>
      <c r="U2153" s="39" t="s">
        <v>1626</v>
      </c>
      <c r="V2153" s="89" t="s">
        <v>192</v>
      </c>
      <c r="W2153" s="89" t="s">
        <v>170</v>
      </c>
      <c r="X2153" s="106" t="s">
        <v>296</v>
      </c>
      <c r="Y2153" s="107" t="s">
        <v>18</v>
      </c>
      <c r="Z2153" s="67">
        <f>IF(База_КР_КК[[#This Row],[Таб.номер резервиста]]="-","-",IF(OR(База_КР_КК[[#This Row],[Уровень КК]]=2,База_КР_КК[[#This Row],[Уровень КК]]=3),IF(COUNTIFS($U$2:$U2153,$U2153,$F$2:$F2153,$F2153)=1,1,0),IF(COUNTIFS($U$2:$U2153,$U2153,$L$2:$L2153,$L2153)=1,1,0)))</f>
        <v>1</v>
      </c>
      <c r="AA21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3" s="106" t="s">
        <v>19</v>
      </c>
      <c r="AC2153" s="51">
        <v>44378</v>
      </c>
      <c r="AD2153" s="106" t="s">
        <v>15</v>
      </c>
      <c r="AE2153" s="38" t="s">
        <v>345</v>
      </c>
    </row>
    <row r="2154" spans="1:31" ht="18" customHeight="1" x14ac:dyDescent="0.25">
      <c r="A21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4" s="79">
        <v>4</v>
      </c>
      <c r="C2154" s="23">
        <v>44894</v>
      </c>
      <c r="D2154" s="67">
        <f>IF(COUNTIF($G$2:$G2154,$G2154)=1,1,0)</f>
        <v>1</v>
      </c>
      <c r="E2154" s="67" t="str">
        <f>IFERROR(VLOOKUP(База_КР_КК[[#This Row],[ИД штатной должности (S)]],'уровень защищенности'!$B$7:$F$1095,5,0),"не защищена")</f>
        <v>средний</v>
      </c>
      <c r="F2154" s="68">
        <v>500583</v>
      </c>
      <c r="G2154" s="74" t="s">
        <v>2627</v>
      </c>
      <c r="H2154" s="181">
        <f>INDEX('Списки данных'!$D$2:$D$1048576,MATCH(База_КР_КК[[#This Row],[Структурное подразделение]],'Списки данных'!$C$2:$C$1048576,0))</f>
        <v>238</v>
      </c>
      <c r="I2154" s="80" t="s">
        <v>170</v>
      </c>
      <c r="J2154" s="80" t="s">
        <v>216</v>
      </c>
      <c r="K2154" s="80" t="s">
        <v>21</v>
      </c>
      <c r="L2154" s="30" t="s">
        <v>192</v>
      </c>
      <c r="M2154" s="68">
        <v>7</v>
      </c>
      <c r="N2154" s="181" t="str">
        <f t="shared" si="34"/>
        <v>нет</v>
      </c>
      <c r="O2154" s="23"/>
      <c r="P2154" s="23"/>
      <c r="Q2154" s="106"/>
      <c r="R2154" s="37">
        <v>454</v>
      </c>
      <c r="S2154" s="38" t="s">
        <v>866</v>
      </c>
      <c r="T2154" s="37">
        <v>1543</v>
      </c>
      <c r="U2154" s="39" t="s">
        <v>1885</v>
      </c>
      <c r="V2154" s="69" t="s">
        <v>272</v>
      </c>
      <c r="W2154" s="89" t="s">
        <v>170</v>
      </c>
      <c r="X2154" s="106" t="s">
        <v>297</v>
      </c>
      <c r="Y2154" s="107" t="s">
        <v>12</v>
      </c>
      <c r="Z2154" s="67">
        <f>IF(База_КР_КК[[#This Row],[Таб.номер резервиста]]="-","-",IF(OR(База_КР_КК[[#This Row],[Уровень КК]]=2,База_КР_КК[[#This Row],[Уровень КК]]=3),IF(COUNTIFS($U$2:$U2154,$U2154,$F$2:$F2154,$F2154)=1,1,0),IF(COUNTIFS($U$2:$U2154,$U2154,$L$2:$L2154,$L2154)=1,1,0)))</f>
        <v>0</v>
      </c>
      <c r="AA21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4" s="106"/>
      <c r="AC2154" s="51"/>
      <c r="AD2154" s="106" t="s">
        <v>15</v>
      </c>
      <c r="AE2154" s="38" t="s">
        <v>352</v>
      </c>
    </row>
    <row r="2155" spans="1:31" ht="18" customHeight="1" x14ac:dyDescent="0.25">
      <c r="A21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5" s="79">
        <v>4</v>
      </c>
      <c r="C2155" s="23">
        <v>44894</v>
      </c>
      <c r="D2155" s="67">
        <f>IF(COUNTIF($G$2:$G2155,$G2155)=1,1,0)</f>
        <v>0</v>
      </c>
      <c r="E2155" s="67" t="str">
        <f>IFERROR(VLOOKUP(База_КР_КК[[#This Row],[ИД штатной должности (S)]],'уровень защищенности'!$B$7:$F$1095,5,0),"не защищена")</f>
        <v>средний</v>
      </c>
      <c r="F2155" s="68">
        <v>500583</v>
      </c>
      <c r="G2155" s="74" t="s">
        <v>2627</v>
      </c>
      <c r="H2155" s="181">
        <f>INDEX('Списки данных'!$D$2:$D$1048576,MATCH(База_КР_КК[[#This Row],[Структурное подразделение]],'Списки данных'!$C$2:$C$1048576,0))</f>
        <v>238</v>
      </c>
      <c r="I2155" s="80" t="s">
        <v>170</v>
      </c>
      <c r="J2155" s="80" t="s">
        <v>216</v>
      </c>
      <c r="K2155" s="80" t="s">
        <v>21</v>
      </c>
      <c r="L2155" s="30" t="s">
        <v>192</v>
      </c>
      <c r="M2155" s="68">
        <v>7</v>
      </c>
      <c r="N2155" s="181" t="str">
        <f t="shared" si="34"/>
        <v>нет</v>
      </c>
      <c r="O2155" s="23"/>
      <c r="P2155" s="23"/>
      <c r="Q2155" s="106"/>
      <c r="R2155" s="37">
        <v>454</v>
      </c>
      <c r="S2155" s="38" t="s">
        <v>866</v>
      </c>
      <c r="T2155" s="37">
        <v>1544</v>
      </c>
      <c r="U2155" s="39" t="s">
        <v>1897</v>
      </c>
      <c r="V2155" s="69" t="s">
        <v>272</v>
      </c>
      <c r="W2155" s="89" t="s">
        <v>170</v>
      </c>
      <c r="X2155" s="106" t="s">
        <v>297</v>
      </c>
      <c r="Y2155" s="107" t="s">
        <v>12</v>
      </c>
      <c r="Z2155" s="67">
        <f>IF(База_КР_КК[[#This Row],[Таб.номер резервиста]]="-","-",IF(OR(База_КР_КК[[#This Row],[Уровень КК]]=2,База_КР_КК[[#This Row],[Уровень КК]]=3),IF(COUNTIFS($U$2:$U2155,$U2155,$F$2:$F2155,$F2155)=1,1,0),IF(COUNTIFS($U$2:$U2155,$U2155,$L$2:$L2155,$L2155)=1,1,0)))</f>
        <v>1</v>
      </c>
      <c r="AA21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5" s="106"/>
      <c r="AC2155" s="51"/>
      <c r="AD2155" s="106" t="s">
        <v>15</v>
      </c>
      <c r="AE2155" s="38" t="s">
        <v>352</v>
      </c>
    </row>
    <row r="2156" spans="1:31" ht="18" customHeight="1" x14ac:dyDescent="0.25">
      <c r="A21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6" s="79">
        <v>4</v>
      </c>
      <c r="C2156" s="23">
        <v>44894</v>
      </c>
      <c r="D2156" s="67">
        <f>IF(COUNTIF($G$2:$G2156,$G2156)=1,1,0)</f>
        <v>1</v>
      </c>
      <c r="E2156" s="67" t="str">
        <f>IFERROR(VLOOKUP(База_КР_КК[[#This Row],[ИД штатной должности (S)]],'уровень защищенности'!$B$7:$F$1095,5,0),"не защищена")</f>
        <v>средний</v>
      </c>
      <c r="F2156" s="68">
        <v>500582</v>
      </c>
      <c r="G2156" s="74" t="s">
        <v>2628</v>
      </c>
      <c r="H2156" s="181">
        <f>INDEX('Списки данных'!$D$2:$D$1048576,MATCH(База_КР_КК[[#This Row],[Структурное подразделение]],'Списки данных'!$C$2:$C$1048576,0))</f>
        <v>238</v>
      </c>
      <c r="I2156" s="80" t="s">
        <v>170</v>
      </c>
      <c r="J2156" s="80" t="s">
        <v>216</v>
      </c>
      <c r="K2156" s="80" t="s">
        <v>21</v>
      </c>
      <c r="L2156" s="30" t="s">
        <v>192</v>
      </c>
      <c r="M2156" s="68">
        <v>7</v>
      </c>
      <c r="N2156" s="181" t="str">
        <f t="shared" si="34"/>
        <v>нет</v>
      </c>
      <c r="O2156" s="23"/>
      <c r="P2156" s="23"/>
      <c r="Q2156" s="106"/>
      <c r="R2156" s="37">
        <v>455</v>
      </c>
      <c r="S2156" s="38" t="s">
        <v>867</v>
      </c>
      <c r="T2156" s="37">
        <v>1545</v>
      </c>
      <c r="U2156" s="39" t="s">
        <v>1793</v>
      </c>
      <c r="V2156" s="69" t="s">
        <v>272</v>
      </c>
      <c r="W2156" s="89" t="s">
        <v>170</v>
      </c>
      <c r="X2156" s="106" t="s">
        <v>297</v>
      </c>
      <c r="Y2156" s="107" t="s">
        <v>12</v>
      </c>
      <c r="Z2156" s="67">
        <f>IF(База_КР_КК[[#This Row],[Таб.номер резервиста]]="-","-",IF(OR(База_КР_КК[[#This Row],[Уровень КК]]=2,База_КР_КК[[#This Row],[Уровень КК]]=3),IF(COUNTIFS($U$2:$U2156,$U2156,$F$2:$F2156,$F2156)=1,1,0),IF(COUNTIFS($U$2:$U2156,$U2156,$L$2:$L2156,$L2156)=1,1,0)))</f>
        <v>1</v>
      </c>
      <c r="AA21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6" s="106"/>
      <c r="AC2156" s="51"/>
      <c r="AD2156" s="106" t="s">
        <v>15</v>
      </c>
      <c r="AE2156" s="38" t="s">
        <v>352</v>
      </c>
    </row>
    <row r="2157" spans="1:31" ht="18" customHeight="1" x14ac:dyDescent="0.25">
      <c r="A21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7" s="79">
        <v>4</v>
      </c>
      <c r="C2157" s="23">
        <v>44431</v>
      </c>
      <c r="D2157" s="67">
        <f>IF(COUNTIF($G$2:$G2157,$G2157)=1,1,0)</f>
        <v>1</v>
      </c>
      <c r="E2157" s="67" t="str">
        <f>IFERROR(VLOOKUP(База_КР_КК[[#This Row],[ИД штатной должности (S)]],'уровень защищенности'!$B$7:$F$1095,5,0),"не защищена")</f>
        <v>средний</v>
      </c>
      <c r="F2157" s="68">
        <v>500614</v>
      </c>
      <c r="G2157" s="74" t="s">
        <v>2629</v>
      </c>
      <c r="H2157" s="181">
        <f>INDEX('Списки данных'!$D$2:$D$1048576,MATCH(База_КР_КК[[#This Row],[Структурное подразделение]],'Списки данных'!$C$2:$C$1048576,0))</f>
        <v>12</v>
      </c>
      <c r="I2157" s="80" t="s">
        <v>160</v>
      </c>
      <c r="J2157" s="80" t="s">
        <v>217</v>
      </c>
      <c r="K2157" s="80" t="s">
        <v>218</v>
      </c>
      <c r="L2157" s="30" t="s">
        <v>191</v>
      </c>
      <c r="M2157" s="68">
        <v>7</v>
      </c>
      <c r="N2157" s="181" t="str">
        <f t="shared" si="34"/>
        <v>нет</v>
      </c>
      <c r="O2157" s="23"/>
      <c r="P2157" s="23"/>
      <c r="Q2157" s="106"/>
      <c r="R2157" s="37">
        <v>456</v>
      </c>
      <c r="S2157" s="38" t="s">
        <v>868</v>
      </c>
      <c r="T2157" s="37">
        <v>1445</v>
      </c>
      <c r="U2157" s="39" t="s">
        <v>1823</v>
      </c>
      <c r="V2157" s="69" t="s">
        <v>272</v>
      </c>
      <c r="W2157" s="89" t="s">
        <v>160</v>
      </c>
      <c r="X2157" s="106" t="s">
        <v>297</v>
      </c>
      <c r="Y2157" s="107" t="s">
        <v>12</v>
      </c>
      <c r="Z2157" s="67">
        <f>IF(База_КР_КК[[#This Row],[Таб.номер резервиста]]="-","-",IF(OR(База_КР_КК[[#This Row],[Уровень КК]]=2,База_КР_КК[[#This Row],[Уровень КК]]=3),IF(COUNTIFS($U$2:$U2157,$U2157,$F$2:$F2157,$F2157)=1,1,0),IF(COUNTIFS($U$2:$U2157,$U2157,$L$2:$L2157,$L2157)=1,1,0)))</f>
        <v>0</v>
      </c>
      <c r="AA21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7" s="106"/>
      <c r="AC2157" s="51"/>
      <c r="AD2157" s="106" t="s">
        <v>15</v>
      </c>
      <c r="AE2157" s="38" t="s">
        <v>350</v>
      </c>
    </row>
    <row r="2158" spans="1:31" ht="18" customHeight="1" x14ac:dyDescent="0.25">
      <c r="A21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8" s="79">
        <v>4</v>
      </c>
      <c r="C2158" s="23">
        <v>44431</v>
      </c>
      <c r="D2158" s="67">
        <f>IF(COUNTIF($G$2:$G2158,$G2158)=1,1,0)</f>
        <v>0</v>
      </c>
      <c r="E2158" s="67" t="str">
        <f>IFERROR(VLOOKUP(База_КР_КК[[#This Row],[ИД штатной должности (S)]],'уровень защищенности'!$B$7:$F$1095,5,0),"не защищена")</f>
        <v>средний</v>
      </c>
      <c r="F2158" s="68">
        <v>500614</v>
      </c>
      <c r="G2158" s="74" t="s">
        <v>2629</v>
      </c>
      <c r="H2158" s="181">
        <f>INDEX('Списки данных'!$D$2:$D$1048576,MATCH(База_КР_КК[[#This Row],[Структурное подразделение]],'Списки данных'!$C$2:$C$1048576,0))</f>
        <v>12</v>
      </c>
      <c r="I2158" s="80" t="s">
        <v>160</v>
      </c>
      <c r="J2158" s="80" t="s">
        <v>217</v>
      </c>
      <c r="K2158" s="80" t="s">
        <v>218</v>
      </c>
      <c r="L2158" s="30" t="s">
        <v>191</v>
      </c>
      <c r="M2158" s="68">
        <v>7</v>
      </c>
      <c r="N2158" s="181" t="str">
        <f t="shared" si="34"/>
        <v>нет</v>
      </c>
      <c r="O2158" s="23"/>
      <c r="P2158" s="23"/>
      <c r="Q2158" s="106"/>
      <c r="R2158" s="37">
        <v>456</v>
      </c>
      <c r="S2158" s="38" t="s">
        <v>868</v>
      </c>
      <c r="T2158" s="37">
        <v>1446</v>
      </c>
      <c r="U2158" s="39" t="s">
        <v>1824</v>
      </c>
      <c r="V2158" s="69" t="s">
        <v>16</v>
      </c>
      <c r="W2158" s="89" t="s">
        <v>160</v>
      </c>
      <c r="X2158" s="106" t="s">
        <v>297</v>
      </c>
      <c r="Y2158" s="107" t="s">
        <v>12</v>
      </c>
      <c r="Z2158" s="67">
        <f>IF(База_КР_КК[[#This Row],[Таб.номер резервиста]]="-","-",IF(OR(База_КР_КК[[#This Row],[Уровень КК]]=2,База_КР_КК[[#This Row],[Уровень КК]]=3),IF(COUNTIFS($U$2:$U2158,$U2158,$F$2:$F2158,$F2158)=1,1,0),IF(COUNTIFS($U$2:$U2158,$U2158,$L$2:$L2158,$L2158)=1,1,0)))</f>
        <v>0</v>
      </c>
      <c r="AA21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8" s="106"/>
      <c r="AC2158" s="51"/>
      <c r="AD2158" s="106" t="s">
        <v>15</v>
      </c>
      <c r="AE2158" s="38" t="s">
        <v>350</v>
      </c>
    </row>
    <row r="2159" spans="1:31" ht="18" customHeight="1" x14ac:dyDescent="0.25">
      <c r="A21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59" s="79">
        <v>4</v>
      </c>
      <c r="C2159" s="23">
        <v>44431</v>
      </c>
      <c r="D2159" s="67">
        <f>IF(COUNTIF($G$2:$G2159,$G2159)=1,1,0)</f>
        <v>0</v>
      </c>
      <c r="E2159" s="67" t="str">
        <f>IFERROR(VLOOKUP(База_КР_КК[[#This Row],[ИД штатной должности (S)]],'уровень защищенности'!$B$7:$F$1095,5,0),"не защищена")</f>
        <v>средний</v>
      </c>
      <c r="F2159" s="68">
        <v>500614</v>
      </c>
      <c r="G2159" s="74" t="s">
        <v>2629</v>
      </c>
      <c r="H2159" s="181">
        <f>INDEX('Списки данных'!$D$2:$D$1048576,MATCH(База_КР_КК[[#This Row],[Структурное подразделение]],'Списки данных'!$C$2:$C$1048576,0))</f>
        <v>12</v>
      </c>
      <c r="I2159" s="80" t="s">
        <v>160</v>
      </c>
      <c r="J2159" s="80" t="s">
        <v>217</v>
      </c>
      <c r="K2159" s="80" t="s">
        <v>218</v>
      </c>
      <c r="L2159" s="30" t="s">
        <v>191</v>
      </c>
      <c r="M2159" s="68">
        <v>7</v>
      </c>
      <c r="N2159" s="181" t="str">
        <f t="shared" si="34"/>
        <v>нет</v>
      </c>
      <c r="O2159" s="23"/>
      <c r="P2159" s="23"/>
      <c r="Q2159" s="106"/>
      <c r="R2159" s="37">
        <v>456</v>
      </c>
      <c r="S2159" s="38" t="s">
        <v>868</v>
      </c>
      <c r="T2159" s="37">
        <v>1447</v>
      </c>
      <c r="U2159" s="39" t="s">
        <v>1825</v>
      </c>
      <c r="V2159" s="69" t="s">
        <v>272</v>
      </c>
      <c r="W2159" s="89" t="s">
        <v>160</v>
      </c>
      <c r="X2159" s="106" t="s">
        <v>296</v>
      </c>
      <c r="Y2159" s="107" t="s">
        <v>12</v>
      </c>
      <c r="Z2159" s="67">
        <f>IF(База_КР_КК[[#This Row],[Таб.номер резервиста]]="-","-",IF(OR(База_КР_КК[[#This Row],[Уровень КК]]=2,База_КР_КК[[#This Row],[Уровень КК]]=3),IF(COUNTIFS($U$2:$U2159,$U2159,$F$2:$F2159,$F2159)=1,1,0),IF(COUNTIFS($U$2:$U2159,$U2159,$L$2:$L2159,$L2159)=1,1,0)))</f>
        <v>0</v>
      </c>
      <c r="AA21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59" s="106"/>
      <c r="AC2159" s="51"/>
      <c r="AD2159" s="106" t="s">
        <v>15</v>
      </c>
      <c r="AE2159" s="38" t="s">
        <v>350</v>
      </c>
    </row>
    <row r="2160" spans="1:31" ht="18" customHeight="1" x14ac:dyDescent="0.25">
      <c r="A21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0" s="79">
        <v>4</v>
      </c>
      <c r="C2160" s="23">
        <v>44431</v>
      </c>
      <c r="D2160" s="67">
        <f>IF(COUNTIF($G$2:$G2160,$G2160)=1,1,0)</f>
        <v>0</v>
      </c>
      <c r="E2160" s="67" t="str">
        <f>IFERROR(VLOOKUP(База_КР_КК[[#This Row],[ИД штатной должности (S)]],'уровень защищенности'!$B$7:$F$1095,5,0),"не защищена")</f>
        <v>средний</v>
      </c>
      <c r="F2160" s="68">
        <v>500614</v>
      </c>
      <c r="G2160" s="74" t="s">
        <v>2629</v>
      </c>
      <c r="H2160" s="181">
        <f>INDEX('Списки данных'!$D$2:$D$1048576,MATCH(База_КР_КК[[#This Row],[Структурное подразделение]],'Списки данных'!$C$2:$C$1048576,0))</f>
        <v>12</v>
      </c>
      <c r="I2160" s="80" t="s">
        <v>160</v>
      </c>
      <c r="J2160" s="80" t="s">
        <v>217</v>
      </c>
      <c r="K2160" s="80" t="s">
        <v>218</v>
      </c>
      <c r="L2160" s="30" t="s">
        <v>191</v>
      </c>
      <c r="M2160" s="68">
        <v>7</v>
      </c>
      <c r="N2160" s="181" t="str">
        <f t="shared" si="34"/>
        <v>нет</v>
      </c>
      <c r="O2160" s="23"/>
      <c r="P2160" s="23"/>
      <c r="Q2160" s="106"/>
      <c r="R2160" s="37">
        <v>456</v>
      </c>
      <c r="S2160" s="38" t="s">
        <v>868</v>
      </c>
      <c r="T2160" s="37">
        <v>1448</v>
      </c>
      <c r="U2160" s="39" t="s">
        <v>1826</v>
      </c>
      <c r="V2160" s="69" t="s">
        <v>272</v>
      </c>
      <c r="W2160" s="89" t="s">
        <v>160</v>
      </c>
      <c r="X2160" s="106" t="s">
        <v>297</v>
      </c>
      <c r="Y2160" s="107" t="s">
        <v>12</v>
      </c>
      <c r="Z2160" s="67">
        <f>IF(База_КР_КК[[#This Row],[Таб.номер резервиста]]="-","-",IF(OR(База_КР_КК[[#This Row],[Уровень КК]]=2,База_КР_КК[[#This Row],[Уровень КК]]=3),IF(COUNTIFS($U$2:$U2160,$U2160,$F$2:$F2160,$F2160)=1,1,0),IF(COUNTIFS($U$2:$U2160,$U2160,$L$2:$L2160,$L2160)=1,1,0)))</f>
        <v>0</v>
      </c>
      <c r="AA21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0" s="106"/>
      <c r="AC2160" s="51"/>
      <c r="AD2160" s="106" t="s">
        <v>15</v>
      </c>
      <c r="AE2160" s="38" t="s">
        <v>350</v>
      </c>
    </row>
    <row r="2161" spans="1:31" ht="18" customHeight="1" x14ac:dyDescent="0.25">
      <c r="A21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1" s="79">
        <v>4</v>
      </c>
      <c r="C2161" s="23">
        <v>44431</v>
      </c>
      <c r="D2161" s="67">
        <f>IF(COUNTIF($G$2:$G2161,$G2161)=1,1,0)</f>
        <v>0</v>
      </c>
      <c r="E2161" s="67" t="str">
        <f>IFERROR(VLOOKUP(База_КР_КК[[#This Row],[ИД штатной должности (S)]],'уровень защищенности'!$B$7:$F$1095,5,0),"не защищена")</f>
        <v>средний</v>
      </c>
      <c r="F2161" s="68">
        <v>500614</v>
      </c>
      <c r="G2161" s="74" t="s">
        <v>2629</v>
      </c>
      <c r="H2161" s="181">
        <f>INDEX('Списки данных'!$D$2:$D$1048576,MATCH(База_КР_КК[[#This Row],[Структурное подразделение]],'Списки данных'!$C$2:$C$1048576,0))</f>
        <v>12</v>
      </c>
      <c r="I2161" s="80" t="s">
        <v>160</v>
      </c>
      <c r="J2161" s="80" t="s">
        <v>217</v>
      </c>
      <c r="K2161" s="80" t="s">
        <v>218</v>
      </c>
      <c r="L2161" s="30" t="s">
        <v>191</v>
      </c>
      <c r="M2161" s="68">
        <v>7</v>
      </c>
      <c r="N2161" s="181" t="str">
        <f t="shared" si="34"/>
        <v>нет</v>
      </c>
      <c r="O2161" s="23"/>
      <c r="P2161" s="23"/>
      <c r="Q2161" s="106"/>
      <c r="R2161" s="37">
        <v>456</v>
      </c>
      <c r="S2161" s="38" t="s">
        <v>868</v>
      </c>
      <c r="T2161" s="37">
        <v>1449</v>
      </c>
      <c r="U2161" s="39" t="s">
        <v>1827</v>
      </c>
      <c r="V2161" s="69" t="s">
        <v>272</v>
      </c>
      <c r="W2161" s="89" t="s">
        <v>160</v>
      </c>
      <c r="X2161" s="106" t="s">
        <v>296</v>
      </c>
      <c r="Y2161" s="107" t="s">
        <v>12</v>
      </c>
      <c r="Z2161" s="67">
        <f>IF(База_КР_КК[[#This Row],[Таб.номер резервиста]]="-","-",IF(OR(База_КР_КК[[#This Row],[Уровень КК]]=2,База_КР_КК[[#This Row],[Уровень КК]]=3),IF(COUNTIFS($U$2:$U2161,$U2161,$F$2:$F2161,$F2161)=1,1,0),IF(COUNTIFS($U$2:$U2161,$U2161,$L$2:$L2161,$L2161)=1,1,0)))</f>
        <v>0</v>
      </c>
      <c r="AA21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1" s="106"/>
      <c r="AC2161" s="51"/>
      <c r="AD2161" s="106" t="s">
        <v>15</v>
      </c>
      <c r="AE2161" s="38" t="s">
        <v>350</v>
      </c>
    </row>
    <row r="2162" spans="1:31" ht="18" customHeight="1" x14ac:dyDescent="0.25">
      <c r="A21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2" s="79">
        <v>4</v>
      </c>
      <c r="C2162" s="23">
        <v>44431</v>
      </c>
      <c r="D2162" s="67">
        <f>IF(COUNTIF($G$2:$G2162,$G2162)=1,1,0)</f>
        <v>0</v>
      </c>
      <c r="E2162" s="67" t="str">
        <f>IFERROR(VLOOKUP(База_КР_КК[[#This Row],[ИД штатной должности (S)]],'уровень защищенности'!$B$7:$F$1095,5,0),"не защищена")</f>
        <v>средний</v>
      </c>
      <c r="F2162" s="68">
        <v>500614</v>
      </c>
      <c r="G2162" s="74" t="s">
        <v>2629</v>
      </c>
      <c r="H2162" s="181">
        <f>INDEX('Списки данных'!$D$2:$D$1048576,MATCH(База_КР_КК[[#This Row],[Структурное подразделение]],'Списки данных'!$C$2:$C$1048576,0))</f>
        <v>12</v>
      </c>
      <c r="I2162" s="80" t="s">
        <v>160</v>
      </c>
      <c r="J2162" s="80" t="s">
        <v>217</v>
      </c>
      <c r="K2162" s="80" t="s">
        <v>218</v>
      </c>
      <c r="L2162" s="30" t="s">
        <v>191</v>
      </c>
      <c r="M2162" s="68">
        <v>7</v>
      </c>
      <c r="N2162" s="181" t="str">
        <f t="shared" si="34"/>
        <v>нет</v>
      </c>
      <c r="O2162" s="23"/>
      <c r="P2162" s="23"/>
      <c r="Q2162" s="106"/>
      <c r="R2162" s="37">
        <v>456</v>
      </c>
      <c r="S2162" s="38" t="s">
        <v>868</v>
      </c>
      <c r="T2162" s="37">
        <v>1450</v>
      </c>
      <c r="U2162" s="39" t="s">
        <v>1828</v>
      </c>
      <c r="V2162" s="69" t="s">
        <v>272</v>
      </c>
      <c r="W2162" s="89" t="s">
        <v>160</v>
      </c>
      <c r="X2162" s="106" t="s">
        <v>296</v>
      </c>
      <c r="Y2162" s="107" t="s">
        <v>12</v>
      </c>
      <c r="Z2162" s="67">
        <f>IF(База_КР_КК[[#This Row],[Таб.номер резервиста]]="-","-",IF(OR(База_КР_КК[[#This Row],[Уровень КК]]=2,База_КР_КК[[#This Row],[Уровень КК]]=3),IF(COUNTIFS($U$2:$U2162,$U2162,$F$2:$F2162,$F2162)=1,1,0),IF(COUNTIFS($U$2:$U2162,$U2162,$L$2:$L2162,$L2162)=1,1,0)))</f>
        <v>0</v>
      </c>
      <c r="AA21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2" s="106"/>
      <c r="AC2162" s="51"/>
      <c r="AD2162" s="106" t="s">
        <v>15</v>
      </c>
      <c r="AE2162" s="38" t="s">
        <v>350</v>
      </c>
    </row>
    <row r="2163" spans="1:31" ht="18" customHeight="1" x14ac:dyDescent="0.25">
      <c r="A21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3" s="79">
        <v>4</v>
      </c>
      <c r="C2163" s="23">
        <v>44431</v>
      </c>
      <c r="D2163" s="67">
        <f>IF(COUNTIF($G$2:$G2163,$G2163)=1,1,0)</f>
        <v>0</v>
      </c>
      <c r="E2163" s="67" t="str">
        <f>IFERROR(VLOOKUP(База_КР_КК[[#This Row],[ИД штатной должности (S)]],'уровень защищенности'!$B$7:$F$1095,5,0),"не защищена")</f>
        <v>средний</v>
      </c>
      <c r="F2163" s="68">
        <v>500614</v>
      </c>
      <c r="G2163" s="74" t="s">
        <v>2629</v>
      </c>
      <c r="H2163" s="181">
        <f>INDEX('Списки данных'!$D$2:$D$1048576,MATCH(База_КР_КК[[#This Row],[Структурное подразделение]],'Списки данных'!$C$2:$C$1048576,0))</f>
        <v>12</v>
      </c>
      <c r="I2163" s="80" t="s">
        <v>160</v>
      </c>
      <c r="J2163" s="80" t="s">
        <v>217</v>
      </c>
      <c r="K2163" s="80" t="s">
        <v>218</v>
      </c>
      <c r="L2163" s="30" t="s">
        <v>191</v>
      </c>
      <c r="M2163" s="68">
        <v>7</v>
      </c>
      <c r="N2163" s="181" t="str">
        <f t="shared" si="34"/>
        <v>нет</v>
      </c>
      <c r="O2163" s="23"/>
      <c r="P2163" s="23"/>
      <c r="Q2163" s="106"/>
      <c r="R2163" s="37">
        <v>456</v>
      </c>
      <c r="S2163" s="38" t="s">
        <v>868</v>
      </c>
      <c r="T2163" s="37">
        <v>1451</v>
      </c>
      <c r="U2163" s="39" t="s">
        <v>1606</v>
      </c>
      <c r="V2163" s="69" t="s">
        <v>272</v>
      </c>
      <c r="W2163" s="89" t="s">
        <v>160</v>
      </c>
      <c r="X2163" s="106" t="s">
        <v>297</v>
      </c>
      <c r="Y2163" s="107" t="s">
        <v>12</v>
      </c>
      <c r="Z2163" s="67">
        <f>IF(База_КР_КК[[#This Row],[Таб.номер резервиста]]="-","-",IF(OR(База_КР_КК[[#This Row],[Уровень КК]]=2,База_КР_КК[[#This Row],[Уровень КК]]=3),IF(COUNTIFS($U$2:$U2163,$U2163,$F$2:$F2163,$F2163)=1,1,0),IF(COUNTIFS($U$2:$U2163,$U2163,$L$2:$L2163,$L2163)=1,1,0)))</f>
        <v>0</v>
      </c>
      <c r="AA21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3" s="106"/>
      <c r="AC2163" s="51"/>
      <c r="AD2163" s="106" t="s">
        <v>15</v>
      </c>
      <c r="AE2163" s="38" t="s">
        <v>350</v>
      </c>
    </row>
    <row r="2164" spans="1:31" ht="18" customHeight="1" x14ac:dyDescent="0.25">
      <c r="A21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4" s="79">
        <v>4</v>
      </c>
      <c r="C2164" s="23">
        <v>44889</v>
      </c>
      <c r="D2164" s="67">
        <f>IF(COUNTIF($G$2:$G2164,$G2164)=1,1,0)</f>
        <v>0</v>
      </c>
      <c r="E2164" s="67" t="str">
        <f>IFERROR(VLOOKUP(База_КР_КК[[#This Row],[ИД штатной должности (S)]],'уровень защищенности'!$B$7:$F$1095,5,0),"не защищена")</f>
        <v>средний</v>
      </c>
      <c r="F2164" s="68">
        <v>500614</v>
      </c>
      <c r="G2164" s="74" t="s">
        <v>2629</v>
      </c>
      <c r="H2164" s="181">
        <f>INDEX('Списки данных'!$D$2:$D$1048576,MATCH(База_КР_КК[[#This Row],[Структурное подразделение]],'Списки данных'!$C$2:$C$1048576,0))</f>
        <v>12</v>
      </c>
      <c r="I2164" s="80" t="s">
        <v>160</v>
      </c>
      <c r="J2164" s="80" t="s">
        <v>217</v>
      </c>
      <c r="K2164" s="80" t="s">
        <v>218</v>
      </c>
      <c r="L2164" s="30" t="s">
        <v>191</v>
      </c>
      <c r="M2164" s="68">
        <v>7</v>
      </c>
      <c r="N2164" s="181" t="str">
        <f t="shared" si="34"/>
        <v>нет</v>
      </c>
      <c r="O2164" s="23"/>
      <c r="P2164" s="23"/>
      <c r="Q2164" s="106"/>
      <c r="R2164" s="37">
        <v>456</v>
      </c>
      <c r="S2164" s="38" t="s">
        <v>868</v>
      </c>
      <c r="T2164" s="37">
        <v>1452</v>
      </c>
      <c r="U2164" s="39" t="s">
        <v>1829</v>
      </c>
      <c r="V2164" s="69" t="s">
        <v>272</v>
      </c>
      <c r="W2164" s="89" t="s">
        <v>160</v>
      </c>
      <c r="X2164" s="106" t="s">
        <v>297</v>
      </c>
      <c r="Y2164" s="107" t="s">
        <v>12</v>
      </c>
      <c r="Z2164" s="67">
        <f>IF(База_КР_КК[[#This Row],[Таб.номер резервиста]]="-","-",IF(OR(База_КР_КК[[#This Row],[Уровень КК]]=2,База_КР_КК[[#This Row],[Уровень КК]]=3),IF(COUNTIFS($U$2:$U2164,$U2164,$F$2:$F2164,$F2164)=1,1,0),IF(COUNTIFS($U$2:$U2164,$U2164,$L$2:$L2164,$L2164)=1,1,0)))</f>
        <v>0</v>
      </c>
      <c r="AA21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4" s="106"/>
      <c r="AC2164" s="51"/>
      <c r="AD2164" s="106" t="s">
        <v>15</v>
      </c>
      <c r="AE2164" s="40" t="s">
        <v>344</v>
      </c>
    </row>
    <row r="2165" spans="1:31" ht="18" customHeight="1" x14ac:dyDescent="0.25">
      <c r="A21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5" s="79">
        <v>4</v>
      </c>
      <c r="C2165" s="23">
        <v>44889</v>
      </c>
      <c r="D2165" s="67">
        <f>IF(COUNTIF($G$2:$G2165,$G2165)=1,1,0)</f>
        <v>0</v>
      </c>
      <c r="E2165" s="67" t="str">
        <f>IFERROR(VLOOKUP(База_КР_КК[[#This Row],[ИД штатной должности (S)]],'уровень защищенности'!$B$7:$F$1095,5,0),"не защищена")</f>
        <v>средний</v>
      </c>
      <c r="F2165" s="68">
        <v>500614</v>
      </c>
      <c r="G2165" s="74" t="s">
        <v>2629</v>
      </c>
      <c r="H2165" s="181">
        <f>INDEX('Списки данных'!$D$2:$D$1048576,MATCH(База_КР_КК[[#This Row],[Структурное подразделение]],'Списки данных'!$C$2:$C$1048576,0))</f>
        <v>12</v>
      </c>
      <c r="I2165" s="80" t="s">
        <v>160</v>
      </c>
      <c r="J2165" s="80" t="s">
        <v>217</v>
      </c>
      <c r="K2165" s="80" t="s">
        <v>218</v>
      </c>
      <c r="L2165" s="30" t="s">
        <v>191</v>
      </c>
      <c r="M2165" s="68">
        <v>7</v>
      </c>
      <c r="N2165" s="181" t="str">
        <f t="shared" si="34"/>
        <v>нет</v>
      </c>
      <c r="O2165" s="23"/>
      <c r="P2165" s="23"/>
      <c r="Q2165" s="106"/>
      <c r="R2165" s="37">
        <v>456</v>
      </c>
      <c r="S2165" s="38" t="s">
        <v>868</v>
      </c>
      <c r="T2165" s="37">
        <v>1453</v>
      </c>
      <c r="U2165" s="39" t="s">
        <v>1830</v>
      </c>
      <c r="V2165" s="69" t="s">
        <v>272</v>
      </c>
      <c r="W2165" s="89" t="s">
        <v>160</v>
      </c>
      <c r="X2165" s="106" t="s">
        <v>296</v>
      </c>
      <c r="Y2165" s="107" t="s">
        <v>12</v>
      </c>
      <c r="Z2165" s="67">
        <f>IF(База_КР_КК[[#This Row],[Таб.номер резервиста]]="-","-",IF(OR(База_КР_КК[[#This Row],[Уровень КК]]=2,База_КР_КК[[#This Row],[Уровень КК]]=3),IF(COUNTIFS($U$2:$U2165,$U2165,$F$2:$F2165,$F2165)=1,1,0),IF(COUNTIFS($U$2:$U2165,$U2165,$L$2:$L2165,$L2165)=1,1,0)))</f>
        <v>0</v>
      </c>
      <c r="AA21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5" s="106"/>
      <c r="AC2165" s="51"/>
      <c r="AD2165" s="106" t="s">
        <v>15</v>
      </c>
      <c r="AE2165" s="40" t="s">
        <v>344</v>
      </c>
    </row>
    <row r="2166" spans="1:31" ht="18" customHeight="1" x14ac:dyDescent="0.25">
      <c r="A21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6" s="79">
        <v>4</v>
      </c>
      <c r="C2166" s="23">
        <v>44889</v>
      </c>
      <c r="D2166" s="67">
        <f>IF(COUNTIF($G$2:$G2166,$G2166)=1,1,0)</f>
        <v>0</v>
      </c>
      <c r="E2166" s="67" t="str">
        <f>IFERROR(VLOOKUP(База_КР_КК[[#This Row],[ИД штатной должности (S)]],'уровень защищенности'!$B$7:$F$1095,5,0),"не защищена")</f>
        <v>средний</v>
      </c>
      <c r="F2166" s="68">
        <v>500614</v>
      </c>
      <c r="G2166" s="74" t="s">
        <v>2629</v>
      </c>
      <c r="H2166" s="181">
        <f>INDEX('Списки данных'!$D$2:$D$1048576,MATCH(База_КР_КК[[#This Row],[Структурное подразделение]],'Списки данных'!$C$2:$C$1048576,0))</f>
        <v>12</v>
      </c>
      <c r="I2166" s="80" t="s">
        <v>160</v>
      </c>
      <c r="J2166" s="80" t="s">
        <v>217</v>
      </c>
      <c r="K2166" s="80" t="s">
        <v>218</v>
      </c>
      <c r="L2166" s="30" t="s">
        <v>191</v>
      </c>
      <c r="M2166" s="68">
        <v>7</v>
      </c>
      <c r="N2166" s="181" t="str">
        <f t="shared" si="34"/>
        <v>нет</v>
      </c>
      <c r="O2166" s="23"/>
      <c r="P2166" s="23"/>
      <c r="Q2166" s="106"/>
      <c r="R2166" s="37">
        <v>456</v>
      </c>
      <c r="S2166" s="38" t="s">
        <v>868</v>
      </c>
      <c r="T2166" s="37">
        <v>1454</v>
      </c>
      <c r="U2166" s="39" t="s">
        <v>1831</v>
      </c>
      <c r="V2166" s="69" t="s">
        <v>272</v>
      </c>
      <c r="W2166" s="89" t="s">
        <v>160</v>
      </c>
      <c r="X2166" s="106" t="s">
        <v>296</v>
      </c>
      <c r="Y2166" s="107" t="s">
        <v>12</v>
      </c>
      <c r="Z2166" s="67">
        <f>IF(База_КР_КК[[#This Row],[Таб.номер резервиста]]="-","-",IF(OR(База_КР_КК[[#This Row],[Уровень КК]]=2,База_КР_КК[[#This Row],[Уровень КК]]=3),IF(COUNTIFS($U$2:$U2166,$U2166,$F$2:$F2166,$F2166)=1,1,0),IF(COUNTIFS($U$2:$U2166,$U2166,$L$2:$L2166,$L2166)=1,1,0)))</f>
        <v>0</v>
      </c>
      <c r="AA21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6" s="106"/>
      <c r="AC2166" s="51"/>
      <c r="AD2166" s="106" t="s">
        <v>15</v>
      </c>
      <c r="AE2166" s="40" t="s">
        <v>344</v>
      </c>
    </row>
    <row r="2167" spans="1:31" ht="18" customHeight="1" x14ac:dyDescent="0.25">
      <c r="A21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7" s="79">
        <v>4</v>
      </c>
      <c r="C2167" s="23">
        <v>44431</v>
      </c>
      <c r="D2167" s="67">
        <f>IF(COUNTIF($G$2:$G2167,$G2167)=1,1,0)</f>
        <v>1</v>
      </c>
      <c r="E2167" s="67" t="str">
        <f>IFERROR(VLOOKUP(База_КР_КК[[#This Row],[ИД штатной должности (S)]],'уровень защищенности'!$B$7:$F$1095,5,0),"не защищена")</f>
        <v>средний</v>
      </c>
      <c r="F2167" s="68">
        <v>500614</v>
      </c>
      <c r="G2167" s="74" t="s">
        <v>2630</v>
      </c>
      <c r="H2167" s="181">
        <f>INDEX('Списки данных'!$D$2:$D$1048576,MATCH(База_КР_КК[[#This Row],[Структурное подразделение]],'Списки данных'!$C$2:$C$1048576,0))</f>
        <v>12</v>
      </c>
      <c r="I2167" s="80" t="s">
        <v>160</v>
      </c>
      <c r="J2167" s="80" t="s">
        <v>217</v>
      </c>
      <c r="K2167" s="80" t="s">
        <v>218</v>
      </c>
      <c r="L2167" s="30" t="s">
        <v>191</v>
      </c>
      <c r="M2167" s="68">
        <v>7</v>
      </c>
      <c r="N2167" s="181" t="str">
        <f t="shared" si="34"/>
        <v>нет</v>
      </c>
      <c r="O2167" s="23"/>
      <c r="P2167" s="23"/>
      <c r="Q2167" s="106"/>
      <c r="R2167" s="37">
        <v>457</v>
      </c>
      <c r="S2167" s="38" t="s">
        <v>869</v>
      </c>
      <c r="T2167" s="37">
        <v>1445</v>
      </c>
      <c r="U2167" s="39" t="s">
        <v>1823</v>
      </c>
      <c r="V2167" s="69" t="s">
        <v>272</v>
      </c>
      <c r="W2167" s="89" t="s">
        <v>160</v>
      </c>
      <c r="X2167" s="106" t="s">
        <v>297</v>
      </c>
      <c r="Y2167" s="107" t="s">
        <v>12</v>
      </c>
      <c r="Z2167" s="67">
        <f>IF(База_КР_КК[[#This Row],[Таб.номер резервиста]]="-","-",IF(OR(База_КР_КК[[#This Row],[Уровень КК]]=2,База_КР_КК[[#This Row],[Уровень КК]]=3),IF(COUNTIFS($U$2:$U2167,$U2167,$F$2:$F2167,$F2167)=1,1,0),IF(COUNTIFS($U$2:$U2167,$U2167,$L$2:$L2167,$L2167)=1,1,0)))</f>
        <v>0</v>
      </c>
      <c r="AA21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7" s="106"/>
      <c r="AC2167" s="51"/>
      <c r="AD2167" s="106" t="s">
        <v>15</v>
      </c>
      <c r="AE2167" s="38" t="s">
        <v>350</v>
      </c>
    </row>
    <row r="2168" spans="1:31" ht="18" customHeight="1" x14ac:dyDescent="0.25">
      <c r="A21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8" s="79">
        <v>4</v>
      </c>
      <c r="C2168" s="23">
        <v>44431</v>
      </c>
      <c r="D2168" s="67">
        <f>IF(COUNTIF($G$2:$G2168,$G2168)=1,1,0)</f>
        <v>0</v>
      </c>
      <c r="E2168" s="67" t="str">
        <f>IFERROR(VLOOKUP(База_КР_КК[[#This Row],[ИД штатной должности (S)]],'уровень защищенности'!$B$7:$F$1095,5,0),"не защищена")</f>
        <v>средний</v>
      </c>
      <c r="F2168" s="68">
        <v>500614</v>
      </c>
      <c r="G2168" s="74" t="s">
        <v>2630</v>
      </c>
      <c r="H2168" s="181">
        <f>INDEX('Списки данных'!$D$2:$D$1048576,MATCH(База_КР_КК[[#This Row],[Структурное подразделение]],'Списки данных'!$C$2:$C$1048576,0))</f>
        <v>12</v>
      </c>
      <c r="I2168" s="80" t="s">
        <v>160</v>
      </c>
      <c r="J2168" s="80" t="s">
        <v>217</v>
      </c>
      <c r="K2168" s="80" t="s">
        <v>218</v>
      </c>
      <c r="L2168" s="30" t="s">
        <v>191</v>
      </c>
      <c r="M2168" s="68">
        <v>7</v>
      </c>
      <c r="N2168" s="181" t="str">
        <f t="shared" si="34"/>
        <v>нет</v>
      </c>
      <c r="O2168" s="23"/>
      <c r="P2168" s="23"/>
      <c r="Q2168" s="106"/>
      <c r="R2168" s="37">
        <v>457</v>
      </c>
      <c r="S2168" s="38" t="s">
        <v>869</v>
      </c>
      <c r="T2168" s="37">
        <v>1446</v>
      </c>
      <c r="U2168" s="39" t="s">
        <v>1824</v>
      </c>
      <c r="V2168" s="69" t="s">
        <v>16</v>
      </c>
      <c r="W2168" s="89" t="s">
        <v>160</v>
      </c>
      <c r="X2168" s="106" t="s">
        <v>297</v>
      </c>
      <c r="Y2168" s="107" t="s">
        <v>12</v>
      </c>
      <c r="Z2168" s="67">
        <f>IF(База_КР_КК[[#This Row],[Таб.номер резервиста]]="-","-",IF(OR(База_КР_КК[[#This Row],[Уровень КК]]=2,База_КР_КК[[#This Row],[Уровень КК]]=3),IF(COUNTIFS($U$2:$U2168,$U2168,$F$2:$F2168,$F2168)=1,1,0),IF(COUNTIFS($U$2:$U2168,$U2168,$L$2:$L2168,$L2168)=1,1,0)))</f>
        <v>0</v>
      </c>
      <c r="AA21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8" s="106"/>
      <c r="AC2168" s="51"/>
      <c r="AD2168" s="106" t="s">
        <v>15</v>
      </c>
      <c r="AE2168" s="38" t="s">
        <v>350</v>
      </c>
    </row>
    <row r="2169" spans="1:31" ht="18" customHeight="1" x14ac:dyDescent="0.25">
      <c r="A21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69" s="79">
        <v>4</v>
      </c>
      <c r="C2169" s="23">
        <v>44431</v>
      </c>
      <c r="D2169" s="67">
        <f>IF(COUNTIF($G$2:$G2169,$G2169)=1,1,0)</f>
        <v>0</v>
      </c>
      <c r="E2169" s="67" t="str">
        <f>IFERROR(VLOOKUP(База_КР_КК[[#This Row],[ИД штатной должности (S)]],'уровень защищенности'!$B$7:$F$1095,5,0),"не защищена")</f>
        <v>средний</v>
      </c>
      <c r="F2169" s="68">
        <v>500614</v>
      </c>
      <c r="G2169" s="74" t="s">
        <v>2630</v>
      </c>
      <c r="H2169" s="181">
        <f>INDEX('Списки данных'!$D$2:$D$1048576,MATCH(База_КР_КК[[#This Row],[Структурное подразделение]],'Списки данных'!$C$2:$C$1048576,0))</f>
        <v>12</v>
      </c>
      <c r="I2169" s="80" t="s">
        <v>160</v>
      </c>
      <c r="J2169" s="80" t="s">
        <v>217</v>
      </c>
      <c r="K2169" s="80" t="s">
        <v>218</v>
      </c>
      <c r="L2169" s="30" t="s">
        <v>191</v>
      </c>
      <c r="M2169" s="68">
        <v>7</v>
      </c>
      <c r="N2169" s="181" t="str">
        <f t="shared" si="34"/>
        <v>нет</v>
      </c>
      <c r="O2169" s="23"/>
      <c r="P2169" s="23"/>
      <c r="Q2169" s="106"/>
      <c r="R2169" s="37">
        <v>457</v>
      </c>
      <c r="S2169" s="38" t="s">
        <v>869</v>
      </c>
      <c r="T2169" s="37">
        <v>1447</v>
      </c>
      <c r="U2169" s="39" t="s">
        <v>1825</v>
      </c>
      <c r="V2169" s="69" t="s">
        <v>272</v>
      </c>
      <c r="W2169" s="89" t="s">
        <v>160</v>
      </c>
      <c r="X2169" s="106" t="s">
        <v>296</v>
      </c>
      <c r="Y2169" s="107" t="s">
        <v>12</v>
      </c>
      <c r="Z2169" s="67">
        <f>IF(База_КР_КК[[#This Row],[Таб.номер резервиста]]="-","-",IF(OR(База_КР_КК[[#This Row],[Уровень КК]]=2,База_КР_КК[[#This Row],[Уровень КК]]=3),IF(COUNTIFS($U$2:$U2169,$U2169,$F$2:$F2169,$F2169)=1,1,0),IF(COUNTIFS($U$2:$U2169,$U2169,$L$2:$L2169,$L2169)=1,1,0)))</f>
        <v>0</v>
      </c>
      <c r="AA21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69" s="106"/>
      <c r="AC2169" s="51"/>
      <c r="AD2169" s="106" t="s">
        <v>15</v>
      </c>
      <c r="AE2169" s="38" t="s">
        <v>350</v>
      </c>
    </row>
    <row r="2170" spans="1:31" ht="18" customHeight="1" x14ac:dyDescent="0.25">
      <c r="A21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0" s="79">
        <v>4</v>
      </c>
      <c r="C2170" s="23">
        <v>44431</v>
      </c>
      <c r="D2170" s="67">
        <f>IF(COUNTIF($G$2:$G2170,$G2170)=1,1,0)</f>
        <v>0</v>
      </c>
      <c r="E2170" s="67" t="str">
        <f>IFERROR(VLOOKUP(База_КР_КК[[#This Row],[ИД штатной должности (S)]],'уровень защищенности'!$B$7:$F$1095,5,0),"не защищена")</f>
        <v>средний</v>
      </c>
      <c r="F2170" s="68">
        <v>500614</v>
      </c>
      <c r="G2170" s="74" t="s">
        <v>2630</v>
      </c>
      <c r="H2170" s="181">
        <f>INDEX('Списки данных'!$D$2:$D$1048576,MATCH(База_КР_КК[[#This Row],[Структурное подразделение]],'Списки данных'!$C$2:$C$1048576,0))</f>
        <v>12</v>
      </c>
      <c r="I2170" s="80" t="s">
        <v>160</v>
      </c>
      <c r="J2170" s="80" t="s">
        <v>217</v>
      </c>
      <c r="K2170" s="80" t="s">
        <v>218</v>
      </c>
      <c r="L2170" s="30" t="s">
        <v>191</v>
      </c>
      <c r="M2170" s="68">
        <v>7</v>
      </c>
      <c r="N2170" s="181" t="str">
        <f t="shared" si="34"/>
        <v>нет</v>
      </c>
      <c r="O2170" s="23"/>
      <c r="P2170" s="23"/>
      <c r="Q2170" s="106"/>
      <c r="R2170" s="37">
        <v>457</v>
      </c>
      <c r="S2170" s="38" t="s">
        <v>869</v>
      </c>
      <c r="T2170" s="37">
        <v>1448</v>
      </c>
      <c r="U2170" s="39" t="s">
        <v>1826</v>
      </c>
      <c r="V2170" s="69" t="s">
        <v>272</v>
      </c>
      <c r="W2170" s="89" t="s">
        <v>160</v>
      </c>
      <c r="X2170" s="106" t="s">
        <v>297</v>
      </c>
      <c r="Y2170" s="107" t="s">
        <v>12</v>
      </c>
      <c r="Z2170" s="67">
        <f>IF(База_КР_КК[[#This Row],[Таб.номер резервиста]]="-","-",IF(OR(База_КР_КК[[#This Row],[Уровень КК]]=2,База_КР_КК[[#This Row],[Уровень КК]]=3),IF(COUNTIFS($U$2:$U2170,$U2170,$F$2:$F2170,$F2170)=1,1,0),IF(COUNTIFS($U$2:$U2170,$U2170,$L$2:$L2170,$L2170)=1,1,0)))</f>
        <v>0</v>
      </c>
      <c r="AA21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0" s="106"/>
      <c r="AC2170" s="51"/>
      <c r="AD2170" s="106" t="s">
        <v>15</v>
      </c>
      <c r="AE2170" s="38" t="s">
        <v>350</v>
      </c>
    </row>
    <row r="2171" spans="1:31" ht="18" customHeight="1" x14ac:dyDescent="0.25">
      <c r="A21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1" s="79">
        <v>4</v>
      </c>
      <c r="C2171" s="23">
        <v>44431</v>
      </c>
      <c r="D2171" s="67">
        <f>IF(COUNTIF($G$2:$G2171,$G2171)=1,1,0)</f>
        <v>0</v>
      </c>
      <c r="E2171" s="67" t="str">
        <f>IFERROR(VLOOKUP(База_КР_КК[[#This Row],[ИД штатной должности (S)]],'уровень защищенности'!$B$7:$F$1095,5,0),"не защищена")</f>
        <v>средний</v>
      </c>
      <c r="F2171" s="68">
        <v>500614</v>
      </c>
      <c r="G2171" s="74" t="s">
        <v>2630</v>
      </c>
      <c r="H2171" s="181">
        <f>INDEX('Списки данных'!$D$2:$D$1048576,MATCH(База_КР_КК[[#This Row],[Структурное подразделение]],'Списки данных'!$C$2:$C$1048576,0))</f>
        <v>12</v>
      </c>
      <c r="I2171" s="80" t="s">
        <v>160</v>
      </c>
      <c r="J2171" s="80" t="s">
        <v>217</v>
      </c>
      <c r="K2171" s="80" t="s">
        <v>218</v>
      </c>
      <c r="L2171" s="30" t="s">
        <v>191</v>
      </c>
      <c r="M2171" s="68">
        <v>7</v>
      </c>
      <c r="N2171" s="181" t="str">
        <f t="shared" si="34"/>
        <v>нет</v>
      </c>
      <c r="O2171" s="23"/>
      <c r="P2171" s="23"/>
      <c r="Q2171" s="106"/>
      <c r="R2171" s="37">
        <v>457</v>
      </c>
      <c r="S2171" s="38" t="s">
        <v>869</v>
      </c>
      <c r="T2171" s="37">
        <v>1449</v>
      </c>
      <c r="U2171" s="39" t="s">
        <v>1827</v>
      </c>
      <c r="V2171" s="69" t="s">
        <v>272</v>
      </c>
      <c r="W2171" s="89" t="s">
        <v>160</v>
      </c>
      <c r="X2171" s="106" t="s">
        <v>296</v>
      </c>
      <c r="Y2171" s="107" t="s">
        <v>12</v>
      </c>
      <c r="Z2171" s="67">
        <f>IF(База_КР_КК[[#This Row],[Таб.номер резервиста]]="-","-",IF(OR(База_КР_КК[[#This Row],[Уровень КК]]=2,База_КР_КК[[#This Row],[Уровень КК]]=3),IF(COUNTIFS($U$2:$U2171,$U2171,$F$2:$F2171,$F2171)=1,1,0),IF(COUNTIFS($U$2:$U2171,$U2171,$L$2:$L2171,$L2171)=1,1,0)))</f>
        <v>0</v>
      </c>
      <c r="AA21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1" s="106"/>
      <c r="AC2171" s="51"/>
      <c r="AD2171" s="106" t="s">
        <v>15</v>
      </c>
      <c r="AE2171" s="38" t="s">
        <v>350</v>
      </c>
    </row>
    <row r="2172" spans="1:31" ht="18" customHeight="1" x14ac:dyDescent="0.25">
      <c r="A21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2" s="79">
        <v>4</v>
      </c>
      <c r="C2172" s="23">
        <v>44431</v>
      </c>
      <c r="D2172" s="67">
        <f>IF(COUNTIF($G$2:$G2172,$G2172)=1,1,0)</f>
        <v>0</v>
      </c>
      <c r="E2172" s="67" t="str">
        <f>IFERROR(VLOOKUP(База_КР_КК[[#This Row],[ИД штатной должности (S)]],'уровень защищенности'!$B$7:$F$1095,5,0),"не защищена")</f>
        <v>средний</v>
      </c>
      <c r="F2172" s="68">
        <v>500614</v>
      </c>
      <c r="G2172" s="74" t="s">
        <v>2630</v>
      </c>
      <c r="H2172" s="181">
        <f>INDEX('Списки данных'!$D$2:$D$1048576,MATCH(База_КР_КК[[#This Row],[Структурное подразделение]],'Списки данных'!$C$2:$C$1048576,0))</f>
        <v>12</v>
      </c>
      <c r="I2172" s="80" t="s">
        <v>160</v>
      </c>
      <c r="J2172" s="80" t="s">
        <v>217</v>
      </c>
      <c r="K2172" s="80" t="s">
        <v>218</v>
      </c>
      <c r="L2172" s="30" t="s">
        <v>191</v>
      </c>
      <c r="M2172" s="68">
        <v>7</v>
      </c>
      <c r="N2172" s="181" t="str">
        <f t="shared" si="34"/>
        <v>нет</v>
      </c>
      <c r="O2172" s="23"/>
      <c r="P2172" s="23"/>
      <c r="Q2172" s="106"/>
      <c r="R2172" s="37">
        <v>457</v>
      </c>
      <c r="S2172" s="38" t="s">
        <v>869</v>
      </c>
      <c r="T2172" s="37">
        <v>1450</v>
      </c>
      <c r="U2172" s="39" t="s">
        <v>1828</v>
      </c>
      <c r="V2172" s="69" t="s">
        <v>272</v>
      </c>
      <c r="W2172" s="89" t="s">
        <v>160</v>
      </c>
      <c r="X2172" s="106" t="s">
        <v>296</v>
      </c>
      <c r="Y2172" s="107" t="s">
        <v>12</v>
      </c>
      <c r="Z2172" s="67">
        <f>IF(База_КР_КК[[#This Row],[Таб.номер резервиста]]="-","-",IF(OR(База_КР_КК[[#This Row],[Уровень КК]]=2,База_КР_КК[[#This Row],[Уровень КК]]=3),IF(COUNTIFS($U$2:$U2172,$U2172,$F$2:$F2172,$F2172)=1,1,0),IF(COUNTIFS($U$2:$U2172,$U2172,$L$2:$L2172,$L2172)=1,1,0)))</f>
        <v>0</v>
      </c>
      <c r="AA21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2" s="106"/>
      <c r="AC2172" s="51"/>
      <c r="AD2172" s="106" t="s">
        <v>15</v>
      </c>
      <c r="AE2172" s="38" t="s">
        <v>350</v>
      </c>
    </row>
    <row r="2173" spans="1:31" ht="18" customHeight="1" x14ac:dyDescent="0.25">
      <c r="A21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3" s="79">
        <v>4</v>
      </c>
      <c r="C2173" s="23">
        <v>44431</v>
      </c>
      <c r="D2173" s="67">
        <f>IF(COUNTIF($G$2:$G2173,$G2173)=1,1,0)</f>
        <v>0</v>
      </c>
      <c r="E2173" s="67" t="str">
        <f>IFERROR(VLOOKUP(База_КР_КК[[#This Row],[ИД штатной должности (S)]],'уровень защищенности'!$B$7:$F$1095,5,0),"не защищена")</f>
        <v>средний</v>
      </c>
      <c r="F2173" s="68">
        <v>500614</v>
      </c>
      <c r="G2173" s="74" t="s">
        <v>2630</v>
      </c>
      <c r="H2173" s="181">
        <f>INDEX('Списки данных'!$D$2:$D$1048576,MATCH(База_КР_КК[[#This Row],[Структурное подразделение]],'Списки данных'!$C$2:$C$1048576,0))</f>
        <v>12</v>
      </c>
      <c r="I2173" s="80" t="s">
        <v>160</v>
      </c>
      <c r="J2173" s="80" t="s">
        <v>217</v>
      </c>
      <c r="K2173" s="80" t="s">
        <v>218</v>
      </c>
      <c r="L2173" s="30" t="s">
        <v>191</v>
      </c>
      <c r="M2173" s="68">
        <v>7</v>
      </c>
      <c r="N2173" s="181" t="str">
        <f t="shared" si="34"/>
        <v>нет</v>
      </c>
      <c r="O2173" s="23"/>
      <c r="P2173" s="23"/>
      <c r="Q2173" s="106"/>
      <c r="R2173" s="37">
        <v>457</v>
      </c>
      <c r="S2173" s="38" t="s">
        <v>869</v>
      </c>
      <c r="T2173" s="37">
        <v>1451</v>
      </c>
      <c r="U2173" s="39" t="s">
        <v>1606</v>
      </c>
      <c r="V2173" s="69" t="s">
        <v>272</v>
      </c>
      <c r="W2173" s="89" t="s">
        <v>160</v>
      </c>
      <c r="X2173" s="106" t="s">
        <v>297</v>
      </c>
      <c r="Y2173" s="107" t="s">
        <v>12</v>
      </c>
      <c r="Z2173" s="67">
        <f>IF(База_КР_КК[[#This Row],[Таб.номер резервиста]]="-","-",IF(OR(База_КР_КК[[#This Row],[Уровень КК]]=2,База_КР_КК[[#This Row],[Уровень КК]]=3),IF(COUNTIFS($U$2:$U2173,$U2173,$F$2:$F2173,$F2173)=1,1,0),IF(COUNTIFS($U$2:$U2173,$U2173,$L$2:$L2173,$L2173)=1,1,0)))</f>
        <v>0</v>
      </c>
      <c r="AA21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3" s="106"/>
      <c r="AC2173" s="51"/>
      <c r="AD2173" s="106" t="s">
        <v>15</v>
      </c>
      <c r="AE2173" s="38" t="s">
        <v>350</v>
      </c>
    </row>
    <row r="2174" spans="1:31" ht="18" customHeight="1" x14ac:dyDescent="0.25">
      <c r="A21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4" s="79">
        <v>4</v>
      </c>
      <c r="C2174" s="23">
        <v>44889</v>
      </c>
      <c r="D2174" s="67">
        <f>IF(COUNTIF($G$2:$G2174,$G2174)=1,1,0)</f>
        <v>0</v>
      </c>
      <c r="E2174" s="67" t="str">
        <f>IFERROR(VLOOKUP(База_КР_КК[[#This Row],[ИД штатной должности (S)]],'уровень защищенности'!$B$7:$F$1095,5,0),"не защищена")</f>
        <v>средний</v>
      </c>
      <c r="F2174" s="68">
        <v>500614</v>
      </c>
      <c r="G2174" s="74" t="s">
        <v>2630</v>
      </c>
      <c r="H2174" s="181">
        <f>INDEX('Списки данных'!$D$2:$D$1048576,MATCH(База_КР_КК[[#This Row],[Структурное подразделение]],'Списки данных'!$C$2:$C$1048576,0))</f>
        <v>12</v>
      </c>
      <c r="I2174" s="80" t="s">
        <v>160</v>
      </c>
      <c r="J2174" s="80" t="s">
        <v>217</v>
      </c>
      <c r="K2174" s="80" t="s">
        <v>218</v>
      </c>
      <c r="L2174" s="30" t="s">
        <v>191</v>
      </c>
      <c r="M2174" s="68">
        <v>7</v>
      </c>
      <c r="N2174" s="181" t="str">
        <f t="shared" si="34"/>
        <v>нет</v>
      </c>
      <c r="O2174" s="23"/>
      <c r="P2174" s="23"/>
      <c r="Q2174" s="106"/>
      <c r="R2174" s="37">
        <v>457</v>
      </c>
      <c r="S2174" s="38" t="s">
        <v>869</v>
      </c>
      <c r="T2174" s="37">
        <v>1452</v>
      </c>
      <c r="U2174" s="39" t="s">
        <v>1829</v>
      </c>
      <c r="V2174" s="69" t="s">
        <v>272</v>
      </c>
      <c r="W2174" s="89" t="s">
        <v>160</v>
      </c>
      <c r="X2174" s="106" t="s">
        <v>297</v>
      </c>
      <c r="Y2174" s="107" t="s">
        <v>12</v>
      </c>
      <c r="Z2174" s="67">
        <f>IF(База_КР_КК[[#This Row],[Таб.номер резервиста]]="-","-",IF(OR(База_КР_КК[[#This Row],[Уровень КК]]=2,База_КР_КК[[#This Row],[Уровень КК]]=3),IF(COUNTIFS($U$2:$U2174,$U2174,$F$2:$F2174,$F2174)=1,1,0),IF(COUNTIFS($U$2:$U2174,$U2174,$L$2:$L2174,$L2174)=1,1,0)))</f>
        <v>0</v>
      </c>
      <c r="AA21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4" s="106"/>
      <c r="AC2174" s="51"/>
      <c r="AD2174" s="106" t="s">
        <v>15</v>
      </c>
      <c r="AE2174" s="40" t="s">
        <v>344</v>
      </c>
    </row>
    <row r="2175" spans="1:31" ht="18" customHeight="1" x14ac:dyDescent="0.25">
      <c r="A21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5" s="79">
        <v>4</v>
      </c>
      <c r="C2175" s="23">
        <v>44889</v>
      </c>
      <c r="D2175" s="67">
        <f>IF(COUNTIF($G$2:$G2175,$G2175)=1,1,0)</f>
        <v>0</v>
      </c>
      <c r="E2175" s="67" t="str">
        <f>IFERROR(VLOOKUP(База_КР_КК[[#This Row],[ИД штатной должности (S)]],'уровень защищенности'!$B$7:$F$1095,5,0),"не защищена")</f>
        <v>средний</v>
      </c>
      <c r="F2175" s="68">
        <v>500614</v>
      </c>
      <c r="G2175" s="74" t="s">
        <v>2630</v>
      </c>
      <c r="H2175" s="181">
        <f>INDEX('Списки данных'!$D$2:$D$1048576,MATCH(База_КР_КК[[#This Row],[Структурное подразделение]],'Списки данных'!$C$2:$C$1048576,0))</f>
        <v>12</v>
      </c>
      <c r="I2175" s="80" t="s">
        <v>160</v>
      </c>
      <c r="J2175" s="80" t="s">
        <v>217</v>
      </c>
      <c r="K2175" s="80" t="s">
        <v>218</v>
      </c>
      <c r="L2175" s="30" t="s">
        <v>191</v>
      </c>
      <c r="M2175" s="68">
        <v>7</v>
      </c>
      <c r="N2175" s="181" t="str">
        <f t="shared" si="34"/>
        <v>нет</v>
      </c>
      <c r="O2175" s="23"/>
      <c r="P2175" s="23"/>
      <c r="Q2175" s="106"/>
      <c r="R2175" s="37">
        <v>457</v>
      </c>
      <c r="S2175" s="38" t="s">
        <v>869</v>
      </c>
      <c r="T2175" s="37">
        <v>1453</v>
      </c>
      <c r="U2175" s="39" t="s">
        <v>1830</v>
      </c>
      <c r="V2175" s="69" t="s">
        <v>272</v>
      </c>
      <c r="W2175" s="89" t="s">
        <v>160</v>
      </c>
      <c r="X2175" s="106" t="s">
        <v>296</v>
      </c>
      <c r="Y2175" s="107" t="s">
        <v>12</v>
      </c>
      <c r="Z2175" s="67">
        <f>IF(База_КР_КК[[#This Row],[Таб.номер резервиста]]="-","-",IF(OR(База_КР_КК[[#This Row],[Уровень КК]]=2,База_КР_КК[[#This Row],[Уровень КК]]=3),IF(COUNTIFS($U$2:$U2175,$U2175,$F$2:$F2175,$F2175)=1,1,0),IF(COUNTIFS($U$2:$U2175,$U2175,$L$2:$L2175,$L2175)=1,1,0)))</f>
        <v>0</v>
      </c>
      <c r="AA21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5" s="106"/>
      <c r="AC2175" s="51"/>
      <c r="AD2175" s="106" t="s">
        <v>15</v>
      </c>
      <c r="AE2175" s="40" t="s">
        <v>344</v>
      </c>
    </row>
    <row r="2176" spans="1:31" ht="18" customHeight="1" x14ac:dyDescent="0.25">
      <c r="A21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6" s="79">
        <v>4</v>
      </c>
      <c r="C2176" s="23">
        <v>44889</v>
      </c>
      <c r="D2176" s="67">
        <f>IF(COUNTIF($G$2:$G2176,$G2176)=1,1,0)</f>
        <v>0</v>
      </c>
      <c r="E2176" s="67" t="str">
        <f>IFERROR(VLOOKUP(База_КР_КК[[#This Row],[ИД штатной должности (S)]],'уровень защищенности'!$B$7:$F$1095,5,0),"не защищена")</f>
        <v>средний</v>
      </c>
      <c r="F2176" s="68">
        <v>500614</v>
      </c>
      <c r="G2176" s="74" t="s">
        <v>2630</v>
      </c>
      <c r="H2176" s="181">
        <f>INDEX('Списки данных'!$D$2:$D$1048576,MATCH(База_КР_КК[[#This Row],[Структурное подразделение]],'Списки данных'!$C$2:$C$1048576,0))</f>
        <v>12</v>
      </c>
      <c r="I2176" s="80" t="s">
        <v>160</v>
      </c>
      <c r="J2176" s="80" t="s">
        <v>217</v>
      </c>
      <c r="K2176" s="80" t="s">
        <v>218</v>
      </c>
      <c r="L2176" s="30" t="s">
        <v>191</v>
      </c>
      <c r="M2176" s="68">
        <v>7</v>
      </c>
      <c r="N2176" s="181" t="str">
        <f t="shared" ref="N2176:N2239" si="35">IF(ISBLANK(O2176),"нет","да")</f>
        <v>нет</v>
      </c>
      <c r="O2176" s="23"/>
      <c r="P2176" s="23"/>
      <c r="Q2176" s="106"/>
      <c r="R2176" s="37">
        <v>457</v>
      </c>
      <c r="S2176" s="38" t="s">
        <v>869</v>
      </c>
      <c r="T2176" s="37">
        <v>1454</v>
      </c>
      <c r="U2176" s="39" t="s">
        <v>1831</v>
      </c>
      <c r="V2176" s="69" t="s">
        <v>272</v>
      </c>
      <c r="W2176" s="89" t="s">
        <v>160</v>
      </c>
      <c r="X2176" s="106" t="s">
        <v>296</v>
      </c>
      <c r="Y2176" s="107" t="s">
        <v>12</v>
      </c>
      <c r="Z2176" s="67">
        <f>IF(База_КР_КК[[#This Row],[Таб.номер резервиста]]="-","-",IF(OR(База_КР_КК[[#This Row],[Уровень КК]]=2,База_КР_КК[[#This Row],[Уровень КК]]=3),IF(COUNTIFS($U$2:$U2176,$U2176,$F$2:$F2176,$F2176)=1,1,0),IF(COUNTIFS($U$2:$U2176,$U2176,$L$2:$L2176,$L2176)=1,1,0)))</f>
        <v>0</v>
      </c>
      <c r="AA21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6" s="106"/>
      <c r="AC2176" s="51"/>
      <c r="AD2176" s="106" t="s">
        <v>15</v>
      </c>
      <c r="AE2176" s="40" t="s">
        <v>344</v>
      </c>
    </row>
    <row r="2177" spans="1:31" ht="18" customHeight="1" x14ac:dyDescent="0.25">
      <c r="A21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7" s="79">
        <v>4</v>
      </c>
      <c r="C2177" s="23">
        <v>44431</v>
      </c>
      <c r="D2177" s="67">
        <f>IF(COUNTIF($G$2:$G2177,$G2177)=1,1,0)</f>
        <v>1</v>
      </c>
      <c r="E2177" s="67" t="str">
        <f>IFERROR(VLOOKUP(База_КР_КК[[#This Row],[ИД штатной должности (S)]],'уровень защищенности'!$B$7:$F$1095,5,0),"не защищена")</f>
        <v>средний</v>
      </c>
      <c r="F2177" s="68">
        <v>500614</v>
      </c>
      <c r="G2177" s="74" t="s">
        <v>2631</v>
      </c>
      <c r="H2177" s="181">
        <f>INDEX('Списки данных'!$D$2:$D$1048576,MATCH(База_КР_КК[[#This Row],[Структурное подразделение]],'Списки данных'!$C$2:$C$1048576,0))</f>
        <v>12</v>
      </c>
      <c r="I2177" s="80" t="s">
        <v>160</v>
      </c>
      <c r="J2177" s="80" t="s">
        <v>217</v>
      </c>
      <c r="K2177" s="80" t="s">
        <v>218</v>
      </c>
      <c r="L2177" s="30" t="s">
        <v>191</v>
      </c>
      <c r="M2177" s="68">
        <v>7</v>
      </c>
      <c r="N2177" s="181" t="str">
        <f t="shared" si="35"/>
        <v>нет</v>
      </c>
      <c r="O2177" s="23"/>
      <c r="P2177" s="23"/>
      <c r="Q2177" s="106"/>
      <c r="R2177" s="37">
        <v>458</v>
      </c>
      <c r="S2177" s="38" t="s">
        <v>870</v>
      </c>
      <c r="T2177" s="37">
        <v>1445</v>
      </c>
      <c r="U2177" s="39" t="s">
        <v>1823</v>
      </c>
      <c r="V2177" s="69" t="s">
        <v>272</v>
      </c>
      <c r="W2177" s="89" t="s">
        <v>160</v>
      </c>
      <c r="X2177" s="106" t="s">
        <v>297</v>
      </c>
      <c r="Y2177" s="107" t="s">
        <v>12</v>
      </c>
      <c r="Z2177" s="67">
        <f>IF(База_КР_КК[[#This Row],[Таб.номер резервиста]]="-","-",IF(OR(База_КР_КК[[#This Row],[Уровень КК]]=2,База_КР_КК[[#This Row],[Уровень КК]]=3),IF(COUNTIFS($U$2:$U2177,$U2177,$F$2:$F2177,$F2177)=1,1,0),IF(COUNTIFS($U$2:$U2177,$U2177,$L$2:$L2177,$L2177)=1,1,0)))</f>
        <v>0</v>
      </c>
      <c r="AA21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7" s="106"/>
      <c r="AC2177" s="51"/>
      <c r="AD2177" s="106" t="s">
        <v>15</v>
      </c>
      <c r="AE2177" s="38" t="s">
        <v>350</v>
      </c>
    </row>
    <row r="2178" spans="1:31" ht="18" customHeight="1" x14ac:dyDescent="0.25">
      <c r="A21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8" s="79">
        <v>4</v>
      </c>
      <c r="C2178" s="23">
        <v>44431</v>
      </c>
      <c r="D2178" s="67">
        <f>IF(COUNTIF($G$2:$G2178,$G2178)=1,1,0)</f>
        <v>0</v>
      </c>
      <c r="E2178" s="67" t="str">
        <f>IFERROR(VLOOKUP(База_КР_КК[[#This Row],[ИД штатной должности (S)]],'уровень защищенности'!$B$7:$F$1095,5,0),"не защищена")</f>
        <v>средний</v>
      </c>
      <c r="F2178" s="68">
        <v>500614</v>
      </c>
      <c r="G2178" s="74" t="s">
        <v>2631</v>
      </c>
      <c r="H2178" s="181">
        <f>INDEX('Списки данных'!$D$2:$D$1048576,MATCH(База_КР_КК[[#This Row],[Структурное подразделение]],'Списки данных'!$C$2:$C$1048576,0))</f>
        <v>12</v>
      </c>
      <c r="I2178" s="80" t="s">
        <v>160</v>
      </c>
      <c r="J2178" s="80" t="s">
        <v>217</v>
      </c>
      <c r="K2178" s="80" t="s">
        <v>218</v>
      </c>
      <c r="L2178" s="30" t="s">
        <v>191</v>
      </c>
      <c r="M2178" s="68">
        <v>7</v>
      </c>
      <c r="N2178" s="181" t="str">
        <f t="shared" si="35"/>
        <v>нет</v>
      </c>
      <c r="O2178" s="23"/>
      <c r="P2178" s="23"/>
      <c r="Q2178" s="106"/>
      <c r="R2178" s="37">
        <v>458</v>
      </c>
      <c r="S2178" s="38" t="s">
        <v>870</v>
      </c>
      <c r="T2178" s="37">
        <v>1446</v>
      </c>
      <c r="U2178" s="39" t="s">
        <v>1824</v>
      </c>
      <c r="V2178" s="69" t="s">
        <v>16</v>
      </c>
      <c r="W2178" s="89" t="s">
        <v>160</v>
      </c>
      <c r="X2178" s="106" t="s">
        <v>297</v>
      </c>
      <c r="Y2178" s="107" t="s">
        <v>12</v>
      </c>
      <c r="Z2178" s="67">
        <f>IF(База_КР_КК[[#This Row],[Таб.номер резервиста]]="-","-",IF(OR(База_КР_КК[[#This Row],[Уровень КК]]=2,База_КР_КК[[#This Row],[Уровень КК]]=3),IF(COUNTIFS($U$2:$U2178,$U2178,$F$2:$F2178,$F2178)=1,1,0),IF(COUNTIFS($U$2:$U2178,$U2178,$L$2:$L2178,$L2178)=1,1,0)))</f>
        <v>0</v>
      </c>
      <c r="AA21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8" s="106"/>
      <c r="AC2178" s="51"/>
      <c r="AD2178" s="106" t="s">
        <v>15</v>
      </c>
      <c r="AE2178" s="38" t="s">
        <v>350</v>
      </c>
    </row>
    <row r="2179" spans="1:31" ht="18" customHeight="1" x14ac:dyDescent="0.25">
      <c r="A21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79" s="79">
        <v>4</v>
      </c>
      <c r="C2179" s="23">
        <v>44431</v>
      </c>
      <c r="D2179" s="67">
        <f>IF(COUNTIF($G$2:$G2179,$G2179)=1,1,0)</f>
        <v>0</v>
      </c>
      <c r="E2179" s="67" t="str">
        <f>IFERROR(VLOOKUP(База_КР_КК[[#This Row],[ИД штатной должности (S)]],'уровень защищенности'!$B$7:$F$1095,5,0),"не защищена")</f>
        <v>средний</v>
      </c>
      <c r="F2179" s="68">
        <v>500614</v>
      </c>
      <c r="G2179" s="74" t="s">
        <v>2631</v>
      </c>
      <c r="H2179" s="181">
        <f>INDEX('Списки данных'!$D$2:$D$1048576,MATCH(База_КР_КК[[#This Row],[Структурное подразделение]],'Списки данных'!$C$2:$C$1048576,0))</f>
        <v>12</v>
      </c>
      <c r="I2179" s="80" t="s">
        <v>160</v>
      </c>
      <c r="J2179" s="80" t="s">
        <v>217</v>
      </c>
      <c r="K2179" s="80" t="s">
        <v>218</v>
      </c>
      <c r="L2179" s="30" t="s">
        <v>191</v>
      </c>
      <c r="M2179" s="68">
        <v>7</v>
      </c>
      <c r="N2179" s="181" t="str">
        <f t="shared" si="35"/>
        <v>нет</v>
      </c>
      <c r="O2179" s="23"/>
      <c r="P2179" s="23"/>
      <c r="Q2179" s="106"/>
      <c r="R2179" s="37">
        <v>458</v>
      </c>
      <c r="S2179" s="38" t="s">
        <v>870</v>
      </c>
      <c r="T2179" s="37">
        <v>1447</v>
      </c>
      <c r="U2179" s="39" t="s">
        <v>1825</v>
      </c>
      <c r="V2179" s="69" t="s">
        <v>272</v>
      </c>
      <c r="W2179" s="89" t="s">
        <v>160</v>
      </c>
      <c r="X2179" s="106" t="s">
        <v>296</v>
      </c>
      <c r="Y2179" s="107" t="s">
        <v>12</v>
      </c>
      <c r="Z2179" s="67">
        <f>IF(База_КР_КК[[#This Row],[Таб.номер резервиста]]="-","-",IF(OR(База_КР_КК[[#This Row],[Уровень КК]]=2,База_КР_КК[[#This Row],[Уровень КК]]=3),IF(COUNTIFS($U$2:$U2179,$U2179,$F$2:$F2179,$F2179)=1,1,0),IF(COUNTIFS($U$2:$U2179,$U2179,$L$2:$L2179,$L2179)=1,1,0)))</f>
        <v>0</v>
      </c>
      <c r="AA21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79" s="106"/>
      <c r="AC2179" s="51"/>
      <c r="AD2179" s="106" t="s">
        <v>15</v>
      </c>
      <c r="AE2179" s="38" t="s">
        <v>350</v>
      </c>
    </row>
    <row r="2180" spans="1:31" ht="18" customHeight="1" x14ac:dyDescent="0.25">
      <c r="A21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0" s="79">
        <v>4</v>
      </c>
      <c r="C2180" s="23">
        <v>44431</v>
      </c>
      <c r="D2180" s="67">
        <f>IF(COUNTIF($G$2:$G2180,$G2180)=1,1,0)</f>
        <v>0</v>
      </c>
      <c r="E2180" s="67" t="str">
        <f>IFERROR(VLOOKUP(База_КР_КК[[#This Row],[ИД штатной должности (S)]],'уровень защищенности'!$B$7:$F$1095,5,0),"не защищена")</f>
        <v>средний</v>
      </c>
      <c r="F2180" s="68">
        <v>500614</v>
      </c>
      <c r="G2180" s="74" t="s">
        <v>2631</v>
      </c>
      <c r="H2180" s="181">
        <f>INDEX('Списки данных'!$D$2:$D$1048576,MATCH(База_КР_КК[[#This Row],[Структурное подразделение]],'Списки данных'!$C$2:$C$1048576,0))</f>
        <v>12</v>
      </c>
      <c r="I2180" s="80" t="s">
        <v>160</v>
      </c>
      <c r="J2180" s="80" t="s">
        <v>217</v>
      </c>
      <c r="K2180" s="80" t="s">
        <v>218</v>
      </c>
      <c r="L2180" s="30" t="s">
        <v>191</v>
      </c>
      <c r="M2180" s="68">
        <v>7</v>
      </c>
      <c r="N2180" s="181" t="str">
        <f t="shared" si="35"/>
        <v>нет</v>
      </c>
      <c r="O2180" s="23"/>
      <c r="P2180" s="23"/>
      <c r="Q2180" s="106"/>
      <c r="R2180" s="37">
        <v>458</v>
      </c>
      <c r="S2180" s="38" t="s">
        <v>870</v>
      </c>
      <c r="T2180" s="37">
        <v>1448</v>
      </c>
      <c r="U2180" s="39" t="s">
        <v>1826</v>
      </c>
      <c r="V2180" s="69" t="s">
        <v>272</v>
      </c>
      <c r="W2180" s="89" t="s">
        <v>160</v>
      </c>
      <c r="X2180" s="106" t="s">
        <v>297</v>
      </c>
      <c r="Y2180" s="107" t="s">
        <v>12</v>
      </c>
      <c r="Z2180" s="67">
        <f>IF(База_КР_КК[[#This Row],[Таб.номер резервиста]]="-","-",IF(OR(База_КР_КК[[#This Row],[Уровень КК]]=2,База_КР_КК[[#This Row],[Уровень КК]]=3),IF(COUNTIFS($U$2:$U2180,$U2180,$F$2:$F2180,$F2180)=1,1,0),IF(COUNTIFS($U$2:$U2180,$U2180,$L$2:$L2180,$L2180)=1,1,0)))</f>
        <v>0</v>
      </c>
      <c r="AA21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0" s="106"/>
      <c r="AC2180" s="51"/>
      <c r="AD2180" s="106" t="s">
        <v>15</v>
      </c>
      <c r="AE2180" s="38" t="s">
        <v>350</v>
      </c>
    </row>
    <row r="2181" spans="1:31" ht="18" customHeight="1" x14ac:dyDescent="0.25">
      <c r="A21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1" s="79">
        <v>4</v>
      </c>
      <c r="C2181" s="23">
        <v>44431</v>
      </c>
      <c r="D2181" s="67">
        <f>IF(COUNTIF($G$2:$G2181,$G2181)=1,1,0)</f>
        <v>0</v>
      </c>
      <c r="E2181" s="67" t="str">
        <f>IFERROR(VLOOKUP(База_КР_КК[[#This Row],[ИД штатной должности (S)]],'уровень защищенности'!$B$7:$F$1095,5,0),"не защищена")</f>
        <v>средний</v>
      </c>
      <c r="F2181" s="68">
        <v>500614</v>
      </c>
      <c r="G2181" s="74" t="s">
        <v>2631</v>
      </c>
      <c r="H2181" s="181">
        <f>INDEX('Списки данных'!$D$2:$D$1048576,MATCH(База_КР_КК[[#This Row],[Структурное подразделение]],'Списки данных'!$C$2:$C$1048576,0))</f>
        <v>12</v>
      </c>
      <c r="I2181" s="80" t="s">
        <v>160</v>
      </c>
      <c r="J2181" s="80" t="s">
        <v>217</v>
      </c>
      <c r="K2181" s="80" t="s">
        <v>218</v>
      </c>
      <c r="L2181" s="30" t="s">
        <v>191</v>
      </c>
      <c r="M2181" s="68">
        <v>7</v>
      </c>
      <c r="N2181" s="181" t="str">
        <f t="shared" si="35"/>
        <v>нет</v>
      </c>
      <c r="O2181" s="23"/>
      <c r="P2181" s="23"/>
      <c r="Q2181" s="106"/>
      <c r="R2181" s="37">
        <v>458</v>
      </c>
      <c r="S2181" s="38" t="s">
        <v>870</v>
      </c>
      <c r="T2181" s="37">
        <v>1449</v>
      </c>
      <c r="U2181" s="39" t="s">
        <v>1827</v>
      </c>
      <c r="V2181" s="69" t="s">
        <v>272</v>
      </c>
      <c r="W2181" s="89" t="s">
        <v>160</v>
      </c>
      <c r="X2181" s="106" t="s">
        <v>296</v>
      </c>
      <c r="Y2181" s="107" t="s">
        <v>12</v>
      </c>
      <c r="Z2181" s="67">
        <f>IF(База_КР_КК[[#This Row],[Таб.номер резервиста]]="-","-",IF(OR(База_КР_КК[[#This Row],[Уровень КК]]=2,База_КР_КК[[#This Row],[Уровень КК]]=3),IF(COUNTIFS($U$2:$U2181,$U2181,$F$2:$F2181,$F2181)=1,1,0),IF(COUNTIFS($U$2:$U2181,$U2181,$L$2:$L2181,$L2181)=1,1,0)))</f>
        <v>0</v>
      </c>
      <c r="AA21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1" s="106"/>
      <c r="AC2181" s="51"/>
      <c r="AD2181" s="106" t="s">
        <v>15</v>
      </c>
      <c r="AE2181" s="38" t="s">
        <v>350</v>
      </c>
    </row>
    <row r="2182" spans="1:31" ht="18" customHeight="1" x14ac:dyDescent="0.25">
      <c r="A21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2" s="79">
        <v>4</v>
      </c>
      <c r="C2182" s="23">
        <v>44431</v>
      </c>
      <c r="D2182" s="67">
        <f>IF(COUNTIF($G$2:$G2182,$G2182)=1,1,0)</f>
        <v>0</v>
      </c>
      <c r="E2182" s="67" t="str">
        <f>IFERROR(VLOOKUP(База_КР_КК[[#This Row],[ИД штатной должности (S)]],'уровень защищенности'!$B$7:$F$1095,5,0),"не защищена")</f>
        <v>средний</v>
      </c>
      <c r="F2182" s="68">
        <v>500614</v>
      </c>
      <c r="G2182" s="74" t="s">
        <v>2631</v>
      </c>
      <c r="H2182" s="181">
        <f>INDEX('Списки данных'!$D$2:$D$1048576,MATCH(База_КР_КК[[#This Row],[Структурное подразделение]],'Списки данных'!$C$2:$C$1048576,0))</f>
        <v>12</v>
      </c>
      <c r="I2182" s="80" t="s">
        <v>160</v>
      </c>
      <c r="J2182" s="80" t="s">
        <v>217</v>
      </c>
      <c r="K2182" s="80" t="s">
        <v>218</v>
      </c>
      <c r="L2182" s="30" t="s">
        <v>191</v>
      </c>
      <c r="M2182" s="68">
        <v>7</v>
      </c>
      <c r="N2182" s="181" t="str">
        <f t="shared" si="35"/>
        <v>нет</v>
      </c>
      <c r="O2182" s="23"/>
      <c r="P2182" s="23"/>
      <c r="Q2182" s="106"/>
      <c r="R2182" s="37">
        <v>458</v>
      </c>
      <c r="S2182" s="38" t="s">
        <v>870</v>
      </c>
      <c r="T2182" s="37">
        <v>1450</v>
      </c>
      <c r="U2182" s="39" t="s">
        <v>1828</v>
      </c>
      <c r="V2182" s="69" t="s">
        <v>272</v>
      </c>
      <c r="W2182" s="89" t="s">
        <v>160</v>
      </c>
      <c r="X2182" s="106" t="s">
        <v>296</v>
      </c>
      <c r="Y2182" s="107" t="s">
        <v>12</v>
      </c>
      <c r="Z2182" s="67">
        <f>IF(База_КР_КК[[#This Row],[Таб.номер резервиста]]="-","-",IF(OR(База_КР_КК[[#This Row],[Уровень КК]]=2,База_КР_КК[[#This Row],[Уровень КК]]=3),IF(COUNTIFS($U$2:$U2182,$U2182,$F$2:$F2182,$F2182)=1,1,0),IF(COUNTIFS($U$2:$U2182,$U2182,$L$2:$L2182,$L2182)=1,1,0)))</f>
        <v>0</v>
      </c>
      <c r="AA21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2" s="106"/>
      <c r="AC2182" s="51"/>
      <c r="AD2182" s="106" t="s">
        <v>15</v>
      </c>
      <c r="AE2182" s="38" t="s">
        <v>350</v>
      </c>
    </row>
    <row r="2183" spans="1:31" ht="18" customHeight="1" x14ac:dyDescent="0.25">
      <c r="A21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3" s="79">
        <v>4</v>
      </c>
      <c r="C2183" s="23">
        <v>44431</v>
      </c>
      <c r="D2183" s="67">
        <f>IF(COUNTIF($G$2:$G2183,$G2183)=1,1,0)</f>
        <v>0</v>
      </c>
      <c r="E2183" s="67" t="str">
        <f>IFERROR(VLOOKUP(База_КР_КК[[#This Row],[ИД штатной должности (S)]],'уровень защищенности'!$B$7:$F$1095,5,0),"не защищена")</f>
        <v>средний</v>
      </c>
      <c r="F2183" s="68">
        <v>500614</v>
      </c>
      <c r="G2183" s="74" t="s">
        <v>2631</v>
      </c>
      <c r="H2183" s="181">
        <f>INDEX('Списки данных'!$D$2:$D$1048576,MATCH(База_КР_КК[[#This Row],[Структурное подразделение]],'Списки данных'!$C$2:$C$1048576,0))</f>
        <v>12</v>
      </c>
      <c r="I2183" s="80" t="s">
        <v>160</v>
      </c>
      <c r="J2183" s="80" t="s">
        <v>217</v>
      </c>
      <c r="K2183" s="80" t="s">
        <v>218</v>
      </c>
      <c r="L2183" s="30" t="s">
        <v>191</v>
      </c>
      <c r="M2183" s="68">
        <v>7</v>
      </c>
      <c r="N2183" s="181" t="str">
        <f t="shared" si="35"/>
        <v>нет</v>
      </c>
      <c r="O2183" s="23"/>
      <c r="P2183" s="23"/>
      <c r="Q2183" s="106"/>
      <c r="R2183" s="37">
        <v>458</v>
      </c>
      <c r="S2183" s="38" t="s">
        <v>870</v>
      </c>
      <c r="T2183" s="37">
        <v>1451</v>
      </c>
      <c r="U2183" s="39" t="s">
        <v>1606</v>
      </c>
      <c r="V2183" s="69" t="s">
        <v>272</v>
      </c>
      <c r="W2183" s="89" t="s">
        <v>160</v>
      </c>
      <c r="X2183" s="106" t="s">
        <v>297</v>
      </c>
      <c r="Y2183" s="107" t="s">
        <v>12</v>
      </c>
      <c r="Z2183" s="67">
        <f>IF(База_КР_КК[[#This Row],[Таб.номер резервиста]]="-","-",IF(OR(База_КР_КК[[#This Row],[Уровень КК]]=2,База_КР_КК[[#This Row],[Уровень КК]]=3),IF(COUNTIFS($U$2:$U2183,$U2183,$F$2:$F2183,$F2183)=1,1,0),IF(COUNTIFS($U$2:$U2183,$U2183,$L$2:$L2183,$L2183)=1,1,0)))</f>
        <v>0</v>
      </c>
      <c r="AA21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3" s="106"/>
      <c r="AC2183" s="51"/>
      <c r="AD2183" s="106" t="s">
        <v>15</v>
      </c>
      <c r="AE2183" s="38" t="s">
        <v>350</v>
      </c>
    </row>
    <row r="2184" spans="1:31" ht="18" customHeight="1" x14ac:dyDescent="0.25">
      <c r="A21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4" s="79">
        <v>4</v>
      </c>
      <c r="C2184" s="23">
        <v>44889</v>
      </c>
      <c r="D2184" s="67">
        <f>IF(COUNTIF($G$2:$G2184,$G2184)=1,1,0)</f>
        <v>0</v>
      </c>
      <c r="E2184" s="67" t="str">
        <f>IFERROR(VLOOKUP(База_КР_КК[[#This Row],[ИД штатной должности (S)]],'уровень защищенности'!$B$7:$F$1095,5,0),"не защищена")</f>
        <v>средний</v>
      </c>
      <c r="F2184" s="68">
        <v>500614</v>
      </c>
      <c r="G2184" s="74" t="s">
        <v>2631</v>
      </c>
      <c r="H2184" s="181">
        <f>INDEX('Списки данных'!$D$2:$D$1048576,MATCH(База_КР_КК[[#This Row],[Структурное подразделение]],'Списки данных'!$C$2:$C$1048576,0))</f>
        <v>12</v>
      </c>
      <c r="I2184" s="80" t="s">
        <v>160</v>
      </c>
      <c r="J2184" s="80" t="s">
        <v>217</v>
      </c>
      <c r="K2184" s="80" t="s">
        <v>218</v>
      </c>
      <c r="L2184" s="30" t="s">
        <v>191</v>
      </c>
      <c r="M2184" s="68">
        <v>7</v>
      </c>
      <c r="N2184" s="181" t="str">
        <f t="shared" si="35"/>
        <v>нет</v>
      </c>
      <c r="O2184" s="23"/>
      <c r="P2184" s="23"/>
      <c r="Q2184" s="106"/>
      <c r="R2184" s="37">
        <v>458</v>
      </c>
      <c r="S2184" s="38" t="s">
        <v>870</v>
      </c>
      <c r="T2184" s="37">
        <v>1452</v>
      </c>
      <c r="U2184" s="39" t="s">
        <v>1829</v>
      </c>
      <c r="V2184" s="69" t="s">
        <v>272</v>
      </c>
      <c r="W2184" s="89" t="s">
        <v>160</v>
      </c>
      <c r="X2184" s="106" t="s">
        <v>297</v>
      </c>
      <c r="Y2184" s="107" t="s">
        <v>12</v>
      </c>
      <c r="Z2184" s="67">
        <f>IF(База_КР_КК[[#This Row],[Таб.номер резервиста]]="-","-",IF(OR(База_КР_КК[[#This Row],[Уровень КК]]=2,База_КР_КК[[#This Row],[Уровень КК]]=3),IF(COUNTIFS($U$2:$U2184,$U2184,$F$2:$F2184,$F2184)=1,1,0),IF(COUNTIFS($U$2:$U2184,$U2184,$L$2:$L2184,$L2184)=1,1,0)))</f>
        <v>0</v>
      </c>
      <c r="AA21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4" s="106"/>
      <c r="AC2184" s="51"/>
      <c r="AD2184" s="106" t="s">
        <v>15</v>
      </c>
      <c r="AE2184" s="40" t="s">
        <v>344</v>
      </c>
    </row>
    <row r="2185" spans="1:31" ht="18" customHeight="1" x14ac:dyDescent="0.25">
      <c r="A21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5" s="79">
        <v>4</v>
      </c>
      <c r="C2185" s="23">
        <v>44889</v>
      </c>
      <c r="D2185" s="67">
        <f>IF(COUNTIF($G$2:$G2185,$G2185)=1,1,0)</f>
        <v>0</v>
      </c>
      <c r="E2185" s="67" t="str">
        <f>IFERROR(VLOOKUP(База_КР_КК[[#This Row],[ИД штатной должности (S)]],'уровень защищенности'!$B$7:$F$1095,5,0),"не защищена")</f>
        <v>средний</v>
      </c>
      <c r="F2185" s="68">
        <v>500614</v>
      </c>
      <c r="G2185" s="74" t="s">
        <v>2631</v>
      </c>
      <c r="H2185" s="181">
        <f>INDEX('Списки данных'!$D$2:$D$1048576,MATCH(База_КР_КК[[#This Row],[Структурное подразделение]],'Списки данных'!$C$2:$C$1048576,0))</f>
        <v>12</v>
      </c>
      <c r="I2185" s="80" t="s">
        <v>160</v>
      </c>
      <c r="J2185" s="80" t="s">
        <v>217</v>
      </c>
      <c r="K2185" s="80" t="s">
        <v>218</v>
      </c>
      <c r="L2185" s="30" t="s">
        <v>191</v>
      </c>
      <c r="M2185" s="68">
        <v>7</v>
      </c>
      <c r="N2185" s="181" t="str">
        <f t="shared" si="35"/>
        <v>нет</v>
      </c>
      <c r="O2185" s="23"/>
      <c r="P2185" s="23"/>
      <c r="Q2185" s="106"/>
      <c r="R2185" s="37">
        <v>458</v>
      </c>
      <c r="S2185" s="38" t="s">
        <v>870</v>
      </c>
      <c r="T2185" s="37">
        <v>1453</v>
      </c>
      <c r="U2185" s="39" t="s">
        <v>1830</v>
      </c>
      <c r="V2185" s="69" t="s">
        <v>272</v>
      </c>
      <c r="W2185" s="89" t="s">
        <v>160</v>
      </c>
      <c r="X2185" s="106" t="s">
        <v>296</v>
      </c>
      <c r="Y2185" s="107" t="s">
        <v>12</v>
      </c>
      <c r="Z2185" s="67">
        <f>IF(База_КР_КК[[#This Row],[Таб.номер резервиста]]="-","-",IF(OR(База_КР_КК[[#This Row],[Уровень КК]]=2,База_КР_КК[[#This Row],[Уровень КК]]=3),IF(COUNTIFS($U$2:$U2185,$U2185,$F$2:$F2185,$F2185)=1,1,0),IF(COUNTIFS($U$2:$U2185,$U2185,$L$2:$L2185,$L2185)=1,1,0)))</f>
        <v>0</v>
      </c>
      <c r="AA21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5" s="106"/>
      <c r="AC2185" s="51"/>
      <c r="AD2185" s="106" t="s">
        <v>15</v>
      </c>
      <c r="AE2185" s="40" t="s">
        <v>344</v>
      </c>
    </row>
    <row r="2186" spans="1:31" ht="18" customHeight="1" x14ac:dyDescent="0.25">
      <c r="A21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6" s="79">
        <v>4</v>
      </c>
      <c r="C2186" s="23">
        <v>44889</v>
      </c>
      <c r="D2186" s="67">
        <f>IF(COUNTIF($G$2:$G2186,$G2186)=1,1,0)</f>
        <v>0</v>
      </c>
      <c r="E2186" s="67" t="str">
        <f>IFERROR(VLOOKUP(База_КР_КК[[#This Row],[ИД штатной должности (S)]],'уровень защищенности'!$B$7:$F$1095,5,0),"не защищена")</f>
        <v>средний</v>
      </c>
      <c r="F2186" s="68">
        <v>500614</v>
      </c>
      <c r="G2186" s="74" t="s">
        <v>2631</v>
      </c>
      <c r="H2186" s="181">
        <f>INDEX('Списки данных'!$D$2:$D$1048576,MATCH(База_КР_КК[[#This Row],[Структурное подразделение]],'Списки данных'!$C$2:$C$1048576,0))</f>
        <v>12</v>
      </c>
      <c r="I2186" s="80" t="s">
        <v>160</v>
      </c>
      <c r="J2186" s="80" t="s">
        <v>217</v>
      </c>
      <c r="K2186" s="80" t="s">
        <v>218</v>
      </c>
      <c r="L2186" s="30" t="s">
        <v>191</v>
      </c>
      <c r="M2186" s="68">
        <v>7</v>
      </c>
      <c r="N2186" s="181" t="str">
        <f t="shared" si="35"/>
        <v>нет</v>
      </c>
      <c r="O2186" s="23"/>
      <c r="P2186" s="23"/>
      <c r="Q2186" s="106"/>
      <c r="R2186" s="37">
        <v>458</v>
      </c>
      <c r="S2186" s="38" t="s">
        <v>870</v>
      </c>
      <c r="T2186" s="37">
        <v>1454</v>
      </c>
      <c r="U2186" s="39" t="s">
        <v>1831</v>
      </c>
      <c r="V2186" s="69" t="s">
        <v>272</v>
      </c>
      <c r="W2186" s="89" t="s">
        <v>160</v>
      </c>
      <c r="X2186" s="106" t="s">
        <v>296</v>
      </c>
      <c r="Y2186" s="107" t="s">
        <v>12</v>
      </c>
      <c r="Z2186" s="67">
        <f>IF(База_КР_КК[[#This Row],[Таб.номер резервиста]]="-","-",IF(OR(База_КР_КК[[#This Row],[Уровень КК]]=2,База_КР_КК[[#This Row],[Уровень КК]]=3),IF(COUNTIFS($U$2:$U2186,$U2186,$F$2:$F2186,$F2186)=1,1,0),IF(COUNTIFS($U$2:$U2186,$U2186,$L$2:$L2186,$L2186)=1,1,0)))</f>
        <v>0</v>
      </c>
      <c r="AA21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6" s="106"/>
      <c r="AC2186" s="51"/>
      <c r="AD2186" s="106" t="s">
        <v>15</v>
      </c>
      <c r="AE2186" s="40" t="s">
        <v>344</v>
      </c>
    </row>
    <row r="2187" spans="1:31" ht="18" customHeight="1" x14ac:dyDescent="0.25">
      <c r="A21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7" s="79">
        <v>4</v>
      </c>
      <c r="C2187" s="23">
        <v>44431</v>
      </c>
      <c r="D2187" s="67">
        <f>IF(COUNTIF($G$2:$G2187,$G2187)=1,1,0)</f>
        <v>1</v>
      </c>
      <c r="E2187" s="67" t="str">
        <f>IFERROR(VLOOKUP(База_КР_КК[[#This Row],[ИД штатной должности (S)]],'уровень защищенности'!$B$7:$F$1095,5,0),"не защищена")</f>
        <v>средний</v>
      </c>
      <c r="F2187" s="68">
        <v>500614</v>
      </c>
      <c r="G2187" s="74" t="s">
        <v>2632</v>
      </c>
      <c r="H2187" s="181">
        <f>INDEX('Списки данных'!$D$2:$D$1048576,MATCH(База_КР_КК[[#This Row],[Структурное подразделение]],'Списки данных'!$C$2:$C$1048576,0))</f>
        <v>12</v>
      </c>
      <c r="I2187" s="80" t="s">
        <v>160</v>
      </c>
      <c r="J2187" s="80" t="s">
        <v>217</v>
      </c>
      <c r="K2187" s="80" t="s">
        <v>218</v>
      </c>
      <c r="L2187" s="30" t="s">
        <v>191</v>
      </c>
      <c r="M2187" s="68">
        <v>7</v>
      </c>
      <c r="N2187" s="181" t="str">
        <f t="shared" si="35"/>
        <v>нет</v>
      </c>
      <c r="O2187" s="23"/>
      <c r="P2187" s="23"/>
      <c r="Q2187" s="106"/>
      <c r="R2187" s="37">
        <v>459</v>
      </c>
      <c r="S2187" s="38" t="s">
        <v>871</v>
      </c>
      <c r="T2187" s="37">
        <v>1445</v>
      </c>
      <c r="U2187" s="39" t="s">
        <v>1823</v>
      </c>
      <c r="V2187" s="69" t="s">
        <v>272</v>
      </c>
      <c r="W2187" s="89" t="s">
        <v>160</v>
      </c>
      <c r="X2187" s="106" t="s">
        <v>297</v>
      </c>
      <c r="Y2187" s="107" t="s">
        <v>12</v>
      </c>
      <c r="Z2187" s="67">
        <f>IF(База_КР_КК[[#This Row],[Таб.номер резервиста]]="-","-",IF(OR(База_КР_КК[[#This Row],[Уровень КК]]=2,База_КР_КК[[#This Row],[Уровень КК]]=3),IF(COUNTIFS($U$2:$U2187,$U2187,$F$2:$F2187,$F2187)=1,1,0),IF(COUNTIFS($U$2:$U2187,$U2187,$L$2:$L2187,$L2187)=1,1,0)))</f>
        <v>0</v>
      </c>
      <c r="AA21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7" s="106"/>
      <c r="AC2187" s="51"/>
      <c r="AD2187" s="106" t="s">
        <v>15</v>
      </c>
      <c r="AE2187" s="38" t="s">
        <v>350</v>
      </c>
    </row>
    <row r="2188" spans="1:31" ht="18" customHeight="1" x14ac:dyDescent="0.25">
      <c r="A21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8" s="79">
        <v>4</v>
      </c>
      <c r="C2188" s="23">
        <v>44431</v>
      </c>
      <c r="D2188" s="67">
        <f>IF(COUNTIF($G$2:$G2188,$G2188)=1,1,0)</f>
        <v>0</v>
      </c>
      <c r="E2188" s="67" t="str">
        <f>IFERROR(VLOOKUP(База_КР_КК[[#This Row],[ИД штатной должности (S)]],'уровень защищенности'!$B$7:$F$1095,5,0),"не защищена")</f>
        <v>средний</v>
      </c>
      <c r="F2188" s="68">
        <v>500614</v>
      </c>
      <c r="G2188" s="74" t="s">
        <v>2632</v>
      </c>
      <c r="H2188" s="181">
        <f>INDEX('Списки данных'!$D$2:$D$1048576,MATCH(База_КР_КК[[#This Row],[Структурное подразделение]],'Списки данных'!$C$2:$C$1048576,0))</f>
        <v>12</v>
      </c>
      <c r="I2188" s="80" t="s">
        <v>160</v>
      </c>
      <c r="J2188" s="80" t="s">
        <v>217</v>
      </c>
      <c r="K2188" s="80" t="s">
        <v>218</v>
      </c>
      <c r="L2188" s="30" t="s">
        <v>191</v>
      </c>
      <c r="M2188" s="68">
        <v>7</v>
      </c>
      <c r="N2188" s="181" t="str">
        <f t="shared" si="35"/>
        <v>нет</v>
      </c>
      <c r="O2188" s="23"/>
      <c r="P2188" s="23"/>
      <c r="Q2188" s="106"/>
      <c r="R2188" s="37">
        <v>459</v>
      </c>
      <c r="S2188" s="38" t="s">
        <v>871</v>
      </c>
      <c r="T2188" s="37">
        <v>1446</v>
      </c>
      <c r="U2188" s="39" t="s">
        <v>1824</v>
      </c>
      <c r="V2188" s="69" t="s">
        <v>16</v>
      </c>
      <c r="W2188" s="89" t="s">
        <v>160</v>
      </c>
      <c r="X2188" s="106" t="s">
        <v>297</v>
      </c>
      <c r="Y2188" s="107" t="s">
        <v>12</v>
      </c>
      <c r="Z2188" s="67">
        <f>IF(База_КР_КК[[#This Row],[Таб.номер резервиста]]="-","-",IF(OR(База_КР_КК[[#This Row],[Уровень КК]]=2,База_КР_КК[[#This Row],[Уровень КК]]=3),IF(COUNTIFS($U$2:$U2188,$U2188,$F$2:$F2188,$F2188)=1,1,0),IF(COUNTIFS($U$2:$U2188,$U2188,$L$2:$L2188,$L2188)=1,1,0)))</f>
        <v>0</v>
      </c>
      <c r="AA21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8" s="106"/>
      <c r="AC2188" s="51"/>
      <c r="AD2188" s="106" t="s">
        <v>15</v>
      </c>
      <c r="AE2188" s="38" t="s">
        <v>350</v>
      </c>
    </row>
    <row r="2189" spans="1:31" ht="18" customHeight="1" x14ac:dyDescent="0.25">
      <c r="A21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89" s="79">
        <v>4</v>
      </c>
      <c r="C2189" s="23">
        <v>44431</v>
      </c>
      <c r="D2189" s="67">
        <f>IF(COUNTIF($G$2:$G2189,$G2189)=1,1,0)</f>
        <v>0</v>
      </c>
      <c r="E2189" s="67" t="str">
        <f>IFERROR(VLOOKUP(База_КР_КК[[#This Row],[ИД штатной должности (S)]],'уровень защищенности'!$B$7:$F$1095,5,0),"не защищена")</f>
        <v>средний</v>
      </c>
      <c r="F2189" s="68">
        <v>500614</v>
      </c>
      <c r="G2189" s="74" t="s">
        <v>2632</v>
      </c>
      <c r="H2189" s="181">
        <f>INDEX('Списки данных'!$D$2:$D$1048576,MATCH(База_КР_КК[[#This Row],[Структурное подразделение]],'Списки данных'!$C$2:$C$1048576,0))</f>
        <v>12</v>
      </c>
      <c r="I2189" s="80" t="s">
        <v>160</v>
      </c>
      <c r="J2189" s="80" t="s">
        <v>217</v>
      </c>
      <c r="K2189" s="80" t="s">
        <v>218</v>
      </c>
      <c r="L2189" s="30" t="s">
        <v>191</v>
      </c>
      <c r="M2189" s="68">
        <v>7</v>
      </c>
      <c r="N2189" s="181" t="str">
        <f t="shared" si="35"/>
        <v>нет</v>
      </c>
      <c r="O2189" s="23"/>
      <c r="P2189" s="23"/>
      <c r="Q2189" s="106"/>
      <c r="R2189" s="37">
        <v>459</v>
      </c>
      <c r="S2189" s="38" t="s">
        <v>871</v>
      </c>
      <c r="T2189" s="37">
        <v>1447</v>
      </c>
      <c r="U2189" s="39" t="s">
        <v>1825</v>
      </c>
      <c r="V2189" s="69" t="s">
        <v>272</v>
      </c>
      <c r="W2189" s="89" t="s">
        <v>160</v>
      </c>
      <c r="X2189" s="106" t="s">
        <v>296</v>
      </c>
      <c r="Y2189" s="107" t="s">
        <v>12</v>
      </c>
      <c r="Z2189" s="67">
        <f>IF(База_КР_КК[[#This Row],[Таб.номер резервиста]]="-","-",IF(OR(База_КР_КК[[#This Row],[Уровень КК]]=2,База_КР_КК[[#This Row],[Уровень КК]]=3),IF(COUNTIFS($U$2:$U2189,$U2189,$F$2:$F2189,$F2189)=1,1,0),IF(COUNTIFS($U$2:$U2189,$U2189,$L$2:$L2189,$L2189)=1,1,0)))</f>
        <v>0</v>
      </c>
      <c r="AA21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89" s="106"/>
      <c r="AC2189" s="51"/>
      <c r="AD2189" s="106" t="s">
        <v>15</v>
      </c>
      <c r="AE2189" s="38" t="s">
        <v>350</v>
      </c>
    </row>
    <row r="2190" spans="1:31" ht="18" customHeight="1" x14ac:dyDescent="0.25">
      <c r="A21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0" s="79">
        <v>4</v>
      </c>
      <c r="C2190" s="23">
        <v>44431</v>
      </c>
      <c r="D2190" s="67">
        <f>IF(COUNTIF($G$2:$G2190,$G2190)=1,1,0)</f>
        <v>0</v>
      </c>
      <c r="E2190" s="67" t="str">
        <f>IFERROR(VLOOKUP(База_КР_КК[[#This Row],[ИД штатной должности (S)]],'уровень защищенности'!$B$7:$F$1095,5,0),"не защищена")</f>
        <v>средний</v>
      </c>
      <c r="F2190" s="68">
        <v>500614</v>
      </c>
      <c r="G2190" s="74" t="s">
        <v>2632</v>
      </c>
      <c r="H2190" s="181">
        <f>INDEX('Списки данных'!$D$2:$D$1048576,MATCH(База_КР_КК[[#This Row],[Структурное подразделение]],'Списки данных'!$C$2:$C$1048576,0))</f>
        <v>12</v>
      </c>
      <c r="I2190" s="80" t="s">
        <v>160</v>
      </c>
      <c r="J2190" s="80" t="s">
        <v>217</v>
      </c>
      <c r="K2190" s="80" t="s">
        <v>218</v>
      </c>
      <c r="L2190" s="30" t="s">
        <v>191</v>
      </c>
      <c r="M2190" s="68">
        <v>7</v>
      </c>
      <c r="N2190" s="181" t="str">
        <f t="shared" si="35"/>
        <v>нет</v>
      </c>
      <c r="O2190" s="23"/>
      <c r="P2190" s="23"/>
      <c r="Q2190" s="106"/>
      <c r="R2190" s="37">
        <v>459</v>
      </c>
      <c r="S2190" s="38" t="s">
        <v>871</v>
      </c>
      <c r="T2190" s="37">
        <v>1448</v>
      </c>
      <c r="U2190" s="39" t="s">
        <v>1826</v>
      </c>
      <c r="V2190" s="69" t="s">
        <v>272</v>
      </c>
      <c r="W2190" s="89" t="s">
        <v>160</v>
      </c>
      <c r="X2190" s="106" t="s">
        <v>297</v>
      </c>
      <c r="Y2190" s="107" t="s">
        <v>12</v>
      </c>
      <c r="Z2190" s="67">
        <f>IF(База_КР_КК[[#This Row],[Таб.номер резервиста]]="-","-",IF(OR(База_КР_КК[[#This Row],[Уровень КК]]=2,База_КР_КК[[#This Row],[Уровень КК]]=3),IF(COUNTIFS($U$2:$U2190,$U2190,$F$2:$F2190,$F2190)=1,1,0),IF(COUNTIFS($U$2:$U2190,$U2190,$L$2:$L2190,$L2190)=1,1,0)))</f>
        <v>0</v>
      </c>
      <c r="AA21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0" s="106"/>
      <c r="AC2190" s="51"/>
      <c r="AD2190" s="106" t="s">
        <v>15</v>
      </c>
      <c r="AE2190" s="38" t="s">
        <v>350</v>
      </c>
    </row>
    <row r="2191" spans="1:31" ht="18" customHeight="1" x14ac:dyDescent="0.25">
      <c r="A21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1" s="79">
        <v>4</v>
      </c>
      <c r="C2191" s="23">
        <v>44431</v>
      </c>
      <c r="D2191" s="67">
        <f>IF(COUNTIF($G$2:$G2191,$G2191)=1,1,0)</f>
        <v>0</v>
      </c>
      <c r="E2191" s="67" t="str">
        <f>IFERROR(VLOOKUP(База_КР_КК[[#This Row],[ИД штатной должности (S)]],'уровень защищенности'!$B$7:$F$1095,5,0),"не защищена")</f>
        <v>средний</v>
      </c>
      <c r="F2191" s="68">
        <v>500614</v>
      </c>
      <c r="G2191" s="74" t="s">
        <v>2632</v>
      </c>
      <c r="H2191" s="181">
        <f>INDEX('Списки данных'!$D$2:$D$1048576,MATCH(База_КР_КК[[#This Row],[Структурное подразделение]],'Списки данных'!$C$2:$C$1048576,0))</f>
        <v>12</v>
      </c>
      <c r="I2191" s="80" t="s">
        <v>160</v>
      </c>
      <c r="J2191" s="80" t="s">
        <v>217</v>
      </c>
      <c r="K2191" s="80" t="s">
        <v>218</v>
      </c>
      <c r="L2191" s="30" t="s">
        <v>191</v>
      </c>
      <c r="M2191" s="68">
        <v>7</v>
      </c>
      <c r="N2191" s="181" t="str">
        <f t="shared" si="35"/>
        <v>нет</v>
      </c>
      <c r="O2191" s="23"/>
      <c r="P2191" s="23"/>
      <c r="Q2191" s="106"/>
      <c r="R2191" s="37">
        <v>459</v>
      </c>
      <c r="S2191" s="38" t="s">
        <v>871</v>
      </c>
      <c r="T2191" s="37">
        <v>1449</v>
      </c>
      <c r="U2191" s="39" t="s">
        <v>1827</v>
      </c>
      <c r="V2191" s="69" t="s">
        <v>272</v>
      </c>
      <c r="W2191" s="89" t="s">
        <v>160</v>
      </c>
      <c r="X2191" s="106" t="s">
        <v>296</v>
      </c>
      <c r="Y2191" s="107" t="s">
        <v>12</v>
      </c>
      <c r="Z2191" s="67">
        <f>IF(База_КР_КК[[#This Row],[Таб.номер резервиста]]="-","-",IF(OR(База_КР_КК[[#This Row],[Уровень КК]]=2,База_КР_КК[[#This Row],[Уровень КК]]=3),IF(COUNTIFS($U$2:$U2191,$U2191,$F$2:$F2191,$F2191)=1,1,0),IF(COUNTIFS($U$2:$U2191,$U2191,$L$2:$L2191,$L2191)=1,1,0)))</f>
        <v>0</v>
      </c>
      <c r="AA21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1" s="106"/>
      <c r="AC2191" s="51"/>
      <c r="AD2191" s="106" t="s">
        <v>15</v>
      </c>
      <c r="AE2191" s="38" t="s">
        <v>350</v>
      </c>
    </row>
    <row r="2192" spans="1:31" ht="18" customHeight="1" x14ac:dyDescent="0.25">
      <c r="A21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2" s="79">
        <v>4</v>
      </c>
      <c r="C2192" s="23">
        <v>44431</v>
      </c>
      <c r="D2192" s="67">
        <f>IF(COUNTIF($G$2:$G2192,$G2192)=1,1,0)</f>
        <v>0</v>
      </c>
      <c r="E2192" s="67" t="str">
        <f>IFERROR(VLOOKUP(База_КР_КК[[#This Row],[ИД штатной должности (S)]],'уровень защищенности'!$B$7:$F$1095,5,0),"не защищена")</f>
        <v>средний</v>
      </c>
      <c r="F2192" s="68">
        <v>500614</v>
      </c>
      <c r="G2192" s="74" t="s">
        <v>2632</v>
      </c>
      <c r="H2192" s="181">
        <f>INDEX('Списки данных'!$D$2:$D$1048576,MATCH(База_КР_КК[[#This Row],[Структурное подразделение]],'Списки данных'!$C$2:$C$1048576,0))</f>
        <v>12</v>
      </c>
      <c r="I2192" s="80" t="s">
        <v>160</v>
      </c>
      <c r="J2192" s="80" t="s">
        <v>217</v>
      </c>
      <c r="K2192" s="80" t="s">
        <v>218</v>
      </c>
      <c r="L2192" s="30" t="s">
        <v>191</v>
      </c>
      <c r="M2192" s="68">
        <v>7</v>
      </c>
      <c r="N2192" s="181" t="str">
        <f t="shared" si="35"/>
        <v>нет</v>
      </c>
      <c r="O2192" s="23"/>
      <c r="P2192" s="23"/>
      <c r="Q2192" s="106"/>
      <c r="R2192" s="37">
        <v>459</v>
      </c>
      <c r="S2192" s="38" t="s">
        <v>871</v>
      </c>
      <c r="T2192" s="37">
        <v>1450</v>
      </c>
      <c r="U2192" s="39" t="s">
        <v>1828</v>
      </c>
      <c r="V2192" s="69" t="s">
        <v>272</v>
      </c>
      <c r="W2192" s="89" t="s">
        <v>160</v>
      </c>
      <c r="X2192" s="106" t="s">
        <v>296</v>
      </c>
      <c r="Y2192" s="107" t="s">
        <v>12</v>
      </c>
      <c r="Z2192" s="67">
        <f>IF(База_КР_КК[[#This Row],[Таб.номер резервиста]]="-","-",IF(OR(База_КР_КК[[#This Row],[Уровень КК]]=2,База_КР_КК[[#This Row],[Уровень КК]]=3),IF(COUNTIFS($U$2:$U2192,$U2192,$F$2:$F2192,$F2192)=1,1,0),IF(COUNTIFS($U$2:$U2192,$U2192,$L$2:$L2192,$L2192)=1,1,0)))</f>
        <v>0</v>
      </c>
      <c r="AA21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2" s="106"/>
      <c r="AC2192" s="51"/>
      <c r="AD2192" s="106" t="s">
        <v>15</v>
      </c>
      <c r="AE2192" s="38" t="s">
        <v>350</v>
      </c>
    </row>
    <row r="2193" spans="1:31" ht="18" customHeight="1" x14ac:dyDescent="0.25">
      <c r="A21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3" s="79">
        <v>4</v>
      </c>
      <c r="C2193" s="23">
        <v>44431</v>
      </c>
      <c r="D2193" s="67">
        <f>IF(COUNTIF($G$2:$G2193,$G2193)=1,1,0)</f>
        <v>0</v>
      </c>
      <c r="E2193" s="67" t="str">
        <f>IFERROR(VLOOKUP(База_КР_КК[[#This Row],[ИД штатной должности (S)]],'уровень защищенности'!$B$7:$F$1095,5,0),"не защищена")</f>
        <v>средний</v>
      </c>
      <c r="F2193" s="68">
        <v>500614</v>
      </c>
      <c r="G2193" s="74" t="s">
        <v>2632</v>
      </c>
      <c r="H2193" s="181">
        <f>INDEX('Списки данных'!$D$2:$D$1048576,MATCH(База_КР_КК[[#This Row],[Структурное подразделение]],'Списки данных'!$C$2:$C$1048576,0))</f>
        <v>12</v>
      </c>
      <c r="I2193" s="80" t="s">
        <v>160</v>
      </c>
      <c r="J2193" s="80" t="s">
        <v>217</v>
      </c>
      <c r="K2193" s="80" t="s">
        <v>218</v>
      </c>
      <c r="L2193" s="30" t="s">
        <v>191</v>
      </c>
      <c r="M2193" s="68">
        <v>7</v>
      </c>
      <c r="N2193" s="181" t="str">
        <f t="shared" si="35"/>
        <v>нет</v>
      </c>
      <c r="O2193" s="23"/>
      <c r="P2193" s="23"/>
      <c r="Q2193" s="106"/>
      <c r="R2193" s="37">
        <v>459</v>
      </c>
      <c r="S2193" s="38" t="s">
        <v>871</v>
      </c>
      <c r="T2193" s="37">
        <v>1451</v>
      </c>
      <c r="U2193" s="39" t="s">
        <v>1606</v>
      </c>
      <c r="V2193" s="69" t="s">
        <v>272</v>
      </c>
      <c r="W2193" s="89" t="s">
        <v>160</v>
      </c>
      <c r="X2193" s="106" t="s">
        <v>297</v>
      </c>
      <c r="Y2193" s="107" t="s">
        <v>12</v>
      </c>
      <c r="Z2193" s="67">
        <f>IF(База_КР_КК[[#This Row],[Таб.номер резервиста]]="-","-",IF(OR(База_КР_КК[[#This Row],[Уровень КК]]=2,База_КР_КК[[#This Row],[Уровень КК]]=3),IF(COUNTIFS($U$2:$U2193,$U2193,$F$2:$F2193,$F2193)=1,1,0),IF(COUNTIFS($U$2:$U2193,$U2193,$L$2:$L2193,$L2193)=1,1,0)))</f>
        <v>0</v>
      </c>
      <c r="AA21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3" s="106"/>
      <c r="AC2193" s="51"/>
      <c r="AD2193" s="106" t="s">
        <v>15</v>
      </c>
      <c r="AE2193" s="38" t="s">
        <v>350</v>
      </c>
    </row>
    <row r="2194" spans="1:31" ht="18" customHeight="1" x14ac:dyDescent="0.25">
      <c r="A21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4" s="79">
        <v>4</v>
      </c>
      <c r="C2194" s="23">
        <v>44889</v>
      </c>
      <c r="D2194" s="67">
        <f>IF(COUNTIF($G$2:$G2194,$G2194)=1,1,0)</f>
        <v>0</v>
      </c>
      <c r="E2194" s="67" t="str">
        <f>IFERROR(VLOOKUP(База_КР_КК[[#This Row],[ИД штатной должности (S)]],'уровень защищенности'!$B$7:$F$1095,5,0),"не защищена")</f>
        <v>средний</v>
      </c>
      <c r="F2194" s="68">
        <v>500614</v>
      </c>
      <c r="G2194" s="74" t="s">
        <v>2632</v>
      </c>
      <c r="H2194" s="181">
        <f>INDEX('Списки данных'!$D$2:$D$1048576,MATCH(База_КР_КК[[#This Row],[Структурное подразделение]],'Списки данных'!$C$2:$C$1048576,0))</f>
        <v>12</v>
      </c>
      <c r="I2194" s="80" t="s">
        <v>160</v>
      </c>
      <c r="J2194" s="80" t="s">
        <v>217</v>
      </c>
      <c r="K2194" s="80" t="s">
        <v>218</v>
      </c>
      <c r="L2194" s="30" t="s">
        <v>191</v>
      </c>
      <c r="M2194" s="68">
        <v>7</v>
      </c>
      <c r="N2194" s="181" t="str">
        <f t="shared" si="35"/>
        <v>нет</v>
      </c>
      <c r="O2194" s="23"/>
      <c r="P2194" s="23"/>
      <c r="Q2194" s="106"/>
      <c r="R2194" s="37">
        <v>459</v>
      </c>
      <c r="S2194" s="38" t="s">
        <v>871</v>
      </c>
      <c r="T2194" s="37">
        <v>1452</v>
      </c>
      <c r="U2194" s="39" t="s">
        <v>1829</v>
      </c>
      <c r="V2194" s="69" t="s">
        <v>272</v>
      </c>
      <c r="W2194" s="89" t="s">
        <v>160</v>
      </c>
      <c r="X2194" s="106" t="s">
        <v>297</v>
      </c>
      <c r="Y2194" s="107" t="s">
        <v>12</v>
      </c>
      <c r="Z2194" s="67">
        <f>IF(База_КР_КК[[#This Row],[Таб.номер резервиста]]="-","-",IF(OR(База_КР_КК[[#This Row],[Уровень КК]]=2,База_КР_КК[[#This Row],[Уровень КК]]=3),IF(COUNTIFS($U$2:$U2194,$U2194,$F$2:$F2194,$F2194)=1,1,0),IF(COUNTIFS($U$2:$U2194,$U2194,$L$2:$L2194,$L2194)=1,1,0)))</f>
        <v>0</v>
      </c>
      <c r="AA21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4" s="106"/>
      <c r="AC2194" s="51"/>
      <c r="AD2194" s="106" t="s">
        <v>15</v>
      </c>
      <c r="AE2194" s="40" t="s">
        <v>344</v>
      </c>
    </row>
    <row r="2195" spans="1:31" ht="18" customHeight="1" x14ac:dyDescent="0.25">
      <c r="A21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5" s="79">
        <v>4</v>
      </c>
      <c r="C2195" s="23">
        <v>44889</v>
      </c>
      <c r="D2195" s="67">
        <f>IF(COUNTIF($G$2:$G2195,$G2195)=1,1,0)</f>
        <v>0</v>
      </c>
      <c r="E2195" s="67" t="str">
        <f>IFERROR(VLOOKUP(База_КР_КК[[#This Row],[ИД штатной должности (S)]],'уровень защищенности'!$B$7:$F$1095,5,0),"не защищена")</f>
        <v>средний</v>
      </c>
      <c r="F2195" s="68">
        <v>500614</v>
      </c>
      <c r="G2195" s="74" t="s">
        <v>2632</v>
      </c>
      <c r="H2195" s="181">
        <f>INDEX('Списки данных'!$D$2:$D$1048576,MATCH(База_КР_КК[[#This Row],[Структурное подразделение]],'Списки данных'!$C$2:$C$1048576,0))</f>
        <v>12</v>
      </c>
      <c r="I2195" s="80" t="s">
        <v>160</v>
      </c>
      <c r="J2195" s="80" t="s">
        <v>217</v>
      </c>
      <c r="K2195" s="80" t="s">
        <v>218</v>
      </c>
      <c r="L2195" s="30" t="s">
        <v>191</v>
      </c>
      <c r="M2195" s="68">
        <v>7</v>
      </c>
      <c r="N2195" s="181" t="str">
        <f t="shared" si="35"/>
        <v>нет</v>
      </c>
      <c r="O2195" s="23"/>
      <c r="P2195" s="23"/>
      <c r="Q2195" s="106"/>
      <c r="R2195" s="37">
        <v>459</v>
      </c>
      <c r="S2195" s="38" t="s">
        <v>871</v>
      </c>
      <c r="T2195" s="37">
        <v>1453</v>
      </c>
      <c r="U2195" s="39" t="s">
        <v>1830</v>
      </c>
      <c r="V2195" s="69" t="s">
        <v>272</v>
      </c>
      <c r="W2195" s="89" t="s">
        <v>160</v>
      </c>
      <c r="X2195" s="106" t="s">
        <v>296</v>
      </c>
      <c r="Y2195" s="107" t="s">
        <v>12</v>
      </c>
      <c r="Z2195" s="67">
        <f>IF(База_КР_КК[[#This Row],[Таб.номер резервиста]]="-","-",IF(OR(База_КР_КК[[#This Row],[Уровень КК]]=2,База_КР_КК[[#This Row],[Уровень КК]]=3),IF(COUNTIFS($U$2:$U2195,$U2195,$F$2:$F2195,$F2195)=1,1,0),IF(COUNTIFS($U$2:$U2195,$U2195,$L$2:$L2195,$L2195)=1,1,0)))</f>
        <v>0</v>
      </c>
      <c r="AA21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5" s="106"/>
      <c r="AC2195" s="51"/>
      <c r="AD2195" s="106" t="s">
        <v>15</v>
      </c>
      <c r="AE2195" s="40" t="s">
        <v>344</v>
      </c>
    </row>
    <row r="2196" spans="1:31" ht="18" customHeight="1" x14ac:dyDescent="0.25">
      <c r="A21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6" s="79">
        <v>4</v>
      </c>
      <c r="C2196" s="23">
        <v>44889</v>
      </c>
      <c r="D2196" s="67">
        <f>IF(COUNTIF($G$2:$G2196,$G2196)=1,1,0)</f>
        <v>0</v>
      </c>
      <c r="E2196" s="67" t="str">
        <f>IFERROR(VLOOKUP(База_КР_КК[[#This Row],[ИД штатной должности (S)]],'уровень защищенности'!$B$7:$F$1095,5,0),"не защищена")</f>
        <v>средний</v>
      </c>
      <c r="F2196" s="68">
        <v>500614</v>
      </c>
      <c r="G2196" s="74" t="s">
        <v>2632</v>
      </c>
      <c r="H2196" s="181">
        <f>INDEX('Списки данных'!$D$2:$D$1048576,MATCH(База_КР_КК[[#This Row],[Структурное подразделение]],'Списки данных'!$C$2:$C$1048576,0))</f>
        <v>12</v>
      </c>
      <c r="I2196" s="80" t="s">
        <v>160</v>
      </c>
      <c r="J2196" s="80" t="s">
        <v>217</v>
      </c>
      <c r="K2196" s="80" t="s">
        <v>218</v>
      </c>
      <c r="L2196" s="30" t="s">
        <v>191</v>
      </c>
      <c r="M2196" s="68">
        <v>7</v>
      </c>
      <c r="N2196" s="181" t="str">
        <f t="shared" si="35"/>
        <v>нет</v>
      </c>
      <c r="O2196" s="23"/>
      <c r="P2196" s="23"/>
      <c r="Q2196" s="106"/>
      <c r="R2196" s="37">
        <v>459</v>
      </c>
      <c r="S2196" s="38" t="s">
        <v>871</v>
      </c>
      <c r="T2196" s="37">
        <v>1454</v>
      </c>
      <c r="U2196" s="39" t="s">
        <v>1831</v>
      </c>
      <c r="V2196" s="69" t="s">
        <v>272</v>
      </c>
      <c r="W2196" s="89" t="s">
        <v>160</v>
      </c>
      <c r="X2196" s="106" t="s">
        <v>296</v>
      </c>
      <c r="Y2196" s="107" t="s">
        <v>12</v>
      </c>
      <c r="Z2196" s="67">
        <f>IF(База_КР_КК[[#This Row],[Таб.номер резервиста]]="-","-",IF(OR(База_КР_КК[[#This Row],[Уровень КК]]=2,База_КР_КК[[#This Row],[Уровень КК]]=3),IF(COUNTIFS($U$2:$U2196,$U2196,$F$2:$F2196,$F2196)=1,1,0),IF(COUNTIFS($U$2:$U2196,$U2196,$L$2:$L2196,$L2196)=1,1,0)))</f>
        <v>0</v>
      </c>
      <c r="AA21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6" s="106"/>
      <c r="AC2196" s="51"/>
      <c r="AD2196" s="106" t="s">
        <v>15</v>
      </c>
      <c r="AE2196" s="40" t="s">
        <v>344</v>
      </c>
    </row>
    <row r="2197" spans="1:31" ht="18" customHeight="1" x14ac:dyDescent="0.25">
      <c r="A21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7" s="79">
        <v>4</v>
      </c>
      <c r="C2197" s="23">
        <v>44888</v>
      </c>
      <c r="D2197" s="67">
        <f>IF(COUNTIF($G$2:$G2197,$G2197)=1,1,0)</f>
        <v>1</v>
      </c>
      <c r="E2197" s="67" t="str">
        <f>IFERROR(VLOOKUP(База_КР_КК[[#This Row],[ИД штатной должности (S)]],'уровень защищенности'!$B$7:$F$1095,5,0),"не защищена")</f>
        <v>средний</v>
      </c>
      <c r="F2197" s="68">
        <v>500636</v>
      </c>
      <c r="G2197" s="74" t="s">
        <v>2633</v>
      </c>
      <c r="H2197" s="181">
        <f>INDEX('Списки данных'!$D$2:$D$1048576,MATCH(База_КР_КК[[#This Row],[Структурное подразделение]],'Списки данных'!$C$2:$C$1048576,0))</f>
        <v>11</v>
      </c>
      <c r="I2197" s="80" t="s">
        <v>169</v>
      </c>
      <c r="J2197" s="80" t="s">
        <v>220</v>
      </c>
      <c r="K2197" s="80" t="s">
        <v>221</v>
      </c>
      <c r="L2197" s="30" t="s">
        <v>192</v>
      </c>
      <c r="M2197" s="68">
        <v>7</v>
      </c>
      <c r="N2197" s="181" t="str">
        <f t="shared" si="35"/>
        <v>нет</v>
      </c>
      <c r="O2197" s="23"/>
      <c r="P2197" s="23"/>
      <c r="Q2197" s="106"/>
      <c r="R2197" s="37">
        <v>460</v>
      </c>
      <c r="S2197" s="38" t="s">
        <v>872</v>
      </c>
      <c r="T2197" s="37">
        <v>1498</v>
      </c>
      <c r="U2197" s="39" t="s">
        <v>1864</v>
      </c>
      <c r="V2197" s="69" t="s">
        <v>272</v>
      </c>
      <c r="W2197" s="89" t="s">
        <v>169</v>
      </c>
      <c r="X2197" s="106" t="s">
        <v>297</v>
      </c>
      <c r="Y2197" s="107" t="s">
        <v>12</v>
      </c>
      <c r="Z2197" s="67">
        <f>IF(База_КР_КК[[#This Row],[Таб.номер резервиста]]="-","-",IF(OR(База_КР_КК[[#This Row],[Уровень КК]]=2,База_КР_КК[[#This Row],[Уровень КК]]=3),IF(COUNTIFS($U$2:$U2197,$U2197,$F$2:$F2197,$F2197)=1,1,0),IF(COUNTIFS($U$2:$U2197,$U2197,$L$2:$L2197,$L2197)=1,1,0)))</f>
        <v>1</v>
      </c>
      <c r="AA21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7" s="106"/>
      <c r="AC2197" s="51"/>
      <c r="AD2197" s="106" t="s">
        <v>15</v>
      </c>
      <c r="AE2197" s="38" t="s">
        <v>356</v>
      </c>
    </row>
    <row r="2198" spans="1:31" ht="18" customHeight="1" x14ac:dyDescent="0.25">
      <c r="A21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8" s="79">
        <v>4</v>
      </c>
      <c r="C2198" s="23">
        <v>44888</v>
      </c>
      <c r="D2198" s="67">
        <f>IF(COUNTIF($G$2:$G2198,$G2198)=1,1,0)</f>
        <v>1</v>
      </c>
      <c r="E2198" s="67" t="str">
        <f>IFERROR(VLOOKUP(База_КР_КК[[#This Row],[ИД штатной должности (S)]],'уровень защищенности'!$B$7:$F$1095,5,0),"не защищена")</f>
        <v>высокий</v>
      </c>
      <c r="F2198" s="68">
        <v>500712</v>
      </c>
      <c r="G2198" s="74" t="s">
        <v>2634</v>
      </c>
      <c r="H2198" s="181">
        <f>INDEX('Списки данных'!$D$2:$D$1048576,MATCH(База_КР_КК[[#This Row],[Структурное подразделение]],'Списки данных'!$C$2:$C$1048576,0))</f>
        <v>11</v>
      </c>
      <c r="I2198" s="80" t="s">
        <v>169</v>
      </c>
      <c r="J2198" s="80" t="s">
        <v>220</v>
      </c>
      <c r="K2198" s="80" t="s">
        <v>221</v>
      </c>
      <c r="L2198" s="30" t="s">
        <v>192</v>
      </c>
      <c r="M2198" s="68">
        <v>7</v>
      </c>
      <c r="N2198" s="181" t="str">
        <f t="shared" si="35"/>
        <v>нет</v>
      </c>
      <c r="O2198" s="23"/>
      <c r="P2198" s="23"/>
      <c r="Q2198" s="106"/>
      <c r="R2198" s="37">
        <v>461</v>
      </c>
      <c r="S2198" s="38" t="s">
        <v>873</v>
      </c>
      <c r="T2198" s="37">
        <v>401</v>
      </c>
      <c r="U2198" s="39" t="s">
        <v>813</v>
      </c>
      <c r="V2198" s="69" t="s">
        <v>192</v>
      </c>
      <c r="W2198" s="89" t="s">
        <v>169</v>
      </c>
      <c r="X2198" s="106" t="s">
        <v>295</v>
      </c>
      <c r="Y2198" s="107" t="s">
        <v>12</v>
      </c>
      <c r="Z2198" s="67">
        <f>IF(База_КР_КК[[#This Row],[Таб.номер резервиста]]="-","-",IF(OR(База_КР_КК[[#This Row],[Уровень КК]]=2,База_КР_КК[[#This Row],[Уровень КК]]=3),IF(COUNTIFS($U$2:$U2198,$U2198,$F$2:$F2198,$F2198)=1,1,0),IF(COUNTIFS($U$2:$U2198,$U2198,$L$2:$L2198,$L2198)=1,1,0)))</f>
        <v>1</v>
      </c>
      <c r="AA21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198" s="106"/>
      <c r="AC2198" s="51"/>
      <c r="AD2198" s="106" t="s">
        <v>15</v>
      </c>
      <c r="AE2198" s="38" t="s">
        <v>356</v>
      </c>
    </row>
    <row r="2199" spans="1:31" ht="18" customHeight="1" x14ac:dyDescent="0.25">
      <c r="A21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199" s="79">
        <v>3</v>
      </c>
      <c r="C2199" s="23">
        <v>44707</v>
      </c>
      <c r="D2199" s="67">
        <f>IF(COUNTIF($G$2:$G2199,$G2199)=1,1,0)</f>
        <v>1</v>
      </c>
      <c r="E2199" s="67" t="str">
        <f>IFERROR(VLOOKUP(База_КР_КК[[#This Row],[ИД штатной должности (S)]],'уровень защищенности'!$B$7:$F$1095,5,0),"не защищена")</f>
        <v>не защищена</v>
      </c>
      <c r="F2199" s="68">
        <v>500713</v>
      </c>
      <c r="G2199" s="74" t="s">
        <v>2635</v>
      </c>
      <c r="H2199" s="181">
        <f>INDEX('Списки данных'!$D$2:$D$1048576,MATCH(База_КР_КК[[#This Row],[Структурное подразделение]],'Списки данных'!$C$2:$C$1048576,0))</f>
        <v>219</v>
      </c>
      <c r="I2199" s="80" t="s">
        <v>128</v>
      </c>
      <c r="J2199" s="80" t="s">
        <v>21</v>
      </c>
      <c r="K2199" s="80" t="s">
        <v>21</v>
      </c>
      <c r="L2199" s="30" t="s">
        <v>180</v>
      </c>
      <c r="M2199" s="68">
        <v>4</v>
      </c>
      <c r="N2199" s="181" t="str">
        <f t="shared" si="35"/>
        <v>нет</v>
      </c>
      <c r="O2199" s="23"/>
      <c r="P2199" s="23"/>
      <c r="Q2199" s="106"/>
      <c r="R2199" s="37">
        <v>462</v>
      </c>
      <c r="S2199" s="37" t="s">
        <v>874</v>
      </c>
      <c r="T2199" s="37" t="s">
        <v>21</v>
      </c>
      <c r="U2199" s="37" t="s">
        <v>21</v>
      </c>
      <c r="V2199" s="88" t="s">
        <v>21</v>
      </c>
      <c r="W2199" s="88" t="s">
        <v>21</v>
      </c>
      <c r="X2199" s="106"/>
      <c r="Y2199" s="107"/>
      <c r="Z2199" s="67" t="str">
        <f>IF(База_КР_КК[[#This Row],[Таб.номер резервиста]]="-","-",IF(OR(База_КР_КК[[#This Row],[Уровень КК]]=2,База_КР_КК[[#This Row],[Уровень КК]]=3),IF(COUNTIFS($U$2:$U2199,$U2199,$F$2:$F2199,$F2199)=1,1,0),IF(COUNTIFS($U$2:$U2199,$U2199,$L$2:$L2199,$L2199)=1,1,0)))</f>
        <v>-</v>
      </c>
      <c r="AA2199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2199" s="106"/>
      <c r="AC2199" s="51"/>
      <c r="AD2199" s="106"/>
      <c r="AE2199" s="38" t="s">
        <v>345</v>
      </c>
    </row>
    <row r="2200" spans="1:31" ht="18" customHeight="1" x14ac:dyDescent="0.25">
      <c r="A22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0" s="79">
        <v>3</v>
      </c>
      <c r="C2200" s="23">
        <v>44707</v>
      </c>
      <c r="D2200" s="67">
        <f>IF(COUNTIF($G$2:$G2200,$G2200)=1,1,0)</f>
        <v>1</v>
      </c>
      <c r="E2200" s="67" t="str">
        <f>IFERROR(VLOOKUP(База_КР_КК[[#This Row],[ИД штатной должности (S)]],'уровень защищенности'!$B$7:$F$1095,5,0),"не защищена")</f>
        <v>не защищена</v>
      </c>
      <c r="F2200" s="68">
        <v>500722</v>
      </c>
      <c r="G2200" s="74" t="s">
        <v>2636</v>
      </c>
      <c r="H2200" s="181">
        <f>INDEX('Списки данных'!$D$2:$D$1048576,MATCH(База_КР_КК[[#This Row],[Структурное подразделение]],'Списки данных'!$C$2:$C$1048576,0))</f>
        <v>219</v>
      </c>
      <c r="I2200" s="80" t="s">
        <v>128</v>
      </c>
      <c r="J2200" s="80" t="s">
        <v>21</v>
      </c>
      <c r="K2200" s="80" t="s">
        <v>21</v>
      </c>
      <c r="L2200" s="30" t="s">
        <v>180</v>
      </c>
      <c r="M2200" s="68">
        <v>4</v>
      </c>
      <c r="N2200" s="181" t="str">
        <f t="shared" si="35"/>
        <v>нет</v>
      </c>
      <c r="O2200" s="23"/>
      <c r="P2200" s="23"/>
      <c r="Q2200" s="106"/>
      <c r="R2200" s="37">
        <v>463</v>
      </c>
      <c r="S2200" s="37" t="s">
        <v>875</v>
      </c>
      <c r="T2200" s="37" t="s">
        <v>21</v>
      </c>
      <c r="U2200" s="37" t="s">
        <v>21</v>
      </c>
      <c r="V2200" s="88" t="s">
        <v>21</v>
      </c>
      <c r="W2200" s="88" t="s">
        <v>21</v>
      </c>
      <c r="X2200" s="106"/>
      <c r="Y2200" s="107"/>
      <c r="Z2200" s="67" t="str">
        <f>IF(База_КР_КК[[#This Row],[Таб.номер резервиста]]="-","-",IF(OR(База_КР_КК[[#This Row],[Уровень КК]]=2,База_КР_КК[[#This Row],[Уровень КК]]=3),IF(COUNTIFS($U$2:$U2200,$U2200,$F$2:$F2200,$F2200)=1,1,0),IF(COUNTIFS($U$2:$U2200,$U2200,$L$2:$L2200,$L2200)=1,1,0)))</f>
        <v>-</v>
      </c>
      <c r="AA2200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2200" s="106"/>
      <c r="AC2200" s="51"/>
      <c r="AD2200" s="106"/>
      <c r="AE2200" s="38" t="s">
        <v>345</v>
      </c>
    </row>
    <row r="2201" spans="1:31" ht="18" customHeight="1" x14ac:dyDescent="0.25">
      <c r="A22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1" s="79">
        <v>3</v>
      </c>
      <c r="C2201" s="23">
        <v>43425</v>
      </c>
      <c r="D2201" s="67">
        <f>IF(COUNTIF($G$2:$G2201,$G2201)=1,1,0)</f>
        <v>1</v>
      </c>
      <c r="E2201" s="67" t="str">
        <f>IFERROR(VLOOKUP(База_КР_КК[[#This Row],[ИД штатной должности (S)]],'уровень защищенности'!$B$7:$F$1095,5,0),"не защищена")</f>
        <v>высокий</v>
      </c>
      <c r="F2201" s="68">
        <v>500724</v>
      </c>
      <c r="G2201" s="74" t="s">
        <v>2637</v>
      </c>
      <c r="H2201" s="181">
        <f>INDEX('Списки данных'!$D$2:$D$1048576,MATCH(База_КР_КК[[#This Row],[Структурное подразделение]],'Списки данных'!$C$2:$C$1048576,0))</f>
        <v>15</v>
      </c>
      <c r="I2201" s="80" t="s">
        <v>161</v>
      </c>
      <c r="J2201" s="80" t="s">
        <v>214</v>
      </c>
      <c r="K2201" s="80" t="s">
        <v>21</v>
      </c>
      <c r="L2201" s="30" t="s">
        <v>187</v>
      </c>
      <c r="M2201" s="68">
        <v>5</v>
      </c>
      <c r="N2201" s="181" t="str">
        <f t="shared" si="35"/>
        <v>нет</v>
      </c>
      <c r="O2201" s="23"/>
      <c r="P2201" s="23"/>
      <c r="Q2201" s="106"/>
      <c r="R2201" s="37">
        <v>464</v>
      </c>
      <c r="S2201" s="38" t="s">
        <v>876</v>
      </c>
      <c r="T2201" s="37">
        <v>1546</v>
      </c>
      <c r="U2201" s="39" t="s">
        <v>1898</v>
      </c>
      <c r="V2201" s="89" t="s">
        <v>16</v>
      </c>
      <c r="W2201" s="89" t="s">
        <v>161</v>
      </c>
      <c r="X2201" s="106" t="s">
        <v>295</v>
      </c>
      <c r="Y2201" s="107" t="s">
        <v>12</v>
      </c>
      <c r="Z2201" s="67">
        <f>IF(База_КР_КК[[#This Row],[Таб.номер резервиста]]="-","-",IF(OR(База_КР_КК[[#This Row],[Уровень КК]]=2,База_КР_КК[[#This Row],[Уровень КК]]=3),IF(COUNTIFS($U$2:$U2201,$U2201,$F$2:$F2201,$F2201)=1,1,0),IF(COUNTIFS($U$2:$U2201,$U2201,$L$2:$L2201,$L2201)=1,1,0)))</f>
        <v>1</v>
      </c>
      <c r="AA22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1" s="106"/>
      <c r="AC2201" s="51"/>
      <c r="AD2201" s="106" t="s">
        <v>17</v>
      </c>
      <c r="AE2201" s="38" t="s">
        <v>345</v>
      </c>
    </row>
    <row r="2202" spans="1:31" ht="18" customHeight="1" x14ac:dyDescent="0.25">
      <c r="A22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2" s="79">
        <v>3</v>
      </c>
      <c r="C2202" s="23">
        <v>43425</v>
      </c>
      <c r="D2202" s="67">
        <f>IF(COUNTIF($G$2:$G2202,$G2202)=1,1,0)</f>
        <v>0</v>
      </c>
      <c r="E2202" s="67" t="str">
        <f>IFERROR(VLOOKUP(База_КР_КК[[#This Row],[ИД штатной должности (S)]],'уровень защищенности'!$B$7:$F$1095,5,0),"не защищена")</f>
        <v>высокий</v>
      </c>
      <c r="F2202" s="68">
        <v>500724</v>
      </c>
      <c r="G2202" s="74" t="s">
        <v>2637</v>
      </c>
      <c r="H2202" s="181">
        <f>INDEX('Списки данных'!$D$2:$D$1048576,MATCH(База_КР_КК[[#This Row],[Структурное подразделение]],'Списки данных'!$C$2:$C$1048576,0))</f>
        <v>15</v>
      </c>
      <c r="I2202" s="80" t="s">
        <v>161</v>
      </c>
      <c r="J2202" s="80" t="s">
        <v>214</v>
      </c>
      <c r="K2202" s="80" t="s">
        <v>21</v>
      </c>
      <c r="L2202" s="30" t="s">
        <v>187</v>
      </c>
      <c r="M2202" s="68">
        <v>5</v>
      </c>
      <c r="N2202" s="181" t="str">
        <f t="shared" si="35"/>
        <v>нет</v>
      </c>
      <c r="O2202" s="23"/>
      <c r="P2202" s="23"/>
      <c r="Q2202" s="106"/>
      <c r="R2202" s="37">
        <v>464</v>
      </c>
      <c r="S2202" s="38" t="s">
        <v>876</v>
      </c>
      <c r="T2202" s="37">
        <v>1547</v>
      </c>
      <c r="U2202" s="39" t="s">
        <v>1899</v>
      </c>
      <c r="V2202" s="89" t="s">
        <v>189</v>
      </c>
      <c r="W2202" s="89" t="s">
        <v>161</v>
      </c>
      <c r="X2202" s="106" t="s">
        <v>295</v>
      </c>
      <c r="Y2202" s="107" t="s">
        <v>12</v>
      </c>
      <c r="Z2202" s="67">
        <f>IF(База_КР_КК[[#This Row],[Таб.номер резервиста]]="-","-",IF(OR(База_КР_КК[[#This Row],[Уровень КК]]=2,База_КР_КК[[#This Row],[Уровень КК]]=3),IF(COUNTIFS($U$2:$U2202,$U2202,$F$2:$F2202,$F2202)=1,1,0),IF(COUNTIFS($U$2:$U2202,$U2202,$L$2:$L2202,$L2202)=1,1,0)))</f>
        <v>1</v>
      </c>
      <c r="AA22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2" s="106"/>
      <c r="AC2202" s="51"/>
      <c r="AD2202" s="106" t="s">
        <v>13</v>
      </c>
      <c r="AE2202" s="38" t="s">
        <v>345</v>
      </c>
    </row>
    <row r="2203" spans="1:31" ht="18" customHeight="1" x14ac:dyDescent="0.25">
      <c r="A22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3" s="79">
        <v>3</v>
      </c>
      <c r="C2203" s="23">
        <v>44343</v>
      </c>
      <c r="D2203" s="67">
        <f>IF(COUNTIF($G$2:$G2203,$G2203)=1,1,0)</f>
        <v>0</v>
      </c>
      <c r="E2203" s="67" t="str">
        <f>IFERROR(VLOOKUP(База_КР_КК[[#This Row],[ИД штатной должности (S)]],'уровень защищенности'!$B$7:$F$1095,5,0),"не защищена")</f>
        <v>высокий</v>
      </c>
      <c r="F2203" s="68">
        <v>500724</v>
      </c>
      <c r="G2203" s="74" t="s">
        <v>2637</v>
      </c>
      <c r="H2203" s="181">
        <f>INDEX('Списки данных'!$D$2:$D$1048576,MATCH(База_КР_КК[[#This Row],[Структурное подразделение]],'Списки данных'!$C$2:$C$1048576,0))</f>
        <v>15</v>
      </c>
      <c r="I2203" s="80" t="s">
        <v>161</v>
      </c>
      <c r="J2203" s="80" t="s">
        <v>214</v>
      </c>
      <c r="K2203" s="80" t="s">
        <v>21</v>
      </c>
      <c r="L2203" s="30" t="s">
        <v>187</v>
      </c>
      <c r="M2203" s="68">
        <v>5</v>
      </c>
      <c r="N2203" s="181" t="str">
        <f t="shared" si="35"/>
        <v>нет</v>
      </c>
      <c r="O2203" s="23"/>
      <c r="P2203" s="23"/>
      <c r="Q2203" s="106"/>
      <c r="R2203" s="37">
        <v>464</v>
      </c>
      <c r="S2203" s="38" t="s">
        <v>876</v>
      </c>
      <c r="T2203" s="37">
        <v>315</v>
      </c>
      <c r="U2203" s="39" t="s">
        <v>727</v>
      </c>
      <c r="V2203" s="69" t="s">
        <v>186</v>
      </c>
      <c r="W2203" s="89" t="s">
        <v>161</v>
      </c>
      <c r="X2203" s="106" t="s">
        <v>297</v>
      </c>
      <c r="Y2203" s="107" t="s">
        <v>12</v>
      </c>
      <c r="Z2203" s="67">
        <f>IF(База_КР_КК[[#This Row],[Таб.номер резервиста]]="-","-",IF(OR(База_КР_КК[[#This Row],[Уровень КК]]=2,База_КР_КК[[#This Row],[Уровень КК]]=3),IF(COUNTIFS($U$2:$U2203,$U2203,$F$2:$F2203,$F2203)=1,1,0),IF(COUNTIFS($U$2:$U2203,$U2203,$L$2:$L2203,$L2203)=1,1,0)))</f>
        <v>1</v>
      </c>
      <c r="AA22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3" s="106"/>
      <c r="AC2203" s="51"/>
      <c r="AD2203" s="106" t="s">
        <v>13</v>
      </c>
      <c r="AE2203" s="38" t="s">
        <v>345</v>
      </c>
    </row>
    <row r="2204" spans="1:31" ht="18" customHeight="1" x14ac:dyDescent="0.25">
      <c r="A22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4" s="79">
        <v>3</v>
      </c>
      <c r="C2204" s="23">
        <v>43425</v>
      </c>
      <c r="D2204" s="67">
        <f>IF(COUNTIF($G$2:$G2204,$G2204)=1,1,0)</f>
        <v>1</v>
      </c>
      <c r="E2204" s="67" t="str">
        <f>IFERROR(VLOOKUP(База_КР_КК[[#This Row],[ИД штатной должности (S)]],'уровень защищенности'!$B$7:$F$1095,5,0),"не защищена")</f>
        <v>высокий</v>
      </c>
      <c r="F2204" s="68">
        <v>500725</v>
      </c>
      <c r="G2204" s="74" t="s">
        <v>2638</v>
      </c>
      <c r="H2204" s="181">
        <f>INDEX('Списки данных'!$D$2:$D$1048576,MATCH(База_КР_КК[[#This Row],[Структурное подразделение]],'Списки данных'!$C$2:$C$1048576,0))</f>
        <v>12</v>
      </c>
      <c r="I2204" s="80" t="s">
        <v>160</v>
      </c>
      <c r="J2204" s="80" t="s">
        <v>217</v>
      </c>
      <c r="K2204" s="80" t="s">
        <v>21</v>
      </c>
      <c r="L2204" s="30" t="s">
        <v>187</v>
      </c>
      <c r="M2204" s="68">
        <v>5</v>
      </c>
      <c r="N2204" s="181" t="str">
        <f t="shared" si="35"/>
        <v>нет</v>
      </c>
      <c r="O2204" s="23"/>
      <c r="P2204" s="23"/>
      <c r="Q2204" s="106"/>
      <c r="R2204" s="37">
        <v>465</v>
      </c>
      <c r="S2204" s="38" t="s">
        <v>877</v>
      </c>
      <c r="T2204" s="37">
        <v>1548</v>
      </c>
      <c r="U2204" s="39" t="s">
        <v>1753</v>
      </c>
      <c r="V2204" s="89" t="s">
        <v>200</v>
      </c>
      <c r="W2204" s="89" t="s">
        <v>128</v>
      </c>
      <c r="X2204" s="106" t="s">
        <v>297</v>
      </c>
      <c r="Y2204" s="107" t="s">
        <v>12</v>
      </c>
      <c r="Z2204" s="67">
        <f>IF(База_КР_КК[[#This Row],[Таб.номер резервиста]]="-","-",IF(OR(База_КР_КК[[#This Row],[Уровень КК]]=2,База_КР_КК[[#This Row],[Уровень КК]]=3),IF(COUNTIFS($U$2:$U2204,$U2204,$F$2:$F2204,$F2204)=1,1,0),IF(COUNTIFS($U$2:$U2204,$U2204,$L$2:$L2204,$L2204)=1,1,0)))</f>
        <v>1</v>
      </c>
      <c r="AA22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4" s="106"/>
      <c r="AC2204" s="51"/>
      <c r="AD2204" s="106" t="s">
        <v>13</v>
      </c>
      <c r="AE2204" s="38" t="s">
        <v>345</v>
      </c>
    </row>
    <row r="2205" spans="1:31" ht="18" customHeight="1" x14ac:dyDescent="0.25">
      <c r="A22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5" s="79">
        <v>3</v>
      </c>
      <c r="C2205" s="23">
        <v>43425</v>
      </c>
      <c r="D2205" s="67">
        <f>IF(COUNTIF($G$2:$G2205,$G2205)=1,1,0)</f>
        <v>0</v>
      </c>
      <c r="E2205" s="67" t="str">
        <f>IFERROR(VLOOKUP(База_КР_КК[[#This Row],[ИД штатной должности (S)]],'уровень защищенности'!$B$7:$F$1095,5,0),"не защищена")</f>
        <v>высокий</v>
      </c>
      <c r="F2205" s="68">
        <v>500725</v>
      </c>
      <c r="G2205" s="74" t="s">
        <v>2638</v>
      </c>
      <c r="H2205" s="181">
        <f>INDEX('Списки данных'!$D$2:$D$1048576,MATCH(База_КР_КК[[#This Row],[Структурное подразделение]],'Списки данных'!$C$2:$C$1048576,0))</f>
        <v>12</v>
      </c>
      <c r="I2205" s="80" t="s">
        <v>160</v>
      </c>
      <c r="J2205" s="80" t="s">
        <v>217</v>
      </c>
      <c r="K2205" s="80" t="s">
        <v>21</v>
      </c>
      <c r="L2205" s="30" t="s">
        <v>187</v>
      </c>
      <c r="M2205" s="68">
        <v>5</v>
      </c>
      <c r="N2205" s="181" t="str">
        <f t="shared" si="35"/>
        <v>нет</v>
      </c>
      <c r="O2205" s="23"/>
      <c r="P2205" s="23"/>
      <c r="Q2205" s="106"/>
      <c r="R2205" s="37">
        <v>465</v>
      </c>
      <c r="S2205" s="38" t="s">
        <v>877</v>
      </c>
      <c r="T2205" s="37">
        <v>1549</v>
      </c>
      <c r="U2205" s="39" t="s">
        <v>1900</v>
      </c>
      <c r="V2205" s="89" t="s">
        <v>189</v>
      </c>
      <c r="W2205" s="89" t="s">
        <v>160</v>
      </c>
      <c r="X2205" s="106" t="s">
        <v>295</v>
      </c>
      <c r="Y2205" s="107" t="s">
        <v>12</v>
      </c>
      <c r="Z2205" s="67">
        <f>IF(База_КР_КК[[#This Row],[Таб.номер резервиста]]="-","-",IF(OR(База_КР_КК[[#This Row],[Уровень КК]]=2,База_КР_КК[[#This Row],[Уровень КК]]=3),IF(COUNTIFS($U$2:$U2205,$U2205,$F$2:$F2205,$F2205)=1,1,0),IF(COUNTIFS($U$2:$U2205,$U2205,$L$2:$L2205,$L2205)=1,1,0)))</f>
        <v>1</v>
      </c>
      <c r="AA22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5" s="106"/>
      <c r="AC2205" s="51"/>
      <c r="AD2205" s="106" t="s">
        <v>13</v>
      </c>
      <c r="AE2205" s="38" t="s">
        <v>345</v>
      </c>
    </row>
    <row r="2206" spans="1:31" ht="18" customHeight="1" x14ac:dyDescent="0.25">
      <c r="A22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6" s="79">
        <v>3</v>
      </c>
      <c r="C2206" s="23">
        <v>43425</v>
      </c>
      <c r="D2206" s="67">
        <f>IF(COUNTIF($G$2:$G2206,$G2206)=1,1,0)</f>
        <v>0</v>
      </c>
      <c r="E2206" s="67" t="str">
        <f>IFERROR(VLOOKUP(База_КР_КК[[#This Row],[ИД штатной должности (S)]],'уровень защищенности'!$B$7:$F$1095,5,0),"не защищена")</f>
        <v>высокий</v>
      </c>
      <c r="F2206" s="68">
        <v>500725</v>
      </c>
      <c r="G2206" s="74" t="s">
        <v>2638</v>
      </c>
      <c r="H2206" s="181">
        <f>INDEX('Списки данных'!$D$2:$D$1048576,MATCH(База_КР_КК[[#This Row],[Структурное подразделение]],'Списки данных'!$C$2:$C$1048576,0))</f>
        <v>12</v>
      </c>
      <c r="I2206" s="80" t="s">
        <v>160</v>
      </c>
      <c r="J2206" s="80" t="s">
        <v>217</v>
      </c>
      <c r="K2206" s="80" t="s">
        <v>21</v>
      </c>
      <c r="L2206" s="30" t="s">
        <v>187</v>
      </c>
      <c r="M2206" s="68">
        <v>5</v>
      </c>
      <c r="N2206" s="181" t="str">
        <f t="shared" si="35"/>
        <v>нет</v>
      </c>
      <c r="O2206" s="23"/>
      <c r="P2206" s="23"/>
      <c r="Q2206" s="106"/>
      <c r="R2206" s="37">
        <v>465</v>
      </c>
      <c r="S2206" s="38" t="s">
        <v>877</v>
      </c>
      <c r="T2206" s="37">
        <v>1550</v>
      </c>
      <c r="U2206" s="39" t="s">
        <v>1869</v>
      </c>
      <c r="V2206" s="89" t="s">
        <v>189</v>
      </c>
      <c r="W2206" s="89" t="s">
        <v>128</v>
      </c>
      <c r="X2206" s="106" t="s">
        <v>297</v>
      </c>
      <c r="Y2206" s="107" t="s">
        <v>18</v>
      </c>
      <c r="Z2206" s="67">
        <f>IF(База_КР_КК[[#This Row],[Таб.номер резервиста]]="-","-",IF(OR(База_КР_КК[[#This Row],[Уровень КК]]=2,База_КР_КК[[#This Row],[Уровень КК]]=3),IF(COUNTIFS($U$2:$U2206,$U2206,$F$2:$F2206,$F2206)=1,1,0),IF(COUNTIFS($U$2:$U2206,$U2206,$L$2:$L2206,$L2206)=1,1,0)))</f>
        <v>1</v>
      </c>
      <c r="AA22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6" s="106" t="s">
        <v>33</v>
      </c>
      <c r="AC2206" s="51">
        <v>44707</v>
      </c>
      <c r="AD2206" s="106" t="s">
        <v>31</v>
      </c>
      <c r="AE2206" s="38" t="s">
        <v>345</v>
      </c>
    </row>
    <row r="2207" spans="1:31" ht="18" customHeight="1" x14ac:dyDescent="0.25">
      <c r="A22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7" s="79">
        <v>3</v>
      </c>
      <c r="C2207" s="23">
        <v>43425</v>
      </c>
      <c r="D2207" s="67">
        <f>IF(COUNTIF($G$2:$G2207,$G2207)=1,1,0)</f>
        <v>1</v>
      </c>
      <c r="E2207" s="67" t="str">
        <f>IFERROR(VLOOKUP(База_КР_КК[[#This Row],[ИД штатной должности (S)]],'уровень защищенности'!$B$7:$F$1095,5,0),"не защищена")</f>
        <v>высокий</v>
      </c>
      <c r="F2207" s="68">
        <v>500726</v>
      </c>
      <c r="G2207" s="74" t="s">
        <v>2639</v>
      </c>
      <c r="H2207" s="181">
        <f>INDEX('Списки данных'!$D$2:$D$1048576,MATCH(База_КР_КК[[#This Row],[Структурное подразделение]],'Списки данных'!$C$2:$C$1048576,0))</f>
        <v>13</v>
      </c>
      <c r="I2207" s="80" t="s">
        <v>173</v>
      </c>
      <c r="J2207" s="80" t="s">
        <v>212</v>
      </c>
      <c r="K2207" s="80" t="s">
        <v>21</v>
      </c>
      <c r="L2207" s="30" t="s">
        <v>187</v>
      </c>
      <c r="M2207" s="68">
        <v>5</v>
      </c>
      <c r="N2207" s="181" t="str">
        <f t="shared" si="35"/>
        <v>нет</v>
      </c>
      <c r="O2207" s="23"/>
      <c r="P2207" s="23"/>
      <c r="Q2207" s="106"/>
      <c r="R2207" s="37">
        <v>466</v>
      </c>
      <c r="S2207" s="38" t="s">
        <v>878</v>
      </c>
      <c r="T2207" s="37">
        <v>1551</v>
      </c>
      <c r="U2207" s="39" t="s">
        <v>1901</v>
      </c>
      <c r="V2207" s="89" t="s">
        <v>189</v>
      </c>
      <c r="W2207" s="89" t="s">
        <v>173</v>
      </c>
      <c r="X2207" s="106" t="s">
        <v>295</v>
      </c>
      <c r="Y2207" s="107" t="s">
        <v>12</v>
      </c>
      <c r="Z2207" s="67">
        <f>IF(База_КР_КК[[#This Row],[Таб.номер резервиста]]="-","-",IF(OR(База_КР_КК[[#This Row],[Уровень КК]]=2,База_КР_КК[[#This Row],[Уровень КК]]=3),IF(COUNTIFS($U$2:$U2207,$U2207,$F$2:$F2207,$F2207)=1,1,0),IF(COUNTIFS($U$2:$U2207,$U2207,$L$2:$L2207,$L2207)=1,1,0)))</f>
        <v>1</v>
      </c>
      <c r="AA22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7" s="106"/>
      <c r="AC2207" s="51"/>
      <c r="AD2207" s="106" t="s">
        <v>13</v>
      </c>
      <c r="AE2207" s="38" t="s">
        <v>345</v>
      </c>
    </row>
    <row r="2208" spans="1:31" ht="18" customHeight="1" x14ac:dyDescent="0.25">
      <c r="A22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8" s="79">
        <v>3</v>
      </c>
      <c r="C2208" s="23">
        <v>43992</v>
      </c>
      <c r="D2208" s="67">
        <f>IF(COUNTIF($G$2:$G2208,$G2208)=1,1,0)</f>
        <v>0</v>
      </c>
      <c r="E2208" s="67" t="str">
        <f>IFERROR(VLOOKUP(База_КР_КК[[#This Row],[ИД штатной должности (S)]],'уровень защищенности'!$B$7:$F$1095,5,0),"не защищена")</f>
        <v>высокий</v>
      </c>
      <c r="F2208" s="68">
        <v>500726</v>
      </c>
      <c r="G2208" s="74" t="s">
        <v>2639</v>
      </c>
      <c r="H2208" s="181">
        <f>INDEX('Списки данных'!$D$2:$D$1048576,MATCH(База_КР_КК[[#This Row],[Структурное подразделение]],'Списки данных'!$C$2:$C$1048576,0))</f>
        <v>13</v>
      </c>
      <c r="I2208" s="80" t="s">
        <v>173</v>
      </c>
      <c r="J2208" s="80" t="s">
        <v>212</v>
      </c>
      <c r="K2208" s="80" t="s">
        <v>21</v>
      </c>
      <c r="L2208" s="30" t="s">
        <v>187</v>
      </c>
      <c r="M2208" s="68">
        <v>5</v>
      </c>
      <c r="N2208" s="181" t="str">
        <f t="shared" si="35"/>
        <v>нет</v>
      </c>
      <c r="O2208" s="23"/>
      <c r="P2208" s="23"/>
      <c r="Q2208" s="106"/>
      <c r="R2208" s="37">
        <v>466</v>
      </c>
      <c r="S2208" s="38" t="s">
        <v>878</v>
      </c>
      <c r="T2208" s="37">
        <v>1552</v>
      </c>
      <c r="U2208" s="39" t="s">
        <v>1902</v>
      </c>
      <c r="V2208" s="89" t="s">
        <v>189</v>
      </c>
      <c r="W2208" s="89" t="s">
        <v>173</v>
      </c>
      <c r="X2208" s="106" t="s">
        <v>297</v>
      </c>
      <c r="Y2208" s="107" t="s">
        <v>12</v>
      </c>
      <c r="Z2208" s="67">
        <f>IF(База_КР_КК[[#This Row],[Таб.номер резервиста]]="-","-",IF(OR(База_КР_КК[[#This Row],[Уровень КК]]=2,База_КР_КК[[#This Row],[Уровень КК]]=3),IF(COUNTIFS($U$2:$U2208,$U2208,$F$2:$F2208,$F2208)=1,1,0),IF(COUNTIFS($U$2:$U2208,$U2208,$L$2:$L2208,$L2208)=1,1,0)))</f>
        <v>1</v>
      </c>
      <c r="AA22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8" s="106"/>
      <c r="AC2208" s="51"/>
      <c r="AD2208" s="106" t="s">
        <v>13</v>
      </c>
      <c r="AE2208" s="38" t="s">
        <v>345</v>
      </c>
    </row>
    <row r="2209" spans="1:31" ht="18" customHeight="1" x14ac:dyDescent="0.25">
      <c r="A22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09" s="79">
        <v>3</v>
      </c>
      <c r="C2209" s="23">
        <v>44343</v>
      </c>
      <c r="D2209" s="67">
        <f>IF(COUNTIF($G$2:$G2209,$G2209)=1,1,0)</f>
        <v>0</v>
      </c>
      <c r="E2209" s="67" t="str">
        <f>IFERROR(VLOOKUP(База_КР_КК[[#This Row],[ИД штатной должности (S)]],'уровень защищенности'!$B$7:$F$1095,5,0),"не защищена")</f>
        <v>высокий</v>
      </c>
      <c r="F2209" s="68">
        <v>500726</v>
      </c>
      <c r="G2209" s="74" t="s">
        <v>2639</v>
      </c>
      <c r="H2209" s="181">
        <f>INDEX('Списки данных'!$D$2:$D$1048576,MATCH(База_КР_КК[[#This Row],[Структурное подразделение]],'Списки данных'!$C$2:$C$1048576,0))</f>
        <v>13</v>
      </c>
      <c r="I2209" s="80" t="s">
        <v>173</v>
      </c>
      <c r="J2209" s="80" t="s">
        <v>212</v>
      </c>
      <c r="K2209" s="80" t="s">
        <v>21</v>
      </c>
      <c r="L2209" s="30" t="s">
        <v>187</v>
      </c>
      <c r="M2209" s="68">
        <v>5</v>
      </c>
      <c r="N2209" s="181" t="str">
        <f t="shared" si="35"/>
        <v>нет</v>
      </c>
      <c r="O2209" s="23"/>
      <c r="P2209" s="23"/>
      <c r="Q2209" s="106"/>
      <c r="R2209" s="37">
        <v>466</v>
      </c>
      <c r="S2209" s="38" t="s">
        <v>878</v>
      </c>
      <c r="T2209" s="37">
        <v>1553</v>
      </c>
      <c r="U2209" s="39" t="s">
        <v>1903</v>
      </c>
      <c r="V2209" s="69" t="s">
        <v>189</v>
      </c>
      <c r="W2209" s="89" t="s">
        <v>173</v>
      </c>
      <c r="X2209" s="106" t="s">
        <v>297</v>
      </c>
      <c r="Y2209" s="107" t="s">
        <v>12</v>
      </c>
      <c r="Z2209" s="67">
        <f>IF(База_КР_КК[[#This Row],[Таб.номер резервиста]]="-","-",IF(OR(База_КР_КК[[#This Row],[Уровень КК]]=2,База_КР_КК[[#This Row],[Уровень КК]]=3),IF(COUNTIFS($U$2:$U2209,$U2209,$F$2:$F2209,$F2209)=1,1,0),IF(COUNTIFS($U$2:$U2209,$U2209,$L$2:$L2209,$L2209)=1,1,0)))</f>
        <v>1</v>
      </c>
      <c r="AA22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09" s="106"/>
      <c r="AC2209" s="51"/>
      <c r="AD2209" s="106" t="s">
        <v>17</v>
      </c>
      <c r="AE2209" s="38" t="s">
        <v>345</v>
      </c>
    </row>
    <row r="2210" spans="1:31" ht="18" customHeight="1" x14ac:dyDescent="0.25">
      <c r="A22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6</v>
      </c>
      <c r="B2210" s="79">
        <v>3</v>
      </c>
      <c r="C2210" s="23">
        <v>43425</v>
      </c>
      <c r="D2210" s="67">
        <f>IF(COUNTIF($G$2:$G2210,$G2210)=1,1,0)</f>
        <v>0</v>
      </c>
      <c r="E2210" s="67" t="str">
        <f>IFERROR(VLOOKUP(База_КР_КК[[#This Row],[ИД штатной должности (S)]],'уровень защищенности'!$B$7:$F$1095,5,0),"не защищена")</f>
        <v>высокий</v>
      </c>
      <c r="F2210" s="68">
        <v>500726</v>
      </c>
      <c r="G2210" s="74" t="s">
        <v>2639</v>
      </c>
      <c r="H2210" s="181">
        <f>INDEX('Списки данных'!$D$2:$D$1048576,MATCH(База_КР_КК[[#This Row],[Структурное подразделение]],'Списки данных'!$C$2:$C$1048576,0))</f>
        <v>13</v>
      </c>
      <c r="I2210" s="80" t="s">
        <v>173</v>
      </c>
      <c r="J2210" s="80" t="s">
        <v>212</v>
      </c>
      <c r="K2210" s="80" t="s">
        <v>21</v>
      </c>
      <c r="L2210" s="30" t="s">
        <v>187</v>
      </c>
      <c r="M2210" s="68">
        <v>5</v>
      </c>
      <c r="N2210" s="181" t="str">
        <f t="shared" si="35"/>
        <v>нет</v>
      </c>
      <c r="O2210" s="23"/>
      <c r="P2210" s="23"/>
      <c r="Q2210" s="106"/>
      <c r="R2210" s="37">
        <v>466</v>
      </c>
      <c r="S2210" s="38" t="s">
        <v>878</v>
      </c>
      <c r="T2210" s="37">
        <v>1510</v>
      </c>
      <c r="U2210" s="39" t="s">
        <v>1873</v>
      </c>
      <c r="V2210" s="89" t="s">
        <v>179</v>
      </c>
      <c r="W2210" s="89" t="s">
        <v>128</v>
      </c>
      <c r="X2210" s="106" t="s">
        <v>297</v>
      </c>
      <c r="Y2210" s="107" t="s">
        <v>14</v>
      </c>
      <c r="Z2210" s="67">
        <f>IF(База_КР_КК[[#This Row],[Таб.номер резервиста]]="-","-",IF(OR(База_КР_КК[[#This Row],[Уровень КК]]=2,База_КР_КК[[#This Row],[Уровень КК]]=3),IF(COUNTIFS($U$2:$U2210,$U2210,$F$2:$F2210,$F2210)=1,1,0),IF(COUNTIFS($U$2:$U2210,$U2210,$L$2:$L2210,$L2210)=1,1,0)))</f>
        <v>1</v>
      </c>
      <c r="AA22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0" s="106" t="s">
        <v>24</v>
      </c>
      <c r="AC2210" s="51">
        <v>43871</v>
      </c>
      <c r="AD2210" s="106" t="s">
        <v>15</v>
      </c>
      <c r="AE2210" s="41" t="s">
        <v>349</v>
      </c>
    </row>
    <row r="2211" spans="1:31" ht="18" customHeight="1" x14ac:dyDescent="0.25">
      <c r="A22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11" s="79">
        <v>3</v>
      </c>
      <c r="C2211" s="23">
        <v>44112</v>
      </c>
      <c r="D2211" s="67">
        <f>IF(COUNTIF($G$2:$G2211,$G2211)=1,1,0)</f>
        <v>1</v>
      </c>
      <c r="E2211" s="67" t="str">
        <f>IFERROR(VLOOKUP(База_КР_КК[[#This Row],[ИД штатной должности (S)]],'уровень защищенности'!$B$7:$F$1095,5,0),"не защищена")</f>
        <v>средний</v>
      </c>
      <c r="F2211" s="68">
        <v>500004</v>
      </c>
      <c r="G2211" s="74" t="s">
        <v>2640</v>
      </c>
      <c r="H2211" s="181">
        <f>INDEX('Списки данных'!$D$2:$D$1048576,MATCH(База_КР_КК[[#This Row],[Структурное подразделение]],'Списки данных'!$C$2:$C$1048576,0))</f>
        <v>41</v>
      </c>
      <c r="I2211" s="80" t="s">
        <v>177</v>
      </c>
      <c r="J2211" s="80" t="s">
        <v>222</v>
      </c>
      <c r="K2211" s="80" t="s">
        <v>21</v>
      </c>
      <c r="L2211" s="30" t="s">
        <v>183</v>
      </c>
      <c r="M2211" s="68">
        <v>5</v>
      </c>
      <c r="N2211" s="181" t="str">
        <f t="shared" si="35"/>
        <v>нет</v>
      </c>
      <c r="O2211" s="23"/>
      <c r="P2211" s="23"/>
      <c r="Q2211" s="106"/>
      <c r="R2211" s="37">
        <v>467</v>
      </c>
      <c r="S2211" s="39" t="s">
        <v>879</v>
      </c>
      <c r="T2211" s="37">
        <v>1554</v>
      </c>
      <c r="U2211" s="38" t="s">
        <v>1845</v>
      </c>
      <c r="V2211" s="69" t="s">
        <v>189</v>
      </c>
      <c r="W2211" s="89" t="s">
        <v>177</v>
      </c>
      <c r="X2211" s="106" t="s">
        <v>297</v>
      </c>
      <c r="Y2211" s="107" t="s">
        <v>12</v>
      </c>
      <c r="Z2211" s="67">
        <f>IF(База_КР_КК[[#This Row],[Таб.номер резервиста]]="-","-",IF(OR(База_КР_КК[[#This Row],[Уровень КК]]=2,База_КР_КК[[#This Row],[Уровень КК]]=3),IF(COUNTIFS($U$2:$U2211,$U2211,$F$2:$F2211,$F2211)=1,1,0),IF(COUNTIFS($U$2:$U2211,$U2211,$L$2:$L2211,$L2211)=1,1,0)))</f>
        <v>1</v>
      </c>
      <c r="AA22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1" s="106"/>
      <c r="AC2211" s="51"/>
      <c r="AD2211" s="106" t="s">
        <v>17</v>
      </c>
      <c r="AE2211" s="38" t="s">
        <v>359</v>
      </c>
    </row>
    <row r="2212" spans="1:31" ht="18" customHeight="1" x14ac:dyDescent="0.25">
      <c r="A22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12" s="79">
        <v>3</v>
      </c>
      <c r="C2212" s="23">
        <v>44112</v>
      </c>
      <c r="D2212" s="67">
        <f>IF(COUNTIF($G$2:$G2212,$G2212)=1,1,0)</f>
        <v>0</v>
      </c>
      <c r="E2212" s="67" t="str">
        <f>IFERROR(VLOOKUP(База_КР_КК[[#This Row],[ИД штатной должности (S)]],'уровень защищенности'!$B$7:$F$1095,5,0),"не защищена")</f>
        <v>средний</v>
      </c>
      <c r="F2212" s="68">
        <v>500004</v>
      </c>
      <c r="G2212" s="74" t="s">
        <v>2640</v>
      </c>
      <c r="H2212" s="181">
        <f>INDEX('Списки данных'!$D$2:$D$1048576,MATCH(База_КР_КК[[#This Row],[Структурное подразделение]],'Списки данных'!$C$2:$C$1048576,0))</f>
        <v>41</v>
      </c>
      <c r="I2212" s="80" t="s">
        <v>177</v>
      </c>
      <c r="J2212" s="80" t="s">
        <v>222</v>
      </c>
      <c r="K2212" s="80" t="s">
        <v>21</v>
      </c>
      <c r="L2212" s="30" t="s">
        <v>183</v>
      </c>
      <c r="M2212" s="68">
        <v>5</v>
      </c>
      <c r="N2212" s="181" t="str">
        <f t="shared" si="35"/>
        <v>нет</v>
      </c>
      <c r="O2212" s="23"/>
      <c r="P2212" s="23"/>
      <c r="Q2212" s="106"/>
      <c r="R2212" s="37">
        <v>467</v>
      </c>
      <c r="S2212" s="39" t="s">
        <v>879</v>
      </c>
      <c r="T2212" s="37">
        <v>1555</v>
      </c>
      <c r="U2212" s="38" t="s">
        <v>1904</v>
      </c>
      <c r="V2212" s="69" t="s">
        <v>189</v>
      </c>
      <c r="W2212" s="89" t="s">
        <v>177</v>
      </c>
      <c r="X2212" s="106" t="s">
        <v>297</v>
      </c>
      <c r="Y2212" s="107" t="s">
        <v>12</v>
      </c>
      <c r="Z2212" s="67">
        <f>IF(База_КР_КК[[#This Row],[Таб.номер резервиста]]="-","-",IF(OR(База_КР_КК[[#This Row],[Уровень КК]]=2,База_КР_КК[[#This Row],[Уровень КК]]=3),IF(COUNTIFS($U$2:$U2212,$U2212,$F$2:$F2212,$F2212)=1,1,0),IF(COUNTIFS($U$2:$U2212,$U2212,$L$2:$L2212,$L2212)=1,1,0)))</f>
        <v>1</v>
      </c>
      <c r="AA22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2" s="106"/>
      <c r="AC2212" s="51"/>
      <c r="AD2212" s="106" t="s">
        <v>17</v>
      </c>
      <c r="AE2212" s="38" t="s">
        <v>359</v>
      </c>
    </row>
    <row r="2213" spans="1:31" ht="18" customHeight="1" x14ac:dyDescent="0.25">
      <c r="A22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13" s="79">
        <v>4</v>
      </c>
      <c r="C2213" s="23">
        <v>44588</v>
      </c>
      <c r="D2213" s="67">
        <f>IF(COUNTIF($G$2:$G2213,$G2213)=1,1,0)</f>
        <v>1</v>
      </c>
      <c r="E2213" s="67" t="str">
        <f>IFERROR(VLOOKUP(База_КР_КК[[#This Row],[ИД штатной должности (S)]],'уровень защищенности'!$B$7:$F$1095,5,0),"не защищена")</f>
        <v>высокий</v>
      </c>
      <c r="F2213" s="68">
        <v>500122</v>
      </c>
      <c r="G2213" s="74" t="s">
        <v>2641</v>
      </c>
      <c r="H2213" s="181">
        <f>INDEX('Списки данных'!$D$2:$D$1048576,MATCH(База_КР_КК[[#This Row],[Структурное подразделение]],'Списки данных'!$C$2:$C$1048576,0))</f>
        <v>31</v>
      </c>
      <c r="I2213" s="80" t="s">
        <v>156</v>
      </c>
      <c r="J2213" s="80" t="s">
        <v>223</v>
      </c>
      <c r="K2213" s="80" t="s">
        <v>21</v>
      </c>
      <c r="L2213" s="30" t="s">
        <v>192</v>
      </c>
      <c r="M2213" s="68">
        <v>7</v>
      </c>
      <c r="N2213" s="181" t="str">
        <f t="shared" si="35"/>
        <v>нет</v>
      </c>
      <c r="O2213" s="23"/>
      <c r="P2213" s="23"/>
      <c r="Q2213" s="106"/>
      <c r="R2213" s="37">
        <v>468</v>
      </c>
      <c r="S2213" s="39" t="s">
        <v>880</v>
      </c>
      <c r="T2213" s="37">
        <v>1556</v>
      </c>
      <c r="U2213" s="38" t="s">
        <v>1905</v>
      </c>
      <c r="V2213" s="69" t="s">
        <v>272</v>
      </c>
      <c r="W2213" s="89" t="s">
        <v>156</v>
      </c>
      <c r="X2213" s="106" t="s">
        <v>297</v>
      </c>
      <c r="Y2213" s="107" t="s">
        <v>12</v>
      </c>
      <c r="Z2213" s="67">
        <f>IF(База_КР_КК[[#This Row],[Таб.номер резервиста]]="-","-",IF(OR(База_КР_КК[[#This Row],[Уровень КК]]=2,База_КР_КК[[#This Row],[Уровень КК]]=3),IF(COUNTIFS($U$2:$U2213,$U2213,$F$2:$F2213,$F2213)=1,1,0),IF(COUNTIFS($U$2:$U2213,$U2213,$L$2:$L2213,$L2213)=1,1,0)))</f>
        <v>1</v>
      </c>
      <c r="AA22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3" s="106"/>
      <c r="AC2213" s="51"/>
      <c r="AD2213" s="106" t="s">
        <v>15</v>
      </c>
      <c r="AE2213" s="38" t="s">
        <v>360</v>
      </c>
    </row>
    <row r="2214" spans="1:31" ht="18" customHeight="1" x14ac:dyDescent="0.25">
      <c r="A22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14" s="79">
        <v>4</v>
      </c>
      <c r="C2214" s="23">
        <v>44588</v>
      </c>
      <c r="D2214" s="67">
        <f>IF(COUNTIF($G$2:$G2214,$G2214)=1,1,0)</f>
        <v>0</v>
      </c>
      <c r="E2214" s="67" t="str">
        <f>IFERROR(VLOOKUP(База_КР_КК[[#This Row],[ИД штатной должности (S)]],'уровень защищенности'!$B$7:$F$1095,5,0),"не защищена")</f>
        <v>высокий</v>
      </c>
      <c r="F2214" s="68">
        <v>500122</v>
      </c>
      <c r="G2214" s="74" t="s">
        <v>2641</v>
      </c>
      <c r="H2214" s="181">
        <f>INDEX('Списки данных'!$D$2:$D$1048576,MATCH(База_КР_КК[[#This Row],[Структурное подразделение]],'Списки данных'!$C$2:$C$1048576,0))</f>
        <v>31</v>
      </c>
      <c r="I2214" s="80" t="s">
        <v>156</v>
      </c>
      <c r="J2214" s="80" t="s">
        <v>223</v>
      </c>
      <c r="K2214" s="80" t="s">
        <v>21</v>
      </c>
      <c r="L2214" s="30" t="s">
        <v>192</v>
      </c>
      <c r="M2214" s="68">
        <v>7</v>
      </c>
      <c r="N2214" s="181" t="str">
        <f t="shared" si="35"/>
        <v>нет</v>
      </c>
      <c r="O2214" s="23"/>
      <c r="P2214" s="23"/>
      <c r="Q2214" s="106"/>
      <c r="R2214" s="37">
        <v>468</v>
      </c>
      <c r="S2214" s="39" t="s">
        <v>880</v>
      </c>
      <c r="T2214" s="37">
        <v>1557</v>
      </c>
      <c r="U2214" s="38" t="s">
        <v>1906</v>
      </c>
      <c r="V2214" s="69" t="s">
        <v>272</v>
      </c>
      <c r="W2214" s="89" t="s">
        <v>156</v>
      </c>
      <c r="X2214" s="106" t="s">
        <v>295</v>
      </c>
      <c r="Y2214" s="107" t="s">
        <v>12</v>
      </c>
      <c r="Z2214" s="67">
        <f>IF(База_КР_КК[[#This Row],[Таб.номер резервиста]]="-","-",IF(OR(База_КР_КК[[#This Row],[Уровень КК]]=2,База_КР_КК[[#This Row],[Уровень КК]]=3),IF(COUNTIFS($U$2:$U2214,$U2214,$F$2:$F2214,$F2214)=1,1,0),IF(COUNTIFS($U$2:$U2214,$U2214,$L$2:$L2214,$L2214)=1,1,0)))</f>
        <v>1</v>
      </c>
      <c r="AA22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4" s="106"/>
      <c r="AC2214" s="51"/>
      <c r="AD2214" s="106" t="s">
        <v>15</v>
      </c>
      <c r="AE2214" s="38" t="s">
        <v>360</v>
      </c>
    </row>
    <row r="2215" spans="1:31" ht="18" customHeight="1" x14ac:dyDescent="0.25">
      <c r="A22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15" s="79">
        <v>4</v>
      </c>
      <c r="C2215" s="23">
        <v>44557</v>
      </c>
      <c r="D2215" s="67">
        <f>IF(COUNTIF($G$2:$G2215,$G2215)=1,1,0)</f>
        <v>1</v>
      </c>
      <c r="E2215" s="67" t="str">
        <f>IFERROR(VLOOKUP(База_КР_КК[[#This Row],[ИД штатной должности (S)]],'уровень защищенности'!$B$7:$F$1095,5,0),"не защищена")</f>
        <v>низкий</v>
      </c>
      <c r="F2215" s="68">
        <v>500138</v>
      </c>
      <c r="G2215" s="74" t="s">
        <v>2642</v>
      </c>
      <c r="H2215" s="181">
        <f>INDEX('Списки данных'!$D$2:$D$1048576,MATCH(База_КР_КК[[#This Row],[Структурное подразделение]],'Списки данных'!$C$2:$C$1048576,0))</f>
        <v>33</v>
      </c>
      <c r="I2215" s="80" t="s">
        <v>144</v>
      </c>
      <c r="J2215" s="80" t="s">
        <v>224</v>
      </c>
      <c r="K2215" s="80" t="s">
        <v>21</v>
      </c>
      <c r="L2215" s="30" t="s">
        <v>187</v>
      </c>
      <c r="M2215" s="68">
        <v>6</v>
      </c>
      <c r="N2215" s="181" t="str">
        <f t="shared" si="35"/>
        <v>нет</v>
      </c>
      <c r="O2215" s="23"/>
      <c r="P2215" s="23"/>
      <c r="Q2215" s="106"/>
      <c r="R2215" s="37">
        <v>469</v>
      </c>
      <c r="S2215" s="39" t="s">
        <v>881</v>
      </c>
      <c r="T2215" s="37">
        <v>1558</v>
      </c>
      <c r="U2215" s="39" t="s">
        <v>1853</v>
      </c>
      <c r="V2215" s="69" t="s">
        <v>272</v>
      </c>
      <c r="W2215" s="89" t="s">
        <v>144</v>
      </c>
      <c r="X2215" s="106" t="s">
        <v>296</v>
      </c>
      <c r="Y2215" s="107" t="s">
        <v>12</v>
      </c>
      <c r="Z2215" s="67">
        <f>IF(База_КР_КК[[#This Row],[Таб.номер резервиста]]="-","-",IF(OR(База_КР_КК[[#This Row],[Уровень КК]]=2,База_КР_КК[[#This Row],[Уровень КК]]=3),IF(COUNTIFS($U$2:$U2215,$U2215,$F$2:$F2215,$F2215)=1,1,0),IF(COUNTIFS($U$2:$U2215,$U2215,$L$2:$L2215,$L2215)=1,1,0)))</f>
        <v>1</v>
      </c>
      <c r="AA22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5" s="106"/>
      <c r="AC2215" s="51"/>
      <c r="AD2215" s="106" t="s">
        <v>15</v>
      </c>
      <c r="AE2215" s="38" t="s">
        <v>361</v>
      </c>
    </row>
    <row r="2216" spans="1:31" ht="18" customHeight="1" x14ac:dyDescent="0.25">
      <c r="A22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16" s="79">
        <v>4</v>
      </c>
      <c r="C2216" s="23">
        <v>44922</v>
      </c>
      <c r="D2216" s="67">
        <f>IF(COUNTIF($G$2:$G2216,$G2216)=1,1,0)</f>
        <v>1</v>
      </c>
      <c r="E2216" s="67" t="str">
        <f>IFERROR(VLOOKUP(База_КР_КК[[#This Row],[ИД штатной должности (S)]],'уровень защищенности'!$B$7:$F$1095,5,0),"не защищена")</f>
        <v>низкий</v>
      </c>
      <c r="F2216" s="68">
        <v>500139</v>
      </c>
      <c r="G2216" s="74" t="s">
        <v>2643</v>
      </c>
      <c r="H2216" s="181">
        <f>INDEX('Списки данных'!$D$2:$D$1048576,MATCH(База_КР_КК[[#This Row],[Структурное подразделение]],'Списки данных'!$C$2:$C$1048576,0))</f>
        <v>33</v>
      </c>
      <c r="I2216" s="80" t="s">
        <v>144</v>
      </c>
      <c r="J2216" s="80" t="s">
        <v>21</v>
      </c>
      <c r="K2216" s="80" t="s">
        <v>21</v>
      </c>
      <c r="L2216" s="30" t="s">
        <v>189</v>
      </c>
      <c r="M2216" s="68">
        <v>6</v>
      </c>
      <c r="N2216" s="181" t="str">
        <f t="shared" si="35"/>
        <v>нет</v>
      </c>
      <c r="O2216" s="23"/>
      <c r="P2216" s="23"/>
      <c r="Q2216" s="106"/>
      <c r="R2216" s="37">
        <v>470</v>
      </c>
      <c r="S2216" s="39" t="s">
        <v>882</v>
      </c>
      <c r="T2216" s="37">
        <v>1559</v>
      </c>
      <c r="U2216" s="38" t="s">
        <v>1907</v>
      </c>
      <c r="V2216" s="69" t="s">
        <v>272</v>
      </c>
      <c r="W2216" s="89" t="s">
        <v>144</v>
      </c>
      <c r="X2216" s="106" t="s">
        <v>296</v>
      </c>
      <c r="Y2216" s="107" t="s">
        <v>12</v>
      </c>
      <c r="Z2216" s="67">
        <f>IF(База_КР_КК[[#This Row],[Таб.номер резервиста]]="-","-",IF(OR(База_КР_КК[[#This Row],[Уровень КК]]=2,База_КР_КК[[#This Row],[Уровень КК]]=3),IF(COUNTIFS($U$2:$U2216,$U2216,$F$2:$F2216,$F2216)=1,1,0),IF(COUNTIFS($U$2:$U2216,$U2216,$L$2:$L2216,$L2216)=1,1,0)))</f>
        <v>1</v>
      </c>
      <c r="AA22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6" s="106"/>
      <c r="AC2216" s="51"/>
      <c r="AD2216" s="106" t="s">
        <v>15</v>
      </c>
      <c r="AE2216" s="38" t="s">
        <v>362</v>
      </c>
    </row>
    <row r="2217" spans="1:31" ht="18" customHeight="1" x14ac:dyDescent="0.25">
      <c r="A22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17" s="79">
        <v>4</v>
      </c>
      <c r="C2217" s="23">
        <v>44922</v>
      </c>
      <c r="D2217" s="67">
        <f>IF(COUNTIF($G$2:$G2217,$G2217)=1,1,0)</f>
        <v>0</v>
      </c>
      <c r="E2217" s="67" t="str">
        <f>IFERROR(VLOOKUP(База_КР_КК[[#This Row],[ИД штатной должности (S)]],'уровень защищенности'!$B$7:$F$1095,5,0),"не защищена")</f>
        <v>низкий</v>
      </c>
      <c r="F2217" s="68">
        <v>500139</v>
      </c>
      <c r="G2217" s="74" t="s">
        <v>2643</v>
      </c>
      <c r="H2217" s="181">
        <f>INDEX('Списки данных'!$D$2:$D$1048576,MATCH(База_КР_КК[[#This Row],[Структурное подразделение]],'Списки данных'!$C$2:$C$1048576,0))</f>
        <v>33</v>
      </c>
      <c r="I2217" s="80" t="s">
        <v>144</v>
      </c>
      <c r="J2217" s="80" t="s">
        <v>21</v>
      </c>
      <c r="K2217" s="80" t="s">
        <v>21</v>
      </c>
      <c r="L2217" s="30" t="s">
        <v>189</v>
      </c>
      <c r="M2217" s="68">
        <v>6</v>
      </c>
      <c r="N2217" s="181" t="str">
        <f t="shared" si="35"/>
        <v>нет</v>
      </c>
      <c r="O2217" s="23"/>
      <c r="P2217" s="23"/>
      <c r="Q2217" s="106"/>
      <c r="R2217" s="37">
        <v>470</v>
      </c>
      <c r="S2217" s="39" t="s">
        <v>882</v>
      </c>
      <c r="T2217" s="37">
        <v>567</v>
      </c>
      <c r="U2217" s="38" t="s">
        <v>976</v>
      </c>
      <c r="V2217" s="89" t="s">
        <v>192</v>
      </c>
      <c r="W2217" s="89" t="s">
        <v>144</v>
      </c>
      <c r="X2217" s="106" t="s">
        <v>296</v>
      </c>
      <c r="Y2217" s="107" t="s">
        <v>12</v>
      </c>
      <c r="Z2217" s="67">
        <f>IF(База_КР_КК[[#This Row],[Таб.номер резервиста]]="-","-",IF(OR(База_КР_КК[[#This Row],[Уровень КК]]=2,База_КР_КК[[#This Row],[Уровень КК]]=3),IF(COUNTIFS($U$2:$U2217,$U2217,$F$2:$F2217,$F2217)=1,1,0),IF(COUNTIFS($U$2:$U2217,$U2217,$L$2:$L2217,$L2217)=1,1,0)))</f>
        <v>1</v>
      </c>
      <c r="AA22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7" s="106"/>
      <c r="AC2217" s="51"/>
      <c r="AD2217" s="106" t="s">
        <v>15</v>
      </c>
      <c r="AE2217" s="38" t="s">
        <v>362</v>
      </c>
    </row>
    <row r="2218" spans="1:31" ht="18" customHeight="1" x14ac:dyDescent="0.25">
      <c r="A22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18" s="79">
        <v>4</v>
      </c>
      <c r="C2218" s="23">
        <v>44557</v>
      </c>
      <c r="D2218" s="67">
        <f>IF(COUNTIF($G$2:$G2218,$G2218)=1,1,0)</f>
        <v>0</v>
      </c>
      <c r="E2218" s="67" t="str">
        <f>IFERROR(VLOOKUP(База_КР_КК[[#This Row],[ИД штатной должности (S)]],'уровень защищенности'!$B$7:$F$1095,5,0),"не защищена")</f>
        <v>низкий</v>
      </c>
      <c r="F2218" s="68">
        <v>500139</v>
      </c>
      <c r="G2218" s="74" t="s">
        <v>2643</v>
      </c>
      <c r="H2218" s="181">
        <f>INDEX('Списки данных'!$D$2:$D$1048576,MATCH(База_КР_КК[[#This Row],[Структурное подразделение]],'Списки данных'!$C$2:$C$1048576,0))</f>
        <v>33</v>
      </c>
      <c r="I2218" s="80" t="s">
        <v>144</v>
      </c>
      <c r="J2218" s="80" t="s">
        <v>21</v>
      </c>
      <c r="K2218" s="80" t="s">
        <v>21</v>
      </c>
      <c r="L2218" s="30" t="s">
        <v>189</v>
      </c>
      <c r="M2218" s="68">
        <v>6</v>
      </c>
      <c r="N2218" s="181" t="str">
        <f t="shared" si="35"/>
        <v>нет</v>
      </c>
      <c r="O2218" s="23"/>
      <c r="P2218" s="23"/>
      <c r="Q2218" s="106"/>
      <c r="R2218" s="37">
        <v>470</v>
      </c>
      <c r="S2218" s="39" t="s">
        <v>882</v>
      </c>
      <c r="T2218" s="37">
        <v>1560</v>
      </c>
      <c r="U2218" s="39" t="s">
        <v>1908</v>
      </c>
      <c r="V2218" s="69" t="s">
        <v>16</v>
      </c>
      <c r="W2218" s="89" t="s">
        <v>275</v>
      </c>
      <c r="X2218" s="106" t="s">
        <v>296</v>
      </c>
      <c r="Y2218" s="107" t="s">
        <v>18</v>
      </c>
      <c r="Z2218" s="67">
        <f>IF(База_КР_КК[[#This Row],[Таб.номер резервиста]]="-","-",IF(OR(База_КР_КК[[#This Row],[Уровень КК]]=2,База_КР_КК[[#This Row],[Уровень КК]]=3),IF(COUNTIFS($U$2:$U2218,$U2218,$F$2:$F2218,$F2218)=1,1,0),IF(COUNTIFS($U$2:$U2218,$U2218,$L$2:$L2218,$L2218)=1,1,0)))</f>
        <v>1</v>
      </c>
      <c r="AA22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8" s="106" t="s">
        <v>33</v>
      </c>
      <c r="AC2218" s="51">
        <v>44922</v>
      </c>
      <c r="AD2218" s="106" t="s">
        <v>31</v>
      </c>
      <c r="AE2218" s="38" t="s">
        <v>362</v>
      </c>
    </row>
    <row r="2219" spans="1:31" ht="18" customHeight="1" x14ac:dyDescent="0.25">
      <c r="A22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19" s="79">
        <v>4</v>
      </c>
      <c r="C2219" s="23">
        <v>44557</v>
      </c>
      <c r="D2219" s="67">
        <f>IF(COUNTIF($G$2:$G2219,$G2219)=1,1,0)</f>
        <v>1</v>
      </c>
      <c r="E2219" s="67" t="str">
        <f>IFERROR(VLOOKUP(База_КР_КК[[#This Row],[ИД штатной должности (S)]],'уровень защищенности'!$B$7:$F$1095,5,0),"не защищена")</f>
        <v>высокий</v>
      </c>
      <c r="F2219" s="68">
        <v>500140</v>
      </c>
      <c r="G2219" s="74" t="s">
        <v>2644</v>
      </c>
      <c r="H2219" s="181">
        <f>INDEX('Списки данных'!$D$2:$D$1048576,MATCH(База_КР_КК[[#This Row],[Структурное подразделение]],'Списки данных'!$C$2:$C$1048576,0))</f>
        <v>33</v>
      </c>
      <c r="I2219" s="80" t="s">
        <v>144</v>
      </c>
      <c r="J2219" s="80" t="s">
        <v>224</v>
      </c>
      <c r="K2219" s="80" t="s">
        <v>21</v>
      </c>
      <c r="L2219" s="30" t="s">
        <v>198</v>
      </c>
      <c r="M2219" s="68">
        <v>6</v>
      </c>
      <c r="N2219" s="181" t="str">
        <f t="shared" si="35"/>
        <v>нет</v>
      </c>
      <c r="O2219" s="23"/>
      <c r="P2219" s="23"/>
      <c r="Q2219" s="106"/>
      <c r="R2219" s="37">
        <v>471</v>
      </c>
      <c r="S2219" s="39" t="s">
        <v>883</v>
      </c>
      <c r="T2219" s="37">
        <v>585</v>
      </c>
      <c r="U2219" s="39" t="s">
        <v>994</v>
      </c>
      <c r="V2219" s="69" t="s">
        <v>192</v>
      </c>
      <c r="W2219" s="89" t="s">
        <v>144</v>
      </c>
      <c r="X2219" s="106" t="s">
        <v>295</v>
      </c>
      <c r="Y2219" s="107" t="s">
        <v>12</v>
      </c>
      <c r="Z2219" s="67">
        <f>IF(База_КР_КК[[#This Row],[Таб.номер резервиста]]="-","-",IF(OR(База_КР_КК[[#This Row],[Уровень КК]]=2,База_КР_КК[[#This Row],[Уровень КК]]=3),IF(COUNTIFS($U$2:$U2219,$U2219,$F$2:$F2219,$F2219)=1,1,0),IF(COUNTIFS($U$2:$U2219,$U2219,$L$2:$L2219,$L2219)=1,1,0)))</f>
        <v>1</v>
      </c>
      <c r="AA22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19" s="106"/>
      <c r="AC2219" s="51"/>
      <c r="AD2219" s="106" t="s">
        <v>15</v>
      </c>
      <c r="AE2219" s="38" t="s">
        <v>361</v>
      </c>
    </row>
    <row r="2220" spans="1:31" ht="18" customHeight="1" x14ac:dyDescent="0.25">
      <c r="A22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0" s="79">
        <v>4</v>
      </c>
      <c r="C2220" s="23">
        <v>44557</v>
      </c>
      <c r="D2220" s="67">
        <f>IF(COUNTIF($G$2:$G2220,$G2220)=1,1,0)</f>
        <v>1</v>
      </c>
      <c r="E2220" s="67" t="str">
        <f>IFERROR(VLOOKUP(База_КР_КК[[#This Row],[ИД штатной должности (S)]],'уровень защищенности'!$B$7:$F$1095,5,0),"не защищена")</f>
        <v>средний</v>
      </c>
      <c r="F2220" s="68">
        <v>500141</v>
      </c>
      <c r="G2220" s="74" t="s">
        <v>2645</v>
      </c>
      <c r="H2220" s="181">
        <f>INDEX('Списки данных'!$D$2:$D$1048576,MATCH(База_КР_КК[[#This Row],[Структурное подразделение]],'Списки данных'!$C$2:$C$1048576,0))</f>
        <v>33</v>
      </c>
      <c r="I2220" s="80" t="s">
        <v>144</v>
      </c>
      <c r="J2220" s="80" t="s">
        <v>224</v>
      </c>
      <c r="K2220" s="80" t="s">
        <v>21</v>
      </c>
      <c r="L2220" s="30" t="s">
        <v>198</v>
      </c>
      <c r="M2220" s="68">
        <v>6</v>
      </c>
      <c r="N2220" s="181" t="str">
        <f t="shared" si="35"/>
        <v>нет</v>
      </c>
      <c r="O2220" s="23"/>
      <c r="P2220" s="23"/>
      <c r="Q2220" s="106"/>
      <c r="R2220" s="37">
        <v>472</v>
      </c>
      <c r="S2220" s="39" t="s">
        <v>884</v>
      </c>
      <c r="T2220" s="37">
        <v>1561</v>
      </c>
      <c r="U2220" s="39" t="s">
        <v>1909</v>
      </c>
      <c r="V2220" s="69" t="s">
        <v>16</v>
      </c>
      <c r="W2220" s="89" t="s">
        <v>144</v>
      </c>
      <c r="X2220" s="106" t="s">
        <v>297</v>
      </c>
      <c r="Y2220" s="107" t="s">
        <v>12</v>
      </c>
      <c r="Z2220" s="67">
        <f>IF(База_КР_КК[[#This Row],[Таб.номер резервиста]]="-","-",IF(OR(База_КР_КК[[#This Row],[Уровень КК]]=2,База_КР_КК[[#This Row],[Уровень КК]]=3),IF(COUNTIFS($U$2:$U2220,$U2220,$F$2:$F2220,$F2220)=1,1,0),IF(COUNTIFS($U$2:$U2220,$U2220,$L$2:$L2220,$L2220)=1,1,0)))</f>
        <v>1</v>
      </c>
      <c r="AA22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0" s="106"/>
      <c r="AC2220" s="51"/>
      <c r="AD2220" s="106" t="s">
        <v>15</v>
      </c>
      <c r="AE2220" s="38" t="s">
        <v>361</v>
      </c>
    </row>
    <row r="2221" spans="1:31" ht="18" customHeight="1" x14ac:dyDescent="0.25">
      <c r="A22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1" s="79">
        <v>4</v>
      </c>
      <c r="C2221" s="23">
        <v>44557</v>
      </c>
      <c r="D2221" s="67">
        <f>IF(COUNTIF($G$2:$G2221,$G2221)=1,1,0)</f>
        <v>1</v>
      </c>
      <c r="E2221" s="67" t="str">
        <f>IFERROR(VLOOKUP(База_КР_КК[[#This Row],[ИД штатной должности (S)]],'уровень защищенности'!$B$7:$F$1095,5,0),"не защищена")</f>
        <v>средний</v>
      </c>
      <c r="F2221" s="68">
        <v>500144</v>
      </c>
      <c r="G2221" s="74" t="s">
        <v>2646</v>
      </c>
      <c r="H2221" s="181">
        <f>INDEX('Списки данных'!$D$2:$D$1048576,MATCH(База_КР_КК[[#This Row],[Структурное подразделение]],'Списки данных'!$C$2:$C$1048576,0))</f>
        <v>33</v>
      </c>
      <c r="I2221" s="80" t="s">
        <v>144</v>
      </c>
      <c r="J2221" s="80" t="s">
        <v>224</v>
      </c>
      <c r="K2221" s="80" t="s">
        <v>21</v>
      </c>
      <c r="L2221" s="30" t="s">
        <v>191</v>
      </c>
      <c r="M2221" s="68">
        <v>7</v>
      </c>
      <c r="N2221" s="181" t="str">
        <f t="shared" si="35"/>
        <v>да</v>
      </c>
      <c r="O2221" s="23">
        <v>44942</v>
      </c>
      <c r="P2221" s="23">
        <v>44942</v>
      </c>
      <c r="Q2221" s="106" t="s">
        <v>66</v>
      </c>
      <c r="R2221" s="37">
        <v>473</v>
      </c>
      <c r="S2221" s="39" t="s">
        <v>885</v>
      </c>
      <c r="T2221" s="37">
        <v>1562</v>
      </c>
      <c r="U2221" s="39" t="s">
        <v>1910</v>
      </c>
      <c r="V2221" s="69" t="s">
        <v>272</v>
      </c>
      <c r="W2221" s="89" t="s">
        <v>144</v>
      </c>
      <c r="X2221" s="106" t="s">
        <v>297</v>
      </c>
      <c r="Y2221" s="107" t="s">
        <v>12</v>
      </c>
      <c r="Z2221" s="67">
        <f>IF(База_КР_КК[[#This Row],[Таб.номер резервиста]]="-","-",IF(OR(База_КР_КК[[#This Row],[Уровень КК]]=2,База_КР_КК[[#This Row],[Уровень КК]]=3),IF(COUNTIFS($U$2:$U2221,$U2221,$F$2:$F2221,$F2221)=1,1,0),IF(COUNTIFS($U$2:$U2221,$U2221,$L$2:$L2221,$L2221)=1,1,0)))</f>
        <v>1</v>
      </c>
      <c r="AA22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1" s="106"/>
      <c r="AC2221" s="51"/>
      <c r="AD2221" s="106" t="s">
        <v>15</v>
      </c>
      <c r="AE2221" s="38" t="s">
        <v>361</v>
      </c>
    </row>
    <row r="2222" spans="1:31" ht="18" customHeight="1" x14ac:dyDescent="0.25">
      <c r="A22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2" s="79">
        <v>4</v>
      </c>
      <c r="C2222" s="23">
        <v>44557</v>
      </c>
      <c r="D2222" s="67">
        <f>IF(COUNTIF($G$2:$G2222,$G2222)=1,1,0)</f>
        <v>0</v>
      </c>
      <c r="E2222" s="67" t="str">
        <f>IFERROR(VLOOKUP(База_КР_КК[[#This Row],[ИД штатной должности (S)]],'уровень защищенности'!$B$7:$F$1095,5,0),"не защищена")</f>
        <v>средний</v>
      </c>
      <c r="F2222" s="68">
        <v>500144</v>
      </c>
      <c r="G2222" s="74" t="s">
        <v>2646</v>
      </c>
      <c r="H2222" s="181">
        <f>INDEX('Списки данных'!$D$2:$D$1048576,MATCH(База_КР_КК[[#This Row],[Структурное подразделение]],'Списки данных'!$C$2:$C$1048576,0))</f>
        <v>33</v>
      </c>
      <c r="I2222" s="80" t="s">
        <v>144</v>
      </c>
      <c r="J2222" s="80" t="s">
        <v>224</v>
      </c>
      <c r="K2222" s="80" t="s">
        <v>21</v>
      </c>
      <c r="L2222" s="30" t="s">
        <v>191</v>
      </c>
      <c r="M2222" s="68">
        <v>7</v>
      </c>
      <c r="N2222" s="181" t="str">
        <f t="shared" si="35"/>
        <v>да</v>
      </c>
      <c r="O2222" s="23">
        <v>44942</v>
      </c>
      <c r="P2222" s="23">
        <v>44942</v>
      </c>
      <c r="Q2222" s="106" t="s">
        <v>66</v>
      </c>
      <c r="R2222" s="37">
        <v>473</v>
      </c>
      <c r="S2222" s="39" t="s">
        <v>885</v>
      </c>
      <c r="T2222" s="37">
        <v>1563</v>
      </c>
      <c r="U2222" s="39" t="s">
        <v>1911</v>
      </c>
      <c r="V2222" s="69" t="s">
        <v>272</v>
      </c>
      <c r="W2222" s="89" t="s">
        <v>144</v>
      </c>
      <c r="X2222" s="106" t="s">
        <v>296</v>
      </c>
      <c r="Y2222" s="107" t="s">
        <v>12</v>
      </c>
      <c r="Z2222" s="67">
        <f>IF(База_КР_КК[[#This Row],[Таб.номер резервиста]]="-","-",IF(OR(База_КР_КК[[#This Row],[Уровень КК]]=2,База_КР_КК[[#This Row],[Уровень КК]]=3),IF(COUNTIFS($U$2:$U2222,$U2222,$F$2:$F2222,$F2222)=1,1,0),IF(COUNTIFS($U$2:$U2222,$U2222,$L$2:$L2222,$L2222)=1,1,0)))</f>
        <v>1</v>
      </c>
      <c r="AA22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2" s="106"/>
      <c r="AC2222" s="51"/>
      <c r="AD2222" s="106" t="s">
        <v>15</v>
      </c>
      <c r="AE2222" s="38" t="s">
        <v>361</v>
      </c>
    </row>
    <row r="2223" spans="1:31" ht="18" customHeight="1" x14ac:dyDescent="0.25">
      <c r="A22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3" s="79">
        <v>4</v>
      </c>
      <c r="C2223" s="23">
        <v>44557</v>
      </c>
      <c r="D2223" s="67">
        <f>IF(COUNTIF($G$2:$G2223,$G2223)=1,1,0)</f>
        <v>0</v>
      </c>
      <c r="E2223" s="67" t="str">
        <f>IFERROR(VLOOKUP(База_КР_КК[[#This Row],[ИД штатной должности (S)]],'уровень защищенности'!$B$7:$F$1095,5,0),"не защищена")</f>
        <v>средний</v>
      </c>
      <c r="F2223" s="68">
        <v>500144</v>
      </c>
      <c r="G2223" s="74" t="s">
        <v>2646</v>
      </c>
      <c r="H2223" s="181">
        <f>INDEX('Списки данных'!$D$2:$D$1048576,MATCH(База_КР_КК[[#This Row],[Структурное подразделение]],'Списки данных'!$C$2:$C$1048576,0))</f>
        <v>33</v>
      </c>
      <c r="I2223" s="80" t="s">
        <v>144</v>
      </c>
      <c r="J2223" s="80" t="s">
        <v>224</v>
      </c>
      <c r="K2223" s="80" t="s">
        <v>21</v>
      </c>
      <c r="L2223" s="30" t="s">
        <v>191</v>
      </c>
      <c r="M2223" s="68">
        <v>7</v>
      </c>
      <c r="N2223" s="181" t="str">
        <f t="shared" si="35"/>
        <v>да</v>
      </c>
      <c r="O2223" s="23">
        <v>44942</v>
      </c>
      <c r="P2223" s="23">
        <v>44942</v>
      </c>
      <c r="Q2223" s="106" t="s">
        <v>66</v>
      </c>
      <c r="R2223" s="37">
        <v>473</v>
      </c>
      <c r="S2223" s="39" t="s">
        <v>885</v>
      </c>
      <c r="T2223" s="37">
        <v>621</v>
      </c>
      <c r="U2223" s="39" t="s">
        <v>1030</v>
      </c>
      <c r="V2223" s="69" t="s">
        <v>192</v>
      </c>
      <c r="W2223" s="89" t="s">
        <v>144</v>
      </c>
      <c r="X2223" s="106" t="s">
        <v>295</v>
      </c>
      <c r="Y2223" s="107" t="s">
        <v>14</v>
      </c>
      <c r="Z2223" s="67">
        <f>IF(База_КР_КК[[#This Row],[Таб.номер резервиста]]="-","-",IF(OR(База_КР_КК[[#This Row],[Уровень КК]]=2,База_КР_КК[[#This Row],[Уровень КК]]=3),IF(COUNTIFS($U$2:$U2223,$U2223,$F$2:$F2223,$F2223)=1,1,0),IF(COUNTIFS($U$2:$U2223,$U2223,$L$2:$L2223,$L2223)=1,1,0)))</f>
        <v>1</v>
      </c>
      <c r="AA22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3" s="106" t="s">
        <v>24</v>
      </c>
      <c r="AC2223" s="51">
        <v>44960</v>
      </c>
      <c r="AD2223" s="106" t="s">
        <v>15</v>
      </c>
      <c r="AE2223" s="38" t="s">
        <v>361</v>
      </c>
    </row>
    <row r="2224" spans="1:31" ht="18" customHeight="1" x14ac:dyDescent="0.25">
      <c r="A22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4" s="79">
        <v>4</v>
      </c>
      <c r="C2224" s="23">
        <v>44557</v>
      </c>
      <c r="D2224" s="67">
        <f>IF(COUNTIF($G$2:$G2224,$G2224)=1,1,0)</f>
        <v>0</v>
      </c>
      <c r="E2224" s="67" t="str">
        <f>IFERROR(VLOOKUP(База_КР_КК[[#This Row],[ИД штатной должности (S)]],'уровень защищенности'!$B$7:$F$1095,5,0),"не защищена")</f>
        <v>средний</v>
      </c>
      <c r="F2224" s="68">
        <v>500144</v>
      </c>
      <c r="G2224" s="74" t="s">
        <v>2646</v>
      </c>
      <c r="H2224" s="181">
        <f>INDEX('Списки данных'!$D$2:$D$1048576,MATCH(База_КР_КК[[#This Row],[Структурное подразделение]],'Списки данных'!$C$2:$C$1048576,0))</f>
        <v>33</v>
      </c>
      <c r="I2224" s="80" t="s">
        <v>144</v>
      </c>
      <c r="J2224" s="80" t="s">
        <v>224</v>
      </c>
      <c r="K2224" s="80" t="s">
        <v>21</v>
      </c>
      <c r="L2224" s="30" t="s">
        <v>191</v>
      </c>
      <c r="M2224" s="68">
        <v>7</v>
      </c>
      <c r="N2224" s="181" t="str">
        <f t="shared" si="35"/>
        <v>да</v>
      </c>
      <c r="O2224" s="23">
        <v>44942</v>
      </c>
      <c r="P2224" s="23">
        <v>44942</v>
      </c>
      <c r="Q2224" s="106" t="s">
        <v>66</v>
      </c>
      <c r="R2224" s="37">
        <v>473</v>
      </c>
      <c r="S2224" s="39" t="s">
        <v>885</v>
      </c>
      <c r="T2224" s="37">
        <v>473</v>
      </c>
      <c r="U2224" s="39" t="s">
        <v>885</v>
      </c>
      <c r="V2224" s="69" t="s">
        <v>272</v>
      </c>
      <c r="W2224" s="89" t="s">
        <v>144</v>
      </c>
      <c r="X2224" s="106" t="s">
        <v>295</v>
      </c>
      <c r="Y2224" s="107" t="s">
        <v>14</v>
      </c>
      <c r="Z2224" s="67">
        <f>IF(База_КР_КК[[#This Row],[Таб.номер резервиста]]="-","-",IF(OR(База_КР_КК[[#This Row],[Уровень КК]]=2,База_КР_КК[[#This Row],[Уровень КК]]=3),IF(COUNTIFS($U$2:$U2224,$U2224,$F$2:$F2224,$F2224)=1,1,0),IF(COUNTIFS($U$2:$U2224,$U2224,$L$2:$L2224,$L2224)=1,1,0)))</f>
        <v>1</v>
      </c>
      <c r="AA22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224" s="106" t="s">
        <v>24</v>
      </c>
      <c r="AC2224" s="51">
        <v>44942</v>
      </c>
      <c r="AD2224" s="106" t="s">
        <v>15</v>
      </c>
      <c r="AE2224" s="38" t="s">
        <v>361</v>
      </c>
    </row>
    <row r="2225" spans="1:31" ht="18" customHeight="1" x14ac:dyDescent="0.25">
      <c r="A22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5" s="79">
        <v>4</v>
      </c>
      <c r="C2225" s="23">
        <v>44557</v>
      </c>
      <c r="D2225" s="67">
        <f>IF(COUNTIF($G$2:$G2225,$G2225)=1,1,0)</f>
        <v>1</v>
      </c>
      <c r="E2225" s="67" t="str">
        <f>IFERROR(VLOOKUP(База_КР_КК[[#This Row],[ИД штатной должности (S)]],'уровень защищенности'!$B$7:$F$1095,5,0),"не защищена")</f>
        <v>средний</v>
      </c>
      <c r="F2225" s="68">
        <v>500144</v>
      </c>
      <c r="G2225" s="74" t="s">
        <v>2647</v>
      </c>
      <c r="H2225" s="181">
        <f>INDEX('Списки данных'!$D$2:$D$1048576,MATCH(База_КР_КК[[#This Row],[Структурное подразделение]],'Списки данных'!$C$2:$C$1048576,0))</f>
        <v>33</v>
      </c>
      <c r="I2225" s="80" t="s">
        <v>144</v>
      </c>
      <c r="J2225" s="80" t="s">
        <v>224</v>
      </c>
      <c r="K2225" s="80" t="s">
        <v>21</v>
      </c>
      <c r="L2225" s="30" t="s">
        <v>191</v>
      </c>
      <c r="M2225" s="68">
        <v>7</v>
      </c>
      <c r="N2225" s="181" t="str">
        <f t="shared" si="35"/>
        <v>да</v>
      </c>
      <c r="O2225" s="23">
        <v>45031</v>
      </c>
      <c r="P2225" s="23">
        <v>45051</v>
      </c>
      <c r="Q2225" s="106" t="s">
        <v>57</v>
      </c>
      <c r="R2225" s="37">
        <v>474</v>
      </c>
      <c r="S2225" s="37" t="s">
        <v>886</v>
      </c>
      <c r="T2225" s="37">
        <v>1562</v>
      </c>
      <c r="U2225" s="39" t="s">
        <v>1910</v>
      </c>
      <c r="V2225" s="69" t="s">
        <v>272</v>
      </c>
      <c r="W2225" s="89" t="s">
        <v>144</v>
      </c>
      <c r="X2225" s="106" t="s">
        <v>297</v>
      </c>
      <c r="Y2225" s="107" t="s">
        <v>12</v>
      </c>
      <c r="Z2225" s="67">
        <f>IF(База_КР_КК[[#This Row],[Таб.номер резервиста]]="-","-",IF(OR(База_КР_КК[[#This Row],[Уровень КК]]=2,База_КР_КК[[#This Row],[Уровень КК]]=3),IF(COUNTIFS($U$2:$U2225,$U2225,$F$2:$F2225,$F2225)=1,1,0),IF(COUNTIFS($U$2:$U2225,$U2225,$L$2:$L2225,$L2225)=1,1,0)))</f>
        <v>0</v>
      </c>
      <c r="AA22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5" s="106"/>
      <c r="AC2225" s="51"/>
      <c r="AD2225" s="106" t="s">
        <v>15</v>
      </c>
      <c r="AE2225" s="38" t="s">
        <v>361</v>
      </c>
    </row>
    <row r="2226" spans="1:31" ht="18" customHeight="1" x14ac:dyDescent="0.25">
      <c r="A22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6" s="79">
        <v>4</v>
      </c>
      <c r="C2226" s="23">
        <v>44557</v>
      </c>
      <c r="D2226" s="67">
        <f>IF(COUNTIF($G$2:$G2226,$G2226)=1,1,0)</f>
        <v>0</v>
      </c>
      <c r="E2226" s="67" t="str">
        <f>IFERROR(VLOOKUP(База_КР_КК[[#This Row],[ИД штатной должности (S)]],'уровень защищенности'!$B$7:$F$1095,5,0),"не защищена")</f>
        <v>средний</v>
      </c>
      <c r="F2226" s="68">
        <v>500144</v>
      </c>
      <c r="G2226" s="74" t="s">
        <v>2647</v>
      </c>
      <c r="H2226" s="181">
        <f>INDEX('Списки данных'!$D$2:$D$1048576,MATCH(База_КР_КК[[#This Row],[Структурное подразделение]],'Списки данных'!$C$2:$C$1048576,0))</f>
        <v>33</v>
      </c>
      <c r="I2226" s="80" t="s">
        <v>144</v>
      </c>
      <c r="J2226" s="80" t="s">
        <v>224</v>
      </c>
      <c r="K2226" s="80" t="s">
        <v>21</v>
      </c>
      <c r="L2226" s="30" t="s">
        <v>191</v>
      </c>
      <c r="M2226" s="68">
        <v>7</v>
      </c>
      <c r="N2226" s="181" t="str">
        <f t="shared" si="35"/>
        <v>да</v>
      </c>
      <c r="O2226" s="23">
        <v>45031</v>
      </c>
      <c r="P2226" s="23">
        <v>45051</v>
      </c>
      <c r="Q2226" s="106" t="s">
        <v>57</v>
      </c>
      <c r="R2226" s="37">
        <v>474</v>
      </c>
      <c r="S2226" s="37" t="s">
        <v>886</v>
      </c>
      <c r="T2226" s="37">
        <v>1563</v>
      </c>
      <c r="U2226" s="39" t="s">
        <v>1911</v>
      </c>
      <c r="V2226" s="69" t="s">
        <v>272</v>
      </c>
      <c r="W2226" s="89" t="s">
        <v>144</v>
      </c>
      <c r="X2226" s="106" t="s">
        <v>296</v>
      </c>
      <c r="Y2226" s="107" t="s">
        <v>12</v>
      </c>
      <c r="Z2226" s="67">
        <f>IF(База_КР_КК[[#This Row],[Таб.номер резервиста]]="-","-",IF(OR(База_КР_КК[[#This Row],[Уровень КК]]=2,База_КР_КК[[#This Row],[Уровень КК]]=3),IF(COUNTIFS($U$2:$U2226,$U2226,$F$2:$F2226,$F2226)=1,1,0),IF(COUNTIFS($U$2:$U2226,$U2226,$L$2:$L2226,$L2226)=1,1,0)))</f>
        <v>0</v>
      </c>
      <c r="AA22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6" s="106"/>
      <c r="AC2226" s="51"/>
      <c r="AD2226" s="106" t="s">
        <v>15</v>
      </c>
      <c r="AE2226" s="38" t="s">
        <v>361</v>
      </c>
    </row>
    <row r="2227" spans="1:31" ht="18" customHeight="1" x14ac:dyDescent="0.25">
      <c r="A22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7" s="79">
        <v>4</v>
      </c>
      <c r="C2227" s="23">
        <v>44557</v>
      </c>
      <c r="D2227" s="67">
        <f>IF(COUNTIF($G$2:$G2227,$G2227)=1,1,0)</f>
        <v>0</v>
      </c>
      <c r="E2227" s="67" t="str">
        <f>IFERROR(VLOOKUP(База_КР_КК[[#This Row],[ИД штатной должности (S)]],'уровень защищенности'!$B$7:$F$1095,5,0),"не защищена")</f>
        <v>средний</v>
      </c>
      <c r="F2227" s="68">
        <v>500144</v>
      </c>
      <c r="G2227" s="74" t="s">
        <v>2647</v>
      </c>
      <c r="H2227" s="181">
        <f>INDEX('Списки данных'!$D$2:$D$1048576,MATCH(База_КР_КК[[#This Row],[Структурное подразделение]],'Списки данных'!$C$2:$C$1048576,0))</f>
        <v>33</v>
      </c>
      <c r="I2227" s="80" t="s">
        <v>144</v>
      </c>
      <c r="J2227" s="80" t="s">
        <v>224</v>
      </c>
      <c r="K2227" s="80" t="s">
        <v>21</v>
      </c>
      <c r="L2227" s="30" t="s">
        <v>191</v>
      </c>
      <c r="M2227" s="68">
        <v>7</v>
      </c>
      <c r="N2227" s="181" t="str">
        <f t="shared" si="35"/>
        <v>да</v>
      </c>
      <c r="O2227" s="23">
        <v>45031</v>
      </c>
      <c r="P2227" s="23">
        <v>45051</v>
      </c>
      <c r="Q2227" s="106" t="s">
        <v>57</v>
      </c>
      <c r="R2227" s="37">
        <v>474</v>
      </c>
      <c r="S2227" s="37" t="s">
        <v>886</v>
      </c>
      <c r="T2227" s="37">
        <v>621</v>
      </c>
      <c r="U2227" s="39" t="s">
        <v>1030</v>
      </c>
      <c r="V2227" s="69" t="s">
        <v>192</v>
      </c>
      <c r="W2227" s="89" t="s">
        <v>144</v>
      </c>
      <c r="X2227" s="106" t="s">
        <v>295</v>
      </c>
      <c r="Y2227" s="107" t="s">
        <v>14</v>
      </c>
      <c r="Z2227" s="67">
        <f>IF(База_КР_КК[[#This Row],[Таб.номер резервиста]]="-","-",IF(OR(База_КР_КК[[#This Row],[Уровень КК]]=2,База_КР_КК[[#This Row],[Уровень КК]]=3),IF(COUNTIFS($U$2:$U2227,$U2227,$F$2:$F2227,$F2227)=1,1,0),IF(COUNTIFS($U$2:$U2227,$U2227,$L$2:$L2227,$L2227)=1,1,0)))</f>
        <v>0</v>
      </c>
      <c r="AA22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7" s="106" t="s">
        <v>24</v>
      </c>
      <c r="AC2227" s="51">
        <v>44960</v>
      </c>
      <c r="AD2227" s="106" t="s">
        <v>15</v>
      </c>
      <c r="AE2227" s="38" t="s">
        <v>361</v>
      </c>
    </row>
    <row r="2228" spans="1:31" ht="18" customHeight="1" x14ac:dyDescent="0.25">
      <c r="A22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8" s="79">
        <v>4</v>
      </c>
      <c r="C2228" s="23">
        <v>44557</v>
      </c>
      <c r="D2228" s="67">
        <f>IF(COUNTIF($G$2:$G2228,$G2228)=1,1,0)</f>
        <v>0</v>
      </c>
      <c r="E2228" s="67" t="str">
        <f>IFERROR(VLOOKUP(База_КР_КК[[#This Row],[ИД штатной должности (S)]],'уровень защищенности'!$B$7:$F$1095,5,0),"не защищена")</f>
        <v>средний</v>
      </c>
      <c r="F2228" s="68">
        <v>500144</v>
      </c>
      <c r="G2228" s="74" t="s">
        <v>2647</v>
      </c>
      <c r="H2228" s="181">
        <f>INDEX('Списки данных'!$D$2:$D$1048576,MATCH(База_КР_КК[[#This Row],[Структурное подразделение]],'Списки данных'!$C$2:$C$1048576,0))</f>
        <v>33</v>
      </c>
      <c r="I2228" s="80" t="s">
        <v>144</v>
      </c>
      <c r="J2228" s="80" t="s">
        <v>224</v>
      </c>
      <c r="K2228" s="80" t="s">
        <v>21</v>
      </c>
      <c r="L2228" s="30" t="s">
        <v>191</v>
      </c>
      <c r="M2228" s="68">
        <v>7</v>
      </c>
      <c r="N2228" s="181" t="str">
        <f t="shared" si="35"/>
        <v>да</v>
      </c>
      <c r="O2228" s="23">
        <v>45031</v>
      </c>
      <c r="P2228" s="23">
        <v>45051</v>
      </c>
      <c r="Q2228" s="106" t="s">
        <v>57</v>
      </c>
      <c r="R2228" s="37">
        <v>474</v>
      </c>
      <c r="S2228" s="37" t="s">
        <v>886</v>
      </c>
      <c r="T2228" s="37">
        <v>473</v>
      </c>
      <c r="U2228" s="39" t="s">
        <v>885</v>
      </c>
      <c r="V2228" s="69" t="s">
        <v>272</v>
      </c>
      <c r="W2228" s="89" t="s">
        <v>144</v>
      </c>
      <c r="X2228" s="106" t="s">
        <v>295</v>
      </c>
      <c r="Y2228" s="107" t="s">
        <v>14</v>
      </c>
      <c r="Z2228" s="67">
        <f>IF(База_КР_КК[[#This Row],[Таб.номер резервиста]]="-","-",IF(OR(База_КР_КК[[#This Row],[Уровень КК]]=2,База_КР_КК[[#This Row],[Уровень КК]]=3),IF(COUNTIFS($U$2:$U2228,$U2228,$F$2:$F2228,$F2228)=1,1,0),IF(COUNTIFS($U$2:$U2228,$U2228,$L$2:$L2228,$L2228)=1,1,0)))</f>
        <v>0</v>
      </c>
      <c r="AA22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8" s="106" t="s">
        <v>24</v>
      </c>
      <c r="AC2228" s="51">
        <v>44942</v>
      </c>
      <c r="AD2228" s="106" t="s">
        <v>15</v>
      </c>
      <c r="AE2228" s="38" t="s">
        <v>361</v>
      </c>
    </row>
    <row r="2229" spans="1:31" ht="18" customHeight="1" x14ac:dyDescent="0.25">
      <c r="A22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29" s="79">
        <v>4</v>
      </c>
      <c r="C2229" s="23">
        <v>44557</v>
      </c>
      <c r="D2229" s="67">
        <f>IF(COUNTIF($G$2:$G2229,$G2229)=1,1,0)</f>
        <v>1</v>
      </c>
      <c r="E2229" s="67" t="str">
        <f>IFERROR(VLOOKUP(База_КР_КК[[#This Row],[ИД штатной должности (S)]],'уровень защищенности'!$B$7:$F$1095,5,0),"не защищена")</f>
        <v>средний</v>
      </c>
      <c r="F2229" s="68">
        <v>500145</v>
      </c>
      <c r="G2229" s="74" t="s">
        <v>2648</v>
      </c>
      <c r="H2229" s="181">
        <f>INDEX('Списки данных'!$D$2:$D$1048576,MATCH(База_КР_КК[[#This Row],[Структурное подразделение]],'Списки данных'!$C$2:$C$1048576,0))</f>
        <v>33</v>
      </c>
      <c r="I2229" s="80" t="s">
        <v>144</v>
      </c>
      <c r="J2229" s="80" t="s">
        <v>224</v>
      </c>
      <c r="K2229" s="80" t="s">
        <v>21</v>
      </c>
      <c r="L2229" s="30" t="s">
        <v>198</v>
      </c>
      <c r="M2229" s="68">
        <v>6</v>
      </c>
      <c r="N2229" s="181" t="str">
        <f t="shared" si="35"/>
        <v>да</v>
      </c>
      <c r="O2229" s="23">
        <v>44922</v>
      </c>
      <c r="P2229" s="23">
        <v>44942</v>
      </c>
      <c r="Q2229" s="106" t="s">
        <v>66</v>
      </c>
      <c r="R2229" s="37">
        <v>475</v>
      </c>
      <c r="S2229" s="38" t="s">
        <v>887</v>
      </c>
      <c r="T2229" s="37">
        <v>621</v>
      </c>
      <c r="U2229" s="39" t="s">
        <v>1030</v>
      </c>
      <c r="V2229" s="69" t="s">
        <v>16</v>
      </c>
      <c r="W2229" s="190" t="s">
        <v>144</v>
      </c>
      <c r="X2229" s="106" t="s">
        <v>296</v>
      </c>
      <c r="Y2229" s="107" t="s">
        <v>12</v>
      </c>
      <c r="Z2229" s="67">
        <f>IF(База_КР_КК[[#This Row],[Таб.номер резервиста]]="-","-",IF(OR(База_КР_КК[[#This Row],[Уровень КК]]=2,База_КР_КК[[#This Row],[Уровень КК]]=3),IF(COUNTIFS($U$2:$U2229,$U2229,$F$2:$F2229,$F2229)=1,1,0),IF(COUNTIFS($U$2:$U2229,$U2229,$L$2:$L2229,$L2229)=1,1,0)))</f>
        <v>1</v>
      </c>
      <c r="AA22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29" s="106"/>
      <c r="AC2229" s="51"/>
      <c r="AD2229" s="106" t="s">
        <v>15</v>
      </c>
      <c r="AE2229" s="38" t="s">
        <v>361</v>
      </c>
    </row>
    <row r="2230" spans="1:31" ht="18" customHeight="1" x14ac:dyDescent="0.25">
      <c r="A22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30" s="79">
        <v>4</v>
      </c>
      <c r="C2230" s="23">
        <v>44557</v>
      </c>
      <c r="D2230" s="67">
        <f>IF(COUNTIF($G$2:$G2230,$G2230)=1,1,0)</f>
        <v>0</v>
      </c>
      <c r="E2230" s="67" t="str">
        <f>IFERROR(VLOOKUP(База_КР_КК[[#This Row],[ИД штатной должности (S)]],'уровень защищенности'!$B$7:$F$1095,5,0),"не защищена")</f>
        <v>средний</v>
      </c>
      <c r="F2230" s="68">
        <v>500145</v>
      </c>
      <c r="G2230" s="74" t="s">
        <v>2648</v>
      </c>
      <c r="H2230" s="181">
        <f>INDEX('Списки данных'!$D$2:$D$1048576,MATCH(База_КР_КК[[#This Row],[Структурное подразделение]],'Списки данных'!$C$2:$C$1048576,0))</f>
        <v>33</v>
      </c>
      <c r="I2230" s="80" t="s">
        <v>144</v>
      </c>
      <c r="J2230" s="80" t="s">
        <v>224</v>
      </c>
      <c r="K2230" s="80" t="s">
        <v>21</v>
      </c>
      <c r="L2230" s="30" t="s">
        <v>198</v>
      </c>
      <c r="M2230" s="68">
        <v>6</v>
      </c>
      <c r="N2230" s="181" t="str">
        <f t="shared" si="35"/>
        <v>да</v>
      </c>
      <c r="O2230" s="23">
        <v>44922</v>
      </c>
      <c r="P2230" s="23">
        <v>44942</v>
      </c>
      <c r="Q2230" s="106" t="s">
        <v>66</v>
      </c>
      <c r="R2230" s="37">
        <v>475</v>
      </c>
      <c r="S2230" s="38" t="s">
        <v>887</v>
      </c>
      <c r="T2230" s="37">
        <v>602</v>
      </c>
      <c r="U2230" s="39" t="s">
        <v>1011</v>
      </c>
      <c r="V2230" s="69" t="s">
        <v>192</v>
      </c>
      <c r="W2230" s="89" t="s">
        <v>144</v>
      </c>
      <c r="X2230" s="106" t="s">
        <v>297</v>
      </c>
      <c r="Y2230" s="107" t="s">
        <v>12</v>
      </c>
      <c r="Z2230" s="67">
        <f>IF(База_КР_КК[[#This Row],[Таб.номер резервиста]]="-","-",IF(OR(База_КР_КК[[#This Row],[Уровень КК]]=2,База_КР_КК[[#This Row],[Уровень КК]]=3),IF(COUNTIFS($U$2:$U2230,$U2230,$F$2:$F2230,$F2230)=1,1,0),IF(COUNTIFS($U$2:$U2230,$U2230,$L$2:$L2230,$L2230)=1,1,0)))</f>
        <v>1</v>
      </c>
      <c r="AA22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0" s="106"/>
      <c r="AC2230" s="51"/>
      <c r="AD2230" s="106" t="s">
        <v>15</v>
      </c>
      <c r="AE2230" s="38" t="s">
        <v>361</v>
      </c>
    </row>
    <row r="2231" spans="1:31" ht="18" customHeight="1" x14ac:dyDescent="0.25">
      <c r="A22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31" s="79">
        <v>4</v>
      </c>
      <c r="C2231" s="23">
        <v>44922</v>
      </c>
      <c r="D2231" s="67">
        <f>IF(COUNTIF($G$2:$G2231,$G2231)=1,1,0)</f>
        <v>0</v>
      </c>
      <c r="E2231" s="67" t="str">
        <f>IFERROR(VLOOKUP(База_КР_КК[[#This Row],[ИД штатной должности (S)]],'уровень защищенности'!$B$7:$F$1095,5,0),"не защищена")</f>
        <v>средний</v>
      </c>
      <c r="F2231" s="68">
        <v>500145</v>
      </c>
      <c r="G2231" s="74" t="s">
        <v>2648</v>
      </c>
      <c r="H2231" s="181">
        <f>INDEX('Списки данных'!$D$2:$D$1048576,MATCH(База_КР_КК[[#This Row],[Структурное подразделение]],'Списки данных'!$C$2:$C$1048576,0))</f>
        <v>33</v>
      </c>
      <c r="I2231" s="80" t="s">
        <v>144</v>
      </c>
      <c r="J2231" s="80" t="s">
        <v>224</v>
      </c>
      <c r="K2231" s="80" t="s">
        <v>21</v>
      </c>
      <c r="L2231" s="30" t="s">
        <v>198</v>
      </c>
      <c r="M2231" s="68">
        <v>6</v>
      </c>
      <c r="N2231" s="181" t="str">
        <f t="shared" si="35"/>
        <v>да</v>
      </c>
      <c r="O2231" s="23">
        <v>44922</v>
      </c>
      <c r="P2231" s="23">
        <v>44942</v>
      </c>
      <c r="Q2231" s="106" t="s">
        <v>66</v>
      </c>
      <c r="R2231" s="37">
        <v>475</v>
      </c>
      <c r="S2231" s="38" t="s">
        <v>887</v>
      </c>
      <c r="T2231" s="37">
        <v>475</v>
      </c>
      <c r="U2231" s="38" t="s">
        <v>887</v>
      </c>
      <c r="V2231" s="69" t="s">
        <v>192</v>
      </c>
      <c r="W2231" s="89" t="s">
        <v>144</v>
      </c>
      <c r="X2231" s="106" t="s">
        <v>295</v>
      </c>
      <c r="Y2231" s="107" t="s">
        <v>14</v>
      </c>
      <c r="Z2231" s="67">
        <f>IF(База_КР_КК[[#This Row],[Таб.номер резервиста]]="-","-",IF(OR(База_КР_КК[[#This Row],[Уровень КК]]=2,База_КР_КК[[#This Row],[Уровень КК]]=3),IF(COUNTIFS($U$2:$U2231,$U2231,$F$2:$F2231,$F2231)=1,1,0),IF(COUNTIFS($U$2:$U2231,$U2231,$L$2:$L2231,$L2231)=1,1,0)))</f>
        <v>1</v>
      </c>
      <c r="AA22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231" s="106" t="s">
        <v>24</v>
      </c>
      <c r="AC2231" s="51">
        <v>44942</v>
      </c>
      <c r="AD2231" s="106" t="s">
        <v>15</v>
      </c>
      <c r="AE2231" s="38" t="s">
        <v>362</v>
      </c>
    </row>
    <row r="2232" spans="1:31" ht="18" customHeight="1" x14ac:dyDescent="0.25">
      <c r="A22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32" s="79">
        <v>3</v>
      </c>
      <c r="C2232" s="23">
        <v>43399</v>
      </c>
      <c r="D2232" s="67">
        <f>IF(COUNTIF($G$2:$G2232,$G2232)=1,1,0)</f>
        <v>1</v>
      </c>
      <c r="E2232" s="67" t="str">
        <f>IFERROR(VLOOKUP(База_КР_КК[[#This Row],[ИД штатной должности (S)]],'уровень защищенности'!$B$7:$F$1095,5,0),"не защищена")</f>
        <v>высокий</v>
      </c>
      <c r="F2232" s="68">
        <v>500025</v>
      </c>
      <c r="G2232" s="74" t="s">
        <v>2649</v>
      </c>
      <c r="H2232" s="181">
        <f>INDEX('Списки данных'!$D$2:$D$1048576,MATCH(База_КР_КК[[#This Row],[Структурное подразделение]],'Списки данных'!$C$2:$C$1048576,0))</f>
        <v>32</v>
      </c>
      <c r="I2232" s="80" t="s">
        <v>146</v>
      </c>
      <c r="J2232" s="80" t="s">
        <v>225</v>
      </c>
      <c r="K2232" s="80" t="s">
        <v>21</v>
      </c>
      <c r="L2232" s="30" t="s">
        <v>183</v>
      </c>
      <c r="M2232" s="68">
        <v>4</v>
      </c>
      <c r="N2232" s="181" t="str">
        <f t="shared" si="35"/>
        <v>нет</v>
      </c>
      <c r="O2232" s="51"/>
      <c r="P2232" s="51"/>
      <c r="Q2232" s="106"/>
      <c r="R2232" s="37">
        <v>476</v>
      </c>
      <c r="S2232" s="39" t="s">
        <v>888</v>
      </c>
      <c r="T2232" s="37">
        <v>487</v>
      </c>
      <c r="U2232" s="38" t="s">
        <v>898</v>
      </c>
      <c r="V2232" s="69" t="s">
        <v>186</v>
      </c>
      <c r="W2232" s="89" t="s">
        <v>146</v>
      </c>
      <c r="X2232" s="106" t="s">
        <v>295</v>
      </c>
      <c r="Y2232" s="107" t="s">
        <v>12</v>
      </c>
      <c r="Z2232" s="67">
        <f>IF(База_КР_КК[[#This Row],[Таб.номер резервиста]]="-","-",IF(OR(База_КР_КК[[#This Row],[Уровень КК]]=2,База_КР_КК[[#This Row],[Уровень КК]]=3),IF(COUNTIFS($U$2:$U2232,$U2232,$F$2:$F2232,$F2232)=1,1,0),IF(COUNTIFS($U$2:$U2232,$U2232,$L$2:$L2232,$L2232)=1,1,0)))</f>
        <v>1</v>
      </c>
      <c r="AA22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2" s="106"/>
      <c r="AC2232" s="51"/>
      <c r="AD2232" s="106" t="s">
        <v>13</v>
      </c>
      <c r="AE2232" s="38" t="s">
        <v>352</v>
      </c>
    </row>
    <row r="2233" spans="1:31" ht="18" customHeight="1" x14ac:dyDescent="0.25">
      <c r="A22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33" s="79">
        <v>3</v>
      </c>
      <c r="C2233" s="23">
        <v>43399</v>
      </c>
      <c r="D2233" s="67">
        <f>IF(COUNTIF($G$2:$G2233,$G2233)=1,1,0)</f>
        <v>0</v>
      </c>
      <c r="E2233" s="67" t="str">
        <f>IFERROR(VLOOKUP(База_КР_КК[[#This Row],[ИД штатной должности (S)]],'уровень защищенности'!$B$7:$F$1095,5,0),"не защищена")</f>
        <v>высокий</v>
      </c>
      <c r="F2233" s="68">
        <v>500025</v>
      </c>
      <c r="G2233" s="74" t="s">
        <v>2649</v>
      </c>
      <c r="H2233" s="181">
        <f>INDEX('Списки данных'!$D$2:$D$1048576,MATCH(База_КР_КК[[#This Row],[Структурное подразделение]],'Списки данных'!$C$2:$C$1048576,0))</f>
        <v>32</v>
      </c>
      <c r="I2233" s="80" t="s">
        <v>146</v>
      </c>
      <c r="J2233" s="80" t="s">
        <v>225</v>
      </c>
      <c r="K2233" s="80" t="s">
        <v>21</v>
      </c>
      <c r="L2233" s="30" t="s">
        <v>183</v>
      </c>
      <c r="M2233" s="68">
        <v>4</v>
      </c>
      <c r="N2233" s="181" t="str">
        <f t="shared" si="35"/>
        <v>нет</v>
      </c>
      <c r="O2233" s="51"/>
      <c r="P2233" s="51"/>
      <c r="Q2233" s="106"/>
      <c r="R2233" s="37">
        <v>476</v>
      </c>
      <c r="S2233" s="39" t="s">
        <v>888</v>
      </c>
      <c r="T2233" s="37">
        <v>1564</v>
      </c>
      <c r="U2233" s="38" t="s">
        <v>1912</v>
      </c>
      <c r="V2233" s="89" t="s">
        <v>198</v>
      </c>
      <c r="W2233" s="89" t="s">
        <v>146</v>
      </c>
      <c r="X2233" s="106" t="s">
        <v>296</v>
      </c>
      <c r="Y2233" s="107" t="s">
        <v>12</v>
      </c>
      <c r="Z2233" s="67">
        <f>IF(База_КР_КК[[#This Row],[Таб.номер резервиста]]="-","-",IF(OR(База_КР_КК[[#This Row],[Уровень КК]]=2,База_КР_КК[[#This Row],[Уровень КК]]=3),IF(COUNTIFS($U$2:$U2233,$U2233,$F$2:$F2233,$F2233)=1,1,0),IF(COUNTIFS($U$2:$U2233,$U2233,$L$2:$L2233,$L2233)=1,1,0)))</f>
        <v>1</v>
      </c>
      <c r="AA22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3" s="106"/>
      <c r="AC2233" s="51"/>
      <c r="AD2233" s="106" t="s">
        <v>13</v>
      </c>
      <c r="AE2233" s="38" t="s">
        <v>352</v>
      </c>
    </row>
    <row r="2234" spans="1:31" ht="18" customHeight="1" x14ac:dyDescent="0.25">
      <c r="A22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34" s="79">
        <v>3</v>
      </c>
      <c r="C2234" s="23">
        <v>44894</v>
      </c>
      <c r="D2234" s="67">
        <f>IF(COUNTIF($G$2:$G2234,$G2234)=1,1,0)</f>
        <v>0</v>
      </c>
      <c r="E2234" s="67" t="str">
        <f>IFERROR(VLOOKUP(База_КР_КК[[#This Row],[ИД штатной должности (S)]],'уровень защищенности'!$B$7:$F$1095,5,0),"не защищена")</f>
        <v>высокий</v>
      </c>
      <c r="F2234" s="68">
        <v>500025</v>
      </c>
      <c r="G2234" s="74" t="s">
        <v>2649</v>
      </c>
      <c r="H2234" s="181">
        <f>INDEX('Списки данных'!$D$2:$D$1048576,MATCH(База_КР_КК[[#This Row],[Структурное подразделение]],'Списки данных'!$C$2:$C$1048576,0))</f>
        <v>32</v>
      </c>
      <c r="I2234" s="80" t="s">
        <v>146</v>
      </c>
      <c r="J2234" s="80" t="s">
        <v>225</v>
      </c>
      <c r="K2234" s="80" t="s">
        <v>21</v>
      </c>
      <c r="L2234" s="30" t="s">
        <v>183</v>
      </c>
      <c r="M2234" s="68">
        <v>4</v>
      </c>
      <c r="N2234" s="181" t="str">
        <f t="shared" si="35"/>
        <v>нет</v>
      </c>
      <c r="O2234" s="51"/>
      <c r="P2234" s="23"/>
      <c r="Q2234" s="106"/>
      <c r="R2234" s="37">
        <v>476</v>
      </c>
      <c r="S2234" s="39" t="s">
        <v>888</v>
      </c>
      <c r="T2234" s="37">
        <v>479</v>
      </c>
      <c r="U2234" s="38" t="s">
        <v>890</v>
      </c>
      <c r="V2234" s="69" t="s">
        <v>186</v>
      </c>
      <c r="W2234" s="89" t="s">
        <v>146</v>
      </c>
      <c r="X2234" s="106" t="s">
        <v>297</v>
      </c>
      <c r="Y2234" s="107" t="s">
        <v>12</v>
      </c>
      <c r="Z2234" s="67">
        <f>IF(База_КР_КК[[#This Row],[Таб.номер резервиста]]="-","-",IF(OR(База_КР_КК[[#This Row],[Уровень КК]]=2,База_КР_КК[[#This Row],[Уровень КК]]=3),IF(COUNTIFS($U$2:$U2234,$U2234,$F$2:$F2234,$F2234)=1,1,0),IF(COUNTIFS($U$2:$U2234,$U2234,$L$2:$L2234,$L2234)=1,1,0)))</f>
        <v>1</v>
      </c>
      <c r="AA22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4" s="106"/>
      <c r="AC2234" s="51"/>
      <c r="AD2234" s="106" t="s">
        <v>15</v>
      </c>
      <c r="AE2234" s="38" t="s">
        <v>352</v>
      </c>
    </row>
    <row r="2235" spans="1:31" ht="18" customHeight="1" x14ac:dyDescent="0.25">
      <c r="A22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35" s="79">
        <v>3</v>
      </c>
      <c r="C2235" s="23">
        <v>43399</v>
      </c>
      <c r="D2235" s="67">
        <f>IF(COUNTIF($G$2:$G2235,$G2235)=1,1,0)</f>
        <v>1</v>
      </c>
      <c r="E2235" s="67" t="str">
        <f>IFERROR(VLOOKUP(База_КР_КК[[#This Row],[ИД штатной должности (S)]],'уровень защищенности'!$B$7:$F$1095,5,0),"не защищена")</f>
        <v>высокий</v>
      </c>
      <c r="F2235" s="68">
        <v>500026</v>
      </c>
      <c r="G2235" s="74" t="s">
        <v>2650</v>
      </c>
      <c r="H2235" s="181">
        <f>INDEX('Списки данных'!$D$2:$D$1048576,MATCH(База_КР_КК[[#This Row],[Структурное подразделение]],'Списки данных'!$C$2:$C$1048576,0))</f>
        <v>34</v>
      </c>
      <c r="I2235" s="80" t="s">
        <v>163</v>
      </c>
      <c r="J2235" s="80" t="s">
        <v>226</v>
      </c>
      <c r="K2235" s="80" t="s">
        <v>21</v>
      </c>
      <c r="L2235" s="30" t="s">
        <v>183</v>
      </c>
      <c r="M2235" s="68">
        <v>5</v>
      </c>
      <c r="N2235" s="181" t="str">
        <f t="shared" si="35"/>
        <v>нет</v>
      </c>
      <c r="O2235" s="23"/>
      <c r="P2235" s="23"/>
      <c r="Q2235" s="106"/>
      <c r="R2235" s="37">
        <v>477</v>
      </c>
      <c r="S2235" s="39" t="s">
        <v>889</v>
      </c>
      <c r="T2235" s="37">
        <v>529</v>
      </c>
      <c r="U2235" s="38" t="s">
        <v>939</v>
      </c>
      <c r="V2235" s="69" t="s">
        <v>198</v>
      </c>
      <c r="W2235" s="89" t="s">
        <v>163</v>
      </c>
      <c r="X2235" s="106" t="s">
        <v>295</v>
      </c>
      <c r="Y2235" s="107" t="s">
        <v>12</v>
      </c>
      <c r="Z2235" s="67">
        <f>IF(База_КР_КК[[#This Row],[Таб.номер резервиста]]="-","-",IF(OR(База_КР_КК[[#This Row],[Уровень КК]]=2,База_КР_КК[[#This Row],[Уровень КК]]=3),IF(COUNTIFS($U$2:$U2235,$U2235,$F$2:$F2235,$F2235)=1,1,0),IF(COUNTIFS($U$2:$U2235,$U2235,$L$2:$L2235,$L2235)=1,1,0)))</f>
        <v>1</v>
      </c>
      <c r="AA22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5" s="106"/>
      <c r="AC2235" s="51"/>
      <c r="AD2235" s="106" t="s">
        <v>13</v>
      </c>
      <c r="AE2235" s="38" t="s">
        <v>359</v>
      </c>
    </row>
    <row r="2236" spans="1:31" ht="18" customHeight="1" x14ac:dyDescent="0.25">
      <c r="A22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36" s="79">
        <v>3</v>
      </c>
      <c r="C2236" s="23">
        <v>43399</v>
      </c>
      <c r="D2236" s="67">
        <f>IF(COUNTIF($G$2:$G2236,$G2236)=1,1,0)</f>
        <v>0</v>
      </c>
      <c r="E2236" s="67" t="str">
        <f>IFERROR(VLOOKUP(База_КР_КК[[#This Row],[ИД штатной должности (S)]],'уровень защищенности'!$B$7:$F$1095,5,0),"не защищена")</f>
        <v>высокий</v>
      </c>
      <c r="F2236" s="68">
        <v>500026</v>
      </c>
      <c r="G2236" s="74" t="s">
        <v>2650</v>
      </c>
      <c r="H2236" s="181">
        <f>INDEX('Списки данных'!$D$2:$D$1048576,MATCH(База_КР_КК[[#This Row],[Структурное подразделение]],'Списки данных'!$C$2:$C$1048576,0))</f>
        <v>34</v>
      </c>
      <c r="I2236" s="80" t="s">
        <v>163</v>
      </c>
      <c r="J2236" s="80" t="s">
        <v>226</v>
      </c>
      <c r="K2236" s="80" t="s">
        <v>21</v>
      </c>
      <c r="L2236" s="30" t="s">
        <v>183</v>
      </c>
      <c r="M2236" s="68">
        <v>5</v>
      </c>
      <c r="N2236" s="181" t="str">
        <f t="shared" si="35"/>
        <v>нет</v>
      </c>
      <c r="O2236" s="23"/>
      <c r="P2236" s="23"/>
      <c r="Q2236" s="106"/>
      <c r="R2236" s="69">
        <v>477</v>
      </c>
      <c r="S2236" s="39" t="s">
        <v>889</v>
      </c>
      <c r="T2236" s="37">
        <v>517</v>
      </c>
      <c r="U2236" s="38" t="s">
        <v>927</v>
      </c>
      <c r="V2236" s="69" t="s">
        <v>187</v>
      </c>
      <c r="W2236" s="89" t="s">
        <v>163</v>
      </c>
      <c r="X2236" s="106" t="s">
        <v>297</v>
      </c>
      <c r="Y2236" s="107" t="s">
        <v>12</v>
      </c>
      <c r="Z2236" s="67">
        <f>IF(База_КР_КК[[#This Row],[Таб.номер резервиста]]="-","-",IF(OR(База_КР_КК[[#This Row],[Уровень КК]]=2,База_КР_КК[[#This Row],[Уровень КК]]=3),IF(COUNTIFS($U$2:$U2236,$U2236,$F$2:$F2236,$F2236)=1,1,0),IF(COUNTIFS($U$2:$U2236,$U2236,$L$2:$L2236,$L2236)=1,1,0)))</f>
        <v>1</v>
      </c>
      <c r="AA22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6" s="106"/>
      <c r="AC2236" s="51"/>
      <c r="AD2236" s="106" t="s">
        <v>13</v>
      </c>
      <c r="AE2236" s="38" t="s">
        <v>359</v>
      </c>
    </row>
    <row r="2237" spans="1:31" ht="18" customHeight="1" x14ac:dyDescent="0.25">
      <c r="A22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37" s="79">
        <v>3</v>
      </c>
      <c r="C2237" s="23">
        <v>44112</v>
      </c>
      <c r="D2237" s="67">
        <f>IF(COUNTIF($G$2:$G2237,$G2237)=1,1,0)</f>
        <v>1</v>
      </c>
      <c r="E2237" s="67" t="str">
        <f>IFERROR(VLOOKUP(База_КР_КК[[#This Row],[ИД штатной должности (S)]],'уровень защищенности'!$B$7:$F$1095,5,0),"не защищена")</f>
        <v>высокий</v>
      </c>
      <c r="F2237" s="68">
        <v>500147</v>
      </c>
      <c r="G2237" s="74" t="s">
        <v>2651</v>
      </c>
      <c r="H2237" s="181">
        <f>INDEX('Списки данных'!$D$2:$D$1048576,MATCH(База_КР_КК[[#This Row],[Структурное подразделение]],'Списки данных'!$C$2:$C$1048576,0))</f>
        <v>32</v>
      </c>
      <c r="I2237" s="80" t="s">
        <v>146</v>
      </c>
      <c r="J2237" s="80" t="s">
        <v>225</v>
      </c>
      <c r="K2237" s="80" t="s">
        <v>21</v>
      </c>
      <c r="L2237" s="30" t="s">
        <v>186</v>
      </c>
      <c r="M2237" s="68">
        <v>5</v>
      </c>
      <c r="N2237" s="181" t="str">
        <f t="shared" si="35"/>
        <v>нет</v>
      </c>
      <c r="O2237" s="51"/>
      <c r="P2237" s="51"/>
      <c r="Q2237" s="106"/>
      <c r="R2237" s="37">
        <v>479</v>
      </c>
      <c r="S2237" s="39" t="s">
        <v>890</v>
      </c>
      <c r="T2237" s="37">
        <v>1565</v>
      </c>
      <c r="U2237" s="38" t="s">
        <v>1770</v>
      </c>
      <c r="V2237" s="89" t="s">
        <v>198</v>
      </c>
      <c r="W2237" s="89" t="s">
        <v>146</v>
      </c>
      <c r="X2237" s="106" t="s">
        <v>295</v>
      </c>
      <c r="Y2237" s="107" t="s">
        <v>18</v>
      </c>
      <c r="Z2237" s="67">
        <f>IF(База_КР_КК[[#This Row],[Таб.номер резервиста]]="-","-",IF(OR(База_КР_КК[[#This Row],[Уровень КК]]=2,База_КР_КК[[#This Row],[Уровень КК]]=3),IF(COUNTIFS($U$2:$U2237,$U2237,$F$2:$F2237,$F2237)=1,1,0),IF(COUNTIFS($U$2:$U2237,$U2237,$L$2:$L2237,$L2237)=1,1,0)))</f>
        <v>1</v>
      </c>
      <c r="AA22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7" s="106" t="s">
        <v>19</v>
      </c>
      <c r="AC2237" s="51">
        <v>45083</v>
      </c>
      <c r="AD2237" s="106" t="s">
        <v>17</v>
      </c>
      <c r="AE2237" s="38" t="s">
        <v>363</v>
      </c>
    </row>
    <row r="2238" spans="1:31" ht="18" customHeight="1" x14ac:dyDescent="0.25">
      <c r="A22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38" s="79">
        <v>3</v>
      </c>
      <c r="C2238" s="23">
        <v>44733</v>
      </c>
      <c r="D2238" s="67">
        <f>IF(COUNTIF($G$2:$G2238,$G2238)=1,1,0)</f>
        <v>0</v>
      </c>
      <c r="E2238" s="67" t="str">
        <f>IFERROR(VLOOKUP(База_КР_КК[[#This Row],[ИД штатной должности (S)]],'уровень защищенности'!$B$7:$F$1095,5,0),"не защищена")</f>
        <v>высокий</v>
      </c>
      <c r="F2238" s="68">
        <v>500147</v>
      </c>
      <c r="G2238" s="74" t="s">
        <v>2651</v>
      </c>
      <c r="H2238" s="181">
        <f>INDEX('Списки данных'!$D$2:$D$1048576,MATCH(База_КР_КК[[#This Row],[Структурное подразделение]],'Списки данных'!$C$2:$C$1048576,0))</f>
        <v>32</v>
      </c>
      <c r="I2238" s="80" t="s">
        <v>146</v>
      </c>
      <c r="J2238" s="80" t="s">
        <v>225</v>
      </c>
      <c r="K2238" s="80" t="s">
        <v>21</v>
      </c>
      <c r="L2238" s="30" t="s">
        <v>186</v>
      </c>
      <c r="M2238" s="68">
        <v>5</v>
      </c>
      <c r="N2238" s="181" t="str">
        <f t="shared" si="35"/>
        <v>нет</v>
      </c>
      <c r="O2238" s="23"/>
      <c r="P2238" s="23"/>
      <c r="Q2238" s="106"/>
      <c r="R2238" s="37">
        <v>479</v>
      </c>
      <c r="S2238" s="39" t="s">
        <v>890</v>
      </c>
      <c r="T2238" s="37">
        <v>1566</v>
      </c>
      <c r="U2238" s="38" t="s">
        <v>1818</v>
      </c>
      <c r="V2238" s="89" t="s">
        <v>198</v>
      </c>
      <c r="W2238" s="89" t="s">
        <v>146</v>
      </c>
      <c r="X2238" s="106" t="s">
        <v>295</v>
      </c>
      <c r="Y2238" s="107" t="s">
        <v>12</v>
      </c>
      <c r="Z2238" s="67">
        <f>IF(База_КР_КК[[#This Row],[Таб.номер резервиста]]="-","-",IF(OR(База_КР_КК[[#This Row],[Уровень КК]]=2,База_КР_КК[[#This Row],[Уровень КК]]=3),IF(COUNTIFS($U$2:$U2238,$U2238,$F$2:$F2238,$F2238)=1,1,0),IF(COUNTIFS($U$2:$U2238,$U2238,$L$2:$L2238,$L2238)=1,1,0)))</f>
        <v>1</v>
      </c>
      <c r="AA22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8" s="106"/>
      <c r="AC2238" s="51"/>
      <c r="AD2238" s="106" t="s">
        <v>15</v>
      </c>
      <c r="AE2238" s="38" t="s">
        <v>364</v>
      </c>
    </row>
    <row r="2239" spans="1:31" ht="18" customHeight="1" x14ac:dyDescent="0.25">
      <c r="A22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39" s="79">
        <v>3</v>
      </c>
      <c r="C2239" s="23">
        <v>43825</v>
      </c>
      <c r="D2239" s="67">
        <f>IF(COUNTIF($G$2:$G2239,$G2239)=1,1,0)</f>
        <v>1</v>
      </c>
      <c r="E2239" s="67" t="str">
        <f>IFERROR(VLOOKUP(База_КР_КК[[#This Row],[ИД штатной должности (S)]],'уровень защищенности'!$B$7:$F$1095,5,0),"не защищена")</f>
        <v>высокий</v>
      </c>
      <c r="F2239" s="68">
        <v>500029</v>
      </c>
      <c r="G2239" s="74" t="s">
        <v>2652</v>
      </c>
      <c r="H2239" s="181">
        <f>INDEX('Списки данных'!$D$2:$D$1048576,MATCH(База_КР_КК[[#This Row],[Структурное подразделение]],'Списки данных'!$C$2:$C$1048576,0))</f>
        <v>213</v>
      </c>
      <c r="I2239" s="80" t="s">
        <v>165</v>
      </c>
      <c r="J2239" s="80" t="s">
        <v>227</v>
      </c>
      <c r="K2239" s="80" t="s">
        <v>21</v>
      </c>
      <c r="L2239" s="30" t="s">
        <v>183</v>
      </c>
      <c r="M2239" s="68">
        <v>4</v>
      </c>
      <c r="N2239" s="181" t="str">
        <f t="shared" si="35"/>
        <v>нет</v>
      </c>
      <c r="O2239" s="23"/>
      <c r="P2239" s="23"/>
      <c r="Q2239" s="106"/>
      <c r="R2239" s="37">
        <v>480</v>
      </c>
      <c r="S2239" s="39" t="s">
        <v>891</v>
      </c>
      <c r="T2239" s="37">
        <v>1567</v>
      </c>
      <c r="U2239" s="38" t="s">
        <v>1913</v>
      </c>
      <c r="V2239" s="69" t="s">
        <v>187</v>
      </c>
      <c r="W2239" s="89" t="s">
        <v>165</v>
      </c>
      <c r="X2239" s="106" t="s">
        <v>295</v>
      </c>
      <c r="Y2239" s="107" t="s">
        <v>12</v>
      </c>
      <c r="Z2239" s="67">
        <f>IF(База_КР_КК[[#This Row],[Таб.номер резервиста]]="-","-",IF(OR(База_КР_КК[[#This Row],[Уровень КК]]=2,База_КР_КК[[#This Row],[Уровень КК]]=3),IF(COUNTIFS($U$2:$U2239,$U2239,$F$2:$F2239,$F2239)=1,1,0),IF(COUNTIFS($U$2:$U2239,$U2239,$L$2:$L2239,$L2239)=1,1,0)))</f>
        <v>1</v>
      </c>
      <c r="AA22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39" s="106"/>
      <c r="AC2239" s="51"/>
      <c r="AD2239" s="106" t="s">
        <v>17</v>
      </c>
      <c r="AE2239" s="38" t="s">
        <v>352</v>
      </c>
    </row>
    <row r="2240" spans="1:31" ht="18" customHeight="1" x14ac:dyDescent="0.25">
      <c r="A22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40" s="79">
        <v>3</v>
      </c>
      <c r="C2240" s="23">
        <v>43825</v>
      </c>
      <c r="D2240" s="67">
        <f>IF(COUNTIF($G$2:$G2240,$G2240)=1,1,0)</f>
        <v>0</v>
      </c>
      <c r="E2240" s="67" t="str">
        <f>IFERROR(VLOOKUP(База_КР_КК[[#This Row],[ИД штатной должности (S)]],'уровень защищенности'!$B$7:$F$1095,5,0),"не защищена")</f>
        <v>высокий</v>
      </c>
      <c r="F2240" s="68">
        <v>500029</v>
      </c>
      <c r="G2240" s="74" t="s">
        <v>2652</v>
      </c>
      <c r="H2240" s="181">
        <f>INDEX('Списки данных'!$D$2:$D$1048576,MATCH(База_КР_КК[[#This Row],[Структурное подразделение]],'Списки данных'!$C$2:$C$1048576,0))</f>
        <v>213</v>
      </c>
      <c r="I2240" s="80" t="s">
        <v>165</v>
      </c>
      <c r="J2240" s="80" t="s">
        <v>227</v>
      </c>
      <c r="K2240" s="80" t="s">
        <v>21</v>
      </c>
      <c r="L2240" s="30" t="s">
        <v>183</v>
      </c>
      <c r="M2240" s="68">
        <v>4</v>
      </c>
      <c r="N2240" s="181" t="str">
        <f t="shared" ref="N2240:N2302" si="36">IF(ISBLANK(O2240),"нет","да")</f>
        <v>нет</v>
      </c>
      <c r="O2240" s="23"/>
      <c r="P2240" s="23"/>
      <c r="Q2240" s="106"/>
      <c r="R2240" s="37">
        <v>480</v>
      </c>
      <c r="S2240" s="39" t="s">
        <v>891</v>
      </c>
      <c r="T2240" s="37">
        <v>578</v>
      </c>
      <c r="U2240" s="38" t="s">
        <v>987</v>
      </c>
      <c r="V2240" s="69" t="s">
        <v>186</v>
      </c>
      <c r="W2240" s="89" t="s">
        <v>165</v>
      </c>
      <c r="X2240" s="106" t="s">
        <v>297</v>
      </c>
      <c r="Y2240" s="107" t="s">
        <v>12</v>
      </c>
      <c r="Z2240" s="67">
        <f>IF(База_КР_КК[[#This Row],[Таб.номер резервиста]]="-","-",IF(OR(База_КР_КК[[#This Row],[Уровень КК]]=2,База_КР_КК[[#This Row],[Уровень КК]]=3),IF(COUNTIFS($U$2:$U2240,$U2240,$F$2:$F2240,$F2240)=1,1,0),IF(COUNTIFS($U$2:$U2240,$U2240,$L$2:$L2240,$L2240)=1,1,0)))</f>
        <v>1</v>
      </c>
      <c r="AA22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0" s="106"/>
      <c r="AC2240" s="51"/>
      <c r="AD2240" s="106" t="s">
        <v>17</v>
      </c>
      <c r="AE2240" s="38" t="s">
        <v>352</v>
      </c>
    </row>
    <row r="2241" spans="1:31" ht="18" customHeight="1" x14ac:dyDescent="0.25">
      <c r="A22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41" s="79">
        <v>3</v>
      </c>
      <c r="C2241" s="23">
        <v>43825</v>
      </c>
      <c r="D2241" s="67">
        <f>IF(COUNTIF($G$2:$G2241,$G2241)=1,1,0)</f>
        <v>0</v>
      </c>
      <c r="E2241" s="67" t="str">
        <f>IFERROR(VLOOKUP(База_КР_КК[[#This Row],[ИД штатной должности (S)]],'уровень защищенности'!$B$7:$F$1095,5,0),"не защищена")</f>
        <v>высокий</v>
      </c>
      <c r="F2241" s="68">
        <v>500029</v>
      </c>
      <c r="G2241" s="74" t="s">
        <v>2652</v>
      </c>
      <c r="H2241" s="181">
        <f>INDEX('Списки данных'!$D$2:$D$1048576,MATCH(База_КР_КК[[#This Row],[Структурное подразделение]],'Списки данных'!$C$2:$C$1048576,0))</f>
        <v>213</v>
      </c>
      <c r="I2241" s="80" t="s">
        <v>165</v>
      </c>
      <c r="J2241" s="80" t="s">
        <v>227</v>
      </c>
      <c r="K2241" s="80" t="s">
        <v>21</v>
      </c>
      <c r="L2241" s="30" t="s">
        <v>183</v>
      </c>
      <c r="M2241" s="68">
        <v>4</v>
      </c>
      <c r="N2241" s="181" t="str">
        <f t="shared" si="36"/>
        <v>нет</v>
      </c>
      <c r="O2241" s="23"/>
      <c r="P2241" s="23"/>
      <c r="Q2241" s="106"/>
      <c r="R2241" s="37">
        <v>480</v>
      </c>
      <c r="S2241" s="39" t="s">
        <v>891</v>
      </c>
      <c r="T2241" s="37">
        <v>625</v>
      </c>
      <c r="U2241" s="38" t="s">
        <v>1034</v>
      </c>
      <c r="V2241" s="69" t="s">
        <v>186</v>
      </c>
      <c r="W2241" s="89" t="s">
        <v>165</v>
      </c>
      <c r="X2241" s="106" t="s">
        <v>297</v>
      </c>
      <c r="Y2241" s="107" t="s">
        <v>12</v>
      </c>
      <c r="Z2241" s="67">
        <f>IF(База_КР_КК[[#This Row],[Таб.номер резервиста]]="-","-",IF(OR(База_КР_КК[[#This Row],[Уровень КК]]=2,База_КР_КК[[#This Row],[Уровень КК]]=3),IF(COUNTIFS($U$2:$U2241,$U2241,$F$2:$F2241,$F2241)=1,1,0),IF(COUNTIFS($U$2:$U2241,$U2241,$L$2:$L2241,$L2241)=1,1,0)))</f>
        <v>1</v>
      </c>
      <c r="AA22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1" s="106"/>
      <c r="AC2241" s="51"/>
      <c r="AD2241" s="106" t="s">
        <v>17</v>
      </c>
      <c r="AE2241" s="38" t="s">
        <v>352</v>
      </c>
    </row>
    <row r="2242" spans="1:31" ht="18" customHeight="1" x14ac:dyDescent="0.25">
      <c r="A22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42" s="79">
        <v>3</v>
      </c>
      <c r="C2242" s="23">
        <v>43810</v>
      </c>
      <c r="D2242" s="67">
        <f>IF(COUNTIF($G$2:$G2242,$G2242)=1,1,0)</f>
        <v>1</v>
      </c>
      <c r="E2242" s="67" t="str">
        <f>IFERROR(VLOOKUP(База_КР_КК[[#This Row],[ИД штатной должности (S)]],'уровень защищенности'!$B$7:$F$1095,5,0),"не защищена")</f>
        <v>высокий</v>
      </c>
      <c r="F2242" s="68">
        <v>500030</v>
      </c>
      <c r="G2242" s="74" t="s">
        <v>2653</v>
      </c>
      <c r="H2242" s="181">
        <f>INDEX('Списки данных'!$D$2:$D$1048576,MATCH(База_КР_КК[[#This Row],[Структурное подразделение]],'Списки данных'!$C$2:$C$1048576,0))</f>
        <v>218</v>
      </c>
      <c r="I2242" s="80" t="s">
        <v>167</v>
      </c>
      <c r="J2242" s="80" t="s">
        <v>228</v>
      </c>
      <c r="K2242" s="80" t="s">
        <v>21</v>
      </c>
      <c r="L2242" s="30" t="s">
        <v>183</v>
      </c>
      <c r="M2242" s="68">
        <v>4</v>
      </c>
      <c r="N2242" s="181" t="str">
        <f t="shared" si="36"/>
        <v>нет</v>
      </c>
      <c r="O2242" s="23"/>
      <c r="P2242" s="23"/>
      <c r="Q2242" s="106"/>
      <c r="R2242" s="37">
        <v>481</v>
      </c>
      <c r="S2242" s="39" t="s">
        <v>892</v>
      </c>
      <c r="T2242" s="37">
        <v>570</v>
      </c>
      <c r="U2242" s="38" t="s">
        <v>979</v>
      </c>
      <c r="V2242" s="69" t="s">
        <v>186</v>
      </c>
      <c r="W2242" s="89" t="s">
        <v>167</v>
      </c>
      <c r="X2242" s="106" t="s">
        <v>296</v>
      </c>
      <c r="Y2242" s="107" t="s">
        <v>12</v>
      </c>
      <c r="Z2242" s="67">
        <f>IF(База_КР_КК[[#This Row],[Таб.номер резервиста]]="-","-",IF(OR(База_КР_КК[[#This Row],[Уровень КК]]=2,База_КР_КК[[#This Row],[Уровень КК]]=3),IF(COUNTIFS($U$2:$U2242,$U2242,$F$2:$F2242,$F2242)=1,1,0),IF(COUNTIFS($U$2:$U2242,$U2242,$L$2:$L2242,$L2242)=1,1,0)))</f>
        <v>1</v>
      </c>
      <c r="AA22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2" s="106"/>
      <c r="AC2242" s="51"/>
      <c r="AD2242" s="106" t="s">
        <v>13</v>
      </c>
      <c r="AE2242" s="38" t="s">
        <v>352</v>
      </c>
    </row>
    <row r="2243" spans="1:31" ht="18" customHeight="1" x14ac:dyDescent="0.25">
      <c r="A22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43" s="79">
        <v>3</v>
      </c>
      <c r="C2243" s="23">
        <v>43810</v>
      </c>
      <c r="D2243" s="67">
        <f>IF(COUNTIF($G$2:$G2243,$G2243)=1,1,0)</f>
        <v>0</v>
      </c>
      <c r="E2243" s="67" t="str">
        <f>IFERROR(VLOOKUP(База_КР_КК[[#This Row],[ИД штатной должности (S)]],'уровень защищенности'!$B$7:$F$1095,5,0),"не защищена")</f>
        <v>высокий</v>
      </c>
      <c r="F2243" s="68">
        <v>500030</v>
      </c>
      <c r="G2243" s="74" t="s">
        <v>2653</v>
      </c>
      <c r="H2243" s="181">
        <f>INDEX('Списки данных'!$D$2:$D$1048576,MATCH(База_КР_КК[[#This Row],[Структурное подразделение]],'Списки данных'!$C$2:$C$1048576,0))</f>
        <v>218</v>
      </c>
      <c r="I2243" s="80" t="s">
        <v>167</v>
      </c>
      <c r="J2243" s="80" t="s">
        <v>228</v>
      </c>
      <c r="K2243" s="80" t="s">
        <v>21</v>
      </c>
      <c r="L2243" s="30" t="s">
        <v>183</v>
      </c>
      <c r="M2243" s="68">
        <v>4</v>
      </c>
      <c r="N2243" s="181" t="str">
        <f t="shared" si="36"/>
        <v>нет</v>
      </c>
      <c r="O2243" s="23"/>
      <c r="P2243" s="23"/>
      <c r="Q2243" s="106"/>
      <c r="R2243" s="37">
        <v>481</v>
      </c>
      <c r="S2243" s="39" t="s">
        <v>892</v>
      </c>
      <c r="T2243" s="37">
        <v>1568</v>
      </c>
      <c r="U2243" s="38" t="s">
        <v>1914</v>
      </c>
      <c r="V2243" s="69" t="s">
        <v>187</v>
      </c>
      <c r="W2243" s="89" t="s">
        <v>167</v>
      </c>
      <c r="X2243" s="106" t="s">
        <v>295</v>
      </c>
      <c r="Y2243" s="107" t="s">
        <v>12</v>
      </c>
      <c r="Z2243" s="67">
        <f>IF(База_КР_КК[[#This Row],[Таб.номер резервиста]]="-","-",IF(OR(База_КР_КК[[#This Row],[Уровень КК]]=2,База_КР_КК[[#This Row],[Уровень КК]]=3),IF(COUNTIFS($U$2:$U2243,$U2243,$F$2:$F2243,$F2243)=1,1,0),IF(COUNTIFS($U$2:$U2243,$U2243,$L$2:$L2243,$L2243)=1,1,0)))</f>
        <v>1</v>
      </c>
      <c r="AA22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3" s="106"/>
      <c r="AC2243" s="51"/>
      <c r="AD2243" s="106" t="s">
        <v>17</v>
      </c>
      <c r="AE2243" s="38" t="s">
        <v>352</v>
      </c>
    </row>
    <row r="2244" spans="1:31" ht="18" customHeight="1" x14ac:dyDescent="0.25">
      <c r="A22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44" s="79">
        <v>3</v>
      </c>
      <c r="C2244" s="23">
        <v>44894</v>
      </c>
      <c r="D2244" s="67">
        <f>IF(COUNTIF($G$2:$G2244,$G2244)=1,1,0)</f>
        <v>0</v>
      </c>
      <c r="E2244" s="67" t="str">
        <f>IFERROR(VLOOKUP(База_КР_КК[[#This Row],[ИД штатной должности (S)]],'уровень защищенности'!$B$7:$F$1095,5,0),"не защищена")</f>
        <v>высокий</v>
      </c>
      <c r="F2244" s="68">
        <v>500030</v>
      </c>
      <c r="G2244" s="74" t="s">
        <v>2653</v>
      </c>
      <c r="H2244" s="181">
        <f>INDEX('Списки данных'!$D$2:$D$1048576,MATCH(База_КР_КК[[#This Row],[Структурное подразделение]],'Списки данных'!$C$2:$C$1048576,0))</f>
        <v>218</v>
      </c>
      <c r="I2244" s="80" t="s">
        <v>167</v>
      </c>
      <c r="J2244" s="80" t="s">
        <v>228</v>
      </c>
      <c r="K2244" s="80" t="s">
        <v>21</v>
      </c>
      <c r="L2244" s="30" t="s">
        <v>183</v>
      </c>
      <c r="M2244" s="68">
        <v>4</v>
      </c>
      <c r="N2244" s="181" t="str">
        <f t="shared" si="36"/>
        <v>нет</v>
      </c>
      <c r="O2244" s="23"/>
      <c r="P2244" s="23"/>
      <c r="Q2244" s="106"/>
      <c r="R2244" s="37">
        <v>481</v>
      </c>
      <c r="S2244" s="39" t="s">
        <v>892</v>
      </c>
      <c r="T2244" s="37">
        <v>574</v>
      </c>
      <c r="U2244" s="38" t="s">
        <v>983</v>
      </c>
      <c r="V2244" s="69" t="s">
        <v>186</v>
      </c>
      <c r="W2244" s="89" t="s">
        <v>167</v>
      </c>
      <c r="X2244" s="106" t="s">
        <v>296</v>
      </c>
      <c r="Y2244" s="107" t="s">
        <v>12</v>
      </c>
      <c r="Z2244" s="67">
        <f>IF(База_КР_КК[[#This Row],[Таб.номер резервиста]]="-","-",IF(OR(База_КР_КК[[#This Row],[Уровень КК]]=2,База_КР_КК[[#This Row],[Уровень КК]]=3),IF(COUNTIFS($U$2:$U2244,$U2244,$F$2:$F2244,$F2244)=1,1,0),IF(COUNTIFS($U$2:$U2244,$U2244,$L$2:$L2244,$L2244)=1,1,0)))</f>
        <v>1</v>
      </c>
      <c r="AA22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4" s="106"/>
      <c r="AC2244" s="51"/>
      <c r="AD2244" s="106" t="s">
        <v>15</v>
      </c>
      <c r="AE2244" s="38" t="s">
        <v>352</v>
      </c>
    </row>
    <row r="2245" spans="1:31" ht="18" customHeight="1" x14ac:dyDescent="0.25">
      <c r="A22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45" s="79">
        <v>3</v>
      </c>
      <c r="C2245" s="23">
        <v>43214</v>
      </c>
      <c r="D2245" s="67">
        <f>IF(COUNTIF($G$2:$G2245,$G2245)=1,1,0)</f>
        <v>0</v>
      </c>
      <c r="E2245" s="67" t="str">
        <f>IFERROR(VLOOKUP(База_КР_КК[[#This Row],[ИД штатной должности (S)]],'уровень защищенности'!$B$7:$F$1095,5,0),"не защищена")</f>
        <v>высокий</v>
      </c>
      <c r="F2245" s="68">
        <v>500030</v>
      </c>
      <c r="G2245" s="74" t="s">
        <v>2653</v>
      </c>
      <c r="H2245" s="181">
        <f>INDEX('Списки данных'!$D$2:$D$1048576,MATCH(База_КР_КК[[#This Row],[Структурное подразделение]],'Списки данных'!$C$2:$C$1048576,0))</f>
        <v>218</v>
      </c>
      <c r="I2245" s="80" t="s">
        <v>167</v>
      </c>
      <c r="J2245" s="80" t="s">
        <v>228</v>
      </c>
      <c r="K2245" s="80" t="s">
        <v>21</v>
      </c>
      <c r="L2245" s="30" t="s">
        <v>183</v>
      </c>
      <c r="M2245" s="68">
        <v>4</v>
      </c>
      <c r="N2245" s="181" t="str">
        <f t="shared" si="36"/>
        <v>нет</v>
      </c>
      <c r="O2245" s="23"/>
      <c r="P2245" s="23"/>
      <c r="Q2245" s="106"/>
      <c r="R2245" s="37">
        <v>481</v>
      </c>
      <c r="S2245" s="39" t="s">
        <v>892</v>
      </c>
      <c r="T2245" s="37">
        <v>1569</v>
      </c>
      <c r="U2245" s="38" t="s">
        <v>1915</v>
      </c>
      <c r="V2245" s="69" t="s">
        <v>200</v>
      </c>
      <c r="W2245" s="89" t="s">
        <v>167</v>
      </c>
      <c r="X2245" s="106" t="s">
        <v>296</v>
      </c>
      <c r="Y2245" s="107" t="s">
        <v>18</v>
      </c>
      <c r="Z2245" s="67">
        <f>IF(База_КР_КК[[#This Row],[Таб.номер резервиста]]="-","-",IF(OR(База_КР_КК[[#This Row],[Уровень КК]]=2,База_КР_КК[[#This Row],[Уровень КК]]=3),IF(COUNTIFS($U$2:$U2245,$U2245,$F$2:$F2245,$F2245)=1,1,0),IF(COUNTIFS($U$2:$U2245,$U2245,$L$2:$L2245,$L2245)=1,1,0)))</f>
        <v>1</v>
      </c>
      <c r="AA22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5" s="106" t="s">
        <v>33</v>
      </c>
      <c r="AC2245" s="51">
        <v>44894</v>
      </c>
      <c r="AD2245" s="106" t="s">
        <v>31</v>
      </c>
      <c r="AE2245" s="38" t="s">
        <v>352</v>
      </c>
    </row>
    <row r="2246" spans="1:31" ht="18" customHeight="1" x14ac:dyDescent="0.25">
      <c r="A22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46" s="79">
        <v>3</v>
      </c>
      <c r="C2246" s="23">
        <v>43214</v>
      </c>
      <c r="D2246" s="67">
        <f>IF(COUNTIF($G$2:$G2246,$G2246)=1,1,0)</f>
        <v>1</v>
      </c>
      <c r="E2246" s="67" t="str">
        <f>IFERROR(VLOOKUP(База_КР_КК[[#This Row],[ИД штатной должности (S)]],'уровень защищенности'!$B$7:$F$1095,5,0),"не защищена")</f>
        <v>высокий</v>
      </c>
      <c r="F2246" s="68">
        <v>500031</v>
      </c>
      <c r="G2246" s="74" t="s">
        <v>2654</v>
      </c>
      <c r="H2246" s="181">
        <f>INDEX('Списки данных'!$D$2:$D$1048576,MATCH(База_КР_КК[[#This Row],[Структурное подразделение]],'Списки данных'!$C$2:$C$1048576,0))</f>
        <v>214</v>
      </c>
      <c r="I2246" s="80" t="s">
        <v>166</v>
      </c>
      <c r="J2246" s="80" t="s">
        <v>229</v>
      </c>
      <c r="K2246" s="80" t="s">
        <v>21</v>
      </c>
      <c r="L2246" s="30" t="s">
        <v>183</v>
      </c>
      <c r="M2246" s="68">
        <v>4</v>
      </c>
      <c r="N2246" s="181" t="str">
        <f t="shared" si="36"/>
        <v>нет</v>
      </c>
      <c r="O2246" s="23"/>
      <c r="P2246" s="23"/>
      <c r="Q2246" s="106"/>
      <c r="R2246" s="37">
        <v>482</v>
      </c>
      <c r="S2246" s="38" t="s">
        <v>893</v>
      </c>
      <c r="T2246" s="37">
        <v>568</v>
      </c>
      <c r="U2246" s="38" t="s">
        <v>977</v>
      </c>
      <c r="V2246" s="69" t="s">
        <v>186</v>
      </c>
      <c r="W2246" s="89" t="s">
        <v>166</v>
      </c>
      <c r="X2246" s="106" t="s">
        <v>295</v>
      </c>
      <c r="Y2246" s="107" t="s">
        <v>12</v>
      </c>
      <c r="Z2246" s="67">
        <f>IF(База_КР_КК[[#This Row],[Таб.номер резервиста]]="-","-",IF(OR(База_КР_КК[[#This Row],[Уровень КК]]=2,База_КР_КК[[#This Row],[Уровень КК]]=3),IF(COUNTIFS($U$2:$U2246,$U2246,$F$2:$F2246,$F2246)=1,1,0),IF(COUNTIFS($U$2:$U2246,$U2246,$L$2:$L2246,$L2246)=1,1,0)))</f>
        <v>1</v>
      </c>
      <c r="AA22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6" s="106"/>
      <c r="AC2246" s="51"/>
      <c r="AD2246" s="106" t="s">
        <v>17</v>
      </c>
      <c r="AE2246" s="40" t="s">
        <v>352</v>
      </c>
    </row>
    <row r="2247" spans="1:31" ht="18" customHeight="1" x14ac:dyDescent="0.25">
      <c r="A22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47" s="79">
        <v>3</v>
      </c>
      <c r="C2247" s="23">
        <v>44894</v>
      </c>
      <c r="D2247" s="67">
        <f>IF(COUNTIF($G$2:$G2247,$G2247)=1,1,0)</f>
        <v>0</v>
      </c>
      <c r="E2247" s="67" t="str">
        <f>IFERROR(VLOOKUP(База_КР_КК[[#This Row],[ИД штатной должности (S)]],'уровень защищенности'!$B$7:$F$1095,5,0),"не защищена")</f>
        <v>высокий</v>
      </c>
      <c r="F2247" s="68">
        <v>500031</v>
      </c>
      <c r="G2247" s="74" t="s">
        <v>2654</v>
      </c>
      <c r="H2247" s="181">
        <f>INDEX('Списки данных'!$D$2:$D$1048576,MATCH(База_КР_КК[[#This Row],[Структурное подразделение]],'Списки данных'!$C$2:$C$1048576,0))</f>
        <v>214</v>
      </c>
      <c r="I2247" s="80" t="s">
        <v>166</v>
      </c>
      <c r="J2247" s="80" t="s">
        <v>229</v>
      </c>
      <c r="K2247" s="80" t="s">
        <v>21</v>
      </c>
      <c r="L2247" s="30" t="s">
        <v>183</v>
      </c>
      <c r="M2247" s="68">
        <v>4</v>
      </c>
      <c r="N2247" s="181" t="str">
        <f t="shared" si="36"/>
        <v>нет</v>
      </c>
      <c r="O2247" s="23"/>
      <c r="P2247" s="23"/>
      <c r="Q2247" s="106"/>
      <c r="R2247" s="37">
        <v>482</v>
      </c>
      <c r="S2247" s="38" t="s">
        <v>893</v>
      </c>
      <c r="T2247" s="37">
        <v>572</v>
      </c>
      <c r="U2247" s="38" t="s">
        <v>981</v>
      </c>
      <c r="V2247" s="69" t="s">
        <v>186</v>
      </c>
      <c r="W2247" s="89" t="s">
        <v>166</v>
      </c>
      <c r="X2247" s="106" t="s">
        <v>296</v>
      </c>
      <c r="Y2247" s="107" t="s">
        <v>12</v>
      </c>
      <c r="Z2247" s="67">
        <f>IF(База_КР_КК[[#This Row],[Таб.номер резервиста]]="-","-",IF(OR(База_КР_КК[[#This Row],[Уровень КК]]=2,База_КР_КК[[#This Row],[Уровень КК]]=3),IF(COUNTIFS($U$2:$U2247,$U2247,$F$2:$F2247,$F2247)=1,1,0),IF(COUNTIFS($U$2:$U2247,$U2247,$L$2:$L2247,$L2247)=1,1,0)))</f>
        <v>1</v>
      </c>
      <c r="AA22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7" s="106"/>
      <c r="AC2247" s="51"/>
      <c r="AD2247" s="106" t="s">
        <v>15</v>
      </c>
      <c r="AE2247" s="40" t="s">
        <v>352</v>
      </c>
    </row>
    <row r="2248" spans="1:31" ht="18" customHeight="1" x14ac:dyDescent="0.25">
      <c r="A22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48" s="79">
        <v>3</v>
      </c>
      <c r="C2248" s="23">
        <v>43214</v>
      </c>
      <c r="D2248" s="67">
        <f>IF(COUNTIF($G$2:$G2248,$G2248)=1,1,0)</f>
        <v>0</v>
      </c>
      <c r="E2248" s="67" t="str">
        <f>IFERROR(VLOOKUP(База_КР_КК[[#This Row],[ИД штатной должности (S)]],'уровень защищенности'!$B$7:$F$1095,5,0),"не защищена")</f>
        <v>высокий</v>
      </c>
      <c r="F2248" s="68">
        <v>500031</v>
      </c>
      <c r="G2248" s="74" t="s">
        <v>2654</v>
      </c>
      <c r="H2248" s="181">
        <f>INDEX('Списки данных'!$D$2:$D$1048576,MATCH(База_КР_КК[[#This Row],[Структурное подразделение]],'Списки данных'!$C$2:$C$1048576,0))</f>
        <v>214</v>
      </c>
      <c r="I2248" s="80" t="s">
        <v>166</v>
      </c>
      <c r="J2248" s="80" t="s">
        <v>229</v>
      </c>
      <c r="K2248" s="80" t="s">
        <v>21</v>
      </c>
      <c r="L2248" s="30" t="s">
        <v>183</v>
      </c>
      <c r="M2248" s="68">
        <v>4</v>
      </c>
      <c r="N2248" s="181" t="str">
        <f t="shared" si="36"/>
        <v>нет</v>
      </c>
      <c r="O2248" s="23"/>
      <c r="P2248" s="23"/>
      <c r="Q2248" s="106"/>
      <c r="R2248" s="37">
        <v>482</v>
      </c>
      <c r="S2248" s="38" t="s">
        <v>893</v>
      </c>
      <c r="T2248" s="37">
        <v>1571</v>
      </c>
      <c r="U2248" s="38" t="s">
        <v>1916</v>
      </c>
      <c r="V2248" s="69" t="s">
        <v>183</v>
      </c>
      <c r="W2248" s="89" t="s">
        <v>273</v>
      </c>
      <c r="X2248" s="106" t="s">
        <v>296</v>
      </c>
      <c r="Y2248" s="107" t="s">
        <v>18</v>
      </c>
      <c r="Z2248" s="67">
        <f>IF(База_КР_КК[[#This Row],[Таб.номер резервиста]]="-","-",IF(OR(База_КР_КК[[#This Row],[Уровень КК]]=2,База_КР_КК[[#This Row],[Уровень КК]]=3),IF(COUNTIFS($U$2:$U2248,$U2248,$F$2:$F2248,$F2248)=1,1,0),IF(COUNTIFS($U$2:$U2248,$U2248,$L$2:$L2248,$L2248)=1,1,0)))</f>
        <v>1</v>
      </c>
      <c r="AA22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8" s="106" t="s">
        <v>34</v>
      </c>
      <c r="AC2248" s="51">
        <v>44894</v>
      </c>
      <c r="AD2248" s="106" t="s">
        <v>13</v>
      </c>
      <c r="AE2248" s="38" t="s">
        <v>365</v>
      </c>
    </row>
    <row r="2249" spans="1:31" ht="18" customHeight="1" x14ac:dyDescent="0.25">
      <c r="A22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49" s="79">
        <v>3</v>
      </c>
      <c r="C2249" s="23">
        <v>44112</v>
      </c>
      <c r="D2249" s="67">
        <f>IF(COUNTIF($G$2:$G2249,$G2249)=1,1,0)</f>
        <v>1</v>
      </c>
      <c r="E2249" s="67" t="str">
        <f>IFERROR(VLOOKUP(База_КР_КК[[#This Row],[ИД штатной должности (S)]],'уровень защищенности'!$B$7:$F$1095,5,0),"не защищена")</f>
        <v>средний</v>
      </c>
      <c r="F2249" s="68">
        <v>500032</v>
      </c>
      <c r="G2249" s="74" t="s">
        <v>2655</v>
      </c>
      <c r="H2249" s="181">
        <f>INDEX('Списки данных'!$D$2:$D$1048576,MATCH(База_КР_КК[[#This Row],[Структурное подразделение]],'Списки данных'!$C$2:$C$1048576,0))</f>
        <v>33</v>
      </c>
      <c r="I2249" s="80" t="s">
        <v>144</v>
      </c>
      <c r="J2249" s="80" t="s">
        <v>224</v>
      </c>
      <c r="K2249" s="80" t="s">
        <v>21</v>
      </c>
      <c r="L2249" s="30" t="s">
        <v>183</v>
      </c>
      <c r="M2249" s="68">
        <v>5</v>
      </c>
      <c r="N2249" s="181" t="str">
        <f t="shared" si="36"/>
        <v>нет</v>
      </c>
      <c r="O2249" s="23"/>
      <c r="P2249" s="23"/>
      <c r="Q2249" s="106"/>
      <c r="R2249" s="37">
        <v>483</v>
      </c>
      <c r="S2249" s="39" t="s">
        <v>894</v>
      </c>
      <c r="T2249" s="37">
        <v>472</v>
      </c>
      <c r="U2249" s="38" t="s">
        <v>884</v>
      </c>
      <c r="V2249" s="69" t="s">
        <v>198</v>
      </c>
      <c r="W2249" s="89" t="s">
        <v>144</v>
      </c>
      <c r="X2249" s="106" t="s">
        <v>297</v>
      </c>
      <c r="Y2249" s="107" t="s">
        <v>12</v>
      </c>
      <c r="Z2249" s="67">
        <f>IF(База_КР_КК[[#This Row],[Таб.номер резервиста]]="-","-",IF(OR(База_КР_КК[[#This Row],[Уровень КК]]=2,База_КР_КК[[#This Row],[Уровень КК]]=3),IF(COUNTIFS($U$2:$U2249,$U2249,$F$2:$F2249,$F2249)=1,1,0),IF(COUNTIFS($U$2:$U2249,$U2249,$L$2:$L2249,$L2249)=1,1,0)))</f>
        <v>1</v>
      </c>
      <c r="AA22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49" s="106"/>
      <c r="AC2249" s="51"/>
      <c r="AD2249" s="106" t="s">
        <v>17</v>
      </c>
      <c r="AE2249" s="38" t="s">
        <v>359</v>
      </c>
    </row>
    <row r="2250" spans="1:31" ht="18" customHeight="1" x14ac:dyDescent="0.25">
      <c r="A22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50" s="79">
        <v>3</v>
      </c>
      <c r="C2250" s="23">
        <v>44110</v>
      </c>
      <c r="D2250" s="67">
        <f>IF(COUNTIF($G$2:$G2250,$G2250)=1,1,0)</f>
        <v>0</v>
      </c>
      <c r="E2250" s="67" t="str">
        <f>IFERROR(VLOOKUP(База_КР_КК[[#This Row],[ИД штатной должности (S)]],'уровень защищенности'!$B$7:$F$1095,5,0),"не защищена")</f>
        <v>средний</v>
      </c>
      <c r="F2250" s="68">
        <v>500032</v>
      </c>
      <c r="G2250" s="74" t="s">
        <v>2655</v>
      </c>
      <c r="H2250" s="181">
        <f>INDEX('Списки данных'!$D$2:$D$1048576,MATCH(База_КР_КК[[#This Row],[Структурное подразделение]],'Списки данных'!$C$2:$C$1048576,0))</f>
        <v>33</v>
      </c>
      <c r="I2250" s="80" t="s">
        <v>144</v>
      </c>
      <c r="J2250" s="80" t="s">
        <v>224</v>
      </c>
      <c r="K2250" s="80" t="s">
        <v>21</v>
      </c>
      <c r="L2250" s="30" t="s">
        <v>183</v>
      </c>
      <c r="M2250" s="68">
        <v>5</v>
      </c>
      <c r="N2250" s="181" t="str">
        <f t="shared" si="36"/>
        <v>нет</v>
      </c>
      <c r="O2250" s="23"/>
      <c r="P2250" s="23"/>
      <c r="Q2250" s="106"/>
      <c r="R2250" s="37">
        <v>483</v>
      </c>
      <c r="S2250" s="39" t="s">
        <v>894</v>
      </c>
      <c r="T2250" s="37">
        <v>471</v>
      </c>
      <c r="U2250" s="38" t="s">
        <v>883</v>
      </c>
      <c r="V2250" s="69" t="s">
        <v>198</v>
      </c>
      <c r="W2250" s="89" t="s">
        <v>144</v>
      </c>
      <c r="X2250" s="106" t="s">
        <v>297</v>
      </c>
      <c r="Y2250" s="107" t="s">
        <v>12</v>
      </c>
      <c r="Z2250" s="67">
        <f>IF(База_КР_КК[[#This Row],[Таб.номер резервиста]]="-","-",IF(OR(База_КР_КК[[#This Row],[Уровень КК]]=2,База_КР_КК[[#This Row],[Уровень КК]]=3),IF(COUNTIFS($U$2:$U2250,$U2250,$F$2:$F2250,$F2250)=1,1,0),IF(COUNTIFS($U$2:$U2250,$U2250,$L$2:$L2250,$L2250)=1,1,0)))</f>
        <v>1</v>
      </c>
      <c r="AA22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50" s="106"/>
      <c r="AC2250" s="51"/>
      <c r="AD2250" s="106" t="s">
        <v>13</v>
      </c>
      <c r="AE2250" s="38" t="s">
        <v>359</v>
      </c>
    </row>
    <row r="2251" spans="1:31" ht="18" customHeight="1" x14ac:dyDescent="0.25">
      <c r="A22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51" s="79">
        <v>3</v>
      </c>
      <c r="C2251" s="23">
        <v>43399</v>
      </c>
      <c r="D2251" s="67">
        <f>IF(COUNTIF($G$2:$G2251,$G2251)=1,1,0)</f>
        <v>1</v>
      </c>
      <c r="E2251" s="67" t="str">
        <f>IFERROR(VLOOKUP(База_КР_КК[[#This Row],[ИД штатной должности (S)]],'уровень защищенности'!$B$7:$F$1095,5,0),"не защищена")</f>
        <v>высокий</v>
      </c>
      <c r="F2251" s="68">
        <v>500148</v>
      </c>
      <c r="G2251" s="74" t="s">
        <v>2656</v>
      </c>
      <c r="H2251" s="181">
        <f>INDEX('Списки данных'!$D$2:$D$1048576,MATCH(База_КР_КК[[#This Row],[Структурное подразделение]],'Списки данных'!$C$2:$C$1048576,0))</f>
        <v>32</v>
      </c>
      <c r="I2251" s="80" t="s">
        <v>146</v>
      </c>
      <c r="J2251" s="80" t="s">
        <v>225</v>
      </c>
      <c r="K2251" s="80" t="s">
        <v>21</v>
      </c>
      <c r="L2251" s="30" t="s">
        <v>186</v>
      </c>
      <c r="M2251" s="68">
        <v>5</v>
      </c>
      <c r="N2251" s="181" t="str">
        <f t="shared" si="36"/>
        <v>нет</v>
      </c>
      <c r="O2251" s="23"/>
      <c r="P2251" s="23"/>
      <c r="Q2251" s="106"/>
      <c r="R2251" s="37">
        <v>484</v>
      </c>
      <c r="S2251" s="39" t="s">
        <v>895</v>
      </c>
      <c r="T2251" s="37">
        <v>1572</v>
      </c>
      <c r="U2251" s="38" t="s">
        <v>1917</v>
      </c>
      <c r="V2251" s="69" t="s">
        <v>198</v>
      </c>
      <c r="W2251" s="89" t="s">
        <v>146</v>
      </c>
      <c r="X2251" s="106" t="s">
        <v>295</v>
      </c>
      <c r="Y2251" s="107" t="s">
        <v>12</v>
      </c>
      <c r="Z2251" s="67">
        <f>IF(База_КР_КК[[#This Row],[Таб.номер резервиста]]="-","-",IF(OR(База_КР_КК[[#This Row],[Уровень КК]]=2,База_КР_КК[[#This Row],[Уровень КК]]=3),IF(COUNTIFS($U$2:$U2251,$U2251,$F$2:$F2251,$F2251)=1,1,0),IF(COUNTIFS($U$2:$U2251,$U2251,$L$2:$L2251,$L2251)=1,1,0)))</f>
        <v>1</v>
      </c>
      <c r="AA22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51" s="106"/>
      <c r="AC2251" s="51"/>
      <c r="AD2251" s="106" t="s">
        <v>13</v>
      </c>
      <c r="AE2251" s="38" t="s">
        <v>364</v>
      </c>
    </row>
    <row r="2252" spans="1:31" ht="18" customHeight="1" x14ac:dyDescent="0.25">
      <c r="A22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52" s="79">
        <v>3</v>
      </c>
      <c r="C2252" s="23">
        <v>44733</v>
      </c>
      <c r="D2252" s="67">
        <f>IF(COUNTIF($G$2:$G2252,$G2252)=1,1,0)</f>
        <v>0</v>
      </c>
      <c r="E2252" s="67" t="str">
        <f>IFERROR(VLOOKUP(База_КР_КК[[#This Row],[ИД штатной должности (S)]],'уровень защищенности'!$B$7:$F$1095,5,0),"не защищена")</f>
        <v>высокий</v>
      </c>
      <c r="F2252" s="68">
        <v>500148</v>
      </c>
      <c r="G2252" s="74" t="s">
        <v>2656</v>
      </c>
      <c r="H2252" s="181">
        <f>INDEX('Списки данных'!$D$2:$D$1048576,MATCH(База_КР_КК[[#This Row],[Структурное подразделение]],'Списки данных'!$C$2:$C$1048576,0))</f>
        <v>32</v>
      </c>
      <c r="I2252" s="80" t="s">
        <v>146</v>
      </c>
      <c r="J2252" s="80" t="s">
        <v>225</v>
      </c>
      <c r="K2252" s="80" t="s">
        <v>21</v>
      </c>
      <c r="L2252" s="30" t="s">
        <v>186</v>
      </c>
      <c r="M2252" s="68">
        <v>5</v>
      </c>
      <c r="N2252" s="181" t="str">
        <f t="shared" si="36"/>
        <v>нет</v>
      </c>
      <c r="O2252" s="23"/>
      <c r="P2252" s="23"/>
      <c r="Q2252" s="106"/>
      <c r="R2252" s="37">
        <v>484</v>
      </c>
      <c r="S2252" s="39" t="s">
        <v>895</v>
      </c>
      <c r="T2252" s="37">
        <v>1573</v>
      </c>
      <c r="U2252" s="38" t="s">
        <v>1918</v>
      </c>
      <c r="V2252" s="69" t="s">
        <v>189</v>
      </c>
      <c r="W2252" s="89" t="s">
        <v>146</v>
      </c>
      <c r="X2252" s="106" t="s">
        <v>296</v>
      </c>
      <c r="Y2252" s="107" t="s">
        <v>12</v>
      </c>
      <c r="Z2252" s="67">
        <f>IF(База_КР_КК[[#This Row],[Таб.номер резервиста]]="-","-",IF(OR(База_КР_КК[[#This Row],[Уровень КК]]=2,База_КР_КК[[#This Row],[Уровень КК]]=3),IF(COUNTIFS($U$2:$U2252,$U2252,$F$2:$F2252,$F2252)=1,1,0),IF(COUNTIFS($U$2:$U2252,$U2252,$L$2:$L2252,$L2252)=1,1,0)))</f>
        <v>1</v>
      </c>
      <c r="AA22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52" s="106"/>
      <c r="AC2252" s="51"/>
      <c r="AD2252" s="106" t="s">
        <v>13</v>
      </c>
      <c r="AE2252" s="38" t="s">
        <v>364</v>
      </c>
    </row>
    <row r="2253" spans="1:31" ht="18" customHeight="1" x14ac:dyDescent="0.25">
      <c r="A22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53" s="79">
        <v>3</v>
      </c>
      <c r="C2253" s="23">
        <v>43399</v>
      </c>
      <c r="D2253" s="67">
        <f>IF(COUNTIF($G$2:$G2253,$G2253)=1,1,0)</f>
        <v>1</v>
      </c>
      <c r="E2253" s="67" t="str">
        <f>IFERROR(VLOOKUP(База_КР_КК[[#This Row],[ИД штатной должности (S)]],'уровень защищенности'!$B$7:$F$1095,5,0),"не защищена")</f>
        <v>средний</v>
      </c>
      <c r="F2253" s="68">
        <v>500033</v>
      </c>
      <c r="G2253" s="74" t="s">
        <v>2657</v>
      </c>
      <c r="H2253" s="181">
        <f>INDEX('Списки данных'!$D$2:$D$1048576,MATCH(База_КР_КК[[#This Row],[Структурное подразделение]],'Списки данных'!$C$2:$C$1048576,0))</f>
        <v>36</v>
      </c>
      <c r="I2253" s="80" t="s">
        <v>141</v>
      </c>
      <c r="J2253" s="80" t="s">
        <v>230</v>
      </c>
      <c r="K2253" s="80" t="s">
        <v>21</v>
      </c>
      <c r="L2253" s="30" t="s">
        <v>183</v>
      </c>
      <c r="M2253" s="68">
        <v>5</v>
      </c>
      <c r="N2253" s="181" t="str">
        <f t="shared" si="36"/>
        <v>да</v>
      </c>
      <c r="O2253" s="23">
        <v>44707</v>
      </c>
      <c r="P2253" s="23">
        <v>44719</v>
      </c>
      <c r="Q2253" s="106" t="s">
        <v>66</v>
      </c>
      <c r="R2253" s="37">
        <v>485</v>
      </c>
      <c r="S2253" s="38" t="s">
        <v>896</v>
      </c>
      <c r="T2253" s="37">
        <v>1574</v>
      </c>
      <c r="U2253" s="38" t="s">
        <v>1919</v>
      </c>
      <c r="V2253" s="69" t="s">
        <v>272</v>
      </c>
      <c r="W2253" s="89" t="s">
        <v>141</v>
      </c>
      <c r="X2253" s="106" t="s">
        <v>296</v>
      </c>
      <c r="Y2253" s="107" t="s">
        <v>12</v>
      </c>
      <c r="Z2253" s="67">
        <f>IF(База_КР_КК[[#This Row],[Таб.номер резервиста]]="-","-",IF(OR(База_КР_КК[[#This Row],[Уровень КК]]=2,База_КР_КК[[#This Row],[Уровень КК]]=3),IF(COUNTIFS($U$2:$U2253,$U2253,$F$2:$F2253,$F2253)=1,1,0),IF(COUNTIFS($U$2:$U2253,$U2253,$L$2:$L2253,$L2253)=1,1,0)))</f>
        <v>1</v>
      </c>
      <c r="AA22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53" s="106"/>
      <c r="AC2253" s="51"/>
      <c r="AD2253" s="106" t="s">
        <v>13</v>
      </c>
      <c r="AE2253" s="38" t="s">
        <v>359</v>
      </c>
    </row>
    <row r="2254" spans="1:31" ht="18" customHeight="1" x14ac:dyDescent="0.25">
      <c r="A22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54" s="79">
        <v>3</v>
      </c>
      <c r="C2254" s="23">
        <v>43399</v>
      </c>
      <c r="D2254" s="67">
        <f>IF(COUNTIF($G$2:$G2254,$G2254)=1,1,0)</f>
        <v>0</v>
      </c>
      <c r="E2254" s="67" t="str">
        <f>IFERROR(VLOOKUP(База_КР_КК[[#This Row],[ИД штатной должности (S)]],'уровень защищенности'!$B$7:$F$1095,5,0),"не защищена")</f>
        <v>средний</v>
      </c>
      <c r="F2254" s="68">
        <v>500033</v>
      </c>
      <c r="G2254" s="74" t="s">
        <v>2657</v>
      </c>
      <c r="H2254" s="181">
        <f>INDEX('Списки данных'!$D$2:$D$1048576,MATCH(База_КР_КК[[#This Row],[Структурное подразделение]],'Списки данных'!$C$2:$C$1048576,0))</f>
        <v>36</v>
      </c>
      <c r="I2254" s="80" t="s">
        <v>141</v>
      </c>
      <c r="J2254" s="80" t="s">
        <v>230</v>
      </c>
      <c r="K2254" s="80" t="s">
        <v>21</v>
      </c>
      <c r="L2254" s="30" t="s">
        <v>183</v>
      </c>
      <c r="M2254" s="68">
        <v>5</v>
      </c>
      <c r="N2254" s="181" t="str">
        <f t="shared" si="36"/>
        <v>да</v>
      </c>
      <c r="O2254" s="23">
        <v>44707</v>
      </c>
      <c r="P2254" s="23">
        <v>44719</v>
      </c>
      <c r="Q2254" s="106" t="s">
        <v>66</v>
      </c>
      <c r="R2254" s="37">
        <v>485</v>
      </c>
      <c r="S2254" s="38" t="s">
        <v>896</v>
      </c>
      <c r="T2254" s="37">
        <v>614</v>
      </c>
      <c r="U2254" s="38" t="s">
        <v>1023</v>
      </c>
      <c r="V2254" s="69" t="s">
        <v>187</v>
      </c>
      <c r="W2254" s="89" t="s">
        <v>145</v>
      </c>
      <c r="X2254" s="106" t="s">
        <v>296</v>
      </c>
      <c r="Y2254" s="107" t="s">
        <v>12</v>
      </c>
      <c r="Z2254" s="67">
        <f>IF(База_КР_КК[[#This Row],[Таб.номер резервиста]]="-","-",IF(OR(База_КР_КК[[#This Row],[Уровень КК]]=2,База_КР_КК[[#This Row],[Уровень КК]]=3),IF(COUNTIFS($U$2:$U2254,$U2254,$F$2:$F2254,$F2254)=1,1,0),IF(COUNTIFS($U$2:$U2254,$U2254,$L$2:$L2254,$L2254)=1,1,0)))</f>
        <v>1</v>
      </c>
      <c r="AA22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54" s="106"/>
      <c r="AC2254" s="51"/>
      <c r="AD2254" s="106" t="s">
        <v>13</v>
      </c>
      <c r="AE2254" s="38" t="s">
        <v>359</v>
      </c>
    </row>
    <row r="2255" spans="1:31" ht="18" customHeight="1" x14ac:dyDescent="0.25">
      <c r="A22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55" s="79">
        <v>3</v>
      </c>
      <c r="C2255" s="23">
        <v>44112</v>
      </c>
      <c r="D2255" s="67">
        <f>IF(COUNTIF($G$2:$G2255,$G2255)=1,1,0)</f>
        <v>0</v>
      </c>
      <c r="E2255" s="67" t="str">
        <f>IFERROR(VLOOKUP(База_КР_КК[[#This Row],[ИД штатной должности (S)]],'уровень защищенности'!$B$7:$F$1095,5,0),"не защищена")</f>
        <v>средний</v>
      </c>
      <c r="F2255" s="68">
        <v>500033</v>
      </c>
      <c r="G2255" s="74" t="s">
        <v>2657</v>
      </c>
      <c r="H2255" s="181">
        <f>INDEX('Списки данных'!$D$2:$D$1048576,MATCH(База_КР_КК[[#This Row],[Структурное подразделение]],'Списки данных'!$C$2:$C$1048576,0))</f>
        <v>36</v>
      </c>
      <c r="I2255" s="80" t="s">
        <v>141</v>
      </c>
      <c r="J2255" s="80" t="s">
        <v>230</v>
      </c>
      <c r="K2255" s="80" t="s">
        <v>21</v>
      </c>
      <c r="L2255" s="30" t="s">
        <v>183</v>
      </c>
      <c r="M2255" s="68">
        <v>5</v>
      </c>
      <c r="N2255" s="181" t="str">
        <f t="shared" si="36"/>
        <v>да</v>
      </c>
      <c r="O2255" s="23">
        <v>44707</v>
      </c>
      <c r="P2255" s="23">
        <v>44719</v>
      </c>
      <c r="Q2255" s="106" t="s">
        <v>66</v>
      </c>
      <c r="R2255" s="37">
        <v>485</v>
      </c>
      <c r="S2255" s="38" t="s">
        <v>896</v>
      </c>
      <c r="T2255" s="37">
        <v>1575</v>
      </c>
      <c r="U2255" s="38" t="s">
        <v>1871</v>
      </c>
      <c r="V2255" s="69" t="s">
        <v>198</v>
      </c>
      <c r="W2255" s="89" t="s">
        <v>141</v>
      </c>
      <c r="X2255" s="106" t="s">
        <v>297</v>
      </c>
      <c r="Y2255" s="107" t="s">
        <v>12</v>
      </c>
      <c r="Z2255" s="67">
        <f>IF(База_КР_КК[[#This Row],[Таб.номер резервиста]]="-","-",IF(OR(База_КР_КК[[#This Row],[Уровень КК]]=2,База_КР_КК[[#This Row],[Уровень КК]]=3),IF(COUNTIFS($U$2:$U2255,$U2255,$F$2:$F2255,$F2255)=1,1,0),IF(COUNTIFS($U$2:$U2255,$U2255,$L$2:$L2255,$L2255)=1,1,0)))</f>
        <v>1</v>
      </c>
      <c r="AA22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55" s="106"/>
      <c r="AC2255" s="51"/>
      <c r="AD2255" s="106" t="s">
        <v>17</v>
      </c>
      <c r="AE2255" s="38" t="s">
        <v>359</v>
      </c>
    </row>
    <row r="2256" spans="1:31" ht="18" customHeight="1" x14ac:dyDescent="0.25">
      <c r="A22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56" s="79">
        <v>3</v>
      </c>
      <c r="C2256" s="23">
        <v>43399</v>
      </c>
      <c r="D2256" s="67">
        <f>IF(COUNTIF($G$2:$G2256,$G2256)=1,1,0)</f>
        <v>0</v>
      </c>
      <c r="E2256" s="67" t="str">
        <f>IFERROR(VLOOKUP(База_КР_КК[[#This Row],[ИД штатной должности (S)]],'уровень защищенности'!$B$7:$F$1095,5,0),"не защищена")</f>
        <v>средний</v>
      </c>
      <c r="F2256" s="68">
        <v>500033</v>
      </c>
      <c r="G2256" s="74" t="s">
        <v>2657</v>
      </c>
      <c r="H2256" s="181">
        <f>INDEX('Списки данных'!$D$2:$D$1048576,MATCH(База_КР_КК[[#This Row],[Структурное подразделение]],'Списки данных'!$C$2:$C$1048576,0))</f>
        <v>36</v>
      </c>
      <c r="I2256" s="80" t="s">
        <v>141</v>
      </c>
      <c r="J2256" s="80" t="s">
        <v>230</v>
      </c>
      <c r="K2256" s="80" t="s">
        <v>21</v>
      </c>
      <c r="L2256" s="30" t="s">
        <v>183</v>
      </c>
      <c r="M2256" s="68">
        <v>5</v>
      </c>
      <c r="N2256" s="181" t="str">
        <f t="shared" si="36"/>
        <v>да</v>
      </c>
      <c r="O2256" s="23">
        <v>44707</v>
      </c>
      <c r="P2256" s="23">
        <v>44719</v>
      </c>
      <c r="Q2256" s="106" t="s">
        <v>66</v>
      </c>
      <c r="R2256" s="37">
        <v>485</v>
      </c>
      <c r="S2256" s="38" t="s">
        <v>896</v>
      </c>
      <c r="T2256" s="37">
        <v>485</v>
      </c>
      <c r="U2256" s="38" t="s">
        <v>896</v>
      </c>
      <c r="V2256" s="69" t="s">
        <v>198</v>
      </c>
      <c r="W2256" s="89" t="s">
        <v>141</v>
      </c>
      <c r="X2256" s="106" t="s">
        <v>297</v>
      </c>
      <c r="Y2256" s="107" t="s">
        <v>14</v>
      </c>
      <c r="Z2256" s="67">
        <f>IF(База_КР_КК[[#This Row],[Таб.номер резервиста]]="-","-",IF(OR(База_КР_КК[[#This Row],[Уровень КК]]=2,База_КР_КК[[#This Row],[Уровень КК]]=3),IF(COUNTIFS($U$2:$U2256,$U2256,$F$2:$F2256,$F2256)=1,1,0),IF(COUNTIFS($U$2:$U2256,$U2256,$L$2:$L2256,$L2256)=1,1,0)))</f>
        <v>1</v>
      </c>
      <c r="AA22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256" s="106" t="s">
        <v>24</v>
      </c>
      <c r="AC2256" s="51">
        <v>44719</v>
      </c>
      <c r="AD2256" s="106" t="s">
        <v>17</v>
      </c>
      <c r="AE2256" s="38" t="s">
        <v>363</v>
      </c>
    </row>
    <row r="2257" spans="1:31" ht="18" customHeight="1" x14ac:dyDescent="0.25">
      <c r="A22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57" s="79">
        <v>3</v>
      </c>
      <c r="C2257" s="23">
        <v>43399</v>
      </c>
      <c r="D2257" s="67">
        <f>IF(COUNTIF($G$2:$G2257,$G2257)=1,1,0)</f>
        <v>1</v>
      </c>
      <c r="E2257" s="67" t="str">
        <f>IFERROR(VLOOKUP(База_КР_КК[[#This Row],[ИД штатной должности (S)]],'уровень защищенности'!$B$7:$F$1095,5,0),"не защищена")</f>
        <v>высокий</v>
      </c>
      <c r="F2257" s="68">
        <v>500034</v>
      </c>
      <c r="G2257" s="74" t="s">
        <v>2658</v>
      </c>
      <c r="H2257" s="181">
        <f>INDEX('Списки данных'!$D$2:$D$1048576,MATCH(База_КР_КК[[#This Row],[Структурное подразделение]],'Списки данных'!$C$2:$C$1048576,0))</f>
        <v>47</v>
      </c>
      <c r="I2257" s="80" t="s">
        <v>140</v>
      </c>
      <c r="J2257" s="80" t="s">
        <v>231</v>
      </c>
      <c r="K2257" s="80" t="s">
        <v>21</v>
      </c>
      <c r="L2257" s="30" t="s">
        <v>183</v>
      </c>
      <c r="M2257" s="68">
        <v>5</v>
      </c>
      <c r="N2257" s="181" t="str">
        <f t="shared" si="36"/>
        <v>да</v>
      </c>
      <c r="O2257" s="23">
        <v>44440</v>
      </c>
      <c r="P2257" s="23">
        <v>44440</v>
      </c>
      <c r="Q2257" s="106" t="s">
        <v>66</v>
      </c>
      <c r="R2257" s="37">
        <v>486</v>
      </c>
      <c r="S2257" s="38" t="s">
        <v>897</v>
      </c>
      <c r="T2257" s="37">
        <v>497</v>
      </c>
      <c r="U2257" s="38" t="s">
        <v>907</v>
      </c>
      <c r="V2257" s="69" t="s">
        <v>189</v>
      </c>
      <c r="W2257" s="89" t="s">
        <v>145</v>
      </c>
      <c r="X2257" s="106" t="s">
        <v>295</v>
      </c>
      <c r="Y2257" s="107" t="s">
        <v>12</v>
      </c>
      <c r="Z2257" s="67">
        <f>IF(База_КР_КК[[#This Row],[Таб.номер резервиста]]="-","-",IF(OR(База_КР_КК[[#This Row],[Уровень КК]]=2,База_КР_КК[[#This Row],[Уровень КК]]=3),IF(COUNTIFS($U$2:$U2257,$U2257,$F$2:$F2257,$F2257)=1,1,0),IF(COUNTIFS($U$2:$U2257,$U2257,$L$2:$L2257,$L2257)=1,1,0)))</f>
        <v>1</v>
      </c>
      <c r="AA22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57" s="106"/>
      <c r="AC2257" s="51"/>
      <c r="AD2257" s="106" t="s">
        <v>13</v>
      </c>
      <c r="AE2257" s="38" t="s">
        <v>359</v>
      </c>
    </row>
    <row r="2258" spans="1:31" ht="18" customHeight="1" x14ac:dyDescent="0.25">
      <c r="A22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58" s="79">
        <v>3</v>
      </c>
      <c r="C2258" s="23">
        <v>43399</v>
      </c>
      <c r="D2258" s="67">
        <f>IF(COUNTIF($G$2:$G2258,$G2258)=1,1,0)</f>
        <v>0</v>
      </c>
      <c r="E2258" s="67" t="str">
        <f>IFERROR(VLOOKUP(База_КР_КК[[#This Row],[ИД штатной должности (S)]],'уровень защищенности'!$B$7:$F$1095,5,0),"не защищена")</f>
        <v>высокий</v>
      </c>
      <c r="F2258" s="68">
        <v>500034</v>
      </c>
      <c r="G2258" s="74" t="s">
        <v>2658</v>
      </c>
      <c r="H2258" s="181">
        <f>INDEX('Списки данных'!$D$2:$D$1048576,MATCH(База_КР_КК[[#This Row],[Структурное подразделение]],'Списки данных'!$C$2:$C$1048576,0))</f>
        <v>47</v>
      </c>
      <c r="I2258" s="80" t="s">
        <v>140</v>
      </c>
      <c r="J2258" s="80" t="s">
        <v>231</v>
      </c>
      <c r="K2258" s="80" t="s">
        <v>21</v>
      </c>
      <c r="L2258" s="30" t="s">
        <v>183</v>
      </c>
      <c r="M2258" s="68">
        <v>5</v>
      </c>
      <c r="N2258" s="181" t="str">
        <f t="shared" si="36"/>
        <v>да</v>
      </c>
      <c r="O2258" s="23">
        <v>44440</v>
      </c>
      <c r="P2258" s="23">
        <v>44440</v>
      </c>
      <c r="Q2258" s="106" t="s">
        <v>66</v>
      </c>
      <c r="R2258" s="37">
        <v>486</v>
      </c>
      <c r="S2258" s="38" t="s">
        <v>897</v>
      </c>
      <c r="T2258" s="37">
        <v>1576</v>
      </c>
      <c r="U2258" s="38" t="s">
        <v>1920</v>
      </c>
      <c r="V2258" s="69" t="s">
        <v>198</v>
      </c>
      <c r="W2258" s="89" t="s">
        <v>140</v>
      </c>
      <c r="X2258" s="106" t="s">
        <v>297</v>
      </c>
      <c r="Y2258" s="107" t="s">
        <v>12</v>
      </c>
      <c r="Z2258" s="67">
        <f>IF(База_КР_КК[[#This Row],[Таб.номер резервиста]]="-","-",IF(OR(База_КР_КК[[#This Row],[Уровень КК]]=2,База_КР_КК[[#This Row],[Уровень КК]]=3),IF(COUNTIFS($U$2:$U2258,$U2258,$F$2:$F2258,$F2258)=1,1,0),IF(COUNTIFS($U$2:$U2258,$U2258,$L$2:$L2258,$L2258)=1,1,0)))</f>
        <v>1</v>
      </c>
      <c r="AA22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58" s="106"/>
      <c r="AC2258" s="51"/>
      <c r="AD2258" s="106" t="s">
        <v>17</v>
      </c>
      <c r="AE2258" s="38" t="s">
        <v>359</v>
      </c>
    </row>
    <row r="2259" spans="1:31" ht="18" customHeight="1" x14ac:dyDescent="0.25">
      <c r="A22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59" s="79">
        <v>3</v>
      </c>
      <c r="C2259" s="23">
        <v>43399</v>
      </c>
      <c r="D2259" s="67">
        <f>IF(COUNTIF($G$2:$G2259,$G2259)=1,1,0)</f>
        <v>0</v>
      </c>
      <c r="E2259" s="67" t="str">
        <f>IFERROR(VLOOKUP(База_КР_КК[[#This Row],[ИД штатной должности (S)]],'уровень защищенности'!$B$7:$F$1095,5,0),"не защищена")</f>
        <v>высокий</v>
      </c>
      <c r="F2259" s="68">
        <v>500034</v>
      </c>
      <c r="G2259" s="74" t="s">
        <v>2658</v>
      </c>
      <c r="H2259" s="181">
        <f>INDEX('Списки данных'!$D$2:$D$1048576,MATCH(База_КР_КК[[#This Row],[Структурное подразделение]],'Списки данных'!$C$2:$C$1048576,0))</f>
        <v>47</v>
      </c>
      <c r="I2259" s="80" t="s">
        <v>140</v>
      </c>
      <c r="J2259" s="80" t="s">
        <v>231</v>
      </c>
      <c r="K2259" s="80" t="s">
        <v>21</v>
      </c>
      <c r="L2259" s="30" t="s">
        <v>183</v>
      </c>
      <c r="M2259" s="68">
        <v>5</v>
      </c>
      <c r="N2259" s="181" t="str">
        <f t="shared" si="36"/>
        <v>да</v>
      </c>
      <c r="O2259" s="23">
        <v>44440</v>
      </c>
      <c r="P2259" s="23">
        <v>44440</v>
      </c>
      <c r="Q2259" s="106" t="s">
        <v>66</v>
      </c>
      <c r="R2259" s="37">
        <v>486</v>
      </c>
      <c r="S2259" s="38" t="s">
        <v>897</v>
      </c>
      <c r="T2259" s="37">
        <v>486</v>
      </c>
      <c r="U2259" s="38" t="s">
        <v>897</v>
      </c>
      <c r="V2259" s="69" t="s">
        <v>187</v>
      </c>
      <c r="W2259" s="89" t="s">
        <v>140</v>
      </c>
      <c r="X2259" s="106" t="s">
        <v>297</v>
      </c>
      <c r="Y2259" s="107" t="s">
        <v>14</v>
      </c>
      <c r="Z2259" s="67">
        <f>IF(База_КР_КК[[#This Row],[Таб.номер резервиста]]="-","-",IF(OR(База_КР_КК[[#This Row],[Уровень КК]]=2,База_КР_КК[[#This Row],[Уровень КК]]=3),IF(COUNTIFS($U$2:$U2259,$U2259,$F$2:$F2259,$F2259)=1,1,0),IF(COUNTIFS($U$2:$U2259,$U2259,$L$2:$L2259,$L2259)=1,1,0)))</f>
        <v>1</v>
      </c>
      <c r="AA22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259" s="106" t="s">
        <v>24</v>
      </c>
      <c r="AC2259" s="51">
        <v>44440</v>
      </c>
      <c r="AD2259" s="106" t="s">
        <v>17</v>
      </c>
      <c r="AE2259" s="38" t="s">
        <v>363</v>
      </c>
    </row>
    <row r="2260" spans="1:31" ht="18" customHeight="1" x14ac:dyDescent="0.25">
      <c r="A22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60" s="79">
        <v>3</v>
      </c>
      <c r="C2260" s="23">
        <v>44112</v>
      </c>
      <c r="D2260" s="67">
        <f>IF(COUNTIF($G$2:$G2260,$G2260)=1,1,0)</f>
        <v>1</v>
      </c>
      <c r="E2260" s="67" t="str">
        <f>IFERROR(VLOOKUP(База_КР_КК[[#This Row],[ИД штатной должности (S)]],'уровень защищенности'!$B$7:$F$1095,5,0),"не защищена")</f>
        <v>высокий</v>
      </c>
      <c r="F2260" s="68">
        <v>500149</v>
      </c>
      <c r="G2260" s="74" t="s">
        <v>2659</v>
      </c>
      <c r="H2260" s="181">
        <f>INDEX('Списки данных'!$D$2:$D$1048576,MATCH(База_КР_КК[[#This Row],[Структурное подразделение]],'Списки данных'!$C$2:$C$1048576,0))</f>
        <v>32</v>
      </c>
      <c r="I2260" s="80" t="s">
        <v>146</v>
      </c>
      <c r="J2260" s="80" t="s">
        <v>225</v>
      </c>
      <c r="K2260" s="80" t="s">
        <v>21</v>
      </c>
      <c r="L2260" s="30" t="s">
        <v>186</v>
      </c>
      <c r="M2260" s="68">
        <v>5</v>
      </c>
      <c r="N2260" s="181" t="str">
        <f t="shared" si="36"/>
        <v>нет</v>
      </c>
      <c r="O2260" s="23"/>
      <c r="P2260" s="23"/>
      <c r="Q2260" s="106"/>
      <c r="R2260" s="37">
        <v>487</v>
      </c>
      <c r="S2260" s="39" t="s">
        <v>898</v>
      </c>
      <c r="T2260" s="37">
        <v>1566</v>
      </c>
      <c r="U2260" s="38" t="s">
        <v>1818</v>
      </c>
      <c r="V2260" s="89" t="s">
        <v>198</v>
      </c>
      <c r="W2260" s="89" t="s">
        <v>146</v>
      </c>
      <c r="X2260" s="106" t="s">
        <v>295</v>
      </c>
      <c r="Y2260" s="107" t="s">
        <v>12</v>
      </c>
      <c r="Z2260" s="67">
        <f>IF(База_КР_КК[[#This Row],[Таб.номер резервиста]]="-","-",IF(OR(База_КР_КК[[#This Row],[Уровень КК]]=2,База_КР_КК[[#This Row],[Уровень КК]]=3),IF(COUNTIFS($U$2:$U2260,$U2260,$F$2:$F2260,$F2260)=1,1,0),IF(COUNTIFS($U$2:$U2260,$U2260,$L$2:$L2260,$L2260)=1,1,0)))</f>
        <v>1</v>
      </c>
      <c r="AA22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0" s="106"/>
      <c r="AC2260" s="51"/>
      <c r="AD2260" s="106" t="s">
        <v>17</v>
      </c>
      <c r="AE2260" s="38" t="s">
        <v>364</v>
      </c>
    </row>
    <row r="2261" spans="1:31" ht="18" customHeight="1" x14ac:dyDescent="0.25">
      <c r="A22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61" s="79">
        <v>3</v>
      </c>
      <c r="C2261" s="23">
        <v>44733</v>
      </c>
      <c r="D2261" s="67">
        <f>IF(COUNTIF($G$2:$G2261,$G2261)=1,1,0)</f>
        <v>0</v>
      </c>
      <c r="E2261" s="67" t="str">
        <f>IFERROR(VLOOKUP(База_КР_КК[[#This Row],[ИД штатной должности (S)]],'уровень защищенности'!$B$7:$F$1095,5,0),"не защищена")</f>
        <v>высокий</v>
      </c>
      <c r="F2261" s="68">
        <v>500149</v>
      </c>
      <c r="G2261" s="74" t="s">
        <v>2659</v>
      </c>
      <c r="H2261" s="181">
        <f>INDEX('Списки данных'!$D$2:$D$1048576,MATCH(База_КР_КК[[#This Row],[Структурное подразделение]],'Списки данных'!$C$2:$C$1048576,0))</f>
        <v>32</v>
      </c>
      <c r="I2261" s="80" t="s">
        <v>146</v>
      </c>
      <c r="J2261" s="80" t="s">
        <v>225</v>
      </c>
      <c r="K2261" s="80" t="s">
        <v>21</v>
      </c>
      <c r="L2261" s="30" t="s">
        <v>186</v>
      </c>
      <c r="M2261" s="68">
        <v>5</v>
      </c>
      <c r="N2261" s="181" t="str">
        <f t="shared" si="36"/>
        <v>нет</v>
      </c>
      <c r="O2261" s="23"/>
      <c r="P2261" s="23"/>
      <c r="Q2261" s="106"/>
      <c r="R2261" s="37">
        <v>487</v>
      </c>
      <c r="S2261" s="39" t="s">
        <v>898</v>
      </c>
      <c r="T2261" s="37">
        <v>1577</v>
      </c>
      <c r="U2261" s="38" t="s">
        <v>1625</v>
      </c>
      <c r="V2261" s="89" t="s">
        <v>198</v>
      </c>
      <c r="W2261" s="89" t="s">
        <v>146</v>
      </c>
      <c r="X2261" s="106" t="s">
        <v>296</v>
      </c>
      <c r="Y2261" s="107" t="s">
        <v>12</v>
      </c>
      <c r="Z2261" s="67">
        <f>IF(База_КР_КК[[#This Row],[Таб.номер резервиста]]="-","-",IF(OR(База_КР_КК[[#This Row],[Уровень КК]]=2,База_КР_КК[[#This Row],[Уровень КК]]=3),IF(COUNTIFS($U$2:$U2261,$U2261,$F$2:$F2261,$F2261)=1,1,0),IF(COUNTIFS($U$2:$U2261,$U2261,$L$2:$L2261,$L2261)=1,1,0)))</f>
        <v>1</v>
      </c>
      <c r="AA22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1" s="106"/>
      <c r="AC2261" s="51"/>
      <c r="AD2261" s="106" t="s">
        <v>15</v>
      </c>
      <c r="AE2261" s="38" t="s">
        <v>364</v>
      </c>
    </row>
    <row r="2262" spans="1:31" ht="18" customHeight="1" x14ac:dyDescent="0.25">
      <c r="A22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62" s="79">
        <v>4</v>
      </c>
      <c r="C2262" s="23">
        <v>44588</v>
      </c>
      <c r="D2262" s="67">
        <f>IF(COUNTIF($G$2:$G2262,$G2262)=1,1,0)</f>
        <v>1</v>
      </c>
      <c r="E2262" s="67" t="str">
        <f>IFERROR(VLOOKUP(База_КР_КК[[#This Row],[ИД штатной должности (S)]],'уровень защищенности'!$B$7:$F$1095,5,0),"не защищена")</f>
        <v>средний</v>
      </c>
      <c r="F2262" s="68">
        <v>500150</v>
      </c>
      <c r="G2262" s="74" t="s">
        <v>2660</v>
      </c>
      <c r="H2262" s="181">
        <f>INDEX('Списки данных'!$D$2:$D$1048576,MATCH(База_КР_КК[[#This Row],[Структурное подразделение]],'Списки данных'!$C$2:$C$1048576,0))</f>
        <v>31</v>
      </c>
      <c r="I2262" s="80" t="s">
        <v>156</v>
      </c>
      <c r="J2262" s="80" t="s">
        <v>223</v>
      </c>
      <c r="K2262" s="80" t="s">
        <v>21</v>
      </c>
      <c r="L2262" s="30" t="s">
        <v>189</v>
      </c>
      <c r="M2262" s="68">
        <v>6</v>
      </c>
      <c r="N2262" s="181" t="str">
        <f t="shared" si="36"/>
        <v>нет</v>
      </c>
      <c r="O2262" s="23"/>
      <c r="P2262" s="23"/>
      <c r="Q2262" s="106"/>
      <c r="R2262" s="37">
        <v>488</v>
      </c>
      <c r="S2262" s="39" t="s">
        <v>899</v>
      </c>
      <c r="T2262" s="37">
        <v>468</v>
      </c>
      <c r="U2262" s="38" t="s">
        <v>880</v>
      </c>
      <c r="V2262" s="69" t="s">
        <v>192</v>
      </c>
      <c r="W2262" s="89" t="s">
        <v>156</v>
      </c>
      <c r="X2262" s="106" t="s">
        <v>297</v>
      </c>
      <c r="Y2262" s="107" t="s">
        <v>12</v>
      </c>
      <c r="Z2262" s="67">
        <f>IF(База_КР_КК[[#This Row],[Таб.номер резервиста]]="-","-",IF(OR(База_КР_КК[[#This Row],[Уровень КК]]=2,База_КР_КК[[#This Row],[Уровень КК]]=3),IF(COUNTIFS($U$2:$U2262,$U2262,$F$2:$F2262,$F2262)=1,1,0),IF(COUNTIFS($U$2:$U2262,$U2262,$L$2:$L2262,$L2262)=1,1,0)))</f>
        <v>1</v>
      </c>
      <c r="AA22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2" s="106"/>
      <c r="AC2262" s="51"/>
      <c r="AD2262" s="106" t="s">
        <v>15</v>
      </c>
      <c r="AE2262" s="38" t="s">
        <v>360</v>
      </c>
    </row>
    <row r="2263" spans="1:31" ht="18" customHeight="1" x14ac:dyDescent="0.25">
      <c r="A22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63" s="79">
        <v>2</v>
      </c>
      <c r="C2263" s="23">
        <v>43810</v>
      </c>
      <c r="D2263" s="67">
        <f>IF(COUNTIF($G$2:$G2263,$G2263)=1,1,0)</f>
        <v>1</v>
      </c>
      <c r="E2263" s="67" t="str">
        <f>IFERROR(VLOOKUP(База_КР_КК[[#This Row],[ИД штатной должности (S)]],'уровень защищенности'!$B$7:$F$1095,5,0),"не защищена")</f>
        <v>средний</v>
      </c>
      <c r="F2263" s="68">
        <v>500546</v>
      </c>
      <c r="G2263" s="74" t="s">
        <v>2661</v>
      </c>
      <c r="H2263" s="181">
        <f>INDEX('Списки данных'!$D$2:$D$1048576,MATCH(База_КР_КК[[#This Row],[Структурное подразделение]],'Списки данных'!$C$2:$C$1048576,0))</f>
        <v>262</v>
      </c>
      <c r="I2263" s="80" t="s">
        <v>131</v>
      </c>
      <c r="J2263" s="80" t="s">
        <v>232</v>
      </c>
      <c r="K2263" s="80" t="s">
        <v>21</v>
      </c>
      <c r="L2263" s="30" t="s">
        <v>181</v>
      </c>
      <c r="M2263" s="68">
        <v>3</v>
      </c>
      <c r="N2263" s="181" t="str">
        <f t="shared" si="36"/>
        <v>нет</v>
      </c>
      <c r="O2263" s="23"/>
      <c r="P2263" s="23"/>
      <c r="Q2263" s="106"/>
      <c r="R2263" s="37">
        <v>489</v>
      </c>
      <c r="S2263" s="39" t="s">
        <v>900</v>
      </c>
      <c r="T2263" s="37">
        <v>613</v>
      </c>
      <c r="U2263" s="38" t="s">
        <v>1022</v>
      </c>
      <c r="V2263" s="89" t="s">
        <v>179</v>
      </c>
      <c r="W2263" s="89" t="s">
        <v>131</v>
      </c>
      <c r="X2263" s="106" t="s">
        <v>297</v>
      </c>
      <c r="Y2263" s="107" t="s">
        <v>12</v>
      </c>
      <c r="Z2263" s="67">
        <f>IF(База_КР_КК[[#This Row],[Таб.номер резервиста]]="-","-",IF(OR(База_КР_КК[[#This Row],[Уровень КК]]=2,База_КР_КК[[#This Row],[Уровень КК]]=3),IF(COUNTIFS($U$2:$U2263,$U2263,$F$2:$F2263,$F2263)=1,1,0),IF(COUNTIFS($U$2:$U2263,$U2263,$L$2:$L2263,$L2263)=1,1,0)))</f>
        <v>1</v>
      </c>
      <c r="AA22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3" s="106"/>
      <c r="AC2263" s="51"/>
      <c r="AD2263" s="106" t="s">
        <v>13</v>
      </c>
      <c r="AE2263" s="38" t="s">
        <v>366</v>
      </c>
    </row>
    <row r="2264" spans="1:31" ht="18" customHeight="1" x14ac:dyDescent="0.25">
      <c r="A22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64" s="79">
        <v>2</v>
      </c>
      <c r="C2264" s="23">
        <v>43810</v>
      </c>
      <c r="D2264" s="67">
        <f>IF(COUNTIF($G$2:$G2264,$G2264)=1,1,0)</f>
        <v>0</v>
      </c>
      <c r="E2264" s="67" t="str">
        <f>IFERROR(VLOOKUP(База_КР_КК[[#This Row],[ИД штатной должности (S)]],'уровень защищенности'!$B$7:$F$1095,5,0),"не защищена")</f>
        <v>средний</v>
      </c>
      <c r="F2264" s="68">
        <v>500546</v>
      </c>
      <c r="G2264" s="74" t="s">
        <v>2661</v>
      </c>
      <c r="H2264" s="181">
        <f>INDEX('Списки данных'!$D$2:$D$1048576,MATCH(База_КР_КК[[#This Row],[Структурное подразделение]],'Списки данных'!$C$2:$C$1048576,0))</f>
        <v>262</v>
      </c>
      <c r="I2264" s="80" t="s">
        <v>131</v>
      </c>
      <c r="J2264" s="80" t="s">
        <v>232</v>
      </c>
      <c r="K2264" s="80" t="s">
        <v>21</v>
      </c>
      <c r="L2264" s="30" t="s">
        <v>181</v>
      </c>
      <c r="M2264" s="68">
        <v>3</v>
      </c>
      <c r="N2264" s="181" t="str">
        <f t="shared" si="36"/>
        <v>нет</v>
      </c>
      <c r="O2264" s="23"/>
      <c r="P2264" s="23"/>
      <c r="Q2264" s="106"/>
      <c r="R2264" s="37">
        <v>489</v>
      </c>
      <c r="S2264" s="39" t="s">
        <v>900</v>
      </c>
      <c r="T2264" s="37">
        <v>482</v>
      </c>
      <c r="U2264" s="38" t="s">
        <v>893</v>
      </c>
      <c r="V2264" s="89" t="s">
        <v>183</v>
      </c>
      <c r="W2264" s="89" t="s">
        <v>166</v>
      </c>
      <c r="X2264" s="106" t="s">
        <v>297</v>
      </c>
      <c r="Y2264" s="107" t="s">
        <v>12</v>
      </c>
      <c r="Z2264" s="67">
        <f>IF(База_КР_КК[[#This Row],[Таб.номер резервиста]]="-","-",IF(OR(База_КР_КК[[#This Row],[Уровень КК]]=2,База_КР_КК[[#This Row],[Уровень КК]]=3),IF(COUNTIFS($U$2:$U2264,$U2264,$F$2:$F2264,$F2264)=1,1,0),IF(COUNTIFS($U$2:$U2264,$U2264,$L$2:$L2264,$L2264)=1,1,0)))</f>
        <v>1</v>
      </c>
      <c r="AA22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4" s="106"/>
      <c r="AC2264" s="51"/>
      <c r="AD2264" s="106" t="s">
        <v>13</v>
      </c>
      <c r="AE2264" s="38" t="s">
        <v>366</v>
      </c>
    </row>
    <row r="2265" spans="1:31" ht="18" customHeight="1" x14ac:dyDescent="0.25">
      <c r="A22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65" s="79">
        <v>2</v>
      </c>
      <c r="C2265" s="23">
        <v>43810</v>
      </c>
      <c r="D2265" s="67">
        <f>IF(COUNTIF($G$2:$G2265,$G2265)=1,1,0)</f>
        <v>0</v>
      </c>
      <c r="E2265" s="67" t="str">
        <f>IFERROR(VLOOKUP(База_КР_КК[[#This Row],[ИД штатной должности (S)]],'уровень защищенности'!$B$7:$F$1095,5,0),"не защищена")</f>
        <v>средний</v>
      </c>
      <c r="F2265" s="68">
        <v>500546</v>
      </c>
      <c r="G2265" s="74" t="s">
        <v>2661</v>
      </c>
      <c r="H2265" s="181">
        <f>INDEX('Списки данных'!$D$2:$D$1048576,MATCH(База_КР_КК[[#This Row],[Структурное подразделение]],'Списки данных'!$C$2:$C$1048576,0))</f>
        <v>262</v>
      </c>
      <c r="I2265" s="80" t="s">
        <v>131</v>
      </c>
      <c r="J2265" s="80" t="s">
        <v>232</v>
      </c>
      <c r="K2265" s="80" t="s">
        <v>21</v>
      </c>
      <c r="L2265" s="30" t="s">
        <v>181</v>
      </c>
      <c r="M2265" s="68">
        <v>3</v>
      </c>
      <c r="N2265" s="181" t="str">
        <f t="shared" si="36"/>
        <v>нет</v>
      </c>
      <c r="O2265" s="23"/>
      <c r="P2265" s="23"/>
      <c r="Q2265" s="106"/>
      <c r="R2265" s="37">
        <v>489</v>
      </c>
      <c r="S2265" s="39" t="s">
        <v>900</v>
      </c>
      <c r="T2265" s="37">
        <v>587</v>
      </c>
      <c r="U2265" s="38" t="s">
        <v>996</v>
      </c>
      <c r="V2265" s="89" t="s">
        <v>179</v>
      </c>
      <c r="W2265" s="89" t="s">
        <v>151</v>
      </c>
      <c r="X2265" s="106" t="s">
        <v>297</v>
      </c>
      <c r="Y2265" s="107" t="s">
        <v>12</v>
      </c>
      <c r="Z2265" s="67">
        <f>IF(База_КР_КК[[#This Row],[Таб.номер резервиста]]="-","-",IF(OR(База_КР_КК[[#This Row],[Уровень КК]]=2,База_КР_КК[[#This Row],[Уровень КК]]=3),IF(COUNTIFS($U$2:$U2265,$U2265,$F$2:$F2265,$F2265)=1,1,0),IF(COUNTIFS($U$2:$U2265,$U2265,$L$2:$L2265,$L2265)=1,1,0)))</f>
        <v>1</v>
      </c>
      <c r="AA22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5" s="106"/>
      <c r="AC2265" s="51"/>
      <c r="AD2265" s="106" t="s">
        <v>13</v>
      </c>
      <c r="AE2265" s="38" t="s">
        <v>366</v>
      </c>
    </row>
    <row r="2266" spans="1:31" ht="18" customHeight="1" x14ac:dyDescent="0.25">
      <c r="A22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266" s="79">
        <v>2</v>
      </c>
      <c r="C2266" s="23">
        <v>43810</v>
      </c>
      <c r="D2266" s="67">
        <f>IF(COUNTIF($G$2:$G2266,$G2266)=1,1,0)</f>
        <v>0</v>
      </c>
      <c r="E2266" s="67" t="str">
        <f>IFERROR(VLOOKUP(База_КР_КК[[#This Row],[ИД штатной должности (S)]],'уровень защищенности'!$B$7:$F$1095,5,0),"не защищена")</f>
        <v>средний</v>
      </c>
      <c r="F2266" s="68">
        <v>500546</v>
      </c>
      <c r="G2266" s="74" t="s">
        <v>2661</v>
      </c>
      <c r="H2266" s="181">
        <f>INDEX('Списки данных'!$D$2:$D$1048576,MATCH(База_КР_КК[[#This Row],[Структурное подразделение]],'Списки данных'!$C$2:$C$1048576,0))</f>
        <v>262</v>
      </c>
      <c r="I2266" s="80" t="s">
        <v>131</v>
      </c>
      <c r="J2266" s="80" t="s">
        <v>232</v>
      </c>
      <c r="K2266" s="80" t="s">
        <v>21</v>
      </c>
      <c r="L2266" s="30" t="s">
        <v>181</v>
      </c>
      <c r="M2266" s="68">
        <v>3</v>
      </c>
      <c r="N2266" s="181" t="str">
        <f t="shared" si="36"/>
        <v>нет</v>
      </c>
      <c r="O2266" s="23"/>
      <c r="P2266" s="23"/>
      <c r="Q2266" s="106"/>
      <c r="R2266" s="37">
        <v>489</v>
      </c>
      <c r="S2266" s="39" t="s">
        <v>900</v>
      </c>
      <c r="T2266" s="37">
        <v>606</v>
      </c>
      <c r="U2266" s="38" t="s">
        <v>1015</v>
      </c>
      <c r="V2266" s="69" t="s">
        <v>179</v>
      </c>
      <c r="W2266" s="89" t="s">
        <v>155</v>
      </c>
      <c r="X2266" s="106" t="s">
        <v>296</v>
      </c>
      <c r="Y2266" s="107" t="s">
        <v>18</v>
      </c>
      <c r="Z2266" s="67">
        <f>IF(База_КР_КК[[#This Row],[Таб.номер резервиста]]="-","-",IF(OR(База_КР_КК[[#This Row],[Уровень КК]]=2,База_КР_КК[[#This Row],[Уровень КК]]=3),IF(COUNTIFS($U$2:$U2266,$U2266,$F$2:$F2266,$F2266)=1,1,0),IF(COUNTIFS($U$2:$U2266,$U2266,$L$2:$L2266,$L2266)=1,1,0)))</f>
        <v>1</v>
      </c>
      <c r="AA22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6" s="106" t="s">
        <v>38</v>
      </c>
      <c r="AC2266" s="51">
        <v>44916</v>
      </c>
      <c r="AD2266" s="106" t="s">
        <v>31</v>
      </c>
      <c r="AE2266" s="38" t="s">
        <v>366</v>
      </c>
    </row>
    <row r="2267" spans="1:31" ht="18" customHeight="1" x14ac:dyDescent="0.25">
      <c r="A22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67" s="79">
        <v>3</v>
      </c>
      <c r="C2267" s="23">
        <v>43399</v>
      </c>
      <c r="D2267" s="67">
        <f>IF(COUNTIF($G$2:$G2267,$G2267)=1,1,0)</f>
        <v>1</v>
      </c>
      <c r="E2267" s="67" t="str">
        <f>IFERROR(VLOOKUP(База_КР_КК[[#This Row],[ИД штатной должности (S)]],'уровень защищенности'!$B$7:$F$1095,5,0),"не защищена")</f>
        <v>низкий</v>
      </c>
      <c r="F2267" s="68">
        <v>500024</v>
      </c>
      <c r="G2267" s="74" t="s">
        <v>2662</v>
      </c>
      <c r="H2267" s="181">
        <f>INDEX('Списки данных'!$D$2:$D$1048576,MATCH(База_КР_КК[[#This Row],[Структурное подразделение]],'Списки данных'!$C$2:$C$1048576,0))</f>
        <v>31</v>
      </c>
      <c r="I2267" s="80" t="s">
        <v>156</v>
      </c>
      <c r="J2267" s="80" t="s">
        <v>223</v>
      </c>
      <c r="K2267" s="80" t="s">
        <v>21</v>
      </c>
      <c r="L2267" s="30" t="s">
        <v>183</v>
      </c>
      <c r="M2267" s="68">
        <v>5</v>
      </c>
      <c r="N2267" s="181" t="str">
        <f t="shared" si="36"/>
        <v>нет</v>
      </c>
      <c r="O2267" s="23"/>
      <c r="P2267" s="23"/>
      <c r="Q2267" s="106"/>
      <c r="R2267" s="37">
        <v>490</v>
      </c>
      <c r="S2267" s="39" t="s">
        <v>901</v>
      </c>
      <c r="T2267" s="37">
        <v>546</v>
      </c>
      <c r="U2267" s="38" t="s">
        <v>956</v>
      </c>
      <c r="V2267" s="69" t="s">
        <v>198</v>
      </c>
      <c r="W2267" s="89" t="s">
        <v>156</v>
      </c>
      <c r="X2267" s="106" t="s">
        <v>296</v>
      </c>
      <c r="Y2267" s="107" t="s">
        <v>12</v>
      </c>
      <c r="Z2267" s="67">
        <f>IF(База_КР_КК[[#This Row],[Таб.номер резервиста]]="-","-",IF(OR(База_КР_КК[[#This Row],[Уровень КК]]=2,База_КР_КК[[#This Row],[Уровень КК]]=3),IF(COUNTIFS($U$2:$U2267,$U2267,$F$2:$F2267,$F2267)=1,1,0),IF(COUNTIFS($U$2:$U2267,$U2267,$L$2:$L2267,$L2267)=1,1,0)))</f>
        <v>1</v>
      </c>
      <c r="AA22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7" s="106"/>
      <c r="AC2267" s="51"/>
      <c r="AD2267" s="106" t="s">
        <v>13</v>
      </c>
      <c r="AE2267" s="38" t="s">
        <v>359</v>
      </c>
    </row>
    <row r="2268" spans="1:31" ht="18" customHeight="1" x14ac:dyDescent="0.25">
      <c r="A22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68" s="79">
        <v>3</v>
      </c>
      <c r="C2268" s="23">
        <v>44112</v>
      </c>
      <c r="D2268" s="67">
        <f>IF(COUNTIF($G$2:$G2268,$G2268)=1,1,0)</f>
        <v>0</v>
      </c>
      <c r="E2268" s="67" t="str">
        <f>IFERROR(VLOOKUP(База_КР_КК[[#This Row],[ИД штатной должности (S)]],'уровень защищенности'!$B$7:$F$1095,5,0),"не защищена")</f>
        <v>низкий</v>
      </c>
      <c r="F2268" s="68">
        <v>500024</v>
      </c>
      <c r="G2268" s="74" t="s">
        <v>2662</v>
      </c>
      <c r="H2268" s="181">
        <f>INDEX('Списки данных'!$D$2:$D$1048576,MATCH(База_КР_КК[[#This Row],[Структурное подразделение]],'Списки данных'!$C$2:$C$1048576,0))</f>
        <v>31</v>
      </c>
      <c r="I2268" s="80" t="s">
        <v>156</v>
      </c>
      <c r="J2268" s="80" t="s">
        <v>223</v>
      </c>
      <c r="K2268" s="80" t="s">
        <v>21</v>
      </c>
      <c r="L2268" s="30" t="s">
        <v>183</v>
      </c>
      <c r="M2268" s="68">
        <v>5</v>
      </c>
      <c r="N2268" s="181" t="str">
        <f t="shared" si="36"/>
        <v>нет</v>
      </c>
      <c r="O2268" s="23"/>
      <c r="P2268" s="23"/>
      <c r="Q2268" s="106"/>
      <c r="R2268" s="37">
        <v>490</v>
      </c>
      <c r="S2268" s="39" t="s">
        <v>901</v>
      </c>
      <c r="T2268" s="37">
        <v>500</v>
      </c>
      <c r="U2268" s="38" t="s">
        <v>910</v>
      </c>
      <c r="V2268" s="93" t="s">
        <v>189</v>
      </c>
      <c r="W2268" s="89" t="s">
        <v>145</v>
      </c>
      <c r="X2268" s="106" t="s">
        <v>296</v>
      </c>
      <c r="Y2268" s="107" t="s">
        <v>12</v>
      </c>
      <c r="Z2268" s="67">
        <f>IF(База_КР_КК[[#This Row],[Таб.номер резервиста]]="-","-",IF(OR(База_КР_КК[[#This Row],[Уровень КК]]=2,База_КР_КК[[#This Row],[Уровень КК]]=3),IF(COUNTIFS($U$2:$U2268,$U2268,$F$2:$F2268,$F2268)=1,1,0),IF(COUNTIFS($U$2:$U2268,$U2268,$L$2:$L2268,$L2268)=1,1,0)))</f>
        <v>1</v>
      </c>
      <c r="AA22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8" s="106"/>
      <c r="AC2268" s="51"/>
      <c r="AD2268" s="106" t="s">
        <v>13</v>
      </c>
      <c r="AE2268" s="38" t="s">
        <v>359</v>
      </c>
    </row>
    <row r="2269" spans="1:31" ht="18" customHeight="1" x14ac:dyDescent="0.25">
      <c r="A22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69" s="79">
        <v>3</v>
      </c>
      <c r="C2269" s="23">
        <v>44781</v>
      </c>
      <c r="D2269" s="67">
        <f>IF(COUNTIF($G$2:$G2269,$G2269)=1,1,0)</f>
        <v>0</v>
      </c>
      <c r="E2269" s="67" t="str">
        <f>IFERROR(VLOOKUP(База_КР_КК[[#This Row],[ИД штатной должности (S)]],'уровень защищенности'!$B$7:$F$1095,5,0),"не защищена")</f>
        <v>низкий</v>
      </c>
      <c r="F2269" s="68">
        <v>500024</v>
      </c>
      <c r="G2269" s="74" t="s">
        <v>2662</v>
      </c>
      <c r="H2269" s="181">
        <f>INDEX('Списки данных'!$D$2:$D$1048576,MATCH(База_КР_КК[[#This Row],[Структурное подразделение]],'Списки данных'!$C$2:$C$1048576,0))</f>
        <v>31</v>
      </c>
      <c r="I2269" s="80" t="s">
        <v>156</v>
      </c>
      <c r="J2269" s="80" t="s">
        <v>223</v>
      </c>
      <c r="K2269" s="80" t="s">
        <v>21</v>
      </c>
      <c r="L2269" s="30" t="s">
        <v>183</v>
      </c>
      <c r="M2269" s="68">
        <v>5</v>
      </c>
      <c r="N2269" s="181" t="str">
        <f t="shared" si="36"/>
        <v>нет</v>
      </c>
      <c r="O2269" s="23"/>
      <c r="P2269" s="23"/>
      <c r="Q2269" s="106"/>
      <c r="R2269" s="37">
        <v>490</v>
      </c>
      <c r="S2269" s="39" t="s">
        <v>901</v>
      </c>
      <c r="T2269" s="37">
        <v>539</v>
      </c>
      <c r="U2269" s="38" t="s">
        <v>949</v>
      </c>
      <c r="V2269" s="93" t="s">
        <v>189</v>
      </c>
      <c r="W2269" s="89" t="s">
        <v>156</v>
      </c>
      <c r="X2269" s="106" t="s">
        <v>296</v>
      </c>
      <c r="Y2269" s="107" t="s">
        <v>12</v>
      </c>
      <c r="Z2269" s="67">
        <f>IF(База_КР_КК[[#This Row],[Таб.номер резервиста]]="-","-",IF(OR(База_КР_КК[[#This Row],[Уровень КК]]=2,База_КР_КК[[#This Row],[Уровень КК]]=3),IF(COUNTIFS($U$2:$U2269,$U2269,$F$2:$F2269,$F2269)=1,1,0),IF(COUNTIFS($U$2:$U2269,$U2269,$L$2:$L2269,$L2269)=1,1,0)))</f>
        <v>1</v>
      </c>
      <c r="AA22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69" s="106"/>
      <c r="AC2269" s="51"/>
      <c r="AD2269" s="106" t="s">
        <v>15</v>
      </c>
      <c r="AE2269" s="38" t="s">
        <v>359</v>
      </c>
    </row>
    <row r="2270" spans="1:31" ht="18" customHeight="1" x14ac:dyDescent="0.25">
      <c r="A22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0" s="79">
        <v>3</v>
      </c>
      <c r="C2270" s="23">
        <v>44112</v>
      </c>
      <c r="D2270" s="67">
        <f>IF(COUNTIF($G$2:$G2270,$G2270)=1,1,0)</f>
        <v>1</v>
      </c>
      <c r="E2270" s="67" t="str">
        <f>IFERROR(VLOOKUP(База_КР_КК[[#This Row],[ИД штатной должности (S)]],'уровень защищенности'!$B$7:$F$1095,5,0),"не защищена")</f>
        <v>высокий</v>
      </c>
      <c r="F2270" s="68">
        <v>500087</v>
      </c>
      <c r="G2270" s="74" t="s">
        <v>2663</v>
      </c>
      <c r="H2270" s="181">
        <f>INDEX('Списки данных'!$D$2:$D$1048576,MATCH(База_КР_КК[[#This Row],[Структурное подразделение]],'Списки данных'!$C$2:$C$1048576,0))</f>
        <v>94</v>
      </c>
      <c r="I2270" s="80" t="s">
        <v>145</v>
      </c>
      <c r="J2270" s="80" t="s">
        <v>233</v>
      </c>
      <c r="K2270" s="80" t="s">
        <v>21</v>
      </c>
      <c r="L2270" s="30" t="s">
        <v>187</v>
      </c>
      <c r="M2270" s="68">
        <v>5</v>
      </c>
      <c r="N2270" s="181" t="str">
        <f t="shared" si="36"/>
        <v>нет</v>
      </c>
      <c r="O2270" s="23"/>
      <c r="P2270" s="23"/>
      <c r="Q2270" s="106"/>
      <c r="R2270" s="37">
        <v>491</v>
      </c>
      <c r="S2270" s="39" t="s">
        <v>902</v>
      </c>
      <c r="T2270" s="37">
        <v>509</v>
      </c>
      <c r="U2270" s="38" t="s">
        <v>919</v>
      </c>
      <c r="V2270" s="93" t="s">
        <v>193</v>
      </c>
      <c r="W2270" s="89" t="s">
        <v>145</v>
      </c>
      <c r="X2270" s="106" t="s">
        <v>295</v>
      </c>
      <c r="Y2270" s="107" t="s">
        <v>12</v>
      </c>
      <c r="Z2270" s="67">
        <f>IF(База_КР_КК[[#This Row],[Таб.номер резервиста]]="-","-",IF(OR(База_КР_КК[[#This Row],[Уровень КК]]=2,База_КР_КК[[#This Row],[Уровень КК]]=3),IF(COUNTIFS($U$2:$U2270,$U2270,$F$2:$F2270,$F2270)=1,1,0),IF(COUNTIFS($U$2:$U2270,$U2270,$L$2:$L2270,$L2270)=1,1,0)))</f>
        <v>1</v>
      </c>
      <c r="AA22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0" s="106"/>
      <c r="AC2270" s="51"/>
      <c r="AD2270" s="106" t="s">
        <v>13</v>
      </c>
      <c r="AE2270" s="38" t="s">
        <v>359</v>
      </c>
    </row>
    <row r="2271" spans="1:31" ht="18" customHeight="1" x14ac:dyDescent="0.25">
      <c r="A22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1" s="79">
        <v>3</v>
      </c>
      <c r="C2271" s="23">
        <v>43214</v>
      </c>
      <c r="D2271" s="67">
        <f>IF(COUNTIF($G$2:$G2271,$G2271)=1,1,0)</f>
        <v>1</v>
      </c>
      <c r="E2271" s="67" t="str">
        <f>IFERROR(VLOOKUP(База_КР_КК[[#This Row],[ИД штатной должности (S)]],'уровень защищенности'!$B$7:$F$1095,5,0),"не защищена")</f>
        <v>высокий</v>
      </c>
      <c r="F2271" s="68">
        <v>500735</v>
      </c>
      <c r="G2271" s="74" t="s">
        <v>2664</v>
      </c>
      <c r="H2271" s="181">
        <f>INDEX('Списки данных'!$D$2:$D$1048576,MATCH(База_КР_КК[[#This Row],[Структурное подразделение]],'Списки данных'!$C$2:$C$1048576,0))</f>
        <v>94</v>
      </c>
      <c r="I2271" s="80" t="s">
        <v>145</v>
      </c>
      <c r="J2271" s="80" t="s">
        <v>233</v>
      </c>
      <c r="K2271" s="80" t="s">
        <v>21</v>
      </c>
      <c r="L2271" s="30" t="s">
        <v>179</v>
      </c>
      <c r="M2271" s="68">
        <v>4</v>
      </c>
      <c r="N2271" s="181" t="str">
        <f t="shared" si="36"/>
        <v>нет</v>
      </c>
      <c r="O2271" s="23"/>
      <c r="P2271" s="23"/>
      <c r="Q2271" s="106"/>
      <c r="R2271" s="37">
        <v>492</v>
      </c>
      <c r="S2271" s="39" t="s">
        <v>903</v>
      </c>
      <c r="T2271" s="37">
        <v>1579</v>
      </c>
      <c r="U2271" s="38" t="s">
        <v>1921</v>
      </c>
      <c r="V2271" s="93" t="s">
        <v>179</v>
      </c>
      <c r="W2271" s="89" t="s">
        <v>286</v>
      </c>
      <c r="X2271" s="106" t="s">
        <v>295</v>
      </c>
      <c r="Y2271" s="107" t="s">
        <v>12</v>
      </c>
      <c r="Z2271" s="67">
        <f>IF(База_КР_КК[[#This Row],[Таб.номер резервиста]]="-","-",IF(OR(База_КР_КК[[#This Row],[Уровень КК]]=2,База_КР_КК[[#This Row],[Уровень КК]]=3),IF(COUNTIFS($U$2:$U2271,$U2271,$F$2:$F2271,$F2271)=1,1,0),IF(COUNTIFS($U$2:$U2271,$U2271,$L$2:$L2271,$L2271)=1,1,0)))</f>
        <v>1</v>
      </c>
      <c r="AA22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1" s="106"/>
      <c r="AC2271" s="51"/>
      <c r="AD2271" s="106" t="s">
        <v>17</v>
      </c>
      <c r="AE2271" s="38" t="s">
        <v>352</v>
      </c>
    </row>
    <row r="2272" spans="1:31" ht="18" customHeight="1" x14ac:dyDescent="0.25">
      <c r="A22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2" s="79">
        <v>3</v>
      </c>
      <c r="C2272" s="23">
        <v>43214</v>
      </c>
      <c r="D2272" s="67">
        <f>IF(COUNTIF($G$2:$G2272,$G2272)=1,1,0)</f>
        <v>0</v>
      </c>
      <c r="E2272" s="67" t="str">
        <f>IFERROR(VLOOKUP(База_КР_КК[[#This Row],[ИД штатной должности (S)]],'уровень защищенности'!$B$7:$F$1095,5,0),"не защищена")</f>
        <v>высокий</v>
      </c>
      <c r="F2272" s="68">
        <v>500735</v>
      </c>
      <c r="G2272" s="74" t="s">
        <v>2664</v>
      </c>
      <c r="H2272" s="181">
        <f>INDEX('Списки данных'!$D$2:$D$1048576,MATCH(База_КР_КК[[#This Row],[Структурное подразделение]],'Списки данных'!$C$2:$C$1048576,0))</f>
        <v>94</v>
      </c>
      <c r="I2272" s="80" t="s">
        <v>145</v>
      </c>
      <c r="J2272" s="80" t="s">
        <v>233</v>
      </c>
      <c r="K2272" s="80" t="s">
        <v>21</v>
      </c>
      <c r="L2272" s="30" t="s">
        <v>179</v>
      </c>
      <c r="M2272" s="68">
        <v>4</v>
      </c>
      <c r="N2272" s="181" t="str">
        <f t="shared" si="36"/>
        <v>нет</v>
      </c>
      <c r="O2272" s="23"/>
      <c r="P2272" s="23"/>
      <c r="Q2272" s="106"/>
      <c r="R2272" s="37">
        <v>492</v>
      </c>
      <c r="S2272" s="39" t="s">
        <v>903</v>
      </c>
      <c r="T2272" s="37">
        <v>490</v>
      </c>
      <c r="U2272" s="38" t="s">
        <v>901</v>
      </c>
      <c r="V2272" s="88" t="s">
        <v>183</v>
      </c>
      <c r="W2272" s="89" t="s">
        <v>156</v>
      </c>
      <c r="X2272" s="106" t="s">
        <v>295</v>
      </c>
      <c r="Y2272" s="107" t="s">
        <v>12</v>
      </c>
      <c r="Z2272" s="67">
        <f>IF(База_КР_КК[[#This Row],[Таб.номер резервиста]]="-","-",IF(OR(База_КР_КК[[#This Row],[Уровень КК]]=2,База_КР_КК[[#This Row],[Уровень КК]]=3),IF(COUNTIFS($U$2:$U2272,$U2272,$F$2:$F2272,$F2272)=1,1,0),IF(COUNTIFS($U$2:$U2272,$U2272,$L$2:$L2272,$L2272)=1,1,0)))</f>
        <v>1</v>
      </c>
      <c r="AA22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2" s="106"/>
      <c r="AC2272" s="51"/>
      <c r="AD2272" s="106" t="s">
        <v>17</v>
      </c>
      <c r="AE2272" s="38" t="s">
        <v>352</v>
      </c>
    </row>
    <row r="2273" spans="1:31" ht="18" customHeight="1" x14ac:dyDescent="0.25">
      <c r="A22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3" s="79">
        <v>3</v>
      </c>
      <c r="C2273" s="23">
        <v>43825</v>
      </c>
      <c r="D2273" s="67">
        <f>IF(COUNTIF($G$2:$G2273,$G2273)=1,1,0)</f>
        <v>0</v>
      </c>
      <c r="E2273" s="67" t="str">
        <f>IFERROR(VLOOKUP(База_КР_КК[[#This Row],[ИД штатной должности (S)]],'уровень защищенности'!$B$7:$F$1095,5,0),"не защищена")</f>
        <v>высокий</v>
      </c>
      <c r="F2273" s="68">
        <v>500735</v>
      </c>
      <c r="G2273" s="74" t="s">
        <v>2664</v>
      </c>
      <c r="H2273" s="181">
        <f>INDEX('Списки данных'!$D$2:$D$1048576,MATCH(База_КР_КК[[#This Row],[Структурное подразделение]],'Списки данных'!$C$2:$C$1048576,0))</f>
        <v>94</v>
      </c>
      <c r="I2273" s="80" t="s">
        <v>145</v>
      </c>
      <c r="J2273" s="80" t="s">
        <v>233</v>
      </c>
      <c r="K2273" s="80" t="s">
        <v>21</v>
      </c>
      <c r="L2273" s="30" t="s">
        <v>179</v>
      </c>
      <c r="M2273" s="68">
        <v>4</v>
      </c>
      <c r="N2273" s="181" t="str">
        <f t="shared" si="36"/>
        <v>нет</v>
      </c>
      <c r="O2273" s="23"/>
      <c r="P2273" s="23"/>
      <c r="Q2273" s="106"/>
      <c r="R2273" s="37">
        <v>492</v>
      </c>
      <c r="S2273" s="39" t="s">
        <v>903</v>
      </c>
      <c r="T2273" s="37">
        <v>1580</v>
      </c>
      <c r="U2273" s="38" t="s">
        <v>1918</v>
      </c>
      <c r="V2273" s="88" t="s">
        <v>180</v>
      </c>
      <c r="W2273" s="89" t="s">
        <v>287</v>
      </c>
      <c r="X2273" s="106" t="s">
        <v>297</v>
      </c>
      <c r="Y2273" s="107" t="s">
        <v>12</v>
      </c>
      <c r="Z2273" s="67">
        <f>IF(База_КР_КК[[#This Row],[Таб.номер резервиста]]="-","-",IF(OR(База_КР_КК[[#This Row],[Уровень КК]]=2,База_КР_КК[[#This Row],[Уровень КК]]=3),IF(COUNTIFS($U$2:$U2273,$U2273,$F$2:$F2273,$F2273)=1,1,0),IF(COUNTIFS($U$2:$U2273,$U2273,$L$2:$L2273,$L2273)=1,1,0)))</f>
        <v>1</v>
      </c>
      <c r="AA22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3" s="106"/>
      <c r="AC2273" s="51"/>
      <c r="AD2273" s="106" t="s">
        <v>17</v>
      </c>
      <c r="AE2273" s="38" t="s">
        <v>352</v>
      </c>
    </row>
    <row r="2274" spans="1:31" ht="18" customHeight="1" x14ac:dyDescent="0.25">
      <c r="A22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4" s="79">
        <v>3</v>
      </c>
      <c r="C2274" s="23">
        <v>44894</v>
      </c>
      <c r="D2274" s="67">
        <f>IF(COUNTIF($G$2:$G2274,$G2274)=1,1,0)</f>
        <v>0</v>
      </c>
      <c r="E2274" s="67" t="str">
        <f>IFERROR(VLOOKUP(База_КР_КК[[#This Row],[ИД штатной должности (S)]],'уровень защищенности'!$B$7:$F$1095,5,0),"не защищена")</f>
        <v>высокий</v>
      </c>
      <c r="F2274" s="68">
        <v>500735</v>
      </c>
      <c r="G2274" s="74" t="s">
        <v>2664</v>
      </c>
      <c r="H2274" s="181">
        <f>INDEX('Списки данных'!$D$2:$D$1048576,MATCH(База_КР_КК[[#This Row],[Структурное подразделение]],'Списки данных'!$C$2:$C$1048576,0))</f>
        <v>94</v>
      </c>
      <c r="I2274" s="80" t="s">
        <v>145</v>
      </c>
      <c r="J2274" s="80" t="s">
        <v>233</v>
      </c>
      <c r="K2274" s="80" t="s">
        <v>21</v>
      </c>
      <c r="L2274" s="30" t="s">
        <v>179</v>
      </c>
      <c r="M2274" s="68">
        <v>4</v>
      </c>
      <c r="N2274" s="181" t="str">
        <f t="shared" si="36"/>
        <v>нет</v>
      </c>
      <c r="O2274" s="23"/>
      <c r="P2274" s="23"/>
      <c r="Q2274" s="106"/>
      <c r="R2274" s="37">
        <v>492</v>
      </c>
      <c r="S2274" s="39" t="s">
        <v>903</v>
      </c>
      <c r="T2274" s="37">
        <v>483</v>
      </c>
      <c r="U2274" s="38" t="s">
        <v>894</v>
      </c>
      <c r="V2274" s="93" t="s">
        <v>183</v>
      </c>
      <c r="W2274" s="89" t="s">
        <v>144</v>
      </c>
      <c r="X2274" s="106" t="s">
        <v>296</v>
      </c>
      <c r="Y2274" s="107" t="s">
        <v>12</v>
      </c>
      <c r="Z2274" s="67">
        <f>IF(База_КР_КК[[#This Row],[Таб.номер резервиста]]="-","-",IF(OR(База_КР_КК[[#This Row],[Уровень КК]]=2,База_КР_КК[[#This Row],[Уровень КК]]=3),IF(COUNTIFS($U$2:$U2274,$U2274,$F$2:$F2274,$F2274)=1,1,0),IF(COUNTIFS($U$2:$U2274,$U2274,$L$2:$L2274,$L2274)=1,1,0)))</f>
        <v>1</v>
      </c>
      <c r="AA22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4" s="106"/>
      <c r="AC2274" s="51"/>
      <c r="AD2274" s="106" t="s">
        <v>15</v>
      </c>
      <c r="AE2274" s="38" t="s">
        <v>352</v>
      </c>
    </row>
    <row r="2275" spans="1:31" ht="18" customHeight="1" x14ac:dyDescent="0.25">
      <c r="A22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5" s="79">
        <v>3</v>
      </c>
      <c r="C2275" s="23">
        <v>44894</v>
      </c>
      <c r="D2275" s="67">
        <f>IF(COUNTIF($G$2:$G2275,$G2275)=1,1,0)</f>
        <v>0</v>
      </c>
      <c r="E2275" s="67" t="str">
        <f>IFERROR(VLOOKUP(База_КР_КК[[#This Row],[ИД штатной должности (S)]],'уровень защищенности'!$B$7:$F$1095,5,0),"не защищена")</f>
        <v>высокий</v>
      </c>
      <c r="F2275" s="68">
        <v>500735</v>
      </c>
      <c r="G2275" s="74" t="s">
        <v>2664</v>
      </c>
      <c r="H2275" s="181">
        <f>INDEX('Списки данных'!$D$2:$D$1048576,MATCH(База_КР_КК[[#This Row],[Структурное подразделение]],'Списки данных'!$C$2:$C$1048576,0))</f>
        <v>94</v>
      </c>
      <c r="I2275" s="80" t="s">
        <v>145</v>
      </c>
      <c r="J2275" s="80" t="s">
        <v>233</v>
      </c>
      <c r="K2275" s="80" t="s">
        <v>21</v>
      </c>
      <c r="L2275" s="30" t="s">
        <v>179</v>
      </c>
      <c r="M2275" s="68">
        <v>4</v>
      </c>
      <c r="N2275" s="181" t="str">
        <f t="shared" si="36"/>
        <v>нет</v>
      </c>
      <c r="O2275" s="23"/>
      <c r="P2275" s="23"/>
      <c r="Q2275" s="106"/>
      <c r="R2275" s="37">
        <v>492</v>
      </c>
      <c r="S2275" s="39" t="s">
        <v>903</v>
      </c>
      <c r="T2275" s="37">
        <v>622</v>
      </c>
      <c r="U2275" s="38" t="s">
        <v>1031</v>
      </c>
      <c r="V2275" s="93" t="s">
        <v>180</v>
      </c>
      <c r="W2275" s="89" t="s">
        <v>145</v>
      </c>
      <c r="X2275" s="106" t="s">
        <v>296</v>
      </c>
      <c r="Y2275" s="107" t="s">
        <v>12</v>
      </c>
      <c r="Z2275" s="67">
        <f>IF(База_КР_КК[[#This Row],[Таб.номер резервиста]]="-","-",IF(OR(База_КР_КК[[#This Row],[Уровень КК]]=2,База_КР_КК[[#This Row],[Уровень КК]]=3),IF(COUNTIFS($U$2:$U2275,$U2275,$F$2:$F2275,$F2275)=1,1,0),IF(COUNTIFS($U$2:$U2275,$U2275,$L$2:$L2275,$L2275)=1,1,0)))</f>
        <v>1</v>
      </c>
      <c r="AA22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5" s="106"/>
      <c r="AC2275" s="51"/>
      <c r="AD2275" s="106" t="s">
        <v>15</v>
      </c>
      <c r="AE2275" s="38" t="s">
        <v>352</v>
      </c>
    </row>
    <row r="2276" spans="1:31" ht="18" customHeight="1" x14ac:dyDescent="0.25">
      <c r="A22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6" s="79">
        <v>4</v>
      </c>
      <c r="C2276" s="23">
        <v>44922</v>
      </c>
      <c r="D2276" s="67">
        <f>IF(COUNTIF($G$2:$G2276,$G2276)=1,1,0)</f>
        <v>1</v>
      </c>
      <c r="E2276" s="67" t="str">
        <f>IFERROR(VLOOKUP(База_КР_КК[[#This Row],[ИД штатной должности (S)]],'уровень защищенности'!$B$7:$F$1095,5,0),"не защищена")</f>
        <v>низкий</v>
      </c>
      <c r="F2276" s="68">
        <v>500736</v>
      </c>
      <c r="G2276" s="74" t="s">
        <v>2665</v>
      </c>
      <c r="H2276" s="181">
        <f>INDEX('Списки данных'!$D$2:$D$1048576,MATCH(База_КР_КК[[#This Row],[Структурное подразделение]],'Списки данных'!$C$2:$C$1048576,0))</f>
        <v>94</v>
      </c>
      <c r="I2276" s="80" t="s">
        <v>145</v>
      </c>
      <c r="J2276" s="80" t="s">
        <v>21</v>
      </c>
      <c r="K2276" s="80" t="s">
        <v>21</v>
      </c>
      <c r="L2276" s="30" t="s">
        <v>189</v>
      </c>
      <c r="M2276" s="68">
        <v>6</v>
      </c>
      <c r="N2276" s="181" t="str">
        <f t="shared" si="36"/>
        <v>нет</v>
      </c>
      <c r="O2276" s="23"/>
      <c r="P2276" s="23"/>
      <c r="Q2276" s="106"/>
      <c r="R2276" s="37">
        <v>494</v>
      </c>
      <c r="S2276" s="38" t="s">
        <v>904</v>
      </c>
      <c r="T2276" s="37">
        <v>1581</v>
      </c>
      <c r="U2276" s="38" t="s">
        <v>1922</v>
      </c>
      <c r="V2276" s="69" t="s">
        <v>16</v>
      </c>
      <c r="W2276" s="89" t="s">
        <v>145</v>
      </c>
      <c r="X2276" s="106" t="s">
        <v>296</v>
      </c>
      <c r="Y2276" s="107" t="s">
        <v>12</v>
      </c>
      <c r="Z2276" s="67">
        <f>IF(База_КР_КК[[#This Row],[Таб.номер резервиста]]="-","-",IF(OR(База_КР_КК[[#This Row],[Уровень КК]]=2,База_КР_КК[[#This Row],[Уровень КК]]=3),IF(COUNTIFS($U$2:$U2276,$U2276,$F$2:$F2276,$F2276)=1,1,0),IF(COUNTIFS($U$2:$U2276,$U2276,$L$2:$L2276,$L2276)=1,1,0)))</f>
        <v>1</v>
      </c>
      <c r="AA22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6" s="106"/>
      <c r="AC2276" s="51"/>
      <c r="AD2276" s="106" t="s">
        <v>15</v>
      </c>
      <c r="AE2276" s="38" t="s">
        <v>362</v>
      </c>
    </row>
    <row r="2277" spans="1:31" ht="18" customHeight="1" x14ac:dyDescent="0.25">
      <c r="A22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7" s="79">
        <v>4</v>
      </c>
      <c r="C2277" s="23">
        <v>44550</v>
      </c>
      <c r="D2277" s="67">
        <f>IF(COUNTIF($G$2:$G2277,$G2277)=1,1,0)</f>
        <v>0</v>
      </c>
      <c r="E2277" s="67" t="str">
        <f>IFERROR(VLOOKUP(База_КР_КК[[#This Row],[ИД штатной должности (S)]],'уровень защищенности'!$B$7:$F$1095,5,0),"не защищена")</f>
        <v>низкий</v>
      </c>
      <c r="F2277" s="68">
        <v>500736</v>
      </c>
      <c r="G2277" s="74" t="s">
        <v>2665</v>
      </c>
      <c r="H2277" s="181">
        <f>INDEX('Списки данных'!$D$2:$D$1048576,MATCH(База_КР_КК[[#This Row],[Структурное подразделение]],'Списки данных'!$C$2:$C$1048576,0))</f>
        <v>94</v>
      </c>
      <c r="I2277" s="80" t="s">
        <v>145</v>
      </c>
      <c r="J2277" s="80" t="s">
        <v>21</v>
      </c>
      <c r="K2277" s="80" t="s">
        <v>21</v>
      </c>
      <c r="L2277" s="30" t="s">
        <v>189</v>
      </c>
      <c r="M2277" s="68">
        <v>6</v>
      </c>
      <c r="N2277" s="181" t="str">
        <f t="shared" si="36"/>
        <v>нет</v>
      </c>
      <c r="O2277" s="23"/>
      <c r="P2277" s="23"/>
      <c r="Q2277" s="106"/>
      <c r="R2277" s="37">
        <v>494</v>
      </c>
      <c r="S2277" s="39" t="s">
        <v>904</v>
      </c>
      <c r="T2277" s="37">
        <v>1582</v>
      </c>
      <c r="U2277" s="39" t="s">
        <v>1923</v>
      </c>
      <c r="V2277" s="69" t="s">
        <v>16</v>
      </c>
      <c r="W2277" s="89" t="s">
        <v>167</v>
      </c>
      <c r="X2277" s="106" t="s">
        <v>297</v>
      </c>
      <c r="Y2277" s="107" t="s">
        <v>18</v>
      </c>
      <c r="Z2277" s="67">
        <f>IF(База_КР_КК[[#This Row],[Таб.номер резервиста]]="-","-",IF(OR(База_КР_КК[[#This Row],[Уровень КК]]=2,База_КР_КК[[#This Row],[Уровень КК]]=3),IF(COUNTIFS($U$2:$U2277,$U2277,$F$2:$F2277,$F2277)=1,1,0),IF(COUNTIFS($U$2:$U2277,$U2277,$L$2:$L2277,$L2277)=1,1,0)))</f>
        <v>1</v>
      </c>
      <c r="AA22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7" s="106" t="s">
        <v>33</v>
      </c>
      <c r="AC2277" s="51">
        <v>44922</v>
      </c>
      <c r="AD2277" s="106" t="s">
        <v>31</v>
      </c>
      <c r="AE2277" s="38" t="s">
        <v>362</v>
      </c>
    </row>
    <row r="2278" spans="1:31" ht="18" customHeight="1" x14ac:dyDescent="0.25">
      <c r="A22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8" s="79">
        <v>4</v>
      </c>
      <c r="C2278" s="23">
        <v>44550</v>
      </c>
      <c r="D2278" s="67">
        <f>IF(COUNTIF($G$2:$G2278,$G2278)=1,1,0)</f>
        <v>0</v>
      </c>
      <c r="E2278" s="67" t="str">
        <f>IFERROR(VLOOKUP(База_КР_КК[[#This Row],[ИД штатной должности (S)]],'уровень защищенности'!$B$7:$F$1095,5,0),"не защищена")</f>
        <v>низкий</v>
      </c>
      <c r="F2278" s="68">
        <v>500736</v>
      </c>
      <c r="G2278" s="74" t="s">
        <v>2665</v>
      </c>
      <c r="H2278" s="181">
        <f>INDEX('Списки данных'!$D$2:$D$1048576,MATCH(База_КР_КК[[#This Row],[Структурное подразделение]],'Списки данных'!$C$2:$C$1048576,0))</f>
        <v>94</v>
      </c>
      <c r="I2278" s="80" t="s">
        <v>145</v>
      </c>
      <c r="J2278" s="80" t="s">
        <v>21</v>
      </c>
      <c r="K2278" s="80" t="s">
        <v>21</v>
      </c>
      <c r="L2278" s="30" t="s">
        <v>189</v>
      </c>
      <c r="M2278" s="68">
        <v>6</v>
      </c>
      <c r="N2278" s="181" t="str">
        <f t="shared" si="36"/>
        <v>нет</v>
      </c>
      <c r="O2278" s="23"/>
      <c r="P2278" s="23"/>
      <c r="Q2278" s="106"/>
      <c r="R2278" s="37">
        <v>494</v>
      </c>
      <c r="S2278" s="39" t="s">
        <v>904</v>
      </c>
      <c r="T2278" s="37">
        <v>1583</v>
      </c>
      <c r="U2278" s="39" t="s">
        <v>1867</v>
      </c>
      <c r="V2278" s="69" t="s">
        <v>16</v>
      </c>
      <c r="W2278" s="89" t="s">
        <v>145</v>
      </c>
      <c r="X2278" s="106" t="s">
        <v>296</v>
      </c>
      <c r="Y2278" s="107" t="s">
        <v>18</v>
      </c>
      <c r="Z2278" s="67">
        <f>IF(База_КР_КК[[#This Row],[Таб.номер резервиста]]="-","-",IF(OR(База_КР_КК[[#This Row],[Уровень КК]]=2,База_КР_КК[[#This Row],[Уровень КК]]=3),IF(COUNTIFS($U$2:$U2278,$U2278,$F$2:$F2278,$F2278)=1,1,0),IF(COUNTIFS($U$2:$U2278,$U2278,$L$2:$L2278,$L2278)=1,1,0)))</f>
        <v>1</v>
      </c>
      <c r="AA22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8" s="106" t="s">
        <v>20</v>
      </c>
      <c r="AC2278" s="51">
        <v>44922</v>
      </c>
      <c r="AD2278" s="106" t="s">
        <v>31</v>
      </c>
      <c r="AE2278" s="38" t="s">
        <v>362</v>
      </c>
    </row>
    <row r="2279" spans="1:31" ht="18" customHeight="1" x14ac:dyDescent="0.25">
      <c r="A22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79" s="79">
        <v>4</v>
      </c>
      <c r="C2279" s="23">
        <v>44922</v>
      </c>
      <c r="D2279" s="67">
        <f>IF(COUNTIF($G$2:$G2279,$G2279)=1,1,0)</f>
        <v>1</v>
      </c>
      <c r="E2279" s="67" t="str">
        <f>IFERROR(VLOOKUP(База_КР_КК[[#This Row],[ИД штатной должности (S)]],'уровень защищенности'!$B$7:$F$1095,5,0),"не защищена")</f>
        <v>низкий</v>
      </c>
      <c r="F2279" s="68">
        <v>500748</v>
      </c>
      <c r="G2279" s="74" t="s">
        <v>2666</v>
      </c>
      <c r="H2279" s="181">
        <f>INDEX('Списки данных'!$D$2:$D$1048576,MATCH(База_КР_КК[[#This Row],[Структурное подразделение]],'Списки данных'!$C$2:$C$1048576,0))</f>
        <v>94</v>
      </c>
      <c r="I2279" s="80" t="s">
        <v>145</v>
      </c>
      <c r="J2279" s="80" t="s">
        <v>233</v>
      </c>
      <c r="K2279" s="80" t="s">
        <v>21</v>
      </c>
      <c r="L2279" s="30" t="s">
        <v>189</v>
      </c>
      <c r="M2279" s="68">
        <v>6</v>
      </c>
      <c r="N2279" s="181" t="str">
        <f t="shared" si="36"/>
        <v>нет</v>
      </c>
      <c r="O2279" s="23"/>
      <c r="P2279" s="23"/>
      <c r="Q2279" s="106"/>
      <c r="R2279" s="37">
        <v>495</v>
      </c>
      <c r="S2279" s="38" t="s">
        <v>905</v>
      </c>
      <c r="T2279" s="37">
        <v>1584</v>
      </c>
      <c r="U2279" s="38" t="s">
        <v>1924</v>
      </c>
      <c r="V2279" s="89" t="s">
        <v>16</v>
      </c>
      <c r="W2279" s="89" t="s">
        <v>131</v>
      </c>
      <c r="X2279" s="106" t="s">
        <v>296</v>
      </c>
      <c r="Y2279" s="107" t="s">
        <v>12</v>
      </c>
      <c r="Z2279" s="67">
        <f>IF(База_КР_КК[[#This Row],[Таб.номер резервиста]]="-","-",IF(OR(База_КР_КК[[#This Row],[Уровень КК]]=2,База_КР_КК[[#This Row],[Уровень КК]]=3),IF(COUNTIFS($U$2:$U2279,$U2279,$F$2:$F2279,$F2279)=1,1,0),IF(COUNTIFS($U$2:$U2279,$U2279,$L$2:$L2279,$L2279)=1,1,0)))</f>
        <v>1</v>
      </c>
      <c r="AA22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79" s="106"/>
      <c r="AC2279" s="51"/>
      <c r="AD2279" s="106" t="s">
        <v>15</v>
      </c>
      <c r="AE2279" s="38" t="s">
        <v>362</v>
      </c>
    </row>
    <row r="2280" spans="1:31" ht="18" customHeight="1" x14ac:dyDescent="0.25">
      <c r="A22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0" s="79">
        <v>4</v>
      </c>
      <c r="C2280" s="23">
        <v>44550</v>
      </c>
      <c r="D2280" s="67">
        <f>IF(COUNTIF($G$2:$G2280,$G2280)=1,1,0)</f>
        <v>0</v>
      </c>
      <c r="E2280" s="67" t="str">
        <f>IFERROR(VLOOKUP(База_КР_КК[[#This Row],[ИД штатной должности (S)]],'уровень защищенности'!$B$7:$F$1095,5,0),"не защищена")</f>
        <v>низкий</v>
      </c>
      <c r="F2280" s="68">
        <v>500748</v>
      </c>
      <c r="G2280" s="74" t="s">
        <v>2666</v>
      </c>
      <c r="H2280" s="181">
        <f>INDEX('Списки данных'!$D$2:$D$1048576,MATCH(База_КР_КК[[#This Row],[Структурное подразделение]],'Списки данных'!$C$2:$C$1048576,0))</f>
        <v>94</v>
      </c>
      <c r="I2280" s="80" t="s">
        <v>145</v>
      </c>
      <c r="J2280" s="80" t="s">
        <v>233</v>
      </c>
      <c r="K2280" s="80" t="s">
        <v>21</v>
      </c>
      <c r="L2280" s="30" t="s">
        <v>189</v>
      </c>
      <c r="M2280" s="68">
        <v>6</v>
      </c>
      <c r="N2280" s="181" t="str">
        <f t="shared" si="36"/>
        <v>нет</v>
      </c>
      <c r="O2280" s="23"/>
      <c r="P2280" s="23"/>
      <c r="Q2280" s="106"/>
      <c r="R2280" s="37">
        <v>495</v>
      </c>
      <c r="S2280" s="39" t="s">
        <v>905</v>
      </c>
      <c r="T2280" s="37">
        <v>561</v>
      </c>
      <c r="U2280" s="39" t="s">
        <v>970</v>
      </c>
      <c r="V2280" s="69" t="s">
        <v>272</v>
      </c>
      <c r="W2280" s="89" t="s">
        <v>144</v>
      </c>
      <c r="X2280" s="106" t="s">
        <v>296</v>
      </c>
      <c r="Y2280" s="107" t="s">
        <v>18</v>
      </c>
      <c r="Z2280" s="67">
        <f>IF(База_КР_КК[[#This Row],[Таб.номер резервиста]]="-","-",IF(OR(База_КР_КК[[#This Row],[Уровень КК]]=2,База_КР_КК[[#This Row],[Уровень КК]]=3),IF(COUNTIFS($U$2:$U2280,$U2280,$F$2:$F2280,$F2280)=1,1,0),IF(COUNTIFS($U$2:$U2280,$U2280,$L$2:$L2280,$L2280)=1,1,0)))</f>
        <v>1</v>
      </c>
      <c r="AA22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0" s="106" t="s">
        <v>37</v>
      </c>
      <c r="AC2280" s="51">
        <v>44922</v>
      </c>
      <c r="AD2280" s="106" t="s">
        <v>31</v>
      </c>
      <c r="AE2280" s="38" t="s">
        <v>362</v>
      </c>
    </row>
    <row r="2281" spans="1:31" ht="18" customHeight="1" x14ac:dyDescent="0.25">
      <c r="A22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1" s="79">
        <v>4</v>
      </c>
      <c r="C2281" s="23">
        <v>44922</v>
      </c>
      <c r="D2281" s="67">
        <f>IF(COUNTIF($G$2:$G2281,$G2281)=1,1,0)</f>
        <v>1</v>
      </c>
      <c r="E2281" s="67" t="str">
        <f>IFERROR(VLOOKUP(База_КР_КК[[#This Row],[ИД штатной должности (S)]],'уровень защищенности'!$B$7:$F$1095,5,0),"не защищена")</f>
        <v>низкий</v>
      </c>
      <c r="F2281" s="68">
        <v>500749</v>
      </c>
      <c r="G2281" s="74" t="s">
        <v>2667</v>
      </c>
      <c r="H2281" s="181">
        <f>INDEX('Списки данных'!$D$2:$D$1048576,MATCH(База_КР_КК[[#This Row],[Структурное подразделение]],'Списки данных'!$C$2:$C$1048576,0))</f>
        <v>94</v>
      </c>
      <c r="I2281" s="80" t="s">
        <v>145</v>
      </c>
      <c r="J2281" s="80" t="s">
        <v>233</v>
      </c>
      <c r="K2281" s="80" t="s">
        <v>21</v>
      </c>
      <c r="L2281" s="30" t="s">
        <v>189</v>
      </c>
      <c r="M2281" s="68">
        <v>6</v>
      </c>
      <c r="N2281" s="181" t="str">
        <f t="shared" si="36"/>
        <v>нет</v>
      </c>
      <c r="O2281" s="23"/>
      <c r="P2281" s="23"/>
      <c r="Q2281" s="106"/>
      <c r="R2281" s="37">
        <v>496</v>
      </c>
      <c r="S2281" s="38" t="s">
        <v>906</v>
      </c>
      <c r="T2281" s="37">
        <v>1585</v>
      </c>
      <c r="U2281" s="38" t="s">
        <v>1790</v>
      </c>
      <c r="V2281" s="89" t="s">
        <v>192</v>
      </c>
      <c r="W2281" s="89" t="s">
        <v>141</v>
      </c>
      <c r="X2281" s="106" t="s">
        <v>296</v>
      </c>
      <c r="Y2281" s="107" t="s">
        <v>12</v>
      </c>
      <c r="Z2281" s="67">
        <f>IF(База_КР_КК[[#This Row],[Таб.номер резервиста]]="-","-",IF(OR(База_КР_КК[[#This Row],[Уровень КК]]=2,База_КР_КК[[#This Row],[Уровень КК]]=3),IF(COUNTIFS($U$2:$U2281,$U2281,$F$2:$F2281,$F2281)=1,1,0),IF(COUNTIFS($U$2:$U2281,$U2281,$L$2:$L2281,$L2281)=1,1,0)))</f>
        <v>1</v>
      </c>
      <c r="AA22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1" s="106"/>
      <c r="AC2281" s="51"/>
      <c r="AD2281" s="106" t="s">
        <v>15</v>
      </c>
      <c r="AE2281" s="38" t="s">
        <v>362</v>
      </c>
    </row>
    <row r="2282" spans="1:31" ht="18" customHeight="1" x14ac:dyDescent="0.25">
      <c r="A22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2" s="79">
        <v>4</v>
      </c>
      <c r="C2282" s="23">
        <v>44922</v>
      </c>
      <c r="D2282" s="67">
        <f>IF(COUNTIF($G$2:$G2282,$G2282)=1,1,0)</f>
        <v>0</v>
      </c>
      <c r="E2282" s="67" t="str">
        <f>IFERROR(VLOOKUP(База_КР_КК[[#This Row],[ИД штатной должности (S)]],'уровень защищенности'!$B$7:$F$1095,5,0),"не защищена")</f>
        <v>низкий</v>
      </c>
      <c r="F2282" s="68">
        <v>500749</v>
      </c>
      <c r="G2282" s="74" t="s">
        <v>2667</v>
      </c>
      <c r="H2282" s="181">
        <f>INDEX('Списки данных'!$D$2:$D$1048576,MATCH(База_КР_КК[[#This Row],[Структурное подразделение]],'Списки данных'!$C$2:$C$1048576,0))</f>
        <v>94</v>
      </c>
      <c r="I2282" s="80" t="s">
        <v>145</v>
      </c>
      <c r="J2282" s="80" t="s">
        <v>233</v>
      </c>
      <c r="K2282" s="80" t="s">
        <v>21</v>
      </c>
      <c r="L2282" s="30" t="s">
        <v>189</v>
      </c>
      <c r="M2282" s="68">
        <v>6</v>
      </c>
      <c r="N2282" s="181" t="str">
        <f t="shared" si="36"/>
        <v>нет</v>
      </c>
      <c r="O2282" s="23"/>
      <c r="P2282" s="23"/>
      <c r="Q2282" s="106"/>
      <c r="R2282" s="37">
        <v>496</v>
      </c>
      <c r="S2282" s="38" t="s">
        <v>906</v>
      </c>
      <c r="T2282" s="37">
        <v>1586</v>
      </c>
      <c r="U2282" s="38" t="s">
        <v>1925</v>
      </c>
      <c r="V2282" s="89" t="s">
        <v>16</v>
      </c>
      <c r="W2282" s="89" t="s">
        <v>141</v>
      </c>
      <c r="X2282" s="106" t="s">
        <v>296</v>
      </c>
      <c r="Y2282" s="107" t="s">
        <v>12</v>
      </c>
      <c r="Z2282" s="67">
        <f>IF(База_КР_КК[[#This Row],[Таб.номер резервиста]]="-","-",IF(OR(База_КР_КК[[#This Row],[Уровень КК]]=2,База_КР_КК[[#This Row],[Уровень КК]]=3),IF(COUNTIFS($U$2:$U2282,$U2282,$F$2:$F2282,$F2282)=1,1,0),IF(COUNTIFS($U$2:$U2282,$U2282,$L$2:$L2282,$L2282)=1,1,0)))</f>
        <v>1</v>
      </c>
      <c r="AA22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2" s="106"/>
      <c r="AC2282" s="51"/>
      <c r="AD2282" s="106" t="s">
        <v>15</v>
      </c>
      <c r="AE2282" s="38" t="s">
        <v>362</v>
      </c>
    </row>
    <row r="2283" spans="1:31" ht="18" customHeight="1" x14ac:dyDescent="0.25">
      <c r="A22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3" s="79">
        <v>4</v>
      </c>
      <c r="C2283" s="23">
        <v>44550</v>
      </c>
      <c r="D2283" s="67">
        <f>IF(COUNTIF($G$2:$G2283,$G2283)=1,1,0)</f>
        <v>0</v>
      </c>
      <c r="E2283" s="67" t="str">
        <f>IFERROR(VLOOKUP(База_КР_КК[[#This Row],[ИД штатной должности (S)]],'уровень защищенности'!$B$7:$F$1095,5,0),"не защищена")</f>
        <v>низкий</v>
      </c>
      <c r="F2283" s="68">
        <v>500749</v>
      </c>
      <c r="G2283" s="74" t="s">
        <v>2667</v>
      </c>
      <c r="H2283" s="181">
        <f>INDEX('Списки данных'!$D$2:$D$1048576,MATCH(База_КР_КК[[#This Row],[Структурное подразделение]],'Списки данных'!$C$2:$C$1048576,0))</f>
        <v>94</v>
      </c>
      <c r="I2283" s="80" t="s">
        <v>145</v>
      </c>
      <c r="J2283" s="80" t="s">
        <v>233</v>
      </c>
      <c r="K2283" s="80" t="s">
        <v>21</v>
      </c>
      <c r="L2283" s="30" t="s">
        <v>189</v>
      </c>
      <c r="M2283" s="68">
        <v>6</v>
      </c>
      <c r="N2283" s="181" t="str">
        <f t="shared" si="36"/>
        <v>нет</v>
      </c>
      <c r="O2283" s="23"/>
      <c r="P2283" s="23"/>
      <c r="Q2283" s="106"/>
      <c r="R2283" s="37">
        <v>496</v>
      </c>
      <c r="S2283" s="39" t="s">
        <v>906</v>
      </c>
      <c r="T2283" s="37">
        <v>614</v>
      </c>
      <c r="U2283" s="38" t="s">
        <v>1023</v>
      </c>
      <c r="V2283" s="69" t="s">
        <v>187</v>
      </c>
      <c r="W2283" s="89" t="s">
        <v>145</v>
      </c>
      <c r="X2283" s="106" t="s">
        <v>295</v>
      </c>
      <c r="Y2283" s="107" t="s">
        <v>18</v>
      </c>
      <c r="Z2283" s="67">
        <f>IF(База_КР_КК[[#This Row],[Таб.номер резервиста]]="-","-",IF(OR(База_КР_КК[[#This Row],[Уровень КК]]=2,База_КР_КК[[#This Row],[Уровень КК]]=3),IF(COUNTIFS($U$2:$U2283,$U2283,$F$2:$F2283,$F2283)=1,1,0),IF(COUNTIFS($U$2:$U2283,$U2283,$L$2:$L2283,$L2283)=1,1,0)))</f>
        <v>1</v>
      </c>
      <c r="AA22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3" s="106" t="s">
        <v>37</v>
      </c>
      <c r="AC2283" s="51">
        <v>44699</v>
      </c>
      <c r="AD2283" s="106" t="s">
        <v>31</v>
      </c>
      <c r="AE2283" s="38" t="s">
        <v>362</v>
      </c>
    </row>
    <row r="2284" spans="1:31" ht="18" customHeight="1" x14ac:dyDescent="0.25">
      <c r="A22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4" s="79">
        <v>4</v>
      </c>
      <c r="C2284" s="23">
        <v>44922</v>
      </c>
      <c r="D2284" s="67">
        <f>IF(COUNTIF($G$2:$G2284,$G2284)=1,1,0)</f>
        <v>1</v>
      </c>
      <c r="E2284" s="67" t="str">
        <f>IFERROR(VLOOKUP(База_КР_КК[[#This Row],[ИД штатной должности (S)]],'уровень защищенности'!$B$7:$F$1095,5,0),"не защищена")</f>
        <v>низкий</v>
      </c>
      <c r="F2284" s="68">
        <v>500750</v>
      </c>
      <c r="G2284" s="74" t="s">
        <v>2668</v>
      </c>
      <c r="H2284" s="181">
        <f>INDEX('Списки данных'!$D$2:$D$1048576,MATCH(База_КР_КК[[#This Row],[Структурное подразделение]],'Списки данных'!$C$2:$C$1048576,0))</f>
        <v>94</v>
      </c>
      <c r="I2284" s="80" t="s">
        <v>145</v>
      </c>
      <c r="J2284" s="80" t="s">
        <v>233</v>
      </c>
      <c r="K2284" s="80" t="s">
        <v>21</v>
      </c>
      <c r="L2284" s="30" t="s">
        <v>189</v>
      </c>
      <c r="M2284" s="68">
        <v>6</v>
      </c>
      <c r="N2284" s="181" t="str">
        <f t="shared" si="36"/>
        <v>нет</v>
      </c>
      <c r="O2284" s="23"/>
      <c r="P2284" s="23"/>
      <c r="Q2284" s="106"/>
      <c r="R2284" s="37">
        <v>497</v>
      </c>
      <c r="S2284" s="38" t="s">
        <v>907</v>
      </c>
      <c r="T2284" s="37">
        <v>1587</v>
      </c>
      <c r="U2284" s="38" t="s">
        <v>1926</v>
      </c>
      <c r="V2284" s="89" t="s">
        <v>192</v>
      </c>
      <c r="W2284" s="89" t="s">
        <v>140</v>
      </c>
      <c r="X2284" s="106" t="s">
        <v>296</v>
      </c>
      <c r="Y2284" s="107" t="s">
        <v>12</v>
      </c>
      <c r="Z2284" s="67">
        <f>IF(База_КР_КК[[#This Row],[Таб.номер резервиста]]="-","-",IF(OR(База_КР_КК[[#This Row],[Уровень КК]]=2,База_КР_КК[[#This Row],[Уровень КК]]=3),IF(COUNTIFS($U$2:$U2284,$U2284,$F$2:$F2284,$F2284)=1,1,0),IF(COUNTIFS($U$2:$U2284,$U2284,$L$2:$L2284,$L2284)=1,1,0)))</f>
        <v>1</v>
      </c>
      <c r="AA22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4" s="106"/>
      <c r="AC2284" s="51"/>
      <c r="AD2284" s="106" t="s">
        <v>15</v>
      </c>
      <c r="AE2284" s="38" t="s">
        <v>362</v>
      </c>
    </row>
    <row r="2285" spans="1:31" ht="18" customHeight="1" x14ac:dyDescent="0.25">
      <c r="A22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5" s="79">
        <v>4</v>
      </c>
      <c r="C2285" s="23">
        <v>44922</v>
      </c>
      <c r="D2285" s="67">
        <f>IF(COUNTIF($G$2:$G2285,$G2285)=1,1,0)</f>
        <v>0</v>
      </c>
      <c r="E2285" s="67" t="str">
        <f>IFERROR(VLOOKUP(База_КР_КК[[#This Row],[ИД штатной должности (S)]],'уровень защищенности'!$B$7:$F$1095,5,0),"не защищена")</f>
        <v>низкий</v>
      </c>
      <c r="F2285" s="68">
        <v>500750</v>
      </c>
      <c r="G2285" s="74" t="s">
        <v>2668</v>
      </c>
      <c r="H2285" s="181">
        <f>INDEX('Списки данных'!$D$2:$D$1048576,MATCH(База_КР_КК[[#This Row],[Структурное подразделение]],'Списки данных'!$C$2:$C$1048576,0))</f>
        <v>94</v>
      </c>
      <c r="I2285" s="80" t="s">
        <v>145</v>
      </c>
      <c r="J2285" s="80" t="s">
        <v>233</v>
      </c>
      <c r="K2285" s="80" t="s">
        <v>21</v>
      </c>
      <c r="L2285" s="30" t="s">
        <v>189</v>
      </c>
      <c r="M2285" s="68">
        <v>6</v>
      </c>
      <c r="N2285" s="181" t="str">
        <f t="shared" si="36"/>
        <v>нет</v>
      </c>
      <c r="O2285" s="23"/>
      <c r="P2285" s="23"/>
      <c r="Q2285" s="106"/>
      <c r="R2285" s="37">
        <v>497</v>
      </c>
      <c r="S2285" s="38" t="s">
        <v>907</v>
      </c>
      <c r="T2285" s="37">
        <v>1588</v>
      </c>
      <c r="U2285" s="38" t="s">
        <v>1582</v>
      </c>
      <c r="V2285" s="69" t="s">
        <v>200</v>
      </c>
      <c r="W2285" s="89" t="s">
        <v>286</v>
      </c>
      <c r="X2285" s="106" t="s">
        <v>296</v>
      </c>
      <c r="Y2285" s="107" t="s">
        <v>18</v>
      </c>
      <c r="Z2285" s="67">
        <f>IF(База_КР_КК[[#This Row],[Таб.номер резервиста]]="-","-",IF(OR(База_КР_КК[[#This Row],[Уровень КК]]=2,База_КР_КК[[#This Row],[Уровень КК]]=3),IF(COUNTIFS($U$2:$U2285,$U2285,$F$2:$F2285,$F2285)=1,1,0),IF(COUNTIFS($U$2:$U2285,$U2285,$L$2:$L2285,$L2285)=1,1,0)))</f>
        <v>0</v>
      </c>
      <c r="AA22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5" s="106" t="s">
        <v>37</v>
      </c>
      <c r="AC2285" s="51">
        <v>44958</v>
      </c>
      <c r="AD2285" s="106" t="s">
        <v>15</v>
      </c>
      <c r="AE2285" s="38" t="s">
        <v>362</v>
      </c>
    </row>
    <row r="2286" spans="1:31" ht="18" customHeight="1" x14ac:dyDescent="0.25">
      <c r="A22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6" s="79">
        <v>4</v>
      </c>
      <c r="C2286" s="23">
        <v>44550</v>
      </c>
      <c r="D2286" s="67">
        <f>IF(COUNTIF($G$2:$G2286,$G2286)=1,1,0)</f>
        <v>0</v>
      </c>
      <c r="E2286" s="67" t="str">
        <f>IFERROR(VLOOKUP(База_КР_КК[[#This Row],[ИД штатной должности (S)]],'уровень защищенности'!$B$7:$F$1095,5,0),"не защищена")</f>
        <v>низкий</v>
      </c>
      <c r="F2286" s="68">
        <v>500750</v>
      </c>
      <c r="G2286" s="74" t="s">
        <v>2668</v>
      </c>
      <c r="H2286" s="181">
        <f>INDEX('Списки данных'!$D$2:$D$1048576,MATCH(База_КР_КК[[#This Row],[Структурное подразделение]],'Списки данных'!$C$2:$C$1048576,0))</f>
        <v>94</v>
      </c>
      <c r="I2286" s="80" t="s">
        <v>145</v>
      </c>
      <c r="J2286" s="80" t="s">
        <v>233</v>
      </c>
      <c r="K2286" s="80" t="s">
        <v>21</v>
      </c>
      <c r="L2286" s="30" t="s">
        <v>189</v>
      </c>
      <c r="M2286" s="68">
        <v>6</v>
      </c>
      <c r="N2286" s="181" t="str">
        <f t="shared" si="36"/>
        <v>нет</v>
      </c>
      <c r="O2286" s="23"/>
      <c r="P2286" s="23"/>
      <c r="Q2286" s="106"/>
      <c r="R2286" s="37">
        <v>497</v>
      </c>
      <c r="S2286" s="39" t="s">
        <v>907</v>
      </c>
      <c r="T2286" s="37">
        <v>1589</v>
      </c>
      <c r="U2286" s="39" t="s">
        <v>1927</v>
      </c>
      <c r="V2286" s="69" t="s">
        <v>198</v>
      </c>
      <c r="W2286" s="89" t="s">
        <v>140</v>
      </c>
      <c r="X2286" s="106" t="s">
        <v>297</v>
      </c>
      <c r="Y2286" s="107" t="s">
        <v>18</v>
      </c>
      <c r="Z2286" s="67">
        <f>IF(База_КР_КК[[#This Row],[Таб.номер резервиста]]="-","-",IF(OR(База_КР_КК[[#This Row],[Уровень КК]]=2,База_КР_КК[[#This Row],[Уровень КК]]=3),IF(COUNTIFS($U$2:$U2286,$U2286,$F$2:$F2286,$F2286)=1,1,0),IF(COUNTIFS($U$2:$U2286,$U2286,$L$2:$L2286,$L2286)=1,1,0)))</f>
        <v>1</v>
      </c>
      <c r="AA22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6" s="106" t="s">
        <v>20</v>
      </c>
      <c r="AC2286" s="51">
        <v>44922</v>
      </c>
      <c r="AD2286" s="106" t="s">
        <v>31</v>
      </c>
      <c r="AE2286" s="38" t="s">
        <v>362</v>
      </c>
    </row>
    <row r="2287" spans="1:31" ht="18" customHeight="1" x14ac:dyDescent="0.25">
      <c r="A22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7" s="79">
        <v>4</v>
      </c>
      <c r="C2287" s="23">
        <v>44922</v>
      </c>
      <c r="D2287" s="67">
        <f>IF(COUNTIF($G$2:$G2287,$G2287)=1,1,0)</f>
        <v>1</v>
      </c>
      <c r="E2287" s="67" t="str">
        <f>IFERROR(VLOOKUP(База_КР_КК[[#This Row],[ИД штатной должности (S)]],'уровень защищенности'!$B$7:$F$1095,5,0),"не защищена")</f>
        <v>низкий</v>
      </c>
      <c r="F2287" s="68">
        <v>500741</v>
      </c>
      <c r="G2287" s="74" t="s">
        <v>2669</v>
      </c>
      <c r="H2287" s="181">
        <f>INDEX('Списки данных'!$D$2:$D$1048576,MATCH(База_КР_КК[[#This Row],[Структурное подразделение]],'Списки данных'!$C$2:$C$1048576,0))</f>
        <v>94</v>
      </c>
      <c r="I2287" s="80" t="s">
        <v>145</v>
      </c>
      <c r="J2287" s="80" t="s">
        <v>233</v>
      </c>
      <c r="K2287" s="80" t="s">
        <v>21</v>
      </c>
      <c r="L2287" s="30" t="s">
        <v>189</v>
      </c>
      <c r="M2287" s="68">
        <v>6</v>
      </c>
      <c r="N2287" s="181" t="str">
        <f t="shared" si="36"/>
        <v>нет</v>
      </c>
      <c r="O2287" s="23"/>
      <c r="P2287" s="23"/>
      <c r="Q2287" s="106"/>
      <c r="R2287" s="37">
        <v>498</v>
      </c>
      <c r="S2287" s="38" t="s">
        <v>908</v>
      </c>
      <c r="T2287" s="37">
        <v>513</v>
      </c>
      <c r="U2287" s="38" t="s">
        <v>923</v>
      </c>
      <c r="V2287" s="69" t="s">
        <v>193</v>
      </c>
      <c r="W2287" s="89" t="s">
        <v>145</v>
      </c>
      <c r="X2287" s="106" t="s">
        <v>296</v>
      </c>
      <c r="Y2287" s="107" t="s">
        <v>12</v>
      </c>
      <c r="Z2287" s="67">
        <f>IF(База_КР_КК[[#This Row],[Таб.номер резервиста]]="-","-",IF(OR(База_КР_КК[[#This Row],[Уровень КК]]=2,База_КР_КК[[#This Row],[Уровень КК]]=3),IF(COUNTIFS($U$2:$U2287,$U2287,$F$2:$F2287,$F2287)=1,1,0),IF(COUNTIFS($U$2:$U2287,$U2287,$L$2:$L2287,$L2287)=1,1,0)))</f>
        <v>1</v>
      </c>
      <c r="AA22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7" s="106"/>
      <c r="AC2287" s="51"/>
      <c r="AD2287" s="106" t="s">
        <v>15</v>
      </c>
      <c r="AE2287" s="38" t="s">
        <v>362</v>
      </c>
    </row>
    <row r="2288" spans="1:31" ht="18" customHeight="1" x14ac:dyDescent="0.25">
      <c r="A22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8" s="79">
        <v>4</v>
      </c>
      <c r="C2288" s="23">
        <v>44550</v>
      </c>
      <c r="D2288" s="67">
        <f>IF(COUNTIF($G$2:$G2288,$G2288)=1,1,0)</f>
        <v>0</v>
      </c>
      <c r="E2288" s="67" t="str">
        <f>IFERROR(VLOOKUP(База_КР_КК[[#This Row],[ИД штатной должности (S)]],'уровень защищенности'!$B$7:$F$1095,5,0),"не защищена")</f>
        <v>низкий</v>
      </c>
      <c r="F2288" s="68">
        <v>500741</v>
      </c>
      <c r="G2288" s="74" t="s">
        <v>2669</v>
      </c>
      <c r="H2288" s="181">
        <f>INDEX('Списки данных'!$D$2:$D$1048576,MATCH(База_КР_КК[[#This Row],[Структурное подразделение]],'Списки данных'!$C$2:$C$1048576,0))</f>
        <v>94</v>
      </c>
      <c r="I2288" s="80" t="s">
        <v>145</v>
      </c>
      <c r="J2288" s="80" t="s">
        <v>233</v>
      </c>
      <c r="K2288" s="80" t="s">
        <v>21</v>
      </c>
      <c r="L2288" s="30" t="s">
        <v>189</v>
      </c>
      <c r="M2288" s="68">
        <v>6</v>
      </c>
      <c r="N2288" s="181" t="str">
        <f t="shared" si="36"/>
        <v>нет</v>
      </c>
      <c r="O2288" s="23"/>
      <c r="P2288" s="23"/>
      <c r="Q2288" s="106"/>
      <c r="R2288" s="37">
        <v>498</v>
      </c>
      <c r="S2288" s="39" t="s">
        <v>908</v>
      </c>
      <c r="T2288" s="37">
        <v>1590</v>
      </c>
      <c r="U2288" s="39" t="s">
        <v>1928</v>
      </c>
      <c r="V2288" s="69" t="s">
        <v>200</v>
      </c>
      <c r="W2288" s="89" t="s">
        <v>286</v>
      </c>
      <c r="X2288" s="106" t="s">
        <v>297</v>
      </c>
      <c r="Y2288" s="107" t="s">
        <v>18</v>
      </c>
      <c r="Z2288" s="67">
        <f>IF(База_КР_КК[[#This Row],[Таб.номер резервиста]]="-","-",IF(OR(База_КР_КК[[#This Row],[Уровень КК]]=2,База_КР_КК[[#This Row],[Уровень КК]]=3),IF(COUNTIFS($U$2:$U2288,$U2288,$F$2:$F2288,$F2288)=1,1,0),IF(COUNTIFS($U$2:$U2288,$U2288,$L$2:$L2288,$L2288)=1,1,0)))</f>
        <v>1</v>
      </c>
      <c r="AA22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8" s="106" t="s">
        <v>33</v>
      </c>
      <c r="AC2288" s="51">
        <v>44939</v>
      </c>
      <c r="AD2288" s="106" t="s">
        <v>15</v>
      </c>
      <c r="AE2288" s="38" t="s">
        <v>367</v>
      </c>
    </row>
    <row r="2289" spans="1:31" ht="18" customHeight="1" x14ac:dyDescent="0.25">
      <c r="A22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89" s="79">
        <v>4</v>
      </c>
      <c r="C2289" s="23">
        <v>44550</v>
      </c>
      <c r="D2289" s="67">
        <f>IF(COUNTIF($G$2:$G2289,$G2289)=1,1,0)</f>
        <v>1</v>
      </c>
      <c r="E2289" s="67" t="str">
        <f>IFERROR(VLOOKUP(База_КР_КК[[#This Row],[ИД штатной должности (S)]],'уровень защищенности'!$B$7:$F$1095,5,0),"не защищена")</f>
        <v>средний</v>
      </c>
      <c r="F2289" s="68">
        <v>500751</v>
      </c>
      <c r="G2289" s="74" t="s">
        <v>2670</v>
      </c>
      <c r="H2289" s="181">
        <f>INDEX('Списки данных'!$D$2:$D$1048576,MATCH(База_КР_КК[[#This Row],[Структурное подразделение]],'Списки данных'!$C$2:$C$1048576,0))</f>
        <v>94</v>
      </c>
      <c r="I2289" s="80" t="s">
        <v>145</v>
      </c>
      <c r="J2289" s="80" t="s">
        <v>233</v>
      </c>
      <c r="K2289" s="80" t="s">
        <v>21</v>
      </c>
      <c r="L2289" s="30" t="s">
        <v>189</v>
      </c>
      <c r="M2289" s="68">
        <v>6</v>
      </c>
      <c r="N2289" s="181" t="str">
        <f t="shared" si="36"/>
        <v>нет</v>
      </c>
      <c r="O2289" s="23"/>
      <c r="P2289" s="23"/>
      <c r="Q2289" s="106"/>
      <c r="R2289" s="37">
        <v>499</v>
      </c>
      <c r="S2289" s="39" t="s">
        <v>909</v>
      </c>
      <c r="T2289" s="37">
        <v>1591</v>
      </c>
      <c r="U2289" s="39" t="s">
        <v>1929</v>
      </c>
      <c r="V2289" s="69" t="s">
        <v>16</v>
      </c>
      <c r="W2289" s="89" t="s">
        <v>145</v>
      </c>
      <c r="X2289" s="106" t="s">
        <v>297</v>
      </c>
      <c r="Y2289" s="107" t="s">
        <v>12</v>
      </c>
      <c r="Z2289" s="67">
        <f>IF(База_КР_КК[[#This Row],[Таб.номер резервиста]]="-","-",IF(OR(База_КР_КК[[#This Row],[Уровень КК]]=2,База_КР_КК[[#This Row],[Уровень КК]]=3),IF(COUNTIFS($U$2:$U2289,$U2289,$F$2:$F2289,$F2289)=1,1,0),IF(COUNTIFS($U$2:$U2289,$U2289,$L$2:$L2289,$L2289)=1,1,0)))</f>
        <v>1</v>
      </c>
      <c r="AA22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89" s="106"/>
      <c r="AC2289" s="51"/>
      <c r="AD2289" s="106" t="s">
        <v>15</v>
      </c>
      <c r="AE2289" s="38" t="s">
        <v>367</v>
      </c>
    </row>
    <row r="2290" spans="1:31" ht="18" customHeight="1" x14ac:dyDescent="0.25">
      <c r="A22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0" s="79">
        <v>4</v>
      </c>
      <c r="C2290" s="23">
        <v>44550</v>
      </c>
      <c r="D2290" s="67">
        <f>IF(COUNTIF($G$2:$G2290,$G2290)=1,1,0)</f>
        <v>0</v>
      </c>
      <c r="E2290" s="67" t="str">
        <f>IFERROR(VLOOKUP(База_КР_КК[[#This Row],[ИД штатной должности (S)]],'уровень защищенности'!$B$7:$F$1095,5,0),"не защищена")</f>
        <v>средний</v>
      </c>
      <c r="F2290" s="68">
        <v>500751</v>
      </c>
      <c r="G2290" s="74" t="s">
        <v>2670</v>
      </c>
      <c r="H2290" s="181">
        <f>INDEX('Списки данных'!$D$2:$D$1048576,MATCH(База_КР_КК[[#This Row],[Структурное подразделение]],'Списки данных'!$C$2:$C$1048576,0))</f>
        <v>94</v>
      </c>
      <c r="I2290" s="80" t="s">
        <v>145</v>
      </c>
      <c r="J2290" s="80" t="s">
        <v>233</v>
      </c>
      <c r="K2290" s="80" t="s">
        <v>21</v>
      </c>
      <c r="L2290" s="30" t="s">
        <v>189</v>
      </c>
      <c r="M2290" s="68">
        <v>6</v>
      </c>
      <c r="N2290" s="181" t="str">
        <f t="shared" si="36"/>
        <v>нет</v>
      </c>
      <c r="O2290" s="23"/>
      <c r="P2290" s="23"/>
      <c r="Q2290" s="106"/>
      <c r="R2290" s="37">
        <v>499</v>
      </c>
      <c r="S2290" s="39" t="s">
        <v>909</v>
      </c>
      <c r="T2290" s="37">
        <v>1592</v>
      </c>
      <c r="U2290" s="39" t="s">
        <v>1786</v>
      </c>
      <c r="V2290" s="69" t="s">
        <v>272</v>
      </c>
      <c r="W2290" s="89" t="s">
        <v>163</v>
      </c>
      <c r="X2290" s="106" t="s">
        <v>296</v>
      </c>
      <c r="Y2290" s="107" t="s">
        <v>12</v>
      </c>
      <c r="Z2290" s="67">
        <f>IF(База_КР_КК[[#This Row],[Таб.номер резервиста]]="-","-",IF(OR(База_КР_КК[[#This Row],[Уровень КК]]=2,База_КР_КК[[#This Row],[Уровень КК]]=3),IF(COUNTIFS($U$2:$U2290,$U2290,$F$2:$F2290,$F2290)=1,1,0),IF(COUNTIFS($U$2:$U2290,$U2290,$L$2:$L2290,$L2290)=1,1,0)))</f>
        <v>1</v>
      </c>
      <c r="AA22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0" s="106"/>
      <c r="AC2290" s="51"/>
      <c r="AD2290" s="106" t="s">
        <v>15</v>
      </c>
      <c r="AE2290" s="38" t="s">
        <v>367</v>
      </c>
    </row>
    <row r="2291" spans="1:31" ht="18" customHeight="1" x14ac:dyDescent="0.25">
      <c r="A22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1" s="79">
        <v>4</v>
      </c>
      <c r="C2291" s="23">
        <v>44550</v>
      </c>
      <c r="D2291" s="67">
        <f>IF(COUNTIF($G$2:$G2291,$G2291)=1,1,0)</f>
        <v>1</v>
      </c>
      <c r="E2291" s="67" t="str">
        <f>IFERROR(VLOOKUP(База_КР_КК[[#This Row],[ИД штатной должности (S)]],'уровень защищенности'!$B$7:$F$1095,5,0),"не защищена")</f>
        <v>средний</v>
      </c>
      <c r="F2291" s="68">
        <v>500752</v>
      </c>
      <c r="G2291" s="74" t="s">
        <v>2671</v>
      </c>
      <c r="H2291" s="181">
        <f>INDEX('Списки данных'!$D$2:$D$1048576,MATCH(База_КР_КК[[#This Row],[Структурное подразделение]],'Списки данных'!$C$2:$C$1048576,0))</f>
        <v>94</v>
      </c>
      <c r="I2291" s="80" t="s">
        <v>145</v>
      </c>
      <c r="J2291" s="80" t="s">
        <v>233</v>
      </c>
      <c r="K2291" s="80" t="s">
        <v>21</v>
      </c>
      <c r="L2291" s="30" t="s">
        <v>189</v>
      </c>
      <c r="M2291" s="68">
        <v>6</v>
      </c>
      <c r="N2291" s="181" t="str">
        <f t="shared" si="36"/>
        <v>нет</v>
      </c>
      <c r="O2291" s="23"/>
      <c r="P2291" s="23"/>
      <c r="Q2291" s="106"/>
      <c r="R2291" s="37">
        <v>500</v>
      </c>
      <c r="S2291" s="39" t="s">
        <v>910</v>
      </c>
      <c r="T2291" s="37">
        <v>588</v>
      </c>
      <c r="U2291" s="39" t="s">
        <v>997</v>
      </c>
      <c r="V2291" s="69" t="s">
        <v>193</v>
      </c>
      <c r="W2291" s="89" t="s">
        <v>145</v>
      </c>
      <c r="X2291" s="106" t="s">
        <v>297</v>
      </c>
      <c r="Y2291" s="107" t="s">
        <v>12</v>
      </c>
      <c r="Z2291" s="67">
        <f>IF(База_КР_КК[[#This Row],[Таб.номер резервиста]]="-","-",IF(OR(База_КР_КК[[#This Row],[Уровень КК]]=2,База_КР_КК[[#This Row],[Уровень КК]]=3),IF(COUNTIFS($U$2:$U2291,$U2291,$F$2:$F2291,$F2291)=1,1,0),IF(COUNTIFS($U$2:$U2291,$U2291,$L$2:$L2291,$L2291)=1,1,0)))</f>
        <v>1</v>
      </c>
      <c r="AA22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1" s="106"/>
      <c r="AC2291" s="51"/>
      <c r="AD2291" s="106" t="s">
        <v>15</v>
      </c>
      <c r="AE2291" s="38" t="s">
        <v>367</v>
      </c>
    </row>
    <row r="2292" spans="1:31" ht="18" customHeight="1" x14ac:dyDescent="0.25">
      <c r="A22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2" s="79">
        <v>4</v>
      </c>
      <c r="C2292" s="23">
        <v>44922</v>
      </c>
      <c r="D2292" s="67">
        <f>IF(COUNTIF($G$2:$G2292,$G2292)=1,1,0)</f>
        <v>0</v>
      </c>
      <c r="E2292" s="67" t="str">
        <f>IFERROR(VLOOKUP(База_КР_КК[[#This Row],[ИД штатной должности (S)]],'уровень защищенности'!$B$7:$F$1095,5,0),"не защищена")</f>
        <v>средний</v>
      </c>
      <c r="F2292" s="68">
        <v>500752</v>
      </c>
      <c r="G2292" s="74" t="s">
        <v>2671</v>
      </c>
      <c r="H2292" s="181">
        <f>INDEX('Списки данных'!$D$2:$D$1048576,MATCH(База_КР_КК[[#This Row],[Структурное подразделение]],'Списки данных'!$C$2:$C$1048576,0))</f>
        <v>94</v>
      </c>
      <c r="I2292" s="80" t="s">
        <v>145</v>
      </c>
      <c r="J2292" s="80" t="s">
        <v>233</v>
      </c>
      <c r="K2292" s="80" t="s">
        <v>21</v>
      </c>
      <c r="L2292" s="30" t="s">
        <v>189</v>
      </c>
      <c r="M2292" s="68">
        <v>6</v>
      </c>
      <c r="N2292" s="181" t="str">
        <f t="shared" si="36"/>
        <v>нет</v>
      </c>
      <c r="O2292" s="23"/>
      <c r="P2292" s="23"/>
      <c r="Q2292" s="106"/>
      <c r="R2292" s="37">
        <v>500</v>
      </c>
      <c r="S2292" s="38" t="s">
        <v>910</v>
      </c>
      <c r="T2292" s="37">
        <v>1593</v>
      </c>
      <c r="U2292" s="38" t="s">
        <v>1930</v>
      </c>
      <c r="V2292" s="69" t="s">
        <v>16</v>
      </c>
      <c r="W2292" s="89" t="s">
        <v>145</v>
      </c>
      <c r="X2292" s="106" t="s">
        <v>296</v>
      </c>
      <c r="Y2292" s="107" t="s">
        <v>12</v>
      </c>
      <c r="Z2292" s="67">
        <f>IF(База_КР_КК[[#This Row],[Таб.номер резервиста]]="-","-",IF(OR(База_КР_КК[[#This Row],[Уровень КК]]=2,База_КР_КК[[#This Row],[Уровень КК]]=3),IF(COUNTIFS($U$2:$U2292,$U2292,$F$2:$F2292,$F2292)=1,1,0),IF(COUNTIFS($U$2:$U2292,$U2292,$L$2:$L2292,$L2292)=1,1,0)))</f>
        <v>1</v>
      </c>
      <c r="AA22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2" s="106"/>
      <c r="AC2292" s="51"/>
      <c r="AD2292" s="106" t="s">
        <v>15</v>
      </c>
      <c r="AE2292" s="38" t="s">
        <v>362</v>
      </c>
    </row>
    <row r="2293" spans="1:31" ht="18" customHeight="1" x14ac:dyDescent="0.25">
      <c r="A22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3" s="79">
        <v>4</v>
      </c>
      <c r="C2293" s="23">
        <v>44922</v>
      </c>
      <c r="D2293" s="67">
        <f>IF(COUNTIF($G$2:$G2293,$G2293)=1,1,0)</f>
        <v>0</v>
      </c>
      <c r="E2293" s="67" t="str">
        <f>IFERROR(VLOOKUP(База_КР_КК[[#This Row],[ИД штатной должности (S)]],'уровень защищенности'!$B$7:$F$1095,5,0),"не защищена")</f>
        <v>средний</v>
      </c>
      <c r="F2293" s="68">
        <v>500752</v>
      </c>
      <c r="G2293" s="74" t="s">
        <v>2671</v>
      </c>
      <c r="H2293" s="181">
        <f>INDEX('Списки данных'!$D$2:$D$1048576,MATCH(База_КР_КК[[#This Row],[Структурное подразделение]],'Списки данных'!$C$2:$C$1048576,0))</f>
        <v>94</v>
      </c>
      <c r="I2293" s="80" t="s">
        <v>145</v>
      </c>
      <c r="J2293" s="80" t="s">
        <v>233</v>
      </c>
      <c r="K2293" s="80" t="s">
        <v>21</v>
      </c>
      <c r="L2293" s="30" t="s">
        <v>189</v>
      </c>
      <c r="M2293" s="68">
        <v>6</v>
      </c>
      <c r="N2293" s="181" t="str">
        <f t="shared" si="36"/>
        <v>нет</v>
      </c>
      <c r="O2293" s="23"/>
      <c r="P2293" s="23"/>
      <c r="Q2293" s="106"/>
      <c r="R2293" s="37">
        <v>500</v>
      </c>
      <c r="S2293" s="38" t="s">
        <v>910</v>
      </c>
      <c r="T2293" s="37">
        <v>1594</v>
      </c>
      <c r="U2293" s="38" t="s">
        <v>1931</v>
      </c>
      <c r="V2293" s="89" t="s">
        <v>16</v>
      </c>
      <c r="W2293" s="89" t="s">
        <v>141</v>
      </c>
      <c r="X2293" s="106" t="s">
        <v>296</v>
      </c>
      <c r="Y2293" s="107" t="s">
        <v>12</v>
      </c>
      <c r="Z2293" s="67">
        <f>IF(База_КР_КК[[#This Row],[Таб.номер резервиста]]="-","-",IF(OR(База_КР_КК[[#This Row],[Уровень КК]]=2,База_КР_КК[[#This Row],[Уровень КК]]=3),IF(COUNTIFS($U$2:$U2293,$U2293,$F$2:$F2293,$F2293)=1,1,0),IF(COUNTIFS($U$2:$U2293,$U2293,$L$2:$L2293,$L2293)=1,1,0)))</f>
        <v>1</v>
      </c>
      <c r="AA22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3" s="106"/>
      <c r="AC2293" s="51"/>
      <c r="AD2293" s="106" t="s">
        <v>15</v>
      </c>
      <c r="AE2293" s="38" t="s">
        <v>362</v>
      </c>
    </row>
    <row r="2294" spans="1:31" ht="18" customHeight="1" x14ac:dyDescent="0.25">
      <c r="A22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4" s="79">
        <v>4</v>
      </c>
      <c r="C2294" s="23">
        <v>44550</v>
      </c>
      <c r="D2294" s="67">
        <f>IF(COUNTIF($G$2:$G2294,$G2294)=1,1,0)</f>
        <v>1</v>
      </c>
      <c r="E2294" s="67" t="str">
        <f>IFERROR(VLOOKUP(База_КР_КК[[#This Row],[ИД штатной должности (S)]],'уровень защищенности'!$B$7:$F$1095,5,0),"не защищена")</f>
        <v>средний</v>
      </c>
      <c r="F2294" s="68">
        <v>500753</v>
      </c>
      <c r="G2294" s="74" t="s">
        <v>2672</v>
      </c>
      <c r="H2294" s="181">
        <f>INDEX('Списки данных'!$D$2:$D$1048576,MATCH(База_КР_КК[[#This Row],[Структурное подразделение]],'Списки данных'!$C$2:$C$1048576,0))</f>
        <v>94</v>
      </c>
      <c r="I2294" s="80" t="s">
        <v>145</v>
      </c>
      <c r="J2294" s="80" t="s">
        <v>233</v>
      </c>
      <c r="K2294" s="80" t="s">
        <v>21</v>
      </c>
      <c r="L2294" s="30" t="s">
        <v>189</v>
      </c>
      <c r="M2294" s="68">
        <v>6</v>
      </c>
      <c r="N2294" s="181" t="str">
        <f t="shared" si="36"/>
        <v>нет</v>
      </c>
      <c r="O2294" s="23"/>
      <c r="P2294" s="23"/>
      <c r="Q2294" s="106"/>
      <c r="R2294" s="37">
        <v>501</v>
      </c>
      <c r="S2294" s="39" t="s">
        <v>911</v>
      </c>
      <c r="T2294" s="37">
        <v>538</v>
      </c>
      <c r="U2294" s="39" t="s">
        <v>948</v>
      </c>
      <c r="V2294" s="69" t="s">
        <v>189</v>
      </c>
      <c r="W2294" s="89" t="s">
        <v>156</v>
      </c>
      <c r="X2294" s="106" t="s">
        <v>297</v>
      </c>
      <c r="Y2294" s="107" t="s">
        <v>12</v>
      </c>
      <c r="Z2294" s="67">
        <f>IF(База_КР_КК[[#This Row],[Таб.номер резервиста]]="-","-",IF(OR(База_КР_КК[[#This Row],[Уровень КК]]=2,База_КР_КК[[#This Row],[Уровень КК]]=3),IF(COUNTIFS($U$2:$U2294,$U2294,$F$2:$F2294,$F2294)=1,1,0),IF(COUNTIFS($U$2:$U2294,$U2294,$L$2:$L2294,$L2294)=1,1,0)))</f>
        <v>1</v>
      </c>
      <c r="AA22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4" s="106"/>
      <c r="AC2294" s="51"/>
      <c r="AD2294" s="106" t="s">
        <v>15</v>
      </c>
      <c r="AE2294" s="38" t="s">
        <v>367</v>
      </c>
    </row>
    <row r="2295" spans="1:31" ht="18" customHeight="1" x14ac:dyDescent="0.25">
      <c r="A22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5" s="79">
        <v>4</v>
      </c>
      <c r="C2295" s="23">
        <v>44550</v>
      </c>
      <c r="D2295" s="67">
        <f>IF(COUNTIF($G$2:$G2295,$G2295)=1,1,0)</f>
        <v>1</v>
      </c>
      <c r="E2295" s="67" t="str">
        <f>IFERROR(VLOOKUP(База_КР_КК[[#This Row],[ИД штатной должности (S)]],'уровень защищенности'!$B$7:$F$1095,5,0),"не защищена")</f>
        <v>низкий</v>
      </c>
      <c r="F2295" s="68">
        <v>500754</v>
      </c>
      <c r="G2295" s="74" t="s">
        <v>2673</v>
      </c>
      <c r="H2295" s="181">
        <f>INDEX('Списки данных'!$D$2:$D$1048576,MATCH(База_КР_КК[[#This Row],[Структурное подразделение]],'Списки данных'!$C$2:$C$1048576,0))</f>
        <v>94</v>
      </c>
      <c r="I2295" s="80" t="s">
        <v>145</v>
      </c>
      <c r="J2295" s="80" t="s">
        <v>233</v>
      </c>
      <c r="K2295" s="80" t="s">
        <v>21</v>
      </c>
      <c r="L2295" s="30" t="s">
        <v>189</v>
      </c>
      <c r="M2295" s="68">
        <v>6</v>
      </c>
      <c r="N2295" s="181" t="str">
        <f t="shared" si="36"/>
        <v>нет</v>
      </c>
      <c r="O2295" s="23"/>
      <c r="P2295" s="23"/>
      <c r="Q2295" s="106"/>
      <c r="R2295" s="37">
        <v>502</v>
      </c>
      <c r="S2295" s="39" t="s">
        <v>912</v>
      </c>
      <c r="T2295" s="37">
        <v>1595</v>
      </c>
      <c r="U2295" s="39" t="s">
        <v>1932</v>
      </c>
      <c r="V2295" s="89" t="s">
        <v>272</v>
      </c>
      <c r="W2295" s="89" t="s">
        <v>144</v>
      </c>
      <c r="X2295" s="106" t="s">
        <v>296</v>
      </c>
      <c r="Y2295" s="107" t="s">
        <v>12</v>
      </c>
      <c r="Z2295" s="67">
        <f>IF(База_КР_КК[[#This Row],[Таб.номер резервиста]]="-","-",IF(OR(База_КР_КК[[#This Row],[Уровень КК]]=2,База_КР_КК[[#This Row],[Уровень КК]]=3),IF(COUNTIFS($U$2:$U2295,$U2295,$F$2:$F2295,$F2295)=1,1,0),IF(COUNTIFS($U$2:$U2295,$U2295,$L$2:$L2295,$L2295)=1,1,0)))</f>
        <v>1</v>
      </c>
      <c r="AA22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5" s="106"/>
      <c r="AC2295" s="51"/>
      <c r="AD2295" s="106" t="s">
        <v>15</v>
      </c>
      <c r="AE2295" s="38" t="s">
        <v>367</v>
      </c>
    </row>
    <row r="2296" spans="1:31" ht="18" customHeight="1" x14ac:dyDescent="0.25">
      <c r="A22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6" s="79">
        <v>4</v>
      </c>
      <c r="C2296" s="23">
        <v>44550</v>
      </c>
      <c r="D2296" s="67">
        <f>IF(COUNTIF($G$2:$G2296,$G2296)=1,1,0)</f>
        <v>0</v>
      </c>
      <c r="E2296" s="67" t="str">
        <f>IFERROR(VLOOKUP(База_КР_КК[[#This Row],[ИД штатной должности (S)]],'уровень защищенности'!$B$7:$F$1095,5,0),"не защищена")</f>
        <v>низкий</v>
      </c>
      <c r="F2296" s="68">
        <v>500754</v>
      </c>
      <c r="G2296" s="74" t="s">
        <v>2673</v>
      </c>
      <c r="H2296" s="181">
        <f>INDEX('Списки данных'!$D$2:$D$1048576,MATCH(База_КР_КК[[#This Row],[Структурное подразделение]],'Списки данных'!$C$2:$C$1048576,0))</f>
        <v>94</v>
      </c>
      <c r="I2296" s="80" t="s">
        <v>145</v>
      </c>
      <c r="J2296" s="80" t="s">
        <v>233</v>
      </c>
      <c r="K2296" s="80" t="s">
        <v>21</v>
      </c>
      <c r="L2296" s="30" t="s">
        <v>189</v>
      </c>
      <c r="M2296" s="68">
        <v>6</v>
      </c>
      <c r="N2296" s="181" t="str">
        <f t="shared" si="36"/>
        <v>нет</v>
      </c>
      <c r="O2296" s="23"/>
      <c r="P2296" s="23"/>
      <c r="Q2296" s="106"/>
      <c r="R2296" s="37">
        <v>502</v>
      </c>
      <c r="S2296" s="39" t="s">
        <v>912</v>
      </c>
      <c r="T2296" s="37">
        <v>1596</v>
      </c>
      <c r="U2296" s="39" t="s">
        <v>1582</v>
      </c>
      <c r="V2296" s="69" t="s">
        <v>16</v>
      </c>
      <c r="W2296" s="89" t="s">
        <v>145</v>
      </c>
      <c r="X2296" s="106" t="s">
        <v>296</v>
      </c>
      <c r="Y2296" s="107" t="s">
        <v>12</v>
      </c>
      <c r="Z2296" s="67">
        <f>IF(База_КР_КК[[#This Row],[Таб.номер резервиста]]="-","-",IF(OR(База_КР_КК[[#This Row],[Уровень КК]]=2,База_КР_КК[[#This Row],[Уровень КК]]=3),IF(COUNTIFS($U$2:$U2296,$U2296,$F$2:$F2296,$F2296)=1,1,0),IF(COUNTIFS($U$2:$U2296,$U2296,$L$2:$L2296,$L2296)=1,1,0)))</f>
        <v>0</v>
      </c>
      <c r="AA22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6" s="106"/>
      <c r="AC2296" s="51"/>
      <c r="AD2296" s="106" t="s">
        <v>15</v>
      </c>
      <c r="AE2296" s="38" t="s">
        <v>367</v>
      </c>
    </row>
    <row r="2297" spans="1:31" ht="18" customHeight="1" x14ac:dyDescent="0.25">
      <c r="A22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7" s="79">
        <v>4</v>
      </c>
      <c r="C2297" s="23">
        <v>44550</v>
      </c>
      <c r="D2297" s="67">
        <f>IF(COUNTIF($G$2:$G2297,$G2297)=1,1,0)</f>
        <v>1</v>
      </c>
      <c r="E2297" s="67" t="str">
        <f>IFERROR(VLOOKUP(База_КР_КК[[#This Row],[ИД штатной должности (S)]],'уровень защищенности'!$B$7:$F$1095,5,0),"не защищена")</f>
        <v>средний</v>
      </c>
      <c r="F2297" s="68">
        <v>500755</v>
      </c>
      <c r="G2297" s="74" t="s">
        <v>2674</v>
      </c>
      <c r="H2297" s="181">
        <f>INDEX('Списки данных'!$D$2:$D$1048576,MATCH(База_КР_КК[[#This Row],[Структурное подразделение]],'Списки данных'!$C$2:$C$1048576,0))</f>
        <v>94</v>
      </c>
      <c r="I2297" s="80" t="s">
        <v>145</v>
      </c>
      <c r="J2297" s="80" t="s">
        <v>233</v>
      </c>
      <c r="K2297" s="80" t="s">
        <v>21</v>
      </c>
      <c r="L2297" s="30" t="s">
        <v>189</v>
      </c>
      <c r="M2297" s="68">
        <v>6</v>
      </c>
      <c r="N2297" s="181" t="str">
        <f t="shared" si="36"/>
        <v>нет</v>
      </c>
      <c r="O2297" s="23"/>
      <c r="P2297" s="23"/>
      <c r="Q2297" s="106"/>
      <c r="R2297" s="37">
        <v>503</v>
      </c>
      <c r="S2297" s="39" t="s">
        <v>913</v>
      </c>
      <c r="T2297" s="37">
        <v>472</v>
      </c>
      <c r="U2297" s="39" t="s">
        <v>884</v>
      </c>
      <c r="V2297" s="89" t="s">
        <v>198</v>
      </c>
      <c r="W2297" s="89" t="s">
        <v>144</v>
      </c>
      <c r="X2297" s="106" t="s">
        <v>297</v>
      </c>
      <c r="Y2297" s="107" t="s">
        <v>12</v>
      </c>
      <c r="Z2297" s="67">
        <f>IF(База_КР_КК[[#This Row],[Таб.номер резервиста]]="-","-",IF(OR(База_КР_КК[[#This Row],[Уровень КК]]=2,База_КР_КК[[#This Row],[Уровень КК]]=3),IF(COUNTIFS($U$2:$U2297,$U2297,$F$2:$F2297,$F2297)=1,1,0),IF(COUNTIFS($U$2:$U2297,$U2297,$L$2:$L2297,$L2297)=1,1,0)))</f>
        <v>1</v>
      </c>
      <c r="AA22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7" s="106"/>
      <c r="AC2297" s="51"/>
      <c r="AD2297" s="106" t="s">
        <v>15</v>
      </c>
      <c r="AE2297" s="38" t="s">
        <v>367</v>
      </c>
    </row>
    <row r="2298" spans="1:31" ht="18" customHeight="1" x14ac:dyDescent="0.25">
      <c r="A22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8" s="79">
        <v>4</v>
      </c>
      <c r="C2298" s="23">
        <v>44922</v>
      </c>
      <c r="D2298" s="67">
        <f>IF(COUNTIF($G$2:$G2298,$G2298)=1,1,0)</f>
        <v>0</v>
      </c>
      <c r="E2298" s="67" t="str">
        <f>IFERROR(VLOOKUP(База_КР_КК[[#This Row],[ИД штатной должности (S)]],'уровень защищенности'!$B$7:$F$1095,5,0),"не защищена")</f>
        <v>средний</v>
      </c>
      <c r="F2298" s="68">
        <v>500755</v>
      </c>
      <c r="G2298" s="74" t="s">
        <v>2674</v>
      </c>
      <c r="H2298" s="181">
        <f>INDEX('Списки данных'!$D$2:$D$1048576,MATCH(База_КР_КК[[#This Row],[Структурное подразделение]],'Списки данных'!$C$2:$C$1048576,0))</f>
        <v>94</v>
      </c>
      <c r="I2298" s="80" t="s">
        <v>145</v>
      </c>
      <c r="J2298" s="80" t="s">
        <v>233</v>
      </c>
      <c r="K2298" s="80" t="s">
        <v>21</v>
      </c>
      <c r="L2298" s="30" t="s">
        <v>189</v>
      </c>
      <c r="M2298" s="68">
        <v>6</v>
      </c>
      <c r="N2298" s="181" t="str">
        <f t="shared" si="36"/>
        <v>нет</v>
      </c>
      <c r="O2298" s="23"/>
      <c r="P2298" s="23"/>
      <c r="Q2298" s="106"/>
      <c r="R2298" s="37">
        <v>503</v>
      </c>
      <c r="S2298" s="38" t="s">
        <v>913</v>
      </c>
      <c r="T2298" s="37">
        <v>1574</v>
      </c>
      <c r="U2298" s="38" t="s">
        <v>1919</v>
      </c>
      <c r="V2298" s="69" t="s">
        <v>272</v>
      </c>
      <c r="W2298" s="89" t="s">
        <v>141</v>
      </c>
      <c r="X2298" s="106" t="s">
        <v>296</v>
      </c>
      <c r="Y2298" s="107" t="s">
        <v>12</v>
      </c>
      <c r="Z2298" s="67">
        <f>IF(База_КР_КК[[#This Row],[Таб.номер резервиста]]="-","-",IF(OR(База_КР_КК[[#This Row],[Уровень КК]]=2,База_КР_КК[[#This Row],[Уровень КК]]=3),IF(COUNTIFS($U$2:$U2298,$U2298,$F$2:$F2298,$F2298)=1,1,0),IF(COUNTIFS($U$2:$U2298,$U2298,$L$2:$L2298,$L2298)=1,1,0)))</f>
        <v>1</v>
      </c>
      <c r="AA22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8" s="106"/>
      <c r="AC2298" s="51"/>
      <c r="AD2298" s="106" t="s">
        <v>15</v>
      </c>
      <c r="AE2298" s="38" t="s">
        <v>362</v>
      </c>
    </row>
    <row r="2299" spans="1:31" ht="18" customHeight="1" x14ac:dyDescent="0.25">
      <c r="A22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299" s="79">
        <v>4</v>
      </c>
      <c r="C2299" s="23">
        <v>44550</v>
      </c>
      <c r="D2299" s="67">
        <f>IF(COUNTIF($G$2:$G2299,$G2299)=1,1,0)</f>
        <v>1</v>
      </c>
      <c r="E2299" s="67" t="str">
        <f>IFERROR(VLOOKUP(База_КР_КК[[#This Row],[ИД штатной должности (S)]],'уровень защищенности'!$B$7:$F$1095,5,0),"не защищена")</f>
        <v>средний</v>
      </c>
      <c r="F2299" s="68">
        <v>500756</v>
      </c>
      <c r="G2299" s="74" t="s">
        <v>2675</v>
      </c>
      <c r="H2299" s="181">
        <f>INDEX('Списки данных'!$D$2:$D$1048576,MATCH(База_КР_КК[[#This Row],[Структурное подразделение]],'Списки данных'!$C$2:$C$1048576,0))</f>
        <v>94</v>
      </c>
      <c r="I2299" s="80" t="s">
        <v>145</v>
      </c>
      <c r="J2299" s="80" t="s">
        <v>233</v>
      </c>
      <c r="K2299" s="80" t="s">
        <v>234</v>
      </c>
      <c r="L2299" s="30" t="s">
        <v>193</v>
      </c>
      <c r="M2299" s="68">
        <v>6</v>
      </c>
      <c r="N2299" s="181" t="str">
        <f t="shared" si="36"/>
        <v>нет</v>
      </c>
      <c r="O2299" s="23"/>
      <c r="P2299" s="23"/>
      <c r="Q2299" s="106"/>
      <c r="R2299" s="37">
        <v>504</v>
      </c>
      <c r="S2299" s="39" t="s">
        <v>914</v>
      </c>
      <c r="T2299" s="37">
        <v>1597</v>
      </c>
      <c r="U2299" s="39" t="s">
        <v>1790</v>
      </c>
      <c r="V2299" s="89" t="s">
        <v>16</v>
      </c>
      <c r="W2299" s="89" t="s">
        <v>145</v>
      </c>
      <c r="X2299" s="106" t="s">
        <v>297</v>
      </c>
      <c r="Y2299" s="107" t="s">
        <v>12</v>
      </c>
      <c r="Z2299" s="67">
        <f>IF(База_КР_КК[[#This Row],[Таб.номер резервиста]]="-","-",IF(OR(База_КР_КК[[#This Row],[Уровень КК]]=2,База_КР_КК[[#This Row],[Уровень КК]]=3),IF(COUNTIFS($U$2:$U2299,$U2299,$F$2:$F2299,$F2299)=1,1,0),IF(COUNTIFS($U$2:$U2299,$U2299,$L$2:$L2299,$L2299)=1,1,0)))</f>
        <v>1</v>
      </c>
      <c r="AA22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299" s="106"/>
      <c r="AC2299" s="51"/>
      <c r="AD2299" s="106" t="s">
        <v>15</v>
      </c>
      <c r="AE2299" s="38" t="s">
        <v>367</v>
      </c>
    </row>
    <row r="2300" spans="1:31" ht="18" customHeight="1" x14ac:dyDescent="0.25">
      <c r="A23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0" s="79">
        <v>3</v>
      </c>
      <c r="C2300" s="23">
        <v>44173</v>
      </c>
      <c r="D2300" s="67">
        <f>IF(COUNTIF($G$2:$G2300,$G2300)=1,1,0)</f>
        <v>1</v>
      </c>
      <c r="E2300" s="67" t="str">
        <f>IFERROR(VLOOKUP(База_КР_КК[[#This Row],[ИД штатной должности (S)]],'уровень защищенности'!$B$7:$F$1095,5,0),"не защищена")</f>
        <v>средний</v>
      </c>
      <c r="F2300" s="68">
        <v>500742</v>
      </c>
      <c r="G2300" s="74" t="s">
        <v>2676</v>
      </c>
      <c r="H2300" s="181">
        <f>INDEX('Списки данных'!$D$2:$D$1048576,MATCH(База_КР_КК[[#This Row],[Структурное подразделение]],'Списки данных'!$C$2:$C$1048576,0))</f>
        <v>94</v>
      </c>
      <c r="I2300" s="80" t="s">
        <v>145</v>
      </c>
      <c r="J2300" s="80" t="s">
        <v>233</v>
      </c>
      <c r="K2300" s="80" t="s">
        <v>21</v>
      </c>
      <c r="L2300" s="30" t="s">
        <v>187</v>
      </c>
      <c r="M2300" s="68">
        <v>5</v>
      </c>
      <c r="N2300" s="181" t="str">
        <f t="shared" si="36"/>
        <v>да</v>
      </c>
      <c r="O2300" s="23">
        <v>44939</v>
      </c>
      <c r="P2300" s="23">
        <v>44949</v>
      </c>
      <c r="Q2300" s="106" t="s">
        <v>66</v>
      </c>
      <c r="R2300" s="37">
        <v>505</v>
      </c>
      <c r="S2300" s="38" t="s">
        <v>915</v>
      </c>
      <c r="T2300" s="37">
        <v>539</v>
      </c>
      <c r="U2300" s="38" t="s">
        <v>949</v>
      </c>
      <c r="V2300" s="69" t="s">
        <v>189</v>
      </c>
      <c r="W2300" s="89" t="s">
        <v>156</v>
      </c>
      <c r="X2300" s="106" t="s">
        <v>297</v>
      </c>
      <c r="Y2300" s="107" t="s">
        <v>12</v>
      </c>
      <c r="Z2300" s="67">
        <f>IF(База_КР_КК[[#This Row],[Таб.номер резервиста]]="-","-",IF(OR(База_КР_КК[[#This Row],[Уровень КК]]=2,База_КР_КК[[#This Row],[Уровень КК]]=3),IF(COUNTIFS($U$2:$U2300,$U2300,$F$2:$F2300,$F2300)=1,1,0),IF(COUNTIFS($U$2:$U2300,$U2300,$L$2:$L2300,$L2300)=1,1,0)))</f>
        <v>1</v>
      </c>
      <c r="AA23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0" s="106"/>
      <c r="AC2300" s="51"/>
      <c r="AD2300" s="106" t="s">
        <v>13</v>
      </c>
      <c r="AE2300" s="38" t="s">
        <v>359</v>
      </c>
    </row>
    <row r="2301" spans="1:31" ht="18" customHeight="1" x14ac:dyDescent="0.25">
      <c r="A23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1" s="79">
        <v>3</v>
      </c>
      <c r="C2301" s="23">
        <v>44112</v>
      </c>
      <c r="D2301" s="67">
        <f>IF(COUNTIF($G$2:$G2301,$G2301)=1,1,0)</f>
        <v>0</v>
      </c>
      <c r="E2301" s="67" t="str">
        <f>IFERROR(VLOOKUP(База_КР_КК[[#This Row],[ИД штатной должности (S)]],'уровень защищенности'!$B$7:$F$1095,5,0),"не защищена")</f>
        <v>средний</v>
      </c>
      <c r="F2301" s="68">
        <v>500742</v>
      </c>
      <c r="G2301" s="74" t="s">
        <v>2676</v>
      </c>
      <c r="H2301" s="181">
        <f>INDEX('Списки данных'!$D$2:$D$1048576,MATCH(База_КР_КК[[#This Row],[Структурное подразделение]],'Списки данных'!$C$2:$C$1048576,0))</f>
        <v>94</v>
      </c>
      <c r="I2301" s="80" t="s">
        <v>145</v>
      </c>
      <c r="J2301" s="80" t="s">
        <v>233</v>
      </c>
      <c r="K2301" s="80" t="s">
        <v>21</v>
      </c>
      <c r="L2301" s="30" t="s">
        <v>187</v>
      </c>
      <c r="M2301" s="68">
        <v>5</v>
      </c>
      <c r="N2301" s="181" t="str">
        <f t="shared" si="36"/>
        <v>да</v>
      </c>
      <c r="O2301" s="23">
        <v>44939</v>
      </c>
      <c r="P2301" s="23">
        <v>44949</v>
      </c>
      <c r="Q2301" s="106" t="s">
        <v>66</v>
      </c>
      <c r="R2301" s="37">
        <v>505</v>
      </c>
      <c r="S2301" s="38" t="s">
        <v>915</v>
      </c>
      <c r="T2301" s="37">
        <v>505</v>
      </c>
      <c r="U2301" s="38" t="s">
        <v>915</v>
      </c>
      <c r="V2301" s="69" t="s">
        <v>193</v>
      </c>
      <c r="W2301" s="89" t="s">
        <v>145</v>
      </c>
      <c r="X2301" s="106" t="s">
        <v>295</v>
      </c>
      <c r="Y2301" s="107" t="s">
        <v>14</v>
      </c>
      <c r="Z2301" s="67">
        <f>IF(База_КР_КК[[#This Row],[Таб.номер резервиста]]="-","-",IF(OR(База_КР_КК[[#This Row],[Уровень КК]]=2,База_КР_КК[[#This Row],[Уровень КК]]=3),IF(COUNTIFS($U$2:$U2301,$U2301,$F$2:$F2301,$F2301)=1,1,0),IF(COUNTIFS($U$2:$U2301,$U2301,$L$2:$L2301,$L2301)=1,1,0)))</f>
        <v>1</v>
      </c>
      <c r="AA23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301" s="106" t="s">
        <v>24</v>
      </c>
      <c r="AC2301" s="51">
        <v>44949</v>
      </c>
      <c r="AD2301" s="106" t="s">
        <v>17</v>
      </c>
      <c r="AE2301" s="38" t="s">
        <v>359</v>
      </c>
    </row>
    <row r="2302" spans="1:31" ht="18" customHeight="1" x14ac:dyDescent="0.25">
      <c r="A23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2" s="79">
        <v>4</v>
      </c>
      <c r="C2302" s="23">
        <v>44550</v>
      </c>
      <c r="D2302" s="67">
        <f>IF(COUNTIF($G$2:$G2302,$G2302)=1,1,0)</f>
        <v>1</v>
      </c>
      <c r="E2302" s="67" t="str">
        <f>IFERROR(VLOOKUP(База_КР_КК[[#This Row],[ИД штатной должности (S)]],'уровень защищенности'!$B$7:$F$1095,5,0),"не защищена")</f>
        <v>не защищена</v>
      </c>
      <c r="F2302" s="68">
        <v>500745</v>
      </c>
      <c r="G2302" s="74" t="s">
        <v>2677</v>
      </c>
      <c r="H2302" s="181">
        <f>INDEX('Списки данных'!$D$2:$D$1048576,MATCH(База_КР_КК[[#This Row],[Структурное подразделение]],'Списки данных'!$C$2:$C$1048576,0))</f>
        <v>94</v>
      </c>
      <c r="I2302" s="80" t="s">
        <v>145</v>
      </c>
      <c r="J2302" s="80" t="s">
        <v>233</v>
      </c>
      <c r="K2302" s="80" t="s">
        <v>234</v>
      </c>
      <c r="L2302" s="30" t="s">
        <v>193</v>
      </c>
      <c r="M2302" s="68">
        <v>6</v>
      </c>
      <c r="N2302" s="181" t="str">
        <f t="shared" si="36"/>
        <v>нет</v>
      </c>
      <c r="O2302" s="23"/>
      <c r="P2302" s="23"/>
      <c r="Q2302" s="106"/>
      <c r="R2302" s="37">
        <v>506</v>
      </c>
      <c r="S2302" s="39" t="s">
        <v>916</v>
      </c>
      <c r="T2302" s="37">
        <v>1598</v>
      </c>
      <c r="U2302" s="39" t="s">
        <v>1933</v>
      </c>
      <c r="V2302" s="69" t="s">
        <v>200</v>
      </c>
      <c r="W2302" s="89" t="s">
        <v>286</v>
      </c>
      <c r="X2302" s="106" t="s">
        <v>297</v>
      </c>
      <c r="Y2302" s="107" t="s">
        <v>18</v>
      </c>
      <c r="Z2302" s="67">
        <f>IF(База_КР_КК[[#This Row],[Таб.номер резервиста]]="-","-",IF(OR(База_КР_КК[[#This Row],[Уровень КК]]=2,База_КР_КК[[#This Row],[Уровень КК]]=3),IF(COUNTIFS($U$2:$U2302,$U2302,$F$2:$F2302,$F2302)=1,1,0),IF(COUNTIFS($U$2:$U2302,$U2302,$L$2:$L2302,$L2302)=1,1,0)))</f>
        <v>1</v>
      </c>
      <c r="AA23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2" s="106" t="s">
        <v>33</v>
      </c>
      <c r="AC2302" s="51">
        <v>44939</v>
      </c>
      <c r="AD2302" s="106" t="s">
        <v>15</v>
      </c>
      <c r="AE2302" s="38" t="s">
        <v>367</v>
      </c>
    </row>
    <row r="2303" spans="1:31" ht="18" customHeight="1" x14ac:dyDescent="0.25">
      <c r="A23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3" s="79">
        <v>4</v>
      </c>
      <c r="C2303" s="23">
        <v>44550</v>
      </c>
      <c r="D2303" s="67">
        <f>IF(COUNTIF($G$2:$G2303,$G2303)=1,1,0)</f>
        <v>1</v>
      </c>
      <c r="E2303" s="67" t="str">
        <f>IFERROR(VLOOKUP(База_КР_КК[[#This Row],[ИД штатной должности (S)]],'уровень защищенности'!$B$7:$F$1095,5,0),"не защищена")</f>
        <v>средний</v>
      </c>
      <c r="F2303" s="68">
        <v>500743</v>
      </c>
      <c r="G2303" s="74" t="s">
        <v>2678</v>
      </c>
      <c r="H2303" s="181">
        <f>INDEX('Списки данных'!$D$2:$D$1048576,MATCH(База_КР_КК[[#This Row],[Структурное подразделение]],'Списки данных'!$C$2:$C$1048576,0))</f>
        <v>94</v>
      </c>
      <c r="I2303" s="80" t="s">
        <v>145</v>
      </c>
      <c r="J2303" s="80" t="s">
        <v>233</v>
      </c>
      <c r="K2303" s="80" t="s">
        <v>234</v>
      </c>
      <c r="L2303" s="30" t="s">
        <v>193</v>
      </c>
      <c r="M2303" s="68">
        <v>6</v>
      </c>
      <c r="N2303" s="181" t="str">
        <f t="shared" ref="N2303:N2366" si="37">IF(ISBLANK(O2303),"нет","да")</f>
        <v>нет</v>
      </c>
      <c r="O2303" s="23"/>
      <c r="P2303" s="23"/>
      <c r="Q2303" s="106"/>
      <c r="R2303" s="37">
        <v>507</v>
      </c>
      <c r="S2303" s="39" t="s">
        <v>917</v>
      </c>
      <c r="T2303" s="37">
        <v>588</v>
      </c>
      <c r="U2303" s="39" t="s">
        <v>997</v>
      </c>
      <c r="V2303" s="69" t="s">
        <v>193</v>
      </c>
      <c r="W2303" s="89" t="s">
        <v>145</v>
      </c>
      <c r="X2303" s="106" t="s">
        <v>297</v>
      </c>
      <c r="Y2303" s="107" t="s">
        <v>12</v>
      </c>
      <c r="Z2303" s="67">
        <f>IF(База_КР_КК[[#This Row],[Таб.номер резервиста]]="-","-",IF(OR(База_КР_КК[[#This Row],[Уровень КК]]=2,База_КР_КК[[#This Row],[Уровень КК]]=3),IF(COUNTIFS($U$2:$U2303,$U2303,$F$2:$F2303,$F2303)=1,1,0),IF(COUNTIFS($U$2:$U2303,$U2303,$L$2:$L2303,$L2303)=1,1,0)))</f>
        <v>1</v>
      </c>
      <c r="AA23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3" s="106"/>
      <c r="AC2303" s="51"/>
      <c r="AD2303" s="106" t="s">
        <v>15</v>
      </c>
      <c r="AE2303" s="38" t="s">
        <v>367</v>
      </c>
    </row>
    <row r="2304" spans="1:31" ht="18" customHeight="1" x14ac:dyDescent="0.25">
      <c r="A23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4" s="79">
        <v>4</v>
      </c>
      <c r="C2304" s="23">
        <v>44550</v>
      </c>
      <c r="D2304" s="67">
        <f>IF(COUNTIF($G$2:$G2304,$G2304)=1,1,0)</f>
        <v>0</v>
      </c>
      <c r="E2304" s="67" t="str">
        <f>IFERROR(VLOOKUP(База_КР_КК[[#This Row],[ИД штатной должности (S)]],'уровень защищенности'!$B$7:$F$1095,5,0),"не защищена")</f>
        <v>средний</v>
      </c>
      <c r="F2304" s="68">
        <v>500743</v>
      </c>
      <c r="G2304" s="74" t="s">
        <v>2678</v>
      </c>
      <c r="H2304" s="181">
        <f>INDEX('Списки данных'!$D$2:$D$1048576,MATCH(База_КР_КК[[#This Row],[Структурное подразделение]],'Списки данных'!$C$2:$C$1048576,0))</f>
        <v>94</v>
      </c>
      <c r="I2304" s="80" t="s">
        <v>145</v>
      </c>
      <c r="J2304" s="80" t="s">
        <v>233</v>
      </c>
      <c r="K2304" s="80" t="s">
        <v>234</v>
      </c>
      <c r="L2304" s="30" t="s">
        <v>193</v>
      </c>
      <c r="M2304" s="68">
        <v>6</v>
      </c>
      <c r="N2304" s="181" t="str">
        <f t="shared" si="37"/>
        <v>нет</v>
      </c>
      <c r="O2304" s="23"/>
      <c r="P2304" s="23"/>
      <c r="Q2304" s="106"/>
      <c r="R2304" s="37">
        <v>507</v>
      </c>
      <c r="S2304" s="39" t="s">
        <v>917</v>
      </c>
      <c r="T2304" s="37">
        <v>1599</v>
      </c>
      <c r="U2304" s="39" t="s">
        <v>1818</v>
      </c>
      <c r="V2304" s="69" t="s">
        <v>16</v>
      </c>
      <c r="W2304" s="89" t="s">
        <v>145</v>
      </c>
      <c r="X2304" s="106" t="s">
        <v>297</v>
      </c>
      <c r="Y2304" s="107" t="s">
        <v>12</v>
      </c>
      <c r="Z2304" s="67">
        <f>IF(База_КР_КК[[#This Row],[Таб.номер резервиста]]="-","-",IF(OR(База_КР_КК[[#This Row],[Уровень КК]]=2,База_КР_КК[[#This Row],[Уровень КК]]=3),IF(COUNTIFS($U$2:$U2304,$U2304,$F$2:$F2304,$F2304)=1,1,0),IF(COUNTIFS($U$2:$U2304,$U2304,$L$2:$L2304,$L2304)=1,1,0)))</f>
        <v>1</v>
      </c>
      <c r="AA23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4" s="106"/>
      <c r="AC2304" s="51"/>
      <c r="AD2304" s="106" t="s">
        <v>15</v>
      </c>
      <c r="AE2304" s="38" t="s">
        <v>367</v>
      </c>
    </row>
    <row r="2305" spans="1:31" ht="18" customHeight="1" x14ac:dyDescent="0.25">
      <c r="A23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5" s="79">
        <v>4</v>
      </c>
      <c r="C2305" s="23">
        <v>44550</v>
      </c>
      <c r="D2305" s="67">
        <f>IF(COUNTIF($G$2:$G2305,$G2305)=1,1,0)</f>
        <v>1</v>
      </c>
      <c r="E2305" s="67" t="str">
        <f>IFERROR(VLOOKUP(База_КР_КК[[#This Row],[ИД штатной должности (S)]],'уровень защищенности'!$B$7:$F$1095,5,0),"не защищена")</f>
        <v>не защищена</v>
      </c>
      <c r="F2305" s="68">
        <v>500737</v>
      </c>
      <c r="G2305" s="74" t="s">
        <v>2679</v>
      </c>
      <c r="H2305" s="181">
        <f>INDEX('Списки данных'!$D$2:$D$1048576,MATCH(База_КР_КК[[#This Row],[Структурное подразделение]],'Списки данных'!$C$2:$C$1048576,0))</f>
        <v>94</v>
      </c>
      <c r="I2305" s="80" t="s">
        <v>145</v>
      </c>
      <c r="J2305" s="80" t="s">
        <v>233</v>
      </c>
      <c r="K2305" s="80" t="s">
        <v>234</v>
      </c>
      <c r="L2305" s="30" t="s">
        <v>193</v>
      </c>
      <c r="M2305" s="68">
        <v>6</v>
      </c>
      <c r="N2305" s="181" t="str">
        <f t="shared" si="37"/>
        <v>нет</v>
      </c>
      <c r="O2305" s="23"/>
      <c r="P2305" s="23"/>
      <c r="Q2305" s="106"/>
      <c r="R2305" s="37">
        <v>508</v>
      </c>
      <c r="S2305" s="39" t="s">
        <v>918</v>
      </c>
      <c r="T2305" s="37">
        <v>1600</v>
      </c>
      <c r="U2305" s="39" t="s">
        <v>1833</v>
      </c>
      <c r="V2305" s="69" t="s">
        <v>16</v>
      </c>
      <c r="W2305" s="89" t="s">
        <v>145</v>
      </c>
      <c r="X2305" s="106" t="s">
        <v>297</v>
      </c>
      <c r="Y2305" s="107" t="s">
        <v>18</v>
      </c>
      <c r="Z2305" s="67">
        <f>IF(База_КР_КК[[#This Row],[Таб.номер резервиста]]="-","-",IF(OR(База_КР_КК[[#This Row],[Уровень КК]]=2,База_КР_КК[[#This Row],[Уровень КК]]=3),IF(COUNTIFS($U$2:$U2305,$U2305,$F$2:$F2305,$F2305)=1,1,0),IF(COUNTIFS($U$2:$U2305,$U2305,$L$2:$L2305,$L2305)=1,1,0)))</f>
        <v>1</v>
      </c>
      <c r="AA23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5" s="106" t="s">
        <v>19</v>
      </c>
      <c r="AC2305" s="51">
        <v>44968</v>
      </c>
      <c r="AD2305" s="106" t="s">
        <v>15</v>
      </c>
      <c r="AE2305" s="38" t="s">
        <v>367</v>
      </c>
    </row>
    <row r="2306" spans="1:31" ht="18" customHeight="1" x14ac:dyDescent="0.25">
      <c r="A23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6" s="79">
        <v>4</v>
      </c>
      <c r="C2306" s="23">
        <v>44550</v>
      </c>
      <c r="D2306" s="67">
        <f>IF(COUNTIF($G$2:$G2306,$G2306)=1,1,0)</f>
        <v>1</v>
      </c>
      <c r="E2306" s="67" t="str">
        <f>IFERROR(VLOOKUP(База_КР_КК[[#This Row],[ИД штатной должности (S)]],'уровень защищенности'!$B$7:$F$1095,5,0),"не защищена")</f>
        <v>низкий</v>
      </c>
      <c r="F2306" s="68">
        <v>500738</v>
      </c>
      <c r="G2306" s="74" t="s">
        <v>2680</v>
      </c>
      <c r="H2306" s="181">
        <f>INDEX('Списки данных'!$D$2:$D$1048576,MATCH(База_КР_КК[[#This Row],[Структурное подразделение]],'Списки данных'!$C$2:$C$1048576,0))</f>
        <v>94</v>
      </c>
      <c r="I2306" s="80" t="s">
        <v>145</v>
      </c>
      <c r="J2306" s="80" t="s">
        <v>233</v>
      </c>
      <c r="K2306" s="80" t="s">
        <v>234</v>
      </c>
      <c r="L2306" s="30" t="s">
        <v>193</v>
      </c>
      <c r="M2306" s="68">
        <v>6</v>
      </c>
      <c r="N2306" s="181" t="str">
        <f t="shared" si="37"/>
        <v>нет</v>
      </c>
      <c r="O2306" s="23"/>
      <c r="P2306" s="23"/>
      <c r="Q2306" s="106"/>
      <c r="R2306" s="37">
        <v>509</v>
      </c>
      <c r="S2306" s="39" t="s">
        <v>919</v>
      </c>
      <c r="T2306" s="37">
        <v>1601</v>
      </c>
      <c r="U2306" s="39" t="s">
        <v>1934</v>
      </c>
      <c r="V2306" s="69" t="s">
        <v>193</v>
      </c>
      <c r="W2306" s="89" t="s">
        <v>145</v>
      </c>
      <c r="X2306" s="106" t="s">
        <v>297</v>
      </c>
      <c r="Y2306" s="107" t="s">
        <v>18</v>
      </c>
      <c r="Z2306" s="67">
        <f>IF(База_КР_КК[[#This Row],[Таб.номер резервиста]]="-","-",IF(OR(База_КР_КК[[#This Row],[Уровень КК]]=2,База_КР_КК[[#This Row],[Уровень КК]]=3),IF(COUNTIFS($U$2:$U2306,$U2306,$F$2:$F2306,$F2306)=1,1,0),IF(COUNTIFS($U$2:$U2306,$U2306,$L$2:$L2306,$L2306)=1,1,0)))</f>
        <v>1</v>
      </c>
      <c r="AA23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6" s="106" t="s">
        <v>37</v>
      </c>
      <c r="AC2306" s="51">
        <v>45005</v>
      </c>
      <c r="AD2306" s="106" t="s">
        <v>15</v>
      </c>
      <c r="AE2306" s="38" t="s">
        <v>367</v>
      </c>
    </row>
    <row r="2307" spans="1:31" ht="18" customHeight="1" x14ac:dyDescent="0.25">
      <c r="A23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7" s="79">
        <v>4</v>
      </c>
      <c r="C2307" s="23">
        <v>44922</v>
      </c>
      <c r="D2307" s="67">
        <f>IF(COUNTIF($G$2:$G2307,$G2307)=1,1,0)</f>
        <v>0</v>
      </c>
      <c r="E2307" s="67" t="str">
        <f>IFERROR(VLOOKUP(База_КР_КК[[#This Row],[ИД штатной должности (S)]],'уровень защищенности'!$B$7:$F$1095,5,0),"не защищена")</f>
        <v>низкий</v>
      </c>
      <c r="F2307" s="68">
        <v>500738</v>
      </c>
      <c r="G2307" s="74" t="s">
        <v>2680</v>
      </c>
      <c r="H2307" s="181">
        <f>INDEX('Списки данных'!$D$2:$D$1048576,MATCH(База_КР_КК[[#This Row],[Структурное подразделение]],'Списки данных'!$C$2:$C$1048576,0))</f>
        <v>94</v>
      </c>
      <c r="I2307" s="80" t="s">
        <v>145</v>
      </c>
      <c r="J2307" s="80" t="s">
        <v>233</v>
      </c>
      <c r="K2307" s="80" t="s">
        <v>234</v>
      </c>
      <c r="L2307" s="30" t="s">
        <v>193</v>
      </c>
      <c r="M2307" s="68">
        <v>6</v>
      </c>
      <c r="N2307" s="181" t="str">
        <f t="shared" si="37"/>
        <v>нет</v>
      </c>
      <c r="O2307" s="23"/>
      <c r="P2307" s="23"/>
      <c r="Q2307" s="106"/>
      <c r="R2307" s="37">
        <v>509</v>
      </c>
      <c r="S2307" s="38" t="s">
        <v>919</v>
      </c>
      <c r="T2307" s="37">
        <v>1602</v>
      </c>
      <c r="U2307" s="38" t="s">
        <v>1935</v>
      </c>
      <c r="V2307" s="69" t="s">
        <v>16</v>
      </c>
      <c r="W2307" s="89" t="s">
        <v>145</v>
      </c>
      <c r="X2307" s="106" t="s">
        <v>296</v>
      </c>
      <c r="Y2307" s="107" t="s">
        <v>12</v>
      </c>
      <c r="Z2307" s="67">
        <f>IF(База_КР_КК[[#This Row],[Таб.номер резервиста]]="-","-",IF(OR(База_КР_КК[[#This Row],[Уровень КК]]=2,База_КР_КК[[#This Row],[Уровень КК]]=3),IF(COUNTIFS($U$2:$U2307,$U2307,$F$2:$F2307,$F2307)=1,1,0),IF(COUNTIFS($U$2:$U2307,$U2307,$L$2:$L2307,$L2307)=1,1,0)))</f>
        <v>1</v>
      </c>
      <c r="AA23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7" s="106"/>
      <c r="AC2307" s="51"/>
      <c r="AD2307" s="106" t="s">
        <v>15</v>
      </c>
      <c r="AE2307" s="38" t="s">
        <v>362</v>
      </c>
    </row>
    <row r="2308" spans="1:31" ht="18" customHeight="1" x14ac:dyDescent="0.25">
      <c r="A23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8" s="79">
        <v>4</v>
      </c>
      <c r="C2308" s="23">
        <v>44922</v>
      </c>
      <c r="D2308" s="67">
        <f>IF(COUNTIF($G$2:$G2308,$G2308)=1,1,0)</f>
        <v>1</v>
      </c>
      <c r="E2308" s="67" t="str">
        <f>IFERROR(VLOOKUP(База_КР_КК[[#This Row],[ИД штатной должности (S)]],'уровень защищенности'!$B$7:$F$1095,5,0),"не защищена")</f>
        <v>низкий</v>
      </c>
      <c r="F2308" s="68">
        <v>500739</v>
      </c>
      <c r="G2308" s="74" t="s">
        <v>2681</v>
      </c>
      <c r="H2308" s="181">
        <f>INDEX('Списки данных'!$D$2:$D$1048576,MATCH(База_КР_КК[[#This Row],[Структурное подразделение]],'Списки данных'!$C$2:$C$1048576,0))</f>
        <v>94</v>
      </c>
      <c r="I2308" s="80" t="s">
        <v>145</v>
      </c>
      <c r="J2308" s="80" t="s">
        <v>233</v>
      </c>
      <c r="K2308" s="80" t="s">
        <v>234</v>
      </c>
      <c r="L2308" s="30" t="s">
        <v>193</v>
      </c>
      <c r="M2308" s="68">
        <v>6</v>
      </c>
      <c r="N2308" s="181" t="str">
        <f t="shared" si="37"/>
        <v>нет</v>
      </c>
      <c r="O2308" s="23"/>
      <c r="P2308" s="23"/>
      <c r="Q2308" s="106"/>
      <c r="R2308" s="37">
        <v>510</v>
      </c>
      <c r="S2308" s="39" t="s">
        <v>920</v>
      </c>
      <c r="T2308" s="37">
        <v>1603</v>
      </c>
      <c r="U2308" s="38" t="s">
        <v>1936</v>
      </c>
      <c r="V2308" s="69" t="s">
        <v>16</v>
      </c>
      <c r="W2308" s="89" t="s">
        <v>145</v>
      </c>
      <c r="X2308" s="106" t="s">
        <v>296</v>
      </c>
      <c r="Y2308" s="107" t="s">
        <v>12</v>
      </c>
      <c r="Z2308" s="67">
        <f>IF(База_КР_КК[[#This Row],[Таб.номер резервиста]]="-","-",IF(OR(База_КР_КК[[#This Row],[Уровень КК]]=2,База_КР_КК[[#This Row],[Уровень КК]]=3),IF(COUNTIFS($U$2:$U2308,$U2308,$F$2:$F2308,$F2308)=1,1,0),IF(COUNTIFS($U$2:$U2308,$U2308,$L$2:$L2308,$L2308)=1,1,0)))</f>
        <v>1</v>
      </c>
      <c r="AA23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8" s="106"/>
      <c r="AC2308" s="51"/>
      <c r="AD2308" s="106" t="s">
        <v>15</v>
      </c>
      <c r="AE2308" s="38" t="s">
        <v>362</v>
      </c>
    </row>
    <row r="2309" spans="1:31" ht="18" customHeight="1" x14ac:dyDescent="0.25">
      <c r="A23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09" s="79">
        <v>4</v>
      </c>
      <c r="C2309" s="23">
        <v>44922</v>
      </c>
      <c r="D2309" s="67">
        <f>IF(COUNTIF($G$2:$G2309,$G2309)=1,1,0)</f>
        <v>0</v>
      </c>
      <c r="E2309" s="67" t="str">
        <f>IFERROR(VLOOKUP(База_КР_КК[[#This Row],[ИД штатной должности (S)]],'уровень защищенности'!$B$7:$F$1095,5,0),"не защищена")</f>
        <v>низкий</v>
      </c>
      <c r="F2309" s="68">
        <v>500739</v>
      </c>
      <c r="G2309" s="74" t="s">
        <v>2681</v>
      </c>
      <c r="H2309" s="181">
        <f>INDEX('Списки данных'!$D$2:$D$1048576,MATCH(База_КР_КК[[#This Row],[Структурное подразделение]],'Списки данных'!$C$2:$C$1048576,0))</f>
        <v>94</v>
      </c>
      <c r="I2309" s="80" t="s">
        <v>145</v>
      </c>
      <c r="J2309" s="80" t="s">
        <v>233</v>
      </c>
      <c r="K2309" s="80" t="s">
        <v>234</v>
      </c>
      <c r="L2309" s="30" t="s">
        <v>193</v>
      </c>
      <c r="M2309" s="68">
        <v>6</v>
      </c>
      <c r="N2309" s="181" t="str">
        <f t="shared" si="37"/>
        <v>нет</v>
      </c>
      <c r="O2309" s="23"/>
      <c r="P2309" s="23"/>
      <c r="Q2309" s="106"/>
      <c r="R2309" s="37">
        <v>510</v>
      </c>
      <c r="S2309" s="39" t="s">
        <v>920</v>
      </c>
      <c r="T2309" s="37">
        <v>1604</v>
      </c>
      <c r="U2309" s="38" t="s">
        <v>1937</v>
      </c>
      <c r="V2309" s="69" t="s">
        <v>16</v>
      </c>
      <c r="W2309" s="89" t="s">
        <v>145</v>
      </c>
      <c r="X2309" s="106" t="s">
        <v>296</v>
      </c>
      <c r="Y2309" s="107" t="s">
        <v>12</v>
      </c>
      <c r="Z2309" s="67">
        <f>IF(База_КР_КК[[#This Row],[Таб.номер резервиста]]="-","-",IF(OR(База_КР_КК[[#This Row],[Уровень КК]]=2,База_КР_КК[[#This Row],[Уровень КК]]=3),IF(COUNTIFS($U$2:$U2309,$U2309,$F$2:$F2309,$F2309)=1,1,0),IF(COUNTIFS($U$2:$U2309,$U2309,$L$2:$L2309,$L2309)=1,1,0)))</f>
        <v>1</v>
      </c>
      <c r="AA23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09" s="106"/>
      <c r="AC2309" s="51"/>
      <c r="AD2309" s="106" t="s">
        <v>15</v>
      </c>
      <c r="AE2309" s="38" t="s">
        <v>362</v>
      </c>
    </row>
    <row r="2310" spans="1:31" ht="18" customHeight="1" x14ac:dyDescent="0.25">
      <c r="A23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0" s="79">
        <v>4</v>
      </c>
      <c r="C2310" s="23">
        <v>44550</v>
      </c>
      <c r="D2310" s="67">
        <f>IF(COUNTIF($G$2:$G2310,$G2310)=1,1,0)</f>
        <v>0</v>
      </c>
      <c r="E2310" s="67" t="str">
        <f>IFERROR(VLOOKUP(База_КР_КК[[#This Row],[ИД штатной должности (S)]],'уровень защищенности'!$B$7:$F$1095,5,0),"не защищена")</f>
        <v>низкий</v>
      </c>
      <c r="F2310" s="68">
        <v>500739</v>
      </c>
      <c r="G2310" s="74" t="s">
        <v>2681</v>
      </c>
      <c r="H2310" s="181">
        <f>INDEX('Списки данных'!$D$2:$D$1048576,MATCH(База_КР_КК[[#This Row],[Структурное подразделение]],'Списки данных'!$C$2:$C$1048576,0))</f>
        <v>94</v>
      </c>
      <c r="I2310" s="80" t="s">
        <v>145</v>
      </c>
      <c r="J2310" s="80" t="s">
        <v>233</v>
      </c>
      <c r="K2310" s="80" t="s">
        <v>234</v>
      </c>
      <c r="L2310" s="30" t="s">
        <v>193</v>
      </c>
      <c r="M2310" s="68">
        <v>6</v>
      </c>
      <c r="N2310" s="181" t="str">
        <f t="shared" si="37"/>
        <v>да</v>
      </c>
      <c r="O2310" s="23">
        <v>44604</v>
      </c>
      <c r="P2310" s="23">
        <v>44621</v>
      </c>
      <c r="Q2310" s="106" t="s">
        <v>66</v>
      </c>
      <c r="R2310" s="37">
        <v>510</v>
      </c>
      <c r="S2310" s="39" t="s">
        <v>920</v>
      </c>
      <c r="T2310" s="37">
        <v>510</v>
      </c>
      <c r="U2310" s="39" t="s">
        <v>920</v>
      </c>
      <c r="V2310" s="69" t="s">
        <v>16</v>
      </c>
      <c r="W2310" s="89" t="s">
        <v>145</v>
      </c>
      <c r="X2310" s="106" t="s">
        <v>297</v>
      </c>
      <c r="Y2310" s="107" t="s">
        <v>14</v>
      </c>
      <c r="Z2310" s="67">
        <f>IF(База_КР_КК[[#This Row],[Таб.номер резервиста]]="-","-",IF(OR(База_КР_КК[[#This Row],[Уровень КК]]=2,База_КР_КК[[#This Row],[Уровень КК]]=3),IF(COUNTIFS($U$2:$U2310,$U2310,$F$2:$F2310,$F2310)=1,1,0),IF(COUNTIFS($U$2:$U2310,$U2310,$L$2:$L2310,$L2310)=1,1,0)))</f>
        <v>1</v>
      </c>
      <c r="AA23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310" s="106" t="s">
        <v>24</v>
      </c>
      <c r="AC2310" s="51">
        <v>44621</v>
      </c>
      <c r="AD2310" s="106" t="s">
        <v>31</v>
      </c>
      <c r="AE2310" s="38" t="s">
        <v>362</v>
      </c>
    </row>
    <row r="2311" spans="1:31" ht="18" customHeight="1" x14ac:dyDescent="0.25">
      <c r="A23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1" s="79">
        <v>3</v>
      </c>
      <c r="C2311" s="23">
        <v>44781</v>
      </c>
      <c r="D2311" s="67">
        <f>IF(COUNTIF($G$2:$G2311,$G2311)=1,1,0)</f>
        <v>1</v>
      </c>
      <c r="E2311" s="67" t="str">
        <f>IFERROR(VLOOKUP(База_КР_КК[[#This Row],[ИД штатной должности (S)]],'уровень защищенности'!$B$7:$F$1095,5,0),"не защищена")</f>
        <v>низкий</v>
      </c>
      <c r="F2311" s="68">
        <v>500757</v>
      </c>
      <c r="G2311" s="74" t="s">
        <v>2682</v>
      </c>
      <c r="H2311" s="181">
        <f>INDEX('Списки данных'!$D$2:$D$1048576,MATCH(База_КР_КК[[#This Row],[Структурное подразделение]],'Списки данных'!$C$2:$C$1048576,0))</f>
        <v>94</v>
      </c>
      <c r="I2311" s="80" t="s">
        <v>145</v>
      </c>
      <c r="J2311" s="80" t="s">
        <v>233</v>
      </c>
      <c r="K2311" s="80" t="s">
        <v>21</v>
      </c>
      <c r="L2311" s="30" t="s">
        <v>187</v>
      </c>
      <c r="M2311" s="68">
        <v>5</v>
      </c>
      <c r="N2311" s="181" t="str">
        <f t="shared" si="37"/>
        <v>да</v>
      </c>
      <c r="O2311" s="23">
        <v>44256</v>
      </c>
      <c r="P2311" s="23">
        <v>44587</v>
      </c>
      <c r="Q2311" s="106" t="s">
        <v>66</v>
      </c>
      <c r="R2311" s="37">
        <v>511</v>
      </c>
      <c r="S2311" s="39" t="s">
        <v>921</v>
      </c>
      <c r="T2311" s="37">
        <v>514</v>
      </c>
      <c r="U2311" s="38" t="s">
        <v>924</v>
      </c>
      <c r="V2311" s="69" t="s">
        <v>193</v>
      </c>
      <c r="W2311" s="89" t="s">
        <v>145</v>
      </c>
      <c r="X2311" s="106" t="s">
        <v>296</v>
      </c>
      <c r="Y2311" s="107" t="s">
        <v>12</v>
      </c>
      <c r="Z2311" s="67">
        <f>IF(База_КР_КК[[#This Row],[Таб.номер резервиста]]="-","-",IF(OR(База_КР_КК[[#This Row],[Уровень КК]]=2,База_КР_КК[[#This Row],[Уровень КК]]=3),IF(COUNTIFS($U$2:$U2311,$U2311,$F$2:$F2311,$F2311)=1,1,0),IF(COUNTIFS($U$2:$U2311,$U2311,$L$2:$L2311,$L2311)=1,1,0)))</f>
        <v>1</v>
      </c>
      <c r="AA23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11" s="106"/>
      <c r="AC2311" s="51"/>
      <c r="AD2311" s="106" t="s">
        <v>15</v>
      </c>
      <c r="AE2311" s="38" t="s">
        <v>359</v>
      </c>
    </row>
    <row r="2312" spans="1:31" ht="18" customHeight="1" x14ac:dyDescent="0.25">
      <c r="A23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2" s="79">
        <v>3</v>
      </c>
      <c r="C2312" s="23">
        <v>44781</v>
      </c>
      <c r="D2312" s="67">
        <f>IF(COUNTIF($G$2:$G2312,$G2312)=1,1,0)</f>
        <v>0</v>
      </c>
      <c r="E2312" s="67" t="str">
        <f>IFERROR(VLOOKUP(База_КР_КК[[#This Row],[ИД штатной должности (S)]],'уровень защищенности'!$B$7:$F$1095,5,0),"не защищена")</f>
        <v>низкий</v>
      </c>
      <c r="F2312" s="68">
        <v>500757</v>
      </c>
      <c r="G2312" s="74" t="s">
        <v>2682</v>
      </c>
      <c r="H2312" s="181">
        <f>INDEX('Списки данных'!$D$2:$D$1048576,MATCH(База_КР_КК[[#This Row],[Структурное подразделение]],'Списки данных'!$C$2:$C$1048576,0))</f>
        <v>94</v>
      </c>
      <c r="I2312" s="80" t="s">
        <v>145</v>
      </c>
      <c r="J2312" s="80" t="s">
        <v>233</v>
      </c>
      <c r="K2312" s="80" t="s">
        <v>21</v>
      </c>
      <c r="L2312" s="30" t="s">
        <v>187</v>
      </c>
      <c r="M2312" s="68">
        <v>5</v>
      </c>
      <c r="N2312" s="181" t="str">
        <f t="shared" si="37"/>
        <v>да</v>
      </c>
      <c r="O2312" s="23">
        <v>44256</v>
      </c>
      <c r="P2312" s="23">
        <v>44587</v>
      </c>
      <c r="Q2312" s="106" t="s">
        <v>66</v>
      </c>
      <c r="R2312" s="37">
        <v>511</v>
      </c>
      <c r="S2312" s="39" t="s">
        <v>921</v>
      </c>
      <c r="T2312" s="37">
        <v>513</v>
      </c>
      <c r="U2312" s="38" t="s">
        <v>923</v>
      </c>
      <c r="V2312" s="69" t="s">
        <v>193</v>
      </c>
      <c r="W2312" s="89" t="s">
        <v>145</v>
      </c>
      <c r="X2312" s="106" t="s">
        <v>296</v>
      </c>
      <c r="Y2312" s="107" t="s">
        <v>12</v>
      </c>
      <c r="Z2312" s="67">
        <f>IF(База_КР_КК[[#This Row],[Таб.номер резервиста]]="-","-",IF(OR(База_КР_КК[[#This Row],[Уровень КК]]=2,База_КР_КК[[#This Row],[Уровень КК]]=3),IF(COUNTIFS($U$2:$U2312,$U2312,$F$2:$F2312,$F2312)=1,1,0),IF(COUNTIFS($U$2:$U2312,$U2312,$L$2:$L2312,$L2312)=1,1,0)))</f>
        <v>1</v>
      </c>
      <c r="AA23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12" s="106"/>
      <c r="AC2312" s="51"/>
      <c r="AD2312" s="106" t="s">
        <v>15</v>
      </c>
      <c r="AE2312" s="38" t="s">
        <v>359</v>
      </c>
    </row>
    <row r="2313" spans="1:31" ht="18" customHeight="1" x14ac:dyDescent="0.25">
      <c r="A23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3" s="79">
        <v>3</v>
      </c>
      <c r="C2313" s="23">
        <v>44112</v>
      </c>
      <c r="D2313" s="67">
        <f>IF(COUNTIF($G$2:$G2313,$G2313)=1,1,0)</f>
        <v>0</v>
      </c>
      <c r="E2313" s="67" t="str">
        <f>IFERROR(VLOOKUP(База_КР_КК[[#This Row],[ИД штатной должности (S)]],'уровень защищенности'!$B$7:$F$1095,5,0),"не защищена")</f>
        <v>низкий</v>
      </c>
      <c r="F2313" s="68">
        <v>500757</v>
      </c>
      <c r="G2313" s="74" t="s">
        <v>2682</v>
      </c>
      <c r="H2313" s="181">
        <f>INDEX('Списки данных'!$D$2:$D$1048576,MATCH(База_КР_КК[[#This Row],[Структурное подразделение]],'Списки данных'!$C$2:$C$1048576,0))</f>
        <v>94</v>
      </c>
      <c r="I2313" s="80" t="s">
        <v>145</v>
      </c>
      <c r="J2313" s="80" t="s">
        <v>233</v>
      </c>
      <c r="K2313" s="80" t="s">
        <v>21</v>
      </c>
      <c r="L2313" s="30" t="s">
        <v>187</v>
      </c>
      <c r="M2313" s="68">
        <v>5</v>
      </c>
      <c r="N2313" s="181" t="str">
        <f t="shared" si="37"/>
        <v>да</v>
      </c>
      <c r="O2313" s="23">
        <v>44256</v>
      </c>
      <c r="P2313" s="23">
        <v>44587</v>
      </c>
      <c r="Q2313" s="106" t="s">
        <v>66</v>
      </c>
      <c r="R2313" s="37">
        <v>511</v>
      </c>
      <c r="S2313" s="39" t="s">
        <v>921</v>
      </c>
      <c r="T2313" s="37">
        <v>511</v>
      </c>
      <c r="U2313" s="38" t="s">
        <v>921</v>
      </c>
      <c r="V2313" s="69" t="s">
        <v>187</v>
      </c>
      <c r="W2313" s="89" t="s">
        <v>145</v>
      </c>
      <c r="X2313" s="106" t="s">
        <v>296</v>
      </c>
      <c r="Y2313" s="107" t="s">
        <v>14</v>
      </c>
      <c r="Z2313" s="67">
        <f>IF(База_КР_КК[[#This Row],[Таб.номер резервиста]]="-","-",IF(OR(База_КР_КК[[#This Row],[Уровень КК]]=2,База_КР_КК[[#This Row],[Уровень КК]]=3),IF(COUNTIFS($U$2:$U2313,$U2313,$F$2:$F2313,$F2313)=1,1,0),IF(COUNTIFS($U$2:$U2313,$U2313,$L$2:$L2313,$L2313)=1,1,0)))</f>
        <v>1</v>
      </c>
      <c r="AA23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313" s="106" t="s">
        <v>24</v>
      </c>
      <c r="AC2313" s="51">
        <v>44587</v>
      </c>
      <c r="AD2313" s="106" t="s">
        <v>15</v>
      </c>
      <c r="AE2313" s="38" t="s">
        <v>359</v>
      </c>
    </row>
    <row r="2314" spans="1:31" ht="18" customHeight="1" x14ac:dyDescent="0.25">
      <c r="A23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4" s="79">
        <v>4</v>
      </c>
      <c r="C2314" s="23">
        <v>44550</v>
      </c>
      <c r="D2314" s="67">
        <f>IF(COUNTIF($G$2:$G2314,$G2314)=1,1,0)</f>
        <v>1</v>
      </c>
      <c r="E2314" s="67" t="str">
        <f>IFERROR(VLOOKUP(База_КР_КК[[#This Row],[ИД штатной должности (S)]],'уровень защищенности'!$B$7:$F$1095,5,0),"не защищена")</f>
        <v>низкий</v>
      </c>
      <c r="F2314" s="68">
        <v>500760</v>
      </c>
      <c r="G2314" s="74" t="s">
        <v>2683</v>
      </c>
      <c r="H2314" s="181">
        <f>INDEX('Списки данных'!$D$2:$D$1048576,MATCH(База_КР_КК[[#This Row],[Структурное подразделение]],'Списки данных'!$C$2:$C$1048576,0))</f>
        <v>94</v>
      </c>
      <c r="I2314" s="80" t="s">
        <v>145</v>
      </c>
      <c r="J2314" s="80" t="s">
        <v>233</v>
      </c>
      <c r="K2314" s="80" t="s">
        <v>234</v>
      </c>
      <c r="L2314" s="30" t="s">
        <v>193</v>
      </c>
      <c r="M2314" s="68">
        <v>6</v>
      </c>
      <c r="N2314" s="181" t="str">
        <f t="shared" si="37"/>
        <v>нет</v>
      </c>
      <c r="O2314" s="23"/>
      <c r="P2314" s="23"/>
      <c r="Q2314" s="106"/>
      <c r="R2314" s="37">
        <v>512</v>
      </c>
      <c r="S2314" s="39" t="s">
        <v>922</v>
      </c>
      <c r="T2314" s="37">
        <v>1605</v>
      </c>
      <c r="U2314" s="39" t="s">
        <v>1938</v>
      </c>
      <c r="V2314" s="69" t="s">
        <v>16</v>
      </c>
      <c r="W2314" s="89" t="s">
        <v>145</v>
      </c>
      <c r="X2314" s="106" t="s">
        <v>296</v>
      </c>
      <c r="Y2314" s="107" t="s">
        <v>12</v>
      </c>
      <c r="Z2314" s="67">
        <f>IF(База_КР_КК[[#This Row],[Таб.номер резервиста]]="-","-",IF(OR(База_КР_КК[[#This Row],[Уровень КК]]=2,База_КР_КК[[#This Row],[Уровень КК]]=3),IF(COUNTIFS($U$2:$U2314,$U2314,$F$2:$F2314,$F2314)=1,1,0),IF(COUNTIFS($U$2:$U2314,$U2314,$L$2:$L2314,$L2314)=1,1,0)))</f>
        <v>1</v>
      </c>
      <c r="AA23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14" s="106"/>
      <c r="AC2314" s="51"/>
      <c r="AD2314" s="106" t="s">
        <v>15</v>
      </c>
      <c r="AE2314" s="38" t="s">
        <v>367</v>
      </c>
    </row>
    <row r="2315" spans="1:31" ht="18" customHeight="1" x14ac:dyDescent="0.25">
      <c r="A23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5" s="79">
        <v>4</v>
      </c>
      <c r="C2315" s="23">
        <v>44922</v>
      </c>
      <c r="D2315" s="67">
        <f>IF(COUNTIF($G$2:$G2315,$G2315)=1,1,0)</f>
        <v>1</v>
      </c>
      <c r="E2315" s="67" t="str">
        <f>IFERROR(VLOOKUP(База_КР_КК[[#This Row],[ИД штатной должности (S)]],'уровень защищенности'!$B$7:$F$1095,5,0),"не защищена")</f>
        <v>низкий</v>
      </c>
      <c r="F2315" s="68">
        <v>500759</v>
      </c>
      <c r="G2315" s="74" t="s">
        <v>2684</v>
      </c>
      <c r="H2315" s="181">
        <f>INDEX('Списки данных'!$D$2:$D$1048576,MATCH(База_КР_КК[[#This Row],[Структурное подразделение]],'Списки данных'!$C$2:$C$1048576,0))</f>
        <v>94</v>
      </c>
      <c r="I2315" s="80" t="s">
        <v>145</v>
      </c>
      <c r="J2315" s="80" t="s">
        <v>233</v>
      </c>
      <c r="K2315" s="80" t="s">
        <v>234</v>
      </c>
      <c r="L2315" s="30" t="s">
        <v>193</v>
      </c>
      <c r="M2315" s="68">
        <v>6</v>
      </c>
      <c r="N2315" s="181" t="str">
        <f t="shared" si="37"/>
        <v>нет</v>
      </c>
      <c r="O2315" s="23"/>
      <c r="P2315" s="23"/>
      <c r="Q2315" s="106"/>
      <c r="R2315" s="37">
        <v>513</v>
      </c>
      <c r="S2315" s="39" t="s">
        <v>923</v>
      </c>
      <c r="T2315" s="37">
        <v>1606</v>
      </c>
      <c r="U2315" s="38" t="s">
        <v>1939</v>
      </c>
      <c r="V2315" s="69" t="s">
        <v>16</v>
      </c>
      <c r="W2315" s="89" t="s">
        <v>145</v>
      </c>
      <c r="X2315" s="106" t="s">
        <v>296</v>
      </c>
      <c r="Y2315" s="107" t="s">
        <v>12</v>
      </c>
      <c r="Z2315" s="67">
        <f>IF(База_КР_КК[[#This Row],[Таб.номер резервиста]]="-","-",IF(OR(База_КР_КК[[#This Row],[Уровень КК]]=2,База_КР_КК[[#This Row],[Уровень КК]]=3),IF(COUNTIFS($U$2:$U2315,$U2315,$F$2:$F2315,$F2315)=1,1,0),IF(COUNTIFS($U$2:$U2315,$U2315,$L$2:$L2315,$L2315)=1,1,0)))</f>
        <v>1</v>
      </c>
      <c r="AA23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15" s="106"/>
      <c r="AC2315" s="51"/>
      <c r="AD2315" s="106" t="s">
        <v>15</v>
      </c>
      <c r="AE2315" s="38" t="s">
        <v>362</v>
      </c>
    </row>
    <row r="2316" spans="1:31" ht="18" customHeight="1" x14ac:dyDescent="0.25">
      <c r="A23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6" s="79">
        <v>4</v>
      </c>
      <c r="C2316" s="23">
        <v>44922</v>
      </c>
      <c r="D2316" s="67">
        <f>IF(COUNTIF($G$2:$G2316,$G2316)=1,1,0)</f>
        <v>1</v>
      </c>
      <c r="E2316" s="67" t="str">
        <f>IFERROR(VLOOKUP(База_КР_КК[[#This Row],[ИД штатной должности (S)]],'уровень защищенности'!$B$7:$F$1095,5,0),"не защищена")</f>
        <v>низкий</v>
      </c>
      <c r="F2316" s="68">
        <v>500761</v>
      </c>
      <c r="G2316" s="74" t="s">
        <v>2685</v>
      </c>
      <c r="H2316" s="181">
        <f>INDEX('Списки данных'!$D$2:$D$1048576,MATCH(База_КР_КК[[#This Row],[Структурное подразделение]],'Списки данных'!$C$2:$C$1048576,0))</f>
        <v>94</v>
      </c>
      <c r="I2316" s="80" t="s">
        <v>145</v>
      </c>
      <c r="J2316" s="80" t="s">
        <v>233</v>
      </c>
      <c r="K2316" s="80" t="s">
        <v>234</v>
      </c>
      <c r="L2316" s="30" t="s">
        <v>193</v>
      </c>
      <c r="M2316" s="68">
        <v>6</v>
      </c>
      <c r="N2316" s="181" t="str">
        <f t="shared" si="37"/>
        <v>нет</v>
      </c>
      <c r="O2316" s="23"/>
      <c r="P2316" s="23"/>
      <c r="Q2316" s="106"/>
      <c r="R2316" s="37">
        <v>514</v>
      </c>
      <c r="S2316" s="39" t="s">
        <v>924</v>
      </c>
      <c r="T2316" s="37">
        <v>1607</v>
      </c>
      <c r="U2316" s="38" t="s">
        <v>1940</v>
      </c>
      <c r="V2316" s="69" t="s">
        <v>16</v>
      </c>
      <c r="W2316" s="89" t="s">
        <v>145</v>
      </c>
      <c r="X2316" s="106" t="s">
        <v>296</v>
      </c>
      <c r="Y2316" s="107" t="s">
        <v>12</v>
      </c>
      <c r="Z2316" s="67">
        <f>IF(База_КР_КК[[#This Row],[Таб.номер резервиста]]="-","-",IF(OR(База_КР_КК[[#This Row],[Уровень КК]]=2,База_КР_КК[[#This Row],[Уровень КК]]=3),IF(COUNTIFS($U$2:$U2316,$U2316,$F$2:$F2316,$F2316)=1,1,0),IF(COUNTIFS($U$2:$U2316,$U2316,$L$2:$L2316,$L2316)=1,1,0)))</f>
        <v>1</v>
      </c>
      <c r="AA23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16" s="106"/>
      <c r="AC2316" s="51"/>
      <c r="AD2316" s="106" t="s">
        <v>15</v>
      </c>
      <c r="AE2316" s="38" t="s">
        <v>362</v>
      </c>
    </row>
    <row r="2317" spans="1:31" ht="18" customHeight="1" x14ac:dyDescent="0.25">
      <c r="A23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7" s="79">
        <v>4</v>
      </c>
      <c r="C2317" s="23">
        <v>44550</v>
      </c>
      <c r="D2317" s="67">
        <f>IF(COUNTIF($G$2:$G2317,$G2317)=1,1,0)</f>
        <v>0</v>
      </c>
      <c r="E2317" s="67" t="str">
        <f>IFERROR(VLOOKUP(База_КР_КК[[#This Row],[ИД штатной должности (S)]],'уровень защищенности'!$B$7:$F$1095,5,0),"не защищена")</f>
        <v>низкий</v>
      </c>
      <c r="F2317" s="68">
        <v>500761</v>
      </c>
      <c r="G2317" s="74" t="s">
        <v>2685</v>
      </c>
      <c r="H2317" s="181">
        <f>INDEX('Списки данных'!$D$2:$D$1048576,MATCH(База_КР_КК[[#This Row],[Структурное подразделение]],'Списки данных'!$C$2:$C$1048576,0))</f>
        <v>94</v>
      </c>
      <c r="I2317" s="80" t="s">
        <v>145</v>
      </c>
      <c r="J2317" s="80" t="s">
        <v>233</v>
      </c>
      <c r="K2317" s="80" t="s">
        <v>234</v>
      </c>
      <c r="L2317" s="30" t="s">
        <v>193</v>
      </c>
      <c r="M2317" s="68">
        <v>6</v>
      </c>
      <c r="N2317" s="181" t="str">
        <f t="shared" si="37"/>
        <v>нет</v>
      </c>
      <c r="O2317" s="23"/>
      <c r="P2317" s="23"/>
      <c r="Q2317" s="106"/>
      <c r="R2317" s="37">
        <v>514</v>
      </c>
      <c r="S2317" s="39" t="s">
        <v>924</v>
      </c>
      <c r="T2317" s="37">
        <v>513</v>
      </c>
      <c r="U2317" s="39" t="s">
        <v>923</v>
      </c>
      <c r="V2317" s="69" t="s">
        <v>193</v>
      </c>
      <c r="W2317" s="89" t="s">
        <v>145</v>
      </c>
      <c r="X2317" s="106" t="s">
        <v>296</v>
      </c>
      <c r="Y2317" s="107" t="s">
        <v>18</v>
      </c>
      <c r="Z2317" s="67">
        <f>IF(База_КР_КК[[#This Row],[Таб.номер резервиста]]="-","-",IF(OR(База_КР_КК[[#This Row],[Уровень КК]]=2,База_КР_КК[[#This Row],[Уровень КК]]=3),IF(COUNTIFS($U$2:$U2317,$U2317,$F$2:$F2317,$F2317)=1,1,0),IF(COUNTIFS($U$2:$U2317,$U2317,$L$2:$L2317,$L2317)=1,1,0)))</f>
        <v>1</v>
      </c>
      <c r="AA23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17" s="106" t="s">
        <v>37</v>
      </c>
      <c r="AC2317" s="51">
        <v>44679</v>
      </c>
      <c r="AD2317" s="106" t="s">
        <v>31</v>
      </c>
      <c r="AE2317" s="38" t="s">
        <v>362</v>
      </c>
    </row>
    <row r="2318" spans="1:31" ht="18" customHeight="1" x14ac:dyDescent="0.25">
      <c r="A23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8" s="79">
        <v>4</v>
      </c>
      <c r="C2318" s="23">
        <v>44550</v>
      </c>
      <c r="D2318" s="67">
        <f>IF(COUNTIF($G$2:$G2318,$G2318)=1,1,0)</f>
        <v>1</v>
      </c>
      <c r="E2318" s="67" t="str">
        <f>IFERROR(VLOOKUP(База_КР_КК[[#This Row],[ИД штатной должности (S)]],'уровень защищенности'!$B$7:$F$1095,5,0),"не защищена")</f>
        <v>средний</v>
      </c>
      <c r="F2318" s="68">
        <v>500758</v>
      </c>
      <c r="G2318" s="74" t="s">
        <v>2686</v>
      </c>
      <c r="H2318" s="181">
        <f>INDEX('Списки данных'!$D$2:$D$1048576,MATCH(База_КР_КК[[#This Row],[Структурное подразделение]],'Списки данных'!$C$2:$C$1048576,0))</f>
        <v>94</v>
      </c>
      <c r="I2318" s="80" t="s">
        <v>145</v>
      </c>
      <c r="J2318" s="80" t="s">
        <v>233</v>
      </c>
      <c r="K2318" s="80" t="s">
        <v>234</v>
      </c>
      <c r="L2318" s="30" t="s">
        <v>193</v>
      </c>
      <c r="M2318" s="68">
        <v>7</v>
      </c>
      <c r="N2318" s="181" t="str">
        <f t="shared" si="37"/>
        <v>да</v>
      </c>
      <c r="O2318" s="23">
        <v>44587</v>
      </c>
      <c r="P2318" s="23">
        <v>44587</v>
      </c>
      <c r="Q2318" s="106" t="s">
        <v>66</v>
      </c>
      <c r="R2318" s="37">
        <v>515</v>
      </c>
      <c r="S2318" s="39" t="s">
        <v>925</v>
      </c>
      <c r="T2318" s="37">
        <v>1608</v>
      </c>
      <c r="U2318" s="39" t="s">
        <v>1941</v>
      </c>
      <c r="V2318" s="69" t="s">
        <v>193</v>
      </c>
      <c r="W2318" s="89" t="s">
        <v>145</v>
      </c>
      <c r="X2318" s="106" t="s">
        <v>297</v>
      </c>
      <c r="Y2318" s="107" t="s">
        <v>18</v>
      </c>
      <c r="Z2318" s="67">
        <f>IF(База_КР_КК[[#This Row],[Таб.номер резервиста]]="-","-",IF(OR(База_КР_КК[[#This Row],[Уровень КК]]=2,База_КР_КК[[#This Row],[Уровень КК]]=3),IF(COUNTIFS($U$2:$U2318,$U2318,$F$2:$F2318,$F2318)=1,1,0),IF(COUNTIFS($U$2:$U2318,$U2318,$L$2:$L2318,$L2318)=1,1,0)))</f>
        <v>1</v>
      </c>
      <c r="AA23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18" s="106" t="s">
        <v>37</v>
      </c>
      <c r="AC2318" s="51">
        <v>45005</v>
      </c>
      <c r="AD2318" s="106" t="s">
        <v>15</v>
      </c>
      <c r="AE2318" s="38" t="s">
        <v>367</v>
      </c>
    </row>
    <row r="2319" spans="1:31" ht="18" customHeight="1" x14ac:dyDescent="0.25">
      <c r="A23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19" s="79">
        <v>4</v>
      </c>
      <c r="C2319" s="23">
        <v>44550</v>
      </c>
      <c r="D2319" s="67">
        <f>IF(COUNTIF($G$2:$G2319,$G2319)=1,1,0)</f>
        <v>0</v>
      </c>
      <c r="E2319" s="67" t="str">
        <f>IFERROR(VLOOKUP(База_КР_КК[[#This Row],[ИД штатной должности (S)]],'уровень защищенности'!$B$7:$F$1095,5,0),"не защищена")</f>
        <v>средний</v>
      </c>
      <c r="F2319" s="68">
        <v>500758</v>
      </c>
      <c r="G2319" s="74" t="s">
        <v>2686</v>
      </c>
      <c r="H2319" s="181">
        <f>INDEX('Списки данных'!$D$2:$D$1048576,MATCH(База_КР_КК[[#This Row],[Структурное подразделение]],'Списки данных'!$C$2:$C$1048576,0))</f>
        <v>94</v>
      </c>
      <c r="I2319" s="80" t="s">
        <v>145</v>
      </c>
      <c r="J2319" s="80" t="s">
        <v>233</v>
      </c>
      <c r="K2319" s="80" t="s">
        <v>234</v>
      </c>
      <c r="L2319" s="30" t="s">
        <v>193</v>
      </c>
      <c r="M2319" s="68">
        <v>7</v>
      </c>
      <c r="N2319" s="181" t="str">
        <f t="shared" si="37"/>
        <v>да</v>
      </c>
      <c r="O2319" s="23">
        <v>44587</v>
      </c>
      <c r="P2319" s="23">
        <v>44587</v>
      </c>
      <c r="Q2319" s="106" t="s">
        <v>66</v>
      </c>
      <c r="R2319" s="37">
        <v>515</v>
      </c>
      <c r="S2319" s="39" t="s">
        <v>925</v>
      </c>
      <c r="T2319" s="37">
        <v>1609</v>
      </c>
      <c r="U2319" s="39" t="s">
        <v>1738</v>
      </c>
      <c r="V2319" s="69" t="s">
        <v>16</v>
      </c>
      <c r="W2319" s="89" t="s">
        <v>145</v>
      </c>
      <c r="X2319" s="106" t="s">
        <v>297</v>
      </c>
      <c r="Y2319" s="107" t="s">
        <v>12</v>
      </c>
      <c r="Z2319" s="67">
        <f>IF(База_КР_КК[[#This Row],[Таб.номер резервиста]]="-","-",IF(OR(База_КР_КК[[#This Row],[Уровень КК]]=2,База_КР_КК[[#This Row],[Уровень КК]]=3),IF(COUNTIFS($U$2:$U2319,$U2319,$F$2:$F2319,$F2319)=1,1,0),IF(COUNTIFS($U$2:$U2319,$U2319,$L$2:$L2319,$L2319)=1,1,0)))</f>
        <v>1</v>
      </c>
      <c r="AA23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19" s="106"/>
      <c r="AC2319" s="51"/>
      <c r="AD2319" s="106" t="s">
        <v>15</v>
      </c>
      <c r="AE2319" s="38" t="s">
        <v>367</v>
      </c>
    </row>
    <row r="2320" spans="1:31" ht="18" customHeight="1" x14ac:dyDescent="0.25">
      <c r="A23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0" s="79">
        <v>4</v>
      </c>
      <c r="C2320" s="23">
        <v>44550</v>
      </c>
      <c r="D2320" s="67">
        <f>IF(COUNTIF($G$2:$G2320,$G2320)=1,1,0)</f>
        <v>0</v>
      </c>
      <c r="E2320" s="67" t="str">
        <f>IFERROR(VLOOKUP(База_КР_КК[[#This Row],[ИД штатной должности (S)]],'уровень защищенности'!$B$7:$F$1095,5,0),"не защищена")</f>
        <v>средний</v>
      </c>
      <c r="F2320" s="68">
        <v>500758</v>
      </c>
      <c r="G2320" s="74" t="s">
        <v>2686</v>
      </c>
      <c r="H2320" s="181">
        <f>INDEX('Списки данных'!$D$2:$D$1048576,MATCH(База_КР_КК[[#This Row],[Структурное подразделение]],'Списки данных'!$C$2:$C$1048576,0))</f>
        <v>94</v>
      </c>
      <c r="I2320" s="80" t="s">
        <v>145</v>
      </c>
      <c r="J2320" s="80" t="s">
        <v>233</v>
      </c>
      <c r="K2320" s="80" t="s">
        <v>234</v>
      </c>
      <c r="L2320" s="30" t="s">
        <v>193</v>
      </c>
      <c r="M2320" s="68">
        <v>7</v>
      </c>
      <c r="N2320" s="181" t="str">
        <f t="shared" si="37"/>
        <v>да</v>
      </c>
      <c r="O2320" s="23">
        <v>44587</v>
      </c>
      <c r="P2320" s="23">
        <v>44587</v>
      </c>
      <c r="Q2320" s="106" t="s">
        <v>66</v>
      </c>
      <c r="R2320" s="37">
        <v>515</v>
      </c>
      <c r="S2320" s="39" t="s">
        <v>925</v>
      </c>
      <c r="T2320" s="37">
        <v>515</v>
      </c>
      <c r="U2320" s="39" t="s">
        <v>925</v>
      </c>
      <c r="V2320" s="69" t="s">
        <v>16</v>
      </c>
      <c r="W2320" s="89" t="s">
        <v>145</v>
      </c>
      <c r="X2320" s="106" t="s">
        <v>295</v>
      </c>
      <c r="Y2320" s="107" t="s">
        <v>14</v>
      </c>
      <c r="Z2320" s="67">
        <f>IF(База_КР_КК[[#This Row],[Таб.номер резервиста]]="-","-",IF(OR(База_КР_КК[[#This Row],[Уровень КК]]=2,База_КР_КК[[#This Row],[Уровень КК]]=3),IF(COUNTIFS($U$2:$U2320,$U2320,$F$2:$F2320,$F2320)=1,1,0),IF(COUNTIFS($U$2:$U2320,$U2320,$L$2:$L2320,$L2320)=1,1,0)))</f>
        <v>1</v>
      </c>
      <c r="AA23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320" s="106" t="s">
        <v>24</v>
      </c>
      <c r="AC2320" s="51">
        <v>44587</v>
      </c>
      <c r="AD2320" s="106" t="s">
        <v>31</v>
      </c>
      <c r="AE2320" s="38" t="s">
        <v>362</v>
      </c>
    </row>
    <row r="2321" spans="1:31" ht="18" customHeight="1" x14ac:dyDescent="0.25">
      <c r="A23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1" s="79">
        <v>4</v>
      </c>
      <c r="C2321" s="23">
        <v>44587</v>
      </c>
      <c r="D2321" s="67">
        <f>IF(COUNTIF($G$2:$G2321,$G2321)=1,1,0)</f>
        <v>1</v>
      </c>
      <c r="E2321" s="67" t="str">
        <f>IFERROR(VLOOKUP(База_КР_КК[[#This Row],[ИД штатной должности (S)]],'уровень защищенности'!$B$7:$F$1095,5,0),"не защищена")</f>
        <v>низкий</v>
      </c>
      <c r="F2321" s="68">
        <v>500088</v>
      </c>
      <c r="G2321" s="74" t="s">
        <v>2687</v>
      </c>
      <c r="H2321" s="181">
        <f>INDEX('Списки данных'!$D$2:$D$1048576,MATCH(База_КР_КК[[#This Row],[Структурное подразделение]],'Списки данных'!$C$2:$C$1048576,0))</f>
        <v>34</v>
      </c>
      <c r="I2321" s="80" t="s">
        <v>163</v>
      </c>
      <c r="J2321" s="80" t="s">
        <v>226</v>
      </c>
      <c r="K2321" s="80" t="s">
        <v>21</v>
      </c>
      <c r="L2321" s="30" t="s">
        <v>189</v>
      </c>
      <c r="M2321" s="68">
        <v>6</v>
      </c>
      <c r="N2321" s="181" t="str">
        <f t="shared" si="37"/>
        <v>нет</v>
      </c>
      <c r="O2321" s="23"/>
      <c r="P2321" s="23"/>
      <c r="Q2321" s="106"/>
      <c r="R2321" s="37">
        <v>516</v>
      </c>
      <c r="S2321" s="39" t="s">
        <v>926</v>
      </c>
      <c r="T2321" s="37">
        <v>1581</v>
      </c>
      <c r="U2321" s="39" t="s">
        <v>1922</v>
      </c>
      <c r="V2321" s="69" t="s">
        <v>16</v>
      </c>
      <c r="W2321" s="89" t="s">
        <v>145</v>
      </c>
      <c r="X2321" s="106" t="s">
        <v>296</v>
      </c>
      <c r="Y2321" s="107" t="s">
        <v>12</v>
      </c>
      <c r="Z2321" s="67">
        <f>IF(База_КР_КК[[#This Row],[Таб.номер резервиста]]="-","-",IF(OR(База_КР_КК[[#This Row],[Уровень КК]]=2,База_КР_КК[[#This Row],[Уровень КК]]=3),IF(COUNTIFS($U$2:$U2321,$U2321,$F$2:$F2321,$F2321)=1,1,0),IF(COUNTIFS($U$2:$U2321,$U2321,$L$2:$L2321,$L2321)=1,1,0)))</f>
        <v>0</v>
      </c>
      <c r="AA23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21" s="106"/>
      <c r="AC2321" s="51"/>
      <c r="AD2321" s="106" t="s">
        <v>15</v>
      </c>
      <c r="AE2321" s="38" t="s">
        <v>368</v>
      </c>
    </row>
    <row r="2322" spans="1:31" ht="18" customHeight="1" x14ac:dyDescent="0.25">
      <c r="A23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2" s="79">
        <v>4</v>
      </c>
      <c r="C2322" s="23">
        <v>44587</v>
      </c>
      <c r="D2322" s="67">
        <f>IF(COUNTIF($G$2:$G2322,$G2322)=1,1,0)</f>
        <v>1</v>
      </c>
      <c r="E2322" s="67" t="str">
        <f>IFERROR(VLOOKUP(База_КР_КК[[#This Row],[ИД штатной должности (S)]],'уровень защищенности'!$B$7:$F$1095,5,0),"не защищена")</f>
        <v>низкий</v>
      </c>
      <c r="F2322" s="68">
        <v>500089</v>
      </c>
      <c r="G2322" s="74" t="s">
        <v>2688</v>
      </c>
      <c r="H2322" s="181">
        <f>INDEX('Списки данных'!$D$2:$D$1048576,MATCH(База_КР_КК[[#This Row],[Структурное подразделение]],'Списки данных'!$C$2:$C$1048576,0))</f>
        <v>34</v>
      </c>
      <c r="I2322" s="80" t="s">
        <v>163</v>
      </c>
      <c r="J2322" s="80" t="s">
        <v>226</v>
      </c>
      <c r="K2322" s="80" t="s">
        <v>21</v>
      </c>
      <c r="L2322" s="30" t="s">
        <v>187</v>
      </c>
      <c r="M2322" s="68">
        <v>6</v>
      </c>
      <c r="N2322" s="181" t="str">
        <f t="shared" si="37"/>
        <v>нет</v>
      </c>
      <c r="O2322" s="23"/>
      <c r="P2322" s="23"/>
      <c r="Q2322" s="106"/>
      <c r="R2322" s="37">
        <v>517</v>
      </c>
      <c r="S2322" s="39" t="s">
        <v>927</v>
      </c>
      <c r="T2322" s="37">
        <v>1581</v>
      </c>
      <c r="U2322" s="39" t="s">
        <v>1922</v>
      </c>
      <c r="V2322" s="69" t="s">
        <v>16</v>
      </c>
      <c r="W2322" s="89" t="s">
        <v>145</v>
      </c>
      <c r="X2322" s="106" t="s">
        <v>296</v>
      </c>
      <c r="Y2322" s="107" t="s">
        <v>12</v>
      </c>
      <c r="Z2322" s="67">
        <f>IF(База_КР_КК[[#This Row],[Таб.номер резервиста]]="-","-",IF(OR(База_КР_КК[[#This Row],[Уровень КК]]=2,База_КР_КК[[#This Row],[Уровень КК]]=3),IF(COUNTIFS($U$2:$U2322,$U2322,$F$2:$F2322,$F2322)=1,1,0),IF(COUNTIFS($U$2:$U2322,$U2322,$L$2:$L2322,$L2322)=1,1,0)))</f>
        <v>1</v>
      </c>
      <c r="AA23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22" s="106"/>
      <c r="AC2322" s="51"/>
      <c r="AD2322" s="106" t="s">
        <v>15</v>
      </c>
      <c r="AE2322" s="38" t="s">
        <v>368</v>
      </c>
    </row>
    <row r="2323" spans="1:31" ht="18" customHeight="1" x14ac:dyDescent="0.25">
      <c r="A23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3" s="79">
        <v>4</v>
      </c>
      <c r="C2323" s="23">
        <v>44587</v>
      </c>
      <c r="D2323" s="67">
        <f>IF(COUNTIF($G$2:$G2323,$G2323)=1,1,0)</f>
        <v>1</v>
      </c>
      <c r="E2323" s="67" t="str">
        <f>IFERROR(VLOOKUP(База_КР_КК[[#This Row],[ИД штатной должности (S)]],'уровень защищенности'!$B$7:$F$1095,5,0),"не защищена")</f>
        <v>высокий</v>
      </c>
      <c r="F2323" s="68">
        <v>500090</v>
      </c>
      <c r="G2323" s="74" t="s">
        <v>2689</v>
      </c>
      <c r="H2323" s="181">
        <f>INDEX('Списки данных'!$D$2:$D$1048576,MATCH(База_КР_КК[[#This Row],[Структурное подразделение]],'Списки данных'!$C$2:$C$1048576,0))</f>
        <v>34</v>
      </c>
      <c r="I2323" s="80" t="s">
        <v>163</v>
      </c>
      <c r="J2323" s="80" t="s">
        <v>226</v>
      </c>
      <c r="K2323" s="80" t="s">
        <v>21</v>
      </c>
      <c r="L2323" s="30" t="s">
        <v>198</v>
      </c>
      <c r="M2323" s="68">
        <v>6</v>
      </c>
      <c r="N2323" s="181" t="str">
        <f t="shared" si="37"/>
        <v>нет</v>
      </c>
      <c r="O2323" s="23"/>
      <c r="P2323" s="23"/>
      <c r="Q2323" s="106"/>
      <c r="R2323" s="37">
        <v>518</v>
      </c>
      <c r="S2323" s="39" t="s">
        <v>928</v>
      </c>
      <c r="T2323" s="37">
        <v>520</v>
      </c>
      <c r="U2323" s="39" t="s">
        <v>930</v>
      </c>
      <c r="V2323" s="69" t="s">
        <v>192</v>
      </c>
      <c r="W2323" s="89" t="s">
        <v>163</v>
      </c>
      <c r="X2323" s="106" t="s">
        <v>295</v>
      </c>
      <c r="Y2323" s="107" t="s">
        <v>12</v>
      </c>
      <c r="Z2323" s="67">
        <f>IF(База_КР_КК[[#This Row],[Таб.номер резервиста]]="-","-",IF(OR(База_КР_КК[[#This Row],[Уровень КК]]=2,База_КР_КК[[#This Row],[Уровень КК]]=3),IF(COUNTIFS($U$2:$U2323,$U2323,$F$2:$F2323,$F2323)=1,1,0),IF(COUNTIFS($U$2:$U2323,$U2323,$L$2:$L2323,$L2323)=1,1,0)))</f>
        <v>1</v>
      </c>
      <c r="AA23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23" s="106"/>
      <c r="AC2323" s="51"/>
      <c r="AD2323" s="106" t="s">
        <v>15</v>
      </c>
      <c r="AE2323" s="38" t="s">
        <v>368</v>
      </c>
    </row>
    <row r="2324" spans="1:31" ht="18" customHeight="1" x14ac:dyDescent="0.25">
      <c r="A23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4" s="79">
        <v>4</v>
      </c>
      <c r="C2324" s="23">
        <v>44922</v>
      </c>
      <c r="D2324" s="67">
        <f>IF(COUNTIF($G$2:$G2324,$G2324)=1,1,0)</f>
        <v>1</v>
      </c>
      <c r="E2324" s="67" t="str">
        <f>IFERROR(VLOOKUP(База_КР_КК[[#This Row],[ИД штатной должности (S)]],'уровень защищенности'!$B$7:$F$1095,5,0),"не защищена")</f>
        <v>средний</v>
      </c>
      <c r="F2324" s="68">
        <v>500091</v>
      </c>
      <c r="G2324" s="74" t="s">
        <v>2690</v>
      </c>
      <c r="H2324" s="181">
        <f>INDEX('Списки данных'!$D$2:$D$1048576,MATCH(База_КР_КК[[#This Row],[Структурное подразделение]],'Списки данных'!$C$2:$C$1048576,0))</f>
        <v>34</v>
      </c>
      <c r="I2324" s="80" t="s">
        <v>163</v>
      </c>
      <c r="J2324" s="80" t="s">
        <v>226</v>
      </c>
      <c r="K2324" s="80" t="s">
        <v>21</v>
      </c>
      <c r="L2324" s="30" t="s">
        <v>192</v>
      </c>
      <c r="M2324" s="68">
        <v>7</v>
      </c>
      <c r="N2324" s="181" t="str">
        <f t="shared" si="37"/>
        <v>нет</v>
      </c>
      <c r="O2324" s="23"/>
      <c r="P2324" s="23"/>
      <c r="Q2324" s="106"/>
      <c r="R2324" s="37">
        <v>519</v>
      </c>
      <c r="S2324" s="39" t="s">
        <v>929</v>
      </c>
      <c r="T2324" s="37">
        <v>1610</v>
      </c>
      <c r="U2324" s="39" t="s">
        <v>1942</v>
      </c>
      <c r="V2324" s="69" t="s">
        <v>272</v>
      </c>
      <c r="W2324" s="89" t="s">
        <v>163</v>
      </c>
      <c r="X2324" s="106" t="s">
        <v>297</v>
      </c>
      <c r="Y2324" s="107" t="s">
        <v>12</v>
      </c>
      <c r="Z2324" s="67">
        <f>IF(База_КР_КК[[#This Row],[Таб.номер резервиста]]="-","-",IF(OR(База_КР_КК[[#This Row],[Уровень КК]]=2,База_КР_КК[[#This Row],[Уровень КК]]=3),IF(COUNTIFS($U$2:$U2324,$U2324,$F$2:$F2324,$F2324)=1,1,0),IF(COUNTIFS($U$2:$U2324,$U2324,$L$2:$L2324,$L2324)=1,1,0)))</f>
        <v>1</v>
      </c>
      <c r="AA23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24" s="106"/>
      <c r="AC2324" s="51"/>
      <c r="AD2324" s="106" t="s">
        <v>15</v>
      </c>
      <c r="AE2324" s="38" t="s">
        <v>362</v>
      </c>
    </row>
    <row r="2325" spans="1:31" ht="18" customHeight="1" x14ac:dyDescent="0.25">
      <c r="A23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5" s="79">
        <v>4</v>
      </c>
      <c r="C2325" s="23">
        <v>44587</v>
      </c>
      <c r="D2325" s="67">
        <f>IF(COUNTIF($G$2:$G2325,$G2325)=1,1,0)</f>
        <v>0</v>
      </c>
      <c r="E2325" s="67" t="str">
        <f>IFERROR(VLOOKUP(База_КР_КК[[#This Row],[ИД штатной должности (S)]],'уровень защищенности'!$B$7:$F$1095,5,0),"не защищена")</f>
        <v>средний</v>
      </c>
      <c r="F2325" s="68">
        <v>500091</v>
      </c>
      <c r="G2325" s="74" t="s">
        <v>2690</v>
      </c>
      <c r="H2325" s="181">
        <f>INDEX('Списки данных'!$D$2:$D$1048576,MATCH(База_КР_КК[[#This Row],[Структурное подразделение]],'Списки данных'!$C$2:$C$1048576,0))</f>
        <v>34</v>
      </c>
      <c r="I2325" s="80" t="s">
        <v>163</v>
      </c>
      <c r="J2325" s="80" t="s">
        <v>226</v>
      </c>
      <c r="K2325" s="80" t="s">
        <v>21</v>
      </c>
      <c r="L2325" s="30" t="s">
        <v>192</v>
      </c>
      <c r="M2325" s="68">
        <v>7</v>
      </c>
      <c r="N2325" s="181" t="str">
        <f t="shared" si="37"/>
        <v>нет</v>
      </c>
      <c r="O2325" s="23"/>
      <c r="P2325" s="23"/>
      <c r="Q2325" s="106"/>
      <c r="R2325" s="37">
        <v>519</v>
      </c>
      <c r="S2325" s="39" t="s">
        <v>929</v>
      </c>
      <c r="T2325" s="37">
        <v>1611</v>
      </c>
      <c r="U2325" s="39" t="s">
        <v>1804</v>
      </c>
      <c r="V2325" s="69" t="s">
        <v>272</v>
      </c>
      <c r="W2325" s="89" t="s">
        <v>141</v>
      </c>
      <c r="X2325" s="106" t="s">
        <v>296</v>
      </c>
      <c r="Y2325" s="107" t="s">
        <v>18</v>
      </c>
      <c r="Z2325" s="67">
        <f>IF(База_КР_КК[[#This Row],[Таб.номер резервиста]]="-","-",IF(OR(База_КР_КК[[#This Row],[Уровень КК]]=2,База_КР_КК[[#This Row],[Уровень КК]]=3),IF(COUNTIFS($U$2:$U2325,$U2325,$F$2:$F2325,$F2325)=1,1,0),IF(COUNTIFS($U$2:$U2325,$U2325,$L$2:$L2325,$L2325)=1,1,0)))</f>
        <v>0</v>
      </c>
      <c r="AA23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25" s="106" t="s">
        <v>19</v>
      </c>
      <c r="AC2325" s="51">
        <v>44867</v>
      </c>
      <c r="AD2325" s="106" t="s">
        <v>15</v>
      </c>
      <c r="AE2325" s="38" t="s">
        <v>368</v>
      </c>
    </row>
    <row r="2326" spans="1:31" ht="18" customHeight="1" x14ac:dyDescent="0.25">
      <c r="A23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6" s="79">
        <v>4</v>
      </c>
      <c r="C2326" s="23">
        <v>44587</v>
      </c>
      <c r="D2326" s="67">
        <f>IF(COUNTIF($G$2:$G2326,$G2326)=1,1,0)</f>
        <v>1</v>
      </c>
      <c r="E2326" s="67" t="str">
        <f>IFERROR(VLOOKUP(База_КР_КК[[#This Row],[ИД штатной должности (S)]],'уровень защищенности'!$B$7:$F$1095,5,0),"не защищена")</f>
        <v>средний</v>
      </c>
      <c r="F2326" s="68">
        <v>500092</v>
      </c>
      <c r="G2326" s="74" t="s">
        <v>2691</v>
      </c>
      <c r="H2326" s="181">
        <f>INDEX('Списки данных'!$D$2:$D$1048576,MATCH(База_КР_КК[[#This Row],[Структурное подразделение]],'Списки данных'!$C$2:$C$1048576,0))</f>
        <v>34</v>
      </c>
      <c r="I2326" s="80" t="s">
        <v>163</v>
      </c>
      <c r="J2326" s="80" t="s">
        <v>226</v>
      </c>
      <c r="K2326" s="80" t="s">
        <v>21</v>
      </c>
      <c r="L2326" s="30" t="s">
        <v>192</v>
      </c>
      <c r="M2326" s="68">
        <v>7</v>
      </c>
      <c r="N2326" s="181" t="str">
        <f t="shared" si="37"/>
        <v>нет</v>
      </c>
      <c r="O2326" s="23"/>
      <c r="P2326" s="23"/>
      <c r="Q2326" s="106"/>
      <c r="R2326" s="37">
        <v>520</v>
      </c>
      <c r="S2326" s="39" t="s">
        <v>930</v>
      </c>
      <c r="T2326" s="37">
        <v>1610</v>
      </c>
      <c r="U2326" s="39" t="s">
        <v>1942</v>
      </c>
      <c r="V2326" s="69" t="s">
        <v>272</v>
      </c>
      <c r="W2326" s="89" t="s">
        <v>163</v>
      </c>
      <c r="X2326" s="106" t="s">
        <v>297</v>
      </c>
      <c r="Y2326" s="107" t="s">
        <v>12</v>
      </c>
      <c r="Z2326" s="67">
        <f>IF(База_КР_КК[[#This Row],[Таб.номер резервиста]]="-","-",IF(OR(База_КР_КК[[#This Row],[Уровень КК]]=2,База_КР_КК[[#This Row],[Уровень КК]]=3),IF(COUNTIFS($U$2:$U2326,$U2326,$F$2:$F2326,$F2326)=1,1,0),IF(COUNTIFS($U$2:$U2326,$U2326,$L$2:$L2326,$L2326)=1,1,0)))</f>
        <v>0</v>
      </c>
      <c r="AA23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26" s="106"/>
      <c r="AC2326" s="51"/>
      <c r="AD2326" s="106" t="s">
        <v>15</v>
      </c>
      <c r="AE2326" s="38" t="s">
        <v>368</v>
      </c>
    </row>
    <row r="2327" spans="1:31" ht="18" customHeight="1" x14ac:dyDescent="0.25">
      <c r="A23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7" s="79">
        <v>4</v>
      </c>
      <c r="C2327" s="23">
        <v>44587</v>
      </c>
      <c r="D2327" s="67">
        <f>IF(COUNTIF($G$2:$G2327,$G2327)=1,1,0)</f>
        <v>1</v>
      </c>
      <c r="E2327" s="67" t="str">
        <f>IFERROR(VLOOKUP(База_КР_КК[[#This Row],[ИД штатной должности (S)]],'уровень защищенности'!$B$7:$F$1095,5,0),"не защищена")</f>
        <v>средний</v>
      </c>
      <c r="F2327" s="68">
        <v>500093</v>
      </c>
      <c r="G2327" s="74" t="s">
        <v>2692</v>
      </c>
      <c r="H2327" s="181">
        <f>INDEX('Списки данных'!$D$2:$D$1048576,MATCH(База_КР_КК[[#This Row],[Структурное подразделение]],'Списки данных'!$C$2:$C$1048576,0))</f>
        <v>34</v>
      </c>
      <c r="I2327" s="80" t="s">
        <v>163</v>
      </c>
      <c r="J2327" s="80" t="s">
        <v>226</v>
      </c>
      <c r="K2327" s="80" t="s">
        <v>21</v>
      </c>
      <c r="L2327" s="30" t="s">
        <v>192</v>
      </c>
      <c r="M2327" s="68">
        <v>7</v>
      </c>
      <c r="N2327" s="181" t="str">
        <f t="shared" si="37"/>
        <v>нет</v>
      </c>
      <c r="O2327" s="23"/>
      <c r="P2327" s="23"/>
      <c r="Q2327" s="106"/>
      <c r="R2327" s="37">
        <v>521</v>
      </c>
      <c r="S2327" s="39" t="s">
        <v>931</v>
      </c>
      <c r="T2327" s="37">
        <v>1613</v>
      </c>
      <c r="U2327" s="39" t="s">
        <v>1943</v>
      </c>
      <c r="V2327" s="69" t="s">
        <v>272</v>
      </c>
      <c r="W2327" s="89" t="s">
        <v>163</v>
      </c>
      <c r="X2327" s="106" t="s">
        <v>297</v>
      </c>
      <c r="Y2327" s="107" t="s">
        <v>12</v>
      </c>
      <c r="Z2327" s="67">
        <f>IF(База_КР_КК[[#This Row],[Таб.номер резервиста]]="-","-",IF(OR(База_КР_КК[[#This Row],[Уровень КК]]=2,База_КР_КК[[#This Row],[Уровень КК]]=3),IF(COUNTIFS($U$2:$U2327,$U2327,$F$2:$F2327,$F2327)=1,1,0),IF(COUNTIFS($U$2:$U2327,$U2327,$L$2:$L2327,$L2327)=1,1,0)))</f>
        <v>1</v>
      </c>
      <c r="AA23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27" s="106"/>
      <c r="AC2327" s="51"/>
      <c r="AD2327" s="106" t="s">
        <v>15</v>
      </c>
      <c r="AE2327" s="38" t="s">
        <v>368</v>
      </c>
    </row>
    <row r="2328" spans="1:31" ht="18" customHeight="1" x14ac:dyDescent="0.25">
      <c r="A23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8" s="79">
        <v>4</v>
      </c>
      <c r="C2328" s="23">
        <v>44587</v>
      </c>
      <c r="D2328" s="67">
        <f>IF(COUNTIF($G$2:$G2328,$G2328)=1,1,0)</f>
        <v>1</v>
      </c>
      <c r="E2328" s="67" t="str">
        <f>IFERROR(VLOOKUP(База_КР_КК[[#This Row],[ИД штатной должности (S)]],'уровень защищенности'!$B$7:$F$1095,5,0),"не защищена")</f>
        <v>высокий</v>
      </c>
      <c r="F2328" s="68">
        <v>500094</v>
      </c>
      <c r="G2328" s="74" t="s">
        <v>2693</v>
      </c>
      <c r="H2328" s="181">
        <f>INDEX('Списки данных'!$D$2:$D$1048576,MATCH(База_КР_КК[[#This Row],[Структурное подразделение]],'Списки данных'!$C$2:$C$1048576,0))</f>
        <v>34</v>
      </c>
      <c r="I2328" s="80" t="s">
        <v>163</v>
      </c>
      <c r="J2328" s="80" t="s">
        <v>226</v>
      </c>
      <c r="K2328" s="80" t="s">
        <v>21</v>
      </c>
      <c r="L2328" s="30" t="s">
        <v>198</v>
      </c>
      <c r="M2328" s="68">
        <v>6</v>
      </c>
      <c r="N2328" s="181" t="str">
        <f t="shared" si="37"/>
        <v>да</v>
      </c>
      <c r="O2328" s="23">
        <v>44726</v>
      </c>
      <c r="P2328" s="23">
        <v>44805</v>
      </c>
      <c r="Q2328" s="106" t="s">
        <v>66</v>
      </c>
      <c r="R2328" s="37">
        <v>522</v>
      </c>
      <c r="S2328" s="39" t="s">
        <v>932</v>
      </c>
      <c r="T2328" s="37">
        <v>525</v>
      </c>
      <c r="U2328" s="39" t="s">
        <v>935</v>
      </c>
      <c r="V2328" s="69" t="s">
        <v>192</v>
      </c>
      <c r="W2328" s="89" t="s">
        <v>163</v>
      </c>
      <c r="X2328" s="106" t="s">
        <v>295</v>
      </c>
      <c r="Y2328" s="107" t="s">
        <v>12</v>
      </c>
      <c r="Z2328" s="67">
        <f>IF(База_КР_КК[[#This Row],[Таб.номер резервиста]]="-","-",IF(OR(База_КР_КК[[#This Row],[Уровень КК]]=2,База_КР_КК[[#This Row],[Уровень КК]]=3),IF(COUNTIFS($U$2:$U2328,$U2328,$F$2:$F2328,$F2328)=1,1,0),IF(COUNTIFS($U$2:$U2328,$U2328,$L$2:$L2328,$L2328)=1,1,0)))</f>
        <v>1</v>
      </c>
      <c r="AA23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28" s="106"/>
      <c r="AC2328" s="51"/>
      <c r="AD2328" s="106" t="s">
        <v>15</v>
      </c>
      <c r="AE2328" s="38" t="s">
        <v>368</v>
      </c>
    </row>
    <row r="2329" spans="1:31" ht="18" customHeight="1" x14ac:dyDescent="0.25">
      <c r="A23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29" s="79">
        <v>4</v>
      </c>
      <c r="C2329" s="23">
        <v>44743</v>
      </c>
      <c r="D2329" s="67">
        <f>IF(COUNTIF($G$2:$G2329,$G2329)=1,1,0)</f>
        <v>0</v>
      </c>
      <c r="E2329" s="67" t="str">
        <f>IFERROR(VLOOKUP(База_КР_КК[[#This Row],[ИД штатной должности (S)]],'уровень защищенности'!$B$7:$F$1095,5,0),"не защищена")</f>
        <v>высокий</v>
      </c>
      <c r="F2329" s="68">
        <v>500094</v>
      </c>
      <c r="G2329" s="74" t="s">
        <v>2693</v>
      </c>
      <c r="H2329" s="181">
        <f>INDEX('Списки данных'!$D$2:$D$1048576,MATCH(База_КР_КК[[#This Row],[Структурное подразделение]],'Списки данных'!$C$2:$C$1048576,0))</f>
        <v>34</v>
      </c>
      <c r="I2329" s="80" t="s">
        <v>163</v>
      </c>
      <c r="J2329" s="80" t="s">
        <v>226</v>
      </c>
      <c r="K2329" s="80" t="s">
        <v>21</v>
      </c>
      <c r="L2329" s="30" t="s">
        <v>198</v>
      </c>
      <c r="M2329" s="68">
        <v>6</v>
      </c>
      <c r="N2329" s="181" t="str">
        <f t="shared" si="37"/>
        <v>да</v>
      </c>
      <c r="O2329" s="23">
        <v>44726</v>
      </c>
      <c r="P2329" s="23">
        <v>44805</v>
      </c>
      <c r="Q2329" s="106" t="s">
        <v>66</v>
      </c>
      <c r="R2329" s="37">
        <v>522</v>
      </c>
      <c r="S2329" s="39" t="s">
        <v>932</v>
      </c>
      <c r="T2329" s="37">
        <v>522</v>
      </c>
      <c r="U2329" s="38" t="s">
        <v>932</v>
      </c>
      <c r="V2329" s="69" t="s">
        <v>192</v>
      </c>
      <c r="W2329" s="89" t="s">
        <v>163</v>
      </c>
      <c r="X2329" s="106" t="s">
        <v>295</v>
      </c>
      <c r="Y2329" s="107" t="s">
        <v>14</v>
      </c>
      <c r="Z2329" s="67">
        <f>IF(База_КР_КК[[#This Row],[Таб.номер резервиста]]="-","-",IF(OR(База_КР_КК[[#This Row],[Уровень КК]]=2,База_КР_КК[[#This Row],[Уровень КК]]=3),IF(COUNTIFS($U$2:$U2329,$U2329,$F$2:$F2329,$F2329)=1,1,0),IF(COUNTIFS($U$2:$U2329,$U2329,$L$2:$L2329,$L2329)=1,1,0)))</f>
        <v>1</v>
      </c>
      <c r="AA23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329" s="106" t="s">
        <v>24</v>
      </c>
      <c r="AC2329" s="51">
        <v>44805</v>
      </c>
      <c r="AD2329" s="106" t="s">
        <v>15</v>
      </c>
      <c r="AE2329" s="38" t="s">
        <v>369</v>
      </c>
    </row>
    <row r="2330" spans="1:31" ht="18" customHeight="1" x14ac:dyDescent="0.25">
      <c r="A23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0" s="79">
        <v>4</v>
      </c>
      <c r="C2330" s="23">
        <v>44587</v>
      </c>
      <c r="D2330" s="67">
        <f>IF(COUNTIF($G$2:$G2330,$G2330)=1,1,0)</f>
        <v>1</v>
      </c>
      <c r="E2330" s="67" t="str">
        <f>IFERROR(VLOOKUP(База_КР_КК[[#This Row],[ИД штатной должности (S)]],'уровень защищенности'!$B$7:$F$1095,5,0),"не защищена")</f>
        <v>средний</v>
      </c>
      <c r="F2330" s="68">
        <v>500095</v>
      </c>
      <c r="G2330" s="74" t="s">
        <v>2694</v>
      </c>
      <c r="H2330" s="181">
        <f>INDEX('Списки данных'!$D$2:$D$1048576,MATCH(База_КР_КК[[#This Row],[Структурное подразделение]],'Списки данных'!$C$2:$C$1048576,0))</f>
        <v>34</v>
      </c>
      <c r="I2330" s="80" t="s">
        <v>163</v>
      </c>
      <c r="J2330" s="80" t="s">
        <v>226</v>
      </c>
      <c r="K2330" s="80" t="s">
        <v>21</v>
      </c>
      <c r="L2330" s="30" t="s">
        <v>191</v>
      </c>
      <c r="M2330" s="68">
        <v>7</v>
      </c>
      <c r="N2330" s="181" t="str">
        <f t="shared" si="37"/>
        <v>нет</v>
      </c>
      <c r="O2330" s="23"/>
      <c r="P2330" s="23"/>
      <c r="Q2330" s="106"/>
      <c r="R2330" s="37">
        <v>523</v>
      </c>
      <c r="S2330" s="39" t="s">
        <v>933</v>
      </c>
      <c r="T2330" s="37">
        <v>1614</v>
      </c>
      <c r="U2330" s="39" t="s">
        <v>1944</v>
      </c>
      <c r="V2330" s="69" t="s">
        <v>272</v>
      </c>
      <c r="W2330" s="89" t="s">
        <v>163</v>
      </c>
      <c r="X2330" s="106" t="s">
        <v>297</v>
      </c>
      <c r="Y2330" s="107" t="s">
        <v>12</v>
      </c>
      <c r="Z2330" s="67">
        <f>IF(База_КР_КК[[#This Row],[Таб.номер резервиста]]="-","-",IF(OR(База_КР_КК[[#This Row],[Уровень КК]]=2,База_КР_КК[[#This Row],[Уровень КК]]=3),IF(COUNTIFS($U$2:$U2330,$U2330,$F$2:$F2330,$F2330)=1,1,0),IF(COUNTIFS($U$2:$U2330,$U2330,$L$2:$L2330,$L2330)=1,1,0)))</f>
        <v>1</v>
      </c>
      <c r="AA23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0" s="106"/>
      <c r="AC2330" s="51"/>
      <c r="AD2330" s="106" t="s">
        <v>15</v>
      </c>
      <c r="AE2330" s="38" t="s">
        <v>368</v>
      </c>
    </row>
    <row r="2331" spans="1:31" ht="18" customHeight="1" x14ac:dyDescent="0.25">
      <c r="A23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1" s="79">
        <v>4</v>
      </c>
      <c r="C2331" s="23">
        <v>44587</v>
      </c>
      <c r="D2331" s="67">
        <f>IF(COUNTIF($G$2:$G2331,$G2331)=1,1,0)</f>
        <v>1</v>
      </c>
      <c r="E2331" s="67" t="str">
        <f>IFERROR(VLOOKUP(База_КР_КК[[#This Row],[ИД штатной должности (S)]],'уровень защищенности'!$B$7:$F$1095,5,0),"не защищена")</f>
        <v>средний</v>
      </c>
      <c r="F2331" s="68">
        <v>500095</v>
      </c>
      <c r="G2331" s="74" t="s">
        <v>2695</v>
      </c>
      <c r="H2331" s="181">
        <f>INDEX('Списки данных'!$D$2:$D$1048576,MATCH(База_КР_КК[[#This Row],[Структурное подразделение]],'Списки данных'!$C$2:$C$1048576,0))</f>
        <v>34</v>
      </c>
      <c r="I2331" s="80" t="s">
        <v>163</v>
      </c>
      <c r="J2331" s="80" t="s">
        <v>226</v>
      </c>
      <c r="K2331" s="80" t="s">
        <v>21</v>
      </c>
      <c r="L2331" s="30" t="s">
        <v>191</v>
      </c>
      <c r="M2331" s="68">
        <v>7</v>
      </c>
      <c r="N2331" s="181" t="str">
        <f t="shared" si="37"/>
        <v>нет</v>
      </c>
      <c r="O2331" s="23"/>
      <c r="P2331" s="23"/>
      <c r="Q2331" s="106"/>
      <c r="R2331" s="37">
        <v>524</v>
      </c>
      <c r="S2331" s="39" t="s">
        <v>934</v>
      </c>
      <c r="T2331" s="37">
        <v>1614</v>
      </c>
      <c r="U2331" s="39" t="s">
        <v>1944</v>
      </c>
      <c r="V2331" s="69" t="s">
        <v>272</v>
      </c>
      <c r="W2331" s="89" t="s">
        <v>163</v>
      </c>
      <c r="X2331" s="106" t="s">
        <v>297</v>
      </c>
      <c r="Y2331" s="107" t="s">
        <v>12</v>
      </c>
      <c r="Z2331" s="67">
        <f>IF(База_КР_КК[[#This Row],[Таб.номер резервиста]]="-","-",IF(OR(База_КР_КК[[#This Row],[Уровень КК]]=2,База_КР_КК[[#This Row],[Уровень КК]]=3),IF(COUNTIFS($U$2:$U2331,$U2331,$F$2:$F2331,$F2331)=1,1,0),IF(COUNTIFS($U$2:$U2331,$U2331,$L$2:$L2331,$L2331)=1,1,0)))</f>
        <v>0</v>
      </c>
      <c r="AA23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1" s="106"/>
      <c r="AC2331" s="51"/>
      <c r="AD2331" s="106" t="s">
        <v>15</v>
      </c>
      <c r="AE2331" s="38" t="s">
        <v>368</v>
      </c>
    </row>
    <row r="2332" spans="1:31" ht="18" customHeight="1" x14ac:dyDescent="0.25">
      <c r="A23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2" s="79">
        <v>4</v>
      </c>
      <c r="C2332" s="23">
        <v>44587</v>
      </c>
      <c r="D2332" s="67">
        <f>IF(COUNTIF($G$2:$G2332,$G2332)=1,1,0)</f>
        <v>1</v>
      </c>
      <c r="E2332" s="67" t="str">
        <f>IFERROR(VLOOKUP(База_КР_КК[[#This Row],[ИД штатной должности (S)]],'уровень защищенности'!$B$7:$F$1095,5,0),"не защищена")</f>
        <v>высокий</v>
      </c>
      <c r="F2332" s="68">
        <v>500096</v>
      </c>
      <c r="G2332" s="74" t="s">
        <v>2696</v>
      </c>
      <c r="H2332" s="181">
        <f>INDEX('Списки данных'!$D$2:$D$1048576,MATCH(База_КР_КК[[#This Row],[Структурное подразделение]],'Списки данных'!$C$2:$C$1048576,0))</f>
        <v>34</v>
      </c>
      <c r="I2332" s="80" t="s">
        <v>163</v>
      </c>
      <c r="J2332" s="80" t="s">
        <v>226</v>
      </c>
      <c r="K2332" s="80" t="s">
        <v>21</v>
      </c>
      <c r="L2332" s="30" t="s">
        <v>191</v>
      </c>
      <c r="M2332" s="68">
        <v>7</v>
      </c>
      <c r="N2332" s="181" t="str">
        <f t="shared" si="37"/>
        <v>нет</v>
      </c>
      <c r="O2332" s="23"/>
      <c r="P2332" s="23"/>
      <c r="Q2332" s="106"/>
      <c r="R2332" s="37">
        <v>525</v>
      </c>
      <c r="S2332" s="39" t="s">
        <v>935</v>
      </c>
      <c r="T2332" s="37">
        <v>1615</v>
      </c>
      <c r="U2332" s="39" t="s">
        <v>1866</v>
      </c>
      <c r="V2332" s="69" t="s">
        <v>272</v>
      </c>
      <c r="W2332" s="89" t="s">
        <v>163</v>
      </c>
      <c r="X2332" s="106" t="s">
        <v>295</v>
      </c>
      <c r="Y2332" s="107" t="s">
        <v>12</v>
      </c>
      <c r="Z2332" s="67">
        <f>IF(База_КР_КК[[#This Row],[Таб.номер резервиста]]="-","-",IF(OR(База_КР_КК[[#This Row],[Уровень КК]]=2,База_КР_КК[[#This Row],[Уровень КК]]=3),IF(COUNTIFS($U$2:$U2332,$U2332,$F$2:$F2332,$F2332)=1,1,0),IF(COUNTIFS($U$2:$U2332,$U2332,$L$2:$L2332,$L2332)=1,1,0)))</f>
        <v>0</v>
      </c>
      <c r="AA23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2" s="106"/>
      <c r="AC2332" s="51"/>
      <c r="AD2332" s="106" t="s">
        <v>15</v>
      </c>
      <c r="AE2332" s="38" t="s">
        <v>368</v>
      </c>
    </row>
    <row r="2333" spans="1:31" ht="18" customHeight="1" x14ac:dyDescent="0.25">
      <c r="A23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3" s="79">
        <v>4</v>
      </c>
      <c r="C2333" s="23">
        <v>44587</v>
      </c>
      <c r="D2333" s="67">
        <f>IF(COUNTIF($G$2:$G2333,$G2333)=1,1,0)</f>
        <v>0</v>
      </c>
      <c r="E2333" s="67" t="str">
        <f>IFERROR(VLOOKUP(База_КР_КК[[#This Row],[ИД штатной должности (S)]],'уровень защищенности'!$B$7:$F$1095,5,0),"не защищена")</f>
        <v>высокий</v>
      </c>
      <c r="F2333" s="68">
        <v>500096</v>
      </c>
      <c r="G2333" s="74" t="s">
        <v>2696</v>
      </c>
      <c r="H2333" s="181">
        <f>INDEX('Списки данных'!$D$2:$D$1048576,MATCH(База_КР_КК[[#This Row],[Структурное подразделение]],'Списки данных'!$C$2:$C$1048576,0))</f>
        <v>34</v>
      </c>
      <c r="I2333" s="80" t="s">
        <v>163</v>
      </c>
      <c r="J2333" s="80" t="s">
        <v>226</v>
      </c>
      <c r="K2333" s="80" t="s">
        <v>21</v>
      </c>
      <c r="L2333" s="30" t="s">
        <v>191</v>
      </c>
      <c r="M2333" s="68">
        <v>7</v>
      </c>
      <c r="N2333" s="181" t="str">
        <f t="shared" si="37"/>
        <v>нет</v>
      </c>
      <c r="O2333" s="23"/>
      <c r="P2333" s="23"/>
      <c r="Q2333" s="106"/>
      <c r="R2333" s="37">
        <v>525</v>
      </c>
      <c r="S2333" s="39" t="s">
        <v>935</v>
      </c>
      <c r="T2333" s="37">
        <v>1616</v>
      </c>
      <c r="U2333" s="39" t="s">
        <v>1945</v>
      </c>
      <c r="V2333" s="69" t="s">
        <v>272</v>
      </c>
      <c r="W2333" s="89" t="s">
        <v>163</v>
      </c>
      <c r="X2333" s="106" t="s">
        <v>296</v>
      </c>
      <c r="Y2333" s="107" t="s">
        <v>12</v>
      </c>
      <c r="Z2333" s="67">
        <f>IF(База_КР_КК[[#This Row],[Таб.номер резервиста]]="-","-",IF(OR(База_КР_КК[[#This Row],[Уровень КК]]=2,База_КР_КК[[#This Row],[Уровень КК]]=3),IF(COUNTIFS($U$2:$U2333,$U2333,$F$2:$F2333,$F2333)=1,1,0),IF(COUNTIFS($U$2:$U2333,$U2333,$L$2:$L2333,$L2333)=1,1,0)))</f>
        <v>1</v>
      </c>
      <c r="AA23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3" s="106"/>
      <c r="AC2333" s="51"/>
      <c r="AD2333" s="106" t="s">
        <v>15</v>
      </c>
      <c r="AE2333" s="38" t="s">
        <v>368</v>
      </c>
    </row>
    <row r="2334" spans="1:31" ht="18" customHeight="1" x14ac:dyDescent="0.25">
      <c r="A23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4" s="79">
        <v>4</v>
      </c>
      <c r="C2334" s="23">
        <v>44587</v>
      </c>
      <c r="D2334" s="67">
        <f>IF(COUNTIF($G$2:$G2334,$G2334)=1,1,0)</f>
        <v>1</v>
      </c>
      <c r="E2334" s="67" t="str">
        <f>IFERROR(VLOOKUP(База_КР_КК[[#This Row],[ИД штатной должности (S)]],'уровень защищенности'!$B$7:$F$1095,5,0),"не защищена")</f>
        <v>высокий</v>
      </c>
      <c r="F2334" s="68">
        <v>500096</v>
      </c>
      <c r="G2334" s="74" t="s">
        <v>2697</v>
      </c>
      <c r="H2334" s="181">
        <f>INDEX('Списки данных'!$D$2:$D$1048576,MATCH(База_КР_КК[[#This Row],[Структурное подразделение]],'Списки данных'!$C$2:$C$1048576,0))</f>
        <v>34</v>
      </c>
      <c r="I2334" s="80" t="s">
        <v>163</v>
      </c>
      <c r="J2334" s="80" t="s">
        <v>226</v>
      </c>
      <c r="K2334" s="80" t="s">
        <v>21</v>
      </c>
      <c r="L2334" s="30" t="s">
        <v>191</v>
      </c>
      <c r="M2334" s="68">
        <v>7</v>
      </c>
      <c r="N2334" s="181" t="str">
        <f t="shared" si="37"/>
        <v>нет</v>
      </c>
      <c r="O2334" s="23"/>
      <c r="P2334" s="23"/>
      <c r="Q2334" s="106"/>
      <c r="R2334" s="37">
        <v>526</v>
      </c>
      <c r="S2334" s="39" t="s">
        <v>936</v>
      </c>
      <c r="T2334" s="37">
        <v>1615</v>
      </c>
      <c r="U2334" s="39" t="s">
        <v>1866</v>
      </c>
      <c r="V2334" s="69" t="s">
        <v>272</v>
      </c>
      <c r="W2334" s="89" t="s">
        <v>163</v>
      </c>
      <c r="X2334" s="106" t="s">
        <v>295</v>
      </c>
      <c r="Y2334" s="107" t="s">
        <v>12</v>
      </c>
      <c r="Z2334" s="67">
        <f>IF(База_КР_КК[[#This Row],[Таб.номер резервиста]]="-","-",IF(OR(База_КР_КК[[#This Row],[Уровень КК]]=2,База_КР_КК[[#This Row],[Уровень КК]]=3),IF(COUNTIFS($U$2:$U2334,$U2334,$F$2:$F2334,$F2334)=1,1,0),IF(COUNTIFS($U$2:$U2334,$U2334,$L$2:$L2334,$L2334)=1,1,0)))</f>
        <v>0</v>
      </c>
      <c r="AA23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4" s="106"/>
      <c r="AC2334" s="51"/>
      <c r="AD2334" s="106" t="s">
        <v>15</v>
      </c>
      <c r="AE2334" s="38" t="s">
        <v>368</v>
      </c>
    </row>
    <row r="2335" spans="1:31" ht="18" customHeight="1" x14ac:dyDescent="0.25">
      <c r="A23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5" s="79">
        <v>4</v>
      </c>
      <c r="C2335" s="23">
        <v>44587</v>
      </c>
      <c r="D2335" s="67">
        <f>IF(COUNTIF($G$2:$G2335,$G2335)=1,1,0)</f>
        <v>0</v>
      </c>
      <c r="E2335" s="67" t="str">
        <f>IFERROR(VLOOKUP(База_КР_КК[[#This Row],[ИД штатной должности (S)]],'уровень защищенности'!$B$7:$F$1095,5,0),"не защищена")</f>
        <v>высокий</v>
      </c>
      <c r="F2335" s="68">
        <v>500096</v>
      </c>
      <c r="G2335" s="74" t="s">
        <v>2697</v>
      </c>
      <c r="H2335" s="181">
        <f>INDEX('Списки данных'!$D$2:$D$1048576,MATCH(База_КР_КК[[#This Row],[Структурное подразделение]],'Списки данных'!$C$2:$C$1048576,0))</f>
        <v>34</v>
      </c>
      <c r="I2335" s="80" t="s">
        <v>163</v>
      </c>
      <c r="J2335" s="80" t="s">
        <v>226</v>
      </c>
      <c r="K2335" s="80" t="s">
        <v>21</v>
      </c>
      <c r="L2335" s="30" t="s">
        <v>191</v>
      </c>
      <c r="M2335" s="68">
        <v>7</v>
      </c>
      <c r="N2335" s="181" t="str">
        <f t="shared" si="37"/>
        <v>нет</v>
      </c>
      <c r="O2335" s="23"/>
      <c r="P2335" s="23"/>
      <c r="Q2335" s="106"/>
      <c r="R2335" s="37">
        <v>526</v>
      </c>
      <c r="S2335" s="39" t="s">
        <v>936</v>
      </c>
      <c r="T2335" s="37">
        <v>1616</v>
      </c>
      <c r="U2335" s="39" t="s">
        <v>1945</v>
      </c>
      <c r="V2335" s="69" t="s">
        <v>272</v>
      </c>
      <c r="W2335" s="89" t="s">
        <v>163</v>
      </c>
      <c r="X2335" s="106" t="s">
        <v>296</v>
      </c>
      <c r="Y2335" s="107" t="s">
        <v>12</v>
      </c>
      <c r="Z2335" s="67">
        <f>IF(База_КР_КК[[#This Row],[Таб.номер резервиста]]="-","-",IF(OR(База_КР_КК[[#This Row],[Уровень КК]]=2,База_КР_КК[[#This Row],[Уровень КК]]=3),IF(COUNTIFS($U$2:$U2335,$U2335,$F$2:$F2335,$F2335)=1,1,0),IF(COUNTIFS($U$2:$U2335,$U2335,$L$2:$L2335,$L2335)=1,1,0)))</f>
        <v>0</v>
      </c>
      <c r="AA23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5" s="106"/>
      <c r="AC2335" s="51"/>
      <c r="AD2335" s="106" t="s">
        <v>15</v>
      </c>
      <c r="AE2335" s="38" t="s">
        <v>368</v>
      </c>
    </row>
    <row r="2336" spans="1:31" ht="18" customHeight="1" x14ac:dyDescent="0.25">
      <c r="A23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6" s="79">
        <v>4</v>
      </c>
      <c r="C2336" s="23">
        <v>44587</v>
      </c>
      <c r="D2336" s="67">
        <f>IF(COUNTIF($G$2:$G2336,$G2336)=1,1,0)</f>
        <v>1</v>
      </c>
      <c r="E2336" s="67" t="str">
        <f>IFERROR(VLOOKUP(База_КР_КК[[#This Row],[ИД штатной должности (S)]],'уровень защищенности'!$B$7:$F$1095,5,0),"не защищена")</f>
        <v>высокий</v>
      </c>
      <c r="F2336" s="68">
        <v>500096</v>
      </c>
      <c r="G2336" s="74" t="s">
        <v>2698</v>
      </c>
      <c r="H2336" s="181">
        <f>INDEX('Списки данных'!$D$2:$D$1048576,MATCH(База_КР_КК[[#This Row],[Структурное подразделение]],'Списки данных'!$C$2:$C$1048576,0))</f>
        <v>34</v>
      </c>
      <c r="I2336" s="80" t="s">
        <v>163</v>
      </c>
      <c r="J2336" s="80" t="s">
        <v>226</v>
      </c>
      <c r="K2336" s="80" t="s">
        <v>21</v>
      </c>
      <c r="L2336" s="30" t="s">
        <v>191</v>
      </c>
      <c r="M2336" s="68">
        <v>7</v>
      </c>
      <c r="N2336" s="181" t="str">
        <f t="shared" si="37"/>
        <v>нет</v>
      </c>
      <c r="O2336" s="23"/>
      <c r="P2336" s="23"/>
      <c r="Q2336" s="106"/>
      <c r="R2336" s="37">
        <v>527</v>
      </c>
      <c r="S2336" s="39" t="s">
        <v>937</v>
      </c>
      <c r="T2336" s="37">
        <v>1615</v>
      </c>
      <c r="U2336" s="39" t="s">
        <v>1866</v>
      </c>
      <c r="V2336" s="69" t="s">
        <v>272</v>
      </c>
      <c r="W2336" s="89" t="s">
        <v>163</v>
      </c>
      <c r="X2336" s="106" t="s">
        <v>295</v>
      </c>
      <c r="Y2336" s="107" t="s">
        <v>12</v>
      </c>
      <c r="Z2336" s="67">
        <f>IF(База_КР_КК[[#This Row],[Таб.номер резервиста]]="-","-",IF(OR(База_КР_КК[[#This Row],[Уровень КК]]=2,База_КР_КК[[#This Row],[Уровень КК]]=3),IF(COUNTIFS($U$2:$U2336,$U2336,$F$2:$F2336,$F2336)=1,1,0),IF(COUNTIFS($U$2:$U2336,$U2336,$L$2:$L2336,$L2336)=1,1,0)))</f>
        <v>0</v>
      </c>
      <c r="AA23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6" s="106"/>
      <c r="AC2336" s="51"/>
      <c r="AD2336" s="106" t="s">
        <v>15</v>
      </c>
      <c r="AE2336" s="38" t="s">
        <v>368</v>
      </c>
    </row>
    <row r="2337" spans="1:31" ht="18" customHeight="1" x14ac:dyDescent="0.25">
      <c r="A23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7" s="79">
        <v>4</v>
      </c>
      <c r="C2337" s="23">
        <v>44587</v>
      </c>
      <c r="D2337" s="67">
        <f>IF(COUNTIF($G$2:$G2337,$G2337)=1,1,0)</f>
        <v>0</v>
      </c>
      <c r="E2337" s="67" t="str">
        <f>IFERROR(VLOOKUP(База_КР_КК[[#This Row],[ИД штатной должности (S)]],'уровень защищенности'!$B$7:$F$1095,5,0),"не защищена")</f>
        <v>высокий</v>
      </c>
      <c r="F2337" s="68">
        <v>500096</v>
      </c>
      <c r="G2337" s="74" t="s">
        <v>2698</v>
      </c>
      <c r="H2337" s="181">
        <f>INDEX('Списки данных'!$D$2:$D$1048576,MATCH(База_КР_КК[[#This Row],[Структурное подразделение]],'Списки данных'!$C$2:$C$1048576,0))</f>
        <v>34</v>
      </c>
      <c r="I2337" s="80" t="s">
        <v>163</v>
      </c>
      <c r="J2337" s="80" t="s">
        <v>226</v>
      </c>
      <c r="K2337" s="80" t="s">
        <v>21</v>
      </c>
      <c r="L2337" s="30" t="s">
        <v>191</v>
      </c>
      <c r="M2337" s="68">
        <v>7</v>
      </c>
      <c r="N2337" s="181" t="str">
        <f t="shared" si="37"/>
        <v>нет</v>
      </c>
      <c r="O2337" s="23"/>
      <c r="P2337" s="23"/>
      <c r="Q2337" s="106"/>
      <c r="R2337" s="37">
        <v>527</v>
      </c>
      <c r="S2337" s="39" t="s">
        <v>937</v>
      </c>
      <c r="T2337" s="37">
        <v>1616</v>
      </c>
      <c r="U2337" s="39" t="s">
        <v>1945</v>
      </c>
      <c r="V2337" s="69" t="s">
        <v>272</v>
      </c>
      <c r="W2337" s="89" t="s">
        <v>163</v>
      </c>
      <c r="X2337" s="106" t="s">
        <v>296</v>
      </c>
      <c r="Y2337" s="107" t="s">
        <v>12</v>
      </c>
      <c r="Z2337" s="67">
        <f>IF(База_КР_КК[[#This Row],[Таб.номер резервиста]]="-","-",IF(OR(База_КР_КК[[#This Row],[Уровень КК]]=2,База_КР_КК[[#This Row],[Уровень КК]]=3),IF(COUNTIFS($U$2:$U2337,$U2337,$F$2:$F2337,$F2337)=1,1,0),IF(COUNTIFS($U$2:$U2337,$U2337,$L$2:$L2337,$L2337)=1,1,0)))</f>
        <v>0</v>
      </c>
      <c r="AA23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7" s="106"/>
      <c r="AC2337" s="51"/>
      <c r="AD2337" s="106" t="s">
        <v>15</v>
      </c>
      <c r="AE2337" s="38" t="s">
        <v>368</v>
      </c>
    </row>
    <row r="2338" spans="1:31" ht="18" customHeight="1" x14ac:dyDescent="0.25">
      <c r="A23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8" s="79">
        <v>4</v>
      </c>
      <c r="C2338" s="23">
        <v>44587</v>
      </c>
      <c r="D2338" s="67">
        <f>IF(COUNTIF($G$2:$G2338,$G2338)=1,1,0)</f>
        <v>1</v>
      </c>
      <c r="E2338" s="67" t="str">
        <f>IFERROR(VLOOKUP(База_КР_КК[[#This Row],[ИД штатной должности (S)]],'уровень защищенности'!$B$7:$F$1095,5,0),"не защищена")</f>
        <v>высокий</v>
      </c>
      <c r="F2338" s="68">
        <v>500096</v>
      </c>
      <c r="G2338" s="74" t="s">
        <v>2699</v>
      </c>
      <c r="H2338" s="181">
        <f>INDEX('Списки данных'!$D$2:$D$1048576,MATCH(База_КР_КК[[#This Row],[Структурное подразделение]],'Списки данных'!$C$2:$C$1048576,0))</f>
        <v>34</v>
      </c>
      <c r="I2338" s="80" t="s">
        <v>163</v>
      </c>
      <c r="J2338" s="80" t="s">
        <v>226</v>
      </c>
      <c r="K2338" s="80" t="s">
        <v>21</v>
      </c>
      <c r="L2338" s="30" t="s">
        <v>191</v>
      </c>
      <c r="M2338" s="68">
        <v>7</v>
      </c>
      <c r="N2338" s="181" t="str">
        <f t="shared" si="37"/>
        <v>нет</v>
      </c>
      <c r="O2338" s="23"/>
      <c r="P2338" s="23"/>
      <c r="Q2338" s="106"/>
      <c r="R2338" s="37">
        <v>528</v>
      </c>
      <c r="S2338" s="39" t="s">
        <v>938</v>
      </c>
      <c r="T2338" s="37">
        <v>1615</v>
      </c>
      <c r="U2338" s="39" t="s">
        <v>1866</v>
      </c>
      <c r="V2338" s="69" t="s">
        <v>272</v>
      </c>
      <c r="W2338" s="89" t="s">
        <v>163</v>
      </c>
      <c r="X2338" s="106" t="s">
        <v>295</v>
      </c>
      <c r="Y2338" s="107" t="s">
        <v>12</v>
      </c>
      <c r="Z2338" s="67">
        <f>IF(База_КР_КК[[#This Row],[Таб.номер резервиста]]="-","-",IF(OR(База_КР_КК[[#This Row],[Уровень КК]]=2,База_КР_КК[[#This Row],[Уровень КК]]=3),IF(COUNTIFS($U$2:$U2338,$U2338,$F$2:$F2338,$F2338)=1,1,0),IF(COUNTIFS($U$2:$U2338,$U2338,$L$2:$L2338,$L2338)=1,1,0)))</f>
        <v>0</v>
      </c>
      <c r="AA23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8" s="106"/>
      <c r="AC2338" s="51"/>
      <c r="AD2338" s="106" t="s">
        <v>15</v>
      </c>
      <c r="AE2338" s="38" t="s">
        <v>368</v>
      </c>
    </row>
    <row r="2339" spans="1:31" ht="18" customHeight="1" x14ac:dyDescent="0.25">
      <c r="A23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39" s="79">
        <v>4</v>
      </c>
      <c r="C2339" s="23">
        <v>44587</v>
      </c>
      <c r="D2339" s="67">
        <f>IF(COUNTIF($G$2:$G2339,$G2339)=1,1,0)</f>
        <v>0</v>
      </c>
      <c r="E2339" s="67" t="str">
        <f>IFERROR(VLOOKUP(База_КР_КК[[#This Row],[ИД штатной должности (S)]],'уровень защищенности'!$B$7:$F$1095,5,0),"не защищена")</f>
        <v>высокий</v>
      </c>
      <c r="F2339" s="68">
        <v>500096</v>
      </c>
      <c r="G2339" s="74" t="s">
        <v>2699</v>
      </c>
      <c r="H2339" s="181">
        <f>INDEX('Списки данных'!$D$2:$D$1048576,MATCH(База_КР_КК[[#This Row],[Структурное подразделение]],'Списки данных'!$C$2:$C$1048576,0))</f>
        <v>34</v>
      </c>
      <c r="I2339" s="80" t="s">
        <v>163</v>
      </c>
      <c r="J2339" s="80" t="s">
        <v>226</v>
      </c>
      <c r="K2339" s="80" t="s">
        <v>21</v>
      </c>
      <c r="L2339" s="30" t="s">
        <v>191</v>
      </c>
      <c r="M2339" s="68">
        <v>7</v>
      </c>
      <c r="N2339" s="181" t="str">
        <f t="shared" si="37"/>
        <v>нет</v>
      </c>
      <c r="O2339" s="23"/>
      <c r="P2339" s="23"/>
      <c r="Q2339" s="106"/>
      <c r="R2339" s="37">
        <v>528</v>
      </c>
      <c r="S2339" s="39" t="s">
        <v>938</v>
      </c>
      <c r="T2339" s="37">
        <v>1616</v>
      </c>
      <c r="U2339" s="39" t="s">
        <v>1945</v>
      </c>
      <c r="V2339" s="69" t="s">
        <v>272</v>
      </c>
      <c r="W2339" s="89" t="s">
        <v>163</v>
      </c>
      <c r="X2339" s="106" t="s">
        <v>296</v>
      </c>
      <c r="Y2339" s="107" t="s">
        <v>12</v>
      </c>
      <c r="Z2339" s="67">
        <f>IF(База_КР_КК[[#This Row],[Таб.номер резервиста]]="-","-",IF(OR(База_КР_КК[[#This Row],[Уровень КК]]=2,База_КР_КК[[#This Row],[Уровень КК]]=3),IF(COUNTIFS($U$2:$U2339,$U2339,$F$2:$F2339,$F2339)=1,1,0),IF(COUNTIFS($U$2:$U2339,$U2339,$L$2:$L2339,$L2339)=1,1,0)))</f>
        <v>0</v>
      </c>
      <c r="AA23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39" s="106"/>
      <c r="AC2339" s="51"/>
      <c r="AD2339" s="106" t="s">
        <v>15</v>
      </c>
      <c r="AE2339" s="38" t="s">
        <v>368</v>
      </c>
    </row>
    <row r="2340" spans="1:31" ht="18" customHeight="1" x14ac:dyDescent="0.25">
      <c r="A23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0" s="79">
        <v>4</v>
      </c>
      <c r="C2340" s="23">
        <v>44587</v>
      </c>
      <c r="D2340" s="67">
        <f>IF(COUNTIF($G$2:$G2340,$G2340)=1,1,0)</f>
        <v>1</v>
      </c>
      <c r="E2340" s="67" t="str">
        <f>IFERROR(VLOOKUP(База_КР_КК[[#This Row],[ИД штатной должности (S)]],'уровень защищенности'!$B$7:$F$1095,5,0),"не защищена")</f>
        <v>высокий</v>
      </c>
      <c r="F2340" s="68">
        <v>500097</v>
      </c>
      <c r="G2340" s="74" t="s">
        <v>2700</v>
      </c>
      <c r="H2340" s="181">
        <f>INDEX('Списки данных'!$D$2:$D$1048576,MATCH(База_КР_КК[[#This Row],[Структурное подразделение]],'Списки данных'!$C$2:$C$1048576,0))</f>
        <v>34</v>
      </c>
      <c r="I2340" s="80" t="s">
        <v>163</v>
      </c>
      <c r="J2340" s="80" t="s">
        <v>226</v>
      </c>
      <c r="K2340" s="80" t="s">
        <v>21</v>
      </c>
      <c r="L2340" s="30" t="s">
        <v>198</v>
      </c>
      <c r="M2340" s="68">
        <v>6</v>
      </c>
      <c r="N2340" s="181" t="str">
        <f t="shared" si="37"/>
        <v>нет</v>
      </c>
      <c r="O2340" s="23"/>
      <c r="P2340" s="23"/>
      <c r="Q2340" s="106"/>
      <c r="R2340" s="37">
        <v>529</v>
      </c>
      <c r="S2340" s="39" t="s">
        <v>939</v>
      </c>
      <c r="T2340" s="37">
        <v>535</v>
      </c>
      <c r="U2340" s="39" t="s">
        <v>945</v>
      </c>
      <c r="V2340" s="69" t="s">
        <v>192</v>
      </c>
      <c r="W2340" s="89" t="s">
        <v>163</v>
      </c>
      <c r="X2340" s="106" t="s">
        <v>295</v>
      </c>
      <c r="Y2340" s="107" t="s">
        <v>12</v>
      </c>
      <c r="Z2340" s="67">
        <f>IF(База_КР_КК[[#This Row],[Таб.номер резервиста]]="-","-",IF(OR(База_КР_КК[[#This Row],[Уровень КК]]=2,База_КР_КК[[#This Row],[Уровень КК]]=3),IF(COUNTIFS($U$2:$U2340,$U2340,$F$2:$F2340,$F2340)=1,1,0),IF(COUNTIFS($U$2:$U2340,$U2340,$L$2:$L2340,$L2340)=1,1,0)))</f>
        <v>1</v>
      </c>
      <c r="AA23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0" s="106"/>
      <c r="AC2340" s="51"/>
      <c r="AD2340" s="106" t="s">
        <v>15</v>
      </c>
      <c r="AE2340" s="38" t="s">
        <v>368</v>
      </c>
    </row>
    <row r="2341" spans="1:31" ht="18" customHeight="1" x14ac:dyDescent="0.25">
      <c r="A23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1" s="79">
        <v>4</v>
      </c>
      <c r="C2341" s="23">
        <v>44587</v>
      </c>
      <c r="D2341" s="67">
        <f>IF(COUNTIF($G$2:$G2341,$G2341)=1,1,0)</f>
        <v>1</v>
      </c>
      <c r="E2341" s="67" t="str">
        <f>IFERROR(VLOOKUP(База_КР_КК[[#This Row],[ИД штатной должности (S)]],'уровень защищенности'!$B$7:$F$1095,5,0),"не защищена")</f>
        <v>низкий</v>
      </c>
      <c r="F2341" s="68">
        <v>500098</v>
      </c>
      <c r="G2341" s="74" t="s">
        <v>2701</v>
      </c>
      <c r="H2341" s="181">
        <f>INDEX('Списки данных'!$D$2:$D$1048576,MATCH(База_КР_КК[[#This Row],[Структурное подразделение]],'Списки данных'!$C$2:$C$1048576,0))</f>
        <v>34</v>
      </c>
      <c r="I2341" s="80" t="s">
        <v>163</v>
      </c>
      <c r="J2341" s="80" t="s">
        <v>226</v>
      </c>
      <c r="K2341" s="80" t="s">
        <v>21</v>
      </c>
      <c r="L2341" s="30" t="s">
        <v>191</v>
      </c>
      <c r="M2341" s="68">
        <v>7</v>
      </c>
      <c r="N2341" s="181" t="str">
        <f t="shared" si="37"/>
        <v>да</v>
      </c>
      <c r="O2341" s="23">
        <v>44841</v>
      </c>
      <c r="P2341" s="23">
        <v>44841</v>
      </c>
      <c r="Q2341" s="106" t="s">
        <v>66</v>
      </c>
      <c r="R2341" s="37">
        <v>530</v>
      </c>
      <c r="S2341" s="39" t="s">
        <v>940</v>
      </c>
      <c r="T2341" s="37">
        <v>1617</v>
      </c>
      <c r="U2341" s="39" t="s">
        <v>1946</v>
      </c>
      <c r="V2341" s="69" t="s">
        <v>272</v>
      </c>
      <c r="W2341" s="89" t="s">
        <v>163</v>
      </c>
      <c r="X2341" s="106" t="s">
        <v>296</v>
      </c>
      <c r="Y2341" s="107" t="s">
        <v>12</v>
      </c>
      <c r="Z2341" s="67">
        <f>IF(База_КР_КК[[#This Row],[Таб.номер резервиста]]="-","-",IF(OR(База_КР_КК[[#This Row],[Уровень КК]]=2,База_КР_КК[[#This Row],[Уровень КК]]=3),IF(COUNTIFS($U$2:$U2341,$U2341,$F$2:$F2341,$F2341)=1,1,0),IF(COUNTIFS($U$2:$U2341,$U2341,$L$2:$L2341,$L2341)=1,1,0)))</f>
        <v>1</v>
      </c>
      <c r="AA23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1" s="106"/>
      <c r="AC2341" s="51"/>
      <c r="AD2341" s="106" t="s">
        <v>15</v>
      </c>
      <c r="AE2341" s="38" t="s">
        <v>362</v>
      </c>
    </row>
    <row r="2342" spans="1:31" ht="18" customHeight="1" x14ac:dyDescent="0.25">
      <c r="A23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2" s="79">
        <v>4</v>
      </c>
      <c r="C2342" s="23">
        <v>44587</v>
      </c>
      <c r="D2342" s="67">
        <f>IF(COUNTIF($G$2:$G2342,$G2342)=1,1,0)</f>
        <v>0</v>
      </c>
      <c r="E2342" s="67" t="str">
        <f>IFERROR(VLOOKUP(База_КР_КК[[#This Row],[ИД штатной должности (S)]],'уровень защищенности'!$B$7:$F$1095,5,0),"не защищена")</f>
        <v>низкий</v>
      </c>
      <c r="F2342" s="68">
        <v>500098</v>
      </c>
      <c r="G2342" s="74" t="s">
        <v>2701</v>
      </c>
      <c r="H2342" s="181">
        <f>INDEX('Списки данных'!$D$2:$D$1048576,MATCH(База_КР_КК[[#This Row],[Структурное подразделение]],'Списки данных'!$C$2:$C$1048576,0))</f>
        <v>34</v>
      </c>
      <c r="I2342" s="80" t="s">
        <v>163</v>
      </c>
      <c r="J2342" s="80" t="s">
        <v>226</v>
      </c>
      <c r="K2342" s="80" t="s">
        <v>21</v>
      </c>
      <c r="L2342" s="30" t="s">
        <v>191</v>
      </c>
      <c r="M2342" s="68">
        <v>7</v>
      </c>
      <c r="N2342" s="181" t="str">
        <f t="shared" si="37"/>
        <v>да</v>
      </c>
      <c r="O2342" s="23">
        <v>44841</v>
      </c>
      <c r="P2342" s="23">
        <v>44841</v>
      </c>
      <c r="Q2342" s="106" t="s">
        <v>66</v>
      </c>
      <c r="R2342" s="37">
        <v>530</v>
      </c>
      <c r="S2342" s="39" t="s">
        <v>940</v>
      </c>
      <c r="T2342" s="37">
        <v>1618</v>
      </c>
      <c r="U2342" s="39" t="s">
        <v>1947</v>
      </c>
      <c r="V2342" s="69" t="s">
        <v>272</v>
      </c>
      <c r="W2342" s="89" t="s">
        <v>163</v>
      </c>
      <c r="X2342" s="106" t="s">
        <v>296</v>
      </c>
      <c r="Y2342" s="107" t="s">
        <v>12</v>
      </c>
      <c r="Z2342" s="67">
        <f>IF(База_КР_КК[[#This Row],[Таб.номер резервиста]]="-","-",IF(OR(База_КР_КК[[#This Row],[Уровень КК]]=2,База_КР_КК[[#This Row],[Уровень КК]]=3),IF(COUNTIFS($U$2:$U2342,$U2342,$F$2:$F2342,$F2342)=1,1,0),IF(COUNTIFS($U$2:$U2342,$U2342,$L$2:$L2342,$L2342)=1,1,0)))</f>
        <v>1</v>
      </c>
      <c r="AA23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2" s="106"/>
      <c r="AC2342" s="51"/>
      <c r="AD2342" s="106" t="s">
        <v>15</v>
      </c>
      <c r="AE2342" s="38" t="s">
        <v>362</v>
      </c>
    </row>
    <row r="2343" spans="1:31" ht="18" customHeight="1" x14ac:dyDescent="0.25">
      <c r="A23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3" s="79">
        <v>4</v>
      </c>
      <c r="C2343" s="23">
        <v>44587</v>
      </c>
      <c r="D2343" s="67">
        <f>IF(COUNTIF($G$2:$G2343,$G2343)=1,1,0)</f>
        <v>0</v>
      </c>
      <c r="E2343" s="67" t="str">
        <f>IFERROR(VLOOKUP(База_КР_КК[[#This Row],[ИД штатной должности (S)]],'уровень защищенности'!$B$7:$F$1095,5,0),"не защищена")</f>
        <v>низкий</v>
      </c>
      <c r="F2343" s="68">
        <v>500098</v>
      </c>
      <c r="G2343" s="74" t="s">
        <v>2701</v>
      </c>
      <c r="H2343" s="181">
        <f>INDEX('Списки данных'!$D$2:$D$1048576,MATCH(База_КР_КК[[#This Row],[Структурное подразделение]],'Списки данных'!$C$2:$C$1048576,0))</f>
        <v>34</v>
      </c>
      <c r="I2343" s="80" t="s">
        <v>163</v>
      </c>
      <c r="J2343" s="80" t="s">
        <v>226</v>
      </c>
      <c r="K2343" s="80" t="s">
        <v>21</v>
      </c>
      <c r="L2343" s="30" t="s">
        <v>191</v>
      </c>
      <c r="M2343" s="68">
        <v>7</v>
      </c>
      <c r="N2343" s="181" t="str">
        <f t="shared" si="37"/>
        <v>да</v>
      </c>
      <c r="O2343" s="23">
        <v>44841</v>
      </c>
      <c r="P2343" s="23">
        <v>44841</v>
      </c>
      <c r="Q2343" s="106" t="s">
        <v>66</v>
      </c>
      <c r="R2343" s="37">
        <v>530</v>
      </c>
      <c r="S2343" s="39" t="s">
        <v>940</v>
      </c>
      <c r="T2343" s="37">
        <v>530</v>
      </c>
      <c r="U2343" s="39" t="s">
        <v>940</v>
      </c>
      <c r="V2343" s="69" t="s">
        <v>272</v>
      </c>
      <c r="W2343" s="89" t="s">
        <v>163</v>
      </c>
      <c r="X2343" s="106" t="s">
        <v>297</v>
      </c>
      <c r="Y2343" s="107" t="s">
        <v>14</v>
      </c>
      <c r="Z2343" s="67">
        <f>IF(База_КР_КК[[#This Row],[Таб.номер резервиста]]="-","-",IF(OR(База_КР_КК[[#This Row],[Уровень КК]]=2,База_КР_КК[[#This Row],[Уровень КК]]=3),IF(COUNTIFS($U$2:$U2343,$U2343,$F$2:$F2343,$F2343)=1,1,0),IF(COUNTIFS($U$2:$U2343,$U2343,$L$2:$L2343,$L2343)=1,1,0)))</f>
        <v>1</v>
      </c>
      <c r="AA23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343" s="106" t="s">
        <v>24</v>
      </c>
      <c r="AC2343" s="51">
        <v>44841</v>
      </c>
      <c r="AD2343" s="106" t="s">
        <v>15</v>
      </c>
      <c r="AE2343" s="38" t="s">
        <v>368</v>
      </c>
    </row>
    <row r="2344" spans="1:31" ht="18" customHeight="1" x14ac:dyDescent="0.25">
      <c r="A23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4" s="79">
        <v>4</v>
      </c>
      <c r="C2344" s="23">
        <v>44587</v>
      </c>
      <c r="D2344" s="67">
        <f>IF(COUNTIF($G$2:$G2344,$G2344)=1,1,0)</f>
        <v>1</v>
      </c>
      <c r="E2344" s="67" t="str">
        <f>IFERROR(VLOOKUP(База_КР_КК[[#This Row],[ИД штатной должности (S)]],'уровень защищенности'!$B$7:$F$1095,5,0),"не защищена")</f>
        <v>низкий</v>
      </c>
      <c r="F2344" s="68">
        <v>500098</v>
      </c>
      <c r="G2344" s="74" t="s">
        <v>2702</v>
      </c>
      <c r="H2344" s="181">
        <f>INDEX('Списки данных'!$D$2:$D$1048576,MATCH(База_КР_КК[[#This Row],[Структурное подразделение]],'Списки данных'!$C$2:$C$1048576,0))</f>
        <v>34</v>
      </c>
      <c r="I2344" s="80" t="s">
        <v>163</v>
      </c>
      <c r="J2344" s="80" t="s">
        <v>226</v>
      </c>
      <c r="K2344" s="80" t="s">
        <v>21</v>
      </c>
      <c r="L2344" s="30" t="s">
        <v>191</v>
      </c>
      <c r="M2344" s="68">
        <v>7</v>
      </c>
      <c r="N2344" s="181" t="str">
        <f t="shared" si="37"/>
        <v>нет</v>
      </c>
      <c r="O2344" s="23"/>
      <c r="P2344" s="23"/>
      <c r="Q2344" s="106"/>
      <c r="R2344" s="37">
        <v>531</v>
      </c>
      <c r="S2344" s="39" t="s">
        <v>941</v>
      </c>
      <c r="T2344" s="37">
        <v>1618</v>
      </c>
      <c r="U2344" s="39" t="s">
        <v>1947</v>
      </c>
      <c r="V2344" s="69" t="s">
        <v>272</v>
      </c>
      <c r="W2344" s="89" t="s">
        <v>163</v>
      </c>
      <c r="X2344" s="106" t="s">
        <v>296</v>
      </c>
      <c r="Y2344" s="107" t="s">
        <v>12</v>
      </c>
      <c r="Z2344" s="67">
        <f>IF(База_КР_КК[[#This Row],[Таб.номер резервиста]]="-","-",IF(OR(База_КР_КК[[#This Row],[Уровень КК]]=2,База_КР_КК[[#This Row],[Уровень КК]]=3),IF(COUNTIFS($U$2:$U2344,$U2344,$F$2:$F2344,$F2344)=1,1,0),IF(COUNTIFS($U$2:$U2344,$U2344,$L$2:$L2344,$L2344)=1,1,0)))</f>
        <v>0</v>
      </c>
      <c r="AA23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4" s="106"/>
      <c r="AC2344" s="51"/>
      <c r="AD2344" s="106" t="s">
        <v>15</v>
      </c>
      <c r="AE2344" s="38" t="s">
        <v>362</v>
      </c>
    </row>
    <row r="2345" spans="1:31" ht="18" customHeight="1" x14ac:dyDescent="0.25">
      <c r="A23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5" s="79">
        <v>4</v>
      </c>
      <c r="C2345" s="23">
        <v>44587</v>
      </c>
      <c r="D2345" s="67">
        <f>IF(COUNTIF($G$2:$G2345,$G2345)=1,1,0)</f>
        <v>0</v>
      </c>
      <c r="E2345" s="67" t="str">
        <f>IFERROR(VLOOKUP(База_КР_КК[[#This Row],[ИД штатной должности (S)]],'уровень защищенности'!$B$7:$F$1095,5,0),"не защищена")</f>
        <v>низкий</v>
      </c>
      <c r="F2345" s="68">
        <v>500098</v>
      </c>
      <c r="G2345" s="74" t="s">
        <v>2702</v>
      </c>
      <c r="H2345" s="181">
        <f>INDEX('Списки данных'!$D$2:$D$1048576,MATCH(База_КР_КК[[#This Row],[Структурное подразделение]],'Списки данных'!$C$2:$C$1048576,0))</f>
        <v>34</v>
      </c>
      <c r="I2345" s="80" t="s">
        <v>163</v>
      </c>
      <c r="J2345" s="80" t="s">
        <v>226</v>
      </c>
      <c r="K2345" s="80" t="s">
        <v>21</v>
      </c>
      <c r="L2345" s="30" t="s">
        <v>191</v>
      </c>
      <c r="M2345" s="68">
        <v>7</v>
      </c>
      <c r="N2345" s="181" t="str">
        <f t="shared" si="37"/>
        <v>нет</v>
      </c>
      <c r="O2345" s="23"/>
      <c r="P2345" s="23"/>
      <c r="Q2345" s="106"/>
      <c r="R2345" s="37">
        <v>531</v>
      </c>
      <c r="S2345" s="39" t="s">
        <v>941</v>
      </c>
      <c r="T2345" s="37">
        <v>1617</v>
      </c>
      <c r="U2345" s="39" t="s">
        <v>1946</v>
      </c>
      <c r="V2345" s="69" t="s">
        <v>272</v>
      </c>
      <c r="W2345" s="89" t="s">
        <v>163</v>
      </c>
      <c r="X2345" s="106" t="s">
        <v>296</v>
      </c>
      <c r="Y2345" s="107" t="s">
        <v>12</v>
      </c>
      <c r="Z2345" s="67">
        <f>IF(База_КР_КК[[#This Row],[Таб.номер резервиста]]="-","-",IF(OR(База_КР_КК[[#This Row],[Уровень КК]]=2,База_КР_КК[[#This Row],[Уровень КК]]=3),IF(COUNTIFS($U$2:$U2345,$U2345,$F$2:$F2345,$F2345)=1,1,0),IF(COUNTIFS($U$2:$U2345,$U2345,$L$2:$L2345,$L2345)=1,1,0)))</f>
        <v>0</v>
      </c>
      <c r="AA23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5" s="106"/>
      <c r="AC2345" s="51"/>
      <c r="AD2345" s="106" t="s">
        <v>15</v>
      </c>
      <c r="AE2345" s="38" t="s">
        <v>362</v>
      </c>
    </row>
    <row r="2346" spans="1:31" ht="18" customHeight="1" x14ac:dyDescent="0.25">
      <c r="A23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6" s="79">
        <v>4</v>
      </c>
      <c r="C2346" s="23">
        <v>44587</v>
      </c>
      <c r="D2346" s="67">
        <f>IF(COUNTIF($G$2:$G2346,$G2346)=1,1,0)</f>
        <v>0</v>
      </c>
      <c r="E2346" s="67" t="str">
        <f>IFERROR(VLOOKUP(База_КР_КК[[#This Row],[ИД штатной должности (S)]],'уровень защищенности'!$B$7:$F$1095,5,0),"не защищена")</f>
        <v>низкий</v>
      </c>
      <c r="F2346" s="68">
        <v>500098</v>
      </c>
      <c r="G2346" s="74" t="s">
        <v>2702</v>
      </c>
      <c r="H2346" s="181">
        <f>INDEX('Списки данных'!$D$2:$D$1048576,MATCH(База_КР_КК[[#This Row],[Структурное подразделение]],'Списки данных'!$C$2:$C$1048576,0))</f>
        <v>34</v>
      </c>
      <c r="I2346" s="80" t="s">
        <v>163</v>
      </c>
      <c r="J2346" s="80" t="s">
        <v>226</v>
      </c>
      <c r="K2346" s="80" t="s">
        <v>21</v>
      </c>
      <c r="L2346" s="30" t="s">
        <v>191</v>
      </c>
      <c r="M2346" s="68">
        <v>7</v>
      </c>
      <c r="N2346" s="181" t="str">
        <f t="shared" si="37"/>
        <v>нет</v>
      </c>
      <c r="O2346" s="23"/>
      <c r="P2346" s="23"/>
      <c r="Q2346" s="106"/>
      <c r="R2346" s="37">
        <v>531</v>
      </c>
      <c r="S2346" s="39" t="s">
        <v>941</v>
      </c>
      <c r="T2346" s="37">
        <v>530</v>
      </c>
      <c r="U2346" s="39" t="s">
        <v>940</v>
      </c>
      <c r="V2346" s="69" t="s">
        <v>272</v>
      </c>
      <c r="W2346" s="89" t="s">
        <v>163</v>
      </c>
      <c r="X2346" s="106" t="s">
        <v>297</v>
      </c>
      <c r="Y2346" s="107" t="s">
        <v>18</v>
      </c>
      <c r="Z2346" s="67">
        <f>IF(База_КР_КК[[#This Row],[Таб.номер резервиста]]="-","-",IF(OR(База_КР_КК[[#This Row],[Уровень КК]]=2,База_КР_КК[[#This Row],[Уровень КК]]=3),IF(COUNTIFS($U$2:$U2346,$U2346,$F$2:$F2346,$F2346)=1,1,0),IF(COUNTIFS($U$2:$U2346,$U2346,$L$2:$L2346,$L2346)=1,1,0)))</f>
        <v>0</v>
      </c>
      <c r="AA23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6" s="106" t="s">
        <v>37</v>
      </c>
      <c r="AC2346" s="51">
        <v>44841</v>
      </c>
      <c r="AD2346" s="106" t="s">
        <v>15</v>
      </c>
      <c r="AE2346" s="38" t="s">
        <v>368</v>
      </c>
    </row>
    <row r="2347" spans="1:31" ht="18" customHeight="1" x14ac:dyDescent="0.25">
      <c r="A23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7" s="79">
        <v>4</v>
      </c>
      <c r="C2347" s="23">
        <v>44587</v>
      </c>
      <c r="D2347" s="67">
        <f>IF(COUNTIF($G$2:$G2347,$G2347)=1,1,0)</f>
        <v>1</v>
      </c>
      <c r="E2347" s="67" t="str">
        <f>IFERROR(VLOOKUP(База_КР_КК[[#This Row],[ИД штатной должности (S)]],'уровень защищенности'!$B$7:$F$1095,5,0),"не защищена")</f>
        <v>высокий</v>
      </c>
      <c r="F2347" s="68">
        <v>500099</v>
      </c>
      <c r="G2347" s="74" t="s">
        <v>2703</v>
      </c>
      <c r="H2347" s="181">
        <f>INDEX('Списки данных'!$D$2:$D$1048576,MATCH(База_КР_КК[[#This Row],[Структурное подразделение]],'Списки данных'!$C$2:$C$1048576,0))</f>
        <v>34</v>
      </c>
      <c r="I2347" s="80" t="s">
        <v>163</v>
      </c>
      <c r="J2347" s="80" t="s">
        <v>226</v>
      </c>
      <c r="K2347" s="80" t="s">
        <v>21</v>
      </c>
      <c r="L2347" s="30" t="s">
        <v>191</v>
      </c>
      <c r="M2347" s="68">
        <v>7</v>
      </c>
      <c r="N2347" s="181" t="str">
        <f t="shared" si="37"/>
        <v>нет</v>
      </c>
      <c r="O2347" s="23"/>
      <c r="P2347" s="23"/>
      <c r="Q2347" s="106"/>
      <c r="R2347" s="37">
        <v>532</v>
      </c>
      <c r="S2347" s="39" t="s">
        <v>942</v>
      </c>
      <c r="T2347" s="37">
        <v>1619</v>
      </c>
      <c r="U2347" s="38" t="s">
        <v>1948</v>
      </c>
      <c r="V2347" s="69" t="s">
        <v>272</v>
      </c>
      <c r="W2347" s="89" t="s">
        <v>163</v>
      </c>
      <c r="X2347" s="106" t="s">
        <v>295</v>
      </c>
      <c r="Y2347" s="107" t="s">
        <v>12</v>
      </c>
      <c r="Z2347" s="67">
        <f>IF(База_КР_КК[[#This Row],[Таб.номер резервиста]]="-","-",IF(OR(База_КР_КК[[#This Row],[Уровень КК]]=2,База_КР_КК[[#This Row],[Уровень КК]]=3),IF(COUNTIFS($U$2:$U2347,$U2347,$F$2:$F2347,$F2347)=1,1,0),IF(COUNTIFS($U$2:$U2347,$U2347,$L$2:$L2347,$L2347)=1,1,0)))</f>
        <v>1</v>
      </c>
      <c r="AA23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7" s="106"/>
      <c r="AC2347" s="51"/>
      <c r="AD2347" s="106" t="s">
        <v>15</v>
      </c>
      <c r="AE2347" s="38" t="s">
        <v>368</v>
      </c>
    </row>
    <row r="2348" spans="1:31" ht="18" customHeight="1" x14ac:dyDescent="0.25">
      <c r="A23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8" s="79">
        <v>4</v>
      </c>
      <c r="C2348" s="23">
        <v>44587</v>
      </c>
      <c r="D2348" s="67">
        <f>IF(COUNTIF($G$2:$G2348,$G2348)=1,1,0)</f>
        <v>0</v>
      </c>
      <c r="E2348" s="67" t="str">
        <f>IFERROR(VLOOKUP(База_КР_КК[[#This Row],[ИД штатной должности (S)]],'уровень защищенности'!$B$7:$F$1095,5,0),"не защищена")</f>
        <v>высокий</v>
      </c>
      <c r="F2348" s="68">
        <v>500099</v>
      </c>
      <c r="G2348" s="74" t="s">
        <v>2703</v>
      </c>
      <c r="H2348" s="181">
        <f>INDEX('Списки данных'!$D$2:$D$1048576,MATCH(База_КР_КК[[#This Row],[Структурное подразделение]],'Списки данных'!$C$2:$C$1048576,0))</f>
        <v>34</v>
      </c>
      <c r="I2348" s="80" t="s">
        <v>163</v>
      </c>
      <c r="J2348" s="80" t="s">
        <v>226</v>
      </c>
      <c r="K2348" s="80" t="s">
        <v>21</v>
      </c>
      <c r="L2348" s="30" t="s">
        <v>191</v>
      </c>
      <c r="M2348" s="68">
        <v>7</v>
      </c>
      <c r="N2348" s="181" t="str">
        <f t="shared" si="37"/>
        <v>нет</v>
      </c>
      <c r="O2348" s="23"/>
      <c r="P2348" s="23"/>
      <c r="Q2348" s="106"/>
      <c r="R2348" s="37">
        <v>532</v>
      </c>
      <c r="S2348" s="39" t="s">
        <v>942</v>
      </c>
      <c r="T2348" s="37">
        <v>1592</v>
      </c>
      <c r="U2348" s="38" t="s">
        <v>1786</v>
      </c>
      <c r="V2348" s="69" t="s">
        <v>272</v>
      </c>
      <c r="W2348" s="89" t="s">
        <v>163</v>
      </c>
      <c r="X2348" s="106" t="s">
        <v>296</v>
      </c>
      <c r="Y2348" s="107" t="s">
        <v>12</v>
      </c>
      <c r="Z2348" s="67">
        <f>IF(База_КР_КК[[#This Row],[Таб.номер резервиста]]="-","-",IF(OR(База_КР_КК[[#This Row],[Уровень КК]]=2,База_КР_КК[[#This Row],[Уровень КК]]=3),IF(COUNTIFS($U$2:$U2348,$U2348,$F$2:$F2348,$F2348)=1,1,0),IF(COUNTIFS($U$2:$U2348,$U2348,$L$2:$L2348,$L2348)=1,1,0)))</f>
        <v>0</v>
      </c>
      <c r="AA23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8" s="106"/>
      <c r="AC2348" s="51"/>
      <c r="AD2348" s="106" t="s">
        <v>15</v>
      </c>
      <c r="AE2348" s="38" t="s">
        <v>362</v>
      </c>
    </row>
    <row r="2349" spans="1:31" ht="18" customHeight="1" x14ac:dyDescent="0.25">
      <c r="A23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49" s="79">
        <v>4</v>
      </c>
      <c r="C2349" s="23">
        <v>44587</v>
      </c>
      <c r="D2349" s="67">
        <f>IF(COUNTIF($G$2:$G2349,$G2349)=1,1,0)</f>
        <v>1</v>
      </c>
      <c r="E2349" s="67" t="str">
        <f>IFERROR(VLOOKUP(База_КР_КК[[#This Row],[ИД штатной должности (S)]],'уровень защищенности'!$B$7:$F$1095,5,0),"не защищена")</f>
        <v>высокий</v>
      </c>
      <c r="F2349" s="68">
        <v>500099</v>
      </c>
      <c r="G2349" s="74" t="s">
        <v>2704</v>
      </c>
      <c r="H2349" s="181">
        <f>INDEX('Списки данных'!$D$2:$D$1048576,MATCH(База_КР_КК[[#This Row],[Структурное подразделение]],'Списки данных'!$C$2:$C$1048576,0))</f>
        <v>34</v>
      </c>
      <c r="I2349" s="80" t="s">
        <v>163</v>
      </c>
      <c r="J2349" s="80" t="s">
        <v>226</v>
      </c>
      <c r="K2349" s="80" t="s">
        <v>21</v>
      </c>
      <c r="L2349" s="30" t="s">
        <v>191</v>
      </c>
      <c r="M2349" s="68">
        <v>7</v>
      </c>
      <c r="N2349" s="181" t="str">
        <f t="shared" si="37"/>
        <v>нет</v>
      </c>
      <c r="O2349" s="23"/>
      <c r="P2349" s="23"/>
      <c r="Q2349" s="106"/>
      <c r="R2349" s="37">
        <v>533</v>
      </c>
      <c r="S2349" s="39" t="s">
        <v>943</v>
      </c>
      <c r="T2349" s="37">
        <v>1619</v>
      </c>
      <c r="U2349" s="38" t="s">
        <v>1948</v>
      </c>
      <c r="V2349" s="69" t="s">
        <v>272</v>
      </c>
      <c r="W2349" s="89" t="s">
        <v>163</v>
      </c>
      <c r="X2349" s="106" t="s">
        <v>295</v>
      </c>
      <c r="Y2349" s="107" t="s">
        <v>12</v>
      </c>
      <c r="Z2349" s="67">
        <f>IF(База_КР_КК[[#This Row],[Таб.номер резервиста]]="-","-",IF(OR(База_КР_КК[[#This Row],[Уровень КК]]=2,База_КР_КК[[#This Row],[Уровень КК]]=3),IF(COUNTIFS($U$2:$U2349,$U2349,$F$2:$F2349,$F2349)=1,1,0),IF(COUNTIFS($U$2:$U2349,$U2349,$L$2:$L2349,$L2349)=1,1,0)))</f>
        <v>0</v>
      </c>
      <c r="AA23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49" s="106"/>
      <c r="AC2349" s="51"/>
      <c r="AD2349" s="106" t="s">
        <v>15</v>
      </c>
      <c r="AE2349" s="38" t="s">
        <v>368</v>
      </c>
    </row>
    <row r="2350" spans="1:31" ht="18" customHeight="1" x14ac:dyDescent="0.25">
      <c r="A23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0" s="79">
        <v>4</v>
      </c>
      <c r="C2350" s="23">
        <v>44587</v>
      </c>
      <c r="D2350" s="67">
        <f>IF(COUNTIF($G$2:$G2350,$G2350)=1,1,0)</f>
        <v>0</v>
      </c>
      <c r="E2350" s="67" t="str">
        <f>IFERROR(VLOOKUP(База_КР_КК[[#This Row],[ИД штатной должности (S)]],'уровень защищенности'!$B$7:$F$1095,5,0),"не защищена")</f>
        <v>высокий</v>
      </c>
      <c r="F2350" s="68">
        <v>500099</v>
      </c>
      <c r="G2350" s="74" t="s">
        <v>2704</v>
      </c>
      <c r="H2350" s="181">
        <f>INDEX('Списки данных'!$D$2:$D$1048576,MATCH(База_КР_КК[[#This Row],[Структурное подразделение]],'Списки данных'!$C$2:$C$1048576,0))</f>
        <v>34</v>
      </c>
      <c r="I2350" s="80" t="s">
        <v>163</v>
      </c>
      <c r="J2350" s="80" t="s">
        <v>226</v>
      </c>
      <c r="K2350" s="80" t="s">
        <v>21</v>
      </c>
      <c r="L2350" s="30" t="s">
        <v>191</v>
      </c>
      <c r="M2350" s="68">
        <v>7</v>
      </c>
      <c r="N2350" s="181" t="str">
        <f t="shared" si="37"/>
        <v>нет</v>
      </c>
      <c r="O2350" s="23"/>
      <c r="P2350" s="23"/>
      <c r="Q2350" s="106"/>
      <c r="R2350" s="37">
        <v>533</v>
      </c>
      <c r="S2350" s="39" t="s">
        <v>943</v>
      </c>
      <c r="T2350" s="37">
        <v>1592</v>
      </c>
      <c r="U2350" s="38" t="s">
        <v>1786</v>
      </c>
      <c r="V2350" s="69" t="s">
        <v>272</v>
      </c>
      <c r="W2350" s="89" t="s">
        <v>163</v>
      </c>
      <c r="X2350" s="106" t="s">
        <v>296</v>
      </c>
      <c r="Y2350" s="107" t="s">
        <v>12</v>
      </c>
      <c r="Z2350" s="67">
        <f>IF(База_КР_КК[[#This Row],[Таб.номер резервиста]]="-","-",IF(OR(База_КР_КК[[#This Row],[Уровень КК]]=2,База_КР_КК[[#This Row],[Уровень КК]]=3),IF(COUNTIFS($U$2:$U2350,$U2350,$F$2:$F2350,$F2350)=1,1,0),IF(COUNTIFS($U$2:$U2350,$U2350,$L$2:$L2350,$L2350)=1,1,0)))</f>
        <v>0</v>
      </c>
      <c r="AA23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0" s="106"/>
      <c r="AC2350" s="51"/>
      <c r="AD2350" s="106" t="s">
        <v>15</v>
      </c>
      <c r="AE2350" s="38" t="s">
        <v>362</v>
      </c>
    </row>
    <row r="2351" spans="1:31" ht="18" customHeight="1" x14ac:dyDescent="0.25">
      <c r="A23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1" s="79">
        <v>4</v>
      </c>
      <c r="C2351" s="23">
        <v>44587</v>
      </c>
      <c r="D2351" s="67">
        <f>IF(COUNTIF($G$2:$G2351,$G2351)=1,1,0)</f>
        <v>1</v>
      </c>
      <c r="E2351" s="67" t="str">
        <f>IFERROR(VLOOKUP(База_КР_КК[[#This Row],[ИД штатной должности (S)]],'уровень защищенности'!$B$7:$F$1095,5,0),"не защищена")</f>
        <v>высокий</v>
      </c>
      <c r="F2351" s="68">
        <v>500099</v>
      </c>
      <c r="G2351" s="74" t="s">
        <v>2705</v>
      </c>
      <c r="H2351" s="181">
        <f>INDEX('Списки данных'!$D$2:$D$1048576,MATCH(База_КР_КК[[#This Row],[Структурное подразделение]],'Списки данных'!$C$2:$C$1048576,0))</f>
        <v>34</v>
      </c>
      <c r="I2351" s="80" t="s">
        <v>163</v>
      </c>
      <c r="J2351" s="80" t="s">
        <v>226</v>
      </c>
      <c r="K2351" s="80" t="s">
        <v>21</v>
      </c>
      <c r="L2351" s="30" t="s">
        <v>191</v>
      </c>
      <c r="M2351" s="68">
        <v>7</v>
      </c>
      <c r="N2351" s="181" t="str">
        <f t="shared" si="37"/>
        <v>нет</v>
      </c>
      <c r="O2351" s="23"/>
      <c r="P2351" s="23"/>
      <c r="Q2351" s="106"/>
      <c r="R2351" s="37">
        <v>534</v>
      </c>
      <c r="S2351" s="39" t="s">
        <v>944</v>
      </c>
      <c r="T2351" s="37">
        <v>1619</v>
      </c>
      <c r="U2351" s="38" t="s">
        <v>1948</v>
      </c>
      <c r="V2351" s="69" t="s">
        <v>272</v>
      </c>
      <c r="W2351" s="89" t="s">
        <v>163</v>
      </c>
      <c r="X2351" s="106" t="s">
        <v>295</v>
      </c>
      <c r="Y2351" s="107" t="s">
        <v>12</v>
      </c>
      <c r="Z2351" s="67">
        <f>IF(База_КР_КК[[#This Row],[Таб.номер резервиста]]="-","-",IF(OR(База_КР_КК[[#This Row],[Уровень КК]]=2,База_КР_КК[[#This Row],[Уровень КК]]=3),IF(COUNTIFS($U$2:$U2351,$U2351,$F$2:$F2351,$F2351)=1,1,0),IF(COUNTIFS($U$2:$U2351,$U2351,$L$2:$L2351,$L2351)=1,1,0)))</f>
        <v>0</v>
      </c>
      <c r="AA23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1" s="106"/>
      <c r="AC2351" s="51"/>
      <c r="AD2351" s="106" t="s">
        <v>15</v>
      </c>
      <c r="AE2351" s="38" t="s">
        <v>368</v>
      </c>
    </row>
    <row r="2352" spans="1:31" ht="18" customHeight="1" x14ac:dyDescent="0.25">
      <c r="A23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2" s="79">
        <v>4</v>
      </c>
      <c r="C2352" s="23">
        <v>44587</v>
      </c>
      <c r="D2352" s="67">
        <f>IF(COUNTIF($G$2:$G2352,$G2352)=1,1,0)</f>
        <v>0</v>
      </c>
      <c r="E2352" s="67" t="str">
        <f>IFERROR(VLOOKUP(База_КР_КК[[#This Row],[ИД штатной должности (S)]],'уровень защищенности'!$B$7:$F$1095,5,0),"не защищена")</f>
        <v>высокий</v>
      </c>
      <c r="F2352" s="68">
        <v>500099</v>
      </c>
      <c r="G2352" s="74" t="s">
        <v>2705</v>
      </c>
      <c r="H2352" s="181">
        <f>INDEX('Списки данных'!$D$2:$D$1048576,MATCH(База_КР_КК[[#This Row],[Структурное подразделение]],'Списки данных'!$C$2:$C$1048576,0))</f>
        <v>34</v>
      </c>
      <c r="I2352" s="80" t="s">
        <v>163</v>
      </c>
      <c r="J2352" s="80" t="s">
        <v>226</v>
      </c>
      <c r="K2352" s="80" t="s">
        <v>21</v>
      </c>
      <c r="L2352" s="30" t="s">
        <v>191</v>
      </c>
      <c r="M2352" s="68">
        <v>7</v>
      </c>
      <c r="N2352" s="181" t="str">
        <f t="shared" si="37"/>
        <v>нет</v>
      </c>
      <c r="O2352" s="23"/>
      <c r="P2352" s="23"/>
      <c r="Q2352" s="106"/>
      <c r="R2352" s="37">
        <v>534</v>
      </c>
      <c r="S2352" s="39" t="s">
        <v>944</v>
      </c>
      <c r="T2352" s="37">
        <v>1592</v>
      </c>
      <c r="U2352" s="38" t="s">
        <v>1786</v>
      </c>
      <c r="V2352" s="69" t="s">
        <v>272</v>
      </c>
      <c r="W2352" s="89" t="s">
        <v>163</v>
      </c>
      <c r="X2352" s="106" t="s">
        <v>296</v>
      </c>
      <c r="Y2352" s="107" t="s">
        <v>12</v>
      </c>
      <c r="Z2352" s="67">
        <f>IF(База_КР_КК[[#This Row],[Таб.номер резервиста]]="-","-",IF(OR(База_КР_КК[[#This Row],[Уровень КК]]=2,База_КР_КК[[#This Row],[Уровень КК]]=3),IF(COUNTIFS($U$2:$U2352,$U2352,$F$2:$F2352,$F2352)=1,1,0),IF(COUNTIFS($U$2:$U2352,$U2352,$L$2:$L2352,$L2352)=1,1,0)))</f>
        <v>0</v>
      </c>
      <c r="AA23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2" s="106"/>
      <c r="AC2352" s="51"/>
      <c r="AD2352" s="106" t="s">
        <v>15</v>
      </c>
      <c r="AE2352" s="38" t="s">
        <v>362</v>
      </c>
    </row>
    <row r="2353" spans="1:31" ht="18" customHeight="1" x14ac:dyDescent="0.25">
      <c r="A23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3" s="79">
        <v>4</v>
      </c>
      <c r="C2353" s="23">
        <v>44587</v>
      </c>
      <c r="D2353" s="67">
        <f>IF(COUNTIF($G$2:$G2353,$G2353)=1,1,0)</f>
        <v>1</v>
      </c>
      <c r="E2353" s="67" t="str">
        <f>IFERROR(VLOOKUP(База_КР_КК[[#This Row],[ИД штатной должности (S)]],'уровень защищенности'!$B$7:$F$1095,5,0),"не защищена")</f>
        <v>высокий</v>
      </c>
      <c r="F2353" s="68">
        <v>500099</v>
      </c>
      <c r="G2353" s="74" t="s">
        <v>2706</v>
      </c>
      <c r="H2353" s="181">
        <f>INDEX('Списки данных'!$D$2:$D$1048576,MATCH(База_КР_КК[[#This Row],[Структурное подразделение]],'Списки данных'!$C$2:$C$1048576,0))</f>
        <v>34</v>
      </c>
      <c r="I2353" s="80" t="s">
        <v>163</v>
      </c>
      <c r="J2353" s="80" t="s">
        <v>226</v>
      </c>
      <c r="K2353" s="80" t="s">
        <v>21</v>
      </c>
      <c r="L2353" s="30" t="s">
        <v>191</v>
      </c>
      <c r="M2353" s="68">
        <v>7</v>
      </c>
      <c r="N2353" s="181" t="str">
        <f t="shared" si="37"/>
        <v>нет</v>
      </c>
      <c r="O2353" s="23"/>
      <c r="P2353" s="23"/>
      <c r="Q2353" s="106"/>
      <c r="R2353" s="37">
        <v>535</v>
      </c>
      <c r="S2353" s="39" t="s">
        <v>945</v>
      </c>
      <c r="T2353" s="37">
        <v>1619</v>
      </c>
      <c r="U2353" s="38" t="s">
        <v>1948</v>
      </c>
      <c r="V2353" s="69" t="s">
        <v>272</v>
      </c>
      <c r="W2353" s="89" t="s">
        <v>163</v>
      </c>
      <c r="X2353" s="106" t="s">
        <v>295</v>
      </c>
      <c r="Y2353" s="107" t="s">
        <v>12</v>
      </c>
      <c r="Z2353" s="67">
        <f>IF(База_КР_КК[[#This Row],[Таб.номер резервиста]]="-","-",IF(OR(База_КР_КК[[#This Row],[Уровень КК]]=2,База_КР_КК[[#This Row],[Уровень КК]]=3),IF(COUNTIFS($U$2:$U2353,$U2353,$F$2:$F2353,$F2353)=1,1,0),IF(COUNTIFS($U$2:$U2353,$U2353,$L$2:$L2353,$L2353)=1,1,0)))</f>
        <v>0</v>
      </c>
      <c r="AA23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3" s="106"/>
      <c r="AC2353" s="51"/>
      <c r="AD2353" s="106" t="s">
        <v>15</v>
      </c>
      <c r="AE2353" s="38" t="s">
        <v>368</v>
      </c>
    </row>
    <row r="2354" spans="1:31" ht="18" customHeight="1" x14ac:dyDescent="0.25">
      <c r="A23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4" s="79">
        <v>4</v>
      </c>
      <c r="C2354" s="23">
        <v>44587</v>
      </c>
      <c r="D2354" s="67">
        <f>IF(COUNTIF($G$2:$G2354,$G2354)=1,1,0)</f>
        <v>0</v>
      </c>
      <c r="E2354" s="67" t="str">
        <f>IFERROR(VLOOKUP(База_КР_КК[[#This Row],[ИД штатной должности (S)]],'уровень защищенности'!$B$7:$F$1095,5,0),"не защищена")</f>
        <v>высокий</v>
      </c>
      <c r="F2354" s="68">
        <v>500099</v>
      </c>
      <c r="G2354" s="74" t="s">
        <v>2706</v>
      </c>
      <c r="H2354" s="181">
        <f>INDEX('Списки данных'!$D$2:$D$1048576,MATCH(База_КР_КК[[#This Row],[Структурное подразделение]],'Списки данных'!$C$2:$C$1048576,0))</f>
        <v>34</v>
      </c>
      <c r="I2354" s="80" t="s">
        <v>163</v>
      </c>
      <c r="J2354" s="80" t="s">
        <v>226</v>
      </c>
      <c r="K2354" s="80" t="s">
        <v>21</v>
      </c>
      <c r="L2354" s="30" t="s">
        <v>191</v>
      </c>
      <c r="M2354" s="68">
        <v>7</v>
      </c>
      <c r="N2354" s="181" t="str">
        <f t="shared" si="37"/>
        <v>нет</v>
      </c>
      <c r="O2354" s="23"/>
      <c r="P2354" s="23"/>
      <c r="Q2354" s="106"/>
      <c r="R2354" s="37">
        <v>535</v>
      </c>
      <c r="S2354" s="39" t="s">
        <v>945</v>
      </c>
      <c r="T2354" s="37">
        <v>1592</v>
      </c>
      <c r="U2354" s="38" t="s">
        <v>1786</v>
      </c>
      <c r="V2354" s="69" t="s">
        <v>272</v>
      </c>
      <c r="W2354" s="89" t="s">
        <v>163</v>
      </c>
      <c r="X2354" s="106" t="s">
        <v>296</v>
      </c>
      <c r="Y2354" s="107" t="s">
        <v>12</v>
      </c>
      <c r="Z2354" s="67">
        <f>IF(База_КР_КК[[#This Row],[Таб.номер резервиста]]="-","-",IF(OR(База_КР_КК[[#This Row],[Уровень КК]]=2,База_КР_КК[[#This Row],[Уровень КК]]=3),IF(COUNTIFS($U$2:$U2354,$U2354,$F$2:$F2354,$F2354)=1,1,0),IF(COUNTIFS($U$2:$U2354,$U2354,$L$2:$L2354,$L2354)=1,1,0)))</f>
        <v>0</v>
      </c>
      <c r="AA23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4" s="106"/>
      <c r="AC2354" s="51"/>
      <c r="AD2354" s="106" t="s">
        <v>15</v>
      </c>
      <c r="AE2354" s="38" t="s">
        <v>362</v>
      </c>
    </row>
    <row r="2355" spans="1:31" ht="18" customHeight="1" x14ac:dyDescent="0.25">
      <c r="A23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5" s="79">
        <v>4</v>
      </c>
      <c r="C2355" s="23">
        <v>44588</v>
      </c>
      <c r="D2355" s="67">
        <f>IF(COUNTIF($G$2:$G2355,$G2355)=1,1,0)</f>
        <v>1</v>
      </c>
      <c r="E2355" s="67" t="str">
        <f>IFERROR(VLOOKUP(База_КР_КК[[#This Row],[ИД штатной должности (S)]],'уровень защищенности'!$B$7:$F$1095,5,0),"не защищена")</f>
        <v>низкий</v>
      </c>
      <c r="F2355" s="68">
        <v>500100</v>
      </c>
      <c r="G2355" s="74" t="s">
        <v>2707</v>
      </c>
      <c r="H2355" s="181">
        <f>INDEX('Списки данных'!$D$2:$D$1048576,MATCH(База_КР_КК[[#This Row],[Структурное подразделение]],'Списки данных'!$C$2:$C$1048576,0))</f>
        <v>31</v>
      </c>
      <c r="I2355" s="80" t="s">
        <v>156</v>
      </c>
      <c r="J2355" s="80" t="s">
        <v>223</v>
      </c>
      <c r="K2355" s="80" t="s">
        <v>21</v>
      </c>
      <c r="L2355" s="30" t="s">
        <v>189</v>
      </c>
      <c r="M2355" s="68">
        <v>6</v>
      </c>
      <c r="N2355" s="181" t="str">
        <f t="shared" si="37"/>
        <v>нет</v>
      </c>
      <c r="O2355" s="23"/>
      <c r="P2355" s="23"/>
      <c r="Q2355" s="106"/>
      <c r="R2355" s="37">
        <v>536</v>
      </c>
      <c r="S2355" s="39" t="s">
        <v>946</v>
      </c>
      <c r="T2355" s="37">
        <v>556</v>
      </c>
      <c r="U2355" s="38" t="s">
        <v>965</v>
      </c>
      <c r="V2355" s="89" t="s">
        <v>192</v>
      </c>
      <c r="W2355" s="89" t="s">
        <v>156</v>
      </c>
      <c r="X2355" s="106" t="s">
        <v>296</v>
      </c>
      <c r="Y2355" s="107" t="s">
        <v>12</v>
      </c>
      <c r="Z2355" s="67">
        <f>IF(База_КР_КК[[#This Row],[Таб.номер резервиста]]="-","-",IF(OR(База_КР_КК[[#This Row],[Уровень КК]]=2,База_КР_КК[[#This Row],[Уровень КК]]=3),IF(COUNTIFS($U$2:$U2355,$U2355,$F$2:$F2355,$F2355)=1,1,0),IF(COUNTIFS($U$2:$U2355,$U2355,$L$2:$L2355,$L2355)=1,1,0)))</f>
        <v>1</v>
      </c>
      <c r="AA23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5" s="106"/>
      <c r="AC2355" s="51"/>
      <c r="AD2355" s="106" t="s">
        <v>15</v>
      </c>
      <c r="AE2355" s="38" t="s">
        <v>360</v>
      </c>
    </row>
    <row r="2356" spans="1:31" ht="18" customHeight="1" x14ac:dyDescent="0.25">
      <c r="A23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6" s="79">
        <v>4</v>
      </c>
      <c r="C2356" s="23">
        <v>44922</v>
      </c>
      <c r="D2356" s="67">
        <f>IF(COUNTIF($G$2:$G2356,$G2356)=1,1,0)</f>
        <v>0</v>
      </c>
      <c r="E2356" s="67" t="str">
        <f>IFERROR(VLOOKUP(База_КР_КК[[#This Row],[ИД штатной должности (S)]],'уровень защищенности'!$B$7:$F$1095,5,0),"не защищена")</f>
        <v>низкий</v>
      </c>
      <c r="F2356" s="68">
        <v>500100</v>
      </c>
      <c r="G2356" s="74" t="s">
        <v>2707</v>
      </c>
      <c r="H2356" s="181">
        <f>INDEX('Списки данных'!$D$2:$D$1048576,MATCH(База_КР_КК[[#This Row],[Структурное подразделение]],'Списки данных'!$C$2:$C$1048576,0))</f>
        <v>31</v>
      </c>
      <c r="I2356" s="80" t="s">
        <v>156</v>
      </c>
      <c r="J2356" s="80" t="s">
        <v>223</v>
      </c>
      <c r="K2356" s="80" t="s">
        <v>21</v>
      </c>
      <c r="L2356" s="30" t="s">
        <v>189</v>
      </c>
      <c r="M2356" s="68">
        <v>6</v>
      </c>
      <c r="N2356" s="181" t="str">
        <f t="shared" si="37"/>
        <v>нет</v>
      </c>
      <c r="O2356" s="23"/>
      <c r="P2356" s="23"/>
      <c r="Q2356" s="106"/>
      <c r="R2356" s="37">
        <v>536</v>
      </c>
      <c r="S2356" s="39" t="s">
        <v>946</v>
      </c>
      <c r="T2356" s="37">
        <v>543</v>
      </c>
      <c r="U2356" s="38" t="s">
        <v>953</v>
      </c>
      <c r="V2356" s="69" t="s">
        <v>192</v>
      </c>
      <c r="W2356" s="89" t="s">
        <v>156</v>
      </c>
      <c r="X2356" s="106" t="s">
        <v>296</v>
      </c>
      <c r="Y2356" s="107" t="s">
        <v>12</v>
      </c>
      <c r="Z2356" s="67">
        <f>IF(База_КР_КК[[#This Row],[Таб.номер резервиста]]="-","-",IF(OR(База_КР_КК[[#This Row],[Уровень КК]]=2,База_КР_КК[[#This Row],[Уровень КК]]=3),IF(COUNTIFS($U$2:$U2356,$U2356,$F$2:$F2356,$F2356)=1,1,0),IF(COUNTIFS($U$2:$U2356,$U2356,$L$2:$L2356,$L2356)=1,1,0)))</f>
        <v>1</v>
      </c>
      <c r="AA23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6" s="106"/>
      <c r="AC2356" s="51"/>
      <c r="AD2356" s="106" t="s">
        <v>15</v>
      </c>
      <c r="AE2356" s="38" t="s">
        <v>362</v>
      </c>
    </row>
    <row r="2357" spans="1:31" ht="18" customHeight="1" x14ac:dyDescent="0.25">
      <c r="A23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7" s="79">
        <v>4</v>
      </c>
      <c r="C2357" s="23">
        <v>44588</v>
      </c>
      <c r="D2357" s="67">
        <f>IF(COUNTIF($G$2:$G2357,$G2357)=1,1,0)</f>
        <v>0</v>
      </c>
      <c r="E2357" s="67" t="str">
        <f>IFERROR(VLOOKUP(База_КР_КК[[#This Row],[ИД штатной должности (S)]],'уровень защищенности'!$B$7:$F$1095,5,0),"не защищена")</f>
        <v>низкий</v>
      </c>
      <c r="F2357" s="68">
        <v>500100</v>
      </c>
      <c r="G2357" s="74" t="s">
        <v>2707</v>
      </c>
      <c r="H2357" s="181">
        <f>INDEX('Списки данных'!$D$2:$D$1048576,MATCH(База_КР_КК[[#This Row],[Структурное подразделение]],'Списки данных'!$C$2:$C$1048576,0))</f>
        <v>31</v>
      </c>
      <c r="I2357" s="80" t="s">
        <v>156</v>
      </c>
      <c r="J2357" s="80" t="s">
        <v>223</v>
      </c>
      <c r="K2357" s="80" t="s">
        <v>21</v>
      </c>
      <c r="L2357" s="30" t="s">
        <v>189</v>
      </c>
      <c r="M2357" s="68">
        <v>6</v>
      </c>
      <c r="N2357" s="181" t="str">
        <f t="shared" si="37"/>
        <v>нет</v>
      </c>
      <c r="O2357" s="23"/>
      <c r="P2357" s="23"/>
      <c r="Q2357" s="106"/>
      <c r="R2357" s="37">
        <v>536</v>
      </c>
      <c r="S2357" s="39" t="s">
        <v>946</v>
      </c>
      <c r="T2357" s="37">
        <v>1582</v>
      </c>
      <c r="U2357" s="38" t="s">
        <v>1923</v>
      </c>
      <c r="V2357" s="69" t="s">
        <v>16</v>
      </c>
      <c r="W2357" s="89" t="s">
        <v>167</v>
      </c>
      <c r="X2357" s="106" t="s">
        <v>297</v>
      </c>
      <c r="Y2357" s="107" t="s">
        <v>18</v>
      </c>
      <c r="Z2357" s="67">
        <f>IF(База_КР_КК[[#This Row],[Таб.номер резервиста]]="-","-",IF(OR(База_КР_КК[[#This Row],[Уровень КК]]=2,База_КР_КК[[#This Row],[Уровень КК]]=3),IF(COUNTIFS($U$2:$U2357,$U2357,$F$2:$F2357,$F2357)=1,1,0),IF(COUNTIFS($U$2:$U2357,$U2357,$L$2:$L2357,$L2357)=1,1,0)))</f>
        <v>0</v>
      </c>
      <c r="AA23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7" s="106" t="s">
        <v>33</v>
      </c>
      <c r="AC2357" s="51">
        <v>44922</v>
      </c>
      <c r="AD2357" s="106" t="s">
        <v>15</v>
      </c>
      <c r="AE2357" s="38" t="s">
        <v>362</v>
      </c>
    </row>
    <row r="2358" spans="1:31" ht="18" customHeight="1" x14ac:dyDescent="0.25">
      <c r="A23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8" s="79">
        <v>4</v>
      </c>
      <c r="C2358" s="23">
        <v>44588</v>
      </c>
      <c r="D2358" s="67">
        <f>IF(COUNTIF($G$2:$G2358,$G2358)=1,1,0)</f>
        <v>1</v>
      </c>
      <c r="E2358" s="67" t="str">
        <f>IFERROR(VLOOKUP(База_КР_КК[[#This Row],[ИД штатной должности (S)]],'уровень защищенности'!$B$7:$F$1095,5,0),"не защищена")</f>
        <v>высокий</v>
      </c>
      <c r="F2358" s="68">
        <v>500101</v>
      </c>
      <c r="G2358" s="74" t="s">
        <v>2708</v>
      </c>
      <c r="H2358" s="181">
        <f>INDEX('Списки данных'!$D$2:$D$1048576,MATCH(База_КР_КК[[#This Row],[Структурное подразделение]],'Списки данных'!$C$2:$C$1048576,0))</f>
        <v>31</v>
      </c>
      <c r="I2358" s="80" t="s">
        <v>156</v>
      </c>
      <c r="J2358" s="80" t="s">
        <v>223</v>
      </c>
      <c r="K2358" s="80" t="s">
        <v>21</v>
      </c>
      <c r="L2358" s="30" t="s">
        <v>187</v>
      </c>
      <c r="M2358" s="68">
        <v>6</v>
      </c>
      <c r="N2358" s="181" t="str">
        <f t="shared" si="37"/>
        <v>нет</v>
      </c>
      <c r="O2358" s="23"/>
      <c r="P2358" s="23"/>
      <c r="Q2358" s="106"/>
      <c r="R2358" s="37">
        <v>537</v>
      </c>
      <c r="S2358" s="39" t="s">
        <v>947</v>
      </c>
      <c r="T2358" s="37">
        <v>539</v>
      </c>
      <c r="U2358" s="38" t="s">
        <v>949</v>
      </c>
      <c r="V2358" s="69" t="s">
        <v>189</v>
      </c>
      <c r="W2358" s="89" t="s">
        <v>156</v>
      </c>
      <c r="X2358" s="106" t="s">
        <v>295</v>
      </c>
      <c r="Y2358" s="107" t="s">
        <v>12</v>
      </c>
      <c r="Z2358" s="67">
        <f>IF(База_КР_КК[[#This Row],[Таб.номер резервиста]]="-","-",IF(OR(База_КР_КК[[#This Row],[Уровень КК]]=2,База_КР_КК[[#This Row],[Уровень КК]]=3),IF(COUNTIFS($U$2:$U2358,$U2358,$F$2:$F2358,$F2358)=1,1,0),IF(COUNTIFS($U$2:$U2358,$U2358,$L$2:$L2358,$L2358)=1,1,0)))</f>
        <v>0</v>
      </c>
      <c r="AA23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8" s="106"/>
      <c r="AC2358" s="51"/>
      <c r="AD2358" s="106" t="s">
        <v>15</v>
      </c>
      <c r="AE2358" s="38" t="s">
        <v>360</v>
      </c>
    </row>
    <row r="2359" spans="1:31" ht="18" customHeight="1" x14ac:dyDescent="0.25">
      <c r="A23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59" s="79">
        <v>4</v>
      </c>
      <c r="C2359" s="23">
        <v>44588</v>
      </c>
      <c r="D2359" s="67">
        <f>IF(COUNTIF($G$2:$G2359,$G2359)=1,1,0)</f>
        <v>0</v>
      </c>
      <c r="E2359" s="67" t="str">
        <f>IFERROR(VLOOKUP(База_КР_КК[[#This Row],[ИД штатной должности (S)]],'уровень защищенности'!$B$7:$F$1095,5,0),"не защищена")</f>
        <v>высокий</v>
      </c>
      <c r="F2359" s="68">
        <v>500101</v>
      </c>
      <c r="G2359" s="74" t="s">
        <v>2708</v>
      </c>
      <c r="H2359" s="181">
        <f>INDEX('Списки данных'!$D$2:$D$1048576,MATCH(База_КР_КК[[#This Row],[Структурное подразделение]],'Списки данных'!$C$2:$C$1048576,0))</f>
        <v>31</v>
      </c>
      <c r="I2359" s="80" t="s">
        <v>156</v>
      </c>
      <c r="J2359" s="80" t="s">
        <v>223</v>
      </c>
      <c r="K2359" s="80" t="s">
        <v>21</v>
      </c>
      <c r="L2359" s="30" t="s">
        <v>187</v>
      </c>
      <c r="M2359" s="68">
        <v>6</v>
      </c>
      <c r="N2359" s="181" t="str">
        <f t="shared" si="37"/>
        <v>нет</v>
      </c>
      <c r="O2359" s="23"/>
      <c r="P2359" s="23"/>
      <c r="Q2359" s="106"/>
      <c r="R2359" s="37">
        <v>537</v>
      </c>
      <c r="S2359" s="39" t="s">
        <v>947</v>
      </c>
      <c r="T2359" s="37">
        <v>1621</v>
      </c>
      <c r="U2359" s="38" t="s">
        <v>1925</v>
      </c>
      <c r="V2359" s="69" t="s">
        <v>16</v>
      </c>
      <c r="W2359" s="89" t="s">
        <v>156</v>
      </c>
      <c r="X2359" s="106" t="s">
        <v>297</v>
      </c>
      <c r="Y2359" s="107" t="s">
        <v>12</v>
      </c>
      <c r="Z2359" s="67">
        <f>IF(База_КР_КК[[#This Row],[Таб.номер резервиста]]="-","-",IF(OR(База_КР_КК[[#This Row],[Уровень КК]]=2,База_КР_КК[[#This Row],[Уровень КК]]=3),IF(COUNTIFS($U$2:$U2359,$U2359,$F$2:$F2359,$F2359)=1,1,0),IF(COUNTIFS($U$2:$U2359,$U2359,$L$2:$L2359,$L2359)=1,1,0)))</f>
        <v>1</v>
      </c>
      <c r="AA23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59" s="106"/>
      <c r="AC2359" s="51"/>
      <c r="AD2359" s="106" t="s">
        <v>15</v>
      </c>
      <c r="AE2359" s="38" t="s">
        <v>360</v>
      </c>
    </row>
    <row r="2360" spans="1:31" ht="18" customHeight="1" x14ac:dyDescent="0.25">
      <c r="A23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0" s="79">
        <v>4</v>
      </c>
      <c r="C2360" s="23">
        <v>44922</v>
      </c>
      <c r="D2360" s="67">
        <f>IF(COUNTIF($G$2:$G2360,$G2360)=1,1,0)</f>
        <v>1</v>
      </c>
      <c r="E2360" s="67" t="str">
        <f>IFERROR(VLOOKUP(База_КР_КК[[#This Row],[ИД штатной должности (S)]],'уровень защищенности'!$B$7:$F$1095,5,0),"не защищена")</f>
        <v>низкий</v>
      </c>
      <c r="F2360" s="68">
        <v>500102</v>
      </c>
      <c r="G2360" s="74" t="s">
        <v>2709</v>
      </c>
      <c r="H2360" s="181">
        <f>INDEX('Списки данных'!$D$2:$D$1048576,MATCH(База_КР_КК[[#This Row],[Структурное подразделение]],'Списки данных'!$C$2:$C$1048576,0))</f>
        <v>31</v>
      </c>
      <c r="I2360" s="80" t="s">
        <v>156</v>
      </c>
      <c r="J2360" s="80" t="s">
        <v>223</v>
      </c>
      <c r="K2360" s="80" t="s">
        <v>21</v>
      </c>
      <c r="L2360" s="30" t="s">
        <v>189</v>
      </c>
      <c r="M2360" s="68">
        <v>7</v>
      </c>
      <c r="N2360" s="181" t="str">
        <f t="shared" si="37"/>
        <v>да</v>
      </c>
      <c r="O2360" s="23">
        <v>44838</v>
      </c>
      <c r="P2360" s="23">
        <v>44883</v>
      </c>
      <c r="Q2360" s="106" t="s">
        <v>66</v>
      </c>
      <c r="R2360" s="37">
        <v>538</v>
      </c>
      <c r="S2360" s="39" t="s">
        <v>948</v>
      </c>
      <c r="T2360" s="37">
        <v>1622</v>
      </c>
      <c r="U2360" s="38" t="s">
        <v>1938</v>
      </c>
      <c r="V2360" s="69" t="s">
        <v>16</v>
      </c>
      <c r="W2360" s="89" t="s">
        <v>156</v>
      </c>
      <c r="X2360" s="106" t="s">
        <v>296</v>
      </c>
      <c r="Y2360" s="107" t="s">
        <v>12</v>
      </c>
      <c r="Z2360" s="67">
        <f>IF(База_КР_КК[[#This Row],[Таб.номер резервиста]]="-","-",IF(OR(База_КР_КК[[#This Row],[Уровень КК]]=2,База_КР_КК[[#This Row],[Уровень КК]]=3),IF(COUNTIFS($U$2:$U2360,$U2360,$F$2:$F2360,$F2360)=1,1,0),IF(COUNTIFS($U$2:$U2360,$U2360,$L$2:$L2360,$L2360)=1,1,0)))</f>
        <v>1</v>
      </c>
      <c r="AA23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0" s="106"/>
      <c r="AC2360" s="51"/>
      <c r="AD2360" s="106" t="s">
        <v>15</v>
      </c>
      <c r="AE2360" s="38" t="s">
        <v>362</v>
      </c>
    </row>
    <row r="2361" spans="1:31" ht="18" customHeight="1" x14ac:dyDescent="0.25">
      <c r="A23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1" s="79">
        <v>4</v>
      </c>
      <c r="C2361" s="23">
        <v>44588</v>
      </c>
      <c r="D2361" s="67">
        <f>IF(COUNTIF($G$2:$G2361,$G2361)=1,1,0)</f>
        <v>0</v>
      </c>
      <c r="E2361" s="67" t="str">
        <f>IFERROR(VLOOKUP(База_КР_КК[[#This Row],[ИД штатной должности (S)]],'уровень защищенности'!$B$7:$F$1095,5,0),"не защищена")</f>
        <v>низкий</v>
      </c>
      <c r="F2361" s="68">
        <v>500102</v>
      </c>
      <c r="G2361" s="74" t="s">
        <v>2709</v>
      </c>
      <c r="H2361" s="181">
        <f>INDEX('Списки данных'!$D$2:$D$1048576,MATCH(База_КР_КК[[#This Row],[Структурное подразделение]],'Списки данных'!$C$2:$C$1048576,0))</f>
        <v>31</v>
      </c>
      <c r="I2361" s="80" t="s">
        <v>156</v>
      </c>
      <c r="J2361" s="80" t="s">
        <v>223</v>
      </c>
      <c r="K2361" s="80" t="s">
        <v>21</v>
      </c>
      <c r="L2361" s="30" t="s">
        <v>189</v>
      </c>
      <c r="M2361" s="68">
        <v>7</v>
      </c>
      <c r="N2361" s="181" t="str">
        <f t="shared" si="37"/>
        <v>да</v>
      </c>
      <c r="O2361" s="23">
        <v>44838</v>
      </c>
      <c r="P2361" s="23">
        <v>44883</v>
      </c>
      <c r="Q2361" s="106" t="s">
        <v>66</v>
      </c>
      <c r="R2361" s="37">
        <v>538</v>
      </c>
      <c r="S2361" s="39" t="s">
        <v>948</v>
      </c>
      <c r="T2361" s="37">
        <v>538</v>
      </c>
      <c r="U2361" s="38" t="s">
        <v>948</v>
      </c>
      <c r="V2361" s="69" t="s">
        <v>189</v>
      </c>
      <c r="W2361" s="89" t="s">
        <v>156</v>
      </c>
      <c r="X2361" s="106" t="s">
        <v>297</v>
      </c>
      <c r="Y2361" s="107" t="s">
        <v>14</v>
      </c>
      <c r="Z2361" s="67">
        <f>IF(База_КР_КК[[#This Row],[Таб.номер резервиста]]="-","-",IF(OR(База_КР_КК[[#This Row],[Уровень КК]]=2,База_КР_КК[[#This Row],[Уровень КК]]=3),IF(COUNTIFS($U$2:$U2361,$U2361,$F$2:$F2361,$F2361)=1,1,0),IF(COUNTIFS($U$2:$U2361,$U2361,$L$2:$L2361,$L2361)=1,1,0)))</f>
        <v>0</v>
      </c>
      <c r="AA23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361" s="106" t="s">
        <v>24</v>
      </c>
      <c r="AC2361" s="51">
        <v>44883</v>
      </c>
      <c r="AD2361" s="106" t="s">
        <v>15</v>
      </c>
      <c r="AE2361" s="38" t="s">
        <v>360</v>
      </c>
    </row>
    <row r="2362" spans="1:31" ht="18" customHeight="1" x14ac:dyDescent="0.25">
      <c r="A23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2" s="79">
        <v>4</v>
      </c>
      <c r="C2362" s="23">
        <v>44588</v>
      </c>
      <c r="D2362" s="67">
        <f>IF(COUNTIF($G$2:$G2362,$G2362)=1,1,0)</f>
        <v>1</v>
      </c>
      <c r="E2362" s="67" t="str">
        <f>IFERROR(VLOOKUP(База_КР_КК[[#This Row],[ИД штатной должности (S)]],'уровень защищенности'!$B$7:$F$1095,5,0),"не защищена")</f>
        <v>высокий</v>
      </c>
      <c r="F2362" s="68">
        <v>500103</v>
      </c>
      <c r="G2362" s="74" t="s">
        <v>2710</v>
      </c>
      <c r="H2362" s="181">
        <f>INDEX('Списки данных'!$D$2:$D$1048576,MATCH(База_КР_КК[[#This Row],[Структурное подразделение]],'Списки данных'!$C$2:$C$1048576,0))</f>
        <v>31</v>
      </c>
      <c r="I2362" s="80" t="s">
        <v>156</v>
      </c>
      <c r="J2362" s="80" t="s">
        <v>223</v>
      </c>
      <c r="K2362" s="80" t="s">
        <v>21</v>
      </c>
      <c r="L2362" s="30" t="s">
        <v>189</v>
      </c>
      <c r="M2362" s="68">
        <v>7</v>
      </c>
      <c r="N2362" s="181" t="str">
        <f t="shared" si="37"/>
        <v>нет</v>
      </c>
      <c r="O2362" s="23"/>
      <c r="P2362" s="23"/>
      <c r="Q2362" s="106"/>
      <c r="R2362" s="37">
        <v>539</v>
      </c>
      <c r="S2362" s="39" t="s">
        <v>949</v>
      </c>
      <c r="T2362" s="37">
        <v>1623</v>
      </c>
      <c r="U2362" s="38" t="s">
        <v>1949</v>
      </c>
      <c r="V2362" s="69" t="s">
        <v>16</v>
      </c>
      <c r="W2362" s="89" t="s">
        <v>156</v>
      </c>
      <c r="X2362" s="106" t="s">
        <v>295</v>
      </c>
      <c r="Y2362" s="107" t="s">
        <v>12</v>
      </c>
      <c r="Z2362" s="67">
        <f>IF(База_КР_КК[[#This Row],[Таб.номер резервиста]]="-","-",IF(OR(База_КР_КК[[#This Row],[Уровень КК]]=2,База_КР_КК[[#This Row],[Уровень КК]]=3),IF(COUNTIFS($U$2:$U2362,$U2362,$F$2:$F2362,$F2362)=1,1,0),IF(COUNTIFS($U$2:$U2362,$U2362,$L$2:$L2362,$L2362)=1,1,0)))</f>
        <v>1</v>
      </c>
      <c r="AA23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2" s="106"/>
      <c r="AC2362" s="51"/>
      <c r="AD2362" s="106" t="s">
        <v>15</v>
      </c>
      <c r="AE2362" s="38" t="s">
        <v>360</v>
      </c>
    </row>
    <row r="2363" spans="1:31" ht="18" customHeight="1" x14ac:dyDescent="0.25">
      <c r="A23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3" s="79">
        <v>4</v>
      </c>
      <c r="C2363" s="23">
        <v>44588</v>
      </c>
      <c r="D2363" s="67">
        <f>IF(COUNTIF($G$2:$G2363,$G2363)=1,1,0)</f>
        <v>0</v>
      </c>
      <c r="E2363" s="67" t="str">
        <f>IFERROR(VLOOKUP(База_КР_КК[[#This Row],[ИД штатной должности (S)]],'уровень защищенности'!$B$7:$F$1095,5,0),"не защищена")</f>
        <v>высокий</v>
      </c>
      <c r="F2363" s="68">
        <v>500103</v>
      </c>
      <c r="G2363" s="74" t="s">
        <v>2710</v>
      </c>
      <c r="H2363" s="181">
        <f>INDEX('Списки данных'!$D$2:$D$1048576,MATCH(База_КР_КК[[#This Row],[Структурное подразделение]],'Списки данных'!$C$2:$C$1048576,0))</f>
        <v>31</v>
      </c>
      <c r="I2363" s="80" t="s">
        <v>156</v>
      </c>
      <c r="J2363" s="80" t="s">
        <v>223</v>
      </c>
      <c r="K2363" s="80" t="s">
        <v>21</v>
      </c>
      <c r="L2363" s="30" t="s">
        <v>189</v>
      </c>
      <c r="M2363" s="68">
        <v>7</v>
      </c>
      <c r="N2363" s="181" t="str">
        <f t="shared" si="37"/>
        <v>нет</v>
      </c>
      <c r="O2363" s="23"/>
      <c r="P2363" s="23"/>
      <c r="Q2363" s="106"/>
      <c r="R2363" s="37">
        <v>539</v>
      </c>
      <c r="S2363" s="39" t="s">
        <v>949</v>
      </c>
      <c r="T2363" s="37">
        <v>1621</v>
      </c>
      <c r="U2363" s="38" t="s">
        <v>1925</v>
      </c>
      <c r="V2363" s="69" t="s">
        <v>16</v>
      </c>
      <c r="W2363" s="89" t="s">
        <v>156</v>
      </c>
      <c r="X2363" s="106" t="s">
        <v>295</v>
      </c>
      <c r="Y2363" s="107" t="s">
        <v>12</v>
      </c>
      <c r="Z2363" s="67">
        <f>IF(База_КР_КК[[#This Row],[Таб.номер резервиста]]="-","-",IF(OR(База_КР_КК[[#This Row],[Уровень КК]]=2,База_КР_КК[[#This Row],[Уровень КК]]=3),IF(COUNTIFS($U$2:$U2363,$U2363,$F$2:$F2363,$F2363)=1,1,0),IF(COUNTIFS($U$2:$U2363,$U2363,$L$2:$L2363,$L2363)=1,1,0)))</f>
        <v>0</v>
      </c>
      <c r="AA23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3" s="106"/>
      <c r="AC2363" s="51"/>
      <c r="AD2363" s="106" t="s">
        <v>15</v>
      </c>
      <c r="AE2363" s="38" t="s">
        <v>360</v>
      </c>
    </row>
    <row r="2364" spans="1:31" ht="18" customHeight="1" x14ac:dyDescent="0.25">
      <c r="A23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4" s="79">
        <v>4</v>
      </c>
      <c r="C2364" s="23">
        <v>44588</v>
      </c>
      <c r="D2364" s="67">
        <f>IF(COUNTIF($G$2:$G2364,$G2364)=1,1,0)</f>
        <v>1</v>
      </c>
      <c r="E2364" s="67" t="str">
        <f>IFERROR(VLOOKUP(База_КР_КК[[#This Row],[ИД штатной должности (S)]],'уровень защищенности'!$B$7:$F$1095,5,0),"не защищена")</f>
        <v>средний</v>
      </c>
      <c r="F2364" s="68">
        <v>500104</v>
      </c>
      <c r="G2364" s="74" t="s">
        <v>2711</v>
      </c>
      <c r="H2364" s="181">
        <f>INDEX('Списки данных'!$D$2:$D$1048576,MATCH(База_КР_КК[[#This Row],[Структурное подразделение]],'Списки данных'!$C$2:$C$1048576,0))</f>
        <v>31</v>
      </c>
      <c r="I2364" s="80" t="s">
        <v>156</v>
      </c>
      <c r="J2364" s="80" t="s">
        <v>223</v>
      </c>
      <c r="K2364" s="80" t="s">
        <v>21</v>
      </c>
      <c r="L2364" s="30" t="s">
        <v>198</v>
      </c>
      <c r="M2364" s="68">
        <v>6</v>
      </c>
      <c r="N2364" s="181" t="str">
        <f t="shared" si="37"/>
        <v>нет</v>
      </c>
      <c r="O2364" s="23"/>
      <c r="P2364" s="23"/>
      <c r="Q2364" s="106"/>
      <c r="R2364" s="37">
        <v>540</v>
      </c>
      <c r="S2364" s="39" t="s">
        <v>950</v>
      </c>
      <c r="T2364" s="37">
        <v>544</v>
      </c>
      <c r="U2364" s="38" t="s">
        <v>954</v>
      </c>
      <c r="V2364" s="69" t="s">
        <v>192</v>
      </c>
      <c r="W2364" s="89" t="s">
        <v>156</v>
      </c>
      <c r="X2364" s="106" t="s">
        <v>297</v>
      </c>
      <c r="Y2364" s="107" t="s">
        <v>12</v>
      </c>
      <c r="Z2364" s="67">
        <f>IF(База_КР_КК[[#This Row],[Таб.номер резервиста]]="-","-",IF(OR(База_КР_КК[[#This Row],[Уровень КК]]=2,База_КР_КК[[#This Row],[Уровень КК]]=3),IF(COUNTIFS($U$2:$U2364,$U2364,$F$2:$F2364,$F2364)=1,1,0),IF(COUNTIFS($U$2:$U2364,$U2364,$L$2:$L2364,$L2364)=1,1,0)))</f>
        <v>1</v>
      </c>
      <c r="AA23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4" s="106"/>
      <c r="AC2364" s="51"/>
      <c r="AD2364" s="106" t="s">
        <v>15</v>
      </c>
      <c r="AE2364" s="38" t="s">
        <v>360</v>
      </c>
    </row>
    <row r="2365" spans="1:31" ht="18" customHeight="1" x14ac:dyDescent="0.25">
      <c r="A23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5" s="79">
        <v>4</v>
      </c>
      <c r="C2365" s="23">
        <v>44588</v>
      </c>
      <c r="D2365" s="67">
        <f>IF(COUNTIF($G$2:$G2365,$G2365)=1,1,0)</f>
        <v>1</v>
      </c>
      <c r="E2365" s="67" t="str">
        <f>IFERROR(VLOOKUP(База_КР_КК[[#This Row],[ИД штатной должности (S)]],'уровень защищенности'!$B$7:$F$1095,5,0),"не защищена")</f>
        <v>средний</v>
      </c>
      <c r="F2365" s="68">
        <v>500105</v>
      </c>
      <c r="G2365" s="74" t="s">
        <v>2712</v>
      </c>
      <c r="H2365" s="181">
        <f>INDEX('Списки данных'!$D$2:$D$1048576,MATCH(База_КР_КК[[#This Row],[Структурное подразделение]],'Списки данных'!$C$2:$C$1048576,0))</f>
        <v>31</v>
      </c>
      <c r="I2365" s="80" t="s">
        <v>156</v>
      </c>
      <c r="J2365" s="80" t="s">
        <v>223</v>
      </c>
      <c r="K2365" s="80" t="s">
        <v>21</v>
      </c>
      <c r="L2365" s="30" t="s">
        <v>191</v>
      </c>
      <c r="M2365" s="68">
        <v>7</v>
      </c>
      <c r="N2365" s="181" t="str">
        <f t="shared" si="37"/>
        <v>нет</v>
      </c>
      <c r="O2365" s="23"/>
      <c r="P2365" s="23"/>
      <c r="Q2365" s="106"/>
      <c r="R2365" s="37">
        <v>541</v>
      </c>
      <c r="S2365" s="39" t="s">
        <v>951</v>
      </c>
      <c r="T2365" s="37">
        <v>1624</v>
      </c>
      <c r="U2365" s="38" t="s">
        <v>1950</v>
      </c>
      <c r="V2365" s="69" t="s">
        <v>272</v>
      </c>
      <c r="W2365" s="89" t="s">
        <v>156</v>
      </c>
      <c r="X2365" s="106" t="s">
        <v>296</v>
      </c>
      <c r="Y2365" s="107" t="s">
        <v>12</v>
      </c>
      <c r="Z2365" s="67">
        <f>IF(База_КР_КК[[#This Row],[Таб.номер резервиста]]="-","-",IF(OR(База_КР_КК[[#This Row],[Уровень КК]]=2,База_КР_КК[[#This Row],[Уровень КК]]=3),IF(COUNTIFS($U$2:$U2365,$U2365,$F$2:$F2365,$F2365)=1,1,0),IF(COUNTIFS($U$2:$U2365,$U2365,$L$2:$L2365,$L2365)=1,1,0)))</f>
        <v>1</v>
      </c>
      <c r="AA23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5" s="106"/>
      <c r="AC2365" s="51"/>
      <c r="AD2365" s="106" t="s">
        <v>15</v>
      </c>
      <c r="AE2365" s="38" t="s">
        <v>360</v>
      </c>
    </row>
    <row r="2366" spans="1:31" ht="18" customHeight="1" x14ac:dyDescent="0.25">
      <c r="A23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6" s="79">
        <v>4</v>
      </c>
      <c r="C2366" s="23">
        <v>44588</v>
      </c>
      <c r="D2366" s="67">
        <f>IF(COUNTIF($G$2:$G2366,$G2366)=1,1,0)</f>
        <v>0</v>
      </c>
      <c r="E2366" s="67" t="str">
        <f>IFERROR(VLOOKUP(База_КР_КК[[#This Row],[ИД штатной должности (S)]],'уровень защищенности'!$B$7:$F$1095,5,0),"не защищена")</f>
        <v>средний</v>
      </c>
      <c r="F2366" s="68">
        <v>500105</v>
      </c>
      <c r="G2366" s="74" t="s">
        <v>2712</v>
      </c>
      <c r="H2366" s="181">
        <f>INDEX('Списки данных'!$D$2:$D$1048576,MATCH(База_КР_КК[[#This Row],[Структурное подразделение]],'Списки данных'!$C$2:$C$1048576,0))</f>
        <v>31</v>
      </c>
      <c r="I2366" s="80" t="s">
        <v>156</v>
      </c>
      <c r="J2366" s="80" t="s">
        <v>223</v>
      </c>
      <c r="K2366" s="80" t="s">
        <v>21</v>
      </c>
      <c r="L2366" s="30" t="s">
        <v>191</v>
      </c>
      <c r="M2366" s="68">
        <v>7</v>
      </c>
      <c r="N2366" s="181" t="str">
        <f t="shared" si="37"/>
        <v>нет</v>
      </c>
      <c r="O2366" s="23"/>
      <c r="P2366" s="23"/>
      <c r="Q2366" s="106"/>
      <c r="R2366" s="37">
        <v>541</v>
      </c>
      <c r="S2366" s="39" t="s">
        <v>951</v>
      </c>
      <c r="T2366" s="37">
        <v>1625</v>
      </c>
      <c r="U2366" s="38" t="s">
        <v>1951</v>
      </c>
      <c r="V2366" s="69" t="s">
        <v>272</v>
      </c>
      <c r="W2366" s="89" t="s">
        <v>156</v>
      </c>
      <c r="X2366" s="106" t="s">
        <v>296</v>
      </c>
      <c r="Y2366" s="107" t="s">
        <v>12</v>
      </c>
      <c r="Z2366" s="67">
        <f>IF(База_КР_КК[[#This Row],[Таб.номер резервиста]]="-","-",IF(OR(База_КР_КК[[#This Row],[Уровень КК]]=2,База_КР_КК[[#This Row],[Уровень КК]]=3),IF(COUNTIFS($U$2:$U2366,$U2366,$F$2:$F2366,$F2366)=1,1,0),IF(COUNTIFS($U$2:$U2366,$U2366,$L$2:$L2366,$L2366)=1,1,0)))</f>
        <v>1</v>
      </c>
      <c r="AA23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6" s="106"/>
      <c r="AC2366" s="51"/>
      <c r="AD2366" s="106" t="s">
        <v>15</v>
      </c>
      <c r="AE2366" s="38" t="s">
        <v>360</v>
      </c>
    </row>
    <row r="2367" spans="1:31" ht="18" customHeight="1" x14ac:dyDescent="0.25">
      <c r="A23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7" s="79">
        <v>4</v>
      </c>
      <c r="C2367" s="23">
        <v>44588</v>
      </c>
      <c r="D2367" s="67">
        <f>IF(COUNTIF($G$2:$G2367,$G2367)=1,1,0)</f>
        <v>0</v>
      </c>
      <c r="E2367" s="67" t="str">
        <f>IFERROR(VLOOKUP(База_КР_КК[[#This Row],[ИД штатной должности (S)]],'уровень защищенности'!$B$7:$F$1095,5,0),"не защищена")</f>
        <v>средний</v>
      </c>
      <c r="F2367" s="68">
        <v>500105</v>
      </c>
      <c r="G2367" s="74" t="s">
        <v>2712</v>
      </c>
      <c r="H2367" s="181">
        <f>INDEX('Списки данных'!$D$2:$D$1048576,MATCH(База_КР_КК[[#This Row],[Структурное подразделение]],'Списки данных'!$C$2:$C$1048576,0))</f>
        <v>31</v>
      </c>
      <c r="I2367" s="80" t="s">
        <v>156</v>
      </c>
      <c r="J2367" s="80" t="s">
        <v>223</v>
      </c>
      <c r="K2367" s="80" t="s">
        <v>21</v>
      </c>
      <c r="L2367" s="30" t="s">
        <v>191</v>
      </c>
      <c r="M2367" s="68">
        <v>7</v>
      </c>
      <c r="N2367" s="181" t="str">
        <f t="shared" ref="N2367:N2430" si="38">IF(ISBLANK(O2367),"нет","да")</f>
        <v>нет</v>
      </c>
      <c r="O2367" s="23"/>
      <c r="P2367" s="23"/>
      <c r="Q2367" s="106"/>
      <c r="R2367" s="37">
        <v>541</v>
      </c>
      <c r="S2367" s="39" t="s">
        <v>951</v>
      </c>
      <c r="T2367" s="37">
        <v>1626</v>
      </c>
      <c r="U2367" s="38" t="s">
        <v>1952</v>
      </c>
      <c r="V2367" s="69" t="s">
        <v>272</v>
      </c>
      <c r="W2367" s="89" t="s">
        <v>156</v>
      </c>
      <c r="X2367" s="106" t="s">
        <v>297</v>
      </c>
      <c r="Y2367" s="107" t="s">
        <v>12</v>
      </c>
      <c r="Z2367" s="67">
        <f>IF(База_КР_КК[[#This Row],[Таб.номер резервиста]]="-","-",IF(OR(База_КР_КК[[#This Row],[Уровень КК]]=2,База_КР_КК[[#This Row],[Уровень КК]]=3),IF(COUNTIFS($U$2:$U2367,$U2367,$F$2:$F2367,$F2367)=1,1,0),IF(COUNTIFS($U$2:$U2367,$U2367,$L$2:$L2367,$L2367)=1,1,0)))</f>
        <v>1</v>
      </c>
      <c r="AA23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7" s="106"/>
      <c r="AC2367" s="51"/>
      <c r="AD2367" s="106" t="s">
        <v>15</v>
      </c>
      <c r="AE2367" s="38" t="s">
        <v>360</v>
      </c>
    </row>
    <row r="2368" spans="1:31" ht="18" customHeight="1" x14ac:dyDescent="0.25">
      <c r="A23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8" s="79">
        <v>4</v>
      </c>
      <c r="C2368" s="23">
        <v>44588</v>
      </c>
      <c r="D2368" s="67">
        <f>IF(COUNTIF($G$2:$G2368,$G2368)=1,1,0)</f>
        <v>0</v>
      </c>
      <c r="E2368" s="67" t="str">
        <f>IFERROR(VLOOKUP(База_КР_КК[[#This Row],[ИД штатной должности (S)]],'уровень защищенности'!$B$7:$F$1095,5,0),"не защищена")</f>
        <v>средний</v>
      </c>
      <c r="F2368" s="68">
        <v>500105</v>
      </c>
      <c r="G2368" s="74" t="s">
        <v>2712</v>
      </c>
      <c r="H2368" s="181">
        <f>INDEX('Списки данных'!$D$2:$D$1048576,MATCH(База_КР_КК[[#This Row],[Структурное подразделение]],'Списки данных'!$C$2:$C$1048576,0))</f>
        <v>31</v>
      </c>
      <c r="I2368" s="80" t="s">
        <v>156</v>
      </c>
      <c r="J2368" s="80" t="s">
        <v>223</v>
      </c>
      <c r="K2368" s="80" t="s">
        <v>21</v>
      </c>
      <c r="L2368" s="30" t="s">
        <v>191</v>
      </c>
      <c r="M2368" s="68">
        <v>7</v>
      </c>
      <c r="N2368" s="181" t="str">
        <f t="shared" si="38"/>
        <v>нет</v>
      </c>
      <c r="O2368" s="23"/>
      <c r="P2368" s="23"/>
      <c r="Q2368" s="106"/>
      <c r="R2368" s="37">
        <v>541</v>
      </c>
      <c r="S2368" s="39" t="s">
        <v>951</v>
      </c>
      <c r="T2368" s="37">
        <v>626</v>
      </c>
      <c r="U2368" s="38" t="s">
        <v>1035</v>
      </c>
      <c r="V2368" s="69" t="s">
        <v>192</v>
      </c>
      <c r="W2368" s="89" t="s">
        <v>156</v>
      </c>
      <c r="X2368" s="106" t="s">
        <v>296</v>
      </c>
      <c r="Y2368" s="107" t="s">
        <v>14</v>
      </c>
      <c r="Z2368" s="67">
        <f>IF(База_КР_КК[[#This Row],[Таб.номер резервиста]]="-","-",IF(OR(База_КР_КК[[#This Row],[Уровень КК]]=2,База_КР_КК[[#This Row],[Уровень КК]]=3),IF(COUNTIFS($U$2:$U2368,$U2368,$F$2:$F2368,$F2368)=1,1,0),IF(COUNTIFS($U$2:$U2368,$U2368,$L$2:$L2368,$L2368)=1,1,0)))</f>
        <v>1</v>
      </c>
      <c r="AA23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8" s="106" t="s">
        <v>37</v>
      </c>
      <c r="AC2368" s="52">
        <v>44991</v>
      </c>
      <c r="AD2368" s="106" t="s">
        <v>15</v>
      </c>
      <c r="AE2368" s="38" t="s">
        <v>360</v>
      </c>
    </row>
    <row r="2369" spans="1:31" ht="18" customHeight="1" x14ac:dyDescent="0.25">
      <c r="A23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69" s="79">
        <v>4</v>
      </c>
      <c r="C2369" s="23">
        <v>44588</v>
      </c>
      <c r="D2369" s="67">
        <f>IF(COUNTIF($G$2:$G2369,$G2369)=1,1,0)</f>
        <v>1</v>
      </c>
      <c r="E2369" s="67" t="str">
        <f>IFERROR(VLOOKUP(База_КР_КК[[#This Row],[ИД штатной должности (S)]],'уровень защищенности'!$B$7:$F$1095,5,0),"не защищена")</f>
        <v>средний</v>
      </c>
      <c r="F2369" s="68">
        <v>500105</v>
      </c>
      <c r="G2369" s="74" t="s">
        <v>2713</v>
      </c>
      <c r="H2369" s="181">
        <f>INDEX('Списки данных'!$D$2:$D$1048576,MATCH(База_КР_КК[[#This Row],[Структурное подразделение]],'Списки данных'!$C$2:$C$1048576,0))</f>
        <v>31</v>
      </c>
      <c r="I2369" s="80" t="s">
        <v>156</v>
      </c>
      <c r="J2369" s="80" t="s">
        <v>223</v>
      </c>
      <c r="K2369" s="80" t="s">
        <v>21</v>
      </c>
      <c r="L2369" s="30" t="s">
        <v>191</v>
      </c>
      <c r="M2369" s="68">
        <v>7</v>
      </c>
      <c r="N2369" s="181" t="str">
        <f t="shared" si="38"/>
        <v>нет</v>
      </c>
      <c r="O2369" s="23"/>
      <c r="P2369" s="23"/>
      <c r="Q2369" s="106"/>
      <c r="R2369" s="37">
        <v>542</v>
      </c>
      <c r="S2369" s="39" t="s">
        <v>952</v>
      </c>
      <c r="T2369" s="37">
        <v>1624</v>
      </c>
      <c r="U2369" s="38" t="s">
        <v>1950</v>
      </c>
      <c r="V2369" s="69" t="s">
        <v>272</v>
      </c>
      <c r="W2369" s="89" t="s">
        <v>156</v>
      </c>
      <c r="X2369" s="106" t="s">
        <v>296</v>
      </c>
      <c r="Y2369" s="107" t="s">
        <v>12</v>
      </c>
      <c r="Z2369" s="67">
        <f>IF(База_КР_КК[[#This Row],[Таб.номер резервиста]]="-","-",IF(OR(База_КР_КК[[#This Row],[Уровень КК]]=2,База_КР_КК[[#This Row],[Уровень КК]]=3),IF(COUNTIFS($U$2:$U2369,$U2369,$F$2:$F2369,$F2369)=1,1,0),IF(COUNTIFS($U$2:$U2369,$U2369,$L$2:$L2369,$L2369)=1,1,0)))</f>
        <v>0</v>
      </c>
      <c r="AA23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69" s="106"/>
      <c r="AC2369" s="51"/>
      <c r="AD2369" s="106" t="s">
        <v>15</v>
      </c>
      <c r="AE2369" s="38" t="s">
        <v>360</v>
      </c>
    </row>
    <row r="2370" spans="1:31" ht="18" customHeight="1" x14ac:dyDescent="0.25">
      <c r="A23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0" s="79">
        <v>4</v>
      </c>
      <c r="C2370" s="23">
        <v>44588</v>
      </c>
      <c r="D2370" s="67">
        <f>IF(COUNTIF($G$2:$G2370,$G2370)=1,1,0)</f>
        <v>0</v>
      </c>
      <c r="E2370" s="67" t="str">
        <f>IFERROR(VLOOKUP(База_КР_КК[[#This Row],[ИД штатной должности (S)]],'уровень защищенности'!$B$7:$F$1095,5,0),"не защищена")</f>
        <v>средний</v>
      </c>
      <c r="F2370" s="68">
        <v>500105</v>
      </c>
      <c r="G2370" s="74" t="s">
        <v>2713</v>
      </c>
      <c r="H2370" s="181">
        <f>INDEX('Списки данных'!$D$2:$D$1048576,MATCH(База_КР_КК[[#This Row],[Структурное подразделение]],'Списки данных'!$C$2:$C$1048576,0))</f>
        <v>31</v>
      </c>
      <c r="I2370" s="80" t="s">
        <v>156</v>
      </c>
      <c r="J2370" s="80" t="s">
        <v>223</v>
      </c>
      <c r="K2370" s="80" t="s">
        <v>21</v>
      </c>
      <c r="L2370" s="30" t="s">
        <v>191</v>
      </c>
      <c r="M2370" s="68">
        <v>7</v>
      </c>
      <c r="N2370" s="181" t="str">
        <f t="shared" si="38"/>
        <v>нет</v>
      </c>
      <c r="O2370" s="23"/>
      <c r="P2370" s="23"/>
      <c r="Q2370" s="106"/>
      <c r="R2370" s="37">
        <v>542</v>
      </c>
      <c r="S2370" s="39" t="s">
        <v>952</v>
      </c>
      <c r="T2370" s="37">
        <v>1625</v>
      </c>
      <c r="U2370" s="38" t="s">
        <v>1951</v>
      </c>
      <c r="V2370" s="69" t="s">
        <v>272</v>
      </c>
      <c r="W2370" s="89" t="s">
        <v>156</v>
      </c>
      <c r="X2370" s="106" t="s">
        <v>296</v>
      </c>
      <c r="Y2370" s="107" t="s">
        <v>12</v>
      </c>
      <c r="Z2370" s="67">
        <f>IF(База_КР_КК[[#This Row],[Таб.номер резервиста]]="-","-",IF(OR(База_КР_КК[[#This Row],[Уровень КК]]=2,База_КР_КК[[#This Row],[Уровень КК]]=3),IF(COUNTIFS($U$2:$U2370,$U2370,$F$2:$F2370,$F2370)=1,1,0),IF(COUNTIFS($U$2:$U2370,$U2370,$L$2:$L2370,$L2370)=1,1,0)))</f>
        <v>0</v>
      </c>
      <c r="AA23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0" s="106"/>
      <c r="AC2370" s="51"/>
      <c r="AD2370" s="106" t="s">
        <v>15</v>
      </c>
      <c r="AE2370" s="38" t="s">
        <v>360</v>
      </c>
    </row>
    <row r="2371" spans="1:31" ht="18" customHeight="1" x14ac:dyDescent="0.25">
      <c r="A23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1" s="79">
        <v>4</v>
      </c>
      <c r="C2371" s="23">
        <v>44588</v>
      </c>
      <c r="D2371" s="67">
        <f>IF(COUNTIF($G$2:$G2371,$G2371)=1,1,0)</f>
        <v>0</v>
      </c>
      <c r="E2371" s="67" t="str">
        <f>IFERROR(VLOOKUP(База_КР_КК[[#This Row],[ИД штатной должности (S)]],'уровень защищенности'!$B$7:$F$1095,5,0),"не защищена")</f>
        <v>средний</v>
      </c>
      <c r="F2371" s="68">
        <v>500105</v>
      </c>
      <c r="G2371" s="74" t="s">
        <v>2713</v>
      </c>
      <c r="H2371" s="181">
        <f>INDEX('Списки данных'!$D$2:$D$1048576,MATCH(База_КР_КК[[#This Row],[Структурное подразделение]],'Списки данных'!$C$2:$C$1048576,0))</f>
        <v>31</v>
      </c>
      <c r="I2371" s="80" t="s">
        <v>156</v>
      </c>
      <c r="J2371" s="80" t="s">
        <v>223</v>
      </c>
      <c r="K2371" s="80" t="s">
        <v>21</v>
      </c>
      <c r="L2371" s="30" t="s">
        <v>191</v>
      </c>
      <c r="M2371" s="68">
        <v>7</v>
      </c>
      <c r="N2371" s="181" t="str">
        <f t="shared" si="38"/>
        <v>нет</v>
      </c>
      <c r="O2371" s="23"/>
      <c r="P2371" s="23"/>
      <c r="Q2371" s="106"/>
      <c r="R2371" s="37">
        <v>542</v>
      </c>
      <c r="S2371" s="39" t="s">
        <v>952</v>
      </c>
      <c r="T2371" s="37">
        <v>1626</v>
      </c>
      <c r="U2371" s="38" t="s">
        <v>1952</v>
      </c>
      <c r="V2371" s="69" t="s">
        <v>272</v>
      </c>
      <c r="W2371" s="89" t="s">
        <v>156</v>
      </c>
      <c r="X2371" s="106" t="s">
        <v>297</v>
      </c>
      <c r="Y2371" s="107" t="s">
        <v>12</v>
      </c>
      <c r="Z2371" s="67">
        <f>IF(База_КР_КК[[#This Row],[Таб.номер резервиста]]="-","-",IF(OR(База_КР_КК[[#This Row],[Уровень КК]]=2,База_КР_КК[[#This Row],[Уровень КК]]=3),IF(COUNTIFS($U$2:$U2371,$U2371,$F$2:$F2371,$F2371)=1,1,0),IF(COUNTIFS($U$2:$U2371,$U2371,$L$2:$L2371,$L2371)=1,1,0)))</f>
        <v>0</v>
      </c>
      <c r="AA23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1" s="106"/>
      <c r="AC2371" s="51"/>
      <c r="AD2371" s="106" t="s">
        <v>15</v>
      </c>
      <c r="AE2371" s="38" t="s">
        <v>360</v>
      </c>
    </row>
    <row r="2372" spans="1:31" ht="18" customHeight="1" x14ac:dyDescent="0.25">
      <c r="A23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2" s="79">
        <v>4</v>
      </c>
      <c r="C2372" s="23">
        <v>44588</v>
      </c>
      <c r="D2372" s="67">
        <f>IF(COUNTIF($G$2:$G2372,$G2372)=1,1,0)</f>
        <v>0</v>
      </c>
      <c r="E2372" s="67" t="str">
        <f>IFERROR(VLOOKUP(База_КР_КК[[#This Row],[ИД штатной должности (S)]],'уровень защищенности'!$B$7:$F$1095,5,0),"не защищена")</f>
        <v>средний</v>
      </c>
      <c r="F2372" s="68">
        <v>500105</v>
      </c>
      <c r="G2372" s="74" t="s">
        <v>2713</v>
      </c>
      <c r="H2372" s="181">
        <f>INDEX('Списки данных'!$D$2:$D$1048576,MATCH(База_КР_КК[[#This Row],[Структурное подразделение]],'Списки данных'!$C$2:$C$1048576,0))</f>
        <v>31</v>
      </c>
      <c r="I2372" s="80" t="s">
        <v>156</v>
      </c>
      <c r="J2372" s="80" t="s">
        <v>223</v>
      </c>
      <c r="K2372" s="80" t="s">
        <v>21</v>
      </c>
      <c r="L2372" s="30" t="s">
        <v>191</v>
      </c>
      <c r="M2372" s="68">
        <v>7</v>
      </c>
      <c r="N2372" s="181" t="str">
        <f t="shared" si="38"/>
        <v>нет</v>
      </c>
      <c r="O2372" s="23"/>
      <c r="P2372" s="23"/>
      <c r="Q2372" s="106"/>
      <c r="R2372" s="37">
        <v>542</v>
      </c>
      <c r="S2372" s="39" t="s">
        <v>952</v>
      </c>
      <c r="T2372" s="37">
        <v>626</v>
      </c>
      <c r="U2372" s="38" t="s">
        <v>1035</v>
      </c>
      <c r="V2372" s="69" t="s">
        <v>192</v>
      </c>
      <c r="W2372" s="89" t="s">
        <v>156</v>
      </c>
      <c r="X2372" s="106" t="s">
        <v>296</v>
      </c>
      <c r="Y2372" s="107" t="s">
        <v>18</v>
      </c>
      <c r="Z2372" s="67">
        <f>IF(База_КР_КК[[#This Row],[Таб.номер резервиста]]="-","-",IF(OR(База_КР_КК[[#This Row],[Уровень КК]]=2,База_КР_КК[[#This Row],[Уровень КК]]=3),IF(COUNTIFS($U$2:$U2372,$U2372,$F$2:$F2372,$F2372)=1,1,0),IF(COUNTIFS($U$2:$U2372,$U2372,$L$2:$L2372,$L2372)=1,1,0)))</f>
        <v>0</v>
      </c>
      <c r="AA23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2" s="106" t="s">
        <v>37</v>
      </c>
      <c r="AC2372" s="52">
        <v>44991</v>
      </c>
      <c r="AD2372" s="106" t="s">
        <v>15</v>
      </c>
      <c r="AE2372" s="38" t="s">
        <v>360</v>
      </c>
    </row>
    <row r="2373" spans="1:31" ht="18" customHeight="1" x14ac:dyDescent="0.25">
      <c r="A23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3" s="79">
        <v>4</v>
      </c>
      <c r="C2373" s="23">
        <v>44588</v>
      </c>
      <c r="D2373" s="67">
        <f>IF(COUNTIF($G$2:$G2373,$G2373)=1,1,0)</f>
        <v>1</v>
      </c>
      <c r="E2373" s="67" t="str">
        <f>IFERROR(VLOOKUP(База_КР_КК[[#This Row],[ИД штатной должности (S)]],'уровень защищенности'!$B$7:$F$1095,5,0),"не защищена")</f>
        <v>средний</v>
      </c>
      <c r="F2373" s="68">
        <v>500106</v>
      </c>
      <c r="G2373" s="74" t="s">
        <v>2714</v>
      </c>
      <c r="H2373" s="181">
        <f>INDEX('Списки данных'!$D$2:$D$1048576,MATCH(База_КР_КК[[#This Row],[Структурное подразделение]],'Списки данных'!$C$2:$C$1048576,0))</f>
        <v>31</v>
      </c>
      <c r="I2373" s="80" t="s">
        <v>156</v>
      </c>
      <c r="J2373" s="80" t="s">
        <v>223</v>
      </c>
      <c r="K2373" s="80" t="s">
        <v>21</v>
      </c>
      <c r="L2373" s="30" t="s">
        <v>192</v>
      </c>
      <c r="M2373" s="68">
        <v>7</v>
      </c>
      <c r="N2373" s="181" t="str">
        <f t="shared" si="38"/>
        <v>нет</v>
      </c>
      <c r="O2373" s="23"/>
      <c r="P2373" s="23"/>
      <c r="Q2373" s="106"/>
      <c r="R2373" s="37">
        <v>543</v>
      </c>
      <c r="S2373" s="39" t="s">
        <v>953</v>
      </c>
      <c r="T2373" s="37">
        <v>1624</v>
      </c>
      <c r="U2373" s="38" t="s">
        <v>1950</v>
      </c>
      <c r="V2373" s="69" t="s">
        <v>272</v>
      </c>
      <c r="W2373" s="89" t="s">
        <v>156</v>
      </c>
      <c r="X2373" s="106" t="s">
        <v>296</v>
      </c>
      <c r="Y2373" s="107" t="s">
        <v>12</v>
      </c>
      <c r="Z2373" s="67">
        <f>IF(База_КР_КК[[#This Row],[Таб.номер резервиста]]="-","-",IF(OR(База_КР_КК[[#This Row],[Уровень КК]]=2,База_КР_КК[[#This Row],[Уровень КК]]=3),IF(COUNTIFS($U$2:$U2373,$U2373,$F$2:$F2373,$F2373)=1,1,0),IF(COUNTIFS($U$2:$U2373,$U2373,$L$2:$L2373,$L2373)=1,1,0)))</f>
        <v>1</v>
      </c>
      <c r="AA23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3" s="106"/>
      <c r="AC2373" s="51"/>
      <c r="AD2373" s="106" t="s">
        <v>15</v>
      </c>
      <c r="AE2373" s="38" t="s">
        <v>360</v>
      </c>
    </row>
    <row r="2374" spans="1:31" ht="18" customHeight="1" x14ac:dyDescent="0.25">
      <c r="A23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4" s="79">
        <v>4</v>
      </c>
      <c r="C2374" s="23">
        <v>44588</v>
      </c>
      <c r="D2374" s="67">
        <f>IF(COUNTIF($G$2:$G2374,$G2374)=1,1,0)</f>
        <v>0</v>
      </c>
      <c r="E2374" s="67" t="str">
        <f>IFERROR(VLOOKUP(База_КР_КК[[#This Row],[ИД штатной должности (S)]],'уровень защищенности'!$B$7:$F$1095,5,0),"не защищена")</f>
        <v>средний</v>
      </c>
      <c r="F2374" s="68">
        <v>500106</v>
      </c>
      <c r="G2374" s="74" t="s">
        <v>2714</v>
      </c>
      <c r="H2374" s="181">
        <f>INDEX('Списки данных'!$D$2:$D$1048576,MATCH(База_КР_КК[[#This Row],[Структурное подразделение]],'Списки данных'!$C$2:$C$1048576,0))</f>
        <v>31</v>
      </c>
      <c r="I2374" s="80" t="s">
        <v>156</v>
      </c>
      <c r="J2374" s="80" t="s">
        <v>223</v>
      </c>
      <c r="K2374" s="80" t="s">
        <v>21</v>
      </c>
      <c r="L2374" s="30" t="s">
        <v>192</v>
      </c>
      <c r="M2374" s="68">
        <v>7</v>
      </c>
      <c r="N2374" s="181" t="str">
        <f t="shared" si="38"/>
        <v>нет</v>
      </c>
      <c r="O2374" s="23"/>
      <c r="P2374" s="23"/>
      <c r="Q2374" s="106"/>
      <c r="R2374" s="37">
        <v>543</v>
      </c>
      <c r="S2374" s="39" t="s">
        <v>953</v>
      </c>
      <c r="T2374" s="37">
        <v>626</v>
      </c>
      <c r="U2374" s="38" t="s">
        <v>1035</v>
      </c>
      <c r="V2374" s="69" t="s">
        <v>192</v>
      </c>
      <c r="W2374" s="89" t="s">
        <v>156</v>
      </c>
      <c r="X2374" s="106" t="s">
        <v>296</v>
      </c>
      <c r="Y2374" s="107" t="s">
        <v>12</v>
      </c>
      <c r="Z2374" s="67">
        <f>IF(База_КР_КК[[#This Row],[Таб.номер резервиста]]="-","-",IF(OR(База_КР_КК[[#This Row],[Уровень КК]]=2,База_КР_КК[[#This Row],[Уровень КК]]=3),IF(COUNTIFS($U$2:$U2374,$U2374,$F$2:$F2374,$F2374)=1,1,0),IF(COUNTIFS($U$2:$U2374,$U2374,$L$2:$L2374,$L2374)=1,1,0)))</f>
        <v>1</v>
      </c>
      <c r="AA23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4" s="106"/>
      <c r="AC2374" s="51"/>
      <c r="AD2374" s="106" t="s">
        <v>15</v>
      </c>
      <c r="AE2374" s="38" t="s">
        <v>360</v>
      </c>
    </row>
    <row r="2375" spans="1:31" ht="18" customHeight="1" x14ac:dyDescent="0.25">
      <c r="A23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5" s="79">
        <v>4</v>
      </c>
      <c r="C2375" s="23">
        <v>44588</v>
      </c>
      <c r="D2375" s="67">
        <f>IF(COUNTIF($G$2:$G2375,$G2375)=1,1,0)</f>
        <v>0</v>
      </c>
      <c r="E2375" s="67" t="str">
        <f>IFERROR(VLOOKUP(База_КР_КК[[#This Row],[ИД штатной должности (S)]],'уровень защищенности'!$B$7:$F$1095,5,0),"не защищена")</f>
        <v>средний</v>
      </c>
      <c r="F2375" s="68">
        <v>500106</v>
      </c>
      <c r="G2375" s="74" t="s">
        <v>2714</v>
      </c>
      <c r="H2375" s="181">
        <f>INDEX('Списки данных'!$D$2:$D$1048576,MATCH(База_КР_КК[[#This Row],[Структурное подразделение]],'Списки данных'!$C$2:$C$1048576,0))</f>
        <v>31</v>
      </c>
      <c r="I2375" s="80" t="s">
        <v>156</v>
      </c>
      <c r="J2375" s="80" t="s">
        <v>223</v>
      </c>
      <c r="K2375" s="80" t="s">
        <v>21</v>
      </c>
      <c r="L2375" s="30" t="s">
        <v>192</v>
      </c>
      <c r="M2375" s="68">
        <v>7</v>
      </c>
      <c r="N2375" s="181" t="str">
        <f t="shared" si="38"/>
        <v>нет</v>
      </c>
      <c r="O2375" s="23"/>
      <c r="P2375" s="23"/>
      <c r="Q2375" s="106"/>
      <c r="R2375" s="37">
        <v>543</v>
      </c>
      <c r="S2375" s="39" t="s">
        <v>953</v>
      </c>
      <c r="T2375" s="37">
        <v>1625</v>
      </c>
      <c r="U2375" s="38" t="s">
        <v>1951</v>
      </c>
      <c r="V2375" s="69" t="s">
        <v>272</v>
      </c>
      <c r="W2375" s="89" t="s">
        <v>156</v>
      </c>
      <c r="X2375" s="106" t="s">
        <v>296</v>
      </c>
      <c r="Y2375" s="107" t="s">
        <v>12</v>
      </c>
      <c r="Z2375" s="67">
        <f>IF(База_КР_КК[[#This Row],[Таб.номер резервиста]]="-","-",IF(OR(База_КР_КК[[#This Row],[Уровень КК]]=2,База_КР_КК[[#This Row],[Уровень КК]]=3),IF(COUNTIFS($U$2:$U2375,$U2375,$F$2:$F2375,$F2375)=1,1,0),IF(COUNTIFS($U$2:$U2375,$U2375,$L$2:$L2375,$L2375)=1,1,0)))</f>
        <v>1</v>
      </c>
      <c r="AA23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5" s="106"/>
      <c r="AC2375" s="51"/>
      <c r="AD2375" s="106" t="s">
        <v>15</v>
      </c>
      <c r="AE2375" s="38" t="s">
        <v>360</v>
      </c>
    </row>
    <row r="2376" spans="1:31" ht="18" customHeight="1" x14ac:dyDescent="0.25">
      <c r="A23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6" s="79">
        <v>4</v>
      </c>
      <c r="C2376" s="23">
        <v>44588</v>
      </c>
      <c r="D2376" s="67">
        <f>IF(COUNTIF($G$2:$G2376,$G2376)=1,1,0)</f>
        <v>0</v>
      </c>
      <c r="E2376" s="67" t="str">
        <f>IFERROR(VLOOKUP(База_КР_КК[[#This Row],[ИД штатной должности (S)]],'уровень защищенности'!$B$7:$F$1095,5,0),"не защищена")</f>
        <v>средний</v>
      </c>
      <c r="F2376" s="68">
        <v>500106</v>
      </c>
      <c r="G2376" s="74" t="s">
        <v>2714</v>
      </c>
      <c r="H2376" s="181">
        <f>INDEX('Списки данных'!$D$2:$D$1048576,MATCH(База_КР_КК[[#This Row],[Структурное подразделение]],'Списки данных'!$C$2:$C$1048576,0))</f>
        <v>31</v>
      </c>
      <c r="I2376" s="80" t="s">
        <v>156</v>
      </c>
      <c r="J2376" s="80" t="s">
        <v>223</v>
      </c>
      <c r="K2376" s="80" t="s">
        <v>21</v>
      </c>
      <c r="L2376" s="30" t="s">
        <v>192</v>
      </c>
      <c r="M2376" s="68">
        <v>7</v>
      </c>
      <c r="N2376" s="181" t="str">
        <f t="shared" si="38"/>
        <v>нет</v>
      </c>
      <c r="O2376" s="23"/>
      <c r="P2376" s="23"/>
      <c r="Q2376" s="106"/>
      <c r="R2376" s="37">
        <v>543</v>
      </c>
      <c r="S2376" s="39" t="s">
        <v>953</v>
      </c>
      <c r="T2376" s="37">
        <v>1626</v>
      </c>
      <c r="U2376" s="38" t="s">
        <v>1952</v>
      </c>
      <c r="V2376" s="69" t="s">
        <v>272</v>
      </c>
      <c r="W2376" s="89" t="s">
        <v>156</v>
      </c>
      <c r="X2376" s="106" t="s">
        <v>297</v>
      </c>
      <c r="Y2376" s="107" t="s">
        <v>12</v>
      </c>
      <c r="Z2376" s="67">
        <f>IF(База_КР_КК[[#This Row],[Таб.номер резервиста]]="-","-",IF(OR(База_КР_КК[[#This Row],[Уровень КК]]=2,База_КР_КК[[#This Row],[Уровень КК]]=3),IF(COUNTIFS($U$2:$U2376,$U2376,$F$2:$F2376,$F2376)=1,1,0),IF(COUNTIFS($U$2:$U2376,$U2376,$L$2:$L2376,$L2376)=1,1,0)))</f>
        <v>1</v>
      </c>
      <c r="AA23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6" s="106"/>
      <c r="AC2376" s="51"/>
      <c r="AD2376" s="106" t="s">
        <v>15</v>
      </c>
      <c r="AE2376" s="38" t="s">
        <v>360</v>
      </c>
    </row>
    <row r="2377" spans="1:31" ht="18" customHeight="1" x14ac:dyDescent="0.25">
      <c r="A23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7" s="79">
        <v>4</v>
      </c>
      <c r="C2377" s="23">
        <v>44588</v>
      </c>
      <c r="D2377" s="67">
        <f>IF(COUNTIF($G$2:$G2377,$G2377)=1,1,0)</f>
        <v>1</v>
      </c>
      <c r="E2377" s="67" t="str">
        <f>IFERROR(VLOOKUP(База_КР_КК[[#This Row],[ИД штатной должности (S)]],'уровень защищенности'!$B$7:$F$1095,5,0),"не защищена")</f>
        <v>средний</v>
      </c>
      <c r="F2377" s="68">
        <v>500107</v>
      </c>
      <c r="G2377" s="74" t="s">
        <v>2715</v>
      </c>
      <c r="H2377" s="181">
        <f>INDEX('Списки данных'!$D$2:$D$1048576,MATCH(База_КР_КК[[#This Row],[Структурное подразделение]],'Списки данных'!$C$2:$C$1048576,0))</f>
        <v>31</v>
      </c>
      <c r="I2377" s="80" t="s">
        <v>156</v>
      </c>
      <c r="J2377" s="80" t="s">
        <v>223</v>
      </c>
      <c r="K2377" s="80" t="s">
        <v>21</v>
      </c>
      <c r="L2377" s="30" t="s">
        <v>192</v>
      </c>
      <c r="M2377" s="68">
        <v>7</v>
      </c>
      <c r="N2377" s="181" t="str">
        <f t="shared" si="38"/>
        <v>нет</v>
      </c>
      <c r="O2377" s="23"/>
      <c r="P2377" s="23"/>
      <c r="Q2377" s="106"/>
      <c r="R2377" s="37">
        <v>544</v>
      </c>
      <c r="S2377" s="39" t="s">
        <v>954</v>
      </c>
      <c r="T2377" s="37">
        <v>1626</v>
      </c>
      <c r="U2377" s="38" t="s">
        <v>1952</v>
      </c>
      <c r="V2377" s="69" t="s">
        <v>272</v>
      </c>
      <c r="W2377" s="89" t="s">
        <v>156</v>
      </c>
      <c r="X2377" s="106" t="s">
        <v>297</v>
      </c>
      <c r="Y2377" s="107" t="s">
        <v>12</v>
      </c>
      <c r="Z2377" s="67">
        <f>IF(База_КР_КК[[#This Row],[Таб.номер резервиста]]="-","-",IF(OR(База_КР_КК[[#This Row],[Уровень КК]]=2,База_КР_КК[[#This Row],[Уровень КК]]=3),IF(COUNTIFS($U$2:$U2377,$U2377,$F$2:$F2377,$F2377)=1,1,0),IF(COUNTIFS($U$2:$U2377,$U2377,$L$2:$L2377,$L2377)=1,1,0)))</f>
        <v>0</v>
      </c>
      <c r="AA23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7" s="106"/>
      <c r="AC2377" s="51"/>
      <c r="AD2377" s="106" t="s">
        <v>15</v>
      </c>
      <c r="AE2377" s="38" t="s">
        <v>360</v>
      </c>
    </row>
    <row r="2378" spans="1:31" ht="18" customHeight="1" x14ac:dyDescent="0.25">
      <c r="A23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8" s="79">
        <v>4</v>
      </c>
      <c r="C2378" s="23">
        <v>44588</v>
      </c>
      <c r="D2378" s="67">
        <f>IF(COUNTIF($G$2:$G2378,$G2378)=1,1,0)</f>
        <v>0</v>
      </c>
      <c r="E2378" s="67" t="str">
        <f>IFERROR(VLOOKUP(База_КР_КК[[#This Row],[ИД штатной должности (S)]],'уровень защищенности'!$B$7:$F$1095,5,0),"не защищена")</f>
        <v>средний</v>
      </c>
      <c r="F2378" s="68">
        <v>500107</v>
      </c>
      <c r="G2378" s="74" t="s">
        <v>2715</v>
      </c>
      <c r="H2378" s="181">
        <f>INDEX('Списки данных'!$D$2:$D$1048576,MATCH(База_КР_КК[[#This Row],[Структурное подразделение]],'Списки данных'!$C$2:$C$1048576,0))</f>
        <v>31</v>
      </c>
      <c r="I2378" s="80" t="s">
        <v>156</v>
      </c>
      <c r="J2378" s="80" t="s">
        <v>223</v>
      </c>
      <c r="K2378" s="80" t="s">
        <v>21</v>
      </c>
      <c r="L2378" s="30" t="s">
        <v>192</v>
      </c>
      <c r="M2378" s="68">
        <v>7</v>
      </c>
      <c r="N2378" s="181" t="str">
        <f t="shared" si="38"/>
        <v>нет</v>
      </c>
      <c r="O2378" s="23"/>
      <c r="P2378" s="23"/>
      <c r="Q2378" s="106"/>
      <c r="R2378" s="37">
        <v>544</v>
      </c>
      <c r="S2378" s="39" t="s">
        <v>954</v>
      </c>
      <c r="T2378" s="37">
        <v>1627</v>
      </c>
      <c r="U2378" s="38" t="s">
        <v>1819</v>
      </c>
      <c r="V2378" s="69" t="s">
        <v>272</v>
      </c>
      <c r="W2378" s="89" t="s">
        <v>156</v>
      </c>
      <c r="X2378" s="106" t="s">
        <v>296</v>
      </c>
      <c r="Y2378" s="107" t="s">
        <v>12</v>
      </c>
      <c r="Z2378" s="67">
        <f>IF(База_КР_КК[[#This Row],[Таб.номер резервиста]]="-","-",IF(OR(База_КР_КК[[#This Row],[Уровень КК]]=2,База_КР_КК[[#This Row],[Уровень КК]]=3),IF(COUNTIFS($U$2:$U2378,$U2378,$F$2:$F2378,$F2378)=1,1,0),IF(COUNTIFS($U$2:$U2378,$U2378,$L$2:$L2378,$L2378)=1,1,0)))</f>
        <v>0</v>
      </c>
      <c r="AA23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8" s="106"/>
      <c r="AC2378" s="51"/>
      <c r="AD2378" s="106" t="s">
        <v>15</v>
      </c>
      <c r="AE2378" s="38" t="s">
        <v>360</v>
      </c>
    </row>
    <row r="2379" spans="1:31" ht="18" customHeight="1" x14ac:dyDescent="0.25">
      <c r="A23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79" s="79">
        <v>4</v>
      </c>
      <c r="C2379" s="23">
        <v>44588</v>
      </c>
      <c r="D2379" s="67">
        <f>IF(COUNTIF($G$2:$G2379,$G2379)=1,1,0)</f>
        <v>0</v>
      </c>
      <c r="E2379" s="67" t="str">
        <f>IFERROR(VLOOKUP(База_КР_КК[[#This Row],[ИД штатной должности (S)]],'уровень защищенности'!$B$7:$F$1095,5,0),"не защищена")</f>
        <v>средний</v>
      </c>
      <c r="F2379" s="68">
        <v>500107</v>
      </c>
      <c r="G2379" s="74" t="s">
        <v>2715</v>
      </c>
      <c r="H2379" s="181">
        <f>INDEX('Списки данных'!$D$2:$D$1048576,MATCH(База_КР_КК[[#This Row],[Структурное подразделение]],'Списки данных'!$C$2:$C$1048576,0))</f>
        <v>31</v>
      </c>
      <c r="I2379" s="80" t="s">
        <v>156</v>
      </c>
      <c r="J2379" s="80" t="s">
        <v>223</v>
      </c>
      <c r="K2379" s="80" t="s">
        <v>21</v>
      </c>
      <c r="L2379" s="30" t="s">
        <v>192</v>
      </c>
      <c r="M2379" s="68">
        <v>7</v>
      </c>
      <c r="N2379" s="181" t="str">
        <f t="shared" si="38"/>
        <v>нет</v>
      </c>
      <c r="O2379" s="23"/>
      <c r="P2379" s="23"/>
      <c r="Q2379" s="106"/>
      <c r="R2379" s="37">
        <v>544</v>
      </c>
      <c r="S2379" s="39" t="s">
        <v>954</v>
      </c>
      <c r="T2379" s="37">
        <v>1628</v>
      </c>
      <c r="U2379" s="38" t="s">
        <v>1884</v>
      </c>
      <c r="V2379" s="69" t="s">
        <v>272</v>
      </c>
      <c r="W2379" s="89" t="s">
        <v>156</v>
      </c>
      <c r="X2379" s="106" t="s">
        <v>297</v>
      </c>
      <c r="Y2379" s="107" t="s">
        <v>12</v>
      </c>
      <c r="Z2379" s="67">
        <f>IF(База_КР_КК[[#This Row],[Таб.номер резервиста]]="-","-",IF(OR(База_КР_КК[[#This Row],[Уровень КК]]=2,База_КР_КК[[#This Row],[Уровень КК]]=3),IF(COUNTIFS($U$2:$U2379,$U2379,$F$2:$F2379,$F2379)=1,1,0),IF(COUNTIFS($U$2:$U2379,$U2379,$L$2:$L2379,$L2379)=1,1,0)))</f>
        <v>0</v>
      </c>
      <c r="AA23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79" s="106"/>
      <c r="AC2379" s="51"/>
      <c r="AD2379" s="106" t="s">
        <v>15</v>
      </c>
      <c r="AE2379" s="38" t="s">
        <v>360</v>
      </c>
    </row>
    <row r="2380" spans="1:31" ht="18" customHeight="1" x14ac:dyDescent="0.25">
      <c r="A23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0" s="79">
        <v>4</v>
      </c>
      <c r="C2380" s="23">
        <v>44588</v>
      </c>
      <c r="D2380" s="67">
        <f>IF(COUNTIF($G$2:$G2380,$G2380)=1,1,0)</f>
        <v>1</v>
      </c>
      <c r="E2380" s="67" t="str">
        <f>IFERROR(VLOOKUP(База_КР_КК[[#This Row],[ИД штатной должности (S)]],'уровень защищенности'!$B$7:$F$1095,5,0),"не защищена")</f>
        <v>средний</v>
      </c>
      <c r="F2380" s="68">
        <v>500108</v>
      </c>
      <c r="G2380" s="74" t="s">
        <v>2716</v>
      </c>
      <c r="H2380" s="181">
        <f>INDEX('Списки данных'!$D$2:$D$1048576,MATCH(База_КР_КК[[#This Row],[Структурное подразделение]],'Списки данных'!$C$2:$C$1048576,0))</f>
        <v>31</v>
      </c>
      <c r="I2380" s="80" t="s">
        <v>156</v>
      </c>
      <c r="J2380" s="80" t="s">
        <v>223</v>
      </c>
      <c r="K2380" s="80" t="s">
        <v>21</v>
      </c>
      <c r="L2380" s="30" t="s">
        <v>192</v>
      </c>
      <c r="M2380" s="68">
        <v>7</v>
      </c>
      <c r="N2380" s="181" t="str">
        <f t="shared" si="38"/>
        <v>нет</v>
      </c>
      <c r="O2380" s="23"/>
      <c r="P2380" s="23"/>
      <c r="Q2380" s="106"/>
      <c r="R2380" s="37">
        <v>545</v>
      </c>
      <c r="S2380" s="39" t="s">
        <v>955</v>
      </c>
      <c r="T2380" s="37">
        <v>1628</v>
      </c>
      <c r="U2380" s="38" t="s">
        <v>1884</v>
      </c>
      <c r="V2380" s="69" t="s">
        <v>272</v>
      </c>
      <c r="W2380" s="89" t="s">
        <v>156</v>
      </c>
      <c r="X2380" s="106" t="s">
        <v>297</v>
      </c>
      <c r="Y2380" s="107" t="s">
        <v>12</v>
      </c>
      <c r="Z2380" s="67">
        <f>IF(База_КР_КК[[#This Row],[Таб.номер резервиста]]="-","-",IF(OR(База_КР_КК[[#This Row],[Уровень КК]]=2,База_КР_КК[[#This Row],[Уровень КК]]=3),IF(COUNTIFS($U$2:$U2380,$U2380,$F$2:$F2380,$F2380)=1,1,0),IF(COUNTIFS($U$2:$U2380,$U2380,$L$2:$L2380,$L2380)=1,1,0)))</f>
        <v>0</v>
      </c>
      <c r="AA23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0" s="106"/>
      <c r="AC2380" s="51"/>
      <c r="AD2380" s="106" t="s">
        <v>15</v>
      </c>
      <c r="AE2380" s="38" t="s">
        <v>360</v>
      </c>
    </row>
    <row r="2381" spans="1:31" ht="18" customHeight="1" x14ac:dyDescent="0.25">
      <c r="A23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1" s="79">
        <v>4</v>
      </c>
      <c r="C2381" s="23">
        <v>44588</v>
      </c>
      <c r="D2381" s="67">
        <f>IF(COUNTIF($G$2:$G2381,$G2381)=1,1,0)</f>
        <v>0</v>
      </c>
      <c r="E2381" s="67" t="str">
        <f>IFERROR(VLOOKUP(База_КР_КК[[#This Row],[ИД штатной должности (S)]],'уровень защищенности'!$B$7:$F$1095,5,0),"не защищена")</f>
        <v>средний</v>
      </c>
      <c r="F2381" s="68">
        <v>500108</v>
      </c>
      <c r="G2381" s="74" t="s">
        <v>2716</v>
      </c>
      <c r="H2381" s="181">
        <f>INDEX('Списки данных'!$D$2:$D$1048576,MATCH(База_КР_КК[[#This Row],[Структурное подразделение]],'Списки данных'!$C$2:$C$1048576,0))</f>
        <v>31</v>
      </c>
      <c r="I2381" s="80" t="s">
        <v>156</v>
      </c>
      <c r="J2381" s="80" t="s">
        <v>223</v>
      </c>
      <c r="K2381" s="80" t="s">
        <v>21</v>
      </c>
      <c r="L2381" s="30" t="s">
        <v>192</v>
      </c>
      <c r="M2381" s="68">
        <v>7</v>
      </c>
      <c r="N2381" s="181" t="str">
        <f t="shared" si="38"/>
        <v>нет</v>
      </c>
      <c r="O2381" s="23"/>
      <c r="P2381" s="23"/>
      <c r="Q2381" s="106"/>
      <c r="R2381" s="37">
        <v>545</v>
      </c>
      <c r="S2381" s="39" t="s">
        <v>955</v>
      </c>
      <c r="T2381" s="37">
        <v>1626</v>
      </c>
      <c r="U2381" s="38" t="s">
        <v>1952</v>
      </c>
      <c r="V2381" s="69" t="s">
        <v>272</v>
      </c>
      <c r="W2381" s="89" t="s">
        <v>156</v>
      </c>
      <c r="X2381" s="106" t="s">
        <v>296</v>
      </c>
      <c r="Y2381" s="107" t="s">
        <v>12</v>
      </c>
      <c r="Z2381" s="67">
        <f>IF(База_КР_КК[[#This Row],[Таб.номер резервиста]]="-","-",IF(OR(База_КР_КК[[#This Row],[Уровень КК]]=2,База_КР_КК[[#This Row],[Уровень КК]]=3),IF(COUNTIFS($U$2:$U2381,$U2381,$F$2:$F2381,$F2381)=1,1,0),IF(COUNTIFS($U$2:$U2381,$U2381,$L$2:$L2381,$L2381)=1,1,0)))</f>
        <v>0</v>
      </c>
      <c r="AA23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1" s="106"/>
      <c r="AC2381" s="51"/>
      <c r="AD2381" s="106" t="s">
        <v>15</v>
      </c>
      <c r="AE2381" s="38" t="s">
        <v>360</v>
      </c>
    </row>
    <row r="2382" spans="1:31" ht="18" customHeight="1" x14ac:dyDescent="0.25">
      <c r="A23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2" s="79">
        <v>4</v>
      </c>
      <c r="C2382" s="23">
        <v>44588</v>
      </c>
      <c r="D2382" s="67">
        <f>IF(COUNTIF($G$2:$G2382,$G2382)=1,1,0)</f>
        <v>1</v>
      </c>
      <c r="E2382" s="67" t="str">
        <f>IFERROR(VLOOKUP(База_КР_КК[[#This Row],[ИД штатной должности (S)]],'уровень защищенности'!$B$7:$F$1095,5,0),"не защищена")</f>
        <v>высокий</v>
      </c>
      <c r="F2382" s="68">
        <v>500109</v>
      </c>
      <c r="G2382" s="74" t="s">
        <v>2717</v>
      </c>
      <c r="H2382" s="181">
        <f>INDEX('Списки данных'!$D$2:$D$1048576,MATCH(База_КР_КК[[#This Row],[Структурное подразделение]],'Списки данных'!$C$2:$C$1048576,0))</f>
        <v>31</v>
      </c>
      <c r="I2382" s="80" t="s">
        <v>156</v>
      </c>
      <c r="J2382" s="80" t="s">
        <v>223</v>
      </c>
      <c r="K2382" s="80" t="s">
        <v>21</v>
      </c>
      <c r="L2382" s="30" t="s">
        <v>198</v>
      </c>
      <c r="M2382" s="68">
        <v>6</v>
      </c>
      <c r="N2382" s="181" t="str">
        <f t="shared" si="38"/>
        <v>нет</v>
      </c>
      <c r="O2382" s="23"/>
      <c r="P2382" s="23"/>
      <c r="Q2382" s="106"/>
      <c r="R2382" s="37">
        <v>546</v>
      </c>
      <c r="S2382" s="39" t="s">
        <v>956</v>
      </c>
      <c r="T2382" s="37">
        <v>550</v>
      </c>
      <c r="U2382" s="38" t="s">
        <v>959</v>
      </c>
      <c r="V2382" s="69" t="s">
        <v>192</v>
      </c>
      <c r="W2382" s="89" t="s">
        <v>156</v>
      </c>
      <c r="X2382" s="106" t="s">
        <v>295</v>
      </c>
      <c r="Y2382" s="107" t="s">
        <v>12</v>
      </c>
      <c r="Z2382" s="67">
        <f>IF(База_КР_КК[[#This Row],[Таб.номер резервиста]]="-","-",IF(OR(База_КР_КК[[#This Row],[Уровень КК]]=2,База_КР_КК[[#This Row],[Уровень КК]]=3),IF(COUNTIFS($U$2:$U2382,$U2382,$F$2:$F2382,$F2382)=1,1,0),IF(COUNTIFS($U$2:$U2382,$U2382,$L$2:$L2382,$L2382)=1,1,0)))</f>
        <v>1</v>
      </c>
      <c r="AA23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2" s="106"/>
      <c r="AC2382" s="51"/>
      <c r="AD2382" s="106" t="s">
        <v>15</v>
      </c>
      <c r="AE2382" s="38" t="s">
        <v>360</v>
      </c>
    </row>
    <row r="2383" spans="1:31" ht="18" customHeight="1" x14ac:dyDescent="0.25">
      <c r="A23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3" s="79">
        <v>4</v>
      </c>
      <c r="C2383" s="23">
        <v>44588</v>
      </c>
      <c r="D2383" s="67">
        <f>IF(COUNTIF($G$2:$G2383,$G2383)=1,1,0)</f>
        <v>0</v>
      </c>
      <c r="E2383" s="67" t="str">
        <f>IFERROR(VLOOKUP(База_КР_КК[[#This Row],[ИД штатной должности (S)]],'уровень защищенности'!$B$7:$F$1095,5,0),"не защищена")</f>
        <v>высокий</v>
      </c>
      <c r="F2383" s="68">
        <v>500109</v>
      </c>
      <c r="G2383" s="74" t="s">
        <v>2717</v>
      </c>
      <c r="H2383" s="181">
        <f>INDEX('Списки данных'!$D$2:$D$1048576,MATCH(База_КР_КК[[#This Row],[Структурное подразделение]],'Списки данных'!$C$2:$C$1048576,0))</f>
        <v>31</v>
      </c>
      <c r="I2383" s="80" t="s">
        <v>156</v>
      </c>
      <c r="J2383" s="80" t="s">
        <v>223</v>
      </c>
      <c r="K2383" s="80" t="s">
        <v>21</v>
      </c>
      <c r="L2383" s="30" t="s">
        <v>198</v>
      </c>
      <c r="M2383" s="68">
        <v>6</v>
      </c>
      <c r="N2383" s="181" t="str">
        <f t="shared" si="38"/>
        <v>нет</v>
      </c>
      <c r="O2383" s="23"/>
      <c r="P2383" s="23"/>
      <c r="Q2383" s="106"/>
      <c r="R2383" s="37">
        <v>546</v>
      </c>
      <c r="S2383" s="39" t="s">
        <v>956</v>
      </c>
      <c r="T2383" s="37">
        <v>548</v>
      </c>
      <c r="U2383" s="38" t="s">
        <v>957</v>
      </c>
      <c r="V2383" s="69" t="s">
        <v>192</v>
      </c>
      <c r="W2383" s="89" t="s">
        <v>156</v>
      </c>
      <c r="X2383" s="106" t="s">
        <v>297</v>
      </c>
      <c r="Y2383" s="107" t="s">
        <v>12</v>
      </c>
      <c r="Z2383" s="67">
        <f>IF(База_КР_КК[[#This Row],[Таб.номер резервиста]]="-","-",IF(OR(База_КР_КК[[#This Row],[Уровень КК]]=2,База_КР_КК[[#This Row],[Уровень КК]]=3),IF(COUNTIFS($U$2:$U2383,$U2383,$F$2:$F2383,$F2383)=1,1,0),IF(COUNTIFS($U$2:$U2383,$U2383,$L$2:$L2383,$L2383)=1,1,0)))</f>
        <v>1</v>
      </c>
      <c r="AA23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3" s="106"/>
      <c r="AC2383" s="51"/>
      <c r="AD2383" s="106" t="s">
        <v>15</v>
      </c>
      <c r="AE2383" s="38" t="s">
        <v>360</v>
      </c>
    </row>
    <row r="2384" spans="1:31" ht="18" customHeight="1" x14ac:dyDescent="0.25">
      <c r="A23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4" s="79">
        <v>4</v>
      </c>
      <c r="C2384" s="23">
        <v>44588</v>
      </c>
      <c r="D2384" s="67">
        <f>IF(COUNTIF($G$2:$G2384,$G2384)=1,1,0)</f>
        <v>1</v>
      </c>
      <c r="E2384" s="67" t="str">
        <f>IFERROR(VLOOKUP(База_КР_КК[[#This Row],[ИД штатной должности (S)]],'уровень защищенности'!$B$7:$F$1095,5,0),"не защищена")</f>
        <v>высокий</v>
      </c>
      <c r="F2384" s="68">
        <v>500110</v>
      </c>
      <c r="G2384" s="74" t="s">
        <v>2718</v>
      </c>
      <c r="H2384" s="181">
        <f>INDEX('Списки данных'!$D$2:$D$1048576,MATCH(База_КР_КК[[#This Row],[Структурное подразделение]],'Списки данных'!$C$2:$C$1048576,0))</f>
        <v>31</v>
      </c>
      <c r="I2384" s="80" t="s">
        <v>156</v>
      </c>
      <c r="J2384" s="80" t="s">
        <v>223</v>
      </c>
      <c r="K2384" s="80" t="s">
        <v>21</v>
      </c>
      <c r="L2384" s="30" t="s">
        <v>191</v>
      </c>
      <c r="M2384" s="68">
        <v>7</v>
      </c>
      <c r="N2384" s="181" t="str">
        <f t="shared" si="38"/>
        <v>нет</v>
      </c>
      <c r="O2384" s="23"/>
      <c r="P2384" s="23"/>
      <c r="Q2384" s="106"/>
      <c r="R2384" s="37">
        <v>548</v>
      </c>
      <c r="S2384" s="39" t="s">
        <v>957</v>
      </c>
      <c r="T2384" s="37">
        <v>1630</v>
      </c>
      <c r="U2384" s="38" t="s">
        <v>1953</v>
      </c>
      <c r="V2384" s="89" t="s">
        <v>272</v>
      </c>
      <c r="W2384" s="89" t="s">
        <v>156</v>
      </c>
      <c r="X2384" s="106" t="s">
        <v>297</v>
      </c>
      <c r="Y2384" s="107" t="s">
        <v>12</v>
      </c>
      <c r="Z2384" s="67">
        <f>IF(База_КР_КК[[#This Row],[Таб.номер резервиста]]="-","-",IF(OR(База_КР_КК[[#This Row],[Уровень КК]]=2,База_КР_КК[[#This Row],[Уровень КК]]=3),IF(COUNTIFS($U$2:$U2384,$U2384,$F$2:$F2384,$F2384)=1,1,0),IF(COUNTIFS($U$2:$U2384,$U2384,$L$2:$L2384,$L2384)=1,1,0)))</f>
        <v>1</v>
      </c>
      <c r="AA23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4" s="106"/>
      <c r="AC2384" s="51"/>
      <c r="AD2384" s="106" t="s">
        <v>15</v>
      </c>
      <c r="AE2384" s="38" t="s">
        <v>360</v>
      </c>
    </row>
    <row r="2385" spans="1:31" ht="18" customHeight="1" x14ac:dyDescent="0.25">
      <c r="A23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5" s="79">
        <v>4</v>
      </c>
      <c r="C2385" s="23">
        <v>44588</v>
      </c>
      <c r="D2385" s="67">
        <f>IF(COUNTIF($G$2:$G2385,$G2385)=1,1,0)</f>
        <v>0</v>
      </c>
      <c r="E2385" s="67" t="str">
        <f>IFERROR(VLOOKUP(База_КР_КК[[#This Row],[ИД штатной должности (S)]],'уровень защищенности'!$B$7:$F$1095,5,0),"не защищена")</f>
        <v>высокий</v>
      </c>
      <c r="F2385" s="68">
        <v>500110</v>
      </c>
      <c r="G2385" s="74" t="s">
        <v>2718</v>
      </c>
      <c r="H2385" s="181">
        <f>INDEX('Списки данных'!$D$2:$D$1048576,MATCH(База_КР_КК[[#This Row],[Структурное подразделение]],'Списки данных'!$C$2:$C$1048576,0))</f>
        <v>31</v>
      </c>
      <c r="I2385" s="80" t="s">
        <v>156</v>
      </c>
      <c r="J2385" s="80" t="s">
        <v>223</v>
      </c>
      <c r="K2385" s="80" t="s">
        <v>21</v>
      </c>
      <c r="L2385" s="30" t="s">
        <v>191</v>
      </c>
      <c r="M2385" s="68">
        <v>7</v>
      </c>
      <c r="N2385" s="181" t="str">
        <f t="shared" si="38"/>
        <v>нет</v>
      </c>
      <c r="O2385" s="23"/>
      <c r="P2385" s="23"/>
      <c r="Q2385" s="106"/>
      <c r="R2385" s="37">
        <v>548</v>
      </c>
      <c r="S2385" s="39" t="s">
        <v>957</v>
      </c>
      <c r="T2385" s="37">
        <v>1631</v>
      </c>
      <c r="U2385" s="38" t="s">
        <v>1796</v>
      </c>
      <c r="V2385" s="69" t="s">
        <v>272</v>
      </c>
      <c r="W2385" s="89" t="s">
        <v>156</v>
      </c>
      <c r="X2385" s="106" t="s">
        <v>295</v>
      </c>
      <c r="Y2385" s="107" t="s">
        <v>12</v>
      </c>
      <c r="Z2385" s="67">
        <f>IF(База_КР_КК[[#This Row],[Таб.номер резервиста]]="-","-",IF(OR(База_КР_КК[[#This Row],[Уровень КК]]=2,База_КР_КК[[#This Row],[Уровень КК]]=3),IF(COUNTIFS($U$2:$U2385,$U2385,$F$2:$F2385,$F2385)=1,1,0),IF(COUNTIFS($U$2:$U2385,$U2385,$L$2:$L2385,$L2385)=1,1,0)))</f>
        <v>0</v>
      </c>
      <c r="AA23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5" s="106"/>
      <c r="AC2385" s="51"/>
      <c r="AD2385" s="106" t="s">
        <v>15</v>
      </c>
      <c r="AE2385" s="38" t="s">
        <v>360</v>
      </c>
    </row>
    <row r="2386" spans="1:31" ht="18" customHeight="1" x14ac:dyDescent="0.25">
      <c r="A23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6" s="79">
        <v>4</v>
      </c>
      <c r="C2386" s="23">
        <v>44588</v>
      </c>
      <c r="D2386" s="67">
        <f>IF(COUNTIF($G$2:$G2386,$G2386)=1,1,0)</f>
        <v>1</v>
      </c>
      <c r="E2386" s="67" t="str">
        <f>IFERROR(VLOOKUP(База_КР_КК[[#This Row],[ИД штатной должности (S)]],'уровень защищенности'!$B$7:$F$1095,5,0),"не защищена")</f>
        <v>высокий</v>
      </c>
      <c r="F2386" s="68">
        <v>500110</v>
      </c>
      <c r="G2386" s="74" t="s">
        <v>2719</v>
      </c>
      <c r="H2386" s="181">
        <f>INDEX('Списки данных'!$D$2:$D$1048576,MATCH(База_КР_КК[[#This Row],[Структурное подразделение]],'Списки данных'!$C$2:$C$1048576,0))</f>
        <v>31</v>
      </c>
      <c r="I2386" s="80" t="s">
        <v>156</v>
      </c>
      <c r="J2386" s="80" t="s">
        <v>223</v>
      </c>
      <c r="K2386" s="80" t="s">
        <v>21</v>
      </c>
      <c r="L2386" s="30" t="s">
        <v>191</v>
      </c>
      <c r="M2386" s="68">
        <v>7</v>
      </c>
      <c r="N2386" s="181" t="str">
        <f t="shared" si="38"/>
        <v>нет</v>
      </c>
      <c r="O2386" s="23"/>
      <c r="P2386" s="23"/>
      <c r="Q2386" s="106"/>
      <c r="R2386" s="37">
        <v>549</v>
      </c>
      <c r="S2386" s="39" t="s">
        <v>958</v>
      </c>
      <c r="T2386" s="37">
        <v>1630</v>
      </c>
      <c r="U2386" s="38" t="s">
        <v>1953</v>
      </c>
      <c r="V2386" s="89" t="s">
        <v>272</v>
      </c>
      <c r="W2386" s="89" t="s">
        <v>156</v>
      </c>
      <c r="X2386" s="106" t="s">
        <v>297</v>
      </c>
      <c r="Y2386" s="107" t="s">
        <v>12</v>
      </c>
      <c r="Z2386" s="67">
        <f>IF(База_КР_КК[[#This Row],[Таб.номер резервиста]]="-","-",IF(OR(База_КР_КК[[#This Row],[Уровень КК]]=2,База_КР_КК[[#This Row],[Уровень КК]]=3),IF(COUNTIFS($U$2:$U2386,$U2386,$F$2:$F2386,$F2386)=1,1,0),IF(COUNTIFS($U$2:$U2386,$U2386,$L$2:$L2386,$L2386)=1,1,0)))</f>
        <v>0</v>
      </c>
      <c r="AA23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6" s="106"/>
      <c r="AC2386" s="51"/>
      <c r="AD2386" s="106" t="s">
        <v>15</v>
      </c>
      <c r="AE2386" s="38" t="s">
        <v>360</v>
      </c>
    </row>
    <row r="2387" spans="1:31" ht="18" customHeight="1" x14ac:dyDescent="0.25">
      <c r="A23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7" s="79">
        <v>4</v>
      </c>
      <c r="C2387" s="23">
        <v>44588</v>
      </c>
      <c r="D2387" s="67">
        <f>IF(COUNTIF($G$2:$G2387,$G2387)=1,1,0)</f>
        <v>0</v>
      </c>
      <c r="E2387" s="67" t="str">
        <f>IFERROR(VLOOKUP(База_КР_КК[[#This Row],[ИД штатной должности (S)]],'уровень защищенности'!$B$7:$F$1095,5,0),"не защищена")</f>
        <v>высокий</v>
      </c>
      <c r="F2387" s="68">
        <v>500110</v>
      </c>
      <c r="G2387" s="74" t="s">
        <v>2719</v>
      </c>
      <c r="H2387" s="181">
        <f>INDEX('Списки данных'!$D$2:$D$1048576,MATCH(База_КР_КК[[#This Row],[Структурное подразделение]],'Списки данных'!$C$2:$C$1048576,0))</f>
        <v>31</v>
      </c>
      <c r="I2387" s="80" t="s">
        <v>156</v>
      </c>
      <c r="J2387" s="80" t="s">
        <v>223</v>
      </c>
      <c r="K2387" s="80" t="s">
        <v>21</v>
      </c>
      <c r="L2387" s="30" t="s">
        <v>191</v>
      </c>
      <c r="M2387" s="68">
        <v>7</v>
      </c>
      <c r="N2387" s="181" t="str">
        <f t="shared" si="38"/>
        <v>нет</v>
      </c>
      <c r="O2387" s="23"/>
      <c r="P2387" s="23"/>
      <c r="Q2387" s="106"/>
      <c r="R2387" s="37">
        <v>549</v>
      </c>
      <c r="S2387" s="39" t="s">
        <v>958</v>
      </c>
      <c r="T2387" s="37">
        <v>1631</v>
      </c>
      <c r="U2387" s="38" t="s">
        <v>1796</v>
      </c>
      <c r="V2387" s="69" t="s">
        <v>272</v>
      </c>
      <c r="W2387" s="89" t="s">
        <v>156</v>
      </c>
      <c r="X2387" s="106" t="s">
        <v>295</v>
      </c>
      <c r="Y2387" s="107" t="s">
        <v>12</v>
      </c>
      <c r="Z2387" s="67">
        <f>IF(База_КР_КК[[#This Row],[Таб.номер резервиста]]="-","-",IF(OR(База_КР_КК[[#This Row],[Уровень КК]]=2,База_КР_КК[[#This Row],[Уровень КК]]=3),IF(COUNTIFS($U$2:$U2387,$U2387,$F$2:$F2387,$F2387)=1,1,0),IF(COUNTIFS($U$2:$U2387,$U2387,$L$2:$L2387,$L2387)=1,1,0)))</f>
        <v>0</v>
      </c>
      <c r="AA23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7" s="106"/>
      <c r="AC2387" s="51"/>
      <c r="AD2387" s="106" t="s">
        <v>15</v>
      </c>
      <c r="AE2387" s="38" t="s">
        <v>360</v>
      </c>
    </row>
    <row r="2388" spans="1:31" ht="18" customHeight="1" x14ac:dyDescent="0.25">
      <c r="A23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8" s="79">
        <v>4</v>
      </c>
      <c r="C2388" s="23">
        <v>44588</v>
      </c>
      <c r="D2388" s="67">
        <f>IF(COUNTIF($G$2:$G2388,$G2388)=1,1,0)</f>
        <v>1</v>
      </c>
      <c r="E2388" s="67" t="str">
        <f>IFERROR(VLOOKUP(База_КР_КК[[#This Row],[ИД штатной должности (S)]],'уровень защищенности'!$B$7:$F$1095,5,0),"не защищена")</f>
        <v>высокий</v>
      </c>
      <c r="F2388" s="68">
        <v>500111</v>
      </c>
      <c r="G2388" s="74" t="s">
        <v>2720</v>
      </c>
      <c r="H2388" s="181">
        <f>INDEX('Списки данных'!$D$2:$D$1048576,MATCH(База_КР_КК[[#This Row],[Структурное подразделение]],'Списки данных'!$C$2:$C$1048576,0))</f>
        <v>31</v>
      </c>
      <c r="I2388" s="80" t="s">
        <v>156</v>
      </c>
      <c r="J2388" s="80" t="s">
        <v>223</v>
      </c>
      <c r="K2388" s="80" t="s">
        <v>21</v>
      </c>
      <c r="L2388" s="30" t="s">
        <v>192</v>
      </c>
      <c r="M2388" s="68">
        <v>7</v>
      </c>
      <c r="N2388" s="181" t="str">
        <f t="shared" si="38"/>
        <v>нет</v>
      </c>
      <c r="O2388" s="23"/>
      <c r="P2388" s="23"/>
      <c r="Q2388" s="106"/>
      <c r="R2388" s="37">
        <v>550</v>
      </c>
      <c r="S2388" s="39" t="s">
        <v>959</v>
      </c>
      <c r="T2388" s="37">
        <v>1630</v>
      </c>
      <c r="U2388" s="38" t="s">
        <v>1953</v>
      </c>
      <c r="V2388" s="89" t="s">
        <v>272</v>
      </c>
      <c r="W2388" s="89" t="s">
        <v>156</v>
      </c>
      <c r="X2388" s="106" t="s">
        <v>297</v>
      </c>
      <c r="Y2388" s="107" t="s">
        <v>12</v>
      </c>
      <c r="Z2388" s="67">
        <f>IF(База_КР_КК[[#This Row],[Таб.номер резервиста]]="-","-",IF(OR(База_КР_КК[[#This Row],[Уровень КК]]=2,База_КР_КК[[#This Row],[Уровень КК]]=3),IF(COUNTIFS($U$2:$U2388,$U2388,$F$2:$F2388,$F2388)=1,1,0),IF(COUNTIFS($U$2:$U2388,$U2388,$L$2:$L2388,$L2388)=1,1,0)))</f>
        <v>1</v>
      </c>
      <c r="AA23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8" s="106"/>
      <c r="AC2388" s="51"/>
      <c r="AD2388" s="106" t="s">
        <v>15</v>
      </c>
      <c r="AE2388" s="38" t="s">
        <v>360</v>
      </c>
    </row>
    <row r="2389" spans="1:31" ht="18" customHeight="1" x14ac:dyDescent="0.25">
      <c r="A23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89" s="79">
        <v>4</v>
      </c>
      <c r="C2389" s="23">
        <v>44588</v>
      </c>
      <c r="D2389" s="67">
        <f>IF(COUNTIF($G$2:$G2389,$G2389)=1,1,0)</f>
        <v>0</v>
      </c>
      <c r="E2389" s="67" t="str">
        <f>IFERROR(VLOOKUP(База_КР_КК[[#This Row],[ИД штатной должности (S)]],'уровень защищенности'!$B$7:$F$1095,5,0),"не защищена")</f>
        <v>высокий</v>
      </c>
      <c r="F2389" s="68">
        <v>500111</v>
      </c>
      <c r="G2389" s="74" t="s">
        <v>2720</v>
      </c>
      <c r="H2389" s="181">
        <f>INDEX('Списки данных'!$D$2:$D$1048576,MATCH(База_КР_КК[[#This Row],[Структурное подразделение]],'Списки данных'!$C$2:$C$1048576,0))</f>
        <v>31</v>
      </c>
      <c r="I2389" s="80" t="s">
        <v>156</v>
      </c>
      <c r="J2389" s="80" t="s">
        <v>223</v>
      </c>
      <c r="K2389" s="80" t="s">
        <v>21</v>
      </c>
      <c r="L2389" s="30" t="s">
        <v>192</v>
      </c>
      <c r="M2389" s="68">
        <v>7</v>
      </c>
      <c r="N2389" s="181" t="str">
        <f t="shared" si="38"/>
        <v>нет</v>
      </c>
      <c r="O2389" s="23"/>
      <c r="P2389" s="23"/>
      <c r="Q2389" s="106"/>
      <c r="R2389" s="37">
        <v>550</v>
      </c>
      <c r="S2389" s="39" t="s">
        <v>959</v>
      </c>
      <c r="T2389" s="37">
        <v>1631</v>
      </c>
      <c r="U2389" s="38" t="s">
        <v>1796</v>
      </c>
      <c r="V2389" s="69" t="s">
        <v>272</v>
      </c>
      <c r="W2389" s="89" t="s">
        <v>156</v>
      </c>
      <c r="X2389" s="106" t="s">
        <v>295</v>
      </c>
      <c r="Y2389" s="107" t="s">
        <v>12</v>
      </c>
      <c r="Z2389" s="67">
        <f>IF(База_КР_КК[[#This Row],[Таб.номер резервиста]]="-","-",IF(OR(База_КР_КК[[#This Row],[Уровень КК]]=2,База_КР_КК[[#This Row],[Уровень КК]]=3),IF(COUNTIFS($U$2:$U2389,$U2389,$F$2:$F2389,$F2389)=1,1,0),IF(COUNTIFS($U$2:$U2389,$U2389,$L$2:$L2389,$L2389)=1,1,0)))</f>
        <v>1</v>
      </c>
      <c r="AA23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89" s="106"/>
      <c r="AC2389" s="51"/>
      <c r="AD2389" s="106" t="s">
        <v>15</v>
      </c>
      <c r="AE2389" s="38" t="s">
        <v>360</v>
      </c>
    </row>
    <row r="2390" spans="1:31" ht="18" customHeight="1" x14ac:dyDescent="0.25">
      <c r="A23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0" s="79">
        <v>4</v>
      </c>
      <c r="C2390" s="23">
        <v>44588</v>
      </c>
      <c r="D2390" s="67">
        <f>IF(COUNTIF($G$2:$G2390,$G2390)=1,1,0)</f>
        <v>1</v>
      </c>
      <c r="E2390" s="67" t="str">
        <f>IFERROR(VLOOKUP(База_КР_КК[[#This Row],[ИД штатной должности (S)]],'уровень защищенности'!$B$7:$F$1095,5,0),"не защищена")</f>
        <v>средний</v>
      </c>
      <c r="F2390" s="68">
        <v>500112</v>
      </c>
      <c r="G2390" s="74" t="s">
        <v>2721</v>
      </c>
      <c r="H2390" s="181">
        <f>INDEX('Списки данных'!$D$2:$D$1048576,MATCH(База_КР_КК[[#This Row],[Структурное подразделение]],'Списки данных'!$C$2:$C$1048576,0))</f>
        <v>31</v>
      </c>
      <c r="I2390" s="80" t="s">
        <v>156</v>
      </c>
      <c r="J2390" s="80" t="s">
        <v>223</v>
      </c>
      <c r="K2390" s="80" t="s">
        <v>21</v>
      </c>
      <c r="L2390" s="30" t="s">
        <v>198</v>
      </c>
      <c r="M2390" s="68">
        <v>6</v>
      </c>
      <c r="N2390" s="181" t="str">
        <f t="shared" si="38"/>
        <v>нет</v>
      </c>
      <c r="O2390" s="23"/>
      <c r="P2390" s="23"/>
      <c r="Q2390" s="106"/>
      <c r="R2390" s="37">
        <v>551</v>
      </c>
      <c r="S2390" s="39" t="s">
        <v>960</v>
      </c>
      <c r="T2390" s="37">
        <v>552</v>
      </c>
      <c r="U2390" s="38" t="s">
        <v>961</v>
      </c>
      <c r="V2390" s="69" t="s">
        <v>192</v>
      </c>
      <c r="W2390" s="89" t="s">
        <v>156</v>
      </c>
      <c r="X2390" s="106" t="s">
        <v>297</v>
      </c>
      <c r="Y2390" s="107" t="s">
        <v>12</v>
      </c>
      <c r="Z2390" s="67">
        <f>IF(База_КР_КК[[#This Row],[Таб.номер резервиста]]="-","-",IF(OR(База_КР_КК[[#This Row],[Уровень КК]]=2,База_КР_КК[[#This Row],[Уровень КК]]=3),IF(COUNTIFS($U$2:$U2390,$U2390,$F$2:$F2390,$F2390)=1,1,0),IF(COUNTIFS($U$2:$U2390,$U2390,$L$2:$L2390,$L2390)=1,1,0)))</f>
        <v>1</v>
      </c>
      <c r="AA23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0" s="106"/>
      <c r="AC2390" s="51"/>
      <c r="AD2390" s="106" t="s">
        <v>15</v>
      </c>
      <c r="AE2390" s="38" t="s">
        <v>360</v>
      </c>
    </row>
    <row r="2391" spans="1:31" ht="18" customHeight="1" x14ac:dyDescent="0.25">
      <c r="A23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1" s="79">
        <v>4</v>
      </c>
      <c r="C2391" s="23">
        <v>44922</v>
      </c>
      <c r="D2391" s="67">
        <f>IF(COUNTIF($G$2:$G2391,$G2391)=1,1,0)</f>
        <v>1</v>
      </c>
      <c r="E2391" s="67" t="str">
        <f>IFERROR(VLOOKUP(База_КР_КК[[#This Row],[ИД штатной должности (S)]],'уровень защищенности'!$B$7:$F$1095,5,0),"не защищена")</f>
        <v>не защищена</v>
      </c>
      <c r="F2391" s="68">
        <v>500113</v>
      </c>
      <c r="G2391" s="74" t="s">
        <v>2722</v>
      </c>
      <c r="H2391" s="181">
        <f>INDEX('Списки данных'!$D$2:$D$1048576,MATCH(База_КР_КК[[#This Row],[Структурное подразделение]],'Списки данных'!$C$2:$C$1048576,0))</f>
        <v>31</v>
      </c>
      <c r="I2391" s="80" t="s">
        <v>156</v>
      </c>
      <c r="J2391" s="80" t="s">
        <v>223</v>
      </c>
      <c r="K2391" s="80" t="s">
        <v>21</v>
      </c>
      <c r="L2391" s="30" t="s">
        <v>191</v>
      </c>
      <c r="M2391" s="68">
        <v>7</v>
      </c>
      <c r="N2391" s="181" t="str">
        <f t="shared" si="38"/>
        <v>нет</v>
      </c>
      <c r="O2391" s="23"/>
      <c r="P2391" s="23"/>
      <c r="Q2391" s="106"/>
      <c r="R2391" s="37">
        <v>552</v>
      </c>
      <c r="S2391" s="39" t="s">
        <v>961</v>
      </c>
      <c r="T2391" s="37">
        <v>554</v>
      </c>
      <c r="U2391" s="38" t="s">
        <v>963</v>
      </c>
      <c r="V2391" s="69" t="s">
        <v>272</v>
      </c>
      <c r="W2391" s="89" t="s">
        <v>156</v>
      </c>
      <c r="X2391" s="106" t="s">
        <v>296</v>
      </c>
      <c r="Y2391" s="107" t="s">
        <v>14</v>
      </c>
      <c r="Z2391" s="67">
        <f>IF(База_КР_КК[[#This Row],[Таб.номер резервиста]]="-","-",IF(OR(База_КР_КК[[#This Row],[Уровень КК]]=2,База_КР_КК[[#This Row],[Уровень КК]]=3),IF(COUNTIFS($U$2:$U2391,$U2391,$F$2:$F2391,$F2391)=1,1,0),IF(COUNTIFS($U$2:$U2391,$U2391,$L$2:$L2391,$L2391)=1,1,0)))</f>
        <v>1</v>
      </c>
      <c r="AA23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1" s="106" t="s">
        <v>24</v>
      </c>
      <c r="AC2391" s="51">
        <v>44956</v>
      </c>
      <c r="AD2391" s="106" t="s">
        <v>15</v>
      </c>
      <c r="AE2391" s="38" t="s">
        <v>362</v>
      </c>
    </row>
    <row r="2392" spans="1:31" ht="18" customHeight="1" x14ac:dyDescent="0.25">
      <c r="A23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2" s="79">
        <v>4</v>
      </c>
      <c r="C2392" s="23">
        <v>44588</v>
      </c>
      <c r="D2392" s="67">
        <f>IF(COUNTIF($G$2:$G2392,$G2392)=1,1,0)</f>
        <v>0</v>
      </c>
      <c r="E2392" s="67" t="str">
        <f>IFERROR(VLOOKUP(База_КР_КК[[#This Row],[ИД штатной должности (S)]],'уровень защищенности'!$B$7:$F$1095,5,0),"не защищена")</f>
        <v>не защищена</v>
      </c>
      <c r="F2392" s="68">
        <v>500113</v>
      </c>
      <c r="G2392" s="74" t="s">
        <v>2722</v>
      </c>
      <c r="H2392" s="181">
        <f>INDEX('Списки данных'!$D$2:$D$1048576,MATCH(База_КР_КК[[#This Row],[Структурное подразделение]],'Списки данных'!$C$2:$C$1048576,0))</f>
        <v>31</v>
      </c>
      <c r="I2392" s="80" t="s">
        <v>156</v>
      </c>
      <c r="J2392" s="80" t="s">
        <v>223</v>
      </c>
      <c r="K2392" s="80" t="s">
        <v>21</v>
      </c>
      <c r="L2392" s="30" t="s">
        <v>191</v>
      </c>
      <c r="M2392" s="68">
        <v>7</v>
      </c>
      <c r="N2392" s="181" t="str">
        <f t="shared" si="38"/>
        <v>нет</v>
      </c>
      <c r="O2392" s="23"/>
      <c r="P2392" s="23"/>
      <c r="Q2392" s="106"/>
      <c r="R2392" s="37">
        <v>552</v>
      </c>
      <c r="S2392" s="39" t="s">
        <v>961</v>
      </c>
      <c r="T2392" s="37">
        <v>1632</v>
      </c>
      <c r="U2392" s="38" t="s">
        <v>1954</v>
      </c>
      <c r="V2392" s="69" t="s">
        <v>272</v>
      </c>
      <c r="W2392" s="89" t="s">
        <v>156</v>
      </c>
      <c r="X2392" s="106" t="s">
        <v>297</v>
      </c>
      <c r="Y2392" s="107" t="s">
        <v>18</v>
      </c>
      <c r="Z2392" s="67">
        <f>IF(База_КР_КК[[#This Row],[Таб.номер резервиста]]="-","-",IF(OR(База_КР_КК[[#This Row],[Уровень КК]]=2,База_КР_КК[[#This Row],[Уровень КК]]=3),IF(COUNTIFS($U$2:$U2392,$U2392,$F$2:$F2392,$F2392)=1,1,0),IF(COUNTIFS($U$2:$U2392,$U2392,$L$2:$L2392,$L2392)=1,1,0)))</f>
        <v>1</v>
      </c>
      <c r="AA23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2" s="106" t="s">
        <v>38</v>
      </c>
      <c r="AC2392" s="51">
        <v>44922</v>
      </c>
      <c r="AD2392" s="106" t="s">
        <v>15</v>
      </c>
      <c r="AE2392" s="38" t="s">
        <v>362</v>
      </c>
    </row>
    <row r="2393" spans="1:31" ht="18" customHeight="1" x14ac:dyDescent="0.25">
      <c r="A23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3" s="79">
        <v>4</v>
      </c>
      <c r="C2393" s="23">
        <v>44588</v>
      </c>
      <c r="D2393" s="67">
        <f>IF(COUNTIF($G$2:$G2393,$G2393)=1,1,0)</f>
        <v>0</v>
      </c>
      <c r="E2393" s="67" t="str">
        <f>IFERROR(VLOOKUP(База_КР_КК[[#This Row],[ИД штатной должности (S)]],'уровень защищенности'!$B$7:$F$1095,5,0),"не защищена")</f>
        <v>не защищена</v>
      </c>
      <c r="F2393" s="68">
        <v>500113</v>
      </c>
      <c r="G2393" s="74" t="s">
        <v>2722</v>
      </c>
      <c r="H2393" s="181">
        <f>INDEX('Списки данных'!$D$2:$D$1048576,MATCH(База_КР_КК[[#This Row],[Структурное подразделение]],'Списки данных'!$C$2:$C$1048576,0))</f>
        <v>31</v>
      </c>
      <c r="I2393" s="80" t="s">
        <v>156</v>
      </c>
      <c r="J2393" s="80" t="s">
        <v>223</v>
      </c>
      <c r="K2393" s="80" t="s">
        <v>21</v>
      </c>
      <c r="L2393" s="30" t="s">
        <v>191</v>
      </c>
      <c r="M2393" s="68">
        <v>7</v>
      </c>
      <c r="N2393" s="181" t="str">
        <f t="shared" si="38"/>
        <v>нет</v>
      </c>
      <c r="O2393" s="23"/>
      <c r="P2393" s="23"/>
      <c r="Q2393" s="106"/>
      <c r="R2393" s="37">
        <v>552</v>
      </c>
      <c r="S2393" s="39" t="s">
        <v>961</v>
      </c>
      <c r="T2393" s="37">
        <v>1633</v>
      </c>
      <c r="U2393" s="38" t="s">
        <v>1886</v>
      </c>
      <c r="V2393" s="69" t="s">
        <v>272</v>
      </c>
      <c r="W2393" s="89" t="s">
        <v>156</v>
      </c>
      <c r="X2393" s="106" t="s">
        <v>297</v>
      </c>
      <c r="Y2393" s="107" t="s">
        <v>18</v>
      </c>
      <c r="Z2393" s="67">
        <f>IF(База_КР_КК[[#This Row],[Таб.номер резервиста]]="-","-",IF(OR(База_КР_КК[[#This Row],[Уровень КК]]=2,База_КР_КК[[#This Row],[Уровень КК]]=3),IF(COUNTIFS($U$2:$U2393,$U2393,$F$2:$F2393,$F2393)=1,1,0),IF(COUNTIFS($U$2:$U2393,$U2393,$L$2:$L2393,$L2393)=1,1,0)))</f>
        <v>0</v>
      </c>
      <c r="AA23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3" s="106" t="s">
        <v>20</v>
      </c>
      <c r="AC2393" s="51">
        <v>44957</v>
      </c>
      <c r="AD2393" s="106" t="s">
        <v>15</v>
      </c>
      <c r="AE2393" s="38" t="s">
        <v>360</v>
      </c>
    </row>
    <row r="2394" spans="1:31" ht="18" customHeight="1" x14ac:dyDescent="0.25">
      <c r="A23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4" s="79">
        <v>4</v>
      </c>
      <c r="C2394" s="23">
        <v>44588</v>
      </c>
      <c r="D2394" s="67">
        <f>IF(COUNTIF($G$2:$G2394,$G2394)=1,1,0)</f>
        <v>0</v>
      </c>
      <c r="E2394" s="67" t="str">
        <f>IFERROR(VLOOKUP(База_КР_КК[[#This Row],[ИД штатной должности (S)]],'уровень защищенности'!$B$7:$F$1095,5,0),"не защищена")</f>
        <v>не защищена</v>
      </c>
      <c r="F2394" s="68">
        <v>500113</v>
      </c>
      <c r="G2394" s="74" t="s">
        <v>2722</v>
      </c>
      <c r="H2394" s="181">
        <f>INDEX('Списки данных'!$D$2:$D$1048576,MATCH(База_КР_КК[[#This Row],[Структурное подразделение]],'Списки данных'!$C$2:$C$1048576,0))</f>
        <v>31</v>
      </c>
      <c r="I2394" s="80" t="s">
        <v>156</v>
      </c>
      <c r="J2394" s="80" t="s">
        <v>223</v>
      </c>
      <c r="K2394" s="80" t="s">
        <v>21</v>
      </c>
      <c r="L2394" s="30" t="s">
        <v>191</v>
      </c>
      <c r="M2394" s="68">
        <v>7</v>
      </c>
      <c r="N2394" s="181" t="str">
        <f t="shared" si="38"/>
        <v>нет</v>
      </c>
      <c r="O2394" s="23"/>
      <c r="P2394" s="23"/>
      <c r="Q2394" s="106"/>
      <c r="R2394" s="37">
        <v>552</v>
      </c>
      <c r="S2394" s="39" t="s">
        <v>961</v>
      </c>
      <c r="T2394" s="37">
        <v>1634</v>
      </c>
      <c r="U2394" s="38" t="s">
        <v>1955</v>
      </c>
      <c r="V2394" s="69" t="s">
        <v>272</v>
      </c>
      <c r="W2394" s="89" t="s">
        <v>156</v>
      </c>
      <c r="X2394" s="106" t="s">
        <v>297</v>
      </c>
      <c r="Y2394" s="107" t="s">
        <v>18</v>
      </c>
      <c r="Z2394" s="67">
        <f>IF(База_КР_КК[[#This Row],[Таб.номер резервиста]]="-","-",IF(OR(База_КР_КК[[#This Row],[Уровень КК]]=2,База_КР_КК[[#This Row],[Уровень КК]]=3),IF(COUNTIFS($U$2:$U2394,$U2394,$F$2:$F2394,$F2394)=1,1,0),IF(COUNTIFS($U$2:$U2394,$U2394,$L$2:$L2394,$L2394)=1,1,0)))</f>
        <v>1</v>
      </c>
      <c r="AA23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4" s="106" t="s">
        <v>19</v>
      </c>
      <c r="AC2394" s="51">
        <v>44621</v>
      </c>
      <c r="AD2394" s="106" t="s">
        <v>15</v>
      </c>
      <c r="AE2394" s="38" t="s">
        <v>360</v>
      </c>
    </row>
    <row r="2395" spans="1:31" ht="18" customHeight="1" x14ac:dyDescent="0.25">
      <c r="A23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5" s="79">
        <v>4</v>
      </c>
      <c r="C2395" s="23">
        <v>44588</v>
      </c>
      <c r="D2395" s="67">
        <f>IF(COUNTIF($G$2:$G2395,$G2395)=1,1,0)</f>
        <v>0</v>
      </c>
      <c r="E2395" s="67" t="str">
        <f>IFERROR(VLOOKUP(База_КР_КК[[#This Row],[ИД штатной должности (S)]],'уровень защищенности'!$B$7:$F$1095,5,0),"не защищена")</f>
        <v>не защищена</v>
      </c>
      <c r="F2395" s="68">
        <v>500113</v>
      </c>
      <c r="G2395" s="74" t="s">
        <v>2722</v>
      </c>
      <c r="H2395" s="181">
        <f>INDEX('Списки данных'!$D$2:$D$1048576,MATCH(База_КР_КК[[#This Row],[Структурное подразделение]],'Списки данных'!$C$2:$C$1048576,0))</f>
        <v>31</v>
      </c>
      <c r="I2395" s="80" t="s">
        <v>156</v>
      </c>
      <c r="J2395" s="80" t="s">
        <v>223</v>
      </c>
      <c r="K2395" s="80" t="s">
        <v>21</v>
      </c>
      <c r="L2395" s="30" t="s">
        <v>191</v>
      </c>
      <c r="M2395" s="68">
        <v>7</v>
      </c>
      <c r="N2395" s="181" t="str">
        <f t="shared" si="38"/>
        <v>нет</v>
      </c>
      <c r="O2395" s="23"/>
      <c r="P2395" s="23"/>
      <c r="Q2395" s="106"/>
      <c r="R2395" s="37">
        <v>552</v>
      </c>
      <c r="S2395" s="39" t="s">
        <v>961</v>
      </c>
      <c r="T2395" s="37">
        <v>553</v>
      </c>
      <c r="U2395" s="38" t="s">
        <v>962</v>
      </c>
      <c r="V2395" s="69" t="s">
        <v>192</v>
      </c>
      <c r="W2395" s="89" t="s">
        <v>156</v>
      </c>
      <c r="X2395" s="106" t="s">
        <v>295</v>
      </c>
      <c r="Y2395" s="107" t="s">
        <v>18</v>
      </c>
      <c r="Z2395" s="67">
        <f>IF(База_КР_КК[[#This Row],[Таб.номер резервиста]]="-","-",IF(OR(База_КР_КК[[#This Row],[Уровень КК]]=2,База_КР_КК[[#This Row],[Уровень КК]]=3),IF(COUNTIFS($U$2:$U2395,$U2395,$F$2:$F2395,$F2395)=1,1,0),IF(COUNTIFS($U$2:$U2395,$U2395,$L$2:$L2395,$L2395)=1,1,0)))</f>
        <v>1</v>
      </c>
      <c r="AA23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5" s="106" t="s">
        <v>24</v>
      </c>
      <c r="AC2395" s="51">
        <v>44806</v>
      </c>
      <c r="AD2395" s="106" t="s">
        <v>15</v>
      </c>
      <c r="AE2395" s="24" t="s">
        <v>360</v>
      </c>
    </row>
    <row r="2396" spans="1:31" ht="18" customHeight="1" x14ac:dyDescent="0.25">
      <c r="A23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6" s="79">
        <v>4</v>
      </c>
      <c r="C2396" s="23">
        <v>44588</v>
      </c>
      <c r="D2396" s="67">
        <f>IF(COUNTIF($G$2:$G2396,$G2396)=1,1,0)</f>
        <v>1</v>
      </c>
      <c r="E2396" s="67" t="str">
        <f>IFERROR(VLOOKUP(База_КР_КК[[#This Row],[ИД штатной должности (S)]],'уровень защищенности'!$B$7:$F$1095,5,0),"не защищена")</f>
        <v>не защищена</v>
      </c>
      <c r="F2396" s="68">
        <v>500113</v>
      </c>
      <c r="G2396" s="74" t="s">
        <v>2723</v>
      </c>
      <c r="H2396" s="181">
        <f>INDEX('Списки данных'!$D$2:$D$1048576,MATCH(База_КР_КК[[#This Row],[Структурное подразделение]],'Списки данных'!$C$2:$C$1048576,0))</f>
        <v>31</v>
      </c>
      <c r="I2396" s="80" t="s">
        <v>156</v>
      </c>
      <c r="J2396" s="80" t="s">
        <v>223</v>
      </c>
      <c r="K2396" s="80" t="s">
        <v>21</v>
      </c>
      <c r="L2396" s="30" t="s">
        <v>191</v>
      </c>
      <c r="M2396" s="68">
        <v>7</v>
      </c>
      <c r="N2396" s="181" t="str">
        <f t="shared" si="38"/>
        <v>да</v>
      </c>
      <c r="O2396" s="23">
        <v>44634</v>
      </c>
      <c r="P2396" s="23">
        <v>44806</v>
      </c>
      <c r="Q2396" s="106" t="s">
        <v>66</v>
      </c>
      <c r="R2396" s="37">
        <v>553</v>
      </c>
      <c r="S2396" s="39" t="s">
        <v>962</v>
      </c>
      <c r="T2396" s="37">
        <v>553</v>
      </c>
      <c r="U2396" s="38" t="s">
        <v>962</v>
      </c>
      <c r="V2396" s="69" t="s">
        <v>192</v>
      </c>
      <c r="W2396" s="89" t="s">
        <v>156</v>
      </c>
      <c r="X2396" s="106" t="s">
        <v>295</v>
      </c>
      <c r="Y2396" s="107" t="s">
        <v>14</v>
      </c>
      <c r="Z2396" s="67">
        <f>IF(База_КР_КК[[#This Row],[Таб.номер резервиста]]="-","-",IF(OR(База_КР_КК[[#This Row],[Уровень КК]]=2,База_КР_КК[[#This Row],[Уровень КК]]=3),IF(COUNTIFS($U$2:$U2396,$U2396,$F$2:$F2396,$F2396)=1,1,0),IF(COUNTIFS($U$2:$U2396,$U2396,$L$2:$L2396,$L2396)=1,1,0)))</f>
        <v>0</v>
      </c>
      <c r="AA23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396" s="106" t="s">
        <v>24</v>
      </c>
      <c r="AC2396" s="51">
        <v>44806</v>
      </c>
      <c r="AD2396" s="106" t="s">
        <v>15</v>
      </c>
      <c r="AE2396" s="25" t="s">
        <v>360</v>
      </c>
    </row>
    <row r="2397" spans="1:31" ht="18" customHeight="1" x14ac:dyDescent="0.25">
      <c r="A23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7" s="79">
        <v>4</v>
      </c>
      <c r="C2397" s="23">
        <v>44922</v>
      </c>
      <c r="D2397" s="67">
        <f>IF(COUNTIF($G$2:$G2397,$G2397)=1,1,0)</f>
        <v>0</v>
      </c>
      <c r="E2397" s="67" t="str">
        <f>IFERROR(VLOOKUP(База_КР_КК[[#This Row],[ИД штатной должности (S)]],'уровень защищенности'!$B$7:$F$1095,5,0),"не защищена")</f>
        <v>не защищена</v>
      </c>
      <c r="F2397" s="68">
        <v>500113</v>
      </c>
      <c r="G2397" s="74" t="s">
        <v>2723</v>
      </c>
      <c r="H2397" s="181">
        <f>INDEX('Списки данных'!$D$2:$D$1048576,MATCH(База_КР_КК[[#This Row],[Структурное подразделение]],'Списки данных'!$C$2:$C$1048576,0))</f>
        <v>31</v>
      </c>
      <c r="I2397" s="80" t="s">
        <v>156</v>
      </c>
      <c r="J2397" s="80" t="s">
        <v>223</v>
      </c>
      <c r="K2397" s="80" t="s">
        <v>21</v>
      </c>
      <c r="L2397" s="30" t="s">
        <v>191</v>
      </c>
      <c r="M2397" s="68">
        <v>7</v>
      </c>
      <c r="N2397" s="181" t="str">
        <f t="shared" si="38"/>
        <v>да</v>
      </c>
      <c r="O2397" s="23">
        <v>44634</v>
      </c>
      <c r="P2397" s="23">
        <v>44806</v>
      </c>
      <c r="Q2397" s="106" t="s">
        <v>66</v>
      </c>
      <c r="R2397" s="37">
        <v>553</v>
      </c>
      <c r="S2397" s="39" t="s">
        <v>962</v>
      </c>
      <c r="T2397" s="37">
        <v>554</v>
      </c>
      <c r="U2397" s="38" t="s">
        <v>963</v>
      </c>
      <c r="V2397" s="69" t="s">
        <v>272</v>
      </c>
      <c r="W2397" s="89" t="s">
        <v>156</v>
      </c>
      <c r="X2397" s="106" t="s">
        <v>296</v>
      </c>
      <c r="Y2397" s="107" t="s">
        <v>14</v>
      </c>
      <c r="Z2397" s="67">
        <f>IF(База_КР_КК[[#This Row],[Таб.номер резервиста]]="-","-",IF(OR(База_КР_КК[[#This Row],[Уровень КК]]=2,База_КР_КК[[#This Row],[Уровень КК]]=3),IF(COUNTIFS($U$2:$U2397,$U2397,$F$2:$F2397,$F2397)=1,1,0),IF(COUNTIFS($U$2:$U2397,$U2397,$L$2:$L2397,$L2397)=1,1,0)))</f>
        <v>0</v>
      </c>
      <c r="AA23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7" s="106" t="s">
        <v>24</v>
      </c>
      <c r="AC2397" s="51">
        <v>44956</v>
      </c>
      <c r="AD2397" s="106" t="s">
        <v>15</v>
      </c>
      <c r="AE2397" s="38" t="s">
        <v>362</v>
      </c>
    </row>
    <row r="2398" spans="1:31" ht="18" customHeight="1" x14ac:dyDescent="0.25">
      <c r="A23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8" s="79">
        <v>4</v>
      </c>
      <c r="C2398" s="23">
        <v>44588</v>
      </c>
      <c r="D2398" s="67">
        <f>IF(COUNTIF($G$2:$G2398,$G2398)=1,1,0)</f>
        <v>0</v>
      </c>
      <c r="E2398" s="67" t="str">
        <f>IFERROR(VLOOKUP(База_КР_КК[[#This Row],[ИД штатной должности (S)]],'уровень защищенности'!$B$7:$F$1095,5,0),"не защищена")</f>
        <v>не защищена</v>
      </c>
      <c r="F2398" s="68">
        <v>500113</v>
      </c>
      <c r="G2398" s="74" t="s">
        <v>2723</v>
      </c>
      <c r="H2398" s="181">
        <f>INDEX('Списки данных'!$D$2:$D$1048576,MATCH(База_КР_КК[[#This Row],[Структурное подразделение]],'Списки данных'!$C$2:$C$1048576,0))</f>
        <v>31</v>
      </c>
      <c r="I2398" s="80" t="s">
        <v>156</v>
      </c>
      <c r="J2398" s="80" t="s">
        <v>223</v>
      </c>
      <c r="K2398" s="80" t="s">
        <v>21</v>
      </c>
      <c r="L2398" s="30" t="s">
        <v>191</v>
      </c>
      <c r="M2398" s="68">
        <v>7</v>
      </c>
      <c r="N2398" s="181" t="str">
        <f t="shared" si="38"/>
        <v>да</v>
      </c>
      <c r="O2398" s="23">
        <v>44634</v>
      </c>
      <c r="P2398" s="23">
        <v>44806</v>
      </c>
      <c r="Q2398" s="106" t="s">
        <v>66</v>
      </c>
      <c r="R2398" s="37">
        <v>553</v>
      </c>
      <c r="S2398" s="39" t="s">
        <v>962</v>
      </c>
      <c r="T2398" s="37">
        <v>1632</v>
      </c>
      <c r="U2398" s="38" t="s">
        <v>1954</v>
      </c>
      <c r="V2398" s="69" t="s">
        <v>272</v>
      </c>
      <c r="W2398" s="89" t="s">
        <v>156</v>
      </c>
      <c r="X2398" s="106" t="s">
        <v>297</v>
      </c>
      <c r="Y2398" s="107" t="s">
        <v>18</v>
      </c>
      <c r="Z2398" s="67">
        <f>IF(База_КР_КК[[#This Row],[Таб.номер резервиста]]="-","-",IF(OR(База_КР_КК[[#This Row],[Уровень КК]]=2,База_КР_КК[[#This Row],[Уровень КК]]=3),IF(COUNTIFS($U$2:$U2398,$U2398,$F$2:$F2398,$F2398)=1,1,0),IF(COUNTIFS($U$2:$U2398,$U2398,$L$2:$L2398,$L2398)=1,1,0)))</f>
        <v>0</v>
      </c>
      <c r="AA23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8" s="106" t="s">
        <v>38</v>
      </c>
      <c r="AC2398" s="51">
        <v>44922</v>
      </c>
      <c r="AD2398" s="106" t="s">
        <v>15</v>
      </c>
      <c r="AE2398" s="38" t="s">
        <v>362</v>
      </c>
    </row>
    <row r="2399" spans="1:31" ht="18" customHeight="1" x14ac:dyDescent="0.25">
      <c r="A23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399" s="79">
        <v>4</v>
      </c>
      <c r="C2399" s="23">
        <v>44588</v>
      </c>
      <c r="D2399" s="67">
        <f>IF(COUNTIF($G$2:$G2399,$G2399)=1,1,0)</f>
        <v>0</v>
      </c>
      <c r="E2399" s="67" t="str">
        <f>IFERROR(VLOOKUP(База_КР_КК[[#This Row],[ИД штатной должности (S)]],'уровень защищенности'!$B$7:$F$1095,5,0),"не защищена")</f>
        <v>не защищена</v>
      </c>
      <c r="F2399" s="68">
        <v>500113</v>
      </c>
      <c r="G2399" s="74" t="s">
        <v>2723</v>
      </c>
      <c r="H2399" s="181">
        <f>INDEX('Списки данных'!$D$2:$D$1048576,MATCH(База_КР_КК[[#This Row],[Структурное подразделение]],'Списки данных'!$C$2:$C$1048576,0))</f>
        <v>31</v>
      </c>
      <c r="I2399" s="80" t="s">
        <v>156</v>
      </c>
      <c r="J2399" s="80" t="s">
        <v>223</v>
      </c>
      <c r="K2399" s="80" t="s">
        <v>21</v>
      </c>
      <c r="L2399" s="30" t="s">
        <v>191</v>
      </c>
      <c r="M2399" s="68">
        <v>7</v>
      </c>
      <c r="N2399" s="181" t="str">
        <f t="shared" si="38"/>
        <v>да</v>
      </c>
      <c r="O2399" s="23">
        <v>44634</v>
      </c>
      <c r="P2399" s="23">
        <v>44806</v>
      </c>
      <c r="Q2399" s="106" t="s">
        <v>66</v>
      </c>
      <c r="R2399" s="37">
        <v>553</v>
      </c>
      <c r="S2399" s="39" t="s">
        <v>962</v>
      </c>
      <c r="T2399" s="37">
        <v>1633</v>
      </c>
      <c r="U2399" s="38" t="s">
        <v>1886</v>
      </c>
      <c r="V2399" s="69" t="s">
        <v>272</v>
      </c>
      <c r="W2399" s="89" t="s">
        <v>156</v>
      </c>
      <c r="X2399" s="106" t="s">
        <v>297</v>
      </c>
      <c r="Y2399" s="107" t="s">
        <v>18</v>
      </c>
      <c r="Z2399" s="67">
        <f>IF(База_КР_КК[[#This Row],[Таб.номер резервиста]]="-","-",IF(OR(База_КР_КК[[#This Row],[Уровень КК]]=2,База_КР_КК[[#This Row],[Уровень КК]]=3),IF(COUNTIFS($U$2:$U2399,$U2399,$F$2:$F2399,$F2399)=1,1,0),IF(COUNTIFS($U$2:$U2399,$U2399,$L$2:$L2399,$L2399)=1,1,0)))</f>
        <v>0</v>
      </c>
      <c r="AA23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399" s="106" t="s">
        <v>20</v>
      </c>
      <c r="AC2399" s="51">
        <v>44957</v>
      </c>
      <c r="AD2399" s="106" t="s">
        <v>15</v>
      </c>
      <c r="AE2399" s="38" t="s">
        <v>360</v>
      </c>
    </row>
    <row r="2400" spans="1:31" ht="18" customHeight="1" x14ac:dyDescent="0.25">
      <c r="A24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0" s="79">
        <v>4</v>
      </c>
      <c r="C2400" s="23">
        <v>44588</v>
      </c>
      <c r="D2400" s="67">
        <f>IF(COUNTIF($G$2:$G2400,$G2400)=1,1,0)</f>
        <v>0</v>
      </c>
      <c r="E2400" s="67" t="str">
        <f>IFERROR(VLOOKUP(База_КР_КК[[#This Row],[ИД штатной должности (S)]],'уровень защищенности'!$B$7:$F$1095,5,0),"не защищена")</f>
        <v>не защищена</v>
      </c>
      <c r="F2400" s="68">
        <v>500113</v>
      </c>
      <c r="G2400" s="74" t="s">
        <v>2723</v>
      </c>
      <c r="H2400" s="181">
        <f>INDEX('Списки данных'!$D$2:$D$1048576,MATCH(База_КР_КК[[#This Row],[Структурное подразделение]],'Списки данных'!$C$2:$C$1048576,0))</f>
        <v>31</v>
      </c>
      <c r="I2400" s="80" t="s">
        <v>156</v>
      </c>
      <c r="J2400" s="80" t="s">
        <v>223</v>
      </c>
      <c r="K2400" s="80" t="s">
        <v>21</v>
      </c>
      <c r="L2400" s="30" t="s">
        <v>191</v>
      </c>
      <c r="M2400" s="68">
        <v>7</v>
      </c>
      <c r="N2400" s="181" t="str">
        <f t="shared" si="38"/>
        <v>да</v>
      </c>
      <c r="O2400" s="23">
        <v>44634</v>
      </c>
      <c r="P2400" s="23">
        <v>44806</v>
      </c>
      <c r="Q2400" s="106" t="s">
        <v>66</v>
      </c>
      <c r="R2400" s="37">
        <v>553</v>
      </c>
      <c r="S2400" s="39" t="s">
        <v>962</v>
      </c>
      <c r="T2400" s="37">
        <v>1634</v>
      </c>
      <c r="U2400" s="38" t="s">
        <v>1955</v>
      </c>
      <c r="V2400" s="69" t="s">
        <v>272</v>
      </c>
      <c r="W2400" s="89" t="s">
        <v>156</v>
      </c>
      <c r="X2400" s="106" t="s">
        <v>297</v>
      </c>
      <c r="Y2400" s="107" t="s">
        <v>18</v>
      </c>
      <c r="Z2400" s="67">
        <f>IF(База_КР_КК[[#This Row],[Таб.номер резервиста]]="-","-",IF(OR(База_КР_КК[[#This Row],[Уровень КК]]=2,База_КР_КК[[#This Row],[Уровень КК]]=3),IF(COUNTIFS($U$2:$U2400,$U2400,$F$2:$F2400,$F2400)=1,1,0),IF(COUNTIFS($U$2:$U2400,$U2400,$L$2:$L2400,$L2400)=1,1,0)))</f>
        <v>0</v>
      </c>
      <c r="AA24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0" s="106" t="s">
        <v>19</v>
      </c>
      <c r="AC2400" s="51">
        <v>44621</v>
      </c>
      <c r="AD2400" s="106" t="s">
        <v>15</v>
      </c>
      <c r="AE2400" s="38" t="s">
        <v>360</v>
      </c>
    </row>
    <row r="2401" spans="1:31" ht="18" customHeight="1" x14ac:dyDescent="0.25">
      <c r="A24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1" s="79">
        <v>4</v>
      </c>
      <c r="C2401" s="23">
        <v>44922</v>
      </c>
      <c r="D2401" s="67">
        <f>IF(COUNTIF($G$2:$G2401,$G2401)=1,1,0)</f>
        <v>1</v>
      </c>
      <c r="E2401" s="67" t="str">
        <f>IFERROR(VLOOKUP(База_КР_КК[[#This Row],[ИД штатной должности (S)]],'уровень защищенности'!$B$7:$F$1095,5,0),"не защищена")</f>
        <v>не защищена</v>
      </c>
      <c r="F2401" s="68">
        <v>500113</v>
      </c>
      <c r="G2401" s="74" t="s">
        <v>2724</v>
      </c>
      <c r="H2401" s="181">
        <f>INDEX('Списки данных'!$D$2:$D$1048576,MATCH(База_КР_КК[[#This Row],[Структурное подразделение]],'Списки данных'!$C$2:$C$1048576,0))</f>
        <v>31</v>
      </c>
      <c r="I2401" s="80" t="s">
        <v>156</v>
      </c>
      <c r="J2401" s="80" t="s">
        <v>223</v>
      </c>
      <c r="K2401" s="80" t="s">
        <v>21</v>
      </c>
      <c r="L2401" s="30" t="s">
        <v>191</v>
      </c>
      <c r="M2401" s="68">
        <v>7</v>
      </c>
      <c r="N2401" s="181" t="str">
        <f t="shared" si="38"/>
        <v>да</v>
      </c>
      <c r="O2401" s="23">
        <v>44914</v>
      </c>
      <c r="P2401" s="23"/>
      <c r="Q2401" s="106"/>
      <c r="R2401" s="37" t="s">
        <v>23</v>
      </c>
      <c r="S2401" s="37" t="s">
        <v>23</v>
      </c>
      <c r="T2401" s="37">
        <v>554</v>
      </c>
      <c r="U2401" s="38" t="s">
        <v>963</v>
      </c>
      <c r="V2401" s="69" t="s">
        <v>272</v>
      </c>
      <c r="W2401" s="89" t="s">
        <v>156</v>
      </c>
      <c r="X2401" s="106" t="s">
        <v>296</v>
      </c>
      <c r="Y2401" s="107" t="s">
        <v>14</v>
      </c>
      <c r="Z2401" s="67">
        <f>IF(База_КР_КК[[#This Row],[Таб.номер резервиста]]="-","-",IF(OR(База_КР_КК[[#This Row],[Уровень КК]]=2,База_КР_КК[[#This Row],[Уровень КК]]=3),IF(COUNTIFS($U$2:$U2401,$U2401,$F$2:$F2401,$F2401)=1,1,0),IF(COUNTIFS($U$2:$U2401,$U2401,$L$2:$L2401,$L2401)=1,1,0)))</f>
        <v>0</v>
      </c>
      <c r="AA24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1" s="106" t="s">
        <v>24</v>
      </c>
      <c r="AC2401" s="51">
        <v>44956</v>
      </c>
      <c r="AD2401" s="106" t="s">
        <v>15</v>
      </c>
      <c r="AE2401" s="38" t="s">
        <v>362</v>
      </c>
    </row>
    <row r="2402" spans="1:31" ht="18" customHeight="1" x14ac:dyDescent="0.25">
      <c r="A24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2" s="79">
        <v>4</v>
      </c>
      <c r="C2402" s="23">
        <v>44588</v>
      </c>
      <c r="D2402" s="67">
        <f>IF(COUNTIF($G$2:$G2402,$G2402)=1,1,0)</f>
        <v>0</v>
      </c>
      <c r="E2402" s="67" t="str">
        <f>IFERROR(VLOOKUP(База_КР_КК[[#This Row],[ИД штатной должности (S)]],'уровень защищенности'!$B$7:$F$1095,5,0),"не защищена")</f>
        <v>не защищена</v>
      </c>
      <c r="F2402" s="68">
        <v>500113</v>
      </c>
      <c r="G2402" s="74" t="s">
        <v>2724</v>
      </c>
      <c r="H2402" s="181">
        <f>INDEX('Списки данных'!$D$2:$D$1048576,MATCH(База_КР_КК[[#This Row],[Структурное подразделение]],'Списки данных'!$C$2:$C$1048576,0))</f>
        <v>31</v>
      </c>
      <c r="I2402" s="80" t="s">
        <v>156</v>
      </c>
      <c r="J2402" s="80" t="s">
        <v>223</v>
      </c>
      <c r="K2402" s="80" t="s">
        <v>21</v>
      </c>
      <c r="L2402" s="30" t="s">
        <v>191</v>
      </c>
      <c r="M2402" s="68">
        <v>7</v>
      </c>
      <c r="N2402" s="181" t="str">
        <f t="shared" si="38"/>
        <v>да</v>
      </c>
      <c r="O2402" s="23">
        <v>44914</v>
      </c>
      <c r="P2402" s="23"/>
      <c r="Q2402" s="106"/>
      <c r="R2402" s="37" t="s">
        <v>23</v>
      </c>
      <c r="S2402" s="37" t="s">
        <v>23</v>
      </c>
      <c r="T2402" s="37">
        <v>1632</v>
      </c>
      <c r="U2402" s="38" t="s">
        <v>1954</v>
      </c>
      <c r="V2402" s="69" t="s">
        <v>272</v>
      </c>
      <c r="W2402" s="89" t="s">
        <v>156</v>
      </c>
      <c r="X2402" s="106" t="s">
        <v>297</v>
      </c>
      <c r="Y2402" s="107" t="s">
        <v>18</v>
      </c>
      <c r="Z2402" s="67">
        <f>IF(База_КР_КК[[#This Row],[Таб.номер резервиста]]="-","-",IF(OR(База_КР_КК[[#This Row],[Уровень КК]]=2,База_КР_КК[[#This Row],[Уровень КК]]=3),IF(COUNTIFS($U$2:$U2402,$U2402,$F$2:$F2402,$F2402)=1,1,0),IF(COUNTIFS($U$2:$U2402,$U2402,$L$2:$L2402,$L2402)=1,1,0)))</f>
        <v>0</v>
      </c>
      <c r="AA24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2" s="106" t="s">
        <v>38</v>
      </c>
      <c r="AC2402" s="51">
        <v>44922</v>
      </c>
      <c r="AD2402" s="106" t="s">
        <v>15</v>
      </c>
      <c r="AE2402" s="38" t="s">
        <v>362</v>
      </c>
    </row>
    <row r="2403" spans="1:31" ht="18" customHeight="1" x14ac:dyDescent="0.25">
      <c r="A24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3" s="79">
        <v>4</v>
      </c>
      <c r="C2403" s="23">
        <v>44588</v>
      </c>
      <c r="D2403" s="67">
        <f>IF(COUNTIF($G$2:$G2403,$G2403)=1,1,0)</f>
        <v>0</v>
      </c>
      <c r="E2403" s="67" t="str">
        <f>IFERROR(VLOOKUP(База_КР_КК[[#This Row],[ИД штатной должности (S)]],'уровень защищенности'!$B$7:$F$1095,5,0),"не защищена")</f>
        <v>не защищена</v>
      </c>
      <c r="F2403" s="68">
        <v>500113</v>
      </c>
      <c r="G2403" s="74" t="s">
        <v>2724</v>
      </c>
      <c r="H2403" s="181">
        <f>INDEX('Списки данных'!$D$2:$D$1048576,MATCH(База_КР_КК[[#This Row],[Структурное подразделение]],'Списки данных'!$C$2:$C$1048576,0))</f>
        <v>31</v>
      </c>
      <c r="I2403" s="80" t="s">
        <v>156</v>
      </c>
      <c r="J2403" s="80" t="s">
        <v>223</v>
      </c>
      <c r="K2403" s="80" t="s">
        <v>21</v>
      </c>
      <c r="L2403" s="30" t="s">
        <v>191</v>
      </c>
      <c r="M2403" s="68">
        <v>7</v>
      </c>
      <c r="N2403" s="181" t="str">
        <f t="shared" si="38"/>
        <v>да</v>
      </c>
      <c r="O2403" s="23">
        <v>44914</v>
      </c>
      <c r="P2403" s="23"/>
      <c r="Q2403" s="106"/>
      <c r="R2403" s="37" t="s">
        <v>23</v>
      </c>
      <c r="S2403" s="37" t="s">
        <v>23</v>
      </c>
      <c r="T2403" s="37">
        <v>1633</v>
      </c>
      <c r="U2403" s="38" t="s">
        <v>1886</v>
      </c>
      <c r="V2403" s="69" t="s">
        <v>272</v>
      </c>
      <c r="W2403" s="89" t="s">
        <v>156</v>
      </c>
      <c r="X2403" s="106" t="s">
        <v>297</v>
      </c>
      <c r="Y2403" s="107" t="s">
        <v>18</v>
      </c>
      <c r="Z2403" s="67">
        <f>IF(База_КР_КК[[#This Row],[Таб.номер резервиста]]="-","-",IF(OR(База_КР_КК[[#This Row],[Уровень КК]]=2,База_КР_КК[[#This Row],[Уровень КК]]=3),IF(COUNTIFS($U$2:$U2403,$U2403,$F$2:$F2403,$F2403)=1,1,0),IF(COUNTIFS($U$2:$U2403,$U2403,$L$2:$L2403,$L2403)=1,1,0)))</f>
        <v>0</v>
      </c>
      <c r="AA24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3" s="106" t="s">
        <v>20</v>
      </c>
      <c r="AC2403" s="51">
        <v>44957</v>
      </c>
      <c r="AD2403" s="106" t="s">
        <v>15</v>
      </c>
      <c r="AE2403" s="38" t="s">
        <v>360</v>
      </c>
    </row>
    <row r="2404" spans="1:31" ht="18" customHeight="1" x14ac:dyDescent="0.25">
      <c r="A24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4" s="79">
        <v>4</v>
      </c>
      <c r="C2404" s="23">
        <v>44588</v>
      </c>
      <c r="D2404" s="67">
        <f>IF(COUNTIF($G$2:$G2404,$G2404)=1,1,0)</f>
        <v>0</v>
      </c>
      <c r="E2404" s="67" t="str">
        <f>IFERROR(VLOOKUP(База_КР_КК[[#This Row],[ИД штатной должности (S)]],'уровень защищенности'!$B$7:$F$1095,5,0),"не защищена")</f>
        <v>не защищена</v>
      </c>
      <c r="F2404" s="68">
        <v>500113</v>
      </c>
      <c r="G2404" s="74" t="s">
        <v>2724</v>
      </c>
      <c r="H2404" s="181">
        <f>INDEX('Списки данных'!$D$2:$D$1048576,MATCH(База_КР_КК[[#This Row],[Структурное подразделение]],'Списки данных'!$C$2:$C$1048576,0))</f>
        <v>31</v>
      </c>
      <c r="I2404" s="80" t="s">
        <v>156</v>
      </c>
      <c r="J2404" s="80" t="s">
        <v>223</v>
      </c>
      <c r="K2404" s="80" t="s">
        <v>21</v>
      </c>
      <c r="L2404" s="30" t="s">
        <v>191</v>
      </c>
      <c r="M2404" s="68">
        <v>7</v>
      </c>
      <c r="N2404" s="181" t="str">
        <f t="shared" si="38"/>
        <v>да</v>
      </c>
      <c r="O2404" s="23">
        <v>44914</v>
      </c>
      <c r="P2404" s="23"/>
      <c r="Q2404" s="106"/>
      <c r="R2404" s="37" t="s">
        <v>23</v>
      </c>
      <c r="S2404" s="37" t="s">
        <v>23</v>
      </c>
      <c r="T2404" s="37">
        <v>1634</v>
      </c>
      <c r="U2404" s="38" t="s">
        <v>1955</v>
      </c>
      <c r="V2404" s="69" t="s">
        <v>272</v>
      </c>
      <c r="W2404" s="89" t="s">
        <v>156</v>
      </c>
      <c r="X2404" s="106" t="s">
        <v>297</v>
      </c>
      <c r="Y2404" s="107" t="s">
        <v>18</v>
      </c>
      <c r="Z2404" s="67">
        <f>IF(База_КР_КК[[#This Row],[Таб.номер резервиста]]="-","-",IF(OR(База_КР_КК[[#This Row],[Уровень КК]]=2,База_КР_КК[[#This Row],[Уровень КК]]=3),IF(COUNTIFS($U$2:$U2404,$U2404,$F$2:$F2404,$F2404)=1,1,0),IF(COUNTIFS($U$2:$U2404,$U2404,$L$2:$L2404,$L2404)=1,1,0)))</f>
        <v>0</v>
      </c>
      <c r="AA24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4" s="106" t="s">
        <v>19</v>
      </c>
      <c r="AC2404" s="51">
        <v>44621</v>
      </c>
      <c r="AD2404" s="106" t="s">
        <v>15</v>
      </c>
      <c r="AE2404" s="38" t="s">
        <v>360</v>
      </c>
    </row>
    <row r="2405" spans="1:31" ht="18" customHeight="1" x14ac:dyDescent="0.25">
      <c r="A24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5" s="79">
        <v>4</v>
      </c>
      <c r="C2405" s="23">
        <v>44588</v>
      </c>
      <c r="D2405" s="67">
        <f>IF(COUNTIF($G$2:$G2405,$G2405)=1,1,0)</f>
        <v>0</v>
      </c>
      <c r="E2405" s="67" t="str">
        <f>IFERROR(VLOOKUP(База_КР_КК[[#This Row],[ИД штатной должности (S)]],'уровень защищенности'!$B$7:$F$1095,5,0),"не защищена")</f>
        <v>не защищена</v>
      </c>
      <c r="F2405" s="68">
        <v>500113</v>
      </c>
      <c r="G2405" s="74" t="s">
        <v>2724</v>
      </c>
      <c r="H2405" s="181">
        <f>INDEX('Списки данных'!$D$2:$D$1048576,MATCH(База_КР_КК[[#This Row],[Структурное подразделение]],'Списки данных'!$C$2:$C$1048576,0))</f>
        <v>31</v>
      </c>
      <c r="I2405" s="80" t="s">
        <v>156</v>
      </c>
      <c r="J2405" s="80" t="s">
        <v>223</v>
      </c>
      <c r="K2405" s="80" t="s">
        <v>21</v>
      </c>
      <c r="L2405" s="30" t="s">
        <v>191</v>
      </c>
      <c r="M2405" s="68">
        <v>7</v>
      </c>
      <c r="N2405" s="181" t="str">
        <f t="shared" si="38"/>
        <v>да</v>
      </c>
      <c r="O2405" s="23">
        <v>44914</v>
      </c>
      <c r="P2405" s="23"/>
      <c r="Q2405" s="106"/>
      <c r="R2405" s="37" t="s">
        <v>23</v>
      </c>
      <c r="S2405" s="37" t="s">
        <v>23</v>
      </c>
      <c r="T2405" s="37">
        <v>553</v>
      </c>
      <c r="U2405" s="38" t="s">
        <v>962</v>
      </c>
      <c r="V2405" s="69" t="s">
        <v>192</v>
      </c>
      <c r="W2405" s="89" t="s">
        <v>156</v>
      </c>
      <c r="X2405" s="106" t="s">
        <v>295</v>
      </c>
      <c r="Y2405" s="107" t="s">
        <v>18</v>
      </c>
      <c r="Z2405" s="67">
        <f>IF(База_КР_КК[[#This Row],[Таб.номер резервиста]]="-","-",IF(OR(База_КР_КК[[#This Row],[Уровень КК]]=2,База_КР_КК[[#This Row],[Уровень КК]]=3),IF(COUNTIFS($U$2:$U2405,$U2405,$F$2:$F2405,$F2405)=1,1,0),IF(COUNTIFS($U$2:$U2405,$U2405,$L$2:$L2405,$L2405)=1,1,0)))</f>
        <v>0</v>
      </c>
      <c r="AA24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5" s="106" t="s">
        <v>24</v>
      </c>
      <c r="AC2405" s="51">
        <v>44806</v>
      </c>
      <c r="AD2405" s="106" t="s">
        <v>15</v>
      </c>
      <c r="AE2405" s="25" t="s">
        <v>360</v>
      </c>
    </row>
    <row r="2406" spans="1:31" ht="18" customHeight="1" x14ac:dyDescent="0.25">
      <c r="A24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6" s="79">
        <v>4</v>
      </c>
      <c r="C2406" s="23">
        <v>44922</v>
      </c>
      <c r="D2406" s="67">
        <f>IF(COUNTIF($G$2:$G2406,$G2406)=1,1,0)</f>
        <v>1</v>
      </c>
      <c r="E2406" s="67" t="str">
        <f>IFERROR(VLOOKUP(База_КР_КК[[#This Row],[ИД штатной должности (S)]],'уровень защищенности'!$B$7:$F$1095,5,0),"не защищена")</f>
        <v>не защищена</v>
      </c>
      <c r="F2406" s="68">
        <v>500113</v>
      </c>
      <c r="G2406" s="74" t="s">
        <v>2725</v>
      </c>
      <c r="H2406" s="181">
        <f>INDEX('Списки данных'!$D$2:$D$1048576,MATCH(База_КР_КК[[#This Row],[Структурное подразделение]],'Списки данных'!$C$2:$C$1048576,0))</f>
        <v>31</v>
      </c>
      <c r="I2406" s="80" t="s">
        <v>156</v>
      </c>
      <c r="J2406" s="80" t="s">
        <v>223</v>
      </c>
      <c r="K2406" s="80" t="s">
        <v>21</v>
      </c>
      <c r="L2406" s="30" t="s">
        <v>191</v>
      </c>
      <c r="M2406" s="68">
        <v>7</v>
      </c>
      <c r="N2406" s="181" t="str">
        <f t="shared" si="38"/>
        <v>да</v>
      </c>
      <c r="O2406" s="23">
        <v>44904</v>
      </c>
      <c r="P2406" s="23">
        <v>44956</v>
      </c>
      <c r="Q2406" s="106" t="s">
        <v>66</v>
      </c>
      <c r="R2406" s="37">
        <v>554</v>
      </c>
      <c r="S2406" s="38" t="s">
        <v>963</v>
      </c>
      <c r="T2406" s="37">
        <v>554</v>
      </c>
      <c r="U2406" s="38" t="s">
        <v>963</v>
      </c>
      <c r="V2406" s="69" t="s">
        <v>272</v>
      </c>
      <c r="W2406" s="89" t="s">
        <v>156</v>
      </c>
      <c r="X2406" s="106" t="s">
        <v>296</v>
      </c>
      <c r="Y2406" s="107" t="s">
        <v>14</v>
      </c>
      <c r="Z2406" s="67">
        <f>IF(База_КР_КК[[#This Row],[Таб.номер резервиста]]="-","-",IF(OR(База_КР_КК[[#This Row],[Уровень КК]]=2,База_КР_КК[[#This Row],[Уровень КК]]=3),IF(COUNTIFS($U$2:$U2406,$U2406,$F$2:$F2406,$F2406)=1,1,0),IF(COUNTIFS($U$2:$U2406,$U2406,$L$2:$L2406,$L2406)=1,1,0)))</f>
        <v>0</v>
      </c>
      <c r="AA24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406" s="106" t="s">
        <v>24</v>
      </c>
      <c r="AC2406" s="51">
        <v>44956</v>
      </c>
      <c r="AD2406" s="106" t="s">
        <v>15</v>
      </c>
      <c r="AE2406" s="38" t="s">
        <v>362</v>
      </c>
    </row>
    <row r="2407" spans="1:31" ht="18" customHeight="1" x14ac:dyDescent="0.25">
      <c r="A24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7" s="79">
        <v>4</v>
      </c>
      <c r="C2407" s="23">
        <v>44588</v>
      </c>
      <c r="D2407" s="67">
        <f>IF(COUNTIF($G$2:$G2407,$G2407)=1,1,0)</f>
        <v>0</v>
      </c>
      <c r="E2407" s="67" t="str">
        <f>IFERROR(VLOOKUP(База_КР_КК[[#This Row],[ИД штатной должности (S)]],'уровень защищенности'!$B$7:$F$1095,5,0),"не защищена")</f>
        <v>не защищена</v>
      </c>
      <c r="F2407" s="68">
        <v>500113</v>
      </c>
      <c r="G2407" s="74" t="s">
        <v>2725</v>
      </c>
      <c r="H2407" s="181">
        <f>INDEX('Списки данных'!$D$2:$D$1048576,MATCH(База_КР_КК[[#This Row],[Структурное подразделение]],'Списки данных'!$C$2:$C$1048576,0))</f>
        <v>31</v>
      </c>
      <c r="I2407" s="80" t="s">
        <v>156</v>
      </c>
      <c r="J2407" s="80" t="s">
        <v>223</v>
      </c>
      <c r="K2407" s="80" t="s">
        <v>21</v>
      </c>
      <c r="L2407" s="30" t="s">
        <v>191</v>
      </c>
      <c r="M2407" s="68">
        <v>7</v>
      </c>
      <c r="N2407" s="181" t="str">
        <f t="shared" si="38"/>
        <v>да</v>
      </c>
      <c r="O2407" s="23">
        <v>44904</v>
      </c>
      <c r="P2407" s="23">
        <v>44956</v>
      </c>
      <c r="Q2407" s="106" t="s">
        <v>66</v>
      </c>
      <c r="R2407" s="37">
        <v>554</v>
      </c>
      <c r="S2407" s="38" t="s">
        <v>963</v>
      </c>
      <c r="T2407" s="37">
        <v>1632</v>
      </c>
      <c r="U2407" s="38" t="s">
        <v>1954</v>
      </c>
      <c r="V2407" s="69" t="s">
        <v>272</v>
      </c>
      <c r="W2407" s="89" t="s">
        <v>156</v>
      </c>
      <c r="X2407" s="106" t="s">
        <v>297</v>
      </c>
      <c r="Y2407" s="107" t="s">
        <v>18</v>
      </c>
      <c r="Z2407" s="67">
        <f>IF(База_КР_КК[[#This Row],[Таб.номер резервиста]]="-","-",IF(OR(База_КР_КК[[#This Row],[Уровень КК]]=2,База_КР_КК[[#This Row],[Уровень КК]]=3),IF(COUNTIFS($U$2:$U2407,$U2407,$F$2:$F2407,$F2407)=1,1,0),IF(COUNTIFS($U$2:$U2407,$U2407,$L$2:$L2407,$L2407)=1,1,0)))</f>
        <v>0</v>
      </c>
      <c r="AA24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7" s="106" t="s">
        <v>38</v>
      </c>
      <c r="AC2407" s="51">
        <v>44922</v>
      </c>
      <c r="AD2407" s="106" t="s">
        <v>15</v>
      </c>
      <c r="AE2407" s="38" t="s">
        <v>362</v>
      </c>
    </row>
    <row r="2408" spans="1:31" ht="18" customHeight="1" x14ac:dyDescent="0.25">
      <c r="A24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8" s="79">
        <v>4</v>
      </c>
      <c r="C2408" s="23">
        <v>44588</v>
      </c>
      <c r="D2408" s="67">
        <f>IF(COUNTIF($G$2:$G2408,$G2408)=1,1,0)</f>
        <v>0</v>
      </c>
      <c r="E2408" s="67" t="str">
        <f>IFERROR(VLOOKUP(База_КР_КК[[#This Row],[ИД штатной должности (S)]],'уровень защищенности'!$B$7:$F$1095,5,0),"не защищена")</f>
        <v>не защищена</v>
      </c>
      <c r="F2408" s="68">
        <v>500113</v>
      </c>
      <c r="G2408" s="74" t="s">
        <v>2725</v>
      </c>
      <c r="H2408" s="181">
        <f>INDEX('Списки данных'!$D$2:$D$1048576,MATCH(База_КР_КК[[#This Row],[Структурное подразделение]],'Списки данных'!$C$2:$C$1048576,0))</f>
        <v>31</v>
      </c>
      <c r="I2408" s="80" t="s">
        <v>156</v>
      </c>
      <c r="J2408" s="80" t="s">
        <v>223</v>
      </c>
      <c r="K2408" s="80" t="s">
        <v>21</v>
      </c>
      <c r="L2408" s="30" t="s">
        <v>191</v>
      </c>
      <c r="M2408" s="68">
        <v>7</v>
      </c>
      <c r="N2408" s="181" t="str">
        <f t="shared" si="38"/>
        <v>да</v>
      </c>
      <c r="O2408" s="23">
        <v>44904</v>
      </c>
      <c r="P2408" s="23">
        <v>44956</v>
      </c>
      <c r="Q2408" s="106" t="s">
        <v>66</v>
      </c>
      <c r="R2408" s="37">
        <v>554</v>
      </c>
      <c r="S2408" s="38" t="s">
        <v>963</v>
      </c>
      <c r="T2408" s="37">
        <v>1633</v>
      </c>
      <c r="U2408" s="38" t="s">
        <v>1886</v>
      </c>
      <c r="V2408" s="69" t="s">
        <v>272</v>
      </c>
      <c r="W2408" s="89" t="s">
        <v>156</v>
      </c>
      <c r="X2408" s="106" t="s">
        <v>297</v>
      </c>
      <c r="Y2408" s="107" t="s">
        <v>18</v>
      </c>
      <c r="Z2408" s="67">
        <f>IF(База_КР_КК[[#This Row],[Таб.номер резервиста]]="-","-",IF(OR(База_КР_КК[[#This Row],[Уровень КК]]=2,База_КР_КК[[#This Row],[Уровень КК]]=3),IF(COUNTIFS($U$2:$U2408,$U2408,$F$2:$F2408,$F2408)=1,1,0),IF(COUNTIFS($U$2:$U2408,$U2408,$L$2:$L2408,$L2408)=1,1,0)))</f>
        <v>0</v>
      </c>
      <c r="AA24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8" s="106" t="s">
        <v>20</v>
      </c>
      <c r="AC2408" s="51">
        <v>44957</v>
      </c>
      <c r="AD2408" s="106" t="s">
        <v>15</v>
      </c>
      <c r="AE2408" s="38" t="s">
        <v>360</v>
      </c>
    </row>
    <row r="2409" spans="1:31" ht="18" customHeight="1" x14ac:dyDescent="0.25">
      <c r="A24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09" s="79">
        <v>4</v>
      </c>
      <c r="C2409" s="23">
        <v>44588</v>
      </c>
      <c r="D2409" s="67">
        <f>IF(COUNTIF($G$2:$G2409,$G2409)=1,1,0)</f>
        <v>0</v>
      </c>
      <c r="E2409" s="67" t="str">
        <f>IFERROR(VLOOKUP(База_КР_КК[[#This Row],[ИД штатной должности (S)]],'уровень защищенности'!$B$7:$F$1095,5,0),"не защищена")</f>
        <v>не защищена</v>
      </c>
      <c r="F2409" s="68">
        <v>500113</v>
      </c>
      <c r="G2409" s="74" t="s">
        <v>2725</v>
      </c>
      <c r="H2409" s="181">
        <f>INDEX('Списки данных'!$D$2:$D$1048576,MATCH(База_КР_КК[[#This Row],[Структурное подразделение]],'Списки данных'!$C$2:$C$1048576,0))</f>
        <v>31</v>
      </c>
      <c r="I2409" s="80" t="s">
        <v>156</v>
      </c>
      <c r="J2409" s="80" t="s">
        <v>223</v>
      </c>
      <c r="K2409" s="80" t="s">
        <v>21</v>
      </c>
      <c r="L2409" s="30" t="s">
        <v>191</v>
      </c>
      <c r="M2409" s="68">
        <v>7</v>
      </c>
      <c r="N2409" s="181" t="str">
        <f t="shared" si="38"/>
        <v>да</v>
      </c>
      <c r="O2409" s="23">
        <v>44904</v>
      </c>
      <c r="P2409" s="23">
        <v>44956</v>
      </c>
      <c r="Q2409" s="106" t="s">
        <v>66</v>
      </c>
      <c r="R2409" s="37">
        <v>554</v>
      </c>
      <c r="S2409" s="38" t="s">
        <v>963</v>
      </c>
      <c r="T2409" s="37">
        <v>1634</v>
      </c>
      <c r="U2409" s="38" t="s">
        <v>1955</v>
      </c>
      <c r="V2409" s="69" t="s">
        <v>272</v>
      </c>
      <c r="W2409" s="89" t="s">
        <v>156</v>
      </c>
      <c r="X2409" s="106" t="s">
        <v>297</v>
      </c>
      <c r="Y2409" s="107" t="s">
        <v>18</v>
      </c>
      <c r="Z2409" s="67">
        <f>IF(База_КР_КК[[#This Row],[Таб.номер резервиста]]="-","-",IF(OR(База_КР_КК[[#This Row],[Уровень КК]]=2,База_КР_КК[[#This Row],[Уровень КК]]=3),IF(COUNTIFS($U$2:$U2409,$U2409,$F$2:$F2409,$F2409)=1,1,0),IF(COUNTIFS($U$2:$U2409,$U2409,$L$2:$L2409,$L2409)=1,1,0)))</f>
        <v>0</v>
      </c>
      <c r="AA24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09" s="106" t="s">
        <v>19</v>
      </c>
      <c r="AC2409" s="51">
        <v>44621</v>
      </c>
      <c r="AD2409" s="106" t="s">
        <v>15</v>
      </c>
      <c r="AE2409" s="38" t="s">
        <v>360</v>
      </c>
    </row>
    <row r="2410" spans="1:31" ht="18" customHeight="1" x14ac:dyDescent="0.25">
      <c r="A24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0" s="79">
        <v>4</v>
      </c>
      <c r="C2410" s="23">
        <v>44588</v>
      </c>
      <c r="D2410" s="67">
        <f>IF(COUNTIF($G$2:$G2410,$G2410)=1,1,0)</f>
        <v>0</v>
      </c>
      <c r="E2410" s="67" t="str">
        <f>IFERROR(VLOOKUP(База_КР_КК[[#This Row],[ИД штатной должности (S)]],'уровень защищенности'!$B$7:$F$1095,5,0),"не защищена")</f>
        <v>не защищена</v>
      </c>
      <c r="F2410" s="68">
        <v>500113</v>
      </c>
      <c r="G2410" s="74" t="s">
        <v>2725</v>
      </c>
      <c r="H2410" s="181">
        <f>INDEX('Списки данных'!$D$2:$D$1048576,MATCH(База_КР_КК[[#This Row],[Структурное подразделение]],'Списки данных'!$C$2:$C$1048576,0))</f>
        <v>31</v>
      </c>
      <c r="I2410" s="80" t="s">
        <v>156</v>
      </c>
      <c r="J2410" s="80" t="s">
        <v>223</v>
      </c>
      <c r="K2410" s="80" t="s">
        <v>21</v>
      </c>
      <c r="L2410" s="30" t="s">
        <v>191</v>
      </c>
      <c r="M2410" s="68">
        <v>7</v>
      </c>
      <c r="N2410" s="181" t="str">
        <f t="shared" si="38"/>
        <v>да</v>
      </c>
      <c r="O2410" s="23">
        <v>44904</v>
      </c>
      <c r="P2410" s="23">
        <v>44956</v>
      </c>
      <c r="Q2410" s="106" t="s">
        <v>66</v>
      </c>
      <c r="R2410" s="37">
        <v>554</v>
      </c>
      <c r="S2410" s="38" t="s">
        <v>963</v>
      </c>
      <c r="T2410" s="37">
        <v>553</v>
      </c>
      <c r="U2410" s="38" t="s">
        <v>962</v>
      </c>
      <c r="V2410" s="69" t="s">
        <v>192</v>
      </c>
      <c r="W2410" s="89" t="s">
        <v>156</v>
      </c>
      <c r="X2410" s="106" t="s">
        <v>295</v>
      </c>
      <c r="Y2410" s="107" t="s">
        <v>18</v>
      </c>
      <c r="Z2410" s="67">
        <f>IF(База_КР_КК[[#This Row],[Таб.номер резервиста]]="-","-",IF(OR(База_КР_КК[[#This Row],[Уровень КК]]=2,База_КР_КК[[#This Row],[Уровень КК]]=3),IF(COUNTIFS($U$2:$U2410,$U2410,$F$2:$F2410,$F2410)=1,1,0),IF(COUNTIFS($U$2:$U2410,$U2410,$L$2:$L2410,$L2410)=1,1,0)))</f>
        <v>0</v>
      </c>
      <c r="AA24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10" s="106" t="s">
        <v>24</v>
      </c>
      <c r="AC2410" s="51">
        <v>44806</v>
      </c>
      <c r="AD2410" s="106" t="s">
        <v>15</v>
      </c>
      <c r="AE2410" s="25" t="s">
        <v>360</v>
      </c>
    </row>
    <row r="2411" spans="1:31" ht="18" customHeight="1" x14ac:dyDescent="0.25">
      <c r="A24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1" s="79">
        <v>4</v>
      </c>
      <c r="C2411" s="23">
        <v>44922</v>
      </c>
      <c r="D2411" s="67">
        <f>IF(COUNTIF($G$2:$G2411,$G2411)=1,1,0)</f>
        <v>1</v>
      </c>
      <c r="E2411" s="67" t="str">
        <f>IFERROR(VLOOKUP(База_КР_КК[[#This Row],[ИД штатной должности (S)]],'уровень защищенности'!$B$7:$F$1095,5,0),"не защищена")</f>
        <v>низкий</v>
      </c>
      <c r="F2411" s="68">
        <v>500114</v>
      </c>
      <c r="G2411" s="74" t="s">
        <v>2726</v>
      </c>
      <c r="H2411" s="181">
        <f>INDEX('Списки данных'!$D$2:$D$1048576,MATCH(База_КР_КК[[#This Row],[Структурное подразделение]],'Списки данных'!$C$2:$C$1048576,0))</f>
        <v>31</v>
      </c>
      <c r="I2411" s="80" t="s">
        <v>156</v>
      </c>
      <c r="J2411" s="80" t="s">
        <v>223</v>
      </c>
      <c r="K2411" s="80" t="s">
        <v>21</v>
      </c>
      <c r="L2411" s="30" t="s">
        <v>192</v>
      </c>
      <c r="M2411" s="68">
        <v>7</v>
      </c>
      <c r="N2411" s="181" t="str">
        <f t="shared" si="38"/>
        <v>да</v>
      </c>
      <c r="O2411" s="23">
        <v>44676</v>
      </c>
      <c r="P2411" s="23">
        <v>44698</v>
      </c>
      <c r="Q2411" s="106" t="s">
        <v>66</v>
      </c>
      <c r="R2411" s="37">
        <v>555</v>
      </c>
      <c r="S2411" s="39" t="s">
        <v>964</v>
      </c>
      <c r="T2411" s="37">
        <v>1635</v>
      </c>
      <c r="U2411" s="38" t="s">
        <v>1956</v>
      </c>
      <c r="V2411" s="69" t="s">
        <v>272</v>
      </c>
      <c r="W2411" s="89" t="s">
        <v>156</v>
      </c>
      <c r="X2411" s="106" t="s">
        <v>296</v>
      </c>
      <c r="Y2411" s="107" t="s">
        <v>12</v>
      </c>
      <c r="Z2411" s="67">
        <f>IF(База_КР_КК[[#This Row],[Таб.номер резервиста]]="-","-",IF(OR(База_КР_КК[[#This Row],[Уровень КК]]=2,База_КР_КК[[#This Row],[Уровень КК]]=3),IF(COUNTIFS($U$2:$U2411,$U2411,$F$2:$F2411,$F2411)=1,1,0),IF(COUNTIFS($U$2:$U2411,$U2411,$L$2:$L2411,$L2411)=1,1,0)))</f>
        <v>1</v>
      </c>
      <c r="AA24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11" s="106"/>
      <c r="AC2411" s="51"/>
      <c r="AD2411" s="106" t="s">
        <v>15</v>
      </c>
      <c r="AE2411" s="38" t="s">
        <v>362</v>
      </c>
    </row>
    <row r="2412" spans="1:31" ht="18" customHeight="1" x14ac:dyDescent="0.25">
      <c r="A24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2" s="79">
        <v>4</v>
      </c>
      <c r="C2412" s="23">
        <v>44922</v>
      </c>
      <c r="D2412" s="67">
        <f>IF(COUNTIF($G$2:$G2412,$G2412)=1,1,0)</f>
        <v>0</v>
      </c>
      <c r="E2412" s="67" t="str">
        <f>IFERROR(VLOOKUP(База_КР_КК[[#This Row],[ИД штатной должности (S)]],'уровень защищенности'!$B$7:$F$1095,5,0),"не защищена")</f>
        <v>низкий</v>
      </c>
      <c r="F2412" s="68">
        <v>500114</v>
      </c>
      <c r="G2412" s="74" t="s">
        <v>2726</v>
      </c>
      <c r="H2412" s="181">
        <f>INDEX('Списки данных'!$D$2:$D$1048576,MATCH(База_КР_КК[[#This Row],[Структурное подразделение]],'Списки данных'!$C$2:$C$1048576,0))</f>
        <v>31</v>
      </c>
      <c r="I2412" s="80" t="s">
        <v>156</v>
      </c>
      <c r="J2412" s="80" t="s">
        <v>223</v>
      </c>
      <c r="K2412" s="80" t="s">
        <v>21</v>
      </c>
      <c r="L2412" s="30" t="s">
        <v>192</v>
      </c>
      <c r="M2412" s="68">
        <v>7</v>
      </c>
      <c r="N2412" s="181" t="str">
        <f t="shared" si="38"/>
        <v>да</v>
      </c>
      <c r="O2412" s="23">
        <v>44676</v>
      </c>
      <c r="P2412" s="23">
        <v>44698</v>
      </c>
      <c r="Q2412" s="106" t="s">
        <v>66</v>
      </c>
      <c r="R2412" s="37">
        <v>555</v>
      </c>
      <c r="S2412" s="39" t="s">
        <v>964</v>
      </c>
      <c r="T2412" s="37">
        <v>1636</v>
      </c>
      <c r="U2412" s="38" t="s">
        <v>1928</v>
      </c>
      <c r="V2412" s="69" t="s">
        <v>272</v>
      </c>
      <c r="W2412" s="89" t="s">
        <v>156</v>
      </c>
      <c r="X2412" s="106" t="s">
        <v>296</v>
      </c>
      <c r="Y2412" s="107" t="s">
        <v>12</v>
      </c>
      <c r="Z2412" s="67">
        <f>IF(База_КР_КК[[#This Row],[Таб.номер резервиста]]="-","-",IF(OR(База_КР_КК[[#This Row],[Уровень КК]]=2,База_КР_КК[[#This Row],[Уровень КК]]=3),IF(COUNTIFS($U$2:$U2412,$U2412,$F$2:$F2412,$F2412)=1,1,0),IF(COUNTIFS($U$2:$U2412,$U2412,$L$2:$L2412,$L2412)=1,1,0)))</f>
        <v>1</v>
      </c>
      <c r="AA24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12" s="106"/>
      <c r="AC2412" s="51"/>
      <c r="AD2412" s="106" t="s">
        <v>15</v>
      </c>
      <c r="AE2412" s="38" t="s">
        <v>362</v>
      </c>
    </row>
    <row r="2413" spans="1:31" ht="18" customHeight="1" x14ac:dyDescent="0.25">
      <c r="A24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3" s="79">
        <v>4</v>
      </c>
      <c r="C2413" s="23">
        <v>44588</v>
      </c>
      <c r="D2413" s="67">
        <f>IF(COUNTIF($G$2:$G2413,$G2413)=1,1,0)</f>
        <v>0</v>
      </c>
      <c r="E2413" s="67" t="str">
        <f>IFERROR(VLOOKUP(База_КР_КК[[#This Row],[ИД штатной должности (S)]],'уровень защищенности'!$B$7:$F$1095,5,0),"не защищена")</f>
        <v>низкий</v>
      </c>
      <c r="F2413" s="68">
        <v>500114</v>
      </c>
      <c r="G2413" s="74" t="s">
        <v>2726</v>
      </c>
      <c r="H2413" s="181">
        <f>INDEX('Списки данных'!$D$2:$D$1048576,MATCH(База_КР_КК[[#This Row],[Структурное подразделение]],'Списки данных'!$C$2:$C$1048576,0))</f>
        <v>31</v>
      </c>
      <c r="I2413" s="80" t="s">
        <v>156</v>
      </c>
      <c r="J2413" s="80" t="s">
        <v>223</v>
      </c>
      <c r="K2413" s="80" t="s">
        <v>21</v>
      </c>
      <c r="L2413" s="30" t="s">
        <v>192</v>
      </c>
      <c r="M2413" s="68">
        <v>7</v>
      </c>
      <c r="N2413" s="181" t="str">
        <f t="shared" si="38"/>
        <v>да</v>
      </c>
      <c r="O2413" s="23">
        <v>44676</v>
      </c>
      <c r="P2413" s="23">
        <v>44698</v>
      </c>
      <c r="Q2413" s="106" t="s">
        <v>66</v>
      </c>
      <c r="R2413" s="37">
        <v>555</v>
      </c>
      <c r="S2413" s="39" t="s">
        <v>964</v>
      </c>
      <c r="T2413" s="37">
        <v>555</v>
      </c>
      <c r="U2413" s="38" t="s">
        <v>964</v>
      </c>
      <c r="V2413" s="69" t="s">
        <v>272</v>
      </c>
      <c r="W2413" s="89" t="s">
        <v>156</v>
      </c>
      <c r="X2413" s="106" t="s">
        <v>295</v>
      </c>
      <c r="Y2413" s="107" t="s">
        <v>14</v>
      </c>
      <c r="Z2413" s="67">
        <f>IF(База_КР_КК[[#This Row],[Таб.номер резервиста]]="-","-",IF(OR(База_КР_КК[[#This Row],[Уровень КК]]=2,База_КР_КК[[#This Row],[Уровень КК]]=3),IF(COUNTIFS($U$2:$U2413,$U2413,$F$2:$F2413,$F2413)=1,1,0),IF(COUNTIFS($U$2:$U2413,$U2413,$L$2:$L2413,$L2413)=1,1,0)))</f>
        <v>1</v>
      </c>
      <c r="AA24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413" s="106" t="s">
        <v>24</v>
      </c>
      <c r="AC2413" s="51">
        <v>44698</v>
      </c>
      <c r="AD2413" s="106" t="s">
        <v>15</v>
      </c>
      <c r="AE2413" s="38" t="s">
        <v>360</v>
      </c>
    </row>
    <row r="2414" spans="1:31" ht="18" customHeight="1" x14ac:dyDescent="0.25">
      <c r="A24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4" s="79">
        <v>4</v>
      </c>
      <c r="C2414" s="23">
        <v>44588</v>
      </c>
      <c r="D2414" s="67">
        <f>IF(COUNTIF($G$2:$G2414,$G2414)=1,1,0)</f>
        <v>1</v>
      </c>
      <c r="E2414" s="67" t="str">
        <f>IFERROR(VLOOKUP(База_КР_КК[[#This Row],[ИД штатной должности (S)]],'уровень защищенности'!$B$7:$F$1095,5,0),"не защищена")</f>
        <v>средний</v>
      </c>
      <c r="F2414" s="68">
        <v>500115</v>
      </c>
      <c r="G2414" s="74" t="s">
        <v>2727</v>
      </c>
      <c r="H2414" s="181">
        <f>INDEX('Списки данных'!$D$2:$D$1048576,MATCH(База_КР_КК[[#This Row],[Структурное подразделение]],'Списки данных'!$C$2:$C$1048576,0))</f>
        <v>31</v>
      </c>
      <c r="I2414" s="80" t="s">
        <v>156</v>
      </c>
      <c r="J2414" s="80" t="s">
        <v>223</v>
      </c>
      <c r="K2414" s="80" t="s">
        <v>235</v>
      </c>
      <c r="L2414" s="30" t="s">
        <v>192</v>
      </c>
      <c r="M2414" s="68">
        <v>7</v>
      </c>
      <c r="N2414" s="181" t="str">
        <f t="shared" si="38"/>
        <v>да</v>
      </c>
      <c r="O2414" s="23">
        <v>44663</v>
      </c>
      <c r="P2414" s="23">
        <v>44698</v>
      </c>
      <c r="Q2414" s="106" t="s">
        <v>66</v>
      </c>
      <c r="R2414" s="37">
        <v>556</v>
      </c>
      <c r="S2414" s="39" t="s">
        <v>965</v>
      </c>
      <c r="T2414" s="37">
        <v>553</v>
      </c>
      <c r="U2414" s="38" t="s">
        <v>962</v>
      </c>
      <c r="V2414" s="89" t="s">
        <v>192</v>
      </c>
      <c r="W2414" s="89" t="s">
        <v>156</v>
      </c>
      <c r="X2414" s="106" t="s">
        <v>297</v>
      </c>
      <c r="Y2414" s="107" t="s">
        <v>12</v>
      </c>
      <c r="Z2414" s="67">
        <f>IF(База_КР_КК[[#This Row],[Таб.номер резервиста]]="-","-",IF(OR(База_КР_КК[[#This Row],[Уровень КК]]=2,База_КР_КК[[#This Row],[Уровень КК]]=3),IF(COUNTIFS($U$2:$U2414,$U2414,$F$2:$F2414,$F2414)=1,1,0),IF(COUNTIFS($U$2:$U2414,$U2414,$L$2:$L2414,$L2414)=1,1,0)))</f>
        <v>1</v>
      </c>
      <c r="AA24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14" s="106"/>
      <c r="AC2414" s="51"/>
      <c r="AD2414" s="106" t="s">
        <v>15</v>
      </c>
      <c r="AE2414" s="38" t="s">
        <v>360</v>
      </c>
    </row>
    <row r="2415" spans="1:31" ht="18" customHeight="1" x14ac:dyDescent="0.25">
      <c r="A24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5" s="79">
        <v>4</v>
      </c>
      <c r="C2415" s="23">
        <v>44922</v>
      </c>
      <c r="D2415" s="67">
        <f>IF(COUNTIF($G$2:$G2415,$G2415)=1,1,0)</f>
        <v>0</v>
      </c>
      <c r="E2415" s="67" t="str">
        <f>IFERROR(VLOOKUP(База_КР_КК[[#This Row],[ИД штатной должности (S)]],'уровень защищенности'!$B$7:$F$1095,5,0),"не защищена")</f>
        <v>средний</v>
      </c>
      <c r="F2415" s="68">
        <v>500115</v>
      </c>
      <c r="G2415" s="74" t="s">
        <v>2727</v>
      </c>
      <c r="H2415" s="181">
        <f>INDEX('Списки данных'!$D$2:$D$1048576,MATCH(База_КР_КК[[#This Row],[Структурное подразделение]],'Списки данных'!$C$2:$C$1048576,0))</f>
        <v>31</v>
      </c>
      <c r="I2415" s="80" t="s">
        <v>156</v>
      </c>
      <c r="J2415" s="80" t="s">
        <v>223</v>
      </c>
      <c r="K2415" s="80" t="s">
        <v>235</v>
      </c>
      <c r="L2415" s="30" t="s">
        <v>192</v>
      </c>
      <c r="M2415" s="68">
        <v>7</v>
      </c>
      <c r="N2415" s="181" t="str">
        <f t="shared" si="38"/>
        <v>да</v>
      </c>
      <c r="O2415" s="23">
        <v>44663</v>
      </c>
      <c r="P2415" s="23">
        <v>44698</v>
      </c>
      <c r="Q2415" s="106" t="s">
        <v>66</v>
      </c>
      <c r="R2415" s="37">
        <v>556</v>
      </c>
      <c r="S2415" s="39" t="s">
        <v>965</v>
      </c>
      <c r="T2415" s="37">
        <v>1637</v>
      </c>
      <c r="U2415" s="38" t="s">
        <v>1957</v>
      </c>
      <c r="V2415" s="69" t="s">
        <v>272</v>
      </c>
      <c r="W2415" s="89" t="s">
        <v>156</v>
      </c>
      <c r="X2415" s="106" t="s">
        <v>296</v>
      </c>
      <c r="Y2415" s="107" t="s">
        <v>12</v>
      </c>
      <c r="Z2415" s="67">
        <f>IF(База_КР_КК[[#This Row],[Таб.номер резервиста]]="-","-",IF(OR(База_КР_КК[[#This Row],[Уровень КК]]=2,База_КР_КК[[#This Row],[Уровень КК]]=3),IF(COUNTIFS($U$2:$U2415,$U2415,$F$2:$F2415,$F2415)=1,1,0),IF(COUNTIFS($U$2:$U2415,$U2415,$L$2:$L2415,$L2415)=1,1,0)))</f>
        <v>1</v>
      </c>
      <c r="AA24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15" s="106"/>
      <c r="AC2415" s="51"/>
      <c r="AD2415" s="106" t="s">
        <v>15</v>
      </c>
      <c r="AE2415" s="38" t="s">
        <v>362</v>
      </c>
    </row>
    <row r="2416" spans="1:31" ht="18" customHeight="1" x14ac:dyDescent="0.25">
      <c r="A24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6" s="79">
        <v>4</v>
      </c>
      <c r="C2416" s="23">
        <v>44588</v>
      </c>
      <c r="D2416" s="67">
        <f>IF(COUNTIF($G$2:$G2416,$G2416)=1,1,0)</f>
        <v>0</v>
      </c>
      <c r="E2416" s="67" t="str">
        <f>IFERROR(VLOOKUP(База_КР_КК[[#This Row],[ИД штатной должности (S)]],'уровень защищенности'!$B$7:$F$1095,5,0),"не защищена")</f>
        <v>средний</v>
      </c>
      <c r="F2416" s="68">
        <v>500115</v>
      </c>
      <c r="G2416" s="74" t="s">
        <v>2727</v>
      </c>
      <c r="H2416" s="181">
        <f>INDEX('Списки данных'!$D$2:$D$1048576,MATCH(База_КР_КК[[#This Row],[Структурное подразделение]],'Списки данных'!$C$2:$C$1048576,0))</f>
        <v>31</v>
      </c>
      <c r="I2416" s="80" t="s">
        <v>156</v>
      </c>
      <c r="J2416" s="80" t="s">
        <v>223</v>
      </c>
      <c r="K2416" s="80" t="s">
        <v>235</v>
      </c>
      <c r="L2416" s="30" t="s">
        <v>192</v>
      </c>
      <c r="M2416" s="68">
        <v>7</v>
      </c>
      <c r="N2416" s="181" t="str">
        <f t="shared" si="38"/>
        <v>да</v>
      </c>
      <c r="O2416" s="23">
        <v>44663</v>
      </c>
      <c r="P2416" s="23">
        <v>44698</v>
      </c>
      <c r="Q2416" s="106" t="s">
        <v>66</v>
      </c>
      <c r="R2416" s="37">
        <v>556</v>
      </c>
      <c r="S2416" s="39" t="s">
        <v>965</v>
      </c>
      <c r="T2416" s="37">
        <v>556</v>
      </c>
      <c r="U2416" s="38" t="s">
        <v>965</v>
      </c>
      <c r="V2416" s="69" t="s">
        <v>192</v>
      </c>
      <c r="W2416" s="89" t="s">
        <v>156</v>
      </c>
      <c r="X2416" s="106" t="s">
        <v>295</v>
      </c>
      <c r="Y2416" s="107" t="s">
        <v>14</v>
      </c>
      <c r="Z2416" s="67">
        <f>IF(База_КР_КК[[#This Row],[Таб.номер резервиста]]="-","-",IF(OR(База_КР_КК[[#This Row],[Уровень КК]]=2,База_КР_КК[[#This Row],[Уровень КК]]=3),IF(COUNTIFS($U$2:$U2416,$U2416,$F$2:$F2416,$F2416)=1,1,0),IF(COUNTIFS($U$2:$U2416,$U2416,$L$2:$L2416,$L2416)=1,1,0)))</f>
        <v>1</v>
      </c>
      <c r="AA24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416" s="106" t="s">
        <v>24</v>
      </c>
      <c r="AC2416" s="51">
        <v>44698</v>
      </c>
      <c r="AD2416" s="106" t="s">
        <v>15</v>
      </c>
      <c r="AE2416" s="38" t="s">
        <v>360</v>
      </c>
    </row>
    <row r="2417" spans="1:31" ht="18" customHeight="1" x14ac:dyDescent="0.25">
      <c r="A24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7" s="79">
        <v>4</v>
      </c>
      <c r="C2417" s="23">
        <v>44588</v>
      </c>
      <c r="D2417" s="67">
        <f>IF(COUNTIF($G$2:$G2417,$G2417)=1,1,0)</f>
        <v>1</v>
      </c>
      <c r="E2417" s="67" t="str">
        <f>IFERROR(VLOOKUP(База_КР_КК[[#This Row],[ИД штатной должности (S)]],'уровень защищенности'!$B$7:$F$1095,5,0),"не защищена")</f>
        <v>средний</v>
      </c>
      <c r="F2417" s="68">
        <v>500116</v>
      </c>
      <c r="G2417" s="74" t="s">
        <v>2728</v>
      </c>
      <c r="H2417" s="181">
        <f>INDEX('Списки данных'!$D$2:$D$1048576,MATCH(База_КР_КК[[#This Row],[Структурное подразделение]],'Списки данных'!$C$2:$C$1048576,0))</f>
        <v>31</v>
      </c>
      <c r="I2417" s="80" t="s">
        <v>156</v>
      </c>
      <c r="J2417" s="80" t="s">
        <v>223</v>
      </c>
      <c r="K2417" s="80" t="s">
        <v>21</v>
      </c>
      <c r="L2417" s="30" t="s">
        <v>198</v>
      </c>
      <c r="M2417" s="68">
        <v>6</v>
      </c>
      <c r="N2417" s="181" t="str">
        <f t="shared" si="38"/>
        <v>нет</v>
      </c>
      <c r="O2417" s="23"/>
      <c r="P2417" s="23"/>
      <c r="Q2417" s="106"/>
      <c r="R2417" s="37">
        <v>557</v>
      </c>
      <c r="S2417" s="39" t="s">
        <v>966</v>
      </c>
      <c r="T2417" s="37">
        <v>559</v>
      </c>
      <c r="U2417" s="38" t="s">
        <v>968</v>
      </c>
      <c r="V2417" s="69" t="s">
        <v>192</v>
      </c>
      <c r="W2417" s="89" t="s">
        <v>156</v>
      </c>
      <c r="X2417" s="106" t="s">
        <v>297</v>
      </c>
      <c r="Y2417" s="107" t="s">
        <v>12</v>
      </c>
      <c r="Z2417" s="67">
        <f>IF(База_КР_КК[[#This Row],[Таб.номер резервиста]]="-","-",IF(OR(База_КР_КК[[#This Row],[Уровень КК]]=2,База_КР_КК[[#This Row],[Уровень КК]]=3),IF(COUNTIFS($U$2:$U2417,$U2417,$F$2:$F2417,$F2417)=1,1,0),IF(COUNTIFS($U$2:$U2417,$U2417,$L$2:$L2417,$L2417)=1,1,0)))</f>
        <v>1</v>
      </c>
      <c r="AA24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17" s="106"/>
      <c r="AC2417" s="51"/>
      <c r="AD2417" s="106" t="s">
        <v>15</v>
      </c>
      <c r="AE2417" s="38" t="s">
        <v>360</v>
      </c>
    </row>
    <row r="2418" spans="1:31" ht="18" customHeight="1" x14ac:dyDescent="0.25">
      <c r="A24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8" s="79">
        <v>4</v>
      </c>
      <c r="C2418" s="23">
        <v>44922</v>
      </c>
      <c r="D2418" s="67">
        <f>IF(COUNTIF($G$2:$G2418,$G2418)=1,1,0)</f>
        <v>0</v>
      </c>
      <c r="E2418" s="67" t="str">
        <f>IFERROR(VLOOKUP(База_КР_КК[[#This Row],[ИД штатной должности (S)]],'уровень защищенности'!$B$7:$F$1095,5,0),"не защищена")</f>
        <v>средний</v>
      </c>
      <c r="F2418" s="68">
        <v>500116</v>
      </c>
      <c r="G2418" s="74" t="s">
        <v>2728</v>
      </c>
      <c r="H2418" s="181">
        <f>INDEX('Списки данных'!$D$2:$D$1048576,MATCH(База_КР_КК[[#This Row],[Структурное подразделение]],'Списки данных'!$C$2:$C$1048576,0))</f>
        <v>31</v>
      </c>
      <c r="I2418" s="80" t="s">
        <v>156</v>
      </c>
      <c r="J2418" s="80" t="s">
        <v>223</v>
      </c>
      <c r="K2418" s="80" t="s">
        <v>21</v>
      </c>
      <c r="L2418" s="30" t="s">
        <v>198</v>
      </c>
      <c r="M2418" s="68">
        <v>6</v>
      </c>
      <c r="N2418" s="181" t="str">
        <f t="shared" si="38"/>
        <v>нет</v>
      </c>
      <c r="O2418" s="23"/>
      <c r="P2418" s="23"/>
      <c r="Q2418" s="106"/>
      <c r="R2418" s="37">
        <v>557</v>
      </c>
      <c r="S2418" s="39" t="s">
        <v>966</v>
      </c>
      <c r="T2418" s="37">
        <v>558</v>
      </c>
      <c r="U2418" s="38" t="s">
        <v>967</v>
      </c>
      <c r="V2418" s="69" t="s">
        <v>192</v>
      </c>
      <c r="W2418" s="89" t="s">
        <v>156</v>
      </c>
      <c r="X2418" s="106" t="s">
        <v>296</v>
      </c>
      <c r="Y2418" s="107" t="s">
        <v>12</v>
      </c>
      <c r="Z2418" s="67">
        <f>IF(База_КР_КК[[#This Row],[Таб.номер резервиста]]="-","-",IF(OR(База_КР_КК[[#This Row],[Уровень КК]]=2,База_КР_КК[[#This Row],[Уровень КК]]=3),IF(COUNTIFS($U$2:$U2418,$U2418,$F$2:$F2418,$F2418)=1,1,0),IF(COUNTIFS($U$2:$U2418,$U2418,$L$2:$L2418,$L2418)=1,1,0)))</f>
        <v>1</v>
      </c>
      <c r="AA24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18" s="106"/>
      <c r="AC2418" s="51"/>
      <c r="AD2418" s="106" t="s">
        <v>15</v>
      </c>
      <c r="AE2418" s="38" t="s">
        <v>362</v>
      </c>
    </row>
    <row r="2419" spans="1:31" ht="18" customHeight="1" x14ac:dyDescent="0.25">
      <c r="A24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19" s="79">
        <v>4</v>
      </c>
      <c r="C2419" s="23">
        <v>44588</v>
      </c>
      <c r="D2419" s="67">
        <f>IF(COUNTIF($G$2:$G2419,$G2419)=1,1,0)</f>
        <v>1</v>
      </c>
      <c r="E2419" s="67" t="str">
        <f>IFERROR(VLOOKUP(База_КР_КК[[#This Row],[ИД штатной должности (S)]],'уровень защищенности'!$B$7:$F$1095,5,0),"не защищена")</f>
        <v>не защищена</v>
      </c>
      <c r="F2419" s="68">
        <v>500117</v>
      </c>
      <c r="G2419" s="74" t="s">
        <v>2729</v>
      </c>
      <c r="H2419" s="181">
        <f>INDEX('Списки данных'!$D$2:$D$1048576,MATCH(База_КР_КК[[#This Row],[Структурное подразделение]],'Списки данных'!$C$2:$C$1048576,0))</f>
        <v>31</v>
      </c>
      <c r="I2419" s="80" t="s">
        <v>156</v>
      </c>
      <c r="J2419" s="80" t="s">
        <v>223</v>
      </c>
      <c r="K2419" s="80" t="s">
        <v>21</v>
      </c>
      <c r="L2419" s="30" t="s">
        <v>192</v>
      </c>
      <c r="M2419" s="68">
        <v>7</v>
      </c>
      <c r="N2419" s="181" t="str">
        <f t="shared" si="38"/>
        <v>да</v>
      </c>
      <c r="O2419" s="23">
        <v>44557</v>
      </c>
      <c r="P2419" s="23">
        <v>44723</v>
      </c>
      <c r="Q2419" s="106" t="s">
        <v>66</v>
      </c>
      <c r="R2419" s="37">
        <v>558</v>
      </c>
      <c r="S2419" s="39" t="s">
        <v>967</v>
      </c>
      <c r="T2419" s="37">
        <v>558</v>
      </c>
      <c r="U2419" s="38" t="s">
        <v>967</v>
      </c>
      <c r="V2419" s="69" t="s">
        <v>192</v>
      </c>
      <c r="W2419" s="89" t="s">
        <v>156</v>
      </c>
      <c r="X2419" s="106" t="s">
        <v>297</v>
      </c>
      <c r="Y2419" s="107" t="s">
        <v>14</v>
      </c>
      <c r="Z2419" s="67">
        <f>IF(База_КР_КК[[#This Row],[Таб.номер резервиста]]="-","-",IF(OR(База_КР_КК[[#This Row],[Уровень КК]]=2,База_КР_КК[[#This Row],[Уровень КК]]=3),IF(COUNTIFS($U$2:$U2419,$U2419,$F$2:$F2419,$F2419)=1,1,0),IF(COUNTIFS($U$2:$U2419,$U2419,$L$2:$L2419,$L2419)=1,1,0)))</f>
        <v>1</v>
      </c>
      <c r="AA24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419" s="106" t="s">
        <v>24</v>
      </c>
      <c r="AC2419" s="51">
        <v>44723</v>
      </c>
      <c r="AD2419" s="106" t="s">
        <v>15</v>
      </c>
      <c r="AE2419" s="38" t="s">
        <v>360</v>
      </c>
    </row>
    <row r="2420" spans="1:31" ht="18" customHeight="1" x14ac:dyDescent="0.25">
      <c r="A24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0" s="79">
        <v>4</v>
      </c>
      <c r="C2420" s="23">
        <v>44588</v>
      </c>
      <c r="D2420" s="67">
        <f>IF(COUNTIF($G$2:$G2420,$G2420)=1,1,0)</f>
        <v>0</v>
      </c>
      <c r="E2420" s="67" t="str">
        <f>IFERROR(VLOOKUP(База_КР_КК[[#This Row],[ИД штатной должности (S)]],'уровень защищенности'!$B$7:$F$1095,5,0),"не защищена")</f>
        <v>не защищена</v>
      </c>
      <c r="F2420" s="68">
        <v>500117</v>
      </c>
      <c r="G2420" s="74" t="s">
        <v>2729</v>
      </c>
      <c r="H2420" s="181">
        <f>INDEX('Списки данных'!$D$2:$D$1048576,MATCH(База_КР_КК[[#This Row],[Структурное подразделение]],'Списки данных'!$C$2:$C$1048576,0))</f>
        <v>31</v>
      </c>
      <c r="I2420" s="80" t="s">
        <v>156</v>
      </c>
      <c r="J2420" s="80" t="s">
        <v>223</v>
      </c>
      <c r="K2420" s="80" t="s">
        <v>21</v>
      </c>
      <c r="L2420" s="30" t="s">
        <v>192</v>
      </c>
      <c r="M2420" s="68">
        <v>7</v>
      </c>
      <c r="N2420" s="181" t="str">
        <f t="shared" si="38"/>
        <v>да</v>
      </c>
      <c r="O2420" s="23">
        <v>44557</v>
      </c>
      <c r="P2420" s="23">
        <v>44723</v>
      </c>
      <c r="Q2420" s="106" t="s">
        <v>66</v>
      </c>
      <c r="R2420" s="37">
        <v>558</v>
      </c>
      <c r="S2420" s="39" t="s">
        <v>967</v>
      </c>
      <c r="T2420" s="37">
        <v>612</v>
      </c>
      <c r="U2420" s="38" t="s">
        <v>1021</v>
      </c>
      <c r="V2420" s="69" t="s">
        <v>272</v>
      </c>
      <c r="W2420" s="89" t="s">
        <v>156</v>
      </c>
      <c r="X2420" s="106" t="s">
        <v>295</v>
      </c>
      <c r="Y2420" s="107" t="s">
        <v>18</v>
      </c>
      <c r="Z2420" s="67">
        <f>IF(База_КР_КК[[#This Row],[Таб.номер резервиста]]="-","-",IF(OR(База_КР_КК[[#This Row],[Уровень КК]]=2,База_КР_КК[[#This Row],[Уровень КК]]=3),IF(COUNTIFS($U$2:$U2420,$U2420,$F$2:$F2420,$F2420)=1,1,0),IF(COUNTIFS($U$2:$U2420,$U2420,$L$2:$L2420,$L2420)=1,1,0)))</f>
        <v>1</v>
      </c>
      <c r="AA24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0" s="106" t="s">
        <v>37</v>
      </c>
      <c r="AC2420" s="51">
        <v>44606</v>
      </c>
      <c r="AD2420" s="106" t="s">
        <v>15</v>
      </c>
      <c r="AE2420" s="38" t="s">
        <v>360</v>
      </c>
    </row>
    <row r="2421" spans="1:31" ht="18" customHeight="1" x14ac:dyDescent="0.25">
      <c r="A24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1" s="79">
        <v>4</v>
      </c>
      <c r="C2421" s="23">
        <v>44588</v>
      </c>
      <c r="D2421" s="67">
        <f>IF(COUNTIF($G$2:$G2421,$G2421)=1,1,0)</f>
        <v>1</v>
      </c>
      <c r="E2421" s="67" t="str">
        <f>IFERROR(VLOOKUP(База_КР_КК[[#This Row],[ИД штатной должности (S)]],'уровень защищенности'!$B$7:$F$1095,5,0),"не защищена")</f>
        <v>не защищена</v>
      </c>
      <c r="F2421" s="68">
        <v>500118</v>
      </c>
      <c r="G2421" s="74" t="s">
        <v>2730</v>
      </c>
      <c r="H2421" s="181">
        <f>INDEX('Списки данных'!$D$2:$D$1048576,MATCH(База_КР_КК[[#This Row],[Структурное подразделение]],'Списки данных'!$C$2:$C$1048576,0))</f>
        <v>31</v>
      </c>
      <c r="I2421" s="80" t="s">
        <v>156</v>
      </c>
      <c r="J2421" s="80" t="s">
        <v>223</v>
      </c>
      <c r="K2421" s="80" t="s">
        <v>21</v>
      </c>
      <c r="L2421" s="30" t="s">
        <v>192</v>
      </c>
      <c r="M2421" s="68">
        <v>7</v>
      </c>
      <c r="N2421" s="181" t="str">
        <f t="shared" si="38"/>
        <v>нет</v>
      </c>
      <c r="O2421" s="23"/>
      <c r="P2421" s="23"/>
      <c r="Q2421" s="106"/>
      <c r="R2421" s="37">
        <v>559</v>
      </c>
      <c r="S2421" s="39" t="s">
        <v>968</v>
      </c>
      <c r="T2421" s="37">
        <v>612</v>
      </c>
      <c r="U2421" s="38" t="s">
        <v>1021</v>
      </c>
      <c r="V2421" s="69" t="s">
        <v>272</v>
      </c>
      <c r="W2421" s="89" t="s">
        <v>156</v>
      </c>
      <c r="X2421" s="106" t="s">
        <v>295</v>
      </c>
      <c r="Y2421" s="107" t="s">
        <v>18</v>
      </c>
      <c r="Z2421" s="67">
        <f>IF(База_КР_КК[[#This Row],[Таб.номер резервиста]]="-","-",IF(OR(База_КР_КК[[#This Row],[Уровень КК]]=2,База_КР_КК[[#This Row],[Уровень КК]]=3),IF(COUNTIFS($U$2:$U2421,$U2421,$F$2:$F2421,$F2421)=1,1,0),IF(COUNTIFS($U$2:$U2421,$U2421,$L$2:$L2421,$L2421)=1,1,0)))</f>
        <v>0</v>
      </c>
      <c r="AA24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1" s="106" t="s">
        <v>37</v>
      </c>
      <c r="AC2421" s="51">
        <v>44606</v>
      </c>
      <c r="AD2421" s="106" t="s">
        <v>15</v>
      </c>
      <c r="AE2421" s="38" t="s">
        <v>360</v>
      </c>
    </row>
    <row r="2422" spans="1:31" ht="18" customHeight="1" x14ac:dyDescent="0.25">
      <c r="A24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2" s="79">
        <v>4</v>
      </c>
      <c r="C2422" s="23">
        <v>44588</v>
      </c>
      <c r="D2422" s="67">
        <f>IF(COUNTIF($G$2:$G2422,$G2422)=1,1,0)</f>
        <v>0</v>
      </c>
      <c r="E2422" s="67" t="str">
        <f>IFERROR(VLOOKUP(База_КР_КК[[#This Row],[ИД штатной должности (S)]],'уровень защищенности'!$B$7:$F$1095,5,0),"не защищена")</f>
        <v>не защищена</v>
      </c>
      <c r="F2422" s="68">
        <v>500118</v>
      </c>
      <c r="G2422" s="74" t="s">
        <v>2730</v>
      </c>
      <c r="H2422" s="181">
        <f>INDEX('Списки данных'!$D$2:$D$1048576,MATCH(База_КР_КК[[#This Row],[Структурное подразделение]],'Списки данных'!$C$2:$C$1048576,0))</f>
        <v>31</v>
      </c>
      <c r="I2422" s="80" t="s">
        <v>156</v>
      </c>
      <c r="J2422" s="80" t="s">
        <v>223</v>
      </c>
      <c r="K2422" s="80" t="s">
        <v>21</v>
      </c>
      <c r="L2422" s="30" t="s">
        <v>192</v>
      </c>
      <c r="M2422" s="68">
        <v>7</v>
      </c>
      <c r="N2422" s="181" t="str">
        <f t="shared" si="38"/>
        <v>нет</v>
      </c>
      <c r="O2422" s="23"/>
      <c r="P2422" s="23"/>
      <c r="Q2422" s="106"/>
      <c r="R2422" s="37">
        <v>559</v>
      </c>
      <c r="S2422" s="39" t="s">
        <v>968</v>
      </c>
      <c r="T2422" s="37">
        <v>558</v>
      </c>
      <c r="U2422" s="38" t="s">
        <v>967</v>
      </c>
      <c r="V2422" s="69" t="s">
        <v>192</v>
      </c>
      <c r="W2422" s="89" t="s">
        <v>156</v>
      </c>
      <c r="X2422" s="106" t="s">
        <v>297</v>
      </c>
      <c r="Y2422" s="107" t="s">
        <v>18</v>
      </c>
      <c r="Z2422" s="67">
        <f>IF(База_КР_КК[[#This Row],[Таб.номер резервиста]]="-","-",IF(OR(База_КР_КК[[#This Row],[Уровень КК]]=2,База_КР_КК[[#This Row],[Уровень КК]]=3),IF(COUNTIFS($U$2:$U2422,$U2422,$F$2:$F2422,$F2422)=1,1,0),IF(COUNTIFS($U$2:$U2422,$U2422,$L$2:$L2422,$L2422)=1,1,0)))</f>
        <v>0</v>
      </c>
      <c r="AA24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2" s="106" t="s">
        <v>24</v>
      </c>
      <c r="AC2422" s="51">
        <v>44723</v>
      </c>
      <c r="AD2422" s="106" t="s">
        <v>15</v>
      </c>
      <c r="AE2422" s="38" t="s">
        <v>360</v>
      </c>
    </row>
    <row r="2423" spans="1:31" ht="18" customHeight="1" x14ac:dyDescent="0.25">
      <c r="A24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3" s="79">
        <v>4</v>
      </c>
      <c r="C2423" s="23">
        <v>44588</v>
      </c>
      <c r="D2423" s="67">
        <f>IF(COUNTIF($G$2:$G2423,$G2423)=1,1,0)</f>
        <v>1</v>
      </c>
      <c r="E2423" s="67" t="str">
        <f>IFERROR(VLOOKUP(База_КР_КК[[#This Row],[ИД штатной должности (S)]],'уровень защищенности'!$B$7:$F$1095,5,0),"не защищена")</f>
        <v>средний</v>
      </c>
      <c r="F2423" s="68">
        <v>500119</v>
      </c>
      <c r="G2423" s="74" t="s">
        <v>2731</v>
      </c>
      <c r="H2423" s="181">
        <f>INDEX('Списки данных'!$D$2:$D$1048576,MATCH(База_КР_КК[[#This Row],[Структурное подразделение]],'Списки данных'!$C$2:$C$1048576,0))</f>
        <v>31</v>
      </c>
      <c r="I2423" s="80" t="s">
        <v>156</v>
      </c>
      <c r="J2423" s="80" t="s">
        <v>223</v>
      </c>
      <c r="K2423" s="80" t="s">
        <v>21</v>
      </c>
      <c r="L2423" s="30" t="s">
        <v>198</v>
      </c>
      <c r="M2423" s="68">
        <v>6</v>
      </c>
      <c r="N2423" s="181" t="str">
        <f t="shared" si="38"/>
        <v>нет</v>
      </c>
      <c r="O2423" s="23"/>
      <c r="P2423" s="23"/>
      <c r="Q2423" s="106"/>
      <c r="R2423" s="37">
        <v>560</v>
      </c>
      <c r="S2423" s="39" t="s">
        <v>969</v>
      </c>
      <c r="T2423" s="37">
        <v>1638</v>
      </c>
      <c r="U2423" s="38" t="s">
        <v>1958</v>
      </c>
      <c r="V2423" s="69" t="s">
        <v>192</v>
      </c>
      <c r="W2423" s="89" t="s">
        <v>156</v>
      </c>
      <c r="X2423" s="106" t="s">
        <v>297</v>
      </c>
      <c r="Y2423" s="107" t="s">
        <v>18</v>
      </c>
      <c r="Z2423" s="67">
        <f>IF(База_КР_КК[[#This Row],[Таб.номер резервиста]]="-","-",IF(OR(База_КР_КК[[#This Row],[Уровень КК]]=2,База_КР_КК[[#This Row],[Уровень КК]]=3),IF(COUNTIFS($U$2:$U2423,$U2423,$F$2:$F2423,$F2423)=1,1,0),IF(COUNTIFS($U$2:$U2423,$U2423,$L$2:$L2423,$L2423)=1,1,0)))</f>
        <v>1</v>
      </c>
      <c r="AA24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3" s="106" t="s">
        <v>19</v>
      </c>
      <c r="AC2423" s="51">
        <v>45047</v>
      </c>
      <c r="AD2423" s="106" t="s">
        <v>15</v>
      </c>
      <c r="AE2423" s="38" t="s">
        <v>360</v>
      </c>
    </row>
    <row r="2424" spans="1:31" ht="18" customHeight="1" x14ac:dyDescent="0.25">
      <c r="A24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4" s="79">
        <v>4</v>
      </c>
      <c r="C2424" s="23">
        <v>44588</v>
      </c>
      <c r="D2424" s="67">
        <f>IF(COUNTIF($G$2:$G2424,$G2424)=1,1,0)</f>
        <v>0</v>
      </c>
      <c r="E2424" s="67" t="str">
        <f>IFERROR(VLOOKUP(База_КР_КК[[#This Row],[ИД штатной должности (S)]],'уровень защищенности'!$B$7:$F$1095,5,0),"не защищена")</f>
        <v>средний</v>
      </c>
      <c r="F2424" s="68">
        <v>500119</v>
      </c>
      <c r="G2424" s="74" t="s">
        <v>2731</v>
      </c>
      <c r="H2424" s="181">
        <f>INDEX('Списки данных'!$D$2:$D$1048576,MATCH(База_КР_КК[[#This Row],[Структурное подразделение]],'Списки данных'!$C$2:$C$1048576,0))</f>
        <v>31</v>
      </c>
      <c r="I2424" s="80" t="s">
        <v>156</v>
      </c>
      <c r="J2424" s="80" t="s">
        <v>223</v>
      </c>
      <c r="K2424" s="80" t="s">
        <v>21</v>
      </c>
      <c r="L2424" s="30" t="s">
        <v>198</v>
      </c>
      <c r="M2424" s="68">
        <v>6</v>
      </c>
      <c r="N2424" s="181" t="str">
        <f t="shared" si="38"/>
        <v>нет</v>
      </c>
      <c r="O2424" s="23"/>
      <c r="P2424" s="23"/>
      <c r="Q2424" s="106"/>
      <c r="R2424" s="37">
        <v>560</v>
      </c>
      <c r="S2424" s="39" t="s">
        <v>969</v>
      </c>
      <c r="T2424" s="37">
        <v>615</v>
      </c>
      <c r="U2424" s="38" t="s">
        <v>1024</v>
      </c>
      <c r="V2424" s="69" t="s">
        <v>192</v>
      </c>
      <c r="W2424" s="89" t="s">
        <v>156</v>
      </c>
      <c r="X2424" s="106" t="s">
        <v>297</v>
      </c>
      <c r="Y2424" s="107" t="s">
        <v>12</v>
      </c>
      <c r="Z2424" s="67">
        <f>IF(База_КР_КК[[#This Row],[Таб.номер резервиста]]="-","-",IF(OR(База_КР_КК[[#This Row],[Уровень КК]]=2,База_КР_КК[[#This Row],[Уровень КК]]=3),IF(COUNTIFS($U$2:$U2424,$U2424,$F$2:$F2424,$F2424)=1,1,0),IF(COUNTIFS($U$2:$U2424,$U2424,$L$2:$L2424,$L2424)=1,1,0)))</f>
        <v>1</v>
      </c>
      <c r="AA24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4" s="106"/>
      <c r="AC2424" s="51"/>
      <c r="AD2424" s="106" t="s">
        <v>15</v>
      </c>
      <c r="AE2424" s="38" t="s">
        <v>360</v>
      </c>
    </row>
    <row r="2425" spans="1:31" ht="18" customHeight="1" x14ac:dyDescent="0.25">
      <c r="A24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5" s="79">
        <v>4</v>
      </c>
      <c r="C2425" s="23">
        <v>44588</v>
      </c>
      <c r="D2425" s="67">
        <f>IF(COUNTIF($G$2:$G2425,$G2425)=1,1,0)</f>
        <v>1</v>
      </c>
      <c r="E2425" s="67" t="str">
        <f>IFERROR(VLOOKUP(База_КР_КК[[#This Row],[ИД штатной должности (S)]],'уровень защищенности'!$B$7:$F$1095,5,0),"не защищена")</f>
        <v>не защищена</v>
      </c>
      <c r="F2425" s="68">
        <v>500121</v>
      </c>
      <c r="G2425" s="74" t="s">
        <v>2732</v>
      </c>
      <c r="H2425" s="181">
        <f>INDEX('Списки данных'!$D$2:$D$1048576,MATCH(База_КР_КК[[#This Row],[Структурное подразделение]],'Списки данных'!$C$2:$C$1048576,0))</f>
        <v>31</v>
      </c>
      <c r="I2425" s="80" t="s">
        <v>156</v>
      </c>
      <c r="J2425" s="80" t="s">
        <v>223</v>
      </c>
      <c r="K2425" s="80" t="s">
        <v>21</v>
      </c>
      <c r="L2425" s="30" t="s">
        <v>192</v>
      </c>
      <c r="M2425" s="68">
        <v>7</v>
      </c>
      <c r="N2425" s="181" t="str">
        <f t="shared" si="38"/>
        <v>да</v>
      </c>
      <c r="O2425" s="23">
        <v>44971</v>
      </c>
      <c r="P2425" s="23"/>
      <c r="Q2425" s="106"/>
      <c r="R2425" s="37" t="s">
        <v>23</v>
      </c>
      <c r="S2425" s="37" t="s">
        <v>23</v>
      </c>
      <c r="T2425" s="37" t="s">
        <v>21</v>
      </c>
      <c r="U2425" s="37" t="s">
        <v>21</v>
      </c>
      <c r="V2425" s="88" t="s">
        <v>21</v>
      </c>
      <c r="W2425" s="88" t="s">
        <v>21</v>
      </c>
      <c r="X2425" s="106"/>
      <c r="Y2425" s="107"/>
      <c r="Z2425" s="67" t="str">
        <f>IF(База_КР_КК[[#This Row],[Таб.номер резервиста]]="-","-",IF(OR(База_КР_КК[[#This Row],[Уровень КК]]=2,База_КР_КК[[#This Row],[Уровень КК]]=3),IF(COUNTIFS($U$2:$U2425,$U2425,$F$2:$F2425,$F2425)=1,1,0),IF(COUNTIFS($U$2:$U2425,$U2425,$L$2:$L2425,$L2425)=1,1,0)))</f>
        <v>-</v>
      </c>
      <c r="AA2425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2425" s="106"/>
      <c r="AC2425" s="51"/>
      <c r="AD2425" s="106"/>
      <c r="AE2425" s="38" t="s">
        <v>360</v>
      </c>
    </row>
    <row r="2426" spans="1:31" ht="18" customHeight="1" x14ac:dyDescent="0.25">
      <c r="A24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6" s="79">
        <v>4</v>
      </c>
      <c r="C2426" s="23">
        <v>44922</v>
      </c>
      <c r="D2426" s="67">
        <f>IF(COUNTIF($G$2:$G2426,$G2426)=1,1,0)</f>
        <v>1</v>
      </c>
      <c r="E2426" s="67" t="str">
        <f>IFERROR(VLOOKUP(База_КР_КК[[#This Row],[ИД штатной должности (S)]],'уровень защищенности'!$B$7:$F$1095,5,0),"не защищена")</f>
        <v>низкий</v>
      </c>
      <c r="F2426" s="68">
        <v>500558</v>
      </c>
      <c r="G2426" s="74" t="s">
        <v>2733</v>
      </c>
      <c r="H2426" s="181">
        <f>INDEX('Списки данных'!$D$2:$D$1048576,MATCH(База_КР_КК[[#This Row],[Структурное подразделение]],'Списки данных'!$C$2:$C$1048576,0))</f>
        <v>33</v>
      </c>
      <c r="I2426" s="80" t="s">
        <v>144</v>
      </c>
      <c r="J2426" s="80" t="s">
        <v>21</v>
      </c>
      <c r="K2426" s="80" t="s">
        <v>21</v>
      </c>
      <c r="L2426" s="30" t="s">
        <v>189</v>
      </c>
      <c r="M2426" s="68">
        <v>6</v>
      </c>
      <c r="N2426" s="181" t="str">
        <f t="shared" si="38"/>
        <v>нет</v>
      </c>
      <c r="O2426" s="23"/>
      <c r="P2426" s="23"/>
      <c r="Q2426" s="106"/>
      <c r="R2426" s="37">
        <v>561</v>
      </c>
      <c r="S2426" s="39" t="s">
        <v>970</v>
      </c>
      <c r="T2426" s="37">
        <v>567</v>
      </c>
      <c r="U2426" s="38" t="s">
        <v>976</v>
      </c>
      <c r="V2426" s="89" t="s">
        <v>192</v>
      </c>
      <c r="W2426" s="89" t="s">
        <v>144</v>
      </c>
      <c r="X2426" s="106" t="s">
        <v>296</v>
      </c>
      <c r="Y2426" s="107" t="s">
        <v>12</v>
      </c>
      <c r="Z2426" s="67">
        <f>IF(База_КР_КК[[#This Row],[Таб.номер резервиста]]="-","-",IF(OR(База_КР_КК[[#This Row],[Уровень КК]]=2,База_КР_КК[[#This Row],[Уровень КК]]=3),IF(COUNTIFS($U$2:$U2426,$U2426,$F$2:$F2426,$F2426)=1,1,0),IF(COUNTIFS($U$2:$U2426,$U2426,$L$2:$L2426,$L2426)=1,1,0)))</f>
        <v>0</v>
      </c>
      <c r="AA24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6" s="106"/>
      <c r="AC2426" s="51"/>
      <c r="AD2426" s="106" t="s">
        <v>15</v>
      </c>
      <c r="AE2426" s="38" t="s">
        <v>362</v>
      </c>
    </row>
    <row r="2427" spans="1:31" ht="18" customHeight="1" x14ac:dyDescent="0.25">
      <c r="A24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7" s="79">
        <v>4</v>
      </c>
      <c r="C2427" s="23">
        <v>44557</v>
      </c>
      <c r="D2427" s="67">
        <f>IF(COUNTIF($G$2:$G2427,$G2427)=1,1,0)</f>
        <v>0</v>
      </c>
      <c r="E2427" s="67" t="str">
        <f>IFERROR(VLOOKUP(База_КР_КК[[#This Row],[ИД штатной должности (S)]],'уровень защищенности'!$B$7:$F$1095,5,0),"не защищена")</f>
        <v>низкий</v>
      </c>
      <c r="F2427" s="68">
        <v>500558</v>
      </c>
      <c r="G2427" s="74" t="s">
        <v>2733</v>
      </c>
      <c r="H2427" s="181">
        <f>INDEX('Списки данных'!$D$2:$D$1048576,MATCH(База_КР_КК[[#This Row],[Структурное подразделение]],'Списки данных'!$C$2:$C$1048576,0))</f>
        <v>33</v>
      </c>
      <c r="I2427" s="80" t="s">
        <v>144</v>
      </c>
      <c r="J2427" s="80" t="s">
        <v>21</v>
      </c>
      <c r="K2427" s="80" t="s">
        <v>21</v>
      </c>
      <c r="L2427" s="30" t="s">
        <v>189</v>
      </c>
      <c r="M2427" s="68">
        <v>6</v>
      </c>
      <c r="N2427" s="181" t="str">
        <f t="shared" si="38"/>
        <v>нет</v>
      </c>
      <c r="O2427" s="23"/>
      <c r="P2427" s="23"/>
      <c r="Q2427" s="106"/>
      <c r="R2427" s="37">
        <v>561</v>
      </c>
      <c r="S2427" s="39" t="s">
        <v>970</v>
      </c>
      <c r="T2427" s="37">
        <v>1639</v>
      </c>
      <c r="U2427" s="39" t="s">
        <v>1959</v>
      </c>
      <c r="V2427" s="69" t="s">
        <v>16</v>
      </c>
      <c r="W2427" s="89" t="s">
        <v>279</v>
      </c>
      <c r="X2427" s="106" t="s">
        <v>296</v>
      </c>
      <c r="Y2427" s="107" t="s">
        <v>18</v>
      </c>
      <c r="Z2427" s="67">
        <f>IF(База_КР_КК[[#This Row],[Таб.номер резервиста]]="-","-",IF(OR(База_КР_КК[[#This Row],[Уровень КК]]=2,База_КР_КК[[#This Row],[Уровень КК]]=3),IF(COUNTIFS($U$2:$U2427,$U2427,$F$2:$F2427,$F2427)=1,1,0),IF(COUNTIFS($U$2:$U2427,$U2427,$L$2:$L2427,$L2427)=1,1,0)))</f>
        <v>1</v>
      </c>
      <c r="AA24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7" s="106" t="s">
        <v>33</v>
      </c>
      <c r="AC2427" s="51">
        <v>44922</v>
      </c>
      <c r="AD2427" s="106" t="s">
        <v>31</v>
      </c>
      <c r="AE2427" s="38" t="s">
        <v>362</v>
      </c>
    </row>
    <row r="2428" spans="1:31" ht="18" customHeight="1" x14ac:dyDescent="0.25">
      <c r="A24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8" s="79">
        <v>4</v>
      </c>
      <c r="C2428" s="23">
        <v>44557</v>
      </c>
      <c r="D2428" s="67">
        <f>IF(COUNTIF($G$2:$G2428,$G2428)=1,1,0)</f>
        <v>1</v>
      </c>
      <c r="E2428" s="67" t="str">
        <f>IFERROR(VLOOKUP(База_КР_КК[[#This Row],[ИД штатной должности (S)]],'уровень защищенности'!$B$7:$F$1095,5,0),"не защищена")</f>
        <v>средний</v>
      </c>
      <c r="F2428" s="68">
        <v>500552</v>
      </c>
      <c r="G2428" s="74" t="s">
        <v>2734</v>
      </c>
      <c r="H2428" s="181">
        <f>INDEX('Списки данных'!$D$2:$D$1048576,MATCH(База_КР_КК[[#This Row],[Структурное подразделение]],'Списки данных'!$C$2:$C$1048576,0))</f>
        <v>33</v>
      </c>
      <c r="I2428" s="80" t="s">
        <v>144</v>
      </c>
      <c r="J2428" s="80" t="s">
        <v>224</v>
      </c>
      <c r="K2428" s="80" t="s">
        <v>21</v>
      </c>
      <c r="L2428" s="30" t="s">
        <v>198</v>
      </c>
      <c r="M2428" s="68">
        <v>6</v>
      </c>
      <c r="N2428" s="181" t="str">
        <f t="shared" si="38"/>
        <v>нет</v>
      </c>
      <c r="O2428" s="23"/>
      <c r="P2428" s="23"/>
      <c r="Q2428" s="106"/>
      <c r="R2428" s="37">
        <v>562</v>
      </c>
      <c r="S2428" s="39" t="s">
        <v>971</v>
      </c>
      <c r="T2428" s="37">
        <v>617</v>
      </c>
      <c r="U2428" s="39" t="s">
        <v>1026</v>
      </c>
      <c r="V2428" s="69" t="s">
        <v>189</v>
      </c>
      <c r="W2428" s="89" t="s">
        <v>144</v>
      </c>
      <c r="X2428" s="106" t="s">
        <v>297</v>
      </c>
      <c r="Y2428" s="107" t="s">
        <v>12</v>
      </c>
      <c r="Z2428" s="67">
        <f>IF(База_КР_КК[[#This Row],[Таб.номер резервиста]]="-","-",IF(OR(База_КР_КК[[#This Row],[Уровень КК]]=2,База_КР_КК[[#This Row],[Уровень КК]]=3),IF(COUNTIFS($U$2:$U2428,$U2428,$F$2:$F2428,$F2428)=1,1,0),IF(COUNTIFS($U$2:$U2428,$U2428,$L$2:$L2428,$L2428)=1,1,0)))</f>
        <v>1</v>
      </c>
      <c r="AA24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8" s="106"/>
      <c r="AC2428" s="51"/>
      <c r="AD2428" s="106" t="s">
        <v>15</v>
      </c>
      <c r="AE2428" s="38" t="s">
        <v>361</v>
      </c>
    </row>
    <row r="2429" spans="1:31" ht="18" customHeight="1" x14ac:dyDescent="0.25">
      <c r="A24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29" s="79">
        <v>4</v>
      </c>
      <c r="C2429" s="23">
        <v>44922</v>
      </c>
      <c r="D2429" s="67">
        <f>IF(COUNTIF($G$2:$G2429,$G2429)=1,1,0)</f>
        <v>0</v>
      </c>
      <c r="E2429" s="67" t="str">
        <f>IFERROR(VLOOKUP(База_КР_КК[[#This Row],[ИД штатной должности (S)]],'уровень защищенности'!$B$7:$F$1095,5,0),"не защищена")</f>
        <v>средний</v>
      </c>
      <c r="F2429" s="68">
        <v>500552</v>
      </c>
      <c r="G2429" s="74" t="s">
        <v>2734</v>
      </c>
      <c r="H2429" s="181">
        <f>INDEX('Списки данных'!$D$2:$D$1048576,MATCH(База_КР_КК[[#This Row],[Структурное подразделение]],'Списки данных'!$C$2:$C$1048576,0))</f>
        <v>33</v>
      </c>
      <c r="I2429" s="80" t="s">
        <v>144</v>
      </c>
      <c r="J2429" s="80" t="s">
        <v>224</v>
      </c>
      <c r="K2429" s="80" t="s">
        <v>21</v>
      </c>
      <c r="L2429" s="30" t="s">
        <v>198</v>
      </c>
      <c r="M2429" s="68">
        <v>6</v>
      </c>
      <c r="N2429" s="181" t="str">
        <f t="shared" si="38"/>
        <v>нет</v>
      </c>
      <c r="O2429" s="23"/>
      <c r="P2429" s="23"/>
      <c r="Q2429" s="106"/>
      <c r="R2429" s="37">
        <v>562</v>
      </c>
      <c r="S2429" s="39" t="s">
        <v>971</v>
      </c>
      <c r="T2429" s="37">
        <v>594</v>
      </c>
      <c r="U2429" s="38" t="s">
        <v>1003</v>
      </c>
      <c r="V2429" s="69" t="s">
        <v>192</v>
      </c>
      <c r="W2429" s="89" t="s">
        <v>144</v>
      </c>
      <c r="X2429" s="106" t="s">
        <v>296</v>
      </c>
      <c r="Y2429" s="107" t="s">
        <v>12</v>
      </c>
      <c r="Z2429" s="67">
        <f>IF(База_КР_КК[[#This Row],[Таб.номер резервиста]]="-","-",IF(OR(База_КР_КК[[#This Row],[Уровень КК]]=2,База_КР_КК[[#This Row],[Уровень КК]]=3),IF(COUNTIFS($U$2:$U2429,$U2429,$F$2:$F2429,$F2429)=1,1,0),IF(COUNTIFS($U$2:$U2429,$U2429,$L$2:$L2429,$L2429)=1,1,0)))</f>
        <v>1</v>
      </c>
      <c r="AA24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29" s="106"/>
      <c r="AC2429" s="51"/>
      <c r="AD2429" s="106" t="s">
        <v>15</v>
      </c>
      <c r="AE2429" s="38" t="s">
        <v>362</v>
      </c>
    </row>
    <row r="2430" spans="1:31" ht="18" customHeight="1" x14ac:dyDescent="0.25">
      <c r="A24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0" s="79">
        <v>4</v>
      </c>
      <c r="C2430" s="23">
        <v>44557</v>
      </c>
      <c r="D2430" s="67">
        <f>IF(COUNTIF($G$2:$G2430,$G2430)=1,1,0)</f>
        <v>1</v>
      </c>
      <c r="E2430" s="67" t="str">
        <f>IFERROR(VLOOKUP(База_КР_КК[[#This Row],[ИД штатной должности (S)]],'уровень защищенности'!$B$7:$F$1095,5,0),"не защищена")</f>
        <v>низкий</v>
      </c>
      <c r="F2430" s="68">
        <v>500553</v>
      </c>
      <c r="G2430" s="74" t="s">
        <v>2735</v>
      </c>
      <c r="H2430" s="181">
        <f>INDEX('Списки данных'!$D$2:$D$1048576,MATCH(База_КР_КК[[#This Row],[Структурное подразделение]],'Списки данных'!$C$2:$C$1048576,0))</f>
        <v>33</v>
      </c>
      <c r="I2430" s="80" t="s">
        <v>144</v>
      </c>
      <c r="J2430" s="80" t="s">
        <v>224</v>
      </c>
      <c r="K2430" s="80" t="s">
        <v>21</v>
      </c>
      <c r="L2430" s="30" t="s">
        <v>191</v>
      </c>
      <c r="M2430" s="68">
        <v>7</v>
      </c>
      <c r="N2430" s="181" t="str">
        <f t="shared" si="38"/>
        <v>да</v>
      </c>
      <c r="O2430" s="23">
        <v>45086</v>
      </c>
      <c r="P2430" s="23"/>
      <c r="Q2430" s="106"/>
      <c r="R2430" s="37" t="s">
        <v>23</v>
      </c>
      <c r="S2430" s="38" t="s">
        <v>23</v>
      </c>
      <c r="T2430" s="37">
        <v>1640</v>
      </c>
      <c r="U2430" s="39" t="s">
        <v>1960</v>
      </c>
      <c r="V2430" s="69" t="s">
        <v>272</v>
      </c>
      <c r="W2430" s="89" t="s">
        <v>144</v>
      </c>
      <c r="X2430" s="106" t="s">
        <v>296</v>
      </c>
      <c r="Y2430" s="107" t="s">
        <v>12</v>
      </c>
      <c r="Z2430" s="67">
        <f>IF(База_КР_КК[[#This Row],[Таб.номер резервиста]]="-","-",IF(OR(База_КР_КК[[#This Row],[Уровень КК]]=2,База_КР_КК[[#This Row],[Уровень КК]]=3),IF(COUNTIFS($U$2:$U2430,$U2430,$F$2:$F2430,$F2430)=1,1,0),IF(COUNTIFS($U$2:$U2430,$U2430,$L$2:$L2430,$L2430)=1,1,0)))</f>
        <v>1</v>
      </c>
      <c r="AA24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0" s="106"/>
      <c r="AC2430" s="51"/>
      <c r="AD2430" s="106" t="s">
        <v>15</v>
      </c>
      <c r="AE2430" s="38" t="s">
        <v>361</v>
      </c>
    </row>
    <row r="2431" spans="1:31" ht="18" customHeight="1" x14ac:dyDescent="0.25">
      <c r="A24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1" s="79">
        <v>4</v>
      </c>
      <c r="C2431" s="23">
        <v>44557</v>
      </c>
      <c r="D2431" s="67">
        <f>IF(COUNTIF($G$2:$G2431,$G2431)=1,1,0)</f>
        <v>0</v>
      </c>
      <c r="E2431" s="67" t="str">
        <f>IFERROR(VLOOKUP(База_КР_КК[[#This Row],[ИД штатной должности (S)]],'уровень защищенности'!$B$7:$F$1095,5,0),"не защищена")</f>
        <v>низкий</v>
      </c>
      <c r="F2431" s="68">
        <v>500553</v>
      </c>
      <c r="G2431" s="74" t="s">
        <v>2735</v>
      </c>
      <c r="H2431" s="181">
        <f>INDEX('Списки данных'!$D$2:$D$1048576,MATCH(База_КР_КК[[#This Row],[Структурное подразделение]],'Списки данных'!$C$2:$C$1048576,0))</f>
        <v>33</v>
      </c>
      <c r="I2431" s="80" t="s">
        <v>144</v>
      </c>
      <c r="J2431" s="80" t="s">
        <v>224</v>
      </c>
      <c r="K2431" s="80" t="s">
        <v>21</v>
      </c>
      <c r="L2431" s="30" t="s">
        <v>191</v>
      </c>
      <c r="M2431" s="68">
        <v>7</v>
      </c>
      <c r="N2431" s="181" t="str">
        <f t="shared" ref="N2431:N2494" si="39">IF(ISBLANK(O2431),"нет","да")</f>
        <v>да</v>
      </c>
      <c r="O2431" s="23">
        <v>45086</v>
      </c>
      <c r="P2431" s="23"/>
      <c r="Q2431" s="106"/>
      <c r="R2431" s="37" t="s">
        <v>23</v>
      </c>
      <c r="S2431" s="38" t="s">
        <v>23</v>
      </c>
      <c r="T2431" s="37">
        <v>1641</v>
      </c>
      <c r="U2431" s="39" t="s">
        <v>1961</v>
      </c>
      <c r="V2431" s="69" t="s">
        <v>272</v>
      </c>
      <c r="W2431" s="89" t="s">
        <v>144</v>
      </c>
      <c r="X2431" s="106" t="s">
        <v>296</v>
      </c>
      <c r="Y2431" s="107" t="s">
        <v>12</v>
      </c>
      <c r="Z2431" s="67">
        <f>IF(База_КР_КК[[#This Row],[Таб.номер резервиста]]="-","-",IF(OR(База_КР_КК[[#This Row],[Уровень КК]]=2,База_КР_КК[[#This Row],[Уровень КК]]=3),IF(COUNTIFS($U$2:$U2431,$U2431,$F$2:$F2431,$F2431)=1,1,0),IF(COUNTIFS($U$2:$U2431,$U2431,$L$2:$L2431,$L2431)=1,1,0)))</f>
        <v>1</v>
      </c>
      <c r="AA24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1" s="106"/>
      <c r="AC2431" s="51"/>
      <c r="AD2431" s="106" t="s">
        <v>15</v>
      </c>
      <c r="AE2431" s="38" t="s">
        <v>361</v>
      </c>
    </row>
    <row r="2432" spans="1:31" ht="18" customHeight="1" x14ac:dyDescent="0.25">
      <c r="A24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2" s="79">
        <v>4</v>
      </c>
      <c r="C2432" s="23">
        <v>44922</v>
      </c>
      <c r="D2432" s="67">
        <f>IF(COUNTIF($G$2:$G2432,$G2432)=1,1,0)</f>
        <v>0</v>
      </c>
      <c r="E2432" s="67" t="str">
        <f>IFERROR(VLOOKUP(База_КР_КК[[#This Row],[ИД штатной должности (S)]],'уровень защищенности'!$B$7:$F$1095,5,0),"не защищена")</f>
        <v>низкий</v>
      </c>
      <c r="F2432" s="68">
        <v>500553</v>
      </c>
      <c r="G2432" s="74" t="s">
        <v>2735</v>
      </c>
      <c r="H2432" s="181">
        <f>INDEX('Списки данных'!$D$2:$D$1048576,MATCH(База_КР_КК[[#This Row],[Структурное подразделение]],'Списки данных'!$C$2:$C$1048576,0))</f>
        <v>33</v>
      </c>
      <c r="I2432" s="80" t="s">
        <v>144</v>
      </c>
      <c r="J2432" s="80" t="s">
        <v>224</v>
      </c>
      <c r="K2432" s="80" t="s">
        <v>21</v>
      </c>
      <c r="L2432" s="30" t="s">
        <v>191</v>
      </c>
      <c r="M2432" s="68">
        <v>7</v>
      </c>
      <c r="N2432" s="181" t="str">
        <f t="shared" si="39"/>
        <v>да</v>
      </c>
      <c r="O2432" s="23">
        <v>45086</v>
      </c>
      <c r="P2432" s="23"/>
      <c r="Q2432" s="106"/>
      <c r="R2432" s="37" t="s">
        <v>23</v>
      </c>
      <c r="S2432" s="38" t="s">
        <v>23</v>
      </c>
      <c r="T2432" s="37">
        <v>1642</v>
      </c>
      <c r="U2432" s="38" t="s">
        <v>1962</v>
      </c>
      <c r="V2432" s="69" t="s">
        <v>272</v>
      </c>
      <c r="W2432" s="89" t="s">
        <v>144</v>
      </c>
      <c r="X2432" s="106" t="s">
        <v>296</v>
      </c>
      <c r="Y2432" s="107" t="s">
        <v>12</v>
      </c>
      <c r="Z2432" s="67">
        <f>IF(База_КР_КК[[#This Row],[Таб.номер резервиста]]="-","-",IF(OR(База_КР_КК[[#This Row],[Уровень КК]]=2,База_КР_КК[[#This Row],[Уровень КК]]=3),IF(COUNTIFS($U$2:$U2432,$U2432,$F$2:$F2432,$F2432)=1,1,0),IF(COUNTIFS($U$2:$U2432,$U2432,$L$2:$L2432,$L2432)=1,1,0)))</f>
        <v>1</v>
      </c>
      <c r="AA24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2" s="106"/>
      <c r="AC2432" s="51"/>
      <c r="AD2432" s="106" t="s">
        <v>15</v>
      </c>
      <c r="AE2432" s="38" t="s">
        <v>362</v>
      </c>
    </row>
    <row r="2433" spans="1:31" ht="18" customHeight="1" x14ac:dyDescent="0.25">
      <c r="A24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3" s="79">
        <v>4</v>
      </c>
      <c r="C2433" s="23">
        <v>44557</v>
      </c>
      <c r="D2433" s="67">
        <f>IF(COUNTIF($G$2:$G2433,$G2433)=1,1,0)</f>
        <v>0</v>
      </c>
      <c r="E2433" s="67" t="str">
        <f>IFERROR(VLOOKUP(База_КР_КК[[#This Row],[ИД штатной должности (S)]],'уровень защищенности'!$B$7:$F$1095,5,0),"не защищена")</f>
        <v>низкий</v>
      </c>
      <c r="F2433" s="68">
        <v>500553</v>
      </c>
      <c r="G2433" s="74" t="s">
        <v>2735</v>
      </c>
      <c r="H2433" s="181">
        <f>INDEX('Списки данных'!$D$2:$D$1048576,MATCH(База_КР_КК[[#This Row],[Структурное подразделение]],'Списки данных'!$C$2:$C$1048576,0))</f>
        <v>33</v>
      </c>
      <c r="I2433" s="80" t="s">
        <v>144</v>
      </c>
      <c r="J2433" s="80" t="s">
        <v>224</v>
      </c>
      <c r="K2433" s="80" t="s">
        <v>21</v>
      </c>
      <c r="L2433" s="30" t="s">
        <v>191</v>
      </c>
      <c r="M2433" s="68">
        <v>7</v>
      </c>
      <c r="N2433" s="181" t="str">
        <f t="shared" si="39"/>
        <v>да</v>
      </c>
      <c r="O2433" s="23">
        <v>45086</v>
      </c>
      <c r="P2433" s="23"/>
      <c r="Q2433" s="106"/>
      <c r="R2433" s="37" t="s">
        <v>23</v>
      </c>
      <c r="S2433" s="38" t="s">
        <v>23</v>
      </c>
      <c r="T2433" s="37">
        <v>1643</v>
      </c>
      <c r="U2433" s="39" t="s">
        <v>1963</v>
      </c>
      <c r="V2433" s="69" t="s">
        <v>272</v>
      </c>
      <c r="W2433" s="89" t="s">
        <v>144</v>
      </c>
      <c r="X2433" s="106" t="s">
        <v>295</v>
      </c>
      <c r="Y2433" s="107" t="s">
        <v>14</v>
      </c>
      <c r="Z2433" s="67">
        <f>IF(База_КР_КК[[#This Row],[Таб.номер резервиста]]="-","-",IF(OR(База_КР_КК[[#This Row],[Уровень КК]]=2,База_КР_КК[[#This Row],[Уровень КК]]=3),IF(COUNTIFS($U$2:$U2433,$U2433,$F$2:$F2433,$F2433)=1,1,0),IF(COUNTIFS($U$2:$U2433,$U2433,$L$2:$L2433,$L2433)=1,1,0)))</f>
        <v>1</v>
      </c>
      <c r="AA24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3" s="106" t="s">
        <v>24</v>
      </c>
      <c r="AC2433" s="51">
        <v>44960</v>
      </c>
      <c r="AD2433" s="106" t="s">
        <v>17</v>
      </c>
      <c r="AE2433" s="38" t="s">
        <v>362</v>
      </c>
    </row>
    <row r="2434" spans="1:31" ht="18" customHeight="1" x14ac:dyDescent="0.25">
      <c r="A24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4" s="79">
        <v>4</v>
      </c>
      <c r="C2434" s="23">
        <v>44922</v>
      </c>
      <c r="D2434" s="67">
        <f>IF(COUNTIF($G$2:$G2434,$G2434)=1,1,0)</f>
        <v>0</v>
      </c>
      <c r="E2434" s="67" t="str">
        <f>IFERROR(VLOOKUP(База_КР_КК[[#This Row],[ИД штатной должности (S)]],'уровень защищенности'!$B$7:$F$1095,5,0),"не защищена")</f>
        <v>низкий</v>
      </c>
      <c r="F2434" s="68">
        <v>500553</v>
      </c>
      <c r="G2434" s="74" t="s">
        <v>2735</v>
      </c>
      <c r="H2434" s="181">
        <f>INDEX('Списки данных'!$D$2:$D$1048576,MATCH(База_КР_КК[[#This Row],[Структурное подразделение]],'Списки данных'!$C$2:$C$1048576,0))</f>
        <v>33</v>
      </c>
      <c r="I2434" s="80" t="s">
        <v>144</v>
      </c>
      <c r="J2434" s="80" t="s">
        <v>224</v>
      </c>
      <c r="K2434" s="80" t="s">
        <v>21</v>
      </c>
      <c r="L2434" s="30" t="s">
        <v>191</v>
      </c>
      <c r="M2434" s="68">
        <v>7</v>
      </c>
      <c r="N2434" s="181" t="str">
        <f t="shared" si="39"/>
        <v>да</v>
      </c>
      <c r="O2434" s="23">
        <v>45086</v>
      </c>
      <c r="P2434" s="23"/>
      <c r="Q2434" s="106"/>
      <c r="R2434" s="37" t="s">
        <v>23</v>
      </c>
      <c r="S2434" s="38" t="s">
        <v>23</v>
      </c>
      <c r="T2434" s="37">
        <v>621</v>
      </c>
      <c r="U2434" s="38" t="s">
        <v>1030</v>
      </c>
      <c r="V2434" s="69" t="s">
        <v>192</v>
      </c>
      <c r="W2434" s="89" t="s">
        <v>144</v>
      </c>
      <c r="X2434" s="106" t="s">
        <v>295</v>
      </c>
      <c r="Y2434" s="107" t="s">
        <v>14</v>
      </c>
      <c r="Z2434" s="67">
        <f>IF(База_КР_КК[[#This Row],[Таб.номер резервиста]]="-","-",IF(OR(База_КР_КК[[#This Row],[Уровень КК]]=2,База_КР_КК[[#This Row],[Уровень КК]]=3),IF(COUNTIFS($U$2:$U2434,$U2434,$F$2:$F2434,$F2434)=1,1,0),IF(COUNTIFS($U$2:$U2434,$U2434,$L$2:$L2434,$L2434)=1,1,0)))</f>
        <v>0</v>
      </c>
      <c r="AA24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4" s="106" t="s">
        <v>24</v>
      </c>
      <c r="AC2434" s="51">
        <v>44960</v>
      </c>
      <c r="AD2434" s="106" t="s">
        <v>15</v>
      </c>
      <c r="AE2434" s="38" t="s">
        <v>362</v>
      </c>
    </row>
    <row r="2435" spans="1:31" ht="18" customHeight="1" x14ac:dyDescent="0.25">
      <c r="A24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5" s="79">
        <v>4</v>
      </c>
      <c r="C2435" s="23">
        <v>44557</v>
      </c>
      <c r="D2435" s="67">
        <f>IF(COUNTIF($G$2:$G2435,$G2435)=1,1,0)</f>
        <v>1</v>
      </c>
      <c r="E2435" s="67" t="str">
        <f>IFERROR(VLOOKUP(База_КР_КК[[#This Row],[ИД штатной должности (S)]],'уровень защищенности'!$B$7:$F$1095,5,0),"не защищена")</f>
        <v>низкий</v>
      </c>
      <c r="F2435" s="68">
        <v>500553</v>
      </c>
      <c r="G2435" s="74" t="s">
        <v>2736</v>
      </c>
      <c r="H2435" s="181">
        <f>INDEX('Списки данных'!$D$2:$D$1048576,MATCH(База_КР_КК[[#This Row],[Структурное подразделение]],'Списки данных'!$C$2:$C$1048576,0))</f>
        <v>33</v>
      </c>
      <c r="I2435" s="80" t="s">
        <v>144</v>
      </c>
      <c r="J2435" s="80" t="s">
        <v>224</v>
      </c>
      <c r="K2435" s="80" t="s">
        <v>21</v>
      </c>
      <c r="L2435" s="30" t="s">
        <v>191</v>
      </c>
      <c r="M2435" s="68">
        <v>7</v>
      </c>
      <c r="N2435" s="181" t="str">
        <f t="shared" si="39"/>
        <v>нет</v>
      </c>
      <c r="O2435" s="23"/>
      <c r="P2435" s="23"/>
      <c r="Q2435" s="106"/>
      <c r="R2435" s="37">
        <v>563</v>
      </c>
      <c r="S2435" s="39" t="s">
        <v>972</v>
      </c>
      <c r="T2435" s="37">
        <v>1640</v>
      </c>
      <c r="U2435" s="39" t="s">
        <v>1960</v>
      </c>
      <c r="V2435" s="69" t="s">
        <v>272</v>
      </c>
      <c r="W2435" s="89" t="s">
        <v>144</v>
      </c>
      <c r="X2435" s="106" t="s">
        <v>296</v>
      </c>
      <c r="Y2435" s="107" t="s">
        <v>12</v>
      </c>
      <c r="Z2435" s="67">
        <f>IF(База_КР_КК[[#This Row],[Таб.номер резервиста]]="-","-",IF(OR(База_КР_КК[[#This Row],[Уровень КК]]=2,База_КР_КК[[#This Row],[Уровень КК]]=3),IF(COUNTIFS($U$2:$U2435,$U2435,$F$2:$F2435,$F2435)=1,1,0),IF(COUNTIFS($U$2:$U2435,$U2435,$L$2:$L2435,$L2435)=1,1,0)))</f>
        <v>0</v>
      </c>
      <c r="AA24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5" s="106"/>
      <c r="AC2435" s="51"/>
      <c r="AD2435" s="106" t="s">
        <v>15</v>
      </c>
      <c r="AE2435" s="38" t="s">
        <v>361</v>
      </c>
    </row>
    <row r="2436" spans="1:31" ht="18" customHeight="1" x14ac:dyDescent="0.25">
      <c r="A24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6" s="79">
        <v>4</v>
      </c>
      <c r="C2436" s="23">
        <v>44557</v>
      </c>
      <c r="D2436" s="67">
        <f>IF(COUNTIF($G$2:$G2436,$G2436)=1,1,0)</f>
        <v>0</v>
      </c>
      <c r="E2436" s="67" t="str">
        <f>IFERROR(VLOOKUP(База_КР_КК[[#This Row],[ИД штатной должности (S)]],'уровень защищенности'!$B$7:$F$1095,5,0),"не защищена")</f>
        <v>низкий</v>
      </c>
      <c r="F2436" s="68">
        <v>500553</v>
      </c>
      <c r="G2436" s="74" t="s">
        <v>2736</v>
      </c>
      <c r="H2436" s="181">
        <f>INDEX('Списки данных'!$D$2:$D$1048576,MATCH(База_КР_КК[[#This Row],[Структурное подразделение]],'Списки данных'!$C$2:$C$1048576,0))</f>
        <v>33</v>
      </c>
      <c r="I2436" s="80" t="s">
        <v>144</v>
      </c>
      <c r="J2436" s="80" t="s">
        <v>224</v>
      </c>
      <c r="K2436" s="80" t="s">
        <v>21</v>
      </c>
      <c r="L2436" s="30" t="s">
        <v>191</v>
      </c>
      <c r="M2436" s="68">
        <v>7</v>
      </c>
      <c r="N2436" s="181" t="str">
        <f t="shared" si="39"/>
        <v>нет</v>
      </c>
      <c r="O2436" s="23"/>
      <c r="P2436" s="23"/>
      <c r="Q2436" s="106"/>
      <c r="R2436" s="37">
        <v>563</v>
      </c>
      <c r="S2436" s="39" t="s">
        <v>972</v>
      </c>
      <c r="T2436" s="37">
        <v>1641</v>
      </c>
      <c r="U2436" s="39" t="s">
        <v>1961</v>
      </c>
      <c r="V2436" s="69" t="s">
        <v>272</v>
      </c>
      <c r="W2436" s="89" t="s">
        <v>144</v>
      </c>
      <c r="X2436" s="106" t="s">
        <v>296</v>
      </c>
      <c r="Y2436" s="107" t="s">
        <v>12</v>
      </c>
      <c r="Z2436" s="67">
        <f>IF(База_КР_КК[[#This Row],[Таб.номер резервиста]]="-","-",IF(OR(База_КР_КК[[#This Row],[Уровень КК]]=2,База_КР_КК[[#This Row],[Уровень КК]]=3),IF(COUNTIFS($U$2:$U2436,$U2436,$F$2:$F2436,$F2436)=1,1,0),IF(COUNTIFS($U$2:$U2436,$U2436,$L$2:$L2436,$L2436)=1,1,0)))</f>
        <v>0</v>
      </c>
      <c r="AA24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6" s="106"/>
      <c r="AC2436" s="51"/>
      <c r="AD2436" s="106" t="s">
        <v>15</v>
      </c>
      <c r="AE2436" s="38" t="s">
        <v>361</v>
      </c>
    </row>
    <row r="2437" spans="1:31" ht="18" customHeight="1" x14ac:dyDescent="0.25">
      <c r="A24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7" s="79">
        <v>4</v>
      </c>
      <c r="C2437" s="23">
        <v>44922</v>
      </c>
      <c r="D2437" s="67">
        <f>IF(COUNTIF($G$2:$G2437,$G2437)=1,1,0)</f>
        <v>0</v>
      </c>
      <c r="E2437" s="67" t="str">
        <f>IFERROR(VLOOKUP(База_КР_КК[[#This Row],[ИД штатной должности (S)]],'уровень защищенности'!$B$7:$F$1095,5,0),"не защищена")</f>
        <v>низкий</v>
      </c>
      <c r="F2437" s="68">
        <v>500553</v>
      </c>
      <c r="G2437" s="74" t="s">
        <v>2736</v>
      </c>
      <c r="H2437" s="181">
        <f>INDEX('Списки данных'!$D$2:$D$1048576,MATCH(База_КР_КК[[#This Row],[Структурное подразделение]],'Списки данных'!$C$2:$C$1048576,0))</f>
        <v>33</v>
      </c>
      <c r="I2437" s="80" t="s">
        <v>144</v>
      </c>
      <c r="J2437" s="80" t="s">
        <v>224</v>
      </c>
      <c r="K2437" s="80" t="s">
        <v>21</v>
      </c>
      <c r="L2437" s="30" t="s">
        <v>191</v>
      </c>
      <c r="M2437" s="68">
        <v>7</v>
      </c>
      <c r="N2437" s="181" t="str">
        <f t="shared" si="39"/>
        <v>нет</v>
      </c>
      <c r="O2437" s="23"/>
      <c r="P2437" s="23"/>
      <c r="Q2437" s="106"/>
      <c r="R2437" s="37">
        <v>563</v>
      </c>
      <c r="S2437" s="39" t="s">
        <v>972</v>
      </c>
      <c r="T2437" s="37">
        <v>1642</v>
      </c>
      <c r="U2437" s="38" t="s">
        <v>1962</v>
      </c>
      <c r="V2437" s="69" t="s">
        <v>272</v>
      </c>
      <c r="W2437" s="89" t="s">
        <v>144</v>
      </c>
      <c r="X2437" s="106" t="s">
        <v>296</v>
      </c>
      <c r="Y2437" s="107" t="s">
        <v>12</v>
      </c>
      <c r="Z2437" s="67">
        <f>IF(База_КР_КК[[#This Row],[Таб.номер резервиста]]="-","-",IF(OR(База_КР_КК[[#This Row],[Уровень КК]]=2,База_КР_КК[[#This Row],[Уровень КК]]=3),IF(COUNTIFS($U$2:$U2437,$U2437,$F$2:$F2437,$F2437)=1,1,0),IF(COUNTIFS($U$2:$U2437,$U2437,$L$2:$L2437,$L2437)=1,1,0)))</f>
        <v>0</v>
      </c>
      <c r="AA24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7" s="106"/>
      <c r="AC2437" s="51"/>
      <c r="AD2437" s="106" t="s">
        <v>15</v>
      </c>
      <c r="AE2437" s="38" t="s">
        <v>362</v>
      </c>
    </row>
    <row r="2438" spans="1:31" ht="18" customHeight="1" x14ac:dyDescent="0.25">
      <c r="A24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8" s="79">
        <v>4</v>
      </c>
      <c r="C2438" s="23">
        <v>44557</v>
      </c>
      <c r="D2438" s="67">
        <f>IF(COUNTIF($G$2:$G2438,$G2438)=1,1,0)</f>
        <v>0</v>
      </c>
      <c r="E2438" s="67" t="str">
        <f>IFERROR(VLOOKUP(База_КР_КК[[#This Row],[ИД штатной должности (S)]],'уровень защищенности'!$B$7:$F$1095,5,0),"не защищена")</f>
        <v>низкий</v>
      </c>
      <c r="F2438" s="68">
        <v>500553</v>
      </c>
      <c r="G2438" s="74" t="s">
        <v>2736</v>
      </c>
      <c r="H2438" s="181">
        <f>INDEX('Списки данных'!$D$2:$D$1048576,MATCH(База_КР_КК[[#This Row],[Структурное подразделение]],'Списки данных'!$C$2:$C$1048576,0))</f>
        <v>33</v>
      </c>
      <c r="I2438" s="80" t="s">
        <v>144</v>
      </c>
      <c r="J2438" s="80" t="s">
        <v>224</v>
      </c>
      <c r="K2438" s="80" t="s">
        <v>21</v>
      </c>
      <c r="L2438" s="30" t="s">
        <v>191</v>
      </c>
      <c r="M2438" s="68">
        <v>7</v>
      </c>
      <c r="N2438" s="181" t="str">
        <f t="shared" si="39"/>
        <v>нет</v>
      </c>
      <c r="O2438" s="23"/>
      <c r="P2438" s="23"/>
      <c r="Q2438" s="106"/>
      <c r="R2438" s="37">
        <v>563</v>
      </c>
      <c r="S2438" s="39" t="s">
        <v>972</v>
      </c>
      <c r="T2438" s="37">
        <v>1643</v>
      </c>
      <c r="U2438" s="39" t="s">
        <v>1963</v>
      </c>
      <c r="V2438" s="69" t="s">
        <v>272</v>
      </c>
      <c r="W2438" s="89" t="s">
        <v>144</v>
      </c>
      <c r="X2438" s="106" t="s">
        <v>295</v>
      </c>
      <c r="Y2438" s="107" t="s">
        <v>14</v>
      </c>
      <c r="Z2438" s="67">
        <f>IF(База_КР_КК[[#This Row],[Таб.номер резервиста]]="-","-",IF(OR(База_КР_КК[[#This Row],[Уровень КК]]=2,База_КР_КК[[#This Row],[Уровень КК]]=3),IF(COUNTIFS($U$2:$U2438,$U2438,$F$2:$F2438,$F2438)=1,1,0),IF(COUNTIFS($U$2:$U2438,$U2438,$L$2:$L2438,$L2438)=1,1,0)))</f>
        <v>0</v>
      </c>
      <c r="AA24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8" s="106" t="s">
        <v>24</v>
      </c>
      <c r="AC2438" s="51">
        <v>44960</v>
      </c>
      <c r="AD2438" s="106" t="s">
        <v>17</v>
      </c>
      <c r="AE2438" s="38" t="s">
        <v>362</v>
      </c>
    </row>
    <row r="2439" spans="1:31" ht="18" customHeight="1" x14ac:dyDescent="0.25">
      <c r="A24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39" s="79">
        <v>4</v>
      </c>
      <c r="C2439" s="23">
        <v>44922</v>
      </c>
      <c r="D2439" s="67">
        <f>IF(COUNTIF($G$2:$G2439,$G2439)=1,1,0)</f>
        <v>0</v>
      </c>
      <c r="E2439" s="67" t="str">
        <f>IFERROR(VLOOKUP(База_КР_КК[[#This Row],[ИД штатной должности (S)]],'уровень защищенности'!$B$7:$F$1095,5,0),"не защищена")</f>
        <v>низкий</v>
      </c>
      <c r="F2439" s="68">
        <v>500553</v>
      </c>
      <c r="G2439" s="74" t="s">
        <v>2736</v>
      </c>
      <c r="H2439" s="181">
        <f>INDEX('Списки данных'!$D$2:$D$1048576,MATCH(База_КР_КК[[#This Row],[Структурное подразделение]],'Списки данных'!$C$2:$C$1048576,0))</f>
        <v>33</v>
      </c>
      <c r="I2439" s="80" t="s">
        <v>144</v>
      </c>
      <c r="J2439" s="80" t="s">
        <v>224</v>
      </c>
      <c r="K2439" s="80" t="s">
        <v>21</v>
      </c>
      <c r="L2439" s="30" t="s">
        <v>191</v>
      </c>
      <c r="M2439" s="68">
        <v>7</v>
      </c>
      <c r="N2439" s="181" t="str">
        <f t="shared" si="39"/>
        <v>нет</v>
      </c>
      <c r="O2439" s="23"/>
      <c r="P2439" s="23"/>
      <c r="Q2439" s="106"/>
      <c r="R2439" s="37">
        <v>563</v>
      </c>
      <c r="S2439" s="39" t="s">
        <v>972</v>
      </c>
      <c r="T2439" s="37">
        <v>621</v>
      </c>
      <c r="U2439" s="38" t="s">
        <v>1030</v>
      </c>
      <c r="V2439" s="69" t="s">
        <v>192</v>
      </c>
      <c r="W2439" s="89" t="s">
        <v>144</v>
      </c>
      <c r="X2439" s="106" t="s">
        <v>295</v>
      </c>
      <c r="Y2439" s="107" t="s">
        <v>14</v>
      </c>
      <c r="Z2439" s="67">
        <f>IF(База_КР_КК[[#This Row],[Таб.номер резервиста]]="-","-",IF(OR(База_КР_КК[[#This Row],[Уровень КК]]=2,База_КР_КК[[#This Row],[Уровень КК]]=3),IF(COUNTIFS($U$2:$U2439,$U2439,$F$2:$F2439,$F2439)=1,1,0),IF(COUNTIFS($U$2:$U2439,$U2439,$L$2:$L2439,$L2439)=1,1,0)))</f>
        <v>0</v>
      </c>
      <c r="AA24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39" s="106" t="s">
        <v>24</v>
      </c>
      <c r="AC2439" s="51">
        <v>44960</v>
      </c>
      <c r="AD2439" s="106" t="s">
        <v>15</v>
      </c>
      <c r="AE2439" s="38" t="s">
        <v>362</v>
      </c>
    </row>
    <row r="2440" spans="1:31" ht="18" customHeight="1" x14ac:dyDescent="0.25">
      <c r="A24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40" s="79">
        <v>4</v>
      </c>
      <c r="C2440" s="23">
        <v>44922</v>
      </c>
      <c r="D2440" s="67">
        <f>IF(COUNTIF($G$2:$G2440,$G2440)=1,1,0)</f>
        <v>1</v>
      </c>
      <c r="E2440" s="67" t="str">
        <f>IFERROR(VLOOKUP(База_КР_КК[[#This Row],[ИД штатной должности (S)]],'уровень защищенности'!$B$7:$F$1095,5,0),"не защищена")</f>
        <v>низкий</v>
      </c>
      <c r="F2440" s="68">
        <v>500554</v>
      </c>
      <c r="G2440" s="74" t="s">
        <v>2737</v>
      </c>
      <c r="H2440" s="181">
        <f>INDEX('Списки данных'!$D$2:$D$1048576,MATCH(База_КР_КК[[#This Row],[Структурное подразделение]],'Списки данных'!$C$2:$C$1048576,0))</f>
        <v>33</v>
      </c>
      <c r="I2440" s="80" t="s">
        <v>144</v>
      </c>
      <c r="J2440" s="80" t="s">
        <v>224</v>
      </c>
      <c r="K2440" s="80" t="s">
        <v>21</v>
      </c>
      <c r="L2440" s="30" t="s">
        <v>198</v>
      </c>
      <c r="M2440" s="68">
        <v>6</v>
      </c>
      <c r="N2440" s="181" t="str">
        <f t="shared" si="39"/>
        <v>да</v>
      </c>
      <c r="O2440" s="23">
        <v>44550</v>
      </c>
      <c r="P2440" s="23">
        <v>44680</v>
      </c>
      <c r="Q2440" s="106" t="s">
        <v>66</v>
      </c>
      <c r="R2440" s="37">
        <v>564</v>
      </c>
      <c r="S2440" s="39" t="s">
        <v>973</v>
      </c>
      <c r="T2440" s="37">
        <v>599</v>
      </c>
      <c r="U2440" s="38" t="s">
        <v>1008</v>
      </c>
      <c r="V2440" s="69" t="s">
        <v>192</v>
      </c>
      <c r="W2440" s="89" t="s">
        <v>144</v>
      </c>
      <c r="X2440" s="106" t="s">
        <v>296</v>
      </c>
      <c r="Y2440" s="107" t="s">
        <v>12</v>
      </c>
      <c r="Z2440" s="67">
        <f>IF(База_КР_КК[[#This Row],[Таб.номер резервиста]]="-","-",IF(OR(База_КР_КК[[#This Row],[Уровень КК]]=2,База_КР_КК[[#This Row],[Уровень КК]]=3),IF(COUNTIFS($U$2:$U2440,$U2440,$F$2:$F2440,$F2440)=1,1,0),IF(COUNTIFS($U$2:$U2440,$U2440,$L$2:$L2440,$L2440)=1,1,0)))</f>
        <v>1</v>
      </c>
      <c r="AA24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0" s="106"/>
      <c r="AC2440" s="51"/>
      <c r="AD2440" s="106" t="s">
        <v>15</v>
      </c>
      <c r="AE2440" s="38" t="s">
        <v>362</v>
      </c>
    </row>
    <row r="2441" spans="1:31" ht="18" customHeight="1" x14ac:dyDescent="0.25">
      <c r="A24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41" s="79">
        <v>4</v>
      </c>
      <c r="C2441" s="23">
        <v>44557</v>
      </c>
      <c r="D2441" s="67">
        <f>IF(COUNTIF($G$2:$G2441,$G2441)=1,1,0)</f>
        <v>0</v>
      </c>
      <c r="E2441" s="67" t="str">
        <f>IFERROR(VLOOKUP(База_КР_КК[[#This Row],[ИД штатной должности (S)]],'уровень защищенности'!$B$7:$F$1095,5,0),"не защищена")</f>
        <v>низкий</v>
      </c>
      <c r="F2441" s="68">
        <v>500554</v>
      </c>
      <c r="G2441" s="74" t="s">
        <v>2737</v>
      </c>
      <c r="H2441" s="181">
        <f>INDEX('Списки данных'!$D$2:$D$1048576,MATCH(База_КР_КК[[#This Row],[Структурное подразделение]],'Списки данных'!$C$2:$C$1048576,0))</f>
        <v>33</v>
      </c>
      <c r="I2441" s="80" t="s">
        <v>144</v>
      </c>
      <c r="J2441" s="80" t="s">
        <v>224</v>
      </c>
      <c r="K2441" s="80" t="s">
        <v>21</v>
      </c>
      <c r="L2441" s="30" t="s">
        <v>198</v>
      </c>
      <c r="M2441" s="68">
        <v>6</v>
      </c>
      <c r="N2441" s="181" t="str">
        <f t="shared" si="39"/>
        <v>да</v>
      </c>
      <c r="O2441" s="23">
        <v>44550</v>
      </c>
      <c r="P2441" s="23">
        <v>44680</v>
      </c>
      <c r="Q2441" s="106" t="s">
        <v>66</v>
      </c>
      <c r="R2441" s="37">
        <v>564</v>
      </c>
      <c r="S2441" s="39" t="s">
        <v>973</v>
      </c>
      <c r="T2441" s="37">
        <v>564</v>
      </c>
      <c r="U2441" s="39" t="s">
        <v>973</v>
      </c>
      <c r="V2441" s="69" t="s">
        <v>192</v>
      </c>
      <c r="W2441" s="89" t="s">
        <v>144</v>
      </c>
      <c r="X2441" s="106" t="s">
        <v>295</v>
      </c>
      <c r="Y2441" s="107" t="s">
        <v>14</v>
      </c>
      <c r="Z2441" s="67">
        <f>IF(База_КР_КК[[#This Row],[Таб.номер резервиста]]="-","-",IF(OR(База_КР_КК[[#This Row],[Уровень КК]]=2,База_КР_КК[[#This Row],[Уровень КК]]=3),IF(COUNTIFS($U$2:$U2441,$U2441,$F$2:$F2441,$F2441)=1,1,0),IF(COUNTIFS($U$2:$U2441,$U2441,$L$2:$L2441,$L2441)=1,1,0)))</f>
        <v>1</v>
      </c>
      <c r="AA24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441" s="106" t="s">
        <v>24</v>
      </c>
      <c r="AC2441" s="51">
        <v>44680</v>
      </c>
      <c r="AD2441" s="106" t="s">
        <v>31</v>
      </c>
      <c r="AE2441" s="38" t="s">
        <v>362</v>
      </c>
    </row>
    <row r="2442" spans="1:31" ht="18" customHeight="1" x14ac:dyDescent="0.25">
      <c r="A24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42" s="79">
        <v>4</v>
      </c>
      <c r="C2442" s="23">
        <v>44557</v>
      </c>
      <c r="D2442" s="67">
        <f>IF(COUNTIF($G$2:$G2442,$G2442)=1,1,0)</f>
        <v>1</v>
      </c>
      <c r="E2442" s="67" t="str">
        <f>IFERROR(VLOOKUP(База_КР_КК[[#This Row],[ИД штатной должности (S)]],'уровень защищенности'!$B$7:$F$1095,5,0),"не защищена")</f>
        <v>высокий</v>
      </c>
      <c r="F2442" s="68">
        <v>500609</v>
      </c>
      <c r="G2442" s="74" t="s">
        <v>2738</v>
      </c>
      <c r="H2442" s="181">
        <f>INDEX('Списки данных'!$D$2:$D$1048576,MATCH(База_КР_КК[[#This Row],[Структурное подразделение]],'Списки данных'!$C$2:$C$1048576,0))</f>
        <v>33</v>
      </c>
      <c r="I2442" s="80" t="s">
        <v>144</v>
      </c>
      <c r="J2442" s="80" t="s">
        <v>224</v>
      </c>
      <c r="K2442" s="80" t="s">
        <v>21</v>
      </c>
      <c r="L2442" s="30" t="s">
        <v>198</v>
      </c>
      <c r="M2442" s="68">
        <v>6</v>
      </c>
      <c r="N2442" s="181" t="str">
        <f t="shared" si="39"/>
        <v>нет</v>
      </c>
      <c r="O2442" s="23"/>
      <c r="P2442" s="23"/>
      <c r="Q2442" s="106"/>
      <c r="R2442" s="37">
        <v>565</v>
      </c>
      <c r="S2442" s="39" t="s">
        <v>974</v>
      </c>
      <c r="T2442" s="37">
        <v>585</v>
      </c>
      <c r="U2442" s="39" t="s">
        <v>994</v>
      </c>
      <c r="V2442" s="69" t="s">
        <v>192</v>
      </c>
      <c r="W2442" s="89" t="s">
        <v>144</v>
      </c>
      <c r="X2442" s="106" t="s">
        <v>295</v>
      </c>
      <c r="Y2442" s="107" t="s">
        <v>12</v>
      </c>
      <c r="Z2442" s="67">
        <f>IF(База_КР_КК[[#This Row],[Таб.номер резервиста]]="-","-",IF(OR(База_КР_КК[[#This Row],[Уровень КК]]=2,База_КР_КК[[#This Row],[Уровень КК]]=3),IF(COUNTIFS($U$2:$U2442,$U2442,$F$2:$F2442,$F2442)=1,1,0),IF(COUNTIFS($U$2:$U2442,$U2442,$L$2:$L2442,$L2442)=1,1,0)))</f>
        <v>0</v>
      </c>
      <c r="AA24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2" s="106"/>
      <c r="AC2442" s="51"/>
      <c r="AD2442" s="106" t="s">
        <v>15</v>
      </c>
      <c r="AE2442" s="38" t="s">
        <v>361</v>
      </c>
    </row>
    <row r="2443" spans="1:31" ht="18" customHeight="1" x14ac:dyDescent="0.25">
      <c r="A24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43" s="79">
        <v>4</v>
      </c>
      <c r="C2443" s="23">
        <v>44922</v>
      </c>
      <c r="D2443" s="67">
        <f>IF(COUNTIF($G$2:$G2443,$G2443)=1,1,0)</f>
        <v>0</v>
      </c>
      <c r="E2443" s="67" t="str">
        <f>IFERROR(VLOOKUP(База_КР_КК[[#This Row],[ИД штатной должности (S)]],'уровень защищенности'!$B$7:$F$1095,5,0),"не защищена")</f>
        <v>высокий</v>
      </c>
      <c r="F2443" s="68">
        <v>500609</v>
      </c>
      <c r="G2443" s="74" t="s">
        <v>2738</v>
      </c>
      <c r="H2443" s="181">
        <f>INDEX('Списки данных'!$D$2:$D$1048576,MATCH(База_КР_КК[[#This Row],[Структурное подразделение]],'Списки данных'!$C$2:$C$1048576,0))</f>
        <v>33</v>
      </c>
      <c r="I2443" s="80" t="s">
        <v>144</v>
      </c>
      <c r="J2443" s="80" t="s">
        <v>224</v>
      </c>
      <c r="K2443" s="80" t="s">
        <v>21</v>
      </c>
      <c r="L2443" s="30" t="s">
        <v>198</v>
      </c>
      <c r="M2443" s="68">
        <v>6</v>
      </c>
      <c r="N2443" s="181" t="str">
        <f t="shared" si="39"/>
        <v>нет</v>
      </c>
      <c r="O2443" s="23"/>
      <c r="P2443" s="23"/>
      <c r="Q2443" s="106"/>
      <c r="R2443" s="37">
        <v>565</v>
      </c>
      <c r="S2443" s="38" t="s">
        <v>974</v>
      </c>
      <c r="T2443" s="37">
        <v>567</v>
      </c>
      <c r="U2443" s="38" t="s">
        <v>976</v>
      </c>
      <c r="V2443" s="69" t="s">
        <v>192</v>
      </c>
      <c r="W2443" s="89" t="s">
        <v>144</v>
      </c>
      <c r="X2443" s="106" t="s">
        <v>296</v>
      </c>
      <c r="Y2443" s="107" t="s">
        <v>12</v>
      </c>
      <c r="Z2443" s="67">
        <f>IF(База_КР_КК[[#This Row],[Таб.номер резервиста]]="-","-",IF(OR(База_КР_КК[[#This Row],[Уровень КК]]=2,База_КР_КК[[#This Row],[Уровень КК]]=3),IF(COUNTIFS($U$2:$U2443,$U2443,$F$2:$F2443,$F2443)=1,1,0),IF(COUNTIFS($U$2:$U2443,$U2443,$L$2:$L2443,$L2443)=1,1,0)))</f>
        <v>1</v>
      </c>
      <c r="AA24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3" s="106"/>
      <c r="AC2443" s="51"/>
      <c r="AD2443" s="106" t="s">
        <v>15</v>
      </c>
      <c r="AE2443" s="38" t="s">
        <v>362</v>
      </c>
    </row>
    <row r="2444" spans="1:31" ht="18" customHeight="1" x14ac:dyDescent="0.25">
      <c r="A24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44" s="79">
        <v>4</v>
      </c>
      <c r="C2444" s="23">
        <v>44557</v>
      </c>
      <c r="D2444" s="67">
        <f>IF(COUNTIF($G$2:$G2444,$G2444)=1,1,0)</f>
        <v>1</v>
      </c>
      <c r="E2444" s="67" t="str">
        <f>IFERROR(VLOOKUP(База_КР_КК[[#This Row],[ИД штатной должности (S)]],'уровень защищенности'!$B$7:$F$1095,5,0),"не защищена")</f>
        <v>средний</v>
      </c>
      <c r="F2444" s="68">
        <v>500556</v>
      </c>
      <c r="G2444" s="74" t="s">
        <v>2739</v>
      </c>
      <c r="H2444" s="181">
        <f>INDEX('Списки данных'!$D$2:$D$1048576,MATCH(База_КР_КК[[#This Row],[Структурное подразделение]],'Списки данных'!$C$2:$C$1048576,0))</f>
        <v>33</v>
      </c>
      <c r="I2444" s="80" t="s">
        <v>144</v>
      </c>
      <c r="J2444" s="80" t="s">
        <v>224</v>
      </c>
      <c r="K2444" s="80" t="s">
        <v>236</v>
      </c>
      <c r="L2444" s="30" t="s">
        <v>192</v>
      </c>
      <c r="M2444" s="68">
        <v>6</v>
      </c>
      <c r="N2444" s="181" t="str">
        <f t="shared" si="39"/>
        <v>нет</v>
      </c>
      <c r="O2444" s="23"/>
      <c r="P2444" s="23"/>
      <c r="Q2444" s="106"/>
      <c r="R2444" s="37">
        <v>566</v>
      </c>
      <c r="S2444" s="39" t="s">
        <v>975</v>
      </c>
      <c r="T2444" s="37">
        <v>1644</v>
      </c>
      <c r="U2444" s="39" t="s">
        <v>1429</v>
      </c>
      <c r="V2444" s="69" t="s">
        <v>272</v>
      </c>
      <c r="W2444" s="89" t="s">
        <v>144</v>
      </c>
      <c r="X2444" s="106" t="s">
        <v>297</v>
      </c>
      <c r="Y2444" s="107" t="s">
        <v>12</v>
      </c>
      <c r="Z2444" s="67">
        <f>IF(База_КР_КК[[#This Row],[Таб.номер резервиста]]="-","-",IF(OR(База_КР_КК[[#This Row],[Уровень КК]]=2,База_КР_КК[[#This Row],[Уровень КК]]=3),IF(COUNTIFS($U$2:$U2444,$U2444,$F$2:$F2444,$F2444)=1,1,0),IF(COUNTIFS($U$2:$U2444,$U2444,$L$2:$L2444,$L2444)=1,1,0)))</f>
        <v>1</v>
      </c>
      <c r="AA24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4" s="106"/>
      <c r="AC2444" s="51"/>
      <c r="AD2444" s="106" t="s">
        <v>15</v>
      </c>
      <c r="AE2444" s="38" t="s">
        <v>361</v>
      </c>
    </row>
    <row r="2445" spans="1:31" ht="18" customHeight="1" x14ac:dyDescent="0.25">
      <c r="A24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45" s="79">
        <v>4</v>
      </c>
      <c r="C2445" s="23">
        <v>44557</v>
      </c>
      <c r="D2445" s="67">
        <f>IF(COUNTIF($G$2:$G2445,$G2445)=1,1,0)</f>
        <v>1</v>
      </c>
      <c r="E2445" s="67" t="str">
        <f>IFERROR(VLOOKUP(База_КР_КК[[#This Row],[ИД штатной должности (S)]],'уровень защищенности'!$B$7:$F$1095,5,0),"не защищена")</f>
        <v>низкий</v>
      </c>
      <c r="F2445" s="68">
        <v>500557</v>
      </c>
      <c r="G2445" s="74" t="s">
        <v>2740</v>
      </c>
      <c r="H2445" s="181">
        <f>INDEX('Списки данных'!$D$2:$D$1048576,MATCH(База_КР_КК[[#This Row],[Структурное подразделение]],'Списки данных'!$C$2:$C$1048576,0))</f>
        <v>33</v>
      </c>
      <c r="I2445" s="80" t="s">
        <v>144</v>
      </c>
      <c r="J2445" s="80" t="s">
        <v>224</v>
      </c>
      <c r="K2445" s="80" t="s">
        <v>236</v>
      </c>
      <c r="L2445" s="30" t="s">
        <v>192</v>
      </c>
      <c r="M2445" s="68">
        <v>7</v>
      </c>
      <c r="N2445" s="181" t="str">
        <f t="shared" si="39"/>
        <v>нет</v>
      </c>
      <c r="O2445" s="23"/>
      <c r="P2445" s="23"/>
      <c r="Q2445" s="106"/>
      <c r="R2445" s="37">
        <v>567</v>
      </c>
      <c r="S2445" s="39" t="s">
        <v>976</v>
      </c>
      <c r="T2445" s="37">
        <v>1645</v>
      </c>
      <c r="U2445" s="39" t="s">
        <v>1964</v>
      </c>
      <c r="V2445" s="69" t="s">
        <v>272</v>
      </c>
      <c r="W2445" s="89" t="s">
        <v>144</v>
      </c>
      <c r="X2445" s="106" t="s">
        <v>296</v>
      </c>
      <c r="Y2445" s="107" t="s">
        <v>12</v>
      </c>
      <c r="Z2445" s="67">
        <f>IF(База_КР_КК[[#This Row],[Таб.номер резервиста]]="-","-",IF(OR(База_КР_КК[[#This Row],[Уровень КК]]=2,База_КР_КК[[#This Row],[Уровень КК]]=3),IF(COUNTIFS($U$2:$U2445,$U2445,$F$2:$F2445,$F2445)=1,1,0),IF(COUNTIFS($U$2:$U2445,$U2445,$L$2:$L2445,$L2445)=1,1,0)))</f>
        <v>1</v>
      </c>
      <c r="AA24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5" s="106"/>
      <c r="AC2445" s="51"/>
      <c r="AD2445" s="106" t="s">
        <v>15</v>
      </c>
      <c r="AE2445" s="38" t="s">
        <v>361</v>
      </c>
    </row>
    <row r="2446" spans="1:31" ht="18" customHeight="1" x14ac:dyDescent="0.25">
      <c r="A24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46" s="79">
        <v>4</v>
      </c>
      <c r="C2446" s="23">
        <v>44922</v>
      </c>
      <c r="D2446" s="67">
        <f>IF(COUNTIF($G$2:$G2446,$G2446)=1,1,0)</f>
        <v>0</v>
      </c>
      <c r="E2446" s="67" t="str">
        <f>IFERROR(VLOOKUP(База_КР_КК[[#This Row],[ИД штатной должности (S)]],'уровень защищенности'!$B$7:$F$1095,5,0),"не защищена")</f>
        <v>низкий</v>
      </c>
      <c r="F2446" s="68">
        <v>500557</v>
      </c>
      <c r="G2446" s="74" t="s">
        <v>2740</v>
      </c>
      <c r="H2446" s="181">
        <f>INDEX('Списки данных'!$D$2:$D$1048576,MATCH(База_КР_КК[[#This Row],[Структурное подразделение]],'Списки данных'!$C$2:$C$1048576,0))</f>
        <v>33</v>
      </c>
      <c r="I2446" s="80" t="s">
        <v>144</v>
      </c>
      <c r="J2446" s="80" t="s">
        <v>224</v>
      </c>
      <c r="K2446" s="80" t="s">
        <v>236</v>
      </c>
      <c r="L2446" s="30" t="s">
        <v>192</v>
      </c>
      <c r="M2446" s="68">
        <v>7</v>
      </c>
      <c r="N2446" s="181" t="str">
        <f t="shared" si="39"/>
        <v>нет</v>
      </c>
      <c r="O2446" s="23"/>
      <c r="P2446" s="23"/>
      <c r="Q2446" s="106"/>
      <c r="R2446" s="37">
        <v>567</v>
      </c>
      <c r="S2446" s="38" t="s">
        <v>976</v>
      </c>
      <c r="T2446" s="37">
        <v>1646</v>
      </c>
      <c r="U2446" s="38" t="s">
        <v>1796</v>
      </c>
      <c r="V2446" s="69" t="s">
        <v>272</v>
      </c>
      <c r="W2446" s="89" t="s">
        <v>144</v>
      </c>
      <c r="X2446" s="106" t="s">
        <v>296</v>
      </c>
      <c r="Y2446" s="107" t="s">
        <v>12</v>
      </c>
      <c r="Z2446" s="67">
        <f>IF(База_КР_КК[[#This Row],[Таб.номер резервиста]]="-","-",IF(OR(База_КР_КК[[#This Row],[Уровень КК]]=2,База_КР_КК[[#This Row],[Уровень КК]]=3),IF(COUNTIFS($U$2:$U2446,$U2446,$F$2:$F2446,$F2446)=1,1,0),IF(COUNTIFS($U$2:$U2446,$U2446,$L$2:$L2446,$L2446)=1,1,0)))</f>
        <v>0</v>
      </c>
      <c r="AA24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6" s="106"/>
      <c r="AC2446" s="51"/>
      <c r="AD2446" s="106" t="s">
        <v>15</v>
      </c>
      <c r="AE2446" s="38" t="s">
        <v>362</v>
      </c>
    </row>
    <row r="2447" spans="1:31" ht="18" customHeight="1" x14ac:dyDescent="0.25">
      <c r="A24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47" s="79">
        <v>3</v>
      </c>
      <c r="C2447" s="23">
        <v>44733</v>
      </c>
      <c r="D2447" s="67">
        <f>IF(COUNTIF($G$2:$G2447,$G2447)=1,1,0)</f>
        <v>1</v>
      </c>
      <c r="E2447" s="67" t="str">
        <f>IFERROR(VLOOKUP(База_КР_КК[[#This Row],[ИД штатной должности (S)]],'уровень защищенности'!$B$7:$F$1095,5,0),"не защищена")</f>
        <v>низкий</v>
      </c>
      <c r="F2447" s="68">
        <v>500559</v>
      </c>
      <c r="G2447" s="74" t="s">
        <v>2741</v>
      </c>
      <c r="H2447" s="181">
        <f>INDEX('Списки данных'!$D$2:$D$1048576,MATCH(База_КР_КК[[#This Row],[Структурное подразделение]],'Списки данных'!$C$2:$C$1048576,0))</f>
        <v>214</v>
      </c>
      <c r="I2447" s="80" t="s">
        <v>166</v>
      </c>
      <c r="J2447" s="80" t="s">
        <v>229</v>
      </c>
      <c r="K2447" s="80" t="s">
        <v>21</v>
      </c>
      <c r="L2447" s="30" t="s">
        <v>186</v>
      </c>
      <c r="M2447" s="68">
        <v>5</v>
      </c>
      <c r="N2447" s="181" t="str">
        <f t="shared" si="39"/>
        <v>нет</v>
      </c>
      <c r="O2447" s="23"/>
      <c r="P2447" s="23"/>
      <c r="Q2447" s="106"/>
      <c r="R2447" s="37">
        <v>568</v>
      </c>
      <c r="S2447" s="38" t="s">
        <v>977</v>
      </c>
      <c r="T2447" s="37">
        <v>1647</v>
      </c>
      <c r="U2447" s="38" t="s">
        <v>1965</v>
      </c>
      <c r="V2447" s="69" t="s">
        <v>187</v>
      </c>
      <c r="W2447" s="89" t="s">
        <v>166</v>
      </c>
      <c r="X2447" s="106" t="s">
        <v>296</v>
      </c>
      <c r="Y2447" s="107" t="s">
        <v>12</v>
      </c>
      <c r="Z2447" s="67">
        <f>IF(База_КР_КК[[#This Row],[Таб.номер резервиста]]="-","-",IF(OR(База_КР_КК[[#This Row],[Уровень КК]]=2,База_КР_КК[[#This Row],[Уровень КК]]=3),IF(COUNTIFS($U$2:$U2447,$U2447,$F$2:$F2447,$F2447)=1,1,0),IF(COUNTIFS($U$2:$U2447,$U2447,$L$2:$L2447,$L2447)=1,1,0)))</f>
        <v>1</v>
      </c>
      <c r="AA24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7" s="106"/>
      <c r="AC2447" s="51"/>
      <c r="AD2447" s="106" t="s">
        <v>15</v>
      </c>
      <c r="AE2447" s="38" t="s">
        <v>364</v>
      </c>
    </row>
    <row r="2448" spans="1:31" ht="18" customHeight="1" x14ac:dyDescent="0.25">
      <c r="A24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48" s="79">
        <v>3</v>
      </c>
      <c r="C2448" s="23">
        <v>44733</v>
      </c>
      <c r="D2448" s="67">
        <f>IF(COUNTIF($G$2:$G2448,$G2448)=1,1,0)</f>
        <v>0</v>
      </c>
      <c r="E2448" s="67" t="str">
        <f>IFERROR(VLOOKUP(База_КР_КК[[#This Row],[ИД штатной должности (S)]],'уровень защищенности'!$B$7:$F$1095,5,0),"не защищена")</f>
        <v>низкий</v>
      </c>
      <c r="F2448" s="68">
        <v>500559</v>
      </c>
      <c r="G2448" s="74" t="s">
        <v>2741</v>
      </c>
      <c r="H2448" s="181">
        <f>INDEX('Списки данных'!$D$2:$D$1048576,MATCH(База_КР_КК[[#This Row],[Структурное подразделение]],'Списки данных'!$C$2:$C$1048576,0))</f>
        <v>214</v>
      </c>
      <c r="I2448" s="80" t="s">
        <v>166</v>
      </c>
      <c r="J2448" s="80" t="s">
        <v>229</v>
      </c>
      <c r="K2448" s="80" t="s">
        <v>21</v>
      </c>
      <c r="L2448" s="30" t="s">
        <v>186</v>
      </c>
      <c r="M2448" s="68">
        <v>5</v>
      </c>
      <c r="N2448" s="181" t="str">
        <f t="shared" si="39"/>
        <v>нет</v>
      </c>
      <c r="O2448" s="23"/>
      <c r="P2448" s="23"/>
      <c r="Q2448" s="106"/>
      <c r="R2448" s="37">
        <v>568</v>
      </c>
      <c r="S2448" s="38" t="s">
        <v>977</v>
      </c>
      <c r="T2448" s="37">
        <v>1648</v>
      </c>
      <c r="U2448" s="38" t="s">
        <v>1910</v>
      </c>
      <c r="V2448" s="69" t="s">
        <v>198</v>
      </c>
      <c r="W2448" s="89" t="s">
        <v>166</v>
      </c>
      <c r="X2448" s="106" t="s">
        <v>296</v>
      </c>
      <c r="Y2448" s="107" t="s">
        <v>12</v>
      </c>
      <c r="Z2448" s="67">
        <f>IF(База_КР_КК[[#This Row],[Таб.номер резервиста]]="-","-",IF(OR(База_КР_КК[[#This Row],[Уровень КК]]=2,База_КР_КК[[#This Row],[Уровень КК]]=3),IF(COUNTIFS($U$2:$U2448,$U2448,$F$2:$F2448,$F2448)=1,1,0),IF(COUNTIFS($U$2:$U2448,$U2448,$L$2:$L2448,$L2448)=1,1,0)))</f>
        <v>1</v>
      </c>
      <c r="AA24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8" s="106"/>
      <c r="AC2448" s="51"/>
      <c r="AD2448" s="106" t="s">
        <v>15</v>
      </c>
      <c r="AE2448" s="38" t="s">
        <v>364</v>
      </c>
    </row>
    <row r="2449" spans="1:31" ht="18" customHeight="1" x14ac:dyDescent="0.25">
      <c r="A24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49" s="79">
        <v>3</v>
      </c>
      <c r="C2449" s="23">
        <v>44112</v>
      </c>
      <c r="D2449" s="67">
        <f>IF(COUNTIF($G$2:$G2449,$G2449)=1,1,0)</f>
        <v>0</v>
      </c>
      <c r="E2449" s="67" t="str">
        <f>IFERROR(VLOOKUP(База_КР_КК[[#This Row],[ИД штатной должности (S)]],'уровень защищенности'!$B$7:$F$1095,5,0),"не защищена")</f>
        <v>низкий</v>
      </c>
      <c r="F2449" s="68">
        <v>500559</v>
      </c>
      <c r="G2449" s="74" t="s">
        <v>2741</v>
      </c>
      <c r="H2449" s="181">
        <f>INDEX('Списки данных'!$D$2:$D$1048576,MATCH(База_КР_КК[[#This Row],[Структурное подразделение]],'Списки данных'!$C$2:$C$1048576,0))</f>
        <v>214</v>
      </c>
      <c r="I2449" s="80" t="s">
        <v>166</v>
      </c>
      <c r="J2449" s="80" t="s">
        <v>229</v>
      </c>
      <c r="K2449" s="80" t="s">
        <v>21</v>
      </c>
      <c r="L2449" s="30" t="s">
        <v>186</v>
      </c>
      <c r="M2449" s="68">
        <v>5</v>
      </c>
      <c r="N2449" s="181" t="str">
        <f t="shared" si="39"/>
        <v>нет</v>
      </c>
      <c r="O2449" s="23"/>
      <c r="P2449" s="23"/>
      <c r="Q2449" s="106"/>
      <c r="R2449" s="37">
        <v>568</v>
      </c>
      <c r="S2449" s="38" t="s">
        <v>977</v>
      </c>
      <c r="T2449" s="37">
        <v>1649</v>
      </c>
      <c r="U2449" s="38" t="s">
        <v>1966</v>
      </c>
      <c r="V2449" s="69" t="s">
        <v>272</v>
      </c>
      <c r="W2449" s="89" t="s">
        <v>273</v>
      </c>
      <c r="X2449" s="106" t="s">
        <v>296</v>
      </c>
      <c r="Y2449" s="107" t="s">
        <v>18</v>
      </c>
      <c r="Z2449" s="67">
        <f>IF(База_КР_КК[[#This Row],[Таб.номер резервиста]]="-","-",IF(OR(База_КР_КК[[#This Row],[Уровень КК]]=2,База_КР_КК[[#This Row],[Уровень КК]]=3),IF(COUNTIFS($U$2:$U2449,$U2449,$F$2:$F2449,$F2449)=1,1,0),IF(COUNTIFS($U$2:$U2449,$U2449,$L$2:$L2449,$L2449)=1,1,0)))</f>
        <v>1</v>
      </c>
      <c r="AA24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49" s="106" t="s">
        <v>38</v>
      </c>
      <c r="AC2449" s="51">
        <v>44733</v>
      </c>
      <c r="AD2449" s="106" t="s">
        <v>31</v>
      </c>
      <c r="AE2449" s="38" t="s">
        <v>364</v>
      </c>
    </row>
    <row r="2450" spans="1:31" ht="18" customHeight="1" x14ac:dyDescent="0.25">
      <c r="A24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0" s="79">
        <v>3</v>
      </c>
      <c r="C2450" s="23">
        <v>43399</v>
      </c>
      <c r="D2450" s="67">
        <f>IF(COUNTIF($G$2:$G2450,$G2450)=1,1,0)</f>
        <v>0</v>
      </c>
      <c r="E2450" s="67" t="str">
        <f>IFERROR(VLOOKUP(База_КР_КК[[#This Row],[ИД штатной должности (S)]],'уровень защищенности'!$B$7:$F$1095,5,0),"не защищена")</f>
        <v>низкий</v>
      </c>
      <c r="F2450" s="68">
        <v>500559</v>
      </c>
      <c r="G2450" s="74" t="s">
        <v>2741</v>
      </c>
      <c r="H2450" s="181">
        <f>INDEX('Списки данных'!$D$2:$D$1048576,MATCH(База_КР_КК[[#This Row],[Структурное подразделение]],'Списки данных'!$C$2:$C$1048576,0))</f>
        <v>214</v>
      </c>
      <c r="I2450" s="80" t="s">
        <v>166</v>
      </c>
      <c r="J2450" s="80" t="s">
        <v>229</v>
      </c>
      <c r="K2450" s="80" t="s">
        <v>21</v>
      </c>
      <c r="L2450" s="30" t="s">
        <v>186</v>
      </c>
      <c r="M2450" s="68">
        <v>5</v>
      </c>
      <c r="N2450" s="181" t="str">
        <f t="shared" si="39"/>
        <v>нет</v>
      </c>
      <c r="O2450" s="23"/>
      <c r="P2450" s="23"/>
      <c r="Q2450" s="106"/>
      <c r="R2450" s="37">
        <v>568</v>
      </c>
      <c r="S2450" s="38" t="s">
        <v>977</v>
      </c>
      <c r="T2450" s="37">
        <v>1650</v>
      </c>
      <c r="U2450" s="38" t="s">
        <v>1967</v>
      </c>
      <c r="V2450" s="69" t="s">
        <v>187</v>
      </c>
      <c r="W2450" s="89" t="s">
        <v>166</v>
      </c>
      <c r="X2450" s="106" t="s">
        <v>297</v>
      </c>
      <c r="Y2450" s="107" t="s">
        <v>18</v>
      </c>
      <c r="Z2450" s="67">
        <f>IF(База_КР_КК[[#This Row],[Таб.номер резервиста]]="-","-",IF(OR(База_КР_КК[[#This Row],[Уровень КК]]=2,База_КР_КК[[#This Row],[Уровень КК]]=3),IF(COUNTIFS($U$2:$U2450,$U2450,$F$2:$F2450,$F2450)=1,1,0),IF(COUNTIFS($U$2:$U2450,$U2450,$L$2:$L2450,$L2450)=1,1,0)))</f>
        <v>1</v>
      </c>
      <c r="AA24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0" s="106" t="s">
        <v>38</v>
      </c>
      <c r="AC2450" s="51">
        <v>44733</v>
      </c>
      <c r="AD2450" s="106" t="s">
        <v>31</v>
      </c>
      <c r="AE2450" s="38" t="s">
        <v>364</v>
      </c>
    </row>
    <row r="2451" spans="1:31" ht="18" customHeight="1" x14ac:dyDescent="0.25">
      <c r="A24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1" s="79">
        <v>3</v>
      </c>
      <c r="C2451" s="23">
        <v>44733</v>
      </c>
      <c r="D2451" s="67">
        <f>IF(COUNTIF($G$2:$G2451,$G2451)=1,1,0)</f>
        <v>1</v>
      </c>
      <c r="E2451" s="67" t="str">
        <f>IFERROR(VLOOKUP(База_КР_КК[[#This Row],[ИД штатной должности (S)]],'уровень защищенности'!$B$7:$F$1095,5,0),"не защищена")</f>
        <v>низкий</v>
      </c>
      <c r="F2451" s="68">
        <v>500561</v>
      </c>
      <c r="G2451" s="74" t="s">
        <v>2742</v>
      </c>
      <c r="H2451" s="181">
        <f>INDEX('Списки данных'!$D$2:$D$1048576,MATCH(База_КР_КК[[#This Row],[Структурное подразделение]],'Списки данных'!$C$2:$C$1048576,0))</f>
        <v>218</v>
      </c>
      <c r="I2451" s="80" t="s">
        <v>167</v>
      </c>
      <c r="J2451" s="80" t="s">
        <v>228</v>
      </c>
      <c r="K2451" s="80" t="s">
        <v>21</v>
      </c>
      <c r="L2451" s="30" t="s">
        <v>186</v>
      </c>
      <c r="M2451" s="68">
        <v>5</v>
      </c>
      <c r="N2451" s="181" t="str">
        <f t="shared" si="39"/>
        <v>нет</v>
      </c>
      <c r="O2451" s="23"/>
      <c r="P2451" s="23"/>
      <c r="Q2451" s="106"/>
      <c r="R2451" s="37">
        <v>569</v>
      </c>
      <c r="S2451" s="39" t="s">
        <v>978</v>
      </c>
      <c r="T2451" s="37">
        <v>1651</v>
      </c>
      <c r="U2451" s="38" t="s">
        <v>1770</v>
      </c>
      <c r="V2451" s="69" t="s">
        <v>187</v>
      </c>
      <c r="W2451" s="89" t="s">
        <v>167</v>
      </c>
      <c r="X2451" s="106" t="s">
        <v>296</v>
      </c>
      <c r="Y2451" s="107" t="s">
        <v>12</v>
      </c>
      <c r="Z2451" s="67">
        <f>IF(База_КР_КК[[#This Row],[Таб.номер резервиста]]="-","-",IF(OR(База_КР_КК[[#This Row],[Уровень КК]]=2,База_КР_КК[[#This Row],[Уровень КК]]=3),IF(COUNTIFS($U$2:$U2451,$U2451,$F$2:$F2451,$F2451)=1,1,0),IF(COUNTIFS($U$2:$U2451,$U2451,$L$2:$L2451,$L2451)=1,1,0)))</f>
        <v>1</v>
      </c>
      <c r="AA24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1" s="106"/>
      <c r="AC2451" s="51"/>
      <c r="AD2451" s="106" t="s">
        <v>13</v>
      </c>
      <c r="AE2451" s="38" t="s">
        <v>364</v>
      </c>
    </row>
    <row r="2452" spans="1:31" ht="18" customHeight="1" x14ac:dyDescent="0.25">
      <c r="A24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2" s="79">
        <v>3</v>
      </c>
      <c r="C2452" s="23">
        <v>43399</v>
      </c>
      <c r="D2452" s="67">
        <f>IF(COUNTIF($G$2:$G2452,$G2452)=1,1,0)</f>
        <v>0</v>
      </c>
      <c r="E2452" s="67" t="str">
        <f>IFERROR(VLOOKUP(База_КР_КК[[#This Row],[ИД штатной должности (S)]],'уровень защищенности'!$B$7:$F$1095,5,0),"не защищена")</f>
        <v>низкий</v>
      </c>
      <c r="F2452" s="68">
        <v>500561</v>
      </c>
      <c r="G2452" s="74" t="s">
        <v>2742</v>
      </c>
      <c r="H2452" s="181">
        <f>INDEX('Списки данных'!$D$2:$D$1048576,MATCH(База_КР_КК[[#This Row],[Структурное подразделение]],'Списки данных'!$C$2:$C$1048576,0))</f>
        <v>218</v>
      </c>
      <c r="I2452" s="80" t="s">
        <v>167</v>
      </c>
      <c r="J2452" s="80" t="s">
        <v>228</v>
      </c>
      <c r="K2452" s="80" t="s">
        <v>21</v>
      </c>
      <c r="L2452" s="30" t="s">
        <v>186</v>
      </c>
      <c r="M2452" s="68">
        <v>5</v>
      </c>
      <c r="N2452" s="181" t="str">
        <f t="shared" si="39"/>
        <v>нет</v>
      </c>
      <c r="O2452" s="23"/>
      <c r="P2452" s="23"/>
      <c r="Q2452" s="106"/>
      <c r="R2452" s="37">
        <v>569</v>
      </c>
      <c r="S2452" s="39" t="s">
        <v>978</v>
      </c>
      <c r="T2452" s="37">
        <v>1652</v>
      </c>
      <c r="U2452" s="38" t="s">
        <v>1968</v>
      </c>
      <c r="V2452" s="69" t="s">
        <v>198</v>
      </c>
      <c r="W2452" s="89" t="s">
        <v>288</v>
      </c>
      <c r="X2452" s="106" t="s">
        <v>297</v>
      </c>
      <c r="Y2452" s="107" t="s">
        <v>18</v>
      </c>
      <c r="Z2452" s="67">
        <f>IF(База_КР_КК[[#This Row],[Таб.номер резервиста]]="-","-",IF(OR(База_КР_КК[[#This Row],[Уровень КК]]=2,База_КР_КК[[#This Row],[Уровень КК]]=3),IF(COUNTIFS($U$2:$U2452,$U2452,$F$2:$F2452,$F2452)=1,1,0),IF(COUNTIFS($U$2:$U2452,$U2452,$L$2:$L2452,$L2452)=1,1,0)))</f>
        <v>1</v>
      </c>
      <c r="AA24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2" s="106" t="s">
        <v>37</v>
      </c>
      <c r="AC2452" s="51">
        <v>44682</v>
      </c>
      <c r="AD2452" s="106" t="s">
        <v>15</v>
      </c>
      <c r="AE2452" s="38" t="s">
        <v>363</v>
      </c>
    </row>
    <row r="2453" spans="1:31" ht="18" customHeight="1" x14ac:dyDescent="0.25">
      <c r="A24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3" s="79">
        <v>3</v>
      </c>
      <c r="C2453" s="23">
        <v>43466</v>
      </c>
      <c r="D2453" s="67">
        <f>IF(COUNTIF($G$2:$G2453,$G2453)=1,1,0)</f>
        <v>0</v>
      </c>
      <c r="E2453" s="67" t="str">
        <f>IFERROR(VLOOKUP(База_КР_КК[[#This Row],[ИД штатной должности (S)]],'уровень защищенности'!$B$7:$F$1095,5,0),"не защищена")</f>
        <v>низкий</v>
      </c>
      <c r="F2453" s="68">
        <v>500561</v>
      </c>
      <c r="G2453" s="74" t="s">
        <v>2742</v>
      </c>
      <c r="H2453" s="181">
        <f>INDEX('Списки данных'!$D$2:$D$1048576,MATCH(База_КР_КК[[#This Row],[Структурное подразделение]],'Списки данных'!$C$2:$C$1048576,0))</f>
        <v>218</v>
      </c>
      <c r="I2453" s="80" t="s">
        <v>167</v>
      </c>
      <c r="J2453" s="80" t="s">
        <v>228</v>
      </c>
      <c r="K2453" s="80" t="s">
        <v>21</v>
      </c>
      <c r="L2453" s="30" t="s">
        <v>186</v>
      </c>
      <c r="M2453" s="68">
        <v>5</v>
      </c>
      <c r="N2453" s="181" t="str">
        <f t="shared" si="39"/>
        <v>нет</v>
      </c>
      <c r="O2453" s="23"/>
      <c r="P2453" s="23"/>
      <c r="Q2453" s="106"/>
      <c r="R2453" s="37">
        <v>569</v>
      </c>
      <c r="S2453" s="39" t="s">
        <v>978</v>
      </c>
      <c r="T2453" s="37">
        <v>1653</v>
      </c>
      <c r="U2453" s="38" t="s">
        <v>1969</v>
      </c>
      <c r="V2453" s="69" t="s">
        <v>187</v>
      </c>
      <c r="W2453" s="89" t="s">
        <v>167</v>
      </c>
      <c r="X2453" s="106" t="s">
        <v>296</v>
      </c>
      <c r="Y2453" s="107" t="s">
        <v>18</v>
      </c>
      <c r="Z2453" s="67">
        <f>IF(База_КР_КК[[#This Row],[Таб.номер резервиста]]="-","-",IF(OR(База_КР_КК[[#This Row],[Уровень КК]]=2,База_КР_КК[[#This Row],[Уровень КК]]=3),IF(COUNTIFS($U$2:$U2453,$U2453,$F$2:$F2453,$F2453)=1,1,0),IF(COUNTIFS($U$2:$U2453,$U2453,$L$2:$L2453,$L2453)=1,1,0)))</f>
        <v>1</v>
      </c>
      <c r="AA24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3" s="106" t="s">
        <v>38</v>
      </c>
      <c r="AC2453" s="51">
        <v>44733</v>
      </c>
      <c r="AD2453" s="106" t="s">
        <v>31</v>
      </c>
      <c r="AE2453" s="38" t="s">
        <v>364</v>
      </c>
    </row>
    <row r="2454" spans="1:31" ht="18" customHeight="1" x14ac:dyDescent="0.25">
      <c r="A24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4" s="79">
        <v>3</v>
      </c>
      <c r="C2454" s="26">
        <v>44112</v>
      </c>
      <c r="D2454" s="67">
        <f>IF(COUNTIF($G$2:$G2454,$G2454)=1,1,0)</f>
        <v>1</v>
      </c>
      <c r="E2454" s="67" t="str">
        <f>IFERROR(VLOOKUP(База_КР_КК[[#This Row],[ИД штатной должности (S)]],'уровень защищенности'!$B$7:$F$1095,5,0),"не защищена")</f>
        <v>средний</v>
      </c>
      <c r="F2454" s="68">
        <v>500560</v>
      </c>
      <c r="G2454" s="74" t="s">
        <v>2743</v>
      </c>
      <c r="H2454" s="181">
        <f>INDEX('Списки данных'!$D$2:$D$1048576,MATCH(База_КР_КК[[#This Row],[Структурное подразделение]],'Списки данных'!$C$2:$C$1048576,0))</f>
        <v>218</v>
      </c>
      <c r="I2454" s="80" t="s">
        <v>167</v>
      </c>
      <c r="J2454" s="80" t="s">
        <v>228</v>
      </c>
      <c r="K2454" s="80" t="s">
        <v>21</v>
      </c>
      <c r="L2454" s="30" t="s">
        <v>186</v>
      </c>
      <c r="M2454" s="68">
        <v>5</v>
      </c>
      <c r="N2454" s="181" t="str">
        <f t="shared" si="39"/>
        <v>нет</v>
      </c>
      <c r="O2454" s="23"/>
      <c r="P2454" s="23"/>
      <c r="Q2454" s="106"/>
      <c r="R2454" s="37">
        <v>570</v>
      </c>
      <c r="S2454" s="39" t="s">
        <v>979</v>
      </c>
      <c r="T2454" s="37">
        <v>1654</v>
      </c>
      <c r="U2454" s="38" t="s">
        <v>1970</v>
      </c>
      <c r="V2454" s="89" t="s">
        <v>198</v>
      </c>
      <c r="W2454" s="89" t="s">
        <v>288</v>
      </c>
      <c r="X2454" s="106" t="s">
        <v>295</v>
      </c>
      <c r="Y2454" s="107" t="s">
        <v>18</v>
      </c>
      <c r="Z2454" s="67">
        <f>IF(База_КР_КК[[#This Row],[Таб.номер резервиста]]="-","-",IF(OR(База_КР_КК[[#This Row],[Уровень КК]]=2,База_КР_КК[[#This Row],[Уровень КК]]=3),IF(COUNTIFS($U$2:$U2454,$U2454,$F$2:$F2454,$F2454)=1,1,0),IF(COUNTIFS($U$2:$U2454,$U2454,$L$2:$L2454,$L2454)=1,1,0)))</f>
        <v>1</v>
      </c>
      <c r="AA24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4" s="106" t="s">
        <v>33</v>
      </c>
      <c r="AC2454" s="51">
        <v>45062</v>
      </c>
      <c r="AD2454" s="106" t="s">
        <v>13</v>
      </c>
      <c r="AE2454" s="38" t="s">
        <v>364</v>
      </c>
    </row>
    <row r="2455" spans="1:31" ht="18" customHeight="1" x14ac:dyDescent="0.25">
      <c r="A24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5" s="79">
        <v>3</v>
      </c>
      <c r="C2455" s="23">
        <v>44112</v>
      </c>
      <c r="D2455" s="67">
        <f>IF(COUNTIF($G$2:$G2455,$G2455)=1,1,0)</f>
        <v>0</v>
      </c>
      <c r="E2455" s="67" t="str">
        <f>IFERROR(VLOOKUP(База_КР_КК[[#This Row],[ИД штатной должности (S)]],'уровень защищенности'!$B$7:$F$1095,5,0),"не защищена")</f>
        <v>средний</v>
      </c>
      <c r="F2455" s="68">
        <v>500560</v>
      </c>
      <c r="G2455" s="74" t="s">
        <v>2743</v>
      </c>
      <c r="H2455" s="181">
        <f>INDEX('Списки данных'!$D$2:$D$1048576,MATCH(База_КР_КК[[#This Row],[Структурное подразделение]],'Списки данных'!$C$2:$C$1048576,0))</f>
        <v>218</v>
      </c>
      <c r="I2455" s="80" t="s">
        <v>167</v>
      </c>
      <c r="J2455" s="80" t="s">
        <v>228</v>
      </c>
      <c r="K2455" s="80" t="s">
        <v>21</v>
      </c>
      <c r="L2455" s="30" t="s">
        <v>186</v>
      </c>
      <c r="M2455" s="68">
        <v>5</v>
      </c>
      <c r="N2455" s="181" t="str">
        <f t="shared" si="39"/>
        <v>нет</v>
      </c>
      <c r="O2455" s="23"/>
      <c r="P2455" s="23"/>
      <c r="Q2455" s="106"/>
      <c r="R2455" s="37">
        <v>570</v>
      </c>
      <c r="S2455" s="39" t="s">
        <v>979</v>
      </c>
      <c r="T2455" s="37">
        <v>1655</v>
      </c>
      <c r="U2455" s="38" t="s">
        <v>1971</v>
      </c>
      <c r="V2455" s="69" t="s">
        <v>187</v>
      </c>
      <c r="W2455" s="89" t="s">
        <v>167</v>
      </c>
      <c r="X2455" s="106" t="s">
        <v>297</v>
      </c>
      <c r="Y2455" s="107" t="s">
        <v>12</v>
      </c>
      <c r="Z2455" s="67">
        <f>IF(База_КР_КК[[#This Row],[Таб.номер резервиста]]="-","-",IF(OR(База_КР_КК[[#This Row],[Уровень КК]]=2,База_КР_КК[[#This Row],[Уровень КК]]=3),IF(COUNTIFS($U$2:$U2455,$U2455,$F$2:$F2455,$F2455)=1,1,0),IF(COUNTIFS($U$2:$U2455,$U2455,$L$2:$L2455,$L2455)=1,1,0)))</f>
        <v>1</v>
      </c>
      <c r="AA24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5" s="106"/>
      <c r="AC2455" s="51"/>
      <c r="AD2455" s="106" t="s">
        <v>13</v>
      </c>
      <c r="AE2455" s="38" t="s">
        <v>364</v>
      </c>
    </row>
    <row r="2456" spans="1:31" ht="18" customHeight="1" x14ac:dyDescent="0.25">
      <c r="A24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6" s="79">
        <v>3</v>
      </c>
      <c r="C2456" s="23">
        <v>43399</v>
      </c>
      <c r="D2456" s="67">
        <f>IF(COUNTIF($G$2:$G2456,$G2456)=1,1,0)</f>
        <v>1</v>
      </c>
      <c r="E2456" s="67" t="str">
        <f>IFERROR(VLOOKUP(База_КР_КК[[#This Row],[ИД штатной должности (S)]],'уровень защищенности'!$B$7:$F$1095,5,0),"не защищена")</f>
        <v>низкий</v>
      </c>
      <c r="F2456" s="68">
        <v>500562</v>
      </c>
      <c r="G2456" s="74" t="s">
        <v>2744</v>
      </c>
      <c r="H2456" s="181">
        <f>INDEX('Списки данных'!$D$2:$D$1048576,MATCH(База_КР_КК[[#This Row],[Структурное подразделение]],'Списки данных'!$C$2:$C$1048576,0))</f>
        <v>213</v>
      </c>
      <c r="I2456" s="80" t="s">
        <v>165</v>
      </c>
      <c r="J2456" s="80" t="s">
        <v>227</v>
      </c>
      <c r="K2456" s="80" t="s">
        <v>21</v>
      </c>
      <c r="L2456" s="30" t="s">
        <v>186</v>
      </c>
      <c r="M2456" s="68">
        <v>5</v>
      </c>
      <c r="N2456" s="181" t="str">
        <f t="shared" si="39"/>
        <v>нет</v>
      </c>
      <c r="O2456" s="23"/>
      <c r="P2456" s="23"/>
      <c r="Q2456" s="106"/>
      <c r="R2456" s="37">
        <v>571</v>
      </c>
      <c r="S2456" s="39" t="s">
        <v>980</v>
      </c>
      <c r="T2456" s="37">
        <v>1656</v>
      </c>
      <c r="U2456" s="38" t="s">
        <v>1859</v>
      </c>
      <c r="V2456" s="69" t="s">
        <v>198</v>
      </c>
      <c r="W2456" s="89" t="s">
        <v>165</v>
      </c>
      <c r="X2456" s="106" t="s">
        <v>296</v>
      </c>
      <c r="Y2456" s="107" t="s">
        <v>12</v>
      </c>
      <c r="Z2456" s="67">
        <f>IF(База_КР_КК[[#This Row],[Таб.номер резервиста]]="-","-",IF(OR(База_КР_КК[[#This Row],[Уровень КК]]=2,База_КР_КК[[#This Row],[Уровень КК]]=3),IF(COUNTIFS($U$2:$U2456,$U2456,$F$2:$F2456,$F2456)=1,1,0),IF(COUNTIFS($U$2:$U2456,$U2456,$L$2:$L2456,$L2456)=1,1,0)))</f>
        <v>1</v>
      </c>
      <c r="AA24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6" s="106"/>
      <c r="AC2456" s="51"/>
      <c r="AD2456" s="106" t="s">
        <v>13</v>
      </c>
      <c r="AE2456" s="38" t="s">
        <v>364</v>
      </c>
    </row>
    <row r="2457" spans="1:31" ht="18" customHeight="1" x14ac:dyDescent="0.25">
      <c r="A24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7" s="79">
        <v>3</v>
      </c>
      <c r="C2457" s="23">
        <v>43399</v>
      </c>
      <c r="D2457" s="67">
        <f>IF(COUNTIF($G$2:$G2457,$G2457)=1,1,0)</f>
        <v>0</v>
      </c>
      <c r="E2457" s="67" t="str">
        <f>IFERROR(VLOOKUP(База_КР_КК[[#This Row],[ИД штатной должности (S)]],'уровень защищенности'!$B$7:$F$1095,5,0),"не защищена")</f>
        <v>низкий</v>
      </c>
      <c r="F2457" s="68">
        <v>500562</v>
      </c>
      <c r="G2457" s="74" t="s">
        <v>2744</v>
      </c>
      <c r="H2457" s="181">
        <f>INDEX('Списки данных'!$D$2:$D$1048576,MATCH(База_КР_КК[[#This Row],[Структурное подразделение]],'Списки данных'!$C$2:$C$1048576,0))</f>
        <v>213</v>
      </c>
      <c r="I2457" s="80" t="s">
        <v>165</v>
      </c>
      <c r="J2457" s="80" t="s">
        <v>227</v>
      </c>
      <c r="K2457" s="80" t="s">
        <v>21</v>
      </c>
      <c r="L2457" s="30" t="s">
        <v>186</v>
      </c>
      <c r="M2457" s="68">
        <v>5</v>
      </c>
      <c r="N2457" s="181" t="str">
        <f t="shared" si="39"/>
        <v>нет</v>
      </c>
      <c r="O2457" s="23"/>
      <c r="P2457" s="23"/>
      <c r="Q2457" s="106"/>
      <c r="R2457" s="37">
        <v>571</v>
      </c>
      <c r="S2457" s="39" t="s">
        <v>980</v>
      </c>
      <c r="T2457" s="37">
        <v>1657</v>
      </c>
      <c r="U2457" s="38" t="s">
        <v>1972</v>
      </c>
      <c r="V2457" s="69" t="s">
        <v>198</v>
      </c>
      <c r="W2457" s="89" t="s">
        <v>165</v>
      </c>
      <c r="X2457" s="106" t="s">
        <v>296</v>
      </c>
      <c r="Y2457" s="107" t="s">
        <v>12</v>
      </c>
      <c r="Z2457" s="67">
        <f>IF(База_КР_КК[[#This Row],[Таб.номер резервиста]]="-","-",IF(OR(База_КР_КК[[#This Row],[Уровень КК]]=2,База_КР_КК[[#This Row],[Уровень КК]]=3),IF(COUNTIFS($U$2:$U2457,$U2457,$F$2:$F2457,$F2457)=1,1,0),IF(COUNTIFS($U$2:$U2457,$U2457,$L$2:$L2457,$L2457)=1,1,0)))</f>
        <v>1</v>
      </c>
      <c r="AA24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7" s="106"/>
      <c r="AC2457" s="51"/>
      <c r="AD2457" s="106" t="s">
        <v>13</v>
      </c>
      <c r="AE2457" s="38" t="s">
        <v>364</v>
      </c>
    </row>
    <row r="2458" spans="1:31" ht="18" customHeight="1" x14ac:dyDescent="0.25">
      <c r="A24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8" s="79">
        <v>3</v>
      </c>
      <c r="C2458" s="23">
        <v>44733</v>
      </c>
      <c r="D2458" s="67">
        <f>IF(COUNTIF($G$2:$G2458,$G2458)=1,1,0)</f>
        <v>0</v>
      </c>
      <c r="E2458" s="67" t="str">
        <f>IFERROR(VLOOKUP(База_КР_КК[[#This Row],[ИД штатной должности (S)]],'уровень защищенности'!$B$7:$F$1095,5,0),"не защищена")</f>
        <v>низкий</v>
      </c>
      <c r="F2458" s="68">
        <v>500562</v>
      </c>
      <c r="G2458" s="74" t="s">
        <v>2744</v>
      </c>
      <c r="H2458" s="181">
        <f>INDEX('Списки данных'!$D$2:$D$1048576,MATCH(База_КР_КК[[#This Row],[Структурное подразделение]],'Списки данных'!$C$2:$C$1048576,0))</f>
        <v>213</v>
      </c>
      <c r="I2458" s="80" t="s">
        <v>165</v>
      </c>
      <c r="J2458" s="80" t="s">
        <v>227</v>
      </c>
      <c r="K2458" s="80" t="s">
        <v>21</v>
      </c>
      <c r="L2458" s="30" t="s">
        <v>186</v>
      </c>
      <c r="M2458" s="68">
        <v>5</v>
      </c>
      <c r="N2458" s="181" t="str">
        <f t="shared" si="39"/>
        <v>нет</v>
      </c>
      <c r="O2458" s="23"/>
      <c r="P2458" s="23"/>
      <c r="Q2458" s="106"/>
      <c r="R2458" s="37">
        <v>571</v>
      </c>
      <c r="S2458" s="39" t="s">
        <v>980</v>
      </c>
      <c r="T2458" s="37">
        <v>1658</v>
      </c>
      <c r="U2458" s="38" t="s">
        <v>1973</v>
      </c>
      <c r="V2458" s="69" t="s">
        <v>187</v>
      </c>
      <c r="W2458" s="89" t="s">
        <v>165</v>
      </c>
      <c r="X2458" s="106" t="s">
        <v>296</v>
      </c>
      <c r="Y2458" s="107" t="s">
        <v>12</v>
      </c>
      <c r="Z2458" s="67">
        <f>IF(База_КР_КК[[#This Row],[Таб.номер резервиста]]="-","-",IF(OR(База_КР_КК[[#This Row],[Уровень КК]]=2,База_КР_КК[[#This Row],[Уровень КК]]=3),IF(COUNTIFS($U$2:$U2458,$U2458,$F$2:$F2458,$F2458)=1,1,0),IF(COUNTIFS($U$2:$U2458,$U2458,$L$2:$L2458,$L2458)=1,1,0)))</f>
        <v>1</v>
      </c>
      <c r="AA24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8" s="106"/>
      <c r="AC2458" s="51"/>
      <c r="AD2458" s="106" t="s">
        <v>15</v>
      </c>
      <c r="AE2458" s="38" t="s">
        <v>364</v>
      </c>
    </row>
    <row r="2459" spans="1:31" ht="18" customHeight="1" x14ac:dyDescent="0.25">
      <c r="A24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59" s="79">
        <v>3</v>
      </c>
      <c r="C2459" s="23">
        <v>44112</v>
      </c>
      <c r="D2459" s="67">
        <f>IF(COUNTIF($G$2:$G2459,$G2459)=1,1,0)</f>
        <v>1</v>
      </c>
      <c r="E2459" s="67" t="str">
        <f>IFERROR(VLOOKUP(База_КР_КК[[#This Row],[ИД штатной должности (S)]],'уровень защищенности'!$B$7:$F$1095,5,0),"не защищена")</f>
        <v>средний</v>
      </c>
      <c r="F2459" s="68">
        <v>500571</v>
      </c>
      <c r="G2459" s="74" t="s">
        <v>2745</v>
      </c>
      <c r="H2459" s="181">
        <f>INDEX('Списки данных'!$D$2:$D$1048576,MATCH(База_КР_КК[[#This Row],[Структурное подразделение]],'Списки данных'!$C$2:$C$1048576,0))</f>
        <v>214</v>
      </c>
      <c r="I2459" s="80" t="s">
        <v>166</v>
      </c>
      <c r="J2459" s="80" t="s">
        <v>229</v>
      </c>
      <c r="K2459" s="80" t="s">
        <v>21</v>
      </c>
      <c r="L2459" s="30" t="s">
        <v>186</v>
      </c>
      <c r="M2459" s="68">
        <v>5</v>
      </c>
      <c r="N2459" s="181" t="str">
        <f t="shared" si="39"/>
        <v>нет</v>
      </c>
      <c r="O2459" s="23"/>
      <c r="P2459" s="23"/>
      <c r="Q2459" s="106"/>
      <c r="R2459" s="37">
        <v>572</v>
      </c>
      <c r="S2459" s="38" t="s">
        <v>981</v>
      </c>
      <c r="T2459" s="37">
        <v>1659</v>
      </c>
      <c r="U2459" s="38" t="s">
        <v>1974</v>
      </c>
      <c r="V2459" s="69" t="s">
        <v>198</v>
      </c>
      <c r="W2459" s="89" t="s">
        <v>166</v>
      </c>
      <c r="X2459" s="106" t="s">
        <v>297</v>
      </c>
      <c r="Y2459" s="107" t="s">
        <v>12</v>
      </c>
      <c r="Z2459" s="67">
        <f>IF(База_КР_КК[[#This Row],[Таб.номер резервиста]]="-","-",IF(OR(База_КР_КК[[#This Row],[Уровень КК]]=2,База_КР_КК[[#This Row],[Уровень КК]]=3),IF(COUNTIFS($U$2:$U2459,$U2459,$F$2:$F2459,$F2459)=1,1,0),IF(COUNTIFS($U$2:$U2459,$U2459,$L$2:$L2459,$L2459)=1,1,0)))</f>
        <v>1</v>
      </c>
      <c r="AA24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59" s="106"/>
      <c r="AC2459" s="51"/>
      <c r="AD2459" s="106" t="s">
        <v>13</v>
      </c>
      <c r="AE2459" s="38" t="s">
        <v>364</v>
      </c>
    </row>
    <row r="2460" spans="1:31" ht="18" customHeight="1" x14ac:dyDescent="0.25">
      <c r="A24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0" s="79">
        <v>3</v>
      </c>
      <c r="C2460" s="23">
        <v>44112</v>
      </c>
      <c r="D2460" s="67">
        <f>IF(COUNTIF($G$2:$G2460,$G2460)=1,1,0)</f>
        <v>1</v>
      </c>
      <c r="E2460" s="67" t="str">
        <f>IFERROR(VLOOKUP(База_КР_КК[[#This Row],[ИД штатной должности (S)]],'уровень защищенности'!$B$7:$F$1095,5,0),"не защищена")</f>
        <v>средний</v>
      </c>
      <c r="F2460" s="68">
        <v>500563</v>
      </c>
      <c r="G2460" s="74" t="s">
        <v>2746</v>
      </c>
      <c r="H2460" s="181">
        <f>INDEX('Списки данных'!$D$2:$D$1048576,MATCH(База_КР_КК[[#This Row],[Структурное подразделение]],'Списки данных'!$C$2:$C$1048576,0))</f>
        <v>218</v>
      </c>
      <c r="I2460" s="80" t="s">
        <v>167</v>
      </c>
      <c r="J2460" s="80" t="s">
        <v>228</v>
      </c>
      <c r="K2460" s="80" t="s">
        <v>21</v>
      </c>
      <c r="L2460" s="30" t="s">
        <v>186</v>
      </c>
      <c r="M2460" s="68">
        <v>5</v>
      </c>
      <c r="N2460" s="181" t="str">
        <f t="shared" si="39"/>
        <v>нет</v>
      </c>
      <c r="O2460" s="23"/>
      <c r="P2460" s="23"/>
      <c r="Q2460" s="106"/>
      <c r="R2460" s="37">
        <v>573</v>
      </c>
      <c r="S2460" s="39" t="s">
        <v>982</v>
      </c>
      <c r="T2460" s="37">
        <v>1660</v>
      </c>
      <c r="U2460" s="38" t="s">
        <v>1975</v>
      </c>
      <c r="V2460" s="69" t="s">
        <v>187</v>
      </c>
      <c r="W2460" s="89" t="s">
        <v>167</v>
      </c>
      <c r="X2460" s="106" t="s">
        <v>297</v>
      </c>
      <c r="Y2460" s="107" t="s">
        <v>12</v>
      </c>
      <c r="Z2460" s="67">
        <f>IF(База_КР_КК[[#This Row],[Таб.номер резервиста]]="-","-",IF(OR(База_КР_КК[[#This Row],[Уровень КК]]=2,База_КР_КК[[#This Row],[Уровень КК]]=3),IF(COUNTIFS($U$2:$U2460,$U2460,$F$2:$F2460,$F2460)=1,1,0),IF(COUNTIFS($U$2:$U2460,$U2460,$L$2:$L2460,$L2460)=1,1,0)))</f>
        <v>1</v>
      </c>
      <c r="AA24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0" s="106"/>
      <c r="AC2460" s="51"/>
      <c r="AD2460" s="106" t="s">
        <v>13</v>
      </c>
      <c r="AE2460" s="38" t="s">
        <v>364</v>
      </c>
    </row>
    <row r="2461" spans="1:31" ht="18" customHeight="1" x14ac:dyDescent="0.25">
      <c r="A24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1" s="79">
        <v>3</v>
      </c>
      <c r="C2461" s="26">
        <v>44112</v>
      </c>
      <c r="D2461" s="67">
        <f>IF(COUNTIF($G$2:$G2461,$G2461)=1,1,0)</f>
        <v>1</v>
      </c>
      <c r="E2461" s="67" t="str">
        <f>IFERROR(VLOOKUP(База_КР_КК[[#This Row],[ИД штатной должности (S)]],'уровень защищенности'!$B$7:$F$1095,5,0),"не защищена")</f>
        <v>высокий</v>
      </c>
      <c r="F2461" s="68">
        <v>500564</v>
      </c>
      <c r="G2461" s="74" t="s">
        <v>2747</v>
      </c>
      <c r="H2461" s="181">
        <f>INDEX('Списки данных'!$D$2:$D$1048576,MATCH(База_КР_КК[[#This Row],[Структурное подразделение]],'Списки данных'!$C$2:$C$1048576,0))</f>
        <v>218</v>
      </c>
      <c r="I2461" s="80" t="s">
        <v>167</v>
      </c>
      <c r="J2461" s="80" t="s">
        <v>228</v>
      </c>
      <c r="K2461" s="80" t="s">
        <v>21</v>
      </c>
      <c r="L2461" s="30" t="s">
        <v>186</v>
      </c>
      <c r="M2461" s="68">
        <v>5</v>
      </c>
      <c r="N2461" s="181" t="str">
        <f t="shared" si="39"/>
        <v>нет</v>
      </c>
      <c r="O2461" s="23"/>
      <c r="P2461" s="23"/>
      <c r="Q2461" s="106"/>
      <c r="R2461" s="37">
        <v>574</v>
      </c>
      <c r="S2461" s="39" t="s">
        <v>983</v>
      </c>
      <c r="T2461" s="37">
        <v>1661</v>
      </c>
      <c r="U2461" s="38" t="s">
        <v>1896</v>
      </c>
      <c r="V2461" s="69" t="s">
        <v>187</v>
      </c>
      <c r="W2461" s="89" t="s">
        <v>167</v>
      </c>
      <c r="X2461" s="106" t="s">
        <v>295</v>
      </c>
      <c r="Y2461" s="107" t="s">
        <v>12</v>
      </c>
      <c r="Z2461" s="67">
        <f>IF(База_КР_КК[[#This Row],[Таб.номер резервиста]]="-","-",IF(OR(База_КР_КК[[#This Row],[Уровень КК]]=2,База_КР_КК[[#This Row],[Уровень КК]]=3),IF(COUNTIFS($U$2:$U2461,$U2461,$F$2:$F2461,$F2461)=1,1,0),IF(COUNTIFS($U$2:$U2461,$U2461,$L$2:$L2461,$L2461)=1,1,0)))</f>
        <v>1</v>
      </c>
      <c r="AA24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1" s="106"/>
      <c r="AC2461" s="51"/>
      <c r="AD2461" s="106" t="s">
        <v>13</v>
      </c>
      <c r="AE2461" s="38" t="s">
        <v>364</v>
      </c>
    </row>
    <row r="2462" spans="1:31" ht="18" customHeight="1" x14ac:dyDescent="0.25">
      <c r="A24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2" s="79">
        <v>3</v>
      </c>
      <c r="C2462" s="23">
        <v>44112</v>
      </c>
      <c r="D2462" s="67">
        <f>IF(COUNTIF($G$2:$G2462,$G2462)=1,1,0)</f>
        <v>0</v>
      </c>
      <c r="E2462" s="67" t="str">
        <f>IFERROR(VLOOKUP(База_КР_КК[[#This Row],[ИД штатной должности (S)]],'уровень защищенности'!$B$7:$F$1095,5,0),"не защищена")</f>
        <v>высокий</v>
      </c>
      <c r="F2462" s="68">
        <v>500564</v>
      </c>
      <c r="G2462" s="74" t="s">
        <v>2747</v>
      </c>
      <c r="H2462" s="181">
        <f>INDEX('Списки данных'!$D$2:$D$1048576,MATCH(База_КР_КК[[#This Row],[Структурное подразделение]],'Списки данных'!$C$2:$C$1048576,0))</f>
        <v>218</v>
      </c>
      <c r="I2462" s="80" t="s">
        <v>167</v>
      </c>
      <c r="J2462" s="80" t="s">
        <v>228</v>
      </c>
      <c r="K2462" s="80" t="s">
        <v>21</v>
      </c>
      <c r="L2462" s="30" t="s">
        <v>186</v>
      </c>
      <c r="M2462" s="68">
        <v>5</v>
      </c>
      <c r="N2462" s="181" t="str">
        <f t="shared" si="39"/>
        <v>нет</v>
      </c>
      <c r="O2462" s="23"/>
      <c r="P2462" s="23"/>
      <c r="Q2462" s="106"/>
      <c r="R2462" s="37">
        <v>574</v>
      </c>
      <c r="S2462" s="39" t="s">
        <v>983</v>
      </c>
      <c r="T2462" s="37">
        <v>1662</v>
      </c>
      <c r="U2462" s="38" t="s">
        <v>1976</v>
      </c>
      <c r="V2462" s="69" t="s">
        <v>198</v>
      </c>
      <c r="W2462" s="89" t="s">
        <v>288</v>
      </c>
      <c r="X2462" s="106" t="s">
        <v>296</v>
      </c>
      <c r="Y2462" s="107" t="s">
        <v>18</v>
      </c>
      <c r="Z2462" s="67">
        <f>IF(База_КР_КК[[#This Row],[Таб.номер резервиста]]="-","-",IF(OR(База_КР_КК[[#This Row],[Уровень КК]]=2,База_КР_КК[[#This Row],[Уровень КК]]=3),IF(COUNTIFS($U$2:$U2462,$U2462,$F$2:$F2462,$F2462)=1,1,0),IF(COUNTIFS($U$2:$U2462,$U2462,$L$2:$L2462,$L2462)=1,1,0)))</f>
        <v>1</v>
      </c>
      <c r="AA24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2" s="106" t="s">
        <v>33</v>
      </c>
      <c r="AC2462" s="51">
        <v>45062</v>
      </c>
      <c r="AD2462" s="106" t="s">
        <v>13</v>
      </c>
      <c r="AE2462" s="38" t="s">
        <v>364</v>
      </c>
    </row>
    <row r="2463" spans="1:31" ht="18" customHeight="1" x14ac:dyDescent="0.25">
      <c r="A24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3" s="79">
        <v>3</v>
      </c>
      <c r="C2463" s="23">
        <v>44733</v>
      </c>
      <c r="D2463" s="67">
        <f>IF(COUNTIF($G$2:$G2463,$G2463)=1,1,0)</f>
        <v>1</v>
      </c>
      <c r="E2463" s="67" t="str">
        <f>IFERROR(VLOOKUP(База_КР_КК[[#This Row],[ИД штатной должности (S)]],'уровень защищенности'!$B$7:$F$1095,5,0),"не защищена")</f>
        <v>средний</v>
      </c>
      <c r="F2463" s="68">
        <v>500565</v>
      </c>
      <c r="G2463" s="74" t="s">
        <v>2748</v>
      </c>
      <c r="H2463" s="181">
        <f>INDEX('Списки данных'!$D$2:$D$1048576,MATCH(База_КР_КК[[#This Row],[Структурное подразделение]],'Списки данных'!$C$2:$C$1048576,0))</f>
        <v>214</v>
      </c>
      <c r="I2463" s="80" t="s">
        <v>166</v>
      </c>
      <c r="J2463" s="80" t="s">
        <v>229</v>
      </c>
      <c r="K2463" s="80" t="s">
        <v>21</v>
      </c>
      <c r="L2463" s="30" t="s">
        <v>186</v>
      </c>
      <c r="M2463" s="68">
        <v>5</v>
      </c>
      <c r="N2463" s="181" t="str">
        <f t="shared" si="39"/>
        <v>нет</v>
      </c>
      <c r="O2463" s="23"/>
      <c r="P2463" s="23"/>
      <c r="Q2463" s="106"/>
      <c r="R2463" s="37">
        <v>575</v>
      </c>
      <c r="S2463" s="38" t="s">
        <v>984</v>
      </c>
      <c r="T2463" s="37">
        <v>1663</v>
      </c>
      <c r="U2463" s="38" t="s">
        <v>1977</v>
      </c>
      <c r="V2463" s="69" t="s">
        <v>187</v>
      </c>
      <c r="W2463" s="89" t="s">
        <v>166</v>
      </c>
      <c r="X2463" s="106" t="s">
        <v>297</v>
      </c>
      <c r="Y2463" s="107" t="s">
        <v>12</v>
      </c>
      <c r="Z2463" s="67">
        <f>IF(База_КР_КК[[#This Row],[Таб.номер резервиста]]="-","-",IF(OR(База_КР_КК[[#This Row],[Уровень КК]]=2,База_КР_КК[[#This Row],[Уровень КК]]=3),IF(COUNTIFS($U$2:$U2463,$U2463,$F$2:$F2463,$F2463)=1,1,0),IF(COUNTIFS($U$2:$U2463,$U2463,$L$2:$L2463,$L2463)=1,1,0)))</f>
        <v>1</v>
      </c>
      <c r="AA24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3" s="106"/>
      <c r="AC2463" s="51"/>
      <c r="AD2463" s="106" t="s">
        <v>15</v>
      </c>
      <c r="AE2463" s="38" t="s">
        <v>364</v>
      </c>
    </row>
    <row r="2464" spans="1:31" ht="18" customHeight="1" x14ac:dyDescent="0.25">
      <c r="A24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4" s="79">
        <v>3</v>
      </c>
      <c r="C2464" s="23">
        <v>43399</v>
      </c>
      <c r="D2464" s="67">
        <f>IF(COUNTIF($G$2:$G2464,$G2464)=1,1,0)</f>
        <v>0</v>
      </c>
      <c r="E2464" s="67" t="str">
        <f>IFERROR(VLOOKUP(База_КР_КК[[#This Row],[ИД штатной должности (S)]],'уровень защищенности'!$B$7:$F$1095,5,0),"не защищена")</f>
        <v>средний</v>
      </c>
      <c r="F2464" s="68">
        <v>500565</v>
      </c>
      <c r="G2464" s="74" t="s">
        <v>2748</v>
      </c>
      <c r="H2464" s="181">
        <f>INDEX('Списки данных'!$D$2:$D$1048576,MATCH(База_КР_КК[[#This Row],[Структурное подразделение]],'Списки данных'!$C$2:$C$1048576,0))</f>
        <v>214</v>
      </c>
      <c r="I2464" s="80" t="s">
        <v>166</v>
      </c>
      <c r="J2464" s="80" t="s">
        <v>229</v>
      </c>
      <c r="K2464" s="80" t="s">
        <v>21</v>
      </c>
      <c r="L2464" s="30" t="s">
        <v>186</v>
      </c>
      <c r="M2464" s="68">
        <v>5</v>
      </c>
      <c r="N2464" s="181" t="str">
        <f t="shared" si="39"/>
        <v>нет</v>
      </c>
      <c r="O2464" s="23"/>
      <c r="P2464" s="23"/>
      <c r="Q2464" s="106"/>
      <c r="R2464" s="37">
        <v>575</v>
      </c>
      <c r="S2464" s="38" t="s">
        <v>984</v>
      </c>
      <c r="T2464" s="37">
        <v>1664</v>
      </c>
      <c r="U2464" s="38" t="s">
        <v>1978</v>
      </c>
      <c r="V2464" s="69" t="s">
        <v>198</v>
      </c>
      <c r="W2464" s="89" t="s">
        <v>273</v>
      </c>
      <c r="X2464" s="106" t="s">
        <v>297</v>
      </c>
      <c r="Y2464" s="107" t="s">
        <v>18</v>
      </c>
      <c r="Z2464" s="67">
        <f>IF(База_КР_КК[[#This Row],[Таб.номер резервиста]]="-","-",IF(OR(База_КР_КК[[#This Row],[Уровень КК]]=2,База_КР_КК[[#This Row],[Уровень КК]]=3),IF(COUNTIFS($U$2:$U2464,$U2464,$F$2:$F2464,$F2464)=1,1,0),IF(COUNTIFS($U$2:$U2464,$U2464,$L$2:$L2464,$L2464)=1,1,0)))</f>
        <v>1</v>
      </c>
      <c r="AA24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4" s="106" t="s">
        <v>38</v>
      </c>
      <c r="AC2464" s="51">
        <v>44733</v>
      </c>
      <c r="AD2464" s="106" t="s">
        <v>31</v>
      </c>
      <c r="AE2464" s="38" t="s">
        <v>364</v>
      </c>
    </row>
    <row r="2465" spans="1:31" ht="18" customHeight="1" x14ac:dyDescent="0.25">
      <c r="A24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5" s="79">
        <v>3</v>
      </c>
      <c r="C2465" s="23">
        <v>44112</v>
      </c>
      <c r="D2465" s="67">
        <f>IF(COUNTIF($G$2:$G2465,$G2465)=1,1,0)</f>
        <v>1</v>
      </c>
      <c r="E2465" s="67" t="str">
        <f>IFERROR(VLOOKUP(База_КР_КК[[#This Row],[ИД штатной должности (S)]],'уровень защищенности'!$B$7:$F$1095,5,0),"не защищена")</f>
        <v>средний</v>
      </c>
      <c r="F2465" s="68">
        <v>500566</v>
      </c>
      <c r="G2465" s="74" t="s">
        <v>2749</v>
      </c>
      <c r="H2465" s="181">
        <f>INDEX('Списки данных'!$D$2:$D$1048576,MATCH(База_КР_КК[[#This Row],[Структурное подразделение]],'Списки данных'!$C$2:$C$1048576,0))</f>
        <v>218</v>
      </c>
      <c r="I2465" s="80" t="s">
        <v>167</v>
      </c>
      <c r="J2465" s="80" t="s">
        <v>228</v>
      </c>
      <c r="K2465" s="80" t="s">
        <v>21</v>
      </c>
      <c r="L2465" s="30" t="s">
        <v>186</v>
      </c>
      <c r="M2465" s="68">
        <v>5</v>
      </c>
      <c r="N2465" s="181" t="str">
        <f t="shared" si="39"/>
        <v>нет</v>
      </c>
      <c r="O2465" s="23"/>
      <c r="P2465" s="23"/>
      <c r="Q2465" s="106"/>
      <c r="R2465" s="37">
        <v>576</v>
      </c>
      <c r="S2465" s="39" t="s">
        <v>985</v>
      </c>
      <c r="T2465" s="37">
        <v>1665</v>
      </c>
      <c r="U2465" s="38" t="s">
        <v>1850</v>
      </c>
      <c r="V2465" s="69" t="s">
        <v>187</v>
      </c>
      <c r="W2465" s="89" t="s">
        <v>167</v>
      </c>
      <c r="X2465" s="106" t="s">
        <v>297</v>
      </c>
      <c r="Y2465" s="107" t="s">
        <v>12</v>
      </c>
      <c r="Z2465" s="67">
        <f>IF(База_КР_КК[[#This Row],[Таб.номер резервиста]]="-","-",IF(OR(База_КР_КК[[#This Row],[Уровень КК]]=2,База_КР_КК[[#This Row],[Уровень КК]]=3),IF(COUNTIFS($U$2:$U2465,$U2465,$F$2:$F2465,$F2465)=1,1,0),IF(COUNTIFS($U$2:$U2465,$U2465,$L$2:$L2465,$L2465)=1,1,0)))</f>
        <v>1</v>
      </c>
      <c r="AA24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5" s="106"/>
      <c r="AC2465" s="51"/>
      <c r="AD2465" s="106" t="s">
        <v>13</v>
      </c>
      <c r="AE2465" s="38" t="s">
        <v>364</v>
      </c>
    </row>
    <row r="2466" spans="1:31" ht="18" customHeight="1" x14ac:dyDescent="0.25">
      <c r="A24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6" s="79">
        <v>3</v>
      </c>
      <c r="C2466" s="23">
        <v>43399</v>
      </c>
      <c r="D2466" s="67">
        <f>IF(COUNTIF($G$2:$G2466,$G2466)=1,1,0)</f>
        <v>0</v>
      </c>
      <c r="E2466" s="67" t="str">
        <f>IFERROR(VLOOKUP(База_КР_КК[[#This Row],[ИД штатной должности (S)]],'уровень защищенности'!$B$7:$F$1095,5,0),"не защищена")</f>
        <v>средний</v>
      </c>
      <c r="F2466" s="68">
        <v>500566</v>
      </c>
      <c r="G2466" s="74" t="s">
        <v>2749</v>
      </c>
      <c r="H2466" s="181">
        <f>INDEX('Списки данных'!$D$2:$D$1048576,MATCH(База_КР_КК[[#This Row],[Структурное подразделение]],'Списки данных'!$C$2:$C$1048576,0))</f>
        <v>218</v>
      </c>
      <c r="I2466" s="80" t="s">
        <v>167</v>
      </c>
      <c r="J2466" s="80" t="s">
        <v>228</v>
      </c>
      <c r="K2466" s="80" t="s">
        <v>21</v>
      </c>
      <c r="L2466" s="30" t="s">
        <v>186</v>
      </c>
      <c r="M2466" s="68">
        <v>5</v>
      </c>
      <c r="N2466" s="181" t="str">
        <f t="shared" si="39"/>
        <v>нет</v>
      </c>
      <c r="O2466" s="23"/>
      <c r="P2466" s="23"/>
      <c r="Q2466" s="106"/>
      <c r="R2466" s="37">
        <v>576</v>
      </c>
      <c r="S2466" s="39" t="s">
        <v>985</v>
      </c>
      <c r="T2466" s="37">
        <v>1666</v>
      </c>
      <c r="U2466" s="38" t="s">
        <v>1979</v>
      </c>
      <c r="V2466" s="69" t="s">
        <v>187</v>
      </c>
      <c r="W2466" s="89" t="s">
        <v>279</v>
      </c>
      <c r="X2466" s="106" t="s">
        <v>297</v>
      </c>
      <c r="Y2466" s="107" t="s">
        <v>18</v>
      </c>
      <c r="Z2466" s="67">
        <f>IF(База_КР_КК[[#This Row],[Таб.номер резервиста]]="-","-",IF(OR(База_КР_КК[[#This Row],[Уровень КК]]=2,База_КР_КК[[#This Row],[Уровень КК]]=3),IF(COUNTIFS($U$2:$U2466,$U2466,$F$2:$F2466,$F2466)=1,1,0),IF(COUNTIFS($U$2:$U2466,$U2466,$L$2:$L2466,$L2466)=1,1,0)))</f>
        <v>1</v>
      </c>
      <c r="AA24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6" s="106" t="s">
        <v>37</v>
      </c>
      <c r="AC2466" s="51">
        <v>44718</v>
      </c>
      <c r="AD2466" s="106" t="s">
        <v>15</v>
      </c>
      <c r="AE2466" s="38" t="s">
        <v>363</v>
      </c>
    </row>
    <row r="2467" spans="1:31" ht="18" customHeight="1" x14ac:dyDescent="0.25">
      <c r="A24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7" s="79">
        <v>3</v>
      </c>
      <c r="C2467" s="23">
        <v>43399</v>
      </c>
      <c r="D2467" s="67">
        <f>IF(COUNTIF($G$2:$G2467,$G2467)=1,1,0)</f>
        <v>1</v>
      </c>
      <c r="E2467" s="67" t="str">
        <f>IFERROR(VLOOKUP(База_КР_КК[[#This Row],[ИД штатной должности (S)]],'уровень защищенности'!$B$7:$F$1095,5,0),"не защищена")</f>
        <v>средний</v>
      </c>
      <c r="F2467" s="68">
        <v>500567</v>
      </c>
      <c r="G2467" s="74" t="s">
        <v>2750</v>
      </c>
      <c r="H2467" s="181">
        <f>INDEX('Списки данных'!$D$2:$D$1048576,MATCH(База_КР_КК[[#This Row],[Структурное подразделение]],'Списки данных'!$C$2:$C$1048576,0))</f>
        <v>214</v>
      </c>
      <c r="I2467" s="80" t="s">
        <v>166</v>
      </c>
      <c r="J2467" s="80" t="s">
        <v>229</v>
      </c>
      <c r="K2467" s="80" t="s">
        <v>21</v>
      </c>
      <c r="L2467" s="30" t="s">
        <v>186</v>
      </c>
      <c r="M2467" s="68">
        <v>5</v>
      </c>
      <c r="N2467" s="181" t="str">
        <f t="shared" si="39"/>
        <v>нет</v>
      </c>
      <c r="O2467" s="23"/>
      <c r="P2467" s="23"/>
      <c r="Q2467" s="106"/>
      <c r="R2467" s="37">
        <v>577</v>
      </c>
      <c r="S2467" s="38" t="s">
        <v>986</v>
      </c>
      <c r="T2467" s="37">
        <v>1667</v>
      </c>
      <c r="U2467" s="38" t="s">
        <v>1980</v>
      </c>
      <c r="V2467" s="69" t="s">
        <v>189</v>
      </c>
      <c r="W2467" s="89" t="s">
        <v>166</v>
      </c>
      <c r="X2467" s="106" t="s">
        <v>295</v>
      </c>
      <c r="Y2467" s="107" t="s">
        <v>18</v>
      </c>
      <c r="Z2467" s="67">
        <f>IF(База_КР_КК[[#This Row],[Таб.номер резервиста]]="-","-",IF(OR(База_КР_КК[[#This Row],[Уровень КК]]=2,База_КР_КК[[#This Row],[Уровень КК]]=3),IF(COUNTIFS($U$2:$U2467,$U2467,$F$2:$F2467,$F2467)=1,1,0),IF(COUNTIFS($U$2:$U2467,$U2467,$L$2:$L2467,$L2467)=1,1,0)))</f>
        <v>1</v>
      </c>
      <c r="AA24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7" s="106" t="s">
        <v>43</v>
      </c>
      <c r="AC2467" s="51">
        <v>45012</v>
      </c>
      <c r="AD2467" s="106" t="s">
        <v>17</v>
      </c>
      <c r="AE2467" s="38" t="s">
        <v>364</v>
      </c>
    </row>
    <row r="2468" spans="1:31" ht="18" customHeight="1" x14ac:dyDescent="0.25">
      <c r="A24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8" s="79">
        <v>3</v>
      </c>
      <c r="C2468" s="23">
        <v>44733</v>
      </c>
      <c r="D2468" s="67">
        <f>IF(COUNTIF($G$2:$G2468,$G2468)=1,1,0)</f>
        <v>0</v>
      </c>
      <c r="E2468" s="67" t="str">
        <f>IFERROR(VLOOKUP(База_КР_КК[[#This Row],[ИД штатной должности (S)]],'уровень защищенности'!$B$7:$F$1095,5,0),"не защищена")</f>
        <v>средний</v>
      </c>
      <c r="F2468" s="68">
        <v>500567</v>
      </c>
      <c r="G2468" s="74" t="s">
        <v>2750</v>
      </c>
      <c r="H2468" s="181">
        <f>INDEX('Списки данных'!$D$2:$D$1048576,MATCH(База_КР_КК[[#This Row],[Структурное подразделение]],'Списки данных'!$C$2:$C$1048576,0))</f>
        <v>214</v>
      </c>
      <c r="I2468" s="80" t="s">
        <v>166</v>
      </c>
      <c r="J2468" s="80" t="s">
        <v>229</v>
      </c>
      <c r="K2468" s="80" t="s">
        <v>21</v>
      </c>
      <c r="L2468" s="30" t="s">
        <v>186</v>
      </c>
      <c r="M2468" s="68">
        <v>5</v>
      </c>
      <c r="N2468" s="181" t="str">
        <f t="shared" si="39"/>
        <v>нет</v>
      </c>
      <c r="O2468" s="23"/>
      <c r="P2468" s="23"/>
      <c r="Q2468" s="106"/>
      <c r="R2468" s="37">
        <v>577</v>
      </c>
      <c r="S2468" s="38" t="s">
        <v>986</v>
      </c>
      <c r="T2468" s="37">
        <v>1668</v>
      </c>
      <c r="U2468" s="38" t="s">
        <v>1981</v>
      </c>
      <c r="V2468" s="69" t="s">
        <v>187</v>
      </c>
      <c r="W2468" s="89" t="s">
        <v>166</v>
      </c>
      <c r="X2468" s="106" t="s">
        <v>297</v>
      </c>
      <c r="Y2468" s="107" t="s">
        <v>12</v>
      </c>
      <c r="Z2468" s="67">
        <f>IF(База_КР_КК[[#This Row],[Таб.номер резервиста]]="-","-",IF(OR(База_КР_КК[[#This Row],[Уровень КК]]=2,База_КР_КК[[#This Row],[Уровень КК]]=3),IF(COUNTIFS($U$2:$U2468,$U2468,$F$2:$F2468,$F2468)=1,1,0),IF(COUNTIFS($U$2:$U2468,$U2468,$L$2:$L2468,$L2468)=1,1,0)))</f>
        <v>1</v>
      </c>
      <c r="AA24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8" s="106"/>
      <c r="AC2468" s="51"/>
      <c r="AD2468" s="106" t="s">
        <v>15</v>
      </c>
      <c r="AE2468" s="38" t="s">
        <v>364</v>
      </c>
    </row>
    <row r="2469" spans="1:31" ht="18" customHeight="1" x14ac:dyDescent="0.25">
      <c r="A24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69" s="79">
        <v>3</v>
      </c>
      <c r="C2469" s="23">
        <v>44733</v>
      </c>
      <c r="D2469" s="67">
        <f>IF(COUNTIF($G$2:$G2469,$G2469)=1,1,0)</f>
        <v>0</v>
      </c>
      <c r="E2469" s="67" t="str">
        <f>IFERROR(VLOOKUP(База_КР_КК[[#This Row],[ИД штатной должности (S)]],'уровень защищенности'!$B$7:$F$1095,5,0),"не защищена")</f>
        <v>средний</v>
      </c>
      <c r="F2469" s="68">
        <v>500567</v>
      </c>
      <c r="G2469" s="74" t="s">
        <v>2750</v>
      </c>
      <c r="H2469" s="181">
        <f>INDEX('Списки данных'!$D$2:$D$1048576,MATCH(База_КР_КК[[#This Row],[Структурное подразделение]],'Списки данных'!$C$2:$C$1048576,0))</f>
        <v>214</v>
      </c>
      <c r="I2469" s="80" t="s">
        <v>166</v>
      </c>
      <c r="J2469" s="80" t="s">
        <v>229</v>
      </c>
      <c r="K2469" s="80" t="s">
        <v>21</v>
      </c>
      <c r="L2469" s="30" t="s">
        <v>186</v>
      </c>
      <c r="M2469" s="68">
        <v>5</v>
      </c>
      <c r="N2469" s="181" t="str">
        <f t="shared" si="39"/>
        <v>нет</v>
      </c>
      <c r="O2469" s="23"/>
      <c r="P2469" s="23"/>
      <c r="Q2469" s="106"/>
      <c r="R2469" s="37">
        <v>577</v>
      </c>
      <c r="S2469" s="38" t="s">
        <v>986</v>
      </c>
      <c r="T2469" s="37">
        <v>1669</v>
      </c>
      <c r="U2469" s="38" t="s">
        <v>1982</v>
      </c>
      <c r="V2469" s="69" t="s">
        <v>198</v>
      </c>
      <c r="W2469" s="89" t="s">
        <v>166</v>
      </c>
      <c r="X2469" s="106" t="s">
        <v>296</v>
      </c>
      <c r="Y2469" s="107" t="s">
        <v>12</v>
      </c>
      <c r="Z2469" s="67">
        <f>IF(База_КР_КК[[#This Row],[Таб.номер резервиста]]="-","-",IF(OR(База_КР_КК[[#This Row],[Уровень КК]]=2,База_КР_КК[[#This Row],[Уровень КК]]=3),IF(COUNTIFS($U$2:$U2469,$U2469,$F$2:$F2469,$F2469)=1,1,0),IF(COUNTIFS($U$2:$U2469,$U2469,$L$2:$L2469,$L2469)=1,1,0)))</f>
        <v>1</v>
      </c>
      <c r="AA24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69" s="106"/>
      <c r="AC2469" s="51"/>
      <c r="AD2469" s="106" t="s">
        <v>15</v>
      </c>
      <c r="AE2469" s="38" t="s">
        <v>364</v>
      </c>
    </row>
    <row r="2470" spans="1:31" ht="18" customHeight="1" x14ac:dyDescent="0.25">
      <c r="A24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70" s="79">
        <v>3</v>
      </c>
      <c r="C2470" s="23">
        <v>43399</v>
      </c>
      <c r="D2470" s="67">
        <f>IF(COUNTIF($G$2:$G2470,$G2470)=1,1,0)</f>
        <v>0</v>
      </c>
      <c r="E2470" s="67" t="str">
        <f>IFERROR(VLOOKUP(База_КР_КК[[#This Row],[ИД штатной должности (S)]],'уровень защищенности'!$B$7:$F$1095,5,0),"не защищена")</f>
        <v>средний</v>
      </c>
      <c r="F2470" s="68">
        <v>500567</v>
      </c>
      <c r="G2470" s="74" t="s">
        <v>2750</v>
      </c>
      <c r="H2470" s="181">
        <f>INDEX('Списки данных'!$D$2:$D$1048576,MATCH(База_КР_КК[[#This Row],[Структурное подразделение]],'Списки данных'!$C$2:$C$1048576,0))</f>
        <v>214</v>
      </c>
      <c r="I2470" s="80" t="s">
        <v>166</v>
      </c>
      <c r="J2470" s="80" t="s">
        <v>229</v>
      </c>
      <c r="K2470" s="80" t="s">
        <v>21</v>
      </c>
      <c r="L2470" s="30" t="s">
        <v>186</v>
      </c>
      <c r="M2470" s="68">
        <v>5</v>
      </c>
      <c r="N2470" s="181" t="str">
        <f t="shared" si="39"/>
        <v>нет</v>
      </c>
      <c r="O2470" s="23"/>
      <c r="P2470" s="23"/>
      <c r="Q2470" s="106"/>
      <c r="R2470" s="37">
        <v>577</v>
      </c>
      <c r="S2470" s="38" t="s">
        <v>986</v>
      </c>
      <c r="T2470" s="37">
        <v>1670</v>
      </c>
      <c r="U2470" s="38" t="s">
        <v>1983</v>
      </c>
      <c r="V2470" s="69" t="s">
        <v>198</v>
      </c>
      <c r="W2470" s="89" t="s">
        <v>273</v>
      </c>
      <c r="X2470" s="106" t="s">
        <v>296</v>
      </c>
      <c r="Y2470" s="107" t="s">
        <v>18</v>
      </c>
      <c r="Z2470" s="67">
        <f>IF(База_КР_КК[[#This Row],[Таб.номер резервиста]]="-","-",IF(OR(База_КР_КК[[#This Row],[Уровень КК]]=2,База_КР_КК[[#This Row],[Уровень КК]]=3),IF(COUNTIFS($U$2:$U2470,$U2470,$F$2:$F2470,$F2470)=1,1,0),IF(COUNTIFS($U$2:$U2470,$U2470,$L$2:$L2470,$L2470)=1,1,0)))</f>
        <v>1</v>
      </c>
      <c r="AA24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0" s="106" t="s">
        <v>38</v>
      </c>
      <c r="AC2470" s="51">
        <v>44733</v>
      </c>
      <c r="AD2470" s="106" t="s">
        <v>31</v>
      </c>
      <c r="AE2470" s="38" t="s">
        <v>364</v>
      </c>
    </row>
    <row r="2471" spans="1:31" ht="18" customHeight="1" x14ac:dyDescent="0.25">
      <c r="A24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71" s="79">
        <v>3</v>
      </c>
      <c r="C2471" s="23">
        <v>43399</v>
      </c>
      <c r="D2471" s="67">
        <f>IF(COUNTIF($G$2:$G2471,$G2471)=1,1,0)</f>
        <v>1</v>
      </c>
      <c r="E2471" s="67" t="str">
        <f>IFERROR(VLOOKUP(База_КР_КК[[#This Row],[ИД штатной должности (S)]],'уровень защищенности'!$B$7:$F$1095,5,0),"не защищена")</f>
        <v>низкий</v>
      </c>
      <c r="F2471" s="68">
        <v>500568</v>
      </c>
      <c r="G2471" s="74" t="s">
        <v>2751</v>
      </c>
      <c r="H2471" s="181">
        <f>INDEX('Списки данных'!$D$2:$D$1048576,MATCH(База_КР_КК[[#This Row],[Структурное подразделение]],'Списки данных'!$C$2:$C$1048576,0))</f>
        <v>213</v>
      </c>
      <c r="I2471" s="80" t="s">
        <v>165</v>
      </c>
      <c r="J2471" s="80" t="s">
        <v>227</v>
      </c>
      <c r="K2471" s="80" t="s">
        <v>21</v>
      </c>
      <c r="L2471" s="30" t="s">
        <v>186</v>
      </c>
      <c r="M2471" s="68">
        <v>5</v>
      </c>
      <c r="N2471" s="181" t="str">
        <f t="shared" si="39"/>
        <v>нет</v>
      </c>
      <c r="O2471" s="23"/>
      <c r="P2471" s="23"/>
      <c r="Q2471" s="106"/>
      <c r="R2471" s="37">
        <v>578</v>
      </c>
      <c r="S2471" s="39" t="s">
        <v>987</v>
      </c>
      <c r="T2471" s="37">
        <v>1671</v>
      </c>
      <c r="U2471" s="38" t="s">
        <v>1984</v>
      </c>
      <c r="V2471" s="69" t="s">
        <v>198</v>
      </c>
      <c r="W2471" s="89" t="s">
        <v>165</v>
      </c>
      <c r="X2471" s="106" t="s">
        <v>296</v>
      </c>
      <c r="Y2471" s="107" t="s">
        <v>12</v>
      </c>
      <c r="Z2471" s="67">
        <f>IF(База_КР_КК[[#This Row],[Таб.номер резервиста]]="-","-",IF(OR(База_КР_КК[[#This Row],[Уровень КК]]=2,База_КР_КК[[#This Row],[Уровень КК]]=3),IF(COUNTIFS($U$2:$U2471,$U2471,$F$2:$F2471,$F2471)=1,1,0),IF(COUNTIFS($U$2:$U2471,$U2471,$L$2:$L2471,$L2471)=1,1,0)))</f>
        <v>1</v>
      </c>
      <c r="AA24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1" s="106"/>
      <c r="AC2471" s="51"/>
      <c r="AD2471" s="106" t="s">
        <v>13</v>
      </c>
      <c r="AE2471" s="38" t="s">
        <v>364</v>
      </c>
    </row>
    <row r="2472" spans="1:31" ht="18" customHeight="1" x14ac:dyDescent="0.25">
      <c r="A24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72" s="79">
        <v>3</v>
      </c>
      <c r="C2472" s="23">
        <v>43399</v>
      </c>
      <c r="D2472" s="67">
        <f>IF(COUNTIF($G$2:$G2472,$G2472)=1,1,0)</f>
        <v>0</v>
      </c>
      <c r="E2472" s="67" t="str">
        <f>IFERROR(VLOOKUP(База_КР_КК[[#This Row],[ИД штатной должности (S)]],'уровень защищенности'!$B$7:$F$1095,5,0),"не защищена")</f>
        <v>низкий</v>
      </c>
      <c r="F2472" s="68">
        <v>500568</v>
      </c>
      <c r="G2472" s="74" t="s">
        <v>2751</v>
      </c>
      <c r="H2472" s="181">
        <f>INDEX('Списки данных'!$D$2:$D$1048576,MATCH(База_КР_КК[[#This Row],[Структурное подразделение]],'Списки данных'!$C$2:$C$1048576,0))</f>
        <v>213</v>
      </c>
      <c r="I2472" s="80" t="s">
        <v>165</v>
      </c>
      <c r="J2472" s="80" t="s">
        <v>227</v>
      </c>
      <c r="K2472" s="80" t="s">
        <v>21</v>
      </c>
      <c r="L2472" s="30" t="s">
        <v>186</v>
      </c>
      <c r="M2472" s="68">
        <v>5</v>
      </c>
      <c r="N2472" s="181" t="str">
        <f t="shared" si="39"/>
        <v>нет</v>
      </c>
      <c r="O2472" s="23"/>
      <c r="P2472" s="23"/>
      <c r="Q2472" s="106"/>
      <c r="R2472" s="37">
        <v>578</v>
      </c>
      <c r="S2472" s="39" t="s">
        <v>987</v>
      </c>
      <c r="T2472" s="37">
        <v>1672</v>
      </c>
      <c r="U2472" s="38" t="s">
        <v>1739</v>
      </c>
      <c r="V2472" s="89" t="s">
        <v>198</v>
      </c>
      <c r="W2472" s="89" t="s">
        <v>289</v>
      </c>
      <c r="X2472" s="106" t="s">
        <v>296</v>
      </c>
      <c r="Y2472" s="107" t="s">
        <v>18</v>
      </c>
      <c r="Z2472" s="67">
        <f>IF(База_КР_КК[[#This Row],[Таб.номер резервиста]]="-","-",IF(OR(База_КР_КК[[#This Row],[Уровень КК]]=2,База_КР_КК[[#This Row],[Уровень КК]]=3),IF(COUNTIFS($U$2:$U2472,$U2472,$F$2:$F2472,$F2472)=1,1,0),IF(COUNTIFS($U$2:$U2472,$U2472,$L$2:$L2472,$L2472)=1,1,0)))</f>
        <v>1</v>
      </c>
      <c r="AA24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2" s="106" t="s">
        <v>33</v>
      </c>
      <c r="AC2472" s="51">
        <v>45062</v>
      </c>
      <c r="AD2472" s="106" t="s">
        <v>13</v>
      </c>
      <c r="AE2472" s="38" t="s">
        <v>364</v>
      </c>
    </row>
    <row r="2473" spans="1:31" ht="18" customHeight="1" x14ac:dyDescent="0.25">
      <c r="A24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73" s="79">
        <v>3</v>
      </c>
      <c r="C2473" s="23">
        <v>44733</v>
      </c>
      <c r="D2473" s="67">
        <f>IF(COUNTIF($G$2:$G2473,$G2473)=1,1,0)</f>
        <v>0</v>
      </c>
      <c r="E2473" s="67" t="str">
        <f>IFERROR(VLOOKUP(База_КР_КК[[#This Row],[ИД штатной должности (S)]],'уровень защищенности'!$B$7:$F$1095,5,0),"не защищена")</f>
        <v>низкий</v>
      </c>
      <c r="F2473" s="68">
        <v>500568</v>
      </c>
      <c r="G2473" s="74" t="s">
        <v>2751</v>
      </c>
      <c r="H2473" s="181">
        <f>INDEX('Списки данных'!$D$2:$D$1048576,MATCH(База_КР_КК[[#This Row],[Структурное подразделение]],'Списки данных'!$C$2:$C$1048576,0))</f>
        <v>213</v>
      </c>
      <c r="I2473" s="80" t="s">
        <v>165</v>
      </c>
      <c r="J2473" s="80" t="s">
        <v>227</v>
      </c>
      <c r="K2473" s="80" t="s">
        <v>21</v>
      </c>
      <c r="L2473" s="30" t="s">
        <v>186</v>
      </c>
      <c r="M2473" s="68">
        <v>5</v>
      </c>
      <c r="N2473" s="181" t="str">
        <f t="shared" si="39"/>
        <v>нет</v>
      </c>
      <c r="O2473" s="23"/>
      <c r="P2473" s="23"/>
      <c r="Q2473" s="106"/>
      <c r="R2473" s="37">
        <v>578</v>
      </c>
      <c r="S2473" s="39" t="s">
        <v>987</v>
      </c>
      <c r="T2473" s="37">
        <v>1673</v>
      </c>
      <c r="U2473" s="38" t="s">
        <v>1985</v>
      </c>
      <c r="V2473" s="69" t="s">
        <v>187</v>
      </c>
      <c r="W2473" s="89" t="s">
        <v>165</v>
      </c>
      <c r="X2473" s="106" t="s">
        <v>296</v>
      </c>
      <c r="Y2473" s="107" t="s">
        <v>12</v>
      </c>
      <c r="Z2473" s="67">
        <f>IF(База_КР_КК[[#This Row],[Таб.номер резервиста]]="-","-",IF(OR(База_КР_КК[[#This Row],[Уровень КК]]=2,База_КР_КК[[#This Row],[Уровень КК]]=3),IF(COUNTIFS($U$2:$U2473,$U2473,$F$2:$F2473,$F2473)=1,1,0),IF(COUNTIFS($U$2:$U2473,$U2473,$L$2:$L2473,$L2473)=1,1,0)))</f>
        <v>1</v>
      </c>
      <c r="AA24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3" s="106"/>
      <c r="AC2473" s="51"/>
      <c r="AD2473" s="106" t="s">
        <v>15</v>
      </c>
      <c r="AE2473" s="38" t="s">
        <v>364</v>
      </c>
    </row>
    <row r="2474" spans="1:31" ht="18" customHeight="1" x14ac:dyDescent="0.25">
      <c r="A24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74" s="79">
        <v>3</v>
      </c>
      <c r="C2474" s="23">
        <v>43399</v>
      </c>
      <c r="D2474" s="67">
        <f>IF(COUNTIF($G$2:$G2474,$G2474)=1,1,0)</f>
        <v>0</v>
      </c>
      <c r="E2474" s="67" t="str">
        <f>IFERROR(VLOOKUP(База_КР_КК[[#This Row],[ИД штатной должности (S)]],'уровень защищенности'!$B$7:$F$1095,5,0),"не защищена")</f>
        <v>низкий</v>
      </c>
      <c r="F2474" s="68">
        <v>500568</v>
      </c>
      <c r="G2474" s="74" t="s">
        <v>2751</v>
      </c>
      <c r="H2474" s="181">
        <f>INDEX('Списки данных'!$D$2:$D$1048576,MATCH(База_КР_КК[[#This Row],[Структурное подразделение]],'Списки данных'!$C$2:$C$1048576,0))</f>
        <v>213</v>
      </c>
      <c r="I2474" s="80" t="s">
        <v>165</v>
      </c>
      <c r="J2474" s="80" t="s">
        <v>227</v>
      </c>
      <c r="K2474" s="80" t="s">
        <v>21</v>
      </c>
      <c r="L2474" s="30" t="s">
        <v>186</v>
      </c>
      <c r="M2474" s="68">
        <v>5</v>
      </c>
      <c r="N2474" s="181" t="str">
        <f t="shared" si="39"/>
        <v>нет</v>
      </c>
      <c r="O2474" s="23"/>
      <c r="P2474" s="23"/>
      <c r="Q2474" s="106"/>
      <c r="R2474" s="37">
        <v>578</v>
      </c>
      <c r="S2474" s="39" t="s">
        <v>987</v>
      </c>
      <c r="T2474" s="37">
        <v>1674</v>
      </c>
      <c r="U2474" s="38" t="s">
        <v>1986</v>
      </c>
      <c r="V2474" s="69" t="s">
        <v>187</v>
      </c>
      <c r="W2474" s="89" t="s">
        <v>289</v>
      </c>
      <c r="X2474" s="106" t="s">
        <v>297</v>
      </c>
      <c r="Y2474" s="107" t="s">
        <v>18</v>
      </c>
      <c r="Z2474" s="67">
        <f>IF(База_КР_КК[[#This Row],[Таб.номер резервиста]]="-","-",IF(OR(База_КР_КК[[#This Row],[Уровень КК]]=2,База_КР_КК[[#This Row],[Уровень КК]]=3),IF(COUNTIFS($U$2:$U2474,$U2474,$F$2:$F2474,$F2474)=1,1,0),IF(COUNTIFS($U$2:$U2474,$U2474,$L$2:$L2474,$L2474)=1,1,0)))</f>
        <v>1</v>
      </c>
      <c r="AA24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4" s="106" t="s">
        <v>37</v>
      </c>
      <c r="AC2474" s="51">
        <v>44733</v>
      </c>
      <c r="AD2474" s="106" t="s">
        <v>31</v>
      </c>
      <c r="AE2474" s="38" t="s">
        <v>364</v>
      </c>
    </row>
    <row r="2475" spans="1:31" ht="18" customHeight="1" x14ac:dyDescent="0.25">
      <c r="A24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75" s="79">
        <v>3</v>
      </c>
      <c r="C2475" s="23">
        <v>43399</v>
      </c>
      <c r="D2475" s="67">
        <f>IF(COUNTIF($G$2:$G2475,$G2475)=1,1,0)</f>
        <v>1</v>
      </c>
      <c r="E2475" s="67" t="str">
        <f>IFERROR(VLOOKUP(База_КР_КК[[#This Row],[ИД штатной должности (S)]],'уровень защищенности'!$B$7:$F$1095,5,0),"не защищена")</f>
        <v>высокий</v>
      </c>
      <c r="F2475" s="68">
        <v>500569</v>
      </c>
      <c r="G2475" s="74" t="s">
        <v>2752</v>
      </c>
      <c r="H2475" s="181">
        <f>INDEX('Списки данных'!$D$2:$D$1048576,MATCH(База_КР_КК[[#This Row],[Структурное подразделение]],'Списки данных'!$C$2:$C$1048576,0))</f>
        <v>213</v>
      </c>
      <c r="I2475" s="80" t="s">
        <v>165</v>
      </c>
      <c r="J2475" s="80" t="s">
        <v>227</v>
      </c>
      <c r="K2475" s="80" t="s">
        <v>21</v>
      </c>
      <c r="L2475" s="30" t="s">
        <v>186</v>
      </c>
      <c r="M2475" s="68">
        <v>5</v>
      </c>
      <c r="N2475" s="181" t="str">
        <f t="shared" si="39"/>
        <v>нет</v>
      </c>
      <c r="O2475" s="23"/>
      <c r="P2475" s="23"/>
      <c r="Q2475" s="106"/>
      <c r="R2475" s="37">
        <v>579</v>
      </c>
      <c r="S2475" s="39" t="s">
        <v>988</v>
      </c>
      <c r="T2475" s="37">
        <v>1675</v>
      </c>
      <c r="U2475" s="38" t="s">
        <v>1647</v>
      </c>
      <c r="V2475" s="69" t="s">
        <v>187</v>
      </c>
      <c r="W2475" s="89" t="s">
        <v>165</v>
      </c>
      <c r="X2475" s="106" t="s">
        <v>295</v>
      </c>
      <c r="Y2475" s="107" t="s">
        <v>12</v>
      </c>
      <c r="Z2475" s="67">
        <f>IF(База_КР_КК[[#This Row],[Таб.номер резервиста]]="-","-",IF(OR(База_КР_КК[[#This Row],[Уровень КК]]=2,База_КР_КК[[#This Row],[Уровень КК]]=3),IF(COUNTIFS($U$2:$U2475,$U2475,$F$2:$F2475,$F2475)=1,1,0),IF(COUNTIFS($U$2:$U2475,$U2475,$L$2:$L2475,$L2475)=1,1,0)))</f>
        <v>1</v>
      </c>
      <c r="AA24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5" s="106"/>
      <c r="AC2475" s="51"/>
      <c r="AD2475" s="106" t="s">
        <v>17</v>
      </c>
      <c r="AE2475" s="38" t="s">
        <v>364</v>
      </c>
    </row>
    <row r="2476" spans="1:31" ht="18" customHeight="1" x14ac:dyDescent="0.25">
      <c r="A24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76" s="79">
        <v>3</v>
      </c>
      <c r="C2476" s="23">
        <v>43399</v>
      </c>
      <c r="D2476" s="67">
        <f>IF(COUNTIF($G$2:$G2476,$G2476)=1,1,0)</f>
        <v>0</v>
      </c>
      <c r="E2476" s="67" t="str">
        <f>IFERROR(VLOOKUP(База_КР_КК[[#This Row],[ИД штатной должности (S)]],'уровень защищенности'!$B$7:$F$1095,5,0),"не защищена")</f>
        <v>высокий</v>
      </c>
      <c r="F2476" s="68">
        <v>500569</v>
      </c>
      <c r="G2476" s="74" t="s">
        <v>2752</v>
      </c>
      <c r="H2476" s="181">
        <f>INDEX('Списки данных'!$D$2:$D$1048576,MATCH(База_КР_КК[[#This Row],[Структурное подразделение]],'Списки данных'!$C$2:$C$1048576,0))</f>
        <v>213</v>
      </c>
      <c r="I2476" s="80" t="s">
        <v>165</v>
      </c>
      <c r="J2476" s="80" t="s">
        <v>227</v>
      </c>
      <c r="K2476" s="80" t="s">
        <v>21</v>
      </c>
      <c r="L2476" s="30" t="s">
        <v>186</v>
      </c>
      <c r="M2476" s="68">
        <v>5</v>
      </c>
      <c r="N2476" s="181" t="str">
        <f t="shared" si="39"/>
        <v>нет</v>
      </c>
      <c r="O2476" s="23"/>
      <c r="P2476" s="23"/>
      <c r="Q2476" s="106"/>
      <c r="R2476" s="37">
        <v>579</v>
      </c>
      <c r="S2476" s="39" t="s">
        <v>988</v>
      </c>
      <c r="T2476" s="37">
        <v>1676</v>
      </c>
      <c r="U2476" s="38" t="s">
        <v>1987</v>
      </c>
      <c r="V2476" s="69" t="s">
        <v>198</v>
      </c>
      <c r="W2476" s="89" t="s">
        <v>165</v>
      </c>
      <c r="X2476" s="106" t="s">
        <v>296</v>
      </c>
      <c r="Y2476" s="107" t="s">
        <v>12</v>
      </c>
      <c r="Z2476" s="67">
        <f>IF(База_КР_КК[[#This Row],[Таб.номер резервиста]]="-","-",IF(OR(База_КР_КК[[#This Row],[Уровень КК]]=2,База_КР_КК[[#This Row],[Уровень КК]]=3),IF(COUNTIFS($U$2:$U2476,$U2476,$F$2:$F2476,$F2476)=1,1,0),IF(COUNTIFS($U$2:$U2476,$U2476,$L$2:$L2476,$L2476)=1,1,0)))</f>
        <v>1</v>
      </c>
      <c r="AA24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6" s="106"/>
      <c r="AC2476" s="51"/>
      <c r="AD2476" s="106" t="s">
        <v>22</v>
      </c>
      <c r="AE2476" s="38" t="s">
        <v>364</v>
      </c>
    </row>
    <row r="2477" spans="1:31" ht="18" customHeight="1" x14ac:dyDescent="0.25">
      <c r="A24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77" s="79">
        <v>4</v>
      </c>
      <c r="C2477" s="23">
        <v>44557</v>
      </c>
      <c r="D2477" s="67">
        <f>IF(COUNTIF($G$2:$G2477,$G2477)=1,1,0)</f>
        <v>1</v>
      </c>
      <c r="E2477" s="67" t="str">
        <f>IFERROR(VLOOKUP(База_КР_КК[[#This Row],[ИД штатной должности (S)]],'уровень защищенности'!$B$7:$F$1095,5,0),"не защищена")</f>
        <v>средний</v>
      </c>
      <c r="F2477" s="68">
        <v>500584</v>
      </c>
      <c r="G2477" s="74" t="s">
        <v>2753</v>
      </c>
      <c r="H2477" s="181">
        <f>INDEX('Списки данных'!$D$2:$D$1048576,MATCH(База_КР_КК[[#This Row],[Структурное подразделение]],'Списки данных'!$C$2:$C$1048576,0))</f>
        <v>33</v>
      </c>
      <c r="I2477" s="80" t="s">
        <v>144</v>
      </c>
      <c r="J2477" s="80" t="s">
        <v>224</v>
      </c>
      <c r="K2477" s="80" t="s">
        <v>236</v>
      </c>
      <c r="L2477" s="30" t="s">
        <v>191</v>
      </c>
      <c r="M2477" s="68">
        <v>7</v>
      </c>
      <c r="N2477" s="181" t="str">
        <f t="shared" si="39"/>
        <v>нет</v>
      </c>
      <c r="O2477" s="23"/>
      <c r="P2477" s="23"/>
      <c r="Q2477" s="106"/>
      <c r="R2477" s="37">
        <v>580</v>
      </c>
      <c r="S2477" s="39" t="s">
        <v>989</v>
      </c>
      <c r="T2477" s="37">
        <v>1677</v>
      </c>
      <c r="U2477" s="39" t="s">
        <v>1988</v>
      </c>
      <c r="V2477" s="69" t="s">
        <v>272</v>
      </c>
      <c r="W2477" s="89" t="s">
        <v>144</v>
      </c>
      <c r="X2477" s="106" t="s">
        <v>297</v>
      </c>
      <c r="Y2477" s="107" t="s">
        <v>12</v>
      </c>
      <c r="Z2477" s="67">
        <f>IF(База_КР_КК[[#This Row],[Таб.номер резервиста]]="-","-",IF(OR(База_КР_КК[[#This Row],[Уровень КК]]=2,База_КР_КК[[#This Row],[Уровень КК]]=3),IF(COUNTIFS($U$2:$U2477,$U2477,$F$2:$F2477,$F2477)=1,1,0),IF(COUNTIFS($U$2:$U2477,$U2477,$L$2:$L2477,$L2477)=1,1,0)))</f>
        <v>1</v>
      </c>
      <c r="AA24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7" s="106"/>
      <c r="AC2477" s="51"/>
      <c r="AD2477" s="106" t="s">
        <v>15</v>
      </c>
      <c r="AE2477" s="38" t="s">
        <v>361</v>
      </c>
    </row>
    <row r="2478" spans="1:31" ht="18" customHeight="1" x14ac:dyDescent="0.25">
      <c r="A24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78" s="79">
        <v>4</v>
      </c>
      <c r="C2478" s="23">
        <v>44557</v>
      </c>
      <c r="D2478" s="67">
        <f>IF(COUNTIF($G$2:$G2478,$G2478)=1,1,0)</f>
        <v>0</v>
      </c>
      <c r="E2478" s="67" t="str">
        <f>IFERROR(VLOOKUP(База_КР_КК[[#This Row],[ИД штатной должности (S)]],'уровень защищенности'!$B$7:$F$1095,5,0),"не защищена")</f>
        <v>средний</v>
      </c>
      <c r="F2478" s="68">
        <v>500584</v>
      </c>
      <c r="G2478" s="74" t="s">
        <v>2753</v>
      </c>
      <c r="H2478" s="181">
        <f>INDEX('Списки данных'!$D$2:$D$1048576,MATCH(База_КР_КК[[#This Row],[Структурное подразделение]],'Списки данных'!$C$2:$C$1048576,0))</f>
        <v>33</v>
      </c>
      <c r="I2478" s="80" t="s">
        <v>144</v>
      </c>
      <c r="J2478" s="80" t="s">
        <v>224</v>
      </c>
      <c r="K2478" s="80" t="s">
        <v>236</v>
      </c>
      <c r="L2478" s="30" t="s">
        <v>191</v>
      </c>
      <c r="M2478" s="68">
        <v>7</v>
      </c>
      <c r="N2478" s="181" t="str">
        <f t="shared" si="39"/>
        <v>нет</v>
      </c>
      <c r="O2478" s="23"/>
      <c r="P2478" s="23"/>
      <c r="Q2478" s="106"/>
      <c r="R2478" s="37">
        <v>580</v>
      </c>
      <c r="S2478" s="39" t="s">
        <v>989</v>
      </c>
      <c r="T2478" s="37">
        <v>1644</v>
      </c>
      <c r="U2478" s="39" t="s">
        <v>1429</v>
      </c>
      <c r="V2478" s="69" t="s">
        <v>272</v>
      </c>
      <c r="W2478" s="89" t="s">
        <v>144</v>
      </c>
      <c r="X2478" s="106" t="s">
        <v>297</v>
      </c>
      <c r="Y2478" s="107" t="s">
        <v>12</v>
      </c>
      <c r="Z2478" s="67">
        <f>IF(База_КР_КК[[#This Row],[Таб.номер резервиста]]="-","-",IF(OR(База_КР_КК[[#This Row],[Уровень КК]]=2,База_КР_КК[[#This Row],[Уровень КК]]=3),IF(COUNTIFS($U$2:$U2478,$U2478,$F$2:$F2478,$F2478)=1,1,0),IF(COUNTIFS($U$2:$U2478,$U2478,$L$2:$L2478,$L2478)=1,1,0)))</f>
        <v>0</v>
      </c>
      <c r="AA24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8" s="106"/>
      <c r="AC2478" s="51"/>
      <c r="AD2478" s="106" t="s">
        <v>15</v>
      </c>
      <c r="AE2478" s="38" t="s">
        <v>361</v>
      </c>
    </row>
    <row r="2479" spans="1:31" ht="18" customHeight="1" x14ac:dyDescent="0.25">
      <c r="A24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79" s="79">
        <v>4</v>
      </c>
      <c r="C2479" s="23">
        <v>44557</v>
      </c>
      <c r="D2479" s="67">
        <f>IF(COUNTIF($G$2:$G2479,$G2479)=1,1,0)</f>
        <v>1</v>
      </c>
      <c r="E2479" s="67" t="str">
        <f>IFERROR(VLOOKUP(База_КР_КК[[#This Row],[ИД штатной должности (S)]],'уровень защищенности'!$B$7:$F$1095,5,0),"не защищена")</f>
        <v>средний</v>
      </c>
      <c r="F2479" s="68">
        <v>500584</v>
      </c>
      <c r="G2479" s="74" t="s">
        <v>2754</v>
      </c>
      <c r="H2479" s="181">
        <f>INDEX('Списки данных'!$D$2:$D$1048576,MATCH(База_КР_КК[[#This Row],[Структурное подразделение]],'Списки данных'!$C$2:$C$1048576,0))</f>
        <v>33</v>
      </c>
      <c r="I2479" s="80" t="s">
        <v>144</v>
      </c>
      <c r="J2479" s="80" t="s">
        <v>224</v>
      </c>
      <c r="K2479" s="80" t="s">
        <v>236</v>
      </c>
      <c r="L2479" s="30" t="s">
        <v>191</v>
      </c>
      <c r="M2479" s="68">
        <v>7</v>
      </c>
      <c r="N2479" s="181" t="str">
        <f t="shared" si="39"/>
        <v>нет</v>
      </c>
      <c r="O2479" s="23"/>
      <c r="P2479" s="23"/>
      <c r="Q2479" s="106"/>
      <c r="R2479" s="37">
        <v>581</v>
      </c>
      <c r="S2479" s="39" t="s">
        <v>990</v>
      </c>
      <c r="T2479" s="37">
        <v>1677</v>
      </c>
      <c r="U2479" s="39" t="s">
        <v>1988</v>
      </c>
      <c r="V2479" s="69" t="s">
        <v>272</v>
      </c>
      <c r="W2479" s="89" t="s">
        <v>144</v>
      </c>
      <c r="X2479" s="106" t="s">
        <v>297</v>
      </c>
      <c r="Y2479" s="107" t="s">
        <v>12</v>
      </c>
      <c r="Z2479" s="67">
        <f>IF(База_КР_КК[[#This Row],[Таб.номер резервиста]]="-","-",IF(OR(База_КР_КК[[#This Row],[Уровень КК]]=2,База_КР_КК[[#This Row],[Уровень КК]]=3),IF(COUNTIFS($U$2:$U2479,$U2479,$F$2:$F2479,$F2479)=1,1,0),IF(COUNTIFS($U$2:$U2479,$U2479,$L$2:$L2479,$L2479)=1,1,0)))</f>
        <v>0</v>
      </c>
      <c r="AA24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79" s="106"/>
      <c r="AC2479" s="51"/>
      <c r="AD2479" s="106" t="s">
        <v>15</v>
      </c>
      <c r="AE2479" s="38" t="s">
        <v>361</v>
      </c>
    </row>
    <row r="2480" spans="1:31" ht="18" customHeight="1" x14ac:dyDescent="0.25">
      <c r="A24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0" s="79">
        <v>4</v>
      </c>
      <c r="C2480" s="23">
        <v>44557</v>
      </c>
      <c r="D2480" s="67">
        <f>IF(COUNTIF($G$2:$G2480,$G2480)=1,1,0)</f>
        <v>0</v>
      </c>
      <c r="E2480" s="67" t="str">
        <f>IFERROR(VLOOKUP(База_КР_КК[[#This Row],[ИД штатной должности (S)]],'уровень защищенности'!$B$7:$F$1095,5,0),"не защищена")</f>
        <v>средний</v>
      </c>
      <c r="F2480" s="68">
        <v>500584</v>
      </c>
      <c r="G2480" s="74" t="s">
        <v>2754</v>
      </c>
      <c r="H2480" s="181">
        <f>INDEX('Списки данных'!$D$2:$D$1048576,MATCH(База_КР_КК[[#This Row],[Структурное подразделение]],'Списки данных'!$C$2:$C$1048576,0))</f>
        <v>33</v>
      </c>
      <c r="I2480" s="80" t="s">
        <v>144</v>
      </c>
      <c r="J2480" s="80" t="s">
        <v>224</v>
      </c>
      <c r="K2480" s="80" t="s">
        <v>236</v>
      </c>
      <c r="L2480" s="30" t="s">
        <v>191</v>
      </c>
      <c r="M2480" s="68">
        <v>7</v>
      </c>
      <c r="N2480" s="181" t="str">
        <f t="shared" si="39"/>
        <v>нет</v>
      </c>
      <c r="O2480" s="23"/>
      <c r="P2480" s="23"/>
      <c r="Q2480" s="106"/>
      <c r="R2480" s="37">
        <v>581</v>
      </c>
      <c r="S2480" s="39" t="s">
        <v>990</v>
      </c>
      <c r="T2480" s="37">
        <v>1644</v>
      </c>
      <c r="U2480" s="39" t="s">
        <v>1429</v>
      </c>
      <c r="V2480" s="69" t="s">
        <v>272</v>
      </c>
      <c r="W2480" s="89" t="s">
        <v>144</v>
      </c>
      <c r="X2480" s="106" t="s">
        <v>297</v>
      </c>
      <c r="Y2480" s="107" t="s">
        <v>12</v>
      </c>
      <c r="Z2480" s="67">
        <f>IF(База_КР_КК[[#This Row],[Таб.номер резервиста]]="-","-",IF(OR(База_КР_КК[[#This Row],[Уровень КК]]=2,База_КР_КК[[#This Row],[Уровень КК]]=3),IF(COUNTIFS($U$2:$U2480,$U2480,$F$2:$F2480,$F2480)=1,1,0),IF(COUNTIFS($U$2:$U2480,$U2480,$L$2:$L2480,$L2480)=1,1,0)))</f>
        <v>0</v>
      </c>
      <c r="AA24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0" s="106"/>
      <c r="AC2480" s="51"/>
      <c r="AD2480" s="106" t="s">
        <v>15</v>
      </c>
      <c r="AE2480" s="38" t="s">
        <v>361</v>
      </c>
    </row>
    <row r="2481" spans="1:31" ht="18" customHeight="1" x14ac:dyDescent="0.25">
      <c r="A24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1" s="79">
        <v>4</v>
      </c>
      <c r="C2481" s="23">
        <v>44557</v>
      </c>
      <c r="D2481" s="67">
        <f>IF(COUNTIF($G$2:$G2481,$G2481)=1,1,0)</f>
        <v>1</v>
      </c>
      <c r="E2481" s="67" t="str">
        <f>IFERROR(VLOOKUP(База_КР_КК[[#This Row],[ИД штатной должности (S)]],'уровень защищенности'!$B$7:$F$1095,5,0),"не защищена")</f>
        <v>средний</v>
      </c>
      <c r="F2481" s="68">
        <v>500584</v>
      </c>
      <c r="G2481" s="74" t="s">
        <v>2755</v>
      </c>
      <c r="H2481" s="181">
        <f>INDEX('Списки данных'!$D$2:$D$1048576,MATCH(База_КР_КК[[#This Row],[Структурное подразделение]],'Списки данных'!$C$2:$C$1048576,0))</f>
        <v>33</v>
      </c>
      <c r="I2481" s="80" t="s">
        <v>144</v>
      </c>
      <c r="J2481" s="80" t="s">
        <v>224</v>
      </c>
      <c r="K2481" s="80" t="s">
        <v>236</v>
      </c>
      <c r="L2481" s="30" t="s">
        <v>191</v>
      </c>
      <c r="M2481" s="68">
        <v>7</v>
      </c>
      <c r="N2481" s="181" t="str">
        <f t="shared" si="39"/>
        <v>нет</v>
      </c>
      <c r="O2481" s="23"/>
      <c r="P2481" s="23"/>
      <c r="Q2481" s="106"/>
      <c r="R2481" s="37">
        <v>582</v>
      </c>
      <c r="S2481" s="39" t="s">
        <v>991</v>
      </c>
      <c r="T2481" s="37">
        <v>1677</v>
      </c>
      <c r="U2481" s="39" t="s">
        <v>1988</v>
      </c>
      <c r="V2481" s="69" t="s">
        <v>272</v>
      </c>
      <c r="W2481" s="89" t="s">
        <v>144</v>
      </c>
      <c r="X2481" s="106" t="s">
        <v>297</v>
      </c>
      <c r="Y2481" s="107" t="s">
        <v>12</v>
      </c>
      <c r="Z2481" s="67">
        <f>IF(База_КР_КК[[#This Row],[Таб.номер резервиста]]="-","-",IF(OR(База_КР_КК[[#This Row],[Уровень КК]]=2,База_КР_КК[[#This Row],[Уровень КК]]=3),IF(COUNTIFS($U$2:$U2481,$U2481,$F$2:$F2481,$F2481)=1,1,0),IF(COUNTIFS($U$2:$U2481,$U2481,$L$2:$L2481,$L2481)=1,1,0)))</f>
        <v>0</v>
      </c>
      <c r="AA24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1" s="106"/>
      <c r="AC2481" s="51"/>
      <c r="AD2481" s="106" t="s">
        <v>15</v>
      </c>
      <c r="AE2481" s="38" t="s">
        <v>361</v>
      </c>
    </row>
    <row r="2482" spans="1:31" ht="18" customHeight="1" x14ac:dyDescent="0.25">
      <c r="A24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2" s="79">
        <v>4</v>
      </c>
      <c r="C2482" s="23">
        <v>44557</v>
      </c>
      <c r="D2482" s="67">
        <f>IF(COUNTIF($G$2:$G2482,$G2482)=1,1,0)</f>
        <v>0</v>
      </c>
      <c r="E2482" s="67" t="str">
        <f>IFERROR(VLOOKUP(База_КР_КК[[#This Row],[ИД штатной должности (S)]],'уровень защищенности'!$B$7:$F$1095,5,0),"не защищена")</f>
        <v>средний</v>
      </c>
      <c r="F2482" s="68">
        <v>500584</v>
      </c>
      <c r="G2482" s="74" t="s">
        <v>2755</v>
      </c>
      <c r="H2482" s="181">
        <f>INDEX('Списки данных'!$D$2:$D$1048576,MATCH(База_КР_КК[[#This Row],[Структурное подразделение]],'Списки данных'!$C$2:$C$1048576,0))</f>
        <v>33</v>
      </c>
      <c r="I2482" s="80" t="s">
        <v>144</v>
      </c>
      <c r="J2482" s="80" t="s">
        <v>224</v>
      </c>
      <c r="K2482" s="80" t="s">
        <v>236</v>
      </c>
      <c r="L2482" s="30" t="s">
        <v>191</v>
      </c>
      <c r="M2482" s="68">
        <v>7</v>
      </c>
      <c r="N2482" s="181" t="str">
        <f t="shared" si="39"/>
        <v>нет</v>
      </c>
      <c r="O2482" s="23"/>
      <c r="P2482" s="23"/>
      <c r="Q2482" s="106"/>
      <c r="R2482" s="37">
        <v>582</v>
      </c>
      <c r="S2482" s="39" t="s">
        <v>991</v>
      </c>
      <c r="T2482" s="37">
        <v>1644</v>
      </c>
      <c r="U2482" s="39" t="s">
        <v>1429</v>
      </c>
      <c r="V2482" s="69" t="s">
        <v>272</v>
      </c>
      <c r="W2482" s="89" t="s">
        <v>144</v>
      </c>
      <c r="X2482" s="106" t="s">
        <v>297</v>
      </c>
      <c r="Y2482" s="107" t="s">
        <v>12</v>
      </c>
      <c r="Z2482" s="67">
        <f>IF(База_КР_КК[[#This Row],[Таб.номер резервиста]]="-","-",IF(OR(База_КР_КК[[#This Row],[Уровень КК]]=2,База_КР_КК[[#This Row],[Уровень КК]]=3),IF(COUNTIFS($U$2:$U2482,$U2482,$F$2:$F2482,$F2482)=1,1,0),IF(COUNTIFS($U$2:$U2482,$U2482,$L$2:$L2482,$L2482)=1,1,0)))</f>
        <v>0</v>
      </c>
      <c r="AA24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2" s="106"/>
      <c r="AC2482" s="51"/>
      <c r="AD2482" s="106" t="s">
        <v>15</v>
      </c>
      <c r="AE2482" s="38" t="s">
        <v>361</v>
      </c>
    </row>
    <row r="2483" spans="1:31" ht="18" customHeight="1" x14ac:dyDescent="0.25">
      <c r="A24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3" s="79">
        <v>4</v>
      </c>
      <c r="C2483" s="23">
        <v>44557</v>
      </c>
      <c r="D2483" s="67">
        <f>IF(COUNTIF($G$2:$G2483,$G2483)=1,1,0)</f>
        <v>1</v>
      </c>
      <c r="E2483" s="67" t="str">
        <f>IFERROR(VLOOKUP(База_КР_КК[[#This Row],[ИД штатной должности (S)]],'уровень защищенности'!$B$7:$F$1095,5,0),"не защищена")</f>
        <v>средний</v>
      </c>
      <c r="F2483" s="68">
        <v>500584</v>
      </c>
      <c r="G2483" s="74" t="s">
        <v>2756</v>
      </c>
      <c r="H2483" s="181">
        <f>INDEX('Списки данных'!$D$2:$D$1048576,MATCH(База_КР_КК[[#This Row],[Структурное подразделение]],'Списки данных'!$C$2:$C$1048576,0))</f>
        <v>33</v>
      </c>
      <c r="I2483" s="80" t="s">
        <v>144</v>
      </c>
      <c r="J2483" s="80" t="s">
        <v>224</v>
      </c>
      <c r="K2483" s="80" t="s">
        <v>236</v>
      </c>
      <c r="L2483" s="30" t="s">
        <v>191</v>
      </c>
      <c r="M2483" s="68">
        <v>7</v>
      </c>
      <c r="N2483" s="181" t="str">
        <f t="shared" si="39"/>
        <v>нет</v>
      </c>
      <c r="O2483" s="23"/>
      <c r="P2483" s="23"/>
      <c r="Q2483" s="106"/>
      <c r="R2483" s="37">
        <v>583</v>
      </c>
      <c r="S2483" s="39" t="s">
        <v>992</v>
      </c>
      <c r="T2483" s="37">
        <v>1677</v>
      </c>
      <c r="U2483" s="39" t="s">
        <v>1988</v>
      </c>
      <c r="V2483" s="69" t="s">
        <v>272</v>
      </c>
      <c r="W2483" s="89" t="s">
        <v>144</v>
      </c>
      <c r="X2483" s="106" t="s">
        <v>297</v>
      </c>
      <c r="Y2483" s="107" t="s">
        <v>12</v>
      </c>
      <c r="Z2483" s="67">
        <f>IF(База_КР_КК[[#This Row],[Таб.номер резервиста]]="-","-",IF(OR(База_КР_КК[[#This Row],[Уровень КК]]=2,База_КР_КК[[#This Row],[Уровень КК]]=3),IF(COUNTIFS($U$2:$U2483,$U2483,$F$2:$F2483,$F2483)=1,1,0),IF(COUNTIFS($U$2:$U2483,$U2483,$L$2:$L2483,$L2483)=1,1,0)))</f>
        <v>0</v>
      </c>
      <c r="AA24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3" s="106"/>
      <c r="AC2483" s="51"/>
      <c r="AD2483" s="106" t="s">
        <v>15</v>
      </c>
      <c r="AE2483" s="38" t="s">
        <v>361</v>
      </c>
    </row>
    <row r="2484" spans="1:31" ht="18" customHeight="1" x14ac:dyDescent="0.25">
      <c r="A24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4" s="79">
        <v>4</v>
      </c>
      <c r="C2484" s="23">
        <v>44557</v>
      </c>
      <c r="D2484" s="67">
        <f>IF(COUNTIF($G$2:$G2484,$G2484)=1,1,0)</f>
        <v>0</v>
      </c>
      <c r="E2484" s="67" t="str">
        <f>IFERROR(VLOOKUP(База_КР_КК[[#This Row],[ИД штатной должности (S)]],'уровень защищенности'!$B$7:$F$1095,5,0),"не защищена")</f>
        <v>средний</v>
      </c>
      <c r="F2484" s="68">
        <v>500584</v>
      </c>
      <c r="G2484" s="74" t="s">
        <v>2756</v>
      </c>
      <c r="H2484" s="181">
        <f>INDEX('Списки данных'!$D$2:$D$1048576,MATCH(База_КР_КК[[#This Row],[Структурное подразделение]],'Списки данных'!$C$2:$C$1048576,0))</f>
        <v>33</v>
      </c>
      <c r="I2484" s="80" t="s">
        <v>144</v>
      </c>
      <c r="J2484" s="80" t="s">
        <v>224</v>
      </c>
      <c r="K2484" s="80" t="s">
        <v>236</v>
      </c>
      <c r="L2484" s="30" t="s">
        <v>191</v>
      </c>
      <c r="M2484" s="68">
        <v>7</v>
      </c>
      <c r="N2484" s="181" t="str">
        <f t="shared" si="39"/>
        <v>нет</v>
      </c>
      <c r="O2484" s="23"/>
      <c r="P2484" s="23"/>
      <c r="Q2484" s="106"/>
      <c r="R2484" s="37">
        <v>583</v>
      </c>
      <c r="S2484" s="39" t="s">
        <v>992</v>
      </c>
      <c r="T2484" s="37">
        <v>1644</v>
      </c>
      <c r="U2484" s="39" t="s">
        <v>1429</v>
      </c>
      <c r="V2484" s="69" t="s">
        <v>272</v>
      </c>
      <c r="W2484" s="89" t="s">
        <v>144</v>
      </c>
      <c r="X2484" s="106" t="s">
        <v>297</v>
      </c>
      <c r="Y2484" s="107" t="s">
        <v>12</v>
      </c>
      <c r="Z2484" s="67">
        <f>IF(База_КР_КК[[#This Row],[Таб.номер резервиста]]="-","-",IF(OR(База_КР_КК[[#This Row],[Уровень КК]]=2,База_КР_КК[[#This Row],[Уровень КК]]=3),IF(COUNTIFS($U$2:$U2484,$U2484,$F$2:$F2484,$F2484)=1,1,0),IF(COUNTIFS($U$2:$U2484,$U2484,$L$2:$L2484,$L2484)=1,1,0)))</f>
        <v>0</v>
      </c>
      <c r="AA24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4" s="106"/>
      <c r="AC2484" s="51"/>
      <c r="AD2484" s="106" t="s">
        <v>15</v>
      </c>
      <c r="AE2484" s="38" t="s">
        <v>361</v>
      </c>
    </row>
    <row r="2485" spans="1:31" ht="18" customHeight="1" x14ac:dyDescent="0.25">
      <c r="A24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5" s="79">
        <v>4</v>
      </c>
      <c r="C2485" s="23">
        <v>44557</v>
      </c>
      <c r="D2485" s="67">
        <f>IF(COUNTIF($G$2:$G2485,$G2485)=1,1,0)</f>
        <v>1</v>
      </c>
      <c r="E2485" s="67" t="str">
        <f>IFERROR(VLOOKUP(База_КР_КК[[#This Row],[ИД штатной должности (S)]],'уровень защищенности'!$B$7:$F$1095,5,0),"не защищена")</f>
        <v>средний</v>
      </c>
      <c r="F2485" s="68">
        <v>500585</v>
      </c>
      <c r="G2485" s="74" t="s">
        <v>2757</v>
      </c>
      <c r="H2485" s="181">
        <f>INDEX('Списки данных'!$D$2:$D$1048576,MATCH(База_КР_КК[[#This Row],[Структурное подразделение]],'Списки данных'!$C$2:$C$1048576,0))</f>
        <v>33</v>
      </c>
      <c r="I2485" s="80" t="s">
        <v>144</v>
      </c>
      <c r="J2485" s="80" t="s">
        <v>224</v>
      </c>
      <c r="K2485" s="80" t="s">
        <v>236</v>
      </c>
      <c r="L2485" s="30" t="s">
        <v>191</v>
      </c>
      <c r="M2485" s="68">
        <v>7</v>
      </c>
      <c r="N2485" s="181" t="str">
        <f t="shared" si="39"/>
        <v>нет</v>
      </c>
      <c r="O2485" s="23"/>
      <c r="P2485" s="23"/>
      <c r="Q2485" s="106"/>
      <c r="R2485" s="37">
        <v>584</v>
      </c>
      <c r="S2485" s="39" t="s">
        <v>993</v>
      </c>
      <c r="T2485" s="37">
        <v>1677</v>
      </c>
      <c r="U2485" s="39" t="s">
        <v>1988</v>
      </c>
      <c r="V2485" s="69" t="s">
        <v>272</v>
      </c>
      <c r="W2485" s="89" t="s">
        <v>144</v>
      </c>
      <c r="X2485" s="106" t="s">
        <v>297</v>
      </c>
      <c r="Y2485" s="107" t="s">
        <v>12</v>
      </c>
      <c r="Z2485" s="67">
        <f>IF(База_КР_КК[[#This Row],[Таб.номер резервиста]]="-","-",IF(OR(База_КР_КК[[#This Row],[Уровень КК]]=2,База_КР_КК[[#This Row],[Уровень КК]]=3),IF(COUNTIFS($U$2:$U2485,$U2485,$F$2:$F2485,$F2485)=1,1,0),IF(COUNTIFS($U$2:$U2485,$U2485,$L$2:$L2485,$L2485)=1,1,0)))</f>
        <v>0</v>
      </c>
      <c r="AA24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5" s="106"/>
      <c r="AC2485" s="51"/>
      <c r="AD2485" s="106" t="s">
        <v>15</v>
      </c>
      <c r="AE2485" s="38" t="s">
        <v>361</v>
      </c>
    </row>
    <row r="2486" spans="1:31" ht="18" customHeight="1" x14ac:dyDescent="0.25">
      <c r="A24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6" s="79">
        <v>4</v>
      </c>
      <c r="C2486" s="23">
        <v>44557</v>
      </c>
      <c r="D2486" s="67">
        <f>IF(COUNTIF($G$2:$G2486,$G2486)=1,1,0)</f>
        <v>0</v>
      </c>
      <c r="E2486" s="67" t="str">
        <f>IFERROR(VLOOKUP(База_КР_КК[[#This Row],[ИД штатной должности (S)]],'уровень защищенности'!$B$7:$F$1095,5,0),"не защищена")</f>
        <v>средний</v>
      </c>
      <c r="F2486" s="68">
        <v>500585</v>
      </c>
      <c r="G2486" s="74" t="s">
        <v>2757</v>
      </c>
      <c r="H2486" s="181">
        <f>INDEX('Списки данных'!$D$2:$D$1048576,MATCH(База_КР_КК[[#This Row],[Структурное подразделение]],'Списки данных'!$C$2:$C$1048576,0))</f>
        <v>33</v>
      </c>
      <c r="I2486" s="80" t="s">
        <v>144</v>
      </c>
      <c r="J2486" s="80" t="s">
        <v>224</v>
      </c>
      <c r="K2486" s="80" t="s">
        <v>236</v>
      </c>
      <c r="L2486" s="30" t="s">
        <v>191</v>
      </c>
      <c r="M2486" s="68">
        <v>7</v>
      </c>
      <c r="N2486" s="181" t="str">
        <f t="shared" si="39"/>
        <v>нет</v>
      </c>
      <c r="O2486" s="23"/>
      <c r="P2486" s="23"/>
      <c r="Q2486" s="106"/>
      <c r="R2486" s="37">
        <v>584</v>
      </c>
      <c r="S2486" s="39" t="s">
        <v>993</v>
      </c>
      <c r="T2486" s="37">
        <v>1644</v>
      </c>
      <c r="U2486" s="39" t="s">
        <v>1429</v>
      </c>
      <c r="V2486" s="69" t="s">
        <v>272</v>
      </c>
      <c r="W2486" s="89" t="s">
        <v>144</v>
      </c>
      <c r="X2486" s="106" t="s">
        <v>297</v>
      </c>
      <c r="Y2486" s="107" t="s">
        <v>12</v>
      </c>
      <c r="Z2486" s="67">
        <f>IF(База_КР_КК[[#This Row],[Таб.номер резервиста]]="-","-",IF(OR(База_КР_КК[[#This Row],[Уровень КК]]=2,База_КР_КК[[#This Row],[Уровень КК]]=3),IF(COUNTIFS($U$2:$U2486,$U2486,$F$2:$F2486,$F2486)=1,1,0),IF(COUNTIFS($U$2:$U2486,$U2486,$L$2:$L2486,$L2486)=1,1,0)))</f>
        <v>0</v>
      </c>
      <c r="AA24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6" s="106"/>
      <c r="AC2486" s="51"/>
      <c r="AD2486" s="106" t="s">
        <v>15</v>
      </c>
      <c r="AE2486" s="38" t="s">
        <v>361</v>
      </c>
    </row>
    <row r="2487" spans="1:31" ht="18" customHeight="1" x14ac:dyDescent="0.25">
      <c r="A24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7" s="79">
        <v>4</v>
      </c>
      <c r="C2487" s="23">
        <v>44557</v>
      </c>
      <c r="D2487" s="67">
        <f>IF(COUNTIF($G$2:$G2487,$G2487)=1,1,0)</f>
        <v>1</v>
      </c>
      <c r="E2487" s="67" t="str">
        <f>IFERROR(VLOOKUP(База_КР_КК[[#This Row],[ИД штатной должности (S)]],'уровень защищенности'!$B$7:$F$1095,5,0),"не защищена")</f>
        <v>средний</v>
      </c>
      <c r="F2487" s="68">
        <v>500585</v>
      </c>
      <c r="G2487" s="74" t="s">
        <v>2758</v>
      </c>
      <c r="H2487" s="181">
        <f>INDEX('Списки данных'!$D$2:$D$1048576,MATCH(База_КР_КК[[#This Row],[Структурное подразделение]],'Списки данных'!$C$2:$C$1048576,0))</f>
        <v>33</v>
      </c>
      <c r="I2487" s="80" t="s">
        <v>144</v>
      </c>
      <c r="J2487" s="80" t="s">
        <v>224</v>
      </c>
      <c r="K2487" s="80" t="s">
        <v>236</v>
      </c>
      <c r="L2487" s="30" t="s">
        <v>191</v>
      </c>
      <c r="M2487" s="68">
        <v>7</v>
      </c>
      <c r="N2487" s="181" t="str">
        <f t="shared" si="39"/>
        <v>нет</v>
      </c>
      <c r="O2487" s="23"/>
      <c r="P2487" s="23"/>
      <c r="Q2487" s="106"/>
      <c r="R2487" s="37">
        <v>585</v>
      </c>
      <c r="S2487" s="39" t="s">
        <v>994</v>
      </c>
      <c r="T2487" s="37">
        <v>1677</v>
      </c>
      <c r="U2487" s="39" t="s">
        <v>1988</v>
      </c>
      <c r="V2487" s="69" t="s">
        <v>272</v>
      </c>
      <c r="W2487" s="89" t="s">
        <v>144</v>
      </c>
      <c r="X2487" s="106" t="s">
        <v>297</v>
      </c>
      <c r="Y2487" s="107" t="s">
        <v>12</v>
      </c>
      <c r="Z2487" s="67">
        <f>IF(База_КР_КК[[#This Row],[Таб.номер резервиста]]="-","-",IF(OR(База_КР_КК[[#This Row],[Уровень КК]]=2,База_КР_КК[[#This Row],[Уровень КК]]=3),IF(COUNTIFS($U$2:$U2487,$U2487,$F$2:$F2487,$F2487)=1,1,0),IF(COUNTIFS($U$2:$U2487,$U2487,$L$2:$L2487,$L2487)=1,1,0)))</f>
        <v>0</v>
      </c>
      <c r="AA24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7" s="106"/>
      <c r="AC2487" s="51"/>
      <c r="AD2487" s="106" t="s">
        <v>15</v>
      </c>
      <c r="AE2487" s="38" t="s">
        <v>361</v>
      </c>
    </row>
    <row r="2488" spans="1:31" ht="18" customHeight="1" x14ac:dyDescent="0.25">
      <c r="A24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8" s="79">
        <v>4</v>
      </c>
      <c r="C2488" s="23">
        <v>44557</v>
      </c>
      <c r="D2488" s="67">
        <f>IF(COUNTIF($G$2:$G2488,$G2488)=1,1,0)</f>
        <v>0</v>
      </c>
      <c r="E2488" s="67" t="str">
        <f>IFERROR(VLOOKUP(База_КР_КК[[#This Row],[ИД штатной должности (S)]],'уровень защищенности'!$B$7:$F$1095,5,0),"не защищена")</f>
        <v>средний</v>
      </c>
      <c r="F2488" s="68">
        <v>500585</v>
      </c>
      <c r="G2488" s="74" t="s">
        <v>2758</v>
      </c>
      <c r="H2488" s="181">
        <f>INDEX('Списки данных'!$D$2:$D$1048576,MATCH(База_КР_КК[[#This Row],[Структурное подразделение]],'Списки данных'!$C$2:$C$1048576,0))</f>
        <v>33</v>
      </c>
      <c r="I2488" s="80" t="s">
        <v>144</v>
      </c>
      <c r="J2488" s="80" t="s">
        <v>224</v>
      </c>
      <c r="K2488" s="80" t="s">
        <v>236</v>
      </c>
      <c r="L2488" s="30" t="s">
        <v>191</v>
      </c>
      <c r="M2488" s="68">
        <v>7</v>
      </c>
      <c r="N2488" s="181" t="str">
        <f t="shared" si="39"/>
        <v>нет</v>
      </c>
      <c r="O2488" s="23"/>
      <c r="P2488" s="23"/>
      <c r="Q2488" s="106"/>
      <c r="R2488" s="37">
        <v>585</v>
      </c>
      <c r="S2488" s="39" t="s">
        <v>994</v>
      </c>
      <c r="T2488" s="37">
        <v>1644</v>
      </c>
      <c r="U2488" s="39" t="s">
        <v>1429</v>
      </c>
      <c r="V2488" s="69" t="s">
        <v>272</v>
      </c>
      <c r="W2488" s="89" t="s">
        <v>144</v>
      </c>
      <c r="X2488" s="106" t="s">
        <v>297</v>
      </c>
      <c r="Y2488" s="107" t="s">
        <v>12</v>
      </c>
      <c r="Z2488" s="67">
        <f>IF(База_КР_КК[[#This Row],[Таб.номер резервиста]]="-","-",IF(OR(База_КР_КК[[#This Row],[Уровень КК]]=2,База_КР_КК[[#This Row],[Уровень КК]]=3),IF(COUNTIFS($U$2:$U2488,$U2488,$F$2:$F2488,$F2488)=1,1,0),IF(COUNTIFS($U$2:$U2488,$U2488,$L$2:$L2488,$L2488)=1,1,0)))</f>
        <v>0</v>
      </c>
      <c r="AA24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8" s="106"/>
      <c r="AC2488" s="51"/>
      <c r="AD2488" s="106" t="s">
        <v>15</v>
      </c>
      <c r="AE2488" s="38" t="s">
        <v>361</v>
      </c>
    </row>
    <row r="2489" spans="1:31" ht="18" customHeight="1" x14ac:dyDescent="0.25">
      <c r="A24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89" s="79">
        <v>4</v>
      </c>
      <c r="C2489" s="23">
        <v>44550</v>
      </c>
      <c r="D2489" s="67">
        <f>IF(COUNTIF($G$2:$G2489,$G2489)=1,1,0)</f>
        <v>1</v>
      </c>
      <c r="E2489" s="67" t="str">
        <f>IFERROR(VLOOKUP(База_КР_КК[[#This Row],[ИД штатной должности (S)]],'уровень защищенности'!$B$7:$F$1095,5,0),"не защищена")</f>
        <v>низкий</v>
      </c>
      <c r="F2489" s="68">
        <v>500746</v>
      </c>
      <c r="G2489" s="74" t="s">
        <v>2759</v>
      </c>
      <c r="H2489" s="181">
        <f>INDEX('Списки данных'!$D$2:$D$1048576,MATCH(База_КР_КК[[#This Row],[Структурное подразделение]],'Списки данных'!$C$2:$C$1048576,0))</f>
        <v>94</v>
      </c>
      <c r="I2489" s="80" t="s">
        <v>145</v>
      </c>
      <c r="J2489" s="80" t="s">
        <v>233</v>
      </c>
      <c r="K2489" s="80" t="s">
        <v>234</v>
      </c>
      <c r="L2489" s="30" t="s">
        <v>192</v>
      </c>
      <c r="M2489" s="68">
        <v>6</v>
      </c>
      <c r="N2489" s="181" t="str">
        <f t="shared" si="39"/>
        <v>нет</v>
      </c>
      <c r="O2489" s="23"/>
      <c r="P2489" s="23"/>
      <c r="Q2489" s="106"/>
      <c r="R2489" s="37">
        <v>586</v>
      </c>
      <c r="S2489" s="39" t="s">
        <v>995</v>
      </c>
      <c r="T2489" s="37">
        <v>1678</v>
      </c>
      <c r="U2489" s="39" t="s">
        <v>1700</v>
      </c>
      <c r="V2489" s="69" t="s">
        <v>272</v>
      </c>
      <c r="W2489" s="89" t="s">
        <v>145</v>
      </c>
      <c r="X2489" s="106" t="s">
        <v>296</v>
      </c>
      <c r="Y2489" s="107" t="s">
        <v>12</v>
      </c>
      <c r="Z2489" s="67">
        <f>IF(База_КР_КК[[#This Row],[Таб.номер резервиста]]="-","-",IF(OR(База_КР_КК[[#This Row],[Уровень КК]]=2,База_КР_КК[[#This Row],[Уровень КК]]=3),IF(COUNTIFS($U$2:$U2489,$U2489,$F$2:$F2489,$F2489)=1,1,0),IF(COUNTIFS($U$2:$U2489,$U2489,$L$2:$L2489,$L2489)=1,1,0)))</f>
        <v>1</v>
      </c>
      <c r="AA24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89" s="106"/>
      <c r="AC2489" s="51"/>
      <c r="AD2489" s="106" t="s">
        <v>15</v>
      </c>
      <c r="AE2489" s="38" t="s">
        <v>367</v>
      </c>
    </row>
    <row r="2490" spans="1:31" ht="18" customHeight="1" x14ac:dyDescent="0.25">
      <c r="A24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90" s="79">
        <v>3</v>
      </c>
      <c r="C2490" s="23">
        <v>43825</v>
      </c>
      <c r="D2490" s="67">
        <f>IF(COUNTIF($G$2:$G2490,$G2490)=1,1,0)</f>
        <v>1</v>
      </c>
      <c r="E2490" s="67" t="str">
        <f>IFERROR(VLOOKUP(База_КР_КК[[#This Row],[ИД штатной должности (S)]],'уровень защищенности'!$B$7:$F$1095,5,0),"не защищена")</f>
        <v>средний</v>
      </c>
      <c r="F2490" s="68">
        <v>500587</v>
      </c>
      <c r="G2490" s="74" t="s">
        <v>2760</v>
      </c>
      <c r="H2490" s="181">
        <f>INDEX('Списки данных'!$D$2:$D$1048576,MATCH(База_КР_КК[[#This Row],[Структурное подразделение]],'Списки данных'!$C$2:$C$1048576,0))</f>
        <v>358</v>
      </c>
      <c r="I2490" s="80" t="s">
        <v>151</v>
      </c>
      <c r="J2490" s="80" t="s">
        <v>237</v>
      </c>
      <c r="K2490" s="80" t="s">
        <v>21</v>
      </c>
      <c r="L2490" s="30" t="s">
        <v>179</v>
      </c>
      <c r="M2490" s="68">
        <v>5</v>
      </c>
      <c r="N2490" s="181" t="str">
        <f t="shared" si="39"/>
        <v>нет</v>
      </c>
      <c r="O2490" s="23"/>
      <c r="P2490" s="23"/>
      <c r="Q2490" s="106"/>
      <c r="R2490" s="37">
        <v>587</v>
      </c>
      <c r="S2490" s="39" t="s">
        <v>996</v>
      </c>
      <c r="T2490" s="37">
        <v>1679</v>
      </c>
      <c r="U2490" s="38" t="s">
        <v>1989</v>
      </c>
      <c r="V2490" s="89" t="s">
        <v>187</v>
      </c>
      <c r="W2490" s="89" t="s">
        <v>290</v>
      </c>
      <c r="X2490" s="106" t="s">
        <v>296</v>
      </c>
      <c r="Y2490" s="107" t="s">
        <v>12</v>
      </c>
      <c r="Z2490" s="67">
        <f>IF(База_КР_КК[[#This Row],[Таб.номер резервиста]]="-","-",IF(OR(База_КР_КК[[#This Row],[Уровень КК]]=2,База_КР_КК[[#This Row],[Уровень КК]]=3),IF(COUNTIFS($U$2:$U2490,$U2490,$F$2:$F2490,$F2490)=1,1,0),IF(COUNTIFS($U$2:$U2490,$U2490,$L$2:$L2490,$L2490)=1,1,0)))</f>
        <v>1</v>
      </c>
      <c r="AA24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0" s="106"/>
      <c r="AC2490" s="51"/>
      <c r="AD2490" s="106" t="s">
        <v>13</v>
      </c>
      <c r="AE2490" s="38" t="s">
        <v>352</v>
      </c>
    </row>
    <row r="2491" spans="1:31" ht="18" customHeight="1" x14ac:dyDescent="0.25">
      <c r="A24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91" s="79">
        <v>3</v>
      </c>
      <c r="C2491" s="23">
        <v>44894</v>
      </c>
      <c r="D2491" s="67">
        <f>IF(COUNTIF($G$2:$G2491,$G2491)=1,1,0)</f>
        <v>0</v>
      </c>
      <c r="E2491" s="67" t="str">
        <f>IFERROR(VLOOKUP(База_КР_КК[[#This Row],[ИД штатной должности (S)]],'уровень защищенности'!$B$7:$F$1095,5,0),"не защищена")</f>
        <v>средний</v>
      </c>
      <c r="F2491" s="68">
        <v>500587</v>
      </c>
      <c r="G2491" s="74" t="s">
        <v>2760</v>
      </c>
      <c r="H2491" s="181">
        <f>INDEX('Списки данных'!$D$2:$D$1048576,MATCH(База_КР_КК[[#This Row],[Структурное подразделение]],'Списки данных'!$C$2:$C$1048576,0))</f>
        <v>358</v>
      </c>
      <c r="I2491" s="80" t="s">
        <v>151</v>
      </c>
      <c r="J2491" s="80" t="s">
        <v>237</v>
      </c>
      <c r="K2491" s="80" t="s">
        <v>21</v>
      </c>
      <c r="L2491" s="30" t="s">
        <v>179</v>
      </c>
      <c r="M2491" s="68">
        <v>5</v>
      </c>
      <c r="N2491" s="181" t="str">
        <f t="shared" si="39"/>
        <v>нет</v>
      </c>
      <c r="O2491" s="23"/>
      <c r="P2491" s="23"/>
      <c r="Q2491" s="106"/>
      <c r="R2491" s="37">
        <v>587</v>
      </c>
      <c r="S2491" s="39" t="s">
        <v>996</v>
      </c>
      <c r="T2491" s="37">
        <v>1680</v>
      </c>
      <c r="U2491" s="38" t="s">
        <v>1990</v>
      </c>
      <c r="V2491" s="69" t="s">
        <v>187</v>
      </c>
      <c r="W2491" s="89" t="s">
        <v>166</v>
      </c>
      <c r="X2491" s="106" t="s">
        <v>296</v>
      </c>
      <c r="Y2491" s="107" t="s">
        <v>12</v>
      </c>
      <c r="Z2491" s="67">
        <f>IF(База_КР_КК[[#This Row],[Таб.номер резервиста]]="-","-",IF(OR(База_КР_КК[[#This Row],[Уровень КК]]=2,База_КР_КК[[#This Row],[Уровень КК]]=3),IF(COUNTIFS($U$2:$U2491,$U2491,$F$2:$F2491,$F2491)=1,1,0),IF(COUNTIFS($U$2:$U2491,$U2491,$L$2:$L2491,$L2491)=1,1,0)))</f>
        <v>1</v>
      </c>
      <c r="AA24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1" s="106"/>
      <c r="AC2491" s="51"/>
      <c r="AD2491" s="106" t="s">
        <v>15</v>
      </c>
      <c r="AE2491" s="38" t="s">
        <v>352</v>
      </c>
    </row>
    <row r="2492" spans="1:31" ht="18" customHeight="1" x14ac:dyDescent="0.25">
      <c r="A24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92" s="79">
        <v>3</v>
      </c>
      <c r="C2492" s="23">
        <v>44894</v>
      </c>
      <c r="D2492" s="67">
        <f>IF(COUNTIF($G$2:$G2492,$G2492)=1,1,0)</f>
        <v>0</v>
      </c>
      <c r="E2492" s="67" t="str">
        <f>IFERROR(VLOOKUP(База_КР_КК[[#This Row],[ИД штатной должности (S)]],'уровень защищенности'!$B$7:$F$1095,5,0),"не защищена")</f>
        <v>средний</v>
      </c>
      <c r="F2492" s="68">
        <v>500587</v>
      </c>
      <c r="G2492" s="74" t="s">
        <v>2760</v>
      </c>
      <c r="H2492" s="181">
        <f>INDEX('Списки данных'!$D$2:$D$1048576,MATCH(База_КР_КК[[#This Row],[Структурное подразделение]],'Списки данных'!$C$2:$C$1048576,0))</f>
        <v>358</v>
      </c>
      <c r="I2492" s="80" t="s">
        <v>151</v>
      </c>
      <c r="J2492" s="80" t="s">
        <v>237</v>
      </c>
      <c r="K2492" s="80" t="s">
        <v>21</v>
      </c>
      <c r="L2492" s="30" t="s">
        <v>179</v>
      </c>
      <c r="M2492" s="68">
        <v>5</v>
      </c>
      <c r="N2492" s="181" t="str">
        <f t="shared" si="39"/>
        <v>нет</v>
      </c>
      <c r="O2492" s="23"/>
      <c r="P2492" s="23"/>
      <c r="Q2492" s="106"/>
      <c r="R2492" s="37">
        <v>587</v>
      </c>
      <c r="S2492" s="39" t="s">
        <v>996</v>
      </c>
      <c r="T2492" s="37">
        <v>1681</v>
      </c>
      <c r="U2492" s="38" t="s">
        <v>1817</v>
      </c>
      <c r="V2492" s="69" t="s">
        <v>189</v>
      </c>
      <c r="W2492" s="89" t="s">
        <v>151</v>
      </c>
      <c r="X2492" s="106" t="s">
        <v>297</v>
      </c>
      <c r="Y2492" s="107" t="s">
        <v>12</v>
      </c>
      <c r="Z2492" s="67">
        <f>IF(База_КР_КК[[#This Row],[Таб.номер резервиста]]="-","-",IF(OR(База_КР_КК[[#This Row],[Уровень КК]]=2,База_КР_КК[[#This Row],[Уровень КК]]=3),IF(COUNTIFS($U$2:$U2492,$U2492,$F$2:$F2492,$F2492)=1,1,0),IF(COUNTIFS($U$2:$U2492,$U2492,$L$2:$L2492,$L2492)=1,1,0)))</f>
        <v>1</v>
      </c>
      <c r="AA24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2" s="106"/>
      <c r="AC2492" s="51"/>
      <c r="AD2492" s="106" t="s">
        <v>15</v>
      </c>
      <c r="AE2492" s="38" t="s">
        <v>352</v>
      </c>
    </row>
    <row r="2493" spans="1:31" ht="18" customHeight="1" x14ac:dyDescent="0.25">
      <c r="A24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93" s="79">
        <v>4</v>
      </c>
      <c r="C2493" s="23">
        <v>44550</v>
      </c>
      <c r="D2493" s="67">
        <f>IF(COUNTIF($G$2:$G2493,$G2493)=1,1,0)</f>
        <v>1</v>
      </c>
      <c r="E2493" s="67" t="str">
        <f>IFERROR(VLOOKUP(База_КР_КК[[#This Row],[ИД штатной должности (S)]],'уровень защищенности'!$B$7:$F$1095,5,0),"не защищена")</f>
        <v>средний</v>
      </c>
      <c r="F2493" s="68">
        <v>500744</v>
      </c>
      <c r="G2493" s="74" t="s">
        <v>2761</v>
      </c>
      <c r="H2493" s="181">
        <f>INDEX('Списки данных'!$D$2:$D$1048576,MATCH(База_КР_КК[[#This Row],[Структурное подразделение]],'Списки данных'!$C$2:$C$1048576,0))</f>
        <v>94</v>
      </c>
      <c r="I2493" s="80" t="s">
        <v>145</v>
      </c>
      <c r="J2493" s="80" t="s">
        <v>233</v>
      </c>
      <c r="K2493" s="80" t="s">
        <v>234</v>
      </c>
      <c r="L2493" s="30" t="s">
        <v>193</v>
      </c>
      <c r="M2493" s="68">
        <v>7</v>
      </c>
      <c r="N2493" s="181" t="str">
        <f t="shared" si="39"/>
        <v>да</v>
      </c>
      <c r="O2493" s="23">
        <v>44949</v>
      </c>
      <c r="P2493" s="23">
        <v>44949</v>
      </c>
      <c r="Q2493" s="106" t="s">
        <v>66</v>
      </c>
      <c r="R2493" s="37">
        <v>588</v>
      </c>
      <c r="S2493" s="39" t="s">
        <v>997</v>
      </c>
      <c r="T2493" s="37">
        <v>1599</v>
      </c>
      <c r="U2493" s="39" t="s">
        <v>1818</v>
      </c>
      <c r="V2493" s="69" t="s">
        <v>16</v>
      </c>
      <c r="W2493" s="89" t="s">
        <v>145</v>
      </c>
      <c r="X2493" s="106" t="s">
        <v>297</v>
      </c>
      <c r="Y2493" s="107" t="s">
        <v>12</v>
      </c>
      <c r="Z2493" s="67">
        <f>IF(База_КР_КК[[#This Row],[Таб.номер резервиста]]="-","-",IF(OR(База_КР_КК[[#This Row],[Уровень КК]]=2,База_КР_КК[[#This Row],[Уровень КК]]=3),IF(COUNTIFS($U$2:$U2493,$U2493,$F$2:$F2493,$F2493)=1,1,0),IF(COUNTIFS($U$2:$U2493,$U2493,$L$2:$L2493,$L2493)=1,1,0)))</f>
        <v>0</v>
      </c>
      <c r="AA24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3" s="106"/>
      <c r="AC2493" s="51"/>
      <c r="AD2493" s="106" t="s">
        <v>15</v>
      </c>
      <c r="AE2493" s="38" t="s">
        <v>367</v>
      </c>
    </row>
    <row r="2494" spans="1:31" ht="18" customHeight="1" x14ac:dyDescent="0.25">
      <c r="A24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494" s="79">
        <v>4</v>
      </c>
      <c r="C2494" s="23">
        <v>44550</v>
      </c>
      <c r="D2494" s="67">
        <f>IF(COUNTIF($G$2:$G2494,$G2494)=1,1,0)</f>
        <v>0</v>
      </c>
      <c r="E2494" s="67" t="str">
        <f>IFERROR(VLOOKUP(База_КР_КК[[#This Row],[ИД штатной должности (S)]],'уровень защищенности'!$B$7:$F$1095,5,0),"не защищена")</f>
        <v>средний</v>
      </c>
      <c r="F2494" s="68">
        <v>500744</v>
      </c>
      <c r="G2494" s="74" t="s">
        <v>2761</v>
      </c>
      <c r="H2494" s="181">
        <f>INDEX('Списки данных'!$D$2:$D$1048576,MATCH(База_КР_КК[[#This Row],[Структурное подразделение]],'Списки данных'!$C$2:$C$1048576,0))</f>
        <v>94</v>
      </c>
      <c r="I2494" s="80" t="s">
        <v>145</v>
      </c>
      <c r="J2494" s="80" t="s">
        <v>233</v>
      </c>
      <c r="K2494" s="80" t="s">
        <v>234</v>
      </c>
      <c r="L2494" s="30" t="s">
        <v>193</v>
      </c>
      <c r="M2494" s="68">
        <v>7</v>
      </c>
      <c r="N2494" s="181" t="str">
        <f t="shared" si="39"/>
        <v>да</v>
      </c>
      <c r="O2494" s="23">
        <v>44949</v>
      </c>
      <c r="P2494" s="23">
        <v>44949</v>
      </c>
      <c r="Q2494" s="106" t="s">
        <v>66</v>
      </c>
      <c r="R2494" s="37">
        <v>588</v>
      </c>
      <c r="S2494" s="39" t="s">
        <v>997</v>
      </c>
      <c r="T2494" s="37">
        <v>588</v>
      </c>
      <c r="U2494" s="39" t="s">
        <v>997</v>
      </c>
      <c r="V2494" s="69" t="s">
        <v>193</v>
      </c>
      <c r="W2494" s="89" t="s">
        <v>145</v>
      </c>
      <c r="X2494" s="106" t="s">
        <v>295</v>
      </c>
      <c r="Y2494" s="107" t="s">
        <v>14</v>
      </c>
      <c r="Z2494" s="67">
        <f>IF(База_КР_КК[[#This Row],[Таб.номер резервиста]]="-","-",IF(OR(База_КР_КК[[#This Row],[Уровень КК]]=2,База_КР_КК[[#This Row],[Уровень КК]]=3),IF(COUNTIFS($U$2:$U2494,$U2494,$F$2:$F2494,$F2494)=1,1,0),IF(COUNTIFS($U$2:$U2494,$U2494,$L$2:$L2494,$L2494)=1,1,0)))</f>
        <v>0</v>
      </c>
      <c r="AA24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494" s="106" t="s">
        <v>24</v>
      </c>
      <c r="AC2494" s="51">
        <v>44949</v>
      </c>
      <c r="AD2494" s="106" t="s">
        <v>15</v>
      </c>
      <c r="AE2494" s="38" t="s">
        <v>367</v>
      </c>
    </row>
    <row r="2495" spans="1:31" ht="18" customHeight="1" x14ac:dyDescent="0.25">
      <c r="A24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95" s="79">
        <v>3</v>
      </c>
      <c r="C2495" s="23">
        <v>44894</v>
      </c>
      <c r="D2495" s="67">
        <f>IF(COUNTIF($G$2:$G2495,$G2495)=1,1,0)</f>
        <v>1</v>
      </c>
      <c r="E2495" s="67" t="str">
        <f>IFERROR(VLOOKUP(База_КР_КК[[#This Row],[ИД штатной должности (S)]],'уровень защищенности'!$B$7:$F$1095,5,0),"не защищена")</f>
        <v>низкий</v>
      </c>
      <c r="F2495" s="68">
        <v>500595</v>
      </c>
      <c r="G2495" s="74" t="s">
        <v>2762</v>
      </c>
      <c r="H2495" s="181">
        <f>INDEX('Списки данных'!$D$2:$D$1048576,MATCH(База_КР_КК[[#This Row],[Структурное подразделение]],'Списки данных'!$C$2:$C$1048576,0))</f>
        <v>380</v>
      </c>
      <c r="I2495" s="80" t="s">
        <v>152</v>
      </c>
      <c r="J2495" s="80" t="s">
        <v>238</v>
      </c>
      <c r="K2495" s="80" t="s">
        <v>21</v>
      </c>
      <c r="L2495" s="30" t="s">
        <v>179</v>
      </c>
      <c r="M2495" s="68">
        <v>4</v>
      </c>
      <c r="N2495" s="181" t="str">
        <f t="shared" ref="N2495:N2558" si="40">IF(ISBLANK(O2495),"нет","да")</f>
        <v>нет</v>
      </c>
      <c r="O2495" s="23"/>
      <c r="P2495" s="23"/>
      <c r="Q2495" s="106"/>
      <c r="R2495" s="37">
        <v>589</v>
      </c>
      <c r="S2495" s="39" t="s">
        <v>998</v>
      </c>
      <c r="T2495" s="37">
        <v>591</v>
      </c>
      <c r="U2495" s="38" t="s">
        <v>1000</v>
      </c>
      <c r="V2495" s="69" t="s">
        <v>187</v>
      </c>
      <c r="W2495" s="89" t="s">
        <v>152</v>
      </c>
      <c r="X2495" s="106" t="s">
        <v>296</v>
      </c>
      <c r="Y2495" s="107" t="s">
        <v>12</v>
      </c>
      <c r="Z2495" s="67">
        <f>IF(База_КР_КК[[#This Row],[Таб.номер резервиста]]="-","-",IF(OR(База_КР_КК[[#This Row],[Уровень КК]]=2,База_КР_КК[[#This Row],[Уровень КК]]=3),IF(COUNTIFS($U$2:$U2495,$U2495,$F$2:$F2495,$F2495)=1,1,0),IF(COUNTIFS($U$2:$U2495,$U2495,$L$2:$L2495,$L2495)=1,1,0)))</f>
        <v>1</v>
      </c>
      <c r="AA24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5" s="106"/>
      <c r="AC2495" s="51"/>
      <c r="AD2495" s="106" t="s">
        <v>15</v>
      </c>
      <c r="AE2495" s="38" t="s">
        <v>352</v>
      </c>
    </row>
    <row r="2496" spans="1:31" ht="18" customHeight="1" x14ac:dyDescent="0.25">
      <c r="A24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96" s="79">
        <v>3</v>
      </c>
      <c r="C2496" s="23">
        <v>44894</v>
      </c>
      <c r="D2496" s="67">
        <f>IF(COUNTIF($G$2:$G2496,$G2496)=1,1,0)</f>
        <v>0</v>
      </c>
      <c r="E2496" s="67" t="str">
        <f>IFERROR(VLOOKUP(База_КР_КК[[#This Row],[ИД штатной должности (S)]],'уровень защищенности'!$B$7:$F$1095,5,0),"не защищена")</f>
        <v>низкий</v>
      </c>
      <c r="F2496" s="68">
        <v>500595</v>
      </c>
      <c r="G2496" s="74" t="s">
        <v>2762</v>
      </c>
      <c r="H2496" s="181">
        <f>INDEX('Списки данных'!$D$2:$D$1048576,MATCH(База_КР_КК[[#This Row],[Структурное подразделение]],'Списки данных'!$C$2:$C$1048576,0))</f>
        <v>380</v>
      </c>
      <c r="I2496" s="80" t="s">
        <v>152</v>
      </c>
      <c r="J2496" s="80" t="s">
        <v>238</v>
      </c>
      <c r="K2496" s="80" t="s">
        <v>21</v>
      </c>
      <c r="L2496" s="30" t="s">
        <v>179</v>
      </c>
      <c r="M2496" s="68">
        <v>4</v>
      </c>
      <c r="N2496" s="181" t="str">
        <f t="shared" si="40"/>
        <v>нет</v>
      </c>
      <c r="O2496" s="23"/>
      <c r="P2496" s="23"/>
      <c r="Q2496" s="106"/>
      <c r="R2496" s="37">
        <v>589</v>
      </c>
      <c r="S2496" s="39" t="s">
        <v>998</v>
      </c>
      <c r="T2496" s="37">
        <v>590</v>
      </c>
      <c r="U2496" s="38" t="s">
        <v>999</v>
      </c>
      <c r="V2496" s="69" t="s">
        <v>187</v>
      </c>
      <c r="W2496" s="89" t="s">
        <v>152</v>
      </c>
      <c r="X2496" s="106" t="s">
        <v>296</v>
      </c>
      <c r="Y2496" s="107" t="s">
        <v>12</v>
      </c>
      <c r="Z2496" s="67">
        <f>IF(База_КР_КК[[#This Row],[Таб.номер резервиста]]="-","-",IF(OR(База_КР_КК[[#This Row],[Уровень КК]]=2,База_КР_КК[[#This Row],[Уровень КК]]=3),IF(COUNTIFS($U$2:$U2496,$U2496,$F$2:$F2496,$F2496)=1,1,0),IF(COUNTIFS($U$2:$U2496,$U2496,$L$2:$L2496,$L2496)=1,1,0)))</f>
        <v>1</v>
      </c>
      <c r="AA24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6" s="106"/>
      <c r="AC2496" s="51"/>
      <c r="AD2496" s="106" t="s">
        <v>15</v>
      </c>
      <c r="AE2496" s="38" t="s">
        <v>352</v>
      </c>
    </row>
    <row r="2497" spans="1:31" ht="18" customHeight="1" x14ac:dyDescent="0.25">
      <c r="A24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97" s="79">
        <v>3</v>
      </c>
      <c r="C2497" s="23">
        <v>44733</v>
      </c>
      <c r="D2497" s="67">
        <f>IF(COUNTIF($G$2:$G2497,$G2497)=1,1,0)</f>
        <v>1</v>
      </c>
      <c r="E2497" s="67" t="str">
        <f>IFERROR(VLOOKUP(База_КР_КК[[#This Row],[ИД штатной должности (S)]],'уровень защищенности'!$B$7:$F$1095,5,0),"не защищена")</f>
        <v>низкий</v>
      </c>
      <c r="F2497" s="68">
        <v>500596</v>
      </c>
      <c r="G2497" s="74" t="s">
        <v>2763</v>
      </c>
      <c r="H2497" s="181">
        <f>INDEX('Списки данных'!$D$2:$D$1048576,MATCH(База_КР_КК[[#This Row],[Структурное подразделение]],'Списки данных'!$C$2:$C$1048576,0))</f>
        <v>380</v>
      </c>
      <c r="I2497" s="80" t="s">
        <v>152</v>
      </c>
      <c r="J2497" s="80" t="s">
        <v>238</v>
      </c>
      <c r="K2497" s="80" t="s">
        <v>21</v>
      </c>
      <c r="L2497" s="30" t="s">
        <v>187</v>
      </c>
      <c r="M2497" s="68">
        <v>6</v>
      </c>
      <c r="N2497" s="181" t="str">
        <f t="shared" si="40"/>
        <v>нет</v>
      </c>
      <c r="O2497" s="23"/>
      <c r="P2497" s="23"/>
      <c r="Q2497" s="106"/>
      <c r="R2497" s="37">
        <v>590</v>
      </c>
      <c r="S2497" s="39" t="s">
        <v>999</v>
      </c>
      <c r="T2497" s="37">
        <v>1682</v>
      </c>
      <c r="U2497" s="38" t="s">
        <v>1991</v>
      </c>
      <c r="V2497" s="69" t="s">
        <v>189</v>
      </c>
      <c r="W2497" s="89" t="s">
        <v>152</v>
      </c>
      <c r="X2497" s="106" t="s">
        <v>296</v>
      </c>
      <c r="Y2497" s="107" t="s">
        <v>12</v>
      </c>
      <c r="Z2497" s="67">
        <f>IF(База_КР_КК[[#This Row],[Таб.номер резервиста]]="-","-",IF(OR(База_КР_КК[[#This Row],[Уровень КК]]=2,База_КР_КК[[#This Row],[Уровень КК]]=3),IF(COUNTIFS($U$2:$U2497,$U2497,$F$2:$F2497,$F2497)=1,1,0),IF(COUNTIFS($U$2:$U2497,$U2497,$L$2:$L2497,$L2497)=1,1,0)))</f>
        <v>1</v>
      </c>
      <c r="AA24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7" s="106"/>
      <c r="AC2497" s="51"/>
      <c r="AD2497" s="106" t="s">
        <v>15</v>
      </c>
      <c r="AE2497" s="38" t="s">
        <v>364</v>
      </c>
    </row>
    <row r="2498" spans="1:31" ht="18" customHeight="1" x14ac:dyDescent="0.25">
      <c r="A24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98" s="79">
        <v>3</v>
      </c>
      <c r="C2498" s="23">
        <v>44733</v>
      </c>
      <c r="D2498" s="67">
        <f>IF(COUNTIF($G$2:$G2498,$G2498)=1,1,0)</f>
        <v>1</v>
      </c>
      <c r="E2498" s="67" t="str">
        <f>IFERROR(VLOOKUP(База_КР_КК[[#This Row],[ИД штатной должности (S)]],'уровень защищенности'!$B$7:$F$1095,5,0),"не защищена")</f>
        <v>средний</v>
      </c>
      <c r="F2498" s="68">
        <v>500597</v>
      </c>
      <c r="G2498" s="74" t="s">
        <v>2764</v>
      </c>
      <c r="H2498" s="181">
        <f>INDEX('Списки данных'!$D$2:$D$1048576,MATCH(База_КР_КК[[#This Row],[Структурное подразделение]],'Списки данных'!$C$2:$C$1048576,0))</f>
        <v>380</v>
      </c>
      <c r="I2498" s="80" t="s">
        <v>152</v>
      </c>
      <c r="J2498" s="80" t="s">
        <v>238</v>
      </c>
      <c r="K2498" s="80" t="s">
        <v>21</v>
      </c>
      <c r="L2498" s="30" t="s">
        <v>187</v>
      </c>
      <c r="M2498" s="68">
        <v>6</v>
      </c>
      <c r="N2498" s="181" t="str">
        <f t="shared" si="40"/>
        <v>нет</v>
      </c>
      <c r="O2498" s="23"/>
      <c r="P2498" s="23"/>
      <c r="Q2498" s="106"/>
      <c r="R2498" s="37">
        <v>591</v>
      </c>
      <c r="S2498" s="39" t="s">
        <v>1000</v>
      </c>
      <c r="T2498" s="37">
        <v>1683</v>
      </c>
      <c r="U2498" s="38" t="s">
        <v>1992</v>
      </c>
      <c r="V2498" s="69" t="s">
        <v>16</v>
      </c>
      <c r="W2498" s="89" t="s">
        <v>152</v>
      </c>
      <c r="X2498" s="106" t="s">
        <v>297</v>
      </c>
      <c r="Y2498" s="107" t="s">
        <v>12</v>
      </c>
      <c r="Z2498" s="67">
        <f>IF(База_КР_КК[[#This Row],[Таб.номер резервиста]]="-","-",IF(OR(База_КР_КК[[#This Row],[Уровень КК]]=2,База_КР_КК[[#This Row],[Уровень КК]]=3),IF(COUNTIFS($U$2:$U2498,$U2498,$F$2:$F2498,$F2498)=1,1,0),IF(COUNTIFS($U$2:$U2498,$U2498,$L$2:$L2498,$L2498)=1,1,0)))</f>
        <v>1</v>
      </c>
      <c r="AA24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8" s="106"/>
      <c r="AC2498" s="51"/>
      <c r="AD2498" s="106" t="s">
        <v>15</v>
      </c>
      <c r="AE2498" s="38" t="s">
        <v>364</v>
      </c>
    </row>
    <row r="2499" spans="1:31" ht="18" customHeight="1" x14ac:dyDescent="0.25">
      <c r="A24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499" s="79">
        <v>3</v>
      </c>
      <c r="C2499" s="23">
        <v>44733</v>
      </c>
      <c r="D2499" s="67">
        <f>IF(COUNTIF($G$2:$G2499,$G2499)=1,1,0)</f>
        <v>0</v>
      </c>
      <c r="E2499" s="67" t="str">
        <f>IFERROR(VLOOKUP(База_КР_КК[[#This Row],[ИД штатной должности (S)]],'уровень защищенности'!$B$7:$F$1095,5,0),"не защищена")</f>
        <v>средний</v>
      </c>
      <c r="F2499" s="68">
        <v>500597</v>
      </c>
      <c r="G2499" s="74" t="s">
        <v>2764</v>
      </c>
      <c r="H2499" s="181">
        <f>INDEX('Списки данных'!$D$2:$D$1048576,MATCH(База_КР_КК[[#This Row],[Структурное подразделение]],'Списки данных'!$C$2:$C$1048576,0))</f>
        <v>380</v>
      </c>
      <c r="I2499" s="80" t="s">
        <v>152</v>
      </c>
      <c r="J2499" s="80" t="s">
        <v>238</v>
      </c>
      <c r="K2499" s="80" t="s">
        <v>21</v>
      </c>
      <c r="L2499" s="30" t="s">
        <v>187</v>
      </c>
      <c r="M2499" s="68">
        <v>6</v>
      </c>
      <c r="N2499" s="181" t="str">
        <f t="shared" si="40"/>
        <v>нет</v>
      </c>
      <c r="O2499" s="23"/>
      <c r="P2499" s="23"/>
      <c r="Q2499" s="106"/>
      <c r="R2499" s="37">
        <v>591</v>
      </c>
      <c r="S2499" s="39" t="s">
        <v>1000</v>
      </c>
      <c r="T2499" s="37">
        <v>1684</v>
      </c>
      <c r="U2499" s="38" t="s">
        <v>1910</v>
      </c>
      <c r="V2499" s="69" t="s">
        <v>16</v>
      </c>
      <c r="W2499" s="89" t="s">
        <v>152</v>
      </c>
      <c r="X2499" s="106" t="s">
        <v>296</v>
      </c>
      <c r="Y2499" s="107" t="s">
        <v>12</v>
      </c>
      <c r="Z2499" s="67">
        <f>IF(База_КР_КК[[#This Row],[Таб.номер резервиста]]="-","-",IF(OR(База_КР_КК[[#This Row],[Уровень КК]]=2,База_КР_КК[[#This Row],[Уровень КК]]=3),IF(COUNTIFS($U$2:$U2499,$U2499,$F$2:$F2499,$F2499)=1,1,0),IF(COUNTIFS($U$2:$U2499,$U2499,$L$2:$L2499,$L2499)=1,1,0)))</f>
        <v>1</v>
      </c>
      <c r="AA24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499" s="106"/>
      <c r="AC2499" s="51"/>
      <c r="AD2499" s="106" t="s">
        <v>15</v>
      </c>
      <c r="AE2499" s="38" t="s">
        <v>364</v>
      </c>
    </row>
    <row r="2500" spans="1:31" ht="18" customHeight="1" x14ac:dyDescent="0.25">
      <c r="A25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00" s="79">
        <v>3</v>
      </c>
      <c r="C2500" s="23">
        <v>44112</v>
      </c>
      <c r="D2500" s="67">
        <f>IF(COUNTIF($G$2:$G2500,$G2500)=1,1,0)</f>
        <v>1</v>
      </c>
      <c r="E2500" s="67" t="str">
        <f>IFERROR(VLOOKUP(База_КР_КК[[#This Row],[ИД штатной должности (S)]],'уровень защищенности'!$B$7:$F$1095,5,0),"не защищена")</f>
        <v>средний</v>
      </c>
      <c r="F2500" s="68">
        <v>500594</v>
      </c>
      <c r="G2500" s="74" t="s">
        <v>2765</v>
      </c>
      <c r="H2500" s="181">
        <f>INDEX('Списки данных'!$D$2:$D$1048576,MATCH(База_КР_КК[[#This Row],[Структурное подразделение]],'Списки данных'!$C$2:$C$1048576,0))</f>
        <v>379</v>
      </c>
      <c r="I2500" s="80" t="s">
        <v>139</v>
      </c>
      <c r="J2500" s="80" t="s">
        <v>239</v>
      </c>
      <c r="K2500" s="80" t="s">
        <v>21</v>
      </c>
      <c r="L2500" s="30" t="s">
        <v>183</v>
      </c>
      <c r="M2500" s="68">
        <v>5</v>
      </c>
      <c r="N2500" s="181" t="str">
        <f t="shared" si="40"/>
        <v>нет</v>
      </c>
      <c r="O2500" s="23"/>
      <c r="P2500" s="23"/>
      <c r="Q2500" s="106"/>
      <c r="R2500" s="37">
        <v>592</v>
      </c>
      <c r="S2500" s="39" t="s">
        <v>1001</v>
      </c>
      <c r="T2500" s="37">
        <v>1685</v>
      </c>
      <c r="U2500" s="38" t="s">
        <v>1582</v>
      </c>
      <c r="V2500" s="69" t="s">
        <v>198</v>
      </c>
      <c r="W2500" s="89" t="s">
        <v>139</v>
      </c>
      <c r="X2500" s="106" t="s">
        <v>297</v>
      </c>
      <c r="Y2500" s="107" t="s">
        <v>12</v>
      </c>
      <c r="Z2500" s="67">
        <f>IF(База_КР_КК[[#This Row],[Таб.номер резервиста]]="-","-",IF(OR(База_КР_КК[[#This Row],[Уровень КК]]=2,База_КР_КК[[#This Row],[Уровень КК]]=3),IF(COUNTIFS($U$2:$U2500,$U2500,$F$2:$F2500,$F2500)=1,1,0),IF(COUNTIFS($U$2:$U2500,$U2500,$L$2:$L2500,$L2500)=1,1,0)))</f>
        <v>1</v>
      </c>
      <c r="AA25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0" s="106"/>
      <c r="AC2500" s="51"/>
      <c r="AD2500" s="106" t="s">
        <v>17</v>
      </c>
      <c r="AE2500" s="38" t="s">
        <v>359</v>
      </c>
    </row>
    <row r="2501" spans="1:31" ht="18" customHeight="1" x14ac:dyDescent="0.25">
      <c r="A25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01" s="79">
        <v>3</v>
      </c>
      <c r="C2501" s="23">
        <v>44781</v>
      </c>
      <c r="D2501" s="67">
        <f>IF(COUNTIF($G$2:$G2501,$G2501)=1,1,0)</f>
        <v>0</v>
      </c>
      <c r="E2501" s="67" t="str">
        <f>IFERROR(VLOOKUP(База_КР_КК[[#This Row],[ИД штатной должности (S)]],'уровень защищенности'!$B$7:$F$1095,5,0),"не защищена")</f>
        <v>средний</v>
      </c>
      <c r="F2501" s="68">
        <v>500594</v>
      </c>
      <c r="G2501" s="74" t="s">
        <v>2765</v>
      </c>
      <c r="H2501" s="181">
        <f>INDEX('Списки данных'!$D$2:$D$1048576,MATCH(База_КР_КК[[#This Row],[Структурное подразделение]],'Списки данных'!$C$2:$C$1048576,0))</f>
        <v>379</v>
      </c>
      <c r="I2501" s="80" t="s">
        <v>139</v>
      </c>
      <c r="J2501" s="80" t="s">
        <v>239</v>
      </c>
      <c r="K2501" s="80" t="s">
        <v>21</v>
      </c>
      <c r="L2501" s="30" t="s">
        <v>183</v>
      </c>
      <c r="M2501" s="68">
        <v>5</v>
      </c>
      <c r="N2501" s="181" t="str">
        <f t="shared" si="40"/>
        <v>нет</v>
      </c>
      <c r="O2501" s="23"/>
      <c r="P2501" s="23"/>
      <c r="Q2501" s="106"/>
      <c r="R2501" s="37">
        <v>592</v>
      </c>
      <c r="S2501" s="39" t="s">
        <v>1001</v>
      </c>
      <c r="T2501" s="37">
        <v>1686</v>
      </c>
      <c r="U2501" s="38" t="s">
        <v>1881</v>
      </c>
      <c r="V2501" s="69" t="s">
        <v>198</v>
      </c>
      <c r="W2501" s="89" t="s">
        <v>139</v>
      </c>
      <c r="X2501" s="106" t="s">
        <v>296</v>
      </c>
      <c r="Y2501" s="107" t="s">
        <v>12</v>
      </c>
      <c r="Z2501" s="67">
        <f>IF(База_КР_КК[[#This Row],[Таб.номер резервиста]]="-","-",IF(OR(База_КР_КК[[#This Row],[Уровень КК]]=2,База_КР_КК[[#This Row],[Уровень КК]]=3),IF(COUNTIFS($U$2:$U2501,$U2501,$F$2:$F2501,$F2501)=1,1,0),IF(COUNTIFS($U$2:$U2501,$U2501,$L$2:$L2501,$L2501)=1,1,0)))</f>
        <v>1</v>
      </c>
      <c r="AA25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1" s="106"/>
      <c r="AC2501" s="51"/>
      <c r="AD2501" s="106" t="s">
        <v>15</v>
      </c>
      <c r="AE2501" s="38" t="s">
        <v>359</v>
      </c>
    </row>
    <row r="2502" spans="1:31" ht="18" customHeight="1" x14ac:dyDescent="0.25">
      <c r="A25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02" s="79">
        <v>4</v>
      </c>
      <c r="C2502" s="23">
        <v>44557</v>
      </c>
      <c r="D2502" s="67">
        <f>IF(COUNTIF($G$2:$G2502,$G2502)=1,1,0)</f>
        <v>1</v>
      </c>
      <c r="E2502" s="67" t="str">
        <f>IFERROR(VLOOKUP(База_КР_КК[[#This Row],[ИД штатной должности (S)]],'уровень защищенности'!$B$7:$F$1095,5,0),"не защищена")</f>
        <v>низкий</v>
      </c>
      <c r="F2502" s="68">
        <v>500553</v>
      </c>
      <c r="G2502" s="74" t="s">
        <v>2766</v>
      </c>
      <c r="H2502" s="181">
        <f>INDEX('Списки данных'!$D$2:$D$1048576,MATCH(База_КР_КК[[#This Row],[Структурное подразделение]],'Списки данных'!$C$2:$C$1048576,0))</f>
        <v>33</v>
      </c>
      <c r="I2502" s="80" t="s">
        <v>144</v>
      </c>
      <c r="J2502" s="80" t="s">
        <v>224</v>
      </c>
      <c r="K2502" s="80" t="s">
        <v>21</v>
      </c>
      <c r="L2502" s="30" t="s">
        <v>191</v>
      </c>
      <c r="M2502" s="68">
        <v>7</v>
      </c>
      <c r="N2502" s="181" t="str">
        <f t="shared" si="40"/>
        <v>нет</v>
      </c>
      <c r="O2502" s="23"/>
      <c r="P2502" s="23"/>
      <c r="Q2502" s="106"/>
      <c r="R2502" s="37">
        <v>593</v>
      </c>
      <c r="S2502" s="39" t="s">
        <v>1002</v>
      </c>
      <c r="T2502" s="37">
        <v>1640</v>
      </c>
      <c r="U2502" s="39" t="s">
        <v>1960</v>
      </c>
      <c r="V2502" s="69" t="s">
        <v>272</v>
      </c>
      <c r="W2502" s="89" t="s">
        <v>144</v>
      </c>
      <c r="X2502" s="106" t="s">
        <v>296</v>
      </c>
      <c r="Y2502" s="107" t="s">
        <v>12</v>
      </c>
      <c r="Z2502" s="67">
        <f>IF(База_КР_КК[[#This Row],[Таб.номер резервиста]]="-","-",IF(OR(База_КР_КК[[#This Row],[Уровень КК]]=2,База_КР_КК[[#This Row],[Уровень КК]]=3),IF(COUNTIFS($U$2:$U2502,$U2502,$F$2:$F2502,$F2502)=1,1,0),IF(COUNTIFS($U$2:$U2502,$U2502,$L$2:$L2502,$L2502)=1,1,0)))</f>
        <v>0</v>
      </c>
      <c r="AA25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2" s="106"/>
      <c r="AC2502" s="51"/>
      <c r="AD2502" s="106" t="s">
        <v>15</v>
      </c>
      <c r="AE2502" s="38" t="s">
        <v>361</v>
      </c>
    </row>
    <row r="2503" spans="1:31" ht="18" customHeight="1" x14ac:dyDescent="0.25">
      <c r="A25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03" s="79">
        <v>4</v>
      </c>
      <c r="C2503" s="23">
        <v>44557</v>
      </c>
      <c r="D2503" s="67">
        <f>IF(COUNTIF($G$2:$G2503,$G2503)=1,1,0)</f>
        <v>0</v>
      </c>
      <c r="E2503" s="67" t="str">
        <f>IFERROR(VLOOKUP(База_КР_КК[[#This Row],[ИД штатной должности (S)]],'уровень защищенности'!$B$7:$F$1095,5,0),"не защищена")</f>
        <v>низкий</v>
      </c>
      <c r="F2503" s="68">
        <v>500553</v>
      </c>
      <c r="G2503" s="74" t="s">
        <v>2766</v>
      </c>
      <c r="H2503" s="181">
        <f>INDEX('Списки данных'!$D$2:$D$1048576,MATCH(База_КР_КК[[#This Row],[Структурное подразделение]],'Списки данных'!$C$2:$C$1048576,0))</f>
        <v>33</v>
      </c>
      <c r="I2503" s="80" t="s">
        <v>144</v>
      </c>
      <c r="J2503" s="80" t="s">
        <v>224</v>
      </c>
      <c r="K2503" s="80" t="s">
        <v>21</v>
      </c>
      <c r="L2503" s="30" t="s">
        <v>191</v>
      </c>
      <c r="M2503" s="68">
        <v>7</v>
      </c>
      <c r="N2503" s="181" t="str">
        <f t="shared" si="40"/>
        <v>нет</v>
      </c>
      <c r="O2503" s="23"/>
      <c r="P2503" s="23"/>
      <c r="Q2503" s="106"/>
      <c r="R2503" s="37">
        <v>593</v>
      </c>
      <c r="S2503" s="39" t="s">
        <v>1002</v>
      </c>
      <c r="T2503" s="37">
        <v>1641</v>
      </c>
      <c r="U2503" s="39" t="s">
        <v>1961</v>
      </c>
      <c r="V2503" s="69" t="s">
        <v>272</v>
      </c>
      <c r="W2503" s="89" t="s">
        <v>144</v>
      </c>
      <c r="X2503" s="106" t="s">
        <v>296</v>
      </c>
      <c r="Y2503" s="107" t="s">
        <v>12</v>
      </c>
      <c r="Z2503" s="67">
        <f>IF(База_КР_КК[[#This Row],[Таб.номер резервиста]]="-","-",IF(OR(База_КР_КК[[#This Row],[Уровень КК]]=2,База_КР_КК[[#This Row],[Уровень КК]]=3),IF(COUNTIFS($U$2:$U2503,$U2503,$F$2:$F2503,$F2503)=1,1,0),IF(COUNTIFS($U$2:$U2503,$U2503,$L$2:$L2503,$L2503)=1,1,0)))</f>
        <v>0</v>
      </c>
      <c r="AA25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3" s="106"/>
      <c r="AC2503" s="51"/>
      <c r="AD2503" s="106" t="s">
        <v>15</v>
      </c>
      <c r="AE2503" s="38" t="s">
        <v>361</v>
      </c>
    </row>
    <row r="2504" spans="1:31" ht="18" customHeight="1" x14ac:dyDescent="0.25">
      <c r="A25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04" s="79">
        <v>4</v>
      </c>
      <c r="C2504" s="23">
        <v>44922</v>
      </c>
      <c r="D2504" s="67">
        <f>IF(COUNTIF($G$2:$G2504,$G2504)=1,1,0)</f>
        <v>0</v>
      </c>
      <c r="E2504" s="67" t="str">
        <f>IFERROR(VLOOKUP(База_КР_КК[[#This Row],[ИД штатной должности (S)]],'уровень защищенности'!$B$7:$F$1095,5,0),"не защищена")</f>
        <v>низкий</v>
      </c>
      <c r="F2504" s="68">
        <v>500553</v>
      </c>
      <c r="G2504" s="74" t="s">
        <v>2766</v>
      </c>
      <c r="H2504" s="181">
        <f>INDEX('Списки данных'!$D$2:$D$1048576,MATCH(База_КР_КК[[#This Row],[Структурное подразделение]],'Списки данных'!$C$2:$C$1048576,0))</f>
        <v>33</v>
      </c>
      <c r="I2504" s="80" t="s">
        <v>144</v>
      </c>
      <c r="J2504" s="80" t="s">
        <v>224</v>
      </c>
      <c r="K2504" s="80" t="s">
        <v>21</v>
      </c>
      <c r="L2504" s="30" t="s">
        <v>191</v>
      </c>
      <c r="M2504" s="68">
        <v>7</v>
      </c>
      <c r="N2504" s="181" t="str">
        <f t="shared" si="40"/>
        <v>нет</v>
      </c>
      <c r="O2504" s="23"/>
      <c r="P2504" s="23"/>
      <c r="Q2504" s="106"/>
      <c r="R2504" s="37">
        <v>593</v>
      </c>
      <c r="S2504" s="39" t="s">
        <v>1002</v>
      </c>
      <c r="T2504" s="37">
        <v>1642</v>
      </c>
      <c r="U2504" s="38" t="s">
        <v>1962</v>
      </c>
      <c r="V2504" s="69" t="s">
        <v>272</v>
      </c>
      <c r="W2504" s="89" t="s">
        <v>144</v>
      </c>
      <c r="X2504" s="106" t="s">
        <v>296</v>
      </c>
      <c r="Y2504" s="107" t="s">
        <v>12</v>
      </c>
      <c r="Z2504" s="67">
        <f>IF(База_КР_КК[[#This Row],[Таб.номер резервиста]]="-","-",IF(OR(База_КР_КК[[#This Row],[Уровень КК]]=2,База_КР_КК[[#This Row],[Уровень КК]]=3),IF(COUNTIFS($U$2:$U2504,$U2504,$F$2:$F2504,$F2504)=1,1,0),IF(COUNTIFS($U$2:$U2504,$U2504,$L$2:$L2504,$L2504)=1,1,0)))</f>
        <v>0</v>
      </c>
      <c r="AA25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4" s="106"/>
      <c r="AC2504" s="51"/>
      <c r="AD2504" s="106" t="s">
        <v>15</v>
      </c>
      <c r="AE2504" s="38" t="s">
        <v>362</v>
      </c>
    </row>
    <row r="2505" spans="1:31" ht="18" customHeight="1" x14ac:dyDescent="0.25">
      <c r="A25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05" s="79">
        <v>4</v>
      </c>
      <c r="C2505" s="23">
        <v>44557</v>
      </c>
      <c r="D2505" s="67">
        <f>IF(COUNTIF($G$2:$G2505,$G2505)=1,1,0)</f>
        <v>0</v>
      </c>
      <c r="E2505" s="67" t="str">
        <f>IFERROR(VLOOKUP(База_КР_КК[[#This Row],[ИД штатной должности (S)]],'уровень защищенности'!$B$7:$F$1095,5,0),"не защищена")</f>
        <v>низкий</v>
      </c>
      <c r="F2505" s="68">
        <v>500553</v>
      </c>
      <c r="G2505" s="74" t="s">
        <v>2766</v>
      </c>
      <c r="H2505" s="181">
        <f>INDEX('Списки данных'!$D$2:$D$1048576,MATCH(База_КР_КК[[#This Row],[Структурное подразделение]],'Списки данных'!$C$2:$C$1048576,0))</f>
        <v>33</v>
      </c>
      <c r="I2505" s="80" t="s">
        <v>144</v>
      </c>
      <c r="J2505" s="80" t="s">
        <v>224</v>
      </c>
      <c r="K2505" s="80" t="s">
        <v>21</v>
      </c>
      <c r="L2505" s="30" t="s">
        <v>191</v>
      </c>
      <c r="M2505" s="68">
        <v>7</v>
      </c>
      <c r="N2505" s="181" t="str">
        <f t="shared" si="40"/>
        <v>нет</v>
      </c>
      <c r="O2505" s="23"/>
      <c r="P2505" s="23"/>
      <c r="Q2505" s="106"/>
      <c r="R2505" s="37">
        <v>593</v>
      </c>
      <c r="S2505" s="39" t="s">
        <v>1002</v>
      </c>
      <c r="T2505" s="37">
        <v>1643</v>
      </c>
      <c r="U2505" s="39" t="s">
        <v>1963</v>
      </c>
      <c r="V2505" s="69" t="s">
        <v>272</v>
      </c>
      <c r="W2505" s="89" t="s">
        <v>144</v>
      </c>
      <c r="X2505" s="106" t="s">
        <v>295</v>
      </c>
      <c r="Y2505" s="107" t="s">
        <v>14</v>
      </c>
      <c r="Z2505" s="67">
        <f>IF(База_КР_КК[[#This Row],[Таб.номер резервиста]]="-","-",IF(OR(База_КР_КК[[#This Row],[Уровень КК]]=2,База_КР_КК[[#This Row],[Уровень КК]]=3),IF(COUNTIFS($U$2:$U2505,$U2505,$F$2:$F2505,$F2505)=1,1,0),IF(COUNTIFS($U$2:$U2505,$U2505,$L$2:$L2505,$L2505)=1,1,0)))</f>
        <v>0</v>
      </c>
      <c r="AA25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5" s="106" t="s">
        <v>24</v>
      </c>
      <c r="AC2505" s="51">
        <v>44960</v>
      </c>
      <c r="AD2505" s="106" t="s">
        <v>17</v>
      </c>
      <c r="AE2505" s="38" t="s">
        <v>362</v>
      </c>
    </row>
    <row r="2506" spans="1:31" ht="18" customHeight="1" x14ac:dyDescent="0.25">
      <c r="A25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06" s="79">
        <v>4</v>
      </c>
      <c r="C2506" s="23">
        <v>44922</v>
      </c>
      <c r="D2506" s="67">
        <f>IF(COUNTIF($G$2:$G2506,$G2506)=1,1,0)</f>
        <v>0</v>
      </c>
      <c r="E2506" s="67" t="str">
        <f>IFERROR(VLOOKUP(База_КР_КК[[#This Row],[ИД штатной должности (S)]],'уровень защищенности'!$B$7:$F$1095,5,0),"не защищена")</f>
        <v>низкий</v>
      </c>
      <c r="F2506" s="68">
        <v>500553</v>
      </c>
      <c r="G2506" s="74" t="s">
        <v>2766</v>
      </c>
      <c r="H2506" s="181">
        <f>INDEX('Списки данных'!$D$2:$D$1048576,MATCH(База_КР_КК[[#This Row],[Структурное подразделение]],'Списки данных'!$C$2:$C$1048576,0))</f>
        <v>33</v>
      </c>
      <c r="I2506" s="80" t="s">
        <v>144</v>
      </c>
      <c r="J2506" s="80" t="s">
        <v>224</v>
      </c>
      <c r="K2506" s="80" t="s">
        <v>21</v>
      </c>
      <c r="L2506" s="30" t="s">
        <v>191</v>
      </c>
      <c r="M2506" s="68">
        <v>7</v>
      </c>
      <c r="N2506" s="181" t="str">
        <f t="shared" si="40"/>
        <v>нет</v>
      </c>
      <c r="O2506" s="23"/>
      <c r="P2506" s="23"/>
      <c r="Q2506" s="106"/>
      <c r="R2506" s="37">
        <v>593</v>
      </c>
      <c r="S2506" s="39" t="s">
        <v>1002</v>
      </c>
      <c r="T2506" s="37">
        <v>621</v>
      </c>
      <c r="U2506" s="38" t="s">
        <v>1030</v>
      </c>
      <c r="V2506" s="69" t="s">
        <v>192</v>
      </c>
      <c r="W2506" s="89" t="s">
        <v>144</v>
      </c>
      <c r="X2506" s="106" t="s">
        <v>295</v>
      </c>
      <c r="Y2506" s="107" t="s">
        <v>14</v>
      </c>
      <c r="Z2506" s="67">
        <f>IF(База_КР_КК[[#This Row],[Таб.номер резервиста]]="-","-",IF(OR(База_КР_КК[[#This Row],[Уровень КК]]=2,База_КР_КК[[#This Row],[Уровень КК]]=3),IF(COUNTIFS($U$2:$U2506,$U2506,$F$2:$F2506,$F2506)=1,1,0),IF(COUNTIFS($U$2:$U2506,$U2506,$L$2:$L2506,$L2506)=1,1,0)))</f>
        <v>0</v>
      </c>
      <c r="AA25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6" s="106" t="s">
        <v>24</v>
      </c>
      <c r="AC2506" s="51">
        <v>44960</v>
      </c>
      <c r="AD2506" s="106" t="s">
        <v>15</v>
      </c>
      <c r="AE2506" s="38" t="s">
        <v>362</v>
      </c>
    </row>
    <row r="2507" spans="1:31" ht="18" customHeight="1" x14ac:dyDescent="0.25">
      <c r="A25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07" s="79">
        <v>4</v>
      </c>
      <c r="C2507" s="23">
        <v>44557</v>
      </c>
      <c r="D2507" s="67">
        <f>IF(COUNTIF($G$2:$G2507,$G2507)=1,1,0)</f>
        <v>1</v>
      </c>
      <c r="E2507" s="67" t="str">
        <f>IFERROR(VLOOKUP(База_КР_КК[[#This Row],[ИД штатной должности (S)]],'уровень защищенности'!$B$7:$F$1095,5,0),"не защищена")</f>
        <v>низкий</v>
      </c>
      <c r="F2507" s="68">
        <v>500553</v>
      </c>
      <c r="G2507" s="74" t="s">
        <v>2767</v>
      </c>
      <c r="H2507" s="181">
        <f>INDEX('Списки данных'!$D$2:$D$1048576,MATCH(База_КР_КК[[#This Row],[Структурное подразделение]],'Списки данных'!$C$2:$C$1048576,0))</f>
        <v>33</v>
      </c>
      <c r="I2507" s="80" t="s">
        <v>144</v>
      </c>
      <c r="J2507" s="80" t="s">
        <v>224</v>
      </c>
      <c r="K2507" s="80" t="s">
        <v>21</v>
      </c>
      <c r="L2507" s="30" t="s">
        <v>191</v>
      </c>
      <c r="M2507" s="68">
        <v>7</v>
      </c>
      <c r="N2507" s="181" t="str">
        <f t="shared" si="40"/>
        <v>нет</v>
      </c>
      <c r="O2507" s="23"/>
      <c r="P2507" s="23"/>
      <c r="Q2507" s="106"/>
      <c r="R2507" s="37">
        <v>594</v>
      </c>
      <c r="S2507" s="39" t="s">
        <v>1003</v>
      </c>
      <c r="T2507" s="37">
        <v>1640</v>
      </c>
      <c r="U2507" s="39" t="s">
        <v>1960</v>
      </c>
      <c r="V2507" s="69" t="s">
        <v>272</v>
      </c>
      <c r="W2507" s="89" t="s">
        <v>144</v>
      </c>
      <c r="X2507" s="106" t="s">
        <v>296</v>
      </c>
      <c r="Y2507" s="107" t="s">
        <v>12</v>
      </c>
      <c r="Z2507" s="67">
        <f>IF(База_КР_КК[[#This Row],[Таб.номер резервиста]]="-","-",IF(OR(База_КР_КК[[#This Row],[Уровень КК]]=2,База_КР_КК[[#This Row],[Уровень КК]]=3),IF(COUNTIFS($U$2:$U2507,$U2507,$F$2:$F2507,$F2507)=1,1,0),IF(COUNTIFS($U$2:$U2507,$U2507,$L$2:$L2507,$L2507)=1,1,0)))</f>
        <v>0</v>
      </c>
      <c r="AA25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7" s="106"/>
      <c r="AC2507" s="51"/>
      <c r="AD2507" s="106" t="s">
        <v>15</v>
      </c>
      <c r="AE2507" s="38" t="s">
        <v>361</v>
      </c>
    </row>
    <row r="2508" spans="1:31" ht="18" customHeight="1" x14ac:dyDescent="0.25">
      <c r="A25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08" s="79">
        <v>4</v>
      </c>
      <c r="C2508" s="23">
        <v>44557</v>
      </c>
      <c r="D2508" s="67">
        <f>IF(COUNTIF($G$2:$G2508,$G2508)=1,1,0)</f>
        <v>0</v>
      </c>
      <c r="E2508" s="67" t="str">
        <f>IFERROR(VLOOKUP(База_КР_КК[[#This Row],[ИД штатной должности (S)]],'уровень защищенности'!$B$7:$F$1095,5,0),"не защищена")</f>
        <v>низкий</v>
      </c>
      <c r="F2508" s="68">
        <v>500553</v>
      </c>
      <c r="G2508" s="74" t="s">
        <v>2767</v>
      </c>
      <c r="H2508" s="181">
        <f>INDEX('Списки данных'!$D$2:$D$1048576,MATCH(База_КР_КК[[#This Row],[Структурное подразделение]],'Списки данных'!$C$2:$C$1048576,0))</f>
        <v>33</v>
      </c>
      <c r="I2508" s="80" t="s">
        <v>144</v>
      </c>
      <c r="J2508" s="80" t="s">
        <v>224</v>
      </c>
      <c r="K2508" s="80" t="s">
        <v>21</v>
      </c>
      <c r="L2508" s="30" t="s">
        <v>191</v>
      </c>
      <c r="M2508" s="68">
        <v>7</v>
      </c>
      <c r="N2508" s="181" t="str">
        <f t="shared" si="40"/>
        <v>нет</v>
      </c>
      <c r="O2508" s="23"/>
      <c r="P2508" s="23"/>
      <c r="Q2508" s="106"/>
      <c r="R2508" s="37">
        <v>594</v>
      </c>
      <c r="S2508" s="39" t="s">
        <v>1003</v>
      </c>
      <c r="T2508" s="37">
        <v>1641</v>
      </c>
      <c r="U2508" s="39" t="s">
        <v>1961</v>
      </c>
      <c r="V2508" s="69" t="s">
        <v>272</v>
      </c>
      <c r="W2508" s="89" t="s">
        <v>144</v>
      </c>
      <c r="X2508" s="106" t="s">
        <v>296</v>
      </c>
      <c r="Y2508" s="107" t="s">
        <v>12</v>
      </c>
      <c r="Z2508" s="67">
        <f>IF(База_КР_КК[[#This Row],[Таб.номер резервиста]]="-","-",IF(OR(База_КР_КК[[#This Row],[Уровень КК]]=2,База_КР_КК[[#This Row],[Уровень КК]]=3),IF(COUNTIFS($U$2:$U2508,$U2508,$F$2:$F2508,$F2508)=1,1,0),IF(COUNTIFS($U$2:$U2508,$U2508,$L$2:$L2508,$L2508)=1,1,0)))</f>
        <v>0</v>
      </c>
      <c r="AA25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8" s="106"/>
      <c r="AC2508" s="51"/>
      <c r="AD2508" s="106" t="s">
        <v>15</v>
      </c>
      <c r="AE2508" s="38" t="s">
        <v>361</v>
      </c>
    </row>
    <row r="2509" spans="1:31" ht="18" customHeight="1" x14ac:dyDescent="0.25">
      <c r="A25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09" s="79">
        <v>4</v>
      </c>
      <c r="C2509" s="23">
        <v>44922</v>
      </c>
      <c r="D2509" s="67">
        <f>IF(COUNTIF($G$2:$G2509,$G2509)=1,1,0)</f>
        <v>0</v>
      </c>
      <c r="E2509" s="67" t="str">
        <f>IFERROR(VLOOKUP(База_КР_КК[[#This Row],[ИД штатной должности (S)]],'уровень защищенности'!$B$7:$F$1095,5,0),"не защищена")</f>
        <v>низкий</v>
      </c>
      <c r="F2509" s="68">
        <v>500553</v>
      </c>
      <c r="G2509" s="74" t="s">
        <v>2767</v>
      </c>
      <c r="H2509" s="181">
        <f>INDEX('Списки данных'!$D$2:$D$1048576,MATCH(База_КР_КК[[#This Row],[Структурное подразделение]],'Списки данных'!$C$2:$C$1048576,0))</f>
        <v>33</v>
      </c>
      <c r="I2509" s="80" t="s">
        <v>144</v>
      </c>
      <c r="J2509" s="80" t="s">
        <v>224</v>
      </c>
      <c r="K2509" s="80" t="s">
        <v>21</v>
      </c>
      <c r="L2509" s="30" t="s">
        <v>191</v>
      </c>
      <c r="M2509" s="68">
        <v>7</v>
      </c>
      <c r="N2509" s="181" t="str">
        <f t="shared" si="40"/>
        <v>нет</v>
      </c>
      <c r="O2509" s="23"/>
      <c r="P2509" s="23"/>
      <c r="Q2509" s="106"/>
      <c r="R2509" s="37">
        <v>594</v>
      </c>
      <c r="S2509" s="39" t="s">
        <v>1003</v>
      </c>
      <c r="T2509" s="37">
        <v>1642</v>
      </c>
      <c r="U2509" s="38" t="s">
        <v>1962</v>
      </c>
      <c r="V2509" s="69" t="s">
        <v>272</v>
      </c>
      <c r="W2509" s="89" t="s">
        <v>144</v>
      </c>
      <c r="X2509" s="106" t="s">
        <v>296</v>
      </c>
      <c r="Y2509" s="107" t="s">
        <v>12</v>
      </c>
      <c r="Z2509" s="67">
        <f>IF(База_КР_КК[[#This Row],[Таб.номер резервиста]]="-","-",IF(OR(База_КР_КК[[#This Row],[Уровень КК]]=2,База_КР_КК[[#This Row],[Уровень КК]]=3),IF(COUNTIFS($U$2:$U2509,$U2509,$F$2:$F2509,$F2509)=1,1,0),IF(COUNTIFS($U$2:$U2509,$U2509,$L$2:$L2509,$L2509)=1,1,0)))</f>
        <v>0</v>
      </c>
      <c r="AA25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09" s="106"/>
      <c r="AC2509" s="51"/>
      <c r="AD2509" s="106" t="s">
        <v>15</v>
      </c>
      <c r="AE2509" s="38" t="s">
        <v>362</v>
      </c>
    </row>
    <row r="2510" spans="1:31" ht="18" customHeight="1" x14ac:dyDescent="0.25">
      <c r="A25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0" s="79">
        <v>4</v>
      </c>
      <c r="C2510" s="23">
        <v>44557</v>
      </c>
      <c r="D2510" s="67">
        <f>IF(COUNTIF($G$2:$G2510,$G2510)=1,1,0)</f>
        <v>0</v>
      </c>
      <c r="E2510" s="67" t="str">
        <f>IFERROR(VLOOKUP(База_КР_КК[[#This Row],[ИД штатной должности (S)]],'уровень защищенности'!$B$7:$F$1095,5,0),"не защищена")</f>
        <v>низкий</v>
      </c>
      <c r="F2510" s="68">
        <v>500553</v>
      </c>
      <c r="G2510" s="74" t="s">
        <v>2767</v>
      </c>
      <c r="H2510" s="181">
        <f>INDEX('Списки данных'!$D$2:$D$1048576,MATCH(База_КР_КК[[#This Row],[Структурное подразделение]],'Списки данных'!$C$2:$C$1048576,0))</f>
        <v>33</v>
      </c>
      <c r="I2510" s="80" t="s">
        <v>144</v>
      </c>
      <c r="J2510" s="80" t="s">
        <v>224</v>
      </c>
      <c r="K2510" s="80" t="s">
        <v>21</v>
      </c>
      <c r="L2510" s="30" t="s">
        <v>191</v>
      </c>
      <c r="M2510" s="68">
        <v>7</v>
      </c>
      <c r="N2510" s="181" t="str">
        <f t="shared" si="40"/>
        <v>нет</v>
      </c>
      <c r="O2510" s="23"/>
      <c r="P2510" s="23"/>
      <c r="Q2510" s="106"/>
      <c r="R2510" s="37">
        <v>594</v>
      </c>
      <c r="S2510" s="39" t="s">
        <v>1003</v>
      </c>
      <c r="T2510" s="37">
        <v>1643</v>
      </c>
      <c r="U2510" s="39" t="s">
        <v>1963</v>
      </c>
      <c r="V2510" s="69" t="s">
        <v>272</v>
      </c>
      <c r="W2510" s="89" t="s">
        <v>144</v>
      </c>
      <c r="X2510" s="106" t="s">
        <v>295</v>
      </c>
      <c r="Y2510" s="107" t="s">
        <v>14</v>
      </c>
      <c r="Z2510" s="67">
        <f>IF(База_КР_КК[[#This Row],[Таб.номер резервиста]]="-","-",IF(OR(База_КР_КК[[#This Row],[Уровень КК]]=2,База_КР_КК[[#This Row],[Уровень КК]]=3),IF(COUNTIFS($U$2:$U2510,$U2510,$F$2:$F2510,$F2510)=1,1,0),IF(COUNTIFS($U$2:$U2510,$U2510,$L$2:$L2510,$L2510)=1,1,0)))</f>
        <v>0</v>
      </c>
      <c r="AA25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0" s="106" t="s">
        <v>24</v>
      </c>
      <c r="AC2510" s="51">
        <v>44960</v>
      </c>
      <c r="AD2510" s="106" t="s">
        <v>17</v>
      </c>
      <c r="AE2510" s="38" t="s">
        <v>362</v>
      </c>
    </row>
    <row r="2511" spans="1:31" ht="18" customHeight="1" x14ac:dyDescent="0.25">
      <c r="A25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1" s="79">
        <v>4</v>
      </c>
      <c r="C2511" s="23">
        <v>44922</v>
      </c>
      <c r="D2511" s="67">
        <f>IF(COUNTIF($G$2:$G2511,$G2511)=1,1,0)</f>
        <v>0</v>
      </c>
      <c r="E2511" s="67" t="str">
        <f>IFERROR(VLOOKUP(База_КР_КК[[#This Row],[ИД штатной должности (S)]],'уровень защищенности'!$B$7:$F$1095,5,0),"не защищена")</f>
        <v>низкий</v>
      </c>
      <c r="F2511" s="68">
        <v>500553</v>
      </c>
      <c r="G2511" s="74" t="s">
        <v>2767</v>
      </c>
      <c r="H2511" s="181">
        <f>INDEX('Списки данных'!$D$2:$D$1048576,MATCH(База_КР_КК[[#This Row],[Структурное подразделение]],'Списки данных'!$C$2:$C$1048576,0))</f>
        <v>33</v>
      </c>
      <c r="I2511" s="80" t="s">
        <v>144</v>
      </c>
      <c r="J2511" s="80" t="s">
        <v>224</v>
      </c>
      <c r="K2511" s="80" t="s">
        <v>21</v>
      </c>
      <c r="L2511" s="30" t="s">
        <v>191</v>
      </c>
      <c r="M2511" s="68">
        <v>7</v>
      </c>
      <c r="N2511" s="181" t="str">
        <f t="shared" si="40"/>
        <v>нет</v>
      </c>
      <c r="O2511" s="23"/>
      <c r="P2511" s="23"/>
      <c r="Q2511" s="106"/>
      <c r="R2511" s="37">
        <v>594</v>
      </c>
      <c r="S2511" s="39" t="s">
        <v>1003</v>
      </c>
      <c r="T2511" s="37">
        <v>621</v>
      </c>
      <c r="U2511" s="38" t="s">
        <v>1030</v>
      </c>
      <c r="V2511" s="69" t="s">
        <v>192</v>
      </c>
      <c r="W2511" s="89" t="s">
        <v>144</v>
      </c>
      <c r="X2511" s="106" t="s">
        <v>295</v>
      </c>
      <c r="Y2511" s="107" t="s">
        <v>14</v>
      </c>
      <c r="Z2511" s="67">
        <f>IF(База_КР_КК[[#This Row],[Таб.номер резервиста]]="-","-",IF(OR(База_КР_КК[[#This Row],[Уровень КК]]=2,База_КР_КК[[#This Row],[Уровень КК]]=3),IF(COUNTIFS($U$2:$U2511,$U2511,$F$2:$F2511,$F2511)=1,1,0),IF(COUNTIFS($U$2:$U2511,$U2511,$L$2:$L2511,$L2511)=1,1,0)))</f>
        <v>0</v>
      </c>
      <c r="AA25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1" s="106" t="s">
        <v>24</v>
      </c>
      <c r="AC2511" s="51">
        <v>44960</v>
      </c>
      <c r="AD2511" s="106" t="s">
        <v>15</v>
      </c>
      <c r="AE2511" s="38" t="s">
        <v>362</v>
      </c>
    </row>
    <row r="2512" spans="1:31" ht="18" customHeight="1" x14ac:dyDescent="0.25">
      <c r="A25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2" s="79">
        <v>4</v>
      </c>
      <c r="C2512" s="23">
        <v>44557</v>
      </c>
      <c r="D2512" s="67">
        <f>IF(COUNTIF($G$2:$G2512,$G2512)=1,1,0)</f>
        <v>1</v>
      </c>
      <c r="E2512" s="67" t="str">
        <f>IFERROR(VLOOKUP(База_КР_КК[[#This Row],[ИД штатной должности (S)]],'уровень защищенности'!$B$7:$F$1095,5,0),"не защищена")</f>
        <v>низкий</v>
      </c>
      <c r="F2512" s="68">
        <v>500603</v>
      </c>
      <c r="G2512" s="74" t="s">
        <v>2768</v>
      </c>
      <c r="H2512" s="181">
        <f>INDEX('Списки данных'!$D$2:$D$1048576,MATCH(База_КР_КК[[#This Row],[Структурное подразделение]],'Списки данных'!$C$2:$C$1048576,0))</f>
        <v>33</v>
      </c>
      <c r="I2512" s="80" t="s">
        <v>144</v>
      </c>
      <c r="J2512" s="80" t="s">
        <v>224</v>
      </c>
      <c r="K2512" s="80" t="s">
        <v>21</v>
      </c>
      <c r="L2512" s="30" t="s">
        <v>198</v>
      </c>
      <c r="M2512" s="68">
        <v>6</v>
      </c>
      <c r="N2512" s="181" t="str">
        <f t="shared" si="40"/>
        <v>нет</v>
      </c>
      <c r="O2512" s="23"/>
      <c r="P2512" s="23"/>
      <c r="Q2512" s="106"/>
      <c r="R2512" s="37">
        <v>595</v>
      </c>
      <c r="S2512" s="39" t="s">
        <v>1004</v>
      </c>
      <c r="T2512" s="37">
        <v>1687</v>
      </c>
      <c r="U2512" s="39" t="s">
        <v>1993</v>
      </c>
      <c r="V2512" s="69" t="s">
        <v>16</v>
      </c>
      <c r="W2512" s="89" t="s">
        <v>144</v>
      </c>
      <c r="X2512" s="106" t="s">
        <v>296</v>
      </c>
      <c r="Y2512" s="107" t="s">
        <v>12</v>
      </c>
      <c r="Z2512" s="67">
        <f>IF(База_КР_КК[[#This Row],[Таб.номер резервиста]]="-","-",IF(OR(База_КР_КК[[#This Row],[Уровень КК]]=2,База_КР_КК[[#This Row],[Уровень КК]]=3),IF(COUNTIFS($U$2:$U2512,$U2512,$F$2:$F2512,$F2512)=1,1,0),IF(COUNTIFS($U$2:$U2512,$U2512,$L$2:$L2512,$L2512)=1,1,0)))</f>
        <v>1</v>
      </c>
      <c r="AA25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2" s="106"/>
      <c r="AC2512" s="51"/>
      <c r="AD2512" s="106" t="s">
        <v>15</v>
      </c>
      <c r="AE2512" s="38" t="s">
        <v>361</v>
      </c>
    </row>
    <row r="2513" spans="1:31" ht="18" customHeight="1" x14ac:dyDescent="0.25">
      <c r="A25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3" s="79">
        <v>4</v>
      </c>
      <c r="C2513" s="23">
        <v>44557</v>
      </c>
      <c r="D2513" s="67">
        <f>IF(COUNTIF($G$2:$G2513,$G2513)=1,1,0)</f>
        <v>0</v>
      </c>
      <c r="E2513" s="67" t="str">
        <f>IFERROR(VLOOKUP(База_КР_КК[[#This Row],[ИД штатной должности (S)]],'уровень защищенности'!$B$7:$F$1095,5,0),"не защищена")</f>
        <v>низкий</v>
      </c>
      <c r="F2513" s="68">
        <v>500603</v>
      </c>
      <c r="G2513" s="74" t="s">
        <v>2768</v>
      </c>
      <c r="H2513" s="181">
        <f>INDEX('Списки данных'!$D$2:$D$1048576,MATCH(База_КР_КК[[#This Row],[Структурное подразделение]],'Списки данных'!$C$2:$C$1048576,0))</f>
        <v>33</v>
      </c>
      <c r="I2513" s="80" t="s">
        <v>144</v>
      </c>
      <c r="J2513" s="80" t="s">
        <v>224</v>
      </c>
      <c r="K2513" s="80" t="s">
        <v>21</v>
      </c>
      <c r="L2513" s="30" t="s">
        <v>198</v>
      </c>
      <c r="M2513" s="68">
        <v>6</v>
      </c>
      <c r="N2513" s="181" t="str">
        <f t="shared" si="40"/>
        <v>нет</v>
      </c>
      <c r="O2513" s="23"/>
      <c r="P2513" s="23"/>
      <c r="Q2513" s="106"/>
      <c r="R2513" s="37">
        <v>595</v>
      </c>
      <c r="S2513" s="39" t="s">
        <v>1004</v>
      </c>
      <c r="T2513" s="37">
        <v>1688</v>
      </c>
      <c r="U2513" s="39" t="s">
        <v>1994</v>
      </c>
      <c r="V2513" s="69" t="s">
        <v>189</v>
      </c>
      <c r="W2513" s="89" t="s">
        <v>286</v>
      </c>
      <c r="X2513" s="106" t="s">
        <v>296</v>
      </c>
      <c r="Y2513" s="107" t="s">
        <v>18</v>
      </c>
      <c r="Z2513" s="67">
        <f>IF(База_КР_КК[[#This Row],[Таб.номер резервиста]]="-","-",IF(OR(База_КР_КК[[#This Row],[Уровень КК]]=2,База_КР_КК[[#This Row],[Уровень КК]]=3),IF(COUNTIFS($U$2:$U2513,$U2513,$F$2:$F2513,$F2513)=1,1,0),IF(COUNTIFS($U$2:$U2513,$U2513,$L$2:$L2513,$L2513)=1,1,0)))</f>
        <v>1</v>
      </c>
      <c r="AA25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3" s="106" t="s">
        <v>33</v>
      </c>
      <c r="AC2513" s="51">
        <v>44922</v>
      </c>
      <c r="AD2513" s="106" t="s">
        <v>31</v>
      </c>
      <c r="AE2513" s="38" t="s">
        <v>362</v>
      </c>
    </row>
    <row r="2514" spans="1:31" ht="18" customHeight="1" x14ac:dyDescent="0.25">
      <c r="A25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4" s="79">
        <v>4</v>
      </c>
      <c r="C2514" s="23">
        <v>44922</v>
      </c>
      <c r="D2514" s="67">
        <f>IF(COUNTIF($G$2:$G2514,$G2514)=1,1,0)</f>
        <v>1</v>
      </c>
      <c r="E2514" s="67" t="str">
        <f>IFERROR(VLOOKUP(База_КР_КК[[#This Row],[ИД штатной должности (S)]],'уровень защищенности'!$B$7:$F$1095,5,0),"не защищена")</f>
        <v>низкий</v>
      </c>
      <c r="F2514" s="68">
        <v>500604</v>
      </c>
      <c r="G2514" s="74" t="s">
        <v>2769</v>
      </c>
      <c r="H2514" s="181">
        <f>INDEX('Списки данных'!$D$2:$D$1048576,MATCH(База_КР_КК[[#This Row],[Структурное подразделение]],'Списки данных'!$C$2:$C$1048576,0))</f>
        <v>33</v>
      </c>
      <c r="I2514" s="80" t="s">
        <v>144</v>
      </c>
      <c r="J2514" s="80" t="s">
        <v>224</v>
      </c>
      <c r="K2514" s="80" t="s">
        <v>236</v>
      </c>
      <c r="L2514" s="30" t="s">
        <v>192</v>
      </c>
      <c r="M2514" s="68">
        <v>7</v>
      </c>
      <c r="N2514" s="181" t="str">
        <f t="shared" si="40"/>
        <v>да</v>
      </c>
      <c r="O2514" s="23">
        <v>44726</v>
      </c>
      <c r="P2514" s="23">
        <v>44762</v>
      </c>
      <c r="Q2514" s="106" t="s">
        <v>66</v>
      </c>
      <c r="R2514" s="37">
        <v>596</v>
      </c>
      <c r="S2514" s="39" t="s">
        <v>1005</v>
      </c>
      <c r="T2514" s="37">
        <v>1689</v>
      </c>
      <c r="U2514" s="38" t="s">
        <v>1911</v>
      </c>
      <c r="V2514" s="69" t="s">
        <v>272</v>
      </c>
      <c r="W2514" s="89" t="s">
        <v>144</v>
      </c>
      <c r="X2514" s="106" t="s">
        <v>296</v>
      </c>
      <c r="Y2514" s="107" t="s">
        <v>12</v>
      </c>
      <c r="Z2514" s="67">
        <f>IF(База_КР_КК[[#This Row],[Таб.номер резервиста]]="-","-",IF(OR(База_КР_КК[[#This Row],[Уровень КК]]=2,База_КР_КК[[#This Row],[Уровень КК]]=3),IF(COUNTIFS($U$2:$U2514,$U2514,$F$2:$F2514,$F2514)=1,1,0),IF(COUNTIFS($U$2:$U2514,$U2514,$L$2:$L2514,$L2514)=1,1,0)))</f>
        <v>1</v>
      </c>
      <c r="AA25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4" s="106"/>
      <c r="AC2514" s="51"/>
      <c r="AD2514" s="106" t="s">
        <v>15</v>
      </c>
      <c r="AE2514" s="38" t="s">
        <v>362</v>
      </c>
    </row>
    <row r="2515" spans="1:31" ht="18" customHeight="1" x14ac:dyDescent="0.25">
      <c r="A25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5" s="79">
        <v>4</v>
      </c>
      <c r="C2515" s="23">
        <v>44557</v>
      </c>
      <c r="D2515" s="67">
        <f>IF(COUNTIF($G$2:$G2515,$G2515)=1,1,0)</f>
        <v>0</v>
      </c>
      <c r="E2515" s="67" t="str">
        <f>IFERROR(VLOOKUP(База_КР_КК[[#This Row],[ИД штатной должности (S)]],'уровень защищенности'!$B$7:$F$1095,5,0),"не защищена")</f>
        <v>низкий</v>
      </c>
      <c r="F2515" s="68">
        <v>500604</v>
      </c>
      <c r="G2515" s="74" t="s">
        <v>2769</v>
      </c>
      <c r="H2515" s="181">
        <f>INDEX('Списки данных'!$D$2:$D$1048576,MATCH(База_КР_КК[[#This Row],[Структурное подразделение]],'Списки данных'!$C$2:$C$1048576,0))</f>
        <v>33</v>
      </c>
      <c r="I2515" s="80" t="s">
        <v>144</v>
      </c>
      <c r="J2515" s="80" t="s">
        <v>224</v>
      </c>
      <c r="K2515" s="80" t="s">
        <v>236</v>
      </c>
      <c r="L2515" s="30" t="s">
        <v>192</v>
      </c>
      <c r="M2515" s="68">
        <v>7</v>
      </c>
      <c r="N2515" s="181" t="str">
        <f t="shared" si="40"/>
        <v>да</v>
      </c>
      <c r="O2515" s="23">
        <v>44726</v>
      </c>
      <c r="P2515" s="23">
        <v>44762</v>
      </c>
      <c r="Q2515" s="106" t="s">
        <v>66</v>
      </c>
      <c r="R2515" s="37">
        <v>596</v>
      </c>
      <c r="S2515" s="39" t="s">
        <v>1005</v>
      </c>
      <c r="T2515" s="37">
        <v>596</v>
      </c>
      <c r="U2515" s="39" t="s">
        <v>1005</v>
      </c>
      <c r="V2515" s="69" t="s">
        <v>272</v>
      </c>
      <c r="W2515" s="89" t="s">
        <v>144</v>
      </c>
      <c r="X2515" s="106" t="s">
        <v>296</v>
      </c>
      <c r="Y2515" s="107" t="s">
        <v>14</v>
      </c>
      <c r="Z2515" s="67">
        <f>IF(База_КР_КК[[#This Row],[Таб.номер резервиста]]="-","-",IF(OR(База_КР_КК[[#This Row],[Уровень КК]]=2,База_КР_КК[[#This Row],[Уровень КК]]=3),IF(COUNTIFS($U$2:$U2515,$U2515,$F$2:$F2515,$F2515)=1,1,0),IF(COUNTIFS($U$2:$U2515,$U2515,$L$2:$L2515,$L2515)=1,1,0)))</f>
        <v>1</v>
      </c>
      <c r="AA25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515" s="106" t="s">
        <v>24</v>
      </c>
      <c r="AC2515" s="51">
        <v>44762</v>
      </c>
      <c r="AD2515" s="106" t="s">
        <v>31</v>
      </c>
      <c r="AE2515" s="38" t="s">
        <v>362</v>
      </c>
    </row>
    <row r="2516" spans="1:31" ht="18" customHeight="1" x14ac:dyDescent="0.25">
      <c r="A25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6" s="79">
        <v>4</v>
      </c>
      <c r="C2516" s="23">
        <v>44557</v>
      </c>
      <c r="D2516" s="67">
        <f>IF(COUNTIF($G$2:$G2516,$G2516)=1,1,0)</f>
        <v>1</v>
      </c>
      <c r="E2516" s="67" t="str">
        <f>IFERROR(VLOOKUP(База_КР_КК[[#This Row],[ИД штатной должности (S)]],'уровень защищенности'!$B$7:$F$1095,5,0),"не защищена")</f>
        <v>низкий</v>
      </c>
      <c r="F2516" s="68">
        <v>500605</v>
      </c>
      <c r="G2516" s="74" t="s">
        <v>2770</v>
      </c>
      <c r="H2516" s="181">
        <f>INDEX('Списки данных'!$D$2:$D$1048576,MATCH(База_КР_КК[[#This Row],[Структурное подразделение]],'Списки данных'!$C$2:$C$1048576,0))</f>
        <v>33</v>
      </c>
      <c r="I2516" s="80" t="s">
        <v>144</v>
      </c>
      <c r="J2516" s="80" t="s">
        <v>224</v>
      </c>
      <c r="K2516" s="80" t="s">
        <v>236</v>
      </c>
      <c r="L2516" s="30" t="s">
        <v>191</v>
      </c>
      <c r="M2516" s="68">
        <v>7</v>
      </c>
      <c r="N2516" s="181" t="str">
        <f t="shared" si="40"/>
        <v>нет</v>
      </c>
      <c r="O2516" s="23"/>
      <c r="P2516" s="23"/>
      <c r="Q2516" s="107"/>
      <c r="R2516" s="37">
        <v>597</v>
      </c>
      <c r="S2516" s="39" t="s">
        <v>1006</v>
      </c>
      <c r="T2516" s="37">
        <v>1690</v>
      </c>
      <c r="U2516" s="39" t="s">
        <v>1582</v>
      </c>
      <c r="V2516" s="69" t="s">
        <v>272</v>
      </c>
      <c r="W2516" s="89" t="s">
        <v>144</v>
      </c>
      <c r="X2516" s="106" t="s">
        <v>296</v>
      </c>
      <c r="Y2516" s="107" t="s">
        <v>12</v>
      </c>
      <c r="Z2516" s="67">
        <f>IF(База_КР_КК[[#This Row],[Таб.номер резервиста]]="-","-",IF(OR(База_КР_КК[[#This Row],[Уровень КК]]=2,База_КР_КК[[#This Row],[Уровень КК]]=3),IF(COUNTIFS($U$2:$U2516,$U2516,$F$2:$F2516,$F2516)=1,1,0),IF(COUNTIFS($U$2:$U2516,$U2516,$L$2:$L2516,$L2516)=1,1,0)))</f>
        <v>0</v>
      </c>
      <c r="AA25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6" s="106"/>
      <c r="AC2516" s="51"/>
      <c r="AD2516" s="106" t="s">
        <v>15</v>
      </c>
      <c r="AE2516" s="38" t="s">
        <v>361</v>
      </c>
    </row>
    <row r="2517" spans="1:31" ht="18" customHeight="1" x14ac:dyDescent="0.25">
      <c r="A25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7" s="79">
        <v>4</v>
      </c>
      <c r="C2517" s="23">
        <v>44922</v>
      </c>
      <c r="D2517" s="67">
        <f>IF(COUNTIF($G$2:$G2517,$G2517)=1,1,0)</f>
        <v>0</v>
      </c>
      <c r="E2517" s="67" t="str">
        <f>IFERROR(VLOOKUP(База_КР_КК[[#This Row],[ИД штатной должности (S)]],'уровень защищенности'!$B$7:$F$1095,5,0),"не защищена")</f>
        <v>низкий</v>
      </c>
      <c r="F2517" s="68">
        <v>500605</v>
      </c>
      <c r="G2517" s="74" t="s">
        <v>2770</v>
      </c>
      <c r="H2517" s="181">
        <f>INDEX('Списки данных'!$D$2:$D$1048576,MATCH(База_КР_КК[[#This Row],[Структурное подразделение]],'Списки данных'!$C$2:$C$1048576,0))</f>
        <v>33</v>
      </c>
      <c r="I2517" s="80" t="s">
        <v>144</v>
      </c>
      <c r="J2517" s="80" t="s">
        <v>224</v>
      </c>
      <c r="K2517" s="80" t="s">
        <v>236</v>
      </c>
      <c r="L2517" s="30" t="s">
        <v>191</v>
      </c>
      <c r="M2517" s="68">
        <v>7</v>
      </c>
      <c r="N2517" s="181" t="str">
        <f t="shared" si="40"/>
        <v>нет</v>
      </c>
      <c r="O2517" s="23"/>
      <c r="P2517" s="23"/>
      <c r="Q2517" s="107"/>
      <c r="R2517" s="37">
        <v>597</v>
      </c>
      <c r="S2517" s="39" t="s">
        <v>1006</v>
      </c>
      <c r="T2517" s="37">
        <v>1691</v>
      </c>
      <c r="U2517" s="38" t="s">
        <v>1700</v>
      </c>
      <c r="V2517" s="69" t="s">
        <v>272</v>
      </c>
      <c r="W2517" s="89" t="s">
        <v>144</v>
      </c>
      <c r="X2517" s="106" t="s">
        <v>296</v>
      </c>
      <c r="Y2517" s="107" t="s">
        <v>12</v>
      </c>
      <c r="Z2517" s="67">
        <f>IF(База_КР_КК[[#This Row],[Таб.номер резервиста]]="-","-",IF(OR(База_КР_КК[[#This Row],[Уровень КК]]=2,База_КР_КК[[#This Row],[Уровень КК]]=3),IF(COUNTIFS($U$2:$U2517,$U2517,$F$2:$F2517,$F2517)=1,1,0),IF(COUNTIFS($U$2:$U2517,$U2517,$L$2:$L2517,$L2517)=1,1,0)))</f>
        <v>1</v>
      </c>
      <c r="AA25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7" s="106"/>
      <c r="AC2517" s="51"/>
      <c r="AD2517" s="106" t="s">
        <v>15</v>
      </c>
      <c r="AE2517" s="38" t="s">
        <v>362</v>
      </c>
    </row>
    <row r="2518" spans="1:31" ht="18" customHeight="1" x14ac:dyDescent="0.25">
      <c r="A25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8" s="79">
        <v>4</v>
      </c>
      <c r="C2518" s="23">
        <v>44557</v>
      </c>
      <c r="D2518" s="67">
        <f>IF(COUNTIF($G$2:$G2518,$G2518)=1,1,0)</f>
        <v>1</v>
      </c>
      <c r="E2518" s="67" t="str">
        <f>IFERROR(VLOOKUP(База_КР_КК[[#This Row],[ИД штатной должности (S)]],'уровень защищенности'!$B$7:$F$1095,5,0),"не защищена")</f>
        <v>низкий</v>
      </c>
      <c r="F2518" s="68">
        <v>500605</v>
      </c>
      <c r="G2518" s="74" t="s">
        <v>2771</v>
      </c>
      <c r="H2518" s="181">
        <f>INDEX('Списки данных'!$D$2:$D$1048576,MATCH(База_КР_КК[[#This Row],[Структурное подразделение]],'Списки данных'!$C$2:$C$1048576,0))</f>
        <v>33</v>
      </c>
      <c r="I2518" s="80" t="s">
        <v>144</v>
      </c>
      <c r="J2518" s="80" t="s">
        <v>224</v>
      </c>
      <c r="K2518" s="80" t="s">
        <v>236</v>
      </c>
      <c r="L2518" s="30" t="s">
        <v>191</v>
      </c>
      <c r="M2518" s="68">
        <v>7</v>
      </c>
      <c r="N2518" s="181" t="str">
        <f t="shared" si="40"/>
        <v>нет</v>
      </c>
      <c r="O2518" s="23"/>
      <c r="P2518" s="23"/>
      <c r="Q2518" s="106"/>
      <c r="R2518" s="37">
        <v>598</v>
      </c>
      <c r="S2518" s="39" t="s">
        <v>1007</v>
      </c>
      <c r="T2518" s="37">
        <v>1690</v>
      </c>
      <c r="U2518" s="39" t="s">
        <v>1582</v>
      </c>
      <c r="V2518" s="69" t="s">
        <v>272</v>
      </c>
      <c r="W2518" s="89" t="s">
        <v>144</v>
      </c>
      <c r="X2518" s="106" t="s">
        <v>296</v>
      </c>
      <c r="Y2518" s="107" t="s">
        <v>12</v>
      </c>
      <c r="Z2518" s="67">
        <f>IF(База_КР_КК[[#This Row],[Таб.номер резервиста]]="-","-",IF(OR(База_КР_КК[[#This Row],[Уровень КК]]=2,База_КР_КК[[#This Row],[Уровень КК]]=3),IF(COUNTIFS($U$2:$U2518,$U2518,$F$2:$F2518,$F2518)=1,1,0),IF(COUNTIFS($U$2:$U2518,$U2518,$L$2:$L2518,$L2518)=1,1,0)))</f>
        <v>0</v>
      </c>
      <c r="AA25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8" s="106"/>
      <c r="AC2518" s="51"/>
      <c r="AD2518" s="106" t="s">
        <v>15</v>
      </c>
      <c r="AE2518" s="38" t="s">
        <v>361</v>
      </c>
    </row>
    <row r="2519" spans="1:31" ht="18" customHeight="1" x14ac:dyDescent="0.25">
      <c r="A25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19" s="79">
        <v>4</v>
      </c>
      <c r="C2519" s="23">
        <v>44922</v>
      </c>
      <c r="D2519" s="67">
        <f>IF(COUNTIF($G$2:$G2519,$G2519)=1,1,0)</f>
        <v>0</v>
      </c>
      <c r="E2519" s="67" t="str">
        <f>IFERROR(VLOOKUP(База_КР_КК[[#This Row],[ИД штатной должности (S)]],'уровень защищенности'!$B$7:$F$1095,5,0),"не защищена")</f>
        <v>низкий</v>
      </c>
      <c r="F2519" s="68">
        <v>500605</v>
      </c>
      <c r="G2519" s="74" t="s">
        <v>2771</v>
      </c>
      <c r="H2519" s="181">
        <f>INDEX('Списки данных'!$D$2:$D$1048576,MATCH(База_КР_КК[[#This Row],[Структурное подразделение]],'Списки данных'!$C$2:$C$1048576,0))</f>
        <v>33</v>
      </c>
      <c r="I2519" s="80" t="s">
        <v>144</v>
      </c>
      <c r="J2519" s="80" t="s">
        <v>224</v>
      </c>
      <c r="K2519" s="80" t="s">
        <v>236</v>
      </c>
      <c r="L2519" s="30" t="s">
        <v>191</v>
      </c>
      <c r="M2519" s="68">
        <v>7</v>
      </c>
      <c r="N2519" s="181" t="str">
        <f t="shared" si="40"/>
        <v>нет</v>
      </c>
      <c r="O2519" s="23"/>
      <c r="P2519" s="23"/>
      <c r="Q2519" s="106"/>
      <c r="R2519" s="37">
        <v>598</v>
      </c>
      <c r="S2519" s="39" t="s">
        <v>1007</v>
      </c>
      <c r="T2519" s="37">
        <v>1691</v>
      </c>
      <c r="U2519" s="38" t="s">
        <v>1700</v>
      </c>
      <c r="V2519" s="69" t="s">
        <v>272</v>
      </c>
      <c r="W2519" s="89" t="s">
        <v>144</v>
      </c>
      <c r="X2519" s="106" t="s">
        <v>296</v>
      </c>
      <c r="Y2519" s="107" t="s">
        <v>12</v>
      </c>
      <c r="Z2519" s="67">
        <f>IF(База_КР_КК[[#This Row],[Таб.номер резервиста]]="-","-",IF(OR(База_КР_КК[[#This Row],[Уровень КК]]=2,База_КР_КК[[#This Row],[Уровень КК]]=3),IF(COUNTIFS($U$2:$U2519,$U2519,$F$2:$F2519,$F2519)=1,1,0),IF(COUNTIFS($U$2:$U2519,$U2519,$L$2:$L2519,$L2519)=1,1,0)))</f>
        <v>0</v>
      </c>
      <c r="AA25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19" s="106"/>
      <c r="AC2519" s="51"/>
      <c r="AD2519" s="106" t="s">
        <v>15</v>
      </c>
      <c r="AE2519" s="38" t="s">
        <v>362</v>
      </c>
    </row>
    <row r="2520" spans="1:31" ht="18" customHeight="1" x14ac:dyDescent="0.25">
      <c r="A25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0" s="79">
        <v>4</v>
      </c>
      <c r="C2520" s="23">
        <v>44557</v>
      </c>
      <c r="D2520" s="67">
        <f>IF(COUNTIF($G$2:$G2520,$G2520)=1,1,0)</f>
        <v>1</v>
      </c>
      <c r="E2520" s="67" t="str">
        <f>IFERROR(VLOOKUP(База_КР_КК[[#This Row],[ИД штатной должности (S)]],'уровень защищенности'!$B$7:$F$1095,5,0),"не защищена")</f>
        <v>низкий</v>
      </c>
      <c r="F2520" s="68">
        <v>500599</v>
      </c>
      <c r="G2520" s="74" t="s">
        <v>2772</v>
      </c>
      <c r="H2520" s="181">
        <f>INDEX('Списки данных'!$D$2:$D$1048576,MATCH(База_КР_КК[[#This Row],[Структурное подразделение]],'Списки данных'!$C$2:$C$1048576,0))</f>
        <v>33</v>
      </c>
      <c r="I2520" s="80" t="s">
        <v>144</v>
      </c>
      <c r="J2520" s="80" t="s">
        <v>224</v>
      </c>
      <c r="K2520" s="80" t="s">
        <v>236</v>
      </c>
      <c r="L2520" s="30" t="s">
        <v>192</v>
      </c>
      <c r="M2520" s="68">
        <v>7</v>
      </c>
      <c r="N2520" s="181" t="str">
        <f t="shared" si="40"/>
        <v>да</v>
      </c>
      <c r="O2520" s="23">
        <v>44718</v>
      </c>
      <c r="P2520" s="23"/>
      <c r="Q2520" s="106"/>
      <c r="R2520" s="37" t="s">
        <v>23</v>
      </c>
      <c r="S2520" s="37" t="s">
        <v>23</v>
      </c>
      <c r="T2520" s="37">
        <v>1692</v>
      </c>
      <c r="U2520" s="39" t="s">
        <v>1938</v>
      </c>
      <c r="V2520" s="69" t="s">
        <v>272</v>
      </c>
      <c r="W2520" s="89" t="s">
        <v>144</v>
      </c>
      <c r="X2520" s="106" t="s">
        <v>296</v>
      </c>
      <c r="Y2520" s="107" t="s">
        <v>12</v>
      </c>
      <c r="Z2520" s="67">
        <f>IF(База_КР_КК[[#This Row],[Таб.номер резервиста]]="-","-",IF(OR(База_КР_КК[[#This Row],[Уровень КК]]=2,База_КР_КК[[#This Row],[Уровень КК]]=3),IF(COUNTIFS($U$2:$U2520,$U2520,$F$2:$F2520,$F2520)=1,1,0),IF(COUNTIFS($U$2:$U2520,$U2520,$L$2:$L2520,$L2520)=1,1,0)))</f>
        <v>1</v>
      </c>
      <c r="AA25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0" s="106"/>
      <c r="AC2520" s="51"/>
      <c r="AD2520" s="106" t="s">
        <v>15</v>
      </c>
      <c r="AE2520" s="38" t="s">
        <v>361</v>
      </c>
    </row>
    <row r="2521" spans="1:31" ht="18" customHeight="1" x14ac:dyDescent="0.25">
      <c r="A25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1" s="79">
        <v>4</v>
      </c>
      <c r="C2521" s="23">
        <v>44557</v>
      </c>
      <c r="D2521" s="67">
        <f>IF(COUNTIF($G$2:$G2521,$G2521)=1,1,0)</f>
        <v>0</v>
      </c>
      <c r="E2521" s="67" t="str">
        <f>IFERROR(VLOOKUP(База_КР_КК[[#This Row],[ИД штатной должности (S)]],'уровень защищенности'!$B$7:$F$1095,5,0),"не защищена")</f>
        <v>низкий</v>
      </c>
      <c r="F2521" s="68">
        <v>500599</v>
      </c>
      <c r="G2521" s="74" t="s">
        <v>2772</v>
      </c>
      <c r="H2521" s="181">
        <f>INDEX('Списки данных'!$D$2:$D$1048576,MATCH(База_КР_КК[[#This Row],[Структурное подразделение]],'Списки данных'!$C$2:$C$1048576,0))</f>
        <v>33</v>
      </c>
      <c r="I2521" s="80" t="s">
        <v>144</v>
      </c>
      <c r="J2521" s="80" t="s">
        <v>224</v>
      </c>
      <c r="K2521" s="80" t="s">
        <v>236</v>
      </c>
      <c r="L2521" s="30" t="s">
        <v>192</v>
      </c>
      <c r="M2521" s="68">
        <v>7</v>
      </c>
      <c r="N2521" s="181" t="str">
        <f t="shared" si="40"/>
        <v>да</v>
      </c>
      <c r="O2521" s="23">
        <v>44718</v>
      </c>
      <c r="P2521" s="23"/>
      <c r="Q2521" s="106"/>
      <c r="R2521" s="37" t="s">
        <v>23</v>
      </c>
      <c r="S2521" s="37" t="s">
        <v>23</v>
      </c>
      <c r="T2521" s="37">
        <v>1693</v>
      </c>
      <c r="U2521" s="39" t="s">
        <v>1995</v>
      </c>
      <c r="V2521" s="69" t="s">
        <v>272</v>
      </c>
      <c r="W2521" s="89" t="s">
        <v>144</v>
      </c>
      <c r="X2521" s="106" t="s">
        <v>296</v>
      </c>
      <c r="Y2521" s="107" t="s">
        <v>12</v>
      </c>
      <c r="Z2521" s="67">
        <f>IF(База_КР_КК[[#This Row],[Таб.номер резервиста]]="-","-",IF(OR(База_КР_КК[[#This Row],[Уровень КК]]=2,База_КР_КК[[#This Row],[Уровень КК]]=3),IF(COUNTIFS($U$2:$U2521,$U2521,$F$2:$F2521,$F2521)=1,1,0),IF(COUNTIFS($U$2:$U2521,$U2521,$L$2:$L2521,$L2521)=1,1,0)))</f>
        <v>1</v>
      </c>
      <c r="AA25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1" s="106"/>
      <c r="AC2521" s="51"/>
      <c r="AD2521" s="106" t="s">
        <v>15</v>
      </c>
      <c r="AE2521" s="38" t="s">
        <v>361</v>
      </c>
    </row>
    <row r="2522" spans="1:31" ht="18" customHeight="1" x14ac:dyDescent="0.25">
      <c r="A25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2" s="79">
        <v>4</v>
      </c>
      <c r="C2522" s="23">
        <v>44557</v>
      </c>
      <c r="D2522" s="67">
        <f>IF(COUNTIF($G$2:$G2522,$G2522)=1,1,0)</f>
        <v>0</v>
      </c>
      <c r="E2522" s="67" t="str">
        <f>IFERROR(VLOOKUP(База_КР_КК[[#This Row],[ИД штатной должности (S)]],'уровень защищенности'!$B$7:$F$1095,5,0),"не защищена")</f>
        <v>низкий</v>
      </c>
      <c r="F2522" s="68">
        <v>500599</v>
      </c>
      <c r="G2522" s="74" t="s">
        <v>2772</v>
      </c>
      <c r="H2522" s="181">
        <f>INDEX('Списки данных'!$D$2:$D$1048576,MATCH(База_КР_КК[[#This Row],[Структурное подразделение]],'Списки данных'!$C$2:$C$1048576,0))</f>
        <v>33</v>
      </c>
      <c r="I2522" s="80" t="s">
        <v>144</v>
      </c>
      <c r="J2522" s="80" t="s">
        <v>224</v>
      </c>
      <c r="K2522" s="80" t="s">
        <v>236</v>
      </c>
      <c r="L2522" s="30" t="s">
        <v>192</v>
      </c>
      <c r="M2522" s="68">
        <v>7</v>
      </c>
      <c r="N2522" s="181" t="str">
        <f t="shared" si="40"/>
        <v>да</v>
      </c>
      <c r="O2522" s="23">
        <v>44718</v>
      </c>
      <c r="P2522" s="23"/>
      <c r="Q2522" s="106"/>
      <c r="R2522" s="37" t="s">
        <v>23</v>
      </c>
      <c r="S2522" s="37" t="s">
        <v>23</v>
      </c>
      <c r="T2522" s="37">
        <v>561</v>
      </c>
      <c r="U2522" s="39" t="s">
        <v>970</v>
      </c>
      <c r="V2522" s="69" t="s">
        <v>272</v>
      </c>
      <c r="W2522" s="89" t="s">
        <v>144</v>
      </c>
      <c r="X2522" s="106" t="s">
        <v>295</v>
      </c>
      <c r="Y2522" s="107" t="s">
        <v>18</v>
      </c>
      <c r="Z2522" s="67">
        <f>IF(База_КР_КК[[#This Row],[Таб.номер резервиста]]="-","-",IF(OR(База_КР_КК[[#This Row],[Уровень КК]]=2,База_КР_КК[[#This Row],[Уровень КК]]=3),IF(COUNTIFS($U$2:$U2522,$U2522,$F$2:$F2522,$F2522)=1,1,0),IF(COUNTIFS($U$2:$U2522,$U2522,$L$2:$L2522,$L2522)=1,1,0)))</f>
        <v>1</v>
      </c>
      <c r="AA25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2" s="106" t="s">
        <v>45</v>
      </c>
      <c r="AC2522" s="51">
        <v>44922</v>
      </c>
      <c r="AD2522" s="106" t="s">
        <v>31</v>
      </c>
      <c r="AE2522" s="38" t="s">
        <v>362</v>
      </c>
    </row>
    <row r="2523" spans="1:31" ht="18" customHeight="1" x14ac:dyDescent="0.25">
      <c r="A25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3" s="79">
        <v>4</v>
      </c>
      <c r="C2523" s="23">
        <v>44557</v>
      </c>
      <c r="D2523" s="67">
        <f>IF(COUNTIF($G$2:$G2523,$G2523)=1,1,0)</f>
        <v>1</v>
      </c>
      <c r="E2523" s="67" t="str">
        <f>IFERROR(VLOOKUP(База_КР_КК[[#This Row],[ИД штатной должности (S)]],'уровень защищенности'!$B$7:$F$1095,5,0),"не защищена")</f>
        <v>низкий</v>
      </c>
      <c r="F2523" s="68">
        <v>500555</v>
      </c>
      <c r="G2523" s="74" t="s">
        <v>2773</v>
      </c>
      <c r="H2523" s="181">
        <f>INDEX('Списки данных'!$D$2:$D$1048576,MATCH(База_КР_КК[[#This Row],[Структурное подразделение]],'Списки данных'!$C$2:$C$1048576,0))</f>
        <v>33</v>
      </c>
      <c r="I2523" s="80" t="s">
        <v>144</v>
      </c>
      <c r="J2523" s="80" t="s">
        <v>224</v>
      </c>
      <c r="K2523" s="80" t="s">
        <v>236</v>
      </c>
      <c r="L2523" s="30" t="s">
        <v>191</v>
      </c>
      <c r="M2523" s="68">
        <v>7</v>
      </c>
      <c r="N2523" s="181" t="str">
        <f t="shared" si="40"/>
        <v>нет</v>
      </c>
      <c r="O2523" s="23"/>
      <c r="P2523" s="23"/>
      <c r="Q2523" s="106"/>
      <c r="R2523" s="37">
        <v>599</v>
      </c>
      <c r="S2523" s="39" t="s">
        <v>1008</v>
      </c>
      <c r="T2523" s="37">
        <v>1694</v>
      </c>
      <c r="U2523" s="39" t="s">
        <v>1996</v>
      </c>
      <c r="V2523" s="69" t="s">
        <v>272</v>
      </c>
      <c r="W2523" s="89" t="s">
        <v>144</v>
      </c>
      <c r="X2523" s="106" t="s">
        <v>296</v>
      </c>
      <c r="Y2523" s="107" t="s">
        <v>12</v>
      </c>
      <c r="Z2523" s="67">
        <f>IF(База_КР_КК[[#This Row],[Таб.номер резервиста]]="-","-",IF(OR(База_КР_КК[[#This Row],[Уровень КК]]=2,База_КР_КК[[#This Row],[Уровень КК]]=3),IF(COUNTIFS($U$2:$U2523,$U2523,$F$2:$F2523,$F2523)=1,1,0),IF(COUNTIFS($U$2:$U2523,$U2523,$L$2:$L2523,$L2523)=1,1,0)))</f>
        <v>1</v>
      </c>
      <c r="AA25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3" s="106"/>
      <c r="AC2523" s="51"/>
      <c r="AD2523" s="106" t="s">
        <v>15</v>
      </c>
      <c r="AE2523" s="38" t="s">
        <v>362</v>
      </c>
    </row>
    <row r="2524" spans="1:31" ht="18" customHeight="1" x14ac:dyDescent="0.25">
      <c r="A25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4" s="79">
        <v>4</v>
      </c>
      <c r="C2524" s="23">
        <v>44922</v>
      </c>
      <c r="D2524" s="67">
        <f>IF(COUNTIF($G$2:$G2524,$G2524)=1,1,0)</f>
        <v>0</v>
      </c>
      <c r="E2524" s="67" t="str">
        <f>IFERROR(VLOOKUP(База_КР_КК[[#This Row],[ИД штатной должности (S)]],'уровень защищенности'!$B$7:$F$1095,5,0),"не защищена")</f>
        <v>низкий</v>
      </c>
      <c r="F2524" s="68">
        <v>500555</v>
      </c>
      <c r="G2524" s="74" t="s">
        <v>2773</v>
      </c>
      <c r="H2524" s="181">
        <f>INDEX('Списки данных'!$D$2:$D$1048576,MATCH(База_КР_КК[[#This Row],[Структурное подразделение]],'Списки данных'!$C$2:$C$1048576,0))</f>
        <v>33</v>
      </c>
      <c r="I2524" s="80" t="s">
        <v>144</v>
      </c>
      <c r="J2524" s="80" t="s">
        <v>224</v>
      </c>
      <c r="K2524" s="80" t="s">
        <v>236</v>
      </c>
      <c r="L2524" s="30" t="s">
        <v>191</v>
      </c>
      <c r="M2524" s="68">
        <v>7</v>
      </c>
      <c r="N2524" s="181" t="str">
        <f t="shared" si="40"/>
        <v>нет</v>
      </c>
      <c r="O2524" s="23"/>
      <c r="P2524" s="23"/>
      <c r="Q2524" s="106"/>
      <c r="R2524" s="37">
        <v>599</v>
      </c>
      <c r="S2524" s="39" t="s">
        <v>1008</v>
      </c>
      <c r="T2524" s="37">
        <v>1695</v>
      </c>
      <c r="U2524" s="38" t="s">
        <v>1997</v>
      </c>
      <c r="V2524" s="69" t="s">
        <v>272</v>
      </c>
      <c r="W2524" s="89" t="s">
        <v>144</v>
      </c>
      <c r="X2524" s="106" t="s">
        <v>296</v>
      </c>
      <c r="Y2524" s="107" t="s">
        <v>12</v>
      </c>
      <c r="Z2524" s="67">
        <f>IF(База_КР_КК[[#This Row],[Таб.номер резервиста]]="-","-",IF(OR(База_КР_КК[[#This Row],[Уровень КК]]=2,База_КР_КК[[#This Row],[Уровень КК]]=3),IF(COUNTIFS($U$2:$U2524,$U2524,$F$2:$F2524,$F2524)=1,1,0),IF(COUNTIFS($U$2:$U2524,$U2524,$L$2:$L2524,$L2524)=1,1,0)))</f>
        <v>1</v>
      </c>
      <c r="AA25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4" s="106"/>
      <c r="AC2524" s="51"/>
      <c r="AD2524" s="106" t="s">
        <v>15</v>
      </c>
      <c r="AE2524" s="38" t="s">
        <v>362</v>
      </c>
    </row>
    <row r="2525" spans="1:31" ht="18" customHeight="1" x14ac:dyDescent="0.25">
      <c r="A25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5" s="79">
        <v>4</v>
      </c>
      <c r="C2525" s="23">
        <v>44922</v>
      </c>
      <c r="D2525" s="67">
        <f>IF(COUNTIF($G$2:$G2525,$G2525)=1,1,0)</f>
        <v>1</v>
      </c>
      <c r="E2525" s="67" t="str">
        <f>IFERROR(VLOOKUP(База_КР_КК[[#This Row],[ИД штатной должности (S)]],'уровень защищенности'!$B$7:$F$1095,5,0),"не защищена")</f>
        <v>низкий</v>
      </c>
      <c r="F2525" s="68">
        <v>500555</v>
      </c>
      <c r="G2525" s="74" t="s">
        <v>2774</v>
      </c>
      <c r="H2525" s="181">
        <f>INDEX('Списки данных'!$D$2:$D$1048576,MATCH(База_КР_КК[[#This Row],[Структурное подразделение]],'Списки данных'!$C$2:$C$1048576,0))</f>
        <v>33</v>
      </c>
      <c r="I2525" s="80" t="s">
        <v>144</v>
      </c>
      <c r="J2525" s="80" t="s">
        <v>224</v>
      </c>
      <c r="K2525" s="80" t="s">
        <v>236</v>
      </c>
      <c r="L2525" s="30" t="s">
        <v>191</v>
      </c>
      <c r="M2525" s="68">
        <v>7</v>
      </c>
      <c r="N2525" s="181" t="str">
        <f t="shared" si="40"/>
        <v>да</v>
      </c>
      <c r="O2525" s="23">
        <v>44680</v>
      </c>
      <c r="P2525" s="23">
        <v>44680</v>
      </c>
      <c r="Q2525" s="106" t="s">
        <v>66</v>
      </c>
      <c r="R2525" s="37">
        <v>600</v>
      </c>
      <c r="S2525" s="39" t="s">
        <v>1009</v>
      </c>
      <c r="T2525" s="37">
        <v>1695</v>
      </c>
      <c r="U2525" s="38" t="s">
        <v>1997</v>
      </c>
      <c r="V2525" s="69" t="s">
        <v>272</v>
      </c>
      <c r="W2525" s="89" t="s">
        <v>144</v>
      </c>
      <c r="X2525" s="106" t="s">
        <v>296</v>
      </c>
      <c r="Y2525" s="107" t="s">
        <v>12</v>
      </c>
      <c r="Z2525" s="67">
        <f>IF(База_КР_КК[[#This Row],[Таб.номер резервиста]]="-","-",IF(OR(База_КР_КК[[#This Row],[Уровень КК]]=2,База_КР_КК[[#This Row],[Уровень КК]]=3),IF(COUNTIFS($U$2:$U2525,$U2525,$F$2:$F2525,$F2525)=1,1,0),IF(COUNTIFS($U$2:$U2525,$U2525,$L$2:$L2525,$L2525)=1,1,0)))</f>
        <v>0</v>
      </c>
      <c r="AA25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5" s="106"/>
      <c r="AC2525" s="51"/>
      <c r="AD2525" s="106" t="s">
        <v>15</v>
      </c>
      <c r="AE2525" s="38" t="s">
        <v>362</v>
      </c>
    </row>
    <row r="2526" spans="1:31" ht="18" customHeight="1" x14ac:dyDescent="0.25">
      <c r="A25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6" s="79">
        <v>4</v>
      </c>
      <c r="C2526" s="23">
        <v>44557</v>
      </c>
      <c r="D2526" s="67">
        <f>IF(COUNTIF($G$2:$G2526,$G2526)=1,1,0)</f>
        <v>0</v>
      </c>
      <c r="E2526" s="67" t="str">
        <f>IFERROR(VLOOKUP(База_КР_КК[[#This Row],[ИД штатной должности (S)]],'уровень защищенности'!$B$7:$F$1095,5,0),"не защищена")</f>
        <v>низкий</v>
      </c>
      <c r="F2526" s="68">
        <v>500555</v>
      </c>
      <c r="G2526" s="74" t="s">
        <v>2773</v>
      </c>
      <c r="H2526" s="181">
        <f>INDEX('Списки данных'!$D$2:$D$1048576,MATCH(База_КР_КК[[#This Row],[Структурное подразделение]],'Списки данных'!$C$2:$C$1048576,0))</f>
        <v>33</v>
      </c>
      <c r="I2526" s="80" t="s">
        <v>144</v>
      </c>
      <c r="J2526" s="80" t="s">
        <v>224</v>
      </c>
      <c r="K2526" s="80" t="s">
        <v>236</v>
      </c>
      <c r="L2526" s="30" t="s">
        <v>191</v>
      </c>
      <c r="M2526" s="68">
        <v>7</v>
      </c>
      <c r="N2526" s="181" t="str">
        <f t="shared" si="40"/>
        <v>нет</v>
      </c>
      <c r="O2526" s="23"/>
      <c r="P2526" s="23"/>
      <c r="Q2526" s="106"/>
      <c r="R2526" s="37">
        <v>599</v>
      </c>
      <c r="S2526" s="39" t="s">
        <v>1008</v>
      </c>
      <c r="T2526" s="37">
        <v>600</v>
      </c>
      <c r="U2526" s="39" t="s">
        <v>1009</v>
      </c>
      <c r="V2526" s="69" t="s">
        <v>272</v>
      </c>
      <c r="W2526" s="89" t="s">
        <v>144</v>
      </c>
      <c r="X2526" s="106" t="s">
        <v>297</v>
      </c>
      <c r="Y2526" s="107" t="s">
        <v>18</v>
      </c>
      <c r="Z2526" s="67">
        <f>IF(База_КР_КК[[#This Row],[Таб.номер резервиста]]="-","-",IF(OR(База_КР_КК[[#This Row],[Уровень КК]]=2,База_КР_КК[[#This Row],[Уровень КК]]=3),IF(COUNTIFS($U$2:$U2526,$U2526,$F$2:$F2526,$F2526)=1,1,0),IF(COUNTIFS($U$2:$U2526,$U2526,$L$2:$L2526,$L2526)=1,1,0)))</f>
        <v>1</v>
      </c>
      <c r="AA25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6" s="106" t="s">
        <v>37</v>
      </c>
      <c r="AC2526" s="51">
        <v>44680</v>
      </c>
      <c r="AD2526" s="106" t="s">
        <v>31</v>
      </c>
      <c r="AE2526" s="38" t="s">
        <v>362</v>
      </c>
    </row>
    <row r="2527" spans="1:31" ht="18" customHeight="1" x14ac:dyDescent="0.25">
      <c r="A25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7" s="79">
        <v>4</v>
      </c>
      <c r="C2527" s="23">
        <v>44557</v>
      </c>
      <c r="D2527" s="67">
        <f>IF(COUNTIF($G$2:$G2527,$G2527)=1,1,0)</f>
        <v>0</v>
      </c>
      <c r="E2527" s="67" t="str">
        <f>IFERROR(VLOOKUP(База_КР_КК[[#This Row],[ИД штатной должности (S)]],'уровень защищенности'!$B$7:$F$1095,5,0),"не защищена")</f>
        <v>низкий</v>
      </c>
      <c r="F2527" s="68">
        <v>500555</v>
      </c>
      <c r="G2527" s="74" t="s">
        <v>2774</v>
      </c>
      <c r="H2527" s="181">
        <f>INDEX('Списки данных'!$D$2:$D$1048576,MATCH(База_КР_КК[[#This Row],[Структурное подразделение]],'Списки данных'!$C$2:$C$1048576,0))</f>
        <v>33</v>
      </c>
      <c r="I2527" s="80" t="s">
        <v>144</v>
      </c>
      <c r="J2527" s="80" t="s">
        <v>224</v>
      </c>
      <c r="K2527" s="80" t="s">
        <v>236</v>
      </c>
      <c r="L2527" s="30" t="s">
        <v>191</v>
      </c>
      <c r="M2527" s="68">
        <v>7</v>
      </c>
      <c r="N2527" s="181" t="str">
        <f t="shared" si="40"/>
        <v>да</v>
      </c>
      <c r="O2527" s="23">
        <v>44680</v>
      </c>
      <c r="P2527" s="23">
        <v>44680</v>
      </c>
      <c r="Q2527" s="106" t="s">
        <v>66</v>
      </c>
      <c r="R2527" s="37">
        <v>600</v>
      </c>
      <c r="S2527" s="39" t="s">
        <v>1009</v>
      </c>
      <c r="T2527" s="37">
        <v>1694</v>
      </c>
      <c r="U2527" s="39" t="s">
        <v>1996</v>
      </c>
      <c r="V2527" s="69" t="s">
        <v>272</v>
      </c>
      <c r="W2527" s="89" t="s">
        <v>144</v>
      </c>
      <c r="X2527" s="106" t="s">
        <v>296</v>
      </c>
      <c r="Y2527" s="107" t="s">
        <v>12</v>
      </c>
      <c r="Z2527" s="67">
        <f>IF(База_КР_КК[[#This Row],[Таб.номер резервиста]]="-","-",IF(OR(База_КР_КК[[#This Row],[Уровень КК]]=2,База_КР_КК[[#This Row],[Уровень КК]]=3),IF(COUNTIFS($U$2:$U2527,$U2527,$F$2:$F2527,$F2527)=1,1,0),IF(COUNTIFS($U$2:$U2527,$U2527,$L$2:$L2527,$L2527)=1,1,0)))</f>
        <v>0</v>
      </c>
      <c r="AA25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7" s="106"/>
      <c r="AC2527" s="51"/>
      <c r="AD2527" s="106" t="s">
        <v>15</v>
      </c>
      <c r="AE2527" s="38" t="s">
        <v>361</v>
      </c>
    </row>
    <row r="2528" spans="1:31" ht="18" customHeight="1" x14ac:dyDescent="0.25">
      <c r="A25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8" s="79">
        <v>4</v>
      </c>
      <c r="C2528" s="23">
        <v>44557</v>
      </c>
      <c r="D2528" s="67">
        <f>IF(COUNTIF($G$2:$G2528,$G2528)=1,1,0)</f>
        <v>0</v>
      </c>
      <c r="E2528" s="67" t="str">
        <f>IFERROR(VLOOKUP(База_КР_КК[[#This Row],[ИД штатной должности (S)]],'уровень защищенности'!$B$7:$F$1095,5,0),"не защищена")</f>
        <v>низкий</v>
      </c>
      <c r="F2528" s="68">
        <v>500555</v>
      </c>
      <c r="G2528" s="74" t="s">
        <v>2774</v>
      </c>
      <c r="H2528" s="181">
        <f>INDEX('Списки данных'!$D$2:$D$1048576,MATCH(База_КР_КК[[#This Row],[Структурное подразделение]],'Списки данных'!$C$2:$C$1048576,0))</f>
        <v>33</v>
      </c>
      <c r="I2528" s="80" t="s">
        <v>144</v>
      </c>
      <c r="J2528" s="80" t="s">
        <v>224</v>
      </c>
      <c r="K2528" s="80" t="s">
        <v>236</v>
      </c>
      <c r="L2528" s="30" t="s">
        <v>191</v>
      </c>
      <c r="M2528" s="68">
        <v>7</v>
      </c>
      <c r="N2528" s="181" t="str">
        <f t="shared" si="40"/>
        <v>да</v>
      </c>
      <c r="O2528" s="23">
        <v>44680</v>
      </c>
      <c r="P2528" s="23">
        <v>44680</v>
      </c>
      <c r="Q2528" s="106" t="s">
        <v>66</v>
      </c>
      <c r="R2528" s="37">
        <v>600</v>
      </c>
      <c r="S2528" s="39" t="s">
        <v>1009</v>
      </c>
      <c r="T2528" s="37">
        <v>600</v>
      </c>
      <c r="U2528" s="39" t="s">
        <v>1009</v>
      </c>
      <c r="V2528" s="69" t="s">
        <v>272</v>
      </c>
      <c r="W2528" s="89" t="s">
        <v>144</v>
      </c>
      <c r="X2528" s="106" t="s">
        <v>297</v>
      </c>
      <c r="Y2528" s="107" t="s">
        <v>14</v>
      </c>
      <c r="Z2528" s="67">
        <f>IF(База_КР_КК[[#This Row],[Таб.номер резервиста]]="-","-",IF(OR(База_КР_КК[[#This Row],[Уровень КК]]=2,База_КР_КК[[#This Row],[Уровень КК]]=3),IF(COUNTIFS($U$2:$U2528,$U2528,$F$2:$F2528,$F2528)=1,1,0),IF(COUNTIFS($U$2:$U2528,$U2528,$L$2:$L2528,$L2528)=1,1,0)))</f>
        <v>0</v>
      </c>
      <c r="AA25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528" s="106" t="s">
        <v>24</v>
      </c>
      <c r="AC2528" s="51">
        <v>44680</v>
      </c>
      <c r="AD2528" s="106" t="s">
        <v>15</v>
      </c>
      <c r="AE2528" s="38" t="s">
        <v>361</v>
      </c>
    </row>
    <row r="2529" spans="1:31" ht="18" customHeight="1" x14ac:dyDescent="0.25">
      <c r="A25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29" s="79">
        <v>4</v>
      </c>
      <c r="C2529" s="23">
        <v>44557</v>
      </c>
      <c r="D2529" s="67">
        <f>IF(COUNTIF($G$2:$G2529,$G2529)=1,1,0)</f>
        <v>1</v>
      </c>
      <c r="E2529" s="67" t="str">
        <f>IFERROR(VLOOKUP(База_КР_КК[[#This Row],[ИД штатной должности (S)]],'уровень защищенности'!$B$7:$F$1095,5,0),"не защищена")</f>
        <v>средний</v>
      </c>
      <c r="F2529" s="68">
        <v>500606</v>
      </c>
      <c r="G2529" s="74" t="s">
        <v>2775</v>
      </c>
      <c r="H2529" s="181">
        <f>INDEX('Списки данных'!$D$2:$D$1048576,MATCH(База_КР_КК[[#This Row],[Структурное подразделение]],'Списки данных'!$C$2:$C$1048576,0))</f>
        <v>33</v>
      </c>
      <c r="I2529" s="80" t="s">
        <v>144</v>
      </c>
      <c r="J2529" s="80" t="s">
        <v>224</v>
      </c>
      <c r="K2529" s="80" t="s">
        <v>236</v>
      </c>
      <c r="L2529" s="30" t="s">
        <v>192</v>
      </c>
      <c r="M2529" s="68">
        <v>7</v>
      </c>
      <c r="N2529" s="181" t="str">
        <f t="shared" si="40"/>
        <v>нет</v>
      </c>
      <c r="O2529" s="23"/>
      <c r="P2529" s="23"/>
      <c r="Q2529" s="106"/>
      <c r="R2529" s="37">
        <v>601</v>
      </c>
      <c r="S2529" s="39" t="s">
        <v>1010</v>
      </c>
      <c r="T2529" s="37">
        <v>1696</v>
      </c>
      <c r="U2529" s="39" t="s">
        <v>1985</v>
      </c>
      <c r="V2529" s="69" t="s">
        <v>272</v>
      </c>
      <c r="W2529" s="89" t="s">
        <v>144</v>
      </c>
      <c r="X2529" s="106" t="s">
        <v>297</v>
      </c>
      <c r="Y2529" s="107" t="s">
        <v>12</v>
      </c>
      <c r="Z2529" s="67">
        <f>IF(База_КР_КК[[#This Row],[Таб.номер резервиста]]="-","-",IF(OR(База_КР_КК[[#This Row],[Уровень КК]]=2,База_КР_КК[[#This Row],[Уровень КК]]=3),IF(COUNTIFS($U$2:$U2529,$U2529,$F$2:$F2529,$F2529)=1,1,0),IF(COUNTIFS($U$2:$U2529,$U2529,$L$2:$L2529,$L2529)=1,1,0)))</f>
        <v>1</v>
      </c>
      <c r="AA25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29" s="106"/>
      <c r="AC2529" s="51"/>
      <c r="AD2529" s="106" t="s">
        <v>15</v>
      </c>
      <c r="AE2529" s="38" t="s">
        <v>361</v>
      </c>
    </row>
    <row r="2530" spans="1:31" ht="18" customHeight="1" x14ac:dyDescent="0.25">
      <c r="A25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30" s="79">
        <v>4</v>
      </c>
      <c r="C2530" s="23">
        <v>44557</v>
      </c>
      <c r="D2530" s="67">
        <f>IF(COUNTIF($G$2:$G2530,$G2530)=1,1,0)</f>
        <v>0</v>
      </c>
      <c r="E2530" s="67" t="str">
        <f>IFERROR(VLOOKUP(База_КР_КК[[#This Row],[ИД штатной должности (S)]],'уровень защищенности'!$B$7:$F$1095,5,0),"не защищена")</f>
        <v>средний</v>
      </c>
      <c r="F2530" s="68">
        <v>500606</v>
      </c>
      <c r="G2530" s="74" t="s">
        <v>2775</v>
      </c>
      <c r="H2530" s="181">
        <f>INDEX('Списки данных'!$D$2:$D$1048576,MATCH(База_КР_КК[[#This Row],[Структурное подразделение]],'Списки данных'!$C$2:$C$1048576,0))</f>
        <v>33</v>
      </c>
      <c r="I2530" s="80" t="s">
        <v>144</v>
      </c>
      <c r="J2530" s="80" t="s">
        <v>224</v>
      </c>
      <c r="K2530" s="80" t="s">
        <v>236</v>
      </c>
      <c r="L2530" s="30" t="s">
        <v>192</v>
      </c>
      <c r="M2530" s="68">
        <v>7</v>
      </c>
      <c r="N2530" s="181" t="str">
        <f t="shared" si="40"/>
        <v>нет</v>
      </c>
      <c r="O2530" s="23"/>
      <c r="P2530" s="23"/>
      <c r="Q2530" s="106"/>
      <c r="R2530" s="37">
        <v>601</v>
      </c>
      <c r="S2530" s="39" t="s">
        <v>1010</v>
      </c>
      <c r="T2530" s="37">
        <v>1697</v>
      </c>
      <c r="U2530" s="39" t="s">
        <v>1998</v>
      </c>
      <c r="V2530" s="69" t="s">
        <v>272</v>
      </c>
      <c r="W2530" s="89" t="s">
        <v>144</v>
      </c>
      <c r="X2530" s="106" t="s">
        <v>296</v>
      </c>
      <c r="Y2530" s="107" t="s">
        <v>12</v>
      </c>
      <c r="Z2530" s="67">
        <f>IF(База_КР_КК[[#This Row],[Таб.номер резервиста]]="-","-",IF(OR(База_КР_КК[[#This Row],[Уровень КК]]=2,База_КР_КК[[#This Row],[Уровень КК]]=3),IF(COUNTIFS($U$2:$U2530,$U2530,$F$2:$F2530,$F2530)=1,1,0),IF(COUNTIFS($U$2:$U2530,$U2530,$L$2:$L2530,$L2530)=1,1,0)))</f>
        <v>1</v>
      </c>
      <c r="AA25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0" s="106"/>
      <c r="AC2530" s="51"/>
      <c r="AD2530" s="106" t="s">
        <v>15</v>
      </c>
      <c r="AE2530" s="38" t="s">
        <v>361</v>
      </c>
    </row>
    <row r="2531" spans="1:31" ht="18" customHeight="1" x14ac:dyDescent="0.25">
      <c r="A25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31" s="79">
        <v>4</v>
      </c>
      <c r="C2531" s="23">
        <v>44557</v>
      </c>
      <c r="D2531" s="67">
        <f>IF(COUNTIF($G$2:$G2531,$G2531)=1,1,0)</f>
        <v>1</v>
      </c>
      <c r="E2531" s="67" t="str">
        <f>IFERROR(VLOOKUP(База_КР_КК[[#This Row],[ИД штатной должности (S)]],'уровень защищенности'!$B$7:$F$1095,5,0),"не защищена")</f>
        <v>высокий</v>
      </c>
      <c r="F2531" s="68">
        <v>500607</v>
      </c>
      <c r="G2531" s="74" t="s">
        <v>2776</v>
      </c>
      <c r="H2531" s="181">
        <f>INDEX('Списки данных'!$D$2:$D$1048576,MATCH(База_КР_КК[[#This Row],[Структурное подразделение]],'Списки данных'!$C$2:$C$1048576,0))</f>
        <v>33</v>
      </c>
      <c r="I2531" s="80" t="s">
        <v>144</v>
      </c>
      <c r="J2531" s="80" t="s">
        <v>224</v>
      </c>
      <c r="K2531" s="80" t="s">
        <v>236</v>
      </c>
      <c r="L2531" s="30" t="s">
        <v>192</v>
      </c>
      <c r="M2531" s="68">
        <v>7</v>
      </c>
      <c r="N2531" s="181" t="str">
        <f t="shared" si="40"/>
        <v>нет</v>
      </c>
      <c r="O2531" s="23"/>
      <c r="P2531" s="23"/>
      <c r="Q2531" s="106"/>
      <c r="R2531" s="37">
        <v>602</v>
      </c>
      <c r="S2531" s="39" t="s">
        <v>1011</v>
      </c>
      <c r="T2531" s="37">
        <v>1646</v>
      </c>
      <c r="U2531" s="39" t="s">
        <v>1796</v>
      </c>
      <c r="V2531" s="69" t="s">
        <v>272</v>
      </c>
      <c r="W2531" s="89" t="s">
        <v>144</v>
      </c>
      <c r="X2531" s="106" t="s">
        <v>295</v>
      </c>
      <c r="Y2531" s="107" t="s">
        <v>12</v>
      </c>
      <c r="Z2531" s="67">
        <f>IF(База_КР_КК[[#This Row],[Таб.номер резервиста]]="-","-",IF(OR(База_КР_КК[[#This Row],[Уровень КК]]=2,База_КР_КК[[#This Row],[Уровень КК]]=3),IF(COUNTIFS($U$2:$U2531,$U2531,$F$2:$F2531,$F2531)=1,1,0),IF(COUNTIFS($U$2:$U2531,$U2531,$L$2:$L2531,$L2531)=1,1,0)))</f>
        <v>0</v>
      </c>
      <c r="AA25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1" s="106"/>
      <c r="AC2531" s="51"/>
      <c r="AD2531" s="106" t="s">
        <v>15</v>
      </c>
      <c r="AE2531" s="38" t="s">
        <v>361</v>
      </c>
    </row>
    <row r="2532" spans="1:31" ht="18" customHeight="1" x14ac:dyDescent="0.25">
      <c r="A25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32" s="79">
        <v>4</v>
      </c>
      <c r="C2532" s="23">
        <v>44557</v>
      </c>
      <c r="D2532" s="67">
        <f>IF(COUNTIF($G$2:$G2532,$G2532)=1,1,0)</f>
        <v>1</v>
      </c>
      <c r="E2532" s="67" t="str">
        <f>IFERROR(VLOOKUP(База_КР_КК[[#This Row],[ИД штатной должности (S)]],'уровень защищенности'!$B$7:$F$1095,5,0),"не защищена")</f>
        <v>средний</v>
      </c>
      <c r="F2532" s="68">
        <v>500142</v>
      </c>
      <c r="G2532" s="74" t="s">
        <v>2777</v>
      </c>
      <c r="H2532" s="181">
        <f>INDEX('Списки данных'!$D$2:$D$1048576,MATCH(База_КР_КК[[#This Row],[Структурное подразделение]],'Списки данных'!$C$2:$C$1048576,0))</f>
        <v>33</v>
      </c>
      <c r="I2532" s="80" t="s">
        <v>144</v>
      </c>
      <c r="J2532" s="80" t="s">
        <v>224</v>
      </c>
      <c r="K2532" s="80" t="s">
        <v>236</v>
      </c>
      <c r="L2532" s="30" t="s">
        <v>192</v>
      </c>
      <c r="M2532" s="68">
        <v>7</v>
      </c>
      <c r="N2532" s="181" t="str">
        <f t="shared" si="40"/>
        <v>нет</v>
      </c>
      <c r="O2532" s="23"/>
      <c r="P2532" s="23"/>
      <c r="Q2532" s="106"/>
      <c r="R2532" s="37">
        <v>603</v>
      </c>
      <c r="S2532" s="39" t="s">
        <v>1012</v>
      </c>
      <c r="T2532" s="37">
        <v>1698</v>
      </c>
      <c r="U2532" s="39" t="s">
        <v>1999</v>
      </c>
      <c r="V2532" s="69" t="s">
        <v>272</v>
      </c>
      <c r="W2532" s="89" t="s">
        <v>144</v>
      </c>
      <c r="X2532" s="106" t="s">
        <v>297</v>
      </c>
      <c r="Y2532" s="107" t="s">
        <v>12</v>
      </c>
      <c r="Z2532" s="67">
        <f>IF(База_КР_КК[[#This Row],[Таб.номер резервиста]]="-","-",IF(OR(База_КР_КК[[#This Row],[Уровень КК]]=2,База_КР_КК[[#This Row],[Уровень КК]]=3),IF(COUNTIFS($U$2:$U2532,$U2532,$F$2:$F2532,$F2532)=1,1,0),IF(COUNTIFS($U$2:$U2532,$U2532,$L$2:$L2532,$L2532)=1,1,0)))</f>
        <v>1</v>
      </c>
      <c r="AA25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2" s="106"/>
      <c r="AC2532" s="51"/>
      <c r="AD2532" s="106" t="s">
        <v>15</v>
      </c>
      <c r="AE2532" s="38" t="s">
        <v>361</v>
      </c>
    </row>
    <row r="2533" spans="1:31" ht="18" customHeight="1" x14ac:dyDescent="0.25">
      <c r="A25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33" s="79">
        <v>4</v>
      </c>
      <c r="C2533" s="23">
        <v>44922</v>
      </c>
      <c r="D2533" s="67">
        <f>IF(COUNTIF($G$2:$G2533,$G2533)=1,1,0)</f>
        <v>0</v>
      </c>
      <c r="E2533" s="67" t="str">
        <f>IFERROR(VLOOKUP(База_КР_КК[[#This Row],[ИД штатной должности (S)]],'уровень защищенности'!$B$7:$F$1095,5,0),"не защищена")</f>
        <v>средний</v>
      </c>
      <c r="F2533" s="68">
        <v>500142</v>
      </c>
      <c r="G2533" s="74" t="s">
        <v>2777</v>
      </c>
      <c r="H2533" s="181">
        <f>INDEX('Списки данных'!$D$2:$D$1048576,MATCH(База_КР_КК[[#This Row],[Структурное подразделение]],'Списки данных'!$C$2:$C$1048576,0))</f>
        <v>33</v>
      </c>
      <c r="I2533" s="80" t="s">
        <v>144</v>
      </c>
      <c r="J2533" s="80" t="s">
        <v>224</v>
      </c>
      <c r="K2533" s="80" t="s">
        <v>236</v>
      </c>
      <c r="L2533" s="30" t="s">
        <v>192</v>
      </c>
      <c r="M2533" s="68">
        <v>7</v>
      </c>
      <c r="N2533" s="181" t="str">
        <f t="shared" si="40"/>
        <v>нет</v>
      </c>
      <c r="O2533" s="23"/>
      <c r="P2533" s="23"/>
      <c r="Q2533" s="106"/>
      <c r="R2533" s="37">
        <v>603</v>
      </c>
      <c r="S2533" s="38" t="s">
        <v>1012</v>
      </c>
      <c r="T2533" s="37">
        <v>1699</v>
      </c>
      <c r="U2533" s="38" t="s">
        <v>1949</v>
      </c>
      <c r="V2533" s="93" t="s">
        <v>272</v>
      </c>
      <c r="W2533" s="89" t="s">
        <v>144</v>
      </c>
      <c r="X2533" s="106" t="s">
        <v>296</v>
      </c>
      <c r="Y2533" s="107" t="s">
        <v>12</v>
      </c>
      <c r="Z2533" s="67">
        <f>IF(База_КР_КК[[#This Row],[Таб.номер резервиста]]="-","-",IF(OR(База_КР_КК[[#This Row],[Уровень КК]]=2,База_КР_КК[[#This Row],[Уровень КК]]=3),IF(COUNTIFS($U$2:$U2533,$U2533,$F$2:$F2533,$F2533)=1,1,0),IF(COUNTIFS($U$2:$U2533,$U2533,$L$2:$L2533,$L2533)=1,1,0)))</f>
        <v>1</v>
      </c>
      <c r="AA25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3" s="106"/>
      <c r="AC2533" s="51"/>
      <c r="AD2533" s="106" t="s">
        <v>15</v>
      </c>
      <c r="AE2533" s="38" t="s">
        <v>362</v>
      </c>
    </row>
    <row r="2534" spans="1:31" ht="18" customHeight="1" x14ac:dyDescent="0.25">
      <c r="A25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34" s="79">
        <v>4</v>
      </c>
      <c r="C2534" s="23">
        <v>44922</v>
      </c>
      <c r="D2534" s="67">
        <f>IF(COUNTIF($G$2:$G2534,$G2534)=1,1,0)</f>
        <v>0</v>
      </c>
      <c r="E2534" s="67" t="str">
        <f>IFERROR(VLOOKUP(База_КР_КК[[#This Row],[ИД штатной должности (S)]],'уровень защищенности'!$B$7:$F$1095,5,0),"не защищена")</f>
        <v>средний</v>
      </c>
      <c r="F2534" s="68">
        <v>500142</v>
      </c>
      <c r="G2534" s="74" t="s">
        <v>2777</v>
      </c>
      <c r="H2534" s="181">
        <f>INDEX('Списки данных'!$D$2:$D$1048576,MATCH(База_КР_КК[[#This Row],[Структурное подразделение]],'Списки данных'!$C$2:$C$1048576,0))</f>
        <v>33</v>
      </c>
      <c r="I2534" s="80" t="s">
        <v>144</v>
      </c>
      <c r="J2534" s="80" t="s">
        <v>224</v>
      </c>
      <c r="K2534" s="80" t="s">
        <v>236</v>
      </c>
      <c r="L2534" s="30" t="s">
        <v>192</v>
      </c>
      <c r="M2534" s="68">
        <v>7</v>
      </c>
      <c r="N2534" s="181" t="str">
        <f t="shared" si="40"/>
        <v>нет</v>
      </c>
      <c r="O2534" s="23"/>
      <c r="P2534" s="23"/>
      <c r="Q2534" s="106"/>
      <c r="R2534" s="37">
        <v>603</v>
      </c>
      <c r="S2534" s="38" t="s">
        <v>1012</v>
      </c>
      <c r="T2534" s="37">
        <v>1700</v>
      </c>
      <c r="U2534" s="38" t="s">
        <v>2000</v>
      </c>
      <c r="V2534" s="93" t="s">
        <v>272</v>
      </c>
      <c r="W2534" s="89" t="s">
        <v>144</v>
      </c>
      <c r="X2534" s="106" t="s">
        <v>296</v>
      </c>
      <c r="Y2534" s="107" t="s">
        <v>12</v>
      </c>
      <c r="Z2534" s="67">
        <f>IF(База_КР_КК[[#This Row],[Таб.номер резервиста]]="-","-",IF(OR(База_КР_КК[[#This Row],[Уровень КК]]=2,База_КР_КК[[#This Row],[Уровень КК]]=3),IF(COUNTIFS($U$2:$U2534,$U2534,$F$2:$F2534,$F2534)=1,1,0),IF(COUNTIFS($U$2:$U2534,$U2534,$L$2:$L2534,$L2534)=1,1,0)))</f>
        <v>1</v>
      </c>
      <c r="AA25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4" s="106"/>
      <c r="AC2534" s="51"/>
      <c r="AD2534" s="106" t="s">
        <v>15</v>
      </c>
      <c r="AE2534" s="38" t="s">
        <v>362</v>
      </c>
    </row>
    <row r="2535" spans="1:31" ht="18" customHeight="1" x14ac:dyDescent="0.25">
      <c r="A25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35" s="79">
        <v>4</v>
      </c>
      <c r="C2535" s="23">
        <v>44557</v>
      </c>
      <c r="D2535" s="67">
        <f>IF(COUNTIF($G$2:$G2535,$G2535)=1,1,0)</f>
        <v>1</v>
      </c>
      <c r="E2535" s="67" t="str">
        <f>IFERROR(VLOOKUP(База_КР_КК[[#This Row],[ИД штатной должности (S)]],'уровень защищенности'!$B$7:$F$1095,5,0),"не защищена")</f>
        <v>низкий</v>
      </c>
      <c r="F2535" s="68">
        <v>500608</v>
      </c>
      <c r="G2535" s="74" t="s">
        <v>2778</v>
      </c>
      <c r="H2535" s="181">
        <f>INDEX('Списки данных'!$D$2:$D$1048576,MATCH(База_КР_КК[[#This Row],[Структурное подразделение]],'Списки данных'!$C$2:$C$1048576,0))</f>
        <v>33</v>
      </c>
      <c r="I2535" s="80" t="s">
        <v>144</v>
      </c>
      <c r="J2535" s="80" t="s">
        <v>224</v>
      </c>
      <c r="K2535" s="80" t="s">
        <v>236</v>
      </c>
      <c r="L2535" s="30" t="s">
        <v>192</v>
      </c>
      <c r="M2535" s="68">
        <v>7</v>
      </c>
      <c r="N2535" s="181" t="str">
        <f t="shared" si="40"/>
        <v>нет</v>
      </c>
      <c r="O2535" s="23"/>
      <c r="P2535" s="23"/>
      <c r="Q2535" s="106"/>
      <c r="R2535" s="37">
        <v>604</v>
      </c>
      <c r="S2535" s="39" t="s">
        <v>1013</v>
      </c>
      <c r="T2535" s="37">
        <v>1701</v>
      </c>
      <c r="U2535" s="39" t="s">
        <v>1659</v>
      </c>
      <c r="V2535" s="93" t="s">
        <v>272</v>
      </c>
      <c r="W2535" s="89" t="s">
        <v>144</v>
      </c>
      <c r="X2535" s="106" t="s">
        <v>296</v>
      </c>
      <c r="Y2535" s="107" t="s">
        <v>12</v>
      </c>
      <c r="Z2535" s="67">
        <f>IF(База_КР_КК[[#This Row],[Таб.номер резервиста]]="-","-",IF(OR(База_КР_КК[[#This Row],[Уровень КК]]=2,База_КР_КК[[#This Row],[Уровень КК]]=3),IF(COUNTIFS($U$2:$U2535,$U2535,$F$2:$F2535,$F2535)=1,1,0),IF(COUNTIFS($U$2:$U2535,$U2535,$L$2:$L2535,$L2535)=1,1,0)))</f>
        <v>1</v>
      </c>
      <c r="AA25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5" s="106"/>
      <c r="AC2535" s="51"/>
      <c r="AD2535" s="106" t="s">
        <v>15</v>
      </c>
      <c r="AE2535" s="38" t="s">
        <v>361</v>
      </c>
    </row>
    <row r="2536" spans="1:31" ht="18" customHeight="1" x14ac:dyDescent="0.25">
      <c r="A25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36" s="79">
        <v>4</v>
      </c>
      <c r="C2536" s="23">
        <v>44557</v>
      </c>
      <c r="D2536" s="67">
        <f>IF(COUNTIF($G$2:$G2536,$G2536)=1,1,0)</f>
        <v>1</v>
      </c>
      <c r="E2536" s="67" t="str">
        <f>IFERROR(VLOOKUP(База_КР_КК[[#This Row],[ИД штатной должности (S)]],'уровень защищенности'!$B$7:$F$1095,5,0),"не защищена")</f>
        <v>высокий</v>
      </c>
      <c r="F2536" s="68">
        <v>500143</v>
      </c>
      <c r="G2536" s="74" t="s">
        <v>2779</v>
      </c>
      <c r="H2536" s="181">
        <f>INDEX('Списки данных'!$D$2:$D$1048576,MATCH(База_КР_КК[[#This Row],[Структурное подразделение]],'Списки данных'!$C$2:$C$1048576,0))</f>
        <v>33</v>
      </c>
      <c r="I2536" s="80" t="s">
        <v>144</v>
      </c>
      <c r="J2536" s="80" t="s">
        <v>224</v>
      </c>
      <c r="K2536" s="80" t="s">
        <v>236</v>
      </c>
      <c r="L2536" s="30" t="s">
        <v>192</v>
      </c>
      <c r="M2536" s="68">
        <v>7</v>
      </c>
      <c r="N2536" s="181" t="str">
        <f t="shared" si="40"/>
        <v>нет</v>
      </c>
      <c r="O2536" s="23"/>
      <c r="P2536" s="23"/>
      <c r="Q2536" s="106"/>
      <c r="R2536" s="37">
        <v>605</v>
      </c>
      <c r="S2536" s="39" t="s">
        <v>1014</v>
      </c>
      <c r="T2536" s="37">
        <v>1702</v>
      </c>
      <c r="U2536" s="39" t="s">
        <v>2001</v>
      </c>
      <c r="V2536" s="93" t="s">
        <v>272</v>
      </c>
      <c r="W2536" s="89" t="s">
        <v>144</v>
      </c>
      <c r="X2536" s="106" t="s">
        <v>296</v>
      </c>
      <c r="Y2536" s="107" t="s">
        <v>12</v>
      </c>
      <c r="Z2536" s="67">
        <f>IF(База_КР_КК[[#This Row],[Таб.номер резервиста]]="-","-",IF(OR(База_КР_КК[[#This Row],[Уровень КК]]=2,База_КР_КК[[#This Row],[Уровень КК]]=3),IF(COUNTIFS($U$2:$U2536,$U2536,$F$2:$F2536,$F2536)=1,1,0),IF(COUNTIFS($U$2:$U2536,$U2536,$L$2:$L2536,$L2536)=1,1,0)))</f>
        <v>1</v>
      </c>
      <c r="AA25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6" s="106"/>
      <c r="AC2536" s="51"/>
      <c r="AD2536" s="106" t="s">
        <v>15</v>
      </c>
      <c r="AE2536" s="38" t="s">
        <v>361</v>
      </c>
    </row>
    <row r="2537" spans="1:31" ht="18" customHeight="1" x14ac:dyDescent="0.25">
      <c r="A25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37" s="79">
        <v>4</v>
      </c>
      <c r="C2537" s="23">
        <v>44557</v>
      </c>
      <c r="D2537" s="67">
        <f>IF(COUNTIF($G$2:$G2537,$G2537)=1,1,0)</f>
        <v>0</v>
      </c>
      <c r="E2537" s="67" t="str">
        <f>IFERROR(VLOOKUP(База_КР_КК[[#This Row],[ИД штатной должности (S)]],'уровень защищенности'!$B$7:$F$1095,5,0),"не защищена")</f>
        <v>высокий</v>
      </c>
      <c r="F2537" s="68">
        <v>500143</v>
      </c>
      <c r="G2537" s="74" t="s">
        <v>2779</v>
      </c>
      <c r="H2537" s="181">
        <f>INDEX('Списки данных'!$D$2:$D$1048576,MATCH(База_КР_КК[[#This Row],[Структурное подразделение]],'Списки данных'!$C$2:$C$1048576,0))</f>
        <v>33</v>
      </c>
      <c r="I2537" s="80" t="s">
        <v>144</v>
      </c>
      <c r="J2537" s="80" t="s">
        <v>224</v>
      </c>
      <c r="K2537" s="80" t="s">
        <v>236</v>
      </c>
      <c r="L2537" s="30" t="s">
        <v>192</v>
      </c>
      <c r="M2537" s="68">
        <v>7</v>
      </c>
      <c r="N2537" s="181" t="str">
        <f t="shared" si="40"/>
        <v>нет</v>
      </c>
      <c r="O2537" s="23"/>
      <c r="P2537" s="23"/>
      <c r="Q2537" s="106"/>
      <c r="R2537" s="37">
        <v>605</v>
      </c>
      <c r="S2537" s="39" t="s">
        <v>1014</v>
      </c>
      <c r="T2537" s="37">
        <v>1703</v>
      </c>
      <c r="U2537" s="39" t="s">
        <v>2002</v>
      </c>
      <c r="V2537" s="93" t="s">
        <v>272</v>
      </c>
      <c r="W2537" s="89" t="s">
        <v>144</v>
      </c>
      <c r="X2537" s="106" t="s">
        <v>295</v>
      </c>
      <c r="Y2537" s="107" t="s">
        <v>12</v>
      </c>
      <c r="Z2537" s="67">
        <f>IF(База_КР_КК[[#This Row],[Таб.номер резервиста]]="-","-",IF(OR(База_КР_КК[[#This Row],[Уровень КК]]=2,База_КР_КК[[#This Row],[Уровень КК]]=3),IF(COUNTIFS($U$2:$U2537,$U2537,$F$2:$F2537,$F2537)=1,1,0),IF(COUNTIFS($U$2:$U2537,$U2537,$L$2:$L2537,$L2537)=1,1,0)))</f>
        <v>1</v>
      </c>
      <c r="AA25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7" s="106"/>
      <c r="AC2537" s="51"/>
      <c r="AD2537" s="106" t="s">
        <v>15</v>
      </c>
      <c r="AE2537" s="38" t="s">
        <v>361</v>
      </c>
    </row>
    <row r="2538" spans="1:31" ht="18" customHeight="1" x14ac:dyDescent="0.25">
      <c r="A25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38" s="79">
        <v>3</v>
      </c>
      <c r="C2538" s="23">
        <v>44182</v>
      </c>
      <c r="D2538" s="67">
        <f>IF(COUNTIF($G$2:$G2538,$G2538)=1,1,0)</f>
        <v>1</v>
      </c>
      <c r="E2538" s="67" t="str">
        <f>IFERROR(VLOOKUP(База_КР_КК[[#This Row],[ИД штатной должности (S)]],'уровень защищенности'!$B$7:$F$1095,5,0),"не защищена")</f>
        <v>средний</v>
      </c>
      <c r="F2538" s="68">
        <v>500600</v>
      </c>
      <c r="G2538" s="74" t="s">
        <v>2780</v>
      </c>
      <c r="H2538" s="181">
        <f>INDEX('Списки данных'!$D$2:$D$1048576,MATCH(База_КР_КК[[#This Row],[Структурное подразделение]],'Списки данных'!$C$2:$C$1048576,0))</f>
        <v>381</v>
      </c>
      <c r="I2538" s="80" t="s">
        <v>155</v>
      </c>
      <c r="J2538" s="80" t="s">
        <v>240</v>
      </c>
      <c r="K2538" s="80" t="s">
        <v>21</v>
      </c>
      <c r="L2538" s="30" t="s">
        <v>179</v>
      </c>
      <c r="M2538" s="68">
        <v>4</v>
      </c>
      <c r="N2538" s="181" t="str">
        <f t="shared" si="40"/>
        <v>нет</v>
      </c>
      <c r="O2538" s="23"/>
      <c r="P2538" s="23"/>
      <c r="Q2538" s="106"/>
      <c r="R2538" s="37">
        <v>606</v>
      </c>
      <c r="S2538" s="39" t="s">
        <v>1015</v>
      </c>
      <c r="T2538" s="37">
        <v>1704</v>
      </c>
      <c r="U2538" s="38" t="s">
        <v>2003</v>
      </c>
      <c r="V2538" s="93" t="s">
        <v>189</v>
      </c>
      <c r="W2538" s="89" t="s">
        <v>155</v>
      </c>
      <c r="X2538" s="106" t="s">
        <v>297</v>
      </c>
      <c r="Y2538" s="107" t="s">
        <v>12</v>
      </c>
      <c r="Z2538" s="67">
        <f>IF(База_КР_КК[[#This Row],[Таб.номер резервиста]]="-","-",IF(OR(База_КР_КК[[#This Row],[Уровень КК]]=2,База_КР_КК[[#This Row],[Уровень КК]]=3),IF(COUNTIFS($U$2:$U2538,$U2538,$F$2:$F2538,$F2538)=1,1,0),IF(COUNTIFS($U$2:$U2538,$U2538,$L$2:$L2538,$L2538)=1,1,0)))</f>
        <v>1</v>
      </c>
      <c r="AA25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8" s="106"/>
      <c r="AC2538" s="51"/>
      <c r="AD2538" s="106" t="s">
        <v>13</v>
      </c>
      <c r="AE2538" s="38" t="s">
        <v>352</v>
      </c>
    </row>
    <row r="2539" spans="1:31" ht="18" customHeight="1" x14ac:dyDescent="0.25">
      <c r="A25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39" s="79">
        <v>3</v>
      </c>
      <c r="C2539" s="23">
        <v>44894</v>
      </c>
      <c r="D2539" s="67">
        <f>IF(COUNTIF($G$2:$G2539,$G2539)=1,1,0)</f>
        <v>0</v>
      </c>
      <c r="E2539" s="67" t="str">
        <f>IFERROR(VLOOKUP(База_КР_КК[[#This Row],[ИД штатной должности (S)]],'уровень защищенности'!$B$7:$F$1095,5,0),"не защищена")</f>
        <v>средний</v>
      </c>
      <c r="F2539" s="68">
        <v>500600</v>
      </c>
      <c r="G2539" s="74" t="s">
        <v>2780</v>
      </c>
      <c r="H2539" s="181">
        <f>INDEX('Списки данных'!$D$2:$D$1048576,MATCH(База_КР_КК[[#This Row],[Структурное подразделение]],'Списки данных'!$C$2:$C$1048576,0))</f>
        <v>381</v>
      </c>
      <c r="I2539" s="80" t="s">
        <v>155</v>
      </c>
      <c r="J2539" s="80" t="s">
        <v>240</v>
      </c>
      <c r="K2539" s="80" t="s">
        <v>21</v>
      </c>
      <c r="L2539" s="30" t="s">
        <v>179</v>
      </c>
      <c r="M2539" s="68">
        <v>4</v>
      </c>
      <c r="N2539" s="181" t="str">
        <f t="shared" si="40"/>
        <v>нет</v>
      </c>
      <c r="O2539" s="23"/>
      <c r="P2539" s="23"/>
      <c r="Q2539" s="106"/>
      <c r="R2539" s="37">
        <v>606</v>
      </c>
      <c r="S2539" s="39" t="s">
        <v>1015</v>
      </c>
      <c r="T2539" s="37">
        <v>1705</v>
      </c>
      <c r="U2539" s="38" t="s">
        <v>1868</v>
      </c>
      <c r="V2539" s="93" t="s">
        <v>189</v>
      </c>
      <c r="W2539" s="89" t="s">
        <v>155</v>
      </c>
      <c r="X2539" s="106" t="s">
        <v>296</v>
      </c>
      <c r="Y2539" s="107" t="s">
        <v>12</v>
      </c>
      <c r="Z2539" s="67">
        <f>IF(База_КР_КК[[#This Row],[Таб.номер резервиста]]="-","-",IF(OR(База_КР_КК[[#This Row],[Уровень КК]]=2,База_КР_КК[[#This Row],[Уровень КК]]=3),IF(COUNTIFS($U$2:$U2539,$U2539,$F$2:$F2539,$F2539)=1,1,0),IF(COUNTIFS($U$2:$U2539,$U2539,$L$2:$L2539,$L2539)=1,1,0)))</f>
        <v>1</v>
      </c>
      <c r="AA25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39" s="106"/>
      <c r="AC2539" s="51"/>
      <c r="AD2539" s="106" t="s">
        <v>15</v>
      </c>
      <c r="AE2539" s="38" t="s">
        <v>352</v>
      </c>
    </row>
    <row r="2540" spans="1:31" ht="18" customHeight="1" x14ac:dyDescent="0.25">
      <c r="A25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40" s="79">
        <v>3</v>
      </c>
      <c r="C2540" s="23">
        <v>43399</v>
      </c>
      <c r="D2540" s="67">
        <f>IF(COUNTIF($G$2:$G2540,$G2540)=1,1,0)</f>
        <v>0</v>
      </c>
      <c r="E2540" s="67" t="str">
        <f>IFERROR(VLOOKUP(База_КР_КК[[#This Row],[ИД штатной должности (S)]],'уровень защищенности'!$B$7:$F$1095,5,0),"не защищена")</f>
        <v>средний</v>
      </c>
      <c r="F2540" s="68">
        <v>500600</v>
      </c>
      <c r="G2540" s="74" t="s">
        <v>2780</v>
      </c>
      <c r="H2540" s="181">
        <f>INDEX('Списки данных'!$D$2:$D$1048576,MATCH(База_КР_КК[[#This Row],[Структурное подразделение]],'Списки данных'!$C$2:$C$1048576,0))</f>
        <v>381</v>
      </c>
      <c r="I2540" s="80" t="s">
        <v>155</v>
      </c>
      <c r="J2540" s="80" t="s">
        <v>240</v>
      </c>
      <c r="K2540" s="80" t="s">
        <v>21</v>
      </c>
      <c r="L2540" s="30" t="s">
        <v>179</v>
      </c>
      <c r="M2540" s="68">
        <v>4</v>
      </c>
      <c r="N2540" s="181" t="str">
        <f t="shared" si="40"/>
        <v>нет</v>
      </c>
      <c r="O2540" s="23"/>
      <c r="P2540" s="23"/>
      <c r="Q2540" s="106"/>
      <c r="R2540" s="37">
        <v>606</v>
      </c>
      <c r="S2540" s="39" t="s">
        <v>1015</v>
      </c>
      <c r="T2540" s="37">
        <v>1706</v>
      </c>
      <c r="U2540" s="38" t="s">
        <v>2004</v>
      </c>
      <c r="V2540" s="93" t="s">
        <v>180</v>
      </c>
      <c r="W2540" s="89" t="s">
        <v>287</v>
      </c>
      <c r="X2540" s="106" t="s">
        <v>297</v>
      </c>
      <c r="Y2540" s="107" t="s">
        <v>18</v>
      </c>
      <c r="Z2540" s="67">
        <f>IF(База_КР_КК[[#This Row],[Таб.номер резервиста]]="-","-",IF(OR(База_КР_КК[[#This Row],[Уровень КК]]=2,База_КР_КК[[#This Row],[Уровень КК]]=3),IF(COUNTIFS($U$2:$U2540,$U2540,$F$2:$F2540,$F2540)=1,1,0),IF(COUNTIFS($U$2:$U2540,$U2540,$L$2:$L2540,$L2540)=1,1,0)))</f>
        <v>1</v>
      </c>
      <c r="AA25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0" s="106" t="s">
        <v>33</v>
      </c>
      <c r="AC2540" s="51">
        <v>44894</v>
      </c>
      <c r="AD2540" s="106" t="s">
        <v>31</v>
      </c>
      <c r="AE2540" s="38" t="s">
        <v>352</v>
      </c>
    </row>
    <row r="2541" spans="1:31" ht="18" customHeight="1" x14ac:dyDescent="0.25">
      <c r="A25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41" s="79">
        <v>3</v>
      </c>
      <c r="C2541" s="23">
        <v>44733</v>
      </c>
      <c r="D2541" s="67">
        <f>IF(COUNTIF($G$2:$G2541,$G2541)=1,1,0)</f>
        <v>1</v>
      </c>
      <c r="E2541" s="67" t="str">
        <f>IFERROR(VLOOKUP(База_КР_КК[[#This Row],[ИД штатной должности (S)]],'уровень защищенности'!$B$7:$F$1095,5,0),"не защищена")</f>
        <v>высокий</v>
      </c>
      <c r="F2541" s="68">
        <v>500598</v>
      </c>
      <c r="G2541" s="74" t="s">
        <v>2781</v>
      </c>
      <c r="H2541" s="181">
        <f>INDEX('Списки данных'!$D$2:$D$1048576,MATCH(База_КР_КК[[#This Row],[Структурное подразделение]],'Списки данных'!$C$2:$C$1048576,0))</f>
        <v>381</v>
      </c>
      <c r="I2541" s="80" t="s">
        <v>155</v>
      </c>
      <c r="J2541" s="80" t="s">
        <v>240</v>
      </c>
      <c r="K2541" s="80" t="s">
        <v>21</v>
      </c>
      <c r="L2541" s="30" t="s">
        <v>187</v>
      </c>
      <c r="M2541" s="68">
        <v>6</v>
      </c>
      <c r="N2541" s="181" t="str">
        <f t="shared" si="40"/>
        <v>нет</v>
      </c>
      <c r="O2541" s="23"/>
      <c r="P2541" s="23"/>
      <c r="Q2541" s="106"/>
      <c r="R2541" s="37">
        <v>607</v>
      </c>
      <c r="S2541" s="39" t="s">
        <v>1016</v>
      </c>
      <c r="T2541" s="37">
        <v>1705</v>
      </c>
      <c r="U2541" s="38" t="s">
        <v>1868</v>
      </c>
      <c r="V2541" s="93" t="s">
        <v>189</v>
      </c>
      <c r="W2541" s="89" t="s">
        <v>155</v>
      </c>
      <c r="X2541" s="106" t="s">
        <v>295</v>
      </c>
      <c r="Y2541" s="107" t="s">
        <v>12</v>
      </c>
      <c r="Z2541" s="67">
        <f>IF(База_КР_КК[[#This Row],[Таб.номер резервиста]]="-","-",IF(OR(База_КР_КК[[#This Row],[Уровень КК]]=2,База_КР_КК[[#This Row],[Уровень КК]]=3),IF(COUNTIFS($U$2:$U2541,$U2541,$F$2:$F2541,$F2541)=1,1,0),IF(COUNTIFS($U$2:$U2541,$U2541,$L$2:$L2541,$L2541)=1,1,0)))</f>
        <v>1</v>
      </c>
      <c r="AA25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1" s="106"/>
      <c r="AC2541" s="51"/>
      <c r="AD2541" s="106" t="s">
        <v>15</v>
      </c>
      <c r="AE2541" s="38" t="s">
        <v>364</v>
      </c>
    </row>
    <row r="2542" spans="1:31" ht="18" customHeight="1" x14ac:dyDescent="0.25">
      <c r="A25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42" s="79">
        <v>3</v>
      </c>
      <c r="C2542" s="23">
        <v>44733</v>
      </c>
      <c r="D2542" s="67">
        <f>IF(COUNTIF($G$2:$G2542,$G2542)=1,1,0)</f>
        <v>1</v>
      </c>
      <c r="E2542" s="67" t="str">
        <f>IFERROR(VLOOKUP(База_КР_КК[[#This Row],[ИД штатной должности (S)]],'уровень защищенности'!$B$7:$F$1095,5,0),"не защищена")</f>
        <v>средний</v>
      </c>
      <c r="F2542" s="68">
        <v>500601</v>
      </c>
      <c r="G2542" s="74" t="s">
        <v>2782</v>
      </c>
      <c r="H2542" s="181">
        <f>INDEX('Списки данных'!$D$2:$D$1048576,MATCH(База_КР_КК[[#This Row],[Структурное подразделение]],'Списки данных'!$C$2:$C$1048576,0))</f>
        <v>381</v>
      </c>
      <c r="I2542" s="80" t="s">
        <v>155</v>
      </c>
      <c r="J2542" s="80" t="s">
        <v>240</v>
      </c>
      <c r="K2542" s="80" t="s">
        <v>21</v>
      </c>
      <c r="L2542" s="30" t="s">
        <v>187</v>
      </c>
      <c r="M2542" s="68">
        <v>6</v>
      </c>
      <c r="N2542" s="181" t="str">
        <f t="shared" si="40"/>
        <v>нет</v>
      </c>
      <c r="O2542" s="23"/>
      <c r="P2542" s="23"/>
      <c r="Q2542" s="106"/>
      <c r="R2542" s="37">
        <v>608</v>
      </c>
      <c r="S2542" s="39" t="s">
        <v>1017</v>
      </c>
      <c r="T2542" s="37">
        <v>1707</v>
      </c>
      <c r="U2542" s="38" t="s">
        <v>1925</v>
      </c>
      <c r="V2542" s="93" t="s">
        <v>16</v>
      </c>
      <c r="W2542" s="89" t="s">
        <v>155</v>
      </c>
      <c r="X2542" s="106" t="s">
        <v>296</v>
      </c>
      <c r="Y2542" s="107" t="s">
        <v>12</v>
      </c>
      <c r="Z2542" s="67">
        <f>IF(База_КР_КК[[#This Row],[Таб.номер резервиста]]="-","-",IF(OR(База_КР_КК[[#This Row],[Уровень КК]]=2,База_КР_КК[[#This Row],[Уровень КК]]=3),IF(COUNTIFS($U$2:$U2542,$U2542,$F$2:$F2542,$F2542)=1,1,0),IF(COUNTIFS($U$2:$U2542,$U2542,$L$2:$L2542,$L2542)=1,1,0)))</f>
        <v>1</v>
      </c>
      <c r="AA25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2" s="106"/>
      <c r="AC2542" s="51"/>
      <c r="AD2542" s="106" t="s">
        <v>13</v>
      </c>
      <c r="AE2542" s="38" t="s">
        <v>364</v>
      </c>
    </row>
    <row r="2543" spans="1:31" ht="18" customHeight="1" x14ac:dyDescent="0.25">
      <c r="A25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43" s="79">
        <v>3</v>
      </c>
      <c r="C2543" s="23">
        <v>44733</v>
      </c>
      <c r="D2543" s="67">
        <f>IF(COUNTIF($G$2:$G2543,$G2543)=1,1,0)</f>
        <v>0</v>
      </c>
      <c r="E2543" s="67" t="str">
        <f>IFERROR(VLOOKUP(База_КР_КК[[#This Row],[ИД штатной должности (S)]],'уровень защищенности'!$B$7:$F$1095,5,0),"не защищена")</f>
        <v>средний</v>
      </c>
      <c r="F2543" s="68">
        <v>500601</v>
      </c>
      <c r="G2543" s="74" t="s">
        <v>2782</v>
      </c>
      <c r="H2543" s="181">
        <f>INDEX('Списки данных'!$D$2:$D$1048576,MATCH(База_КР_КК[[#This Row],[Структурное подразделение]],'Списки данных'!$C$2:$C$1048576,0))</f>
        <v>381</v>
      </c>
      <c r="I2543" s="80" t="s">
        <v>155</v>
      </c>
      <c r="J2543" s="80" t="s">
        <v>240</v>
      </c>
      <c r="K2543" s="80" t="s">
        <v>21</v>
      </c>
      <c r="L2543" s="30" t="s">
        <v>187</v>
      </c>
      <c r="M2543" s="68">
        <v>6</v>
      </c>
      <c r="N2543" s="181" t="str">
        <f t="shared" si="40"/>
        <v>нет</v>
      </c>
      <c r="O2543" s="23"/>
      <c r="P2543" s="23"/>
      <c r="Q2543" s="106"/>
      <c r="R2543" s="37">
        <v>608</v>
      </c>
      <c r="S2543" s="39" t="s">
        <v>1017</v>
      </c>
      <c r="T2543" s="37">
        <v>1708</v>
      </c>
      <c r="U2543" s="38" t="s">
        <v>2005</v>
      </c>
      <c r="V2543" s="88" t="s">
        <v>16</v>
      </c>
      <c r="W2543" s="89" t="s">
        <v>155</v>
      </c>
      <c r="X2543" s="106" t="s">
        <v>297</v>
      </c>
      <c r="Y2543" s="107" t="s">
        <v>12</v>
      </c>
      <c r="Z2543" s="67">
        <f>IF(База_КР_КК[[#This Row],[Таб.номер резервиста]]="-","-",IF(OR(База_КР_КК[[#This Row],[Уровень КК]]=2,База_КР_КК[[#This Row],[Уровень КК]]=3),IF(COUNTIFS($U$2:$U2543,$U2543,$F$2:$F2543,$F2543)=1,1,0),IF(COUNTIFS($U$2:$U2543,$U2543,$L$2:$L2543,$L2543)=1,1,0)))</f>
        <v>1</v>
      </c>
      <c r="AA25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3" s="106"/>
      <c r="AC2543" s="51"/>
      <c r="AD2543" s="106" t="s">
        <v>17</v>
      </c>
      <c r="AE2543" s="38" t="s">
        <v>364</v>
      </c>
    </row>
    <row r="2544" spans="1:31" ht="18" customHeight="1" x14ac:dyDescent="0.25">
      <c r="A25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44" s="79">
        <v>3</v>
      </c>
      <c r="C2544" s="27">
        <v>44781</v>
      </c>
      <c r="D2544" s="67">
        <f>IF(COUNTIF($G$2:$G2544,$G2544)=1,1,0)</f>
        <v>1</v>
      </c>
      <c r="E2544" s="67" t="str">
        <f>IFERROR(VLOOKUP(База_КР_КК[[#This Row],[ИД штатной должности (S)]],'уровень защищенности'!$B$7:$F$1095,5,0),"не защищена")</f>
        <v>средний</v>
      </c>
      <c r="F2544" s="68">
        <v>500615</v>
      </c>
      <c r="G2544" s="74" t="s">
        <v>2783</v>
      </c>
      <c r="H2544" s="181">
        <f>INDEX('Списки данных'!$D$2:$D$1048576,MATCH(База_КР_КК[[#This Row],[Структурное подразделение]],'Списки данных'!$C$2:$C$1048576,0))</f>
        <v>81</v>
      </c>
      <c r="I2544" s="80" t="s">
        <v>142</v>
      </c>
      <c r="J2544" s="80" t="s">
        <v>241</v>
      </c>
      <c r="K2544" s="80" t="s">
        <v>21</v>
      </c>
      <c r="L2544" s="30" t="s">
        <v>183</v>
      </c>
      <c r="M2544" s="68">
        <v>5</v>
      </c>
      <c r="N2544" s="181" t="str">
        <f t="shared" si="40"/>
        <v>нет</v>
      </c>
      <c r="O2544" s="51"/>
      <c r="P2544" s="51"/>
      <c r="Q2544" s="106"/>
      <c r="R2544" s="37">
        <v>609</v>
      </c>
      <c r="S2544" s="39" t="s">
        <v>1018</v>
      </c>
      <c r="T2544" s="37">
        <v>1709</v>
      </c>
      <c r="U2544" s="38" t="s">
        <v>2006</v>
      </c>
      <c r="V2544" s="95" t="s">
        <v>189</v>
      </c>
      <c r="W2544" s="86" t="s">
        <v>142</v>
      </c>
      <c r="X2544" s="106" t="s">
        <v>297</v>
      </c>
      <c r="Y2544" s="107" t="s">
        <v>12</v>
      </c>
      <c r="Z2544" s="67">
        <f>IF(База_КР_КК[[#This Row],[Таб.номер резервиста]]="-","-",IF(OR(База_КР_КК[[#This Row],[Уровень КК]]=2,База_КР_КК[[#This Row],[Уровень КК]]=3),IF(COUNTIFS($U$2:$U2544,$U2544,$F$2:$F2544,$F2544)=1,1,0),IF(COUNTIFS($U$2:$U2544,$U2544,$L$2:$L2544,$L2544)=1,1,0)))</f>
        <v>1</v>
      </c>
      <c r="AA25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4" s="106"/>
      <c r="AC2544" s="51"/>
      <c r="AD2544" s="106" t="s">
        <v>15</v>
      </c>
      <c r="AE2544" s="38" t="s">
        <v>359</v>
      </c>
    </row>
    <row r="2545" spans="1:31" ht="18" customHeight="1" x14ac:dyDescent="0.25">
      <c r="A25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45" s="79">
        <v>4</v>
      </c>
      <c r="C2545" s="23">
        <v>44588</v>
      </c>
      <c r="D2545" s="67">
        <f>IF(COUNTIF($G$2:$G2545,$G2545)=1,1,0)</f>
        <v>1</v>
      </c>
      <c r="E2545" s="67" t="str">
        <f>IFERROR(VLOOKUP(База_КР_КК[[#This Row],[ИД штатной должности (S)]],'уровень защищенности'!$B$7:$F$1095,5,0),"не защищена")</f>
        <v>высокий</v>
      </c>
      <c r="F2545" s="68">
        <v>500628</v>
      </c>
      <c r="G2545" s="74" t="s">
        <v>2784</v>
      </c>
      <c r="H2545" s="181">
        <f>INDEX('Списки данных'!$D$2:$D$1048576,MATCH(База_КР_КК[[#This Row],[Структурное подразделение]],'Списки данных'!$C$2:$C$1048576,0))</f>
        <v>31</v>
      </c>
      <c r="I2545" s="80" t="s">
        <v>156</v>
      </c>
      <c r="J2545" s="80" t="s">
        <v>223</v>
      </c>
      <c r="K2545" s="80" t="s">
        <v>21</v>
      </c>
      <c r="L2545" s="30" t="s">
        <v>198</v>
      </c>
      <c r="M2545" s="68">
        <v>6</v>
      </c>
      <c r="N2545" s="181" t="str">
        <f t="shared" si="40"/>
        <v>нет</v>
      </c>
      <c r="O2545" s="23"/>
      <c r="P2545" s="23"/>
      <c r="Q2545" s="106"/>
      <c r="R2545" s="37">
        <v>610</v>
      </c>
      <c r="S2545" s="39" t="s">
        <v>1019</v>
      </c>
      <c r="T2545" s="37">
        <v>611</v>
      </c>
      <c r="U2545" s="38" t="s">
        <v>1020</v>
      </c>
      <c r="V2545" s="93" t="s">
        <v>192</v>
      </c>
      <c r="W2545" s="89" t="s">
        <v>156</v>
      </c>
      <c r="X2545" s="106" t="s">
        <v>295</v>
      </c>
      <c r="Y2545" s="107" t="s">
        <v>12</v>
      </c>
      <c r="Z2545" s="67">
        <f>IF(База_КР_КК[[#This Row],[Таб.номер резервиста]]="-","-",IF(OR(База_КР_КК[[#This Row],[Уровень КК]]=2,База_КР_КК[[#This Row],[Уровень КК]]=3),IF(COUNTIFS($U$2:$U2545,$U2545,$F$2:$F2545,$F2545)=1,1,0),IF(COUNTIFS($U$2:$U2545,$U2545,$L$2:$L2545,$L2545)=1,1,0)))</f>
        <v>1</v>
      </c>
      <c r="AA25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5" s="106"/>
      <c r="AC2545" s="51"/>
      <c r="AD2545" s="106" t="s">
        <v>15</v>
      </c>
      <c r="AE2545" s="38" t="s">
        <v>360</v>
      </c>
    </row>
    <row r="2546" spans="1:31" ht="18" customHeight="1" x14ac:dyDescent="0.25">
      <c r="A25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46" s="79">
        <v>4</v>
      </c>
      <c r="C2546" s="23">
        <v>44922</v>
      </c>
      <c r="D2546" s="67">
        <f>IF(COUNTIF($G$2:$G2546,$G2546)=1,1,0)</f>
        <v>0</v>
      </c>
      <c r="E2546" s="67" t="str">
        <f>IFERROR(VLOOKUP(База_КР_КК[[#This Row],[ИД штатной должности (S)]],'уровень защищенности'!$B$7:$F$1095,5,0),"не защищена")</f>
        <v>высокий</v>
      </c>
      <c r="F2546" s="68">
        <v>500628</v>
      </c>
      <c r="G2546" s="74" t="s">
        <v>2784</v>
      </c>
      <c r="H2546" s="181">
        <f>INDEX('Списки данных'!$D$2:$D$1048576,MATCH(База_КР_КК[[#This Row],[Структурное подразделение]],'Списки данных'!$C$2:$C$1048576,0))</f>
        <v>31</v>
      </c>
      <c r="I2546" s="80" t="s">
        <v>156</v>
      </c>
      <c r="J2546" s="80" t="s">
        <v>223</v>
      </c>
      <c r="K2546" s="80" t="s">
        <v>21</v>
      </c>
      <c r="L2546" s="30" t="s">
        <v>198</v>
      </c>
      <c r="M2546" s="68">
        <v>6</v>
      </c>
      <c r="N2546" s="181" t="str">
        <f t="shared" si="40"/>
        <v>нет</v>
      </c>
      <c r="O2546" s="23"/>
      <c r="P2546" s="23"/>
      <c r="Q2546" s="106"/>
      <c r="R2546" s="37">
        <v>610</v>
      </c>
      <c r="S2546" s="39" t="s">
        <v>1019</v>
      </c>
      <c r="T2546" s="37">
        <v>1710</v>
      </c>
      <c r="U2546" s="38" t="s">
        <v>1770</v>
      </c>
      <c r="V2546" s="93" t="s">
        <v>16</v>
      </c>
      <c r="W2546" s="89" t="s">
        <v>156</v>
      </c>
      <c r="X2546" s="106" t="s">
        <v>296</v>
      </c>
      <c r="Y2546" s="107" t="s">
        <v>12</v>
      </c>
      <c r="Z2546" s="67">
        <f>IF(База_КР_КК[[#This Row],[Таб.номер резервиста]]="-","-",IF(OR(База_КР_КК[[#This Row],[Уровень КК]]=2,База_КР_КК[[#This Row],[Уровень КК]]=3),IF(COUNTIFS($U$2:$U2546,$U2546,$F$2:$F2546,$F2546)=1,1,0),IF(COUNTIFS($U$2:$U2546,$U2546,$L$2:$L2546,$L2546)=1,1,0)))</f>
        <v>1</v>
      </c>
      <c r="AA25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6" s="106"/>
      <c r="AC2546" s="51"/>
      <c r="AD2546" s="106" t="s">
        <v>15</v>
      </c>
      <c r="AE2546" s="38" t="s">
        <v>362</v>
      </c>
    </row>
    <row r="2547" spans="1:31" ht="18" customHeight="1" x14ac:dyDescent="0.25">
      <c r="A25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47" s="79">
        <v>4</v>
      </c>
      <c r="C2547" s="23">
        <v>44922</v>
      </c>
      <c r="D2547" s="67">
        <f>IF(COUNTIF($G$2:$G2547,$G2547)=1,1,0)</f>
        <v>1</v>
      </c>
      <c r="E2547" s="67" t="str">
        <f>IFERROR(VLOOKUP(База_КР_КК[[#This Row],[ИД штатной должности (S)]],'уровень защищенности'!$B$7:$F$1095,5,0),"не защищена")</f>
        <v>низкий</v>
      </c>
      <c r="F2547" s="68">
        <v>500629</v>
      </c>
      <c r="G2547" s="74" t="s">
        <v>2785</v>
      </c>
      <c r="H2547" s="181">
        <f>INDEX('Списки данных'!$D$2:$D$1048576,MATCH(База_КР_КК[[#This Row],[Структурное подразделение]],'Списки данных'!$C$2:$C$1048576,0))</f>
        <v>31</v>
      </c>
      <c r="I2547" s="80" t="s">
        <v>156</v>
      </c>
      <c r="J2547" s="80" t="s">
        <v>223</v>
      </c>
      <c r="K2547" s="80" t="s">
        <v>21</v>
      </c>
      <c r="L2547" s="30" t="s">
        <v>191</v>
      </c>
      <c r="M2547" s="68">
        <v>7</v>
      </c>
      <c r="N2547" s="181" t="str">
        <f t="shared" si="40"/>
        <v>нет</v>
      </c>
      <c r="O2547" s="23"/>
      <c r="P2547" s="23"/>
      <c r="Q2547" s="106"/>
      <c r="R2547" s="37">
        <v>611</v>
      </c>
      <c r="S2547" s="39" t="s">
        <v>1020</v>
      </c>
      <c r="T2547" s="37">
        <v>1711</v>
      </c>
      <c r="U2547" s="38" t="s">
        <v>2007</v>
      </c>
      <c r="V2547" s="93" t="s">
        <v>272</v>
      </c>
      <c r="W2547" s="89" t="s">
        <v>156</v>
      </c>
      <c r="X2547" s="106" t="s">
        <v>296</v>
      </c>
      <c r="Y2547" s="107" t="s">
        <v>12</v>
      </c>
      <c r="Z2547" s="67">
        <f>IF(База_КР_КК[[#This Row],[Таб.номер резервиста]]="-","-",IF(OR(База_КР_КК[[#This Row],[Уровень КК]]=2,База_КР_КК[[#This Row],[Уровень КК]]=3),IF(COUNTIFS($U$2:$U2547,$U2547,$F$2:$F2547,$F2547)=1,1,0),IF(COUNTIFS($U$2:$U2547,$U2547,$L$2:$L2547,$L2547)=1,1,0)))</f>
        <v>1</v>
      </c>
      <c r="AA25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7" s="106"/>
      <c r="AC2547" s="51"/>
      <c r="AD2547" s="106" t="s">
        <v>15</v>
      </c>
      <c r="AE2547" s="38" t="s">
        <v>362</v>
      </c>
    </row>
    <row r="2548" spans="1:31" ht="18" customHeight="1" x14ac:dyDescent="0.25">
      <c r="A25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48" s="79">
        <v>4</v>
      </c>
      <c r="C2548" s="23">
        <v>44922</v>
      </c>
      <c r="D2548" s="67">
        <f>IF(COUNTIF($G$2:$G2548,$G2548)=1,1,0)</f>
        <v>0</v>
      </c>
      <c r="E2548" s="67" t="str">
        <f>IFERROR(VLOOKUP(База_КР_КК[[#This Row],[ИД штатной должности (S)]],'уровень защищенности'!$B$7:$F$1095,5,0),"не защищена")</f>
        <v>низкий</v>
      </c>
      <c r="F2548" s="68">
        <v>500629</v>
      </c>
      <c r="G2548" s="74" t="s">
        <v>2785</v>
      </c>
      <c r="H2548" s="181">
        <f>INDEX('Списки данных'!$D$2:$D$1048576,MATCH(База_КР_КК[[#This Row],[Структурное подразделение]],'Списки данных'!$C$2:$C$1048576,0))</f>
        <v>31</v>
      </c>
      <c r="I2548" s="80" t="s">
        <v>156</v>
      </c>
      <c r="J2548" s="80" t="s">
        <v>223</v>
      </c>
      <c r="K2548" s="80" t="s">
        <v>21</v>
      </c>
      <c r="L2548" s="30" t="s">
        <v>191</v>
      </c>
      <c r="M2548" s="68">
        <v>7</v>
      </c>
      <c r="N2548" s="181" t="str">
        <f t="shared" si="40"/>
        <v>нет</v>
      </c>
      <c r="O2548" s="23"/>
      <c r="P2548" s="23"/>
      <c r="Q2548" s="106"/>
      <c r="R2548" s="37">
        <v>611</v>
      </c>
      <c r="S2548" s="39" t="s">
        <v>1020</v>
      </c>
      <c r="T2548" s="37">
        <v>626</v>
      </c>
      <c r="U2548" s="38" t="s">
        <v>1035</v>
      </c>
      <c r="V2548" s="69" t="s">
        <v>272</v>
      </c>
      <c r="W2548" s="89" t="s">
        <v>156</v>
      </c>
      <c r="X2548" s="106" t="s">
        <v>296</v>
      </c>
      <c r="Y2548" s="107" t="s">
        <v>14</v>
      </c>
      <c r="Z2548" s="67">
        <f>IF(База_КР_КК[[#This Row],[Таб.номер резервиста]]="-","-",IF(OR(База_КР_КК[[#This Row],[Уровень КК]]=2,База_КР_КК[[#This Row],[Уровень КК]]=3),IF(COUNTIFS($U$2:$U2548,$U2548,$F$2:$F2548,$F2548)=1,1,0),IF(COUNTIFS($U$2:$U2548,$U2548,$L$2:$L2548,$L2548)=1,1,0)))</f>
        <v>0</v>
      </c>
      <c r="AA25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8" s="33" t="s">
        <v>24</v>
      </c>
      <c r="AC2548" s="52">
        <v>44991</v>
      </c>
      <c r="AD2548" s="106" t="s">
        <v>15</v>
      </c>
      <c r="AE2548" s="38" t="s">
        <v>362</v>
      </c>
    </row>
    <row r="2549" spans="1:31" ht="18" customHeight="1" x14ac:dyDescent="0.25">
      <c r="A25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49" s="79">
        <v>4</v>
      </c>
      <c r="C2549" s="23">
        <v>44922</v>
      </c>
      <c r="D2549" s="67">
        <f>IF(COUNTIF($G$2:$G2549,$G2549)=1,1,0)</f>
        <v>1</v>
      </c>
      <c r="E2549" s="67" t="str">
        <f>IFERROR(VLOOKUP(База_КР_КК[[#This Row],[ИД штатной должности (S)]],'уровень защищенности'!$B$7:$F$1095,5,0),"не защищена")</f>
        <v>низкий</v>
      </c>
      <c r="F2549" s="68">
        <v>500629</v>
      </c>
      <c r="G2549" s="74" t="s">
        <v>2786</v>
      </c>
      <c r="H2549" s="181">
        <f>INDEX('Списки данных'!$D$2:$D$1048576,MATCH(База_КР_КК[[#This Row],[Структурное подразделение]],'Списки данных'!$C$2:$C$1048576,0))</f>
        <v>31</v>
      </c>
      <c r="I2549" s="80" t="s">
        <v>156</v>
      </c>
      <c r="J2549" s="80" t="s">
        <v>223</v>
      </c>
      <c r="K2549" s="80" t="s">
        <v>21</v>
      </c>
      <c r="L2549" s="30" t="s">
        <v>191</v>
      </c>
      <c r="M2549" s="68">
        <v>7</v>
      </c>
      <c r="N2549" s="181" t="str">
        <f t="shared" si="40"/>
        <v>да</v>
      </c>
      <c r="O2549" s="23">
        <v>44606</v>
      </c>
      <c r="P2549" s="23">
        <v>44606</v>
      </c>
      <c r="Q2549" s="106" t="s">
        <v>66</v>
      </c>
      <c r="R2549" s="37">
        <v>612</v>
      </c>
      <c r="S2549" s="39" t="s">
        <v>1021</v>
      </c>
      <c r="T2549" s="37">
        <v>1711</v>
      </c>
      <c r="U2549" s="38" t="s">
        <v>2007</v>
      </c>
      <c r="V2549" s="69" t="s">
        <v>272</v>
      </c>
      <c r="W2549" s="89" t="s">
        <v>156</v>
      </c>
      <c r="X2549" s="106" t="s">
        <v>296</v>
      </c>
      <c r="Y2549" s="107" t="s">
        <v>12</v>
      </c>
      <c r="Z2549" s="67">
        <f>IF(База_КР_КК[[#This Row],[Таб.номер резервиста]]="-","-",IF(OR(База_КР_КК[[#This Row],[Уровень КК]]=2,База_КР_КК[[#This Row],[Уровень КК]]=3),IF(COUNTIFS($U$2:$U2549,$U2549,$F$2:$F2549,$F2549)=1,1,0),IF(COUNTIFS($U$2:$U2549,$U2549,$L$2:$L2549,$L2549)=1,1,0)))</f>
        <v>0</v>
      </c>
      <c r="AA25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49" s="106"/>
      <c r="AC2549" s="51"/>
      <c r="AD2549" s="106" t="s">
        <v>15</v>
      </c>
      <c r="AE2549" s="38" t="s">
        <v>362</v>
      </c>
    </row>
    <row r="2550" spans="1:31" ht="18" customHeight="1" x14ac:dyDescent="0.25">
      <c r="A25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50" s="79">
        <v>4</v>
      </c>
      <c r="C2550" s="23">
        <v>44588</v>
      </c>
      <c r="D2550" s="67">
        <f>IF(COUNTIF($G$2:$G2550,$G2550)=1,1,0)</f>
        <v>0</v>
      </c>
      <c r="E2550" s="67" t="str">
        <f>IFERROR(VLOOKUP(База_КР_КК[[#This Row],[ИД штатной должности (S)]],'уровень защищенности'!$B$7:$F$1095,5,0),"не защищена")</f>
        <v>низкий</v>
      </c>
      <c r="F2550" s="68">
        <v>500629</v>
      </c>
      <c r="G2550" s="74" t="s">
        <v>2786</v>
      </c>
      <c r="H2550" s="181">
        <f>INDEX('Списки данных'!$D$2:$D$1048576,MATCH(База_КР_КК[[#This Row],[Структурное подразделение]],'Списки данных'!$C$2:$C$1048576,0))</f>
        <v>31</v>
      </c>
      <c r="I2550" s="80" t="s">
        <v>156</v>
      </c>
      <c r="J2550" s="80" t="s">
        <v>223</v>
      </c>
      <c r="K2550" s="80" t="s">
        <v>21</v>
      </c>
      <c r="L2550" s="30" t="s">
        <v>191</v>
      </c>
      <c r="M2550" s="68">
        <v>7</v>
      </c>
      <c r="N2550" s="181" t="str">
        <f t="shared" si="40"/>
        <v>да</v>
      </c>
      <c r="O2550" s="23">
        <v>44606</v>
      </c>
      <c r="P2550" s="23">
        <v>44606</v>
      </c>
      <c r="Q2550" s="106" t="s">
        <v>66</v>
      </c>
      <c r="R2550" s="37">
        <v>612</v>
      </c>
      <c r="S2550" s="39" t="s">
        <v>1021</v>
      </c>
      <c r="T2550" s="37">
        <v>612</v>
      </c>
      <c r="U2550" s="38" t="s">
        <v>1021</v>
      </c>
      <c r="V2550" s="69" t="s">
        <v>272</v>
      </c>
      <c r="W2550" s="89" t="s">
        <v>156</v>
      </c>
      <c r="X2550" s="106" t="s">
        <v>295</v>
      </c>
      <c r="Y2550" s="107" t="s">
        <v>14</v>
      </c>
      <c r="Z2550" s="67">
        <f>IF(База_КР_КК[[#This Row],[Таб.номер резервиста]]="-","-",IF(OR(База_КР_КК[[#This Row],[Уровень КК]]=2,База_КР_КК[[#This Row],[Уровень КК]]=3),IF(COUNTIFS($U$2:$U2550,$U2550,$F$2:$F2550,$F2550)=1,1,0),IF(COUNTIFS($U$2:$U2550,$U2550,$L$2:$L2550,$L2550)=1,1,0)))</f>
        <v>1</v>
      </c>
      <c r="AA25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550" s="106" t="s">
        <v>24</v>
      </c>
      <c r="AC2550" s="51">
        <v>44606</v>
      </c>
      <c r="AD2550" s="106" t="s">
        <v>15</v>
      </c>
      <c r="AE2550" s="38" t="s">
        <v>360</v>
      </c>
    </row>
    <row r="2551" spans="1:31" ht="18" customHeight="1" x14ac:dyDescent="0.25">
      <c r="A25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51" s="79">
        <v>4</v>
      </c>
      <c r="C2551" s="23">
        <v>44922</v>
      </c>
      <c r="D2551" s="67">
        <f>IF(COUNTIF($G$2:$G2551,$G2551)=1,1,0)</f>
        <v>0</v>
      </c>
      <c r="E2551" s="67" t="str">
        <f>IFERROR(VLOOKUP(База_КР_КК[[#This Row],[ИД штатной должности (S)]],'уровень защищенности'!$B$7:$F$1095,5,0),"не защищена")</f>
        <v>низкий</v>
      </c>
      <c r="F2551" s="68">
        <v>500629</v>
      </c>
      <c r="G2551" s="74" t="s">
        <v>2786</v>
      </c>
      <c r="H2551" s="181">
        <f>INDEX('Списки данных'!$D$2:$D$1048576,MATCH(База_КР_КК[[#This Row],[Структурное подразделение]],'Списки данных'!$C$2:$C$1048576,0))</f>
        <v>31</v>
      </c>
      <c r="I2551" s="80" t="s">
        <v>156</v>
      </c>
      <c r="J2551" s="80" t="s">
        <v>223</v>
      </c>
      <c r="K2551" s="80" t="s">
        <v>21</v>
      </c>
      <c r="L2551" s="30" t="s">
        <v>191</v>
      </c>
      <c r="M2551" s="68">
        <v>7</v>
      </c>
      <c r="N2551" s="181" t="str">
        <f t="shared" si="40"/>
        <v>да</v>
      </c>
      <c r="O2551" s="23">
        <v>44606</v>
      </c>
      <c r="P2551" s="23">
        <v>44606</v>
      </c>
      <c r="Q2551" s="106" t="s">
        <v>66</v>
      </c>
      <c r="R2551" s="37">
        <v>612</v>
      </c>
      <c r="S2551" s="39" t="s">
        <v>1021</v>
      </c>
      <c r="T2551" s="37">
        <v>626</v>
      </c>
      <c r="U2551" s="38" t="s">
        <v>1035</v>
      </c>
      <c r="V2551" s="69" t="s">
        <v>272</v>
      </c>
      <c r="W2551" s="89" t="s">
        <v>156</v>
      </c>
      <c r="X2551" s="106" t="s">
        <v>296</v>
      </c>
      <c r="Y2551" s="107" t="s">
        <v>14</v>
      </c>
      <c r="Z2551" s="67">
        <f>IF(База_КР_КК[[#This Row],[Таб.номер резервиста]]="-","-",IF(OR(База_КР_КК[[#This Row],[Уровень КК]]=2,База_КР_КК[[#This Row],[Уровень КК]]=3),IF(COUNTIFS($U$2:$U2551,$U2551,$F$2:$F2551,$F2551)=1,1,0),IF(COUNTIFS($U$2:$U2551,$U2551,$L$2:$L2551,$L2551)=1,1,0)))</f>
        <v>0</v>
      </c>
      <c r="AA25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1" s="33" t="s">
        <v>24</v>
      </c>
      <c r="AC2551" s="52">
        <v>44991</v>
      </c>
      <c r="AD2551" s="106" t="s">
        <v>15</v>
      </c>
      <c r="AE2551" s="38" t="s">
        <v>362</v>
      </c>
    </row>
    <row r="2552" spans="1:31" ht="18" customHeight="1" x14ac:dyDescent="0.25">
      <c r="A25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52" s="79">
        <v>3</v>
      </c>
      <c r="C2552" s="23">
        <v>44894</v>
      </c>
      <c r="D2552" s="67">
        <f>IF(COUNTIF($G$2:$G2552,$G2552)=1,1,0)</f>
        <v>1</v>
      </c>
      <c r="E2552" s="67" t="str">
        <f>IFERROR(VLOOKUP(База_КР_КК[[#This Row],[ИД штатной должности (S)]],'уровень защищенности'!$B$7:$F$1095,5,0),"не защищена")</f>
        <v>средний</v>
      </c>
      <c r="F2552" s="68">
        <v>500681</v>
      </c>
      <c r="G2552" s="74" t="s">
        <v>2787</v>
      </c>
      <c r="H2552" s="181">
        <f>INDEX('Списки данных'!$D$2:$D$1048576,MATCH(База_КР_КК[[#This Row],[Структурное подразделение]],'Списки данных'!$C$2:$C$1048576,0))</f>
        <v>262</v>
      </c>
      <c r="I2552" s="80" t="s">
        <v>131</v>
      </c>
      <c r="J2552" s="80" t="s">
        <v>232</v>
      </c>
      <c r="K2552" s="80" t="s">
        <v>21</v>
      </c>
      <c r="L2552" s="30" t="s">
        <v>179</v>
      </c>
      <c r="M2552" s="68">
        <v>4</v>
      </c>
      <c r="N2552" s="181" t="str">
        <f t="shared" si="40"/>
        <v>нет</v>
      </c>
      <c r="O2552" s="23"/>
      <c r="P2552" s="23"/>
      <c r="Q2552" s="106"/>
      <c r="R2552" s="37">
        <v>613</v>
      </c>
      <c r="S2552" s="39" t="s">
        <v>1022</v>
      </c>
      <c r="T2552" s="37">
        <v>1712</v>
      </c>
      <c r="U2552" s="38" t="s">
        <v>2008</v>
      </c>
      <c r="V2552" s="69" t="s">
        <v>180</v>
      </c>
      <c r="W2552" s="89" t="s">
        <v>131</v>
      </c>
      <c r="X2552" s="106" t="s">
        <v>297</v>
      </c>
      <c r="Y2552" s="107" t="s">
        <v>12</v>
      </c>
      <c r="Z2552" s="67">
        <f>IF(База_КР_КК[[#This Row],[Таб.номер резервиста]]="-","-",IF(OR(База_КР_КК[[#This Row],[Уровень КК]]=2,База_КР_КК[[#This Row],[Уровень КК]]=3),IF(COUNTIFS($U$2:$U2552,$U2552,$F$2:$F2552,$F2552)=1,1,0),IF(COUNTIFS($U$2:$U2552,$U2552,$L$2:$L2552,$L2552)=1,1,0)))</f>
        <v>1</v>
      </c>
      <c r="AA25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2" s="106"/>
      <c r="AC2552" s="51"/>
      <c r="AD2552" s="106" t="s">
        <v>15</v>
      </c>
      <c r="AE2552" s="38" t="s">
        <v>352</v>
      </c>
    </row>
    <row r="2553" spans="1:31" ht="18" customHeight="1" x14ac:dyDescent="0.25">
      <c r="A25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53" s="79">
        <v>4</v>
      </c>
      <c r="C2553" s="23">
        <v>44922</v>
      </c>
      <c r="D2553" s="67">
        <f>IF(COUNTIF($G$2:$G2553,$G2553)=1,1,0)</f>
        <v>1</v>
      </c>
      <c r="E2553" s="67" t="str">
        <f>IFERROR(VLOOKUP(База_КР_КК[[#This Row],[ИД штатной должности (S)]],'уровень защищенности'!$B$7:$F$1095,5,0),"не защищена")</f>
        <v>низкий</v>
      </c>
      <c r="F2553" s="68">
        <v>500740</v>
      </c>
      <c r="G2553" s="74" t="s">
        <v>2788</v>
      </c>
      <c r="H2553" s="181">
        <f>INDEX('Списки данных'!$D$2:$D$1048576,MATCH(База_КР_КК[[#This Row],[Структурное подразделение]],'Списки данных'!$C$2:$C$1048576,0))</f>
        <v>94</v>
      </c>
      <c r="I2553" s="80" t="s">
        <v>145</v>
      </c>
      <c r="J2553" s="80" t="s">
        <v>233</v>
      </c>
      <c r="K2553" s="80" t="s">
        <v>21</v>
      </c>
      <c r="L2553" s="30" t="s">
        <v>187</v>
      </c>
      <c r="M2553" s="68">
        <v>6</v>
      </c>
      <c r="N2553" s="181" t="str">
        <f t="shared" si="40"/>
        <v>нет</v>
      </c>
      <c r="O2553" s="51"/>
      <c r="P2553" s="51"/>
      <c r="Q2553" s="106"/>
      <c r="R2553" s="37">
        <v>614</v>
      </c>
      <c r="S2553" s="38" t="s">
        <v>1023</v>
      </c>
      <c r="T2553" s="37">
        <v>1594</v>
      </c>
      <c r="U2553" s="38" t="s">
        <v>1931</v>
      </c>
      <c r="V2553" s="89" t="s">
        <v>16</v>
      </c>
      <c r="W2553" s="89" t="s">
        <v>141</v>
      </c>
      <c r="X2553" s="106" t="s">
        <v>296</v>
      </c>
      <c r="Y2553" s="107" t="s">
        <v>12</v>
      </c>
      <c r="Z2553" s="67">
        <f>IF(База_КР_КК[[#This Row],[Таб.номер резервиста]]="-","-",IF(OR(База_КР_КК[[#This Row],[Уровень КК]]=2,База_КР_КК[[#This Row],[Уровень КК]]=3),IF(COUNTIFS($U$2:$U2553,$U2553,$F$2:$F2553,$F2553)=1,1,0),IF(COUNTIFS($U$2:$U2553,$U2553,$L$2:$L2553,$L2553)=1,1,0)))</f>
        <v>1</v>
      </c>
      <c r="AA25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3" s="106"/>
      <c r="AC2553" s="51"/>
      <c r="AD2553" s="106" t="s">
        <v>15</v>
      </c>
      <c r="AE2553" s="38" t="s">
        <v>362</v>
      </c>
    </row>
    <row r="2554" spans="1:31" ht="18" customHeight="1" x14ac:dyDescent="0.25">
      <c r="A25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54" s="79">
        <v>4</v>
      </c>
      <c r="C2554" s="23">
        <v>44588</v>
      </c>
      <c r="D2554" s="67">
        <f>IF(COUNTIF($G$2:$G2554,$G2554)=1,1,0)</f>
        <v>1</v>
      </c>
      <c r="E2554" s="67" t="str">
        <f>IFERROR(VLOOKUP(База_КР_КК[[#This Row],[ИД штатной должности (S)]],'уровень защищенности'!$B$7:$F$1095,5,0),"не защищена")</f>
        <v>средний</v>
      </c>
      <c r="F2554" s="68">
        <v>500120</v>
      </c>
      <c r="G2554" s="74" t="s">
        <v>2789</v>
      </c>
      <c r="H2554" s="181">
        <f>INDEX('Списки данных'!$D$2:$D$1048576,MATCH(База_КР_КК[[#This Row],[Структурное подразделение]],'Списки данных'!$C$2:$C$1048576,0))</f>
        <v>31</v>
      </c>
      <c r="I2554" s="80" t="s">
        <v>156</v>
      </c>
      <c r="J2554" s="80" t="s">
        <v>223</v>
      </c>
      <c r="K2554" s="80" t="s">
        <v>21</v>
      </c>
      <c r="L2554" s="30" t="s">
        <v>191</v>
      </c>
      <c r="M2554" s="68">
        <v>7</v>
      </c>
      <c r="N2554" s="181" t="str">
        <f t="shared" si="40"/>
        <v>да</v>
      </c>
      <c r="O2554" s="23">
        <v>45047</v>
      </c>
      <c r="P2554" s="23"/>
      <c r="Q2554" s="106"/>
      <c r="R2554" s="37" t="s">
        <v>23</v>
      </c>
      <c r="S2554" s="37" t="s">
        <v>23</v>
      </c>
      <c r="T2554" s="37">
        <v>1713</v>
      </c>
      <c r="U2554" s="38" t="s">
        <v>2009</v>
      </c>
      <c r="V2554" s="69" t="s">
        <v>272</v>
      </c>
      <c r="W2554" s="89" t="s">
        <v>156</v>
      </c>
      <c r="X2554" s="106" t="s">
        <v>297</v>
      </c>
      <c r="Y2554" s="107" t="s">
        <v>12</v>
      </c>
      <c r="Z2554" s="67">
        <f>IF(База_КР_КК[[#This Row],[Таб.номер резервиста]]="-","-",IF(OR(База_КР_КК[[#This Row],[Уровень КК]]=2,База_КР_КК[[#This Row],[Уровень КК]]=3),IF(COUNTIFS($U$2:$U2554,$U2554,$F$2:$F2554,$F2554)=1,1,0),IF(COUNTIFS($U$2:$U2554,$U2554,$L$2:$L2554,$L2554)=1,1,0)))</f>
        <v>1</v>
      </c>
      <c r="AA25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4" s="106"/>
      <c r="AC2554" s="51"/>
      <c r="AD2554" s="106" t="s">
        <v>15</v>
      </c>
      <c r="AE2554" s="38" t="s">
        <v>360</v>
      </c>
    </row>
    <row r="2555" spans="1:31" ht="18" customHeight="1" x14ac:dyDescent="0.25">
      <c r="A25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55" s="79">
        <v>4</v>
      </c>
      <c r="C2555" s="23">
        <v>44588</v>
      </c>
      <c r="D2555" s="67">
        <f>IF(COUNTIF($G$2:$G2555,$G2555)=1,1,0)</f>
        <v>0</v>
      </c>
      <c r="E2555" s="67" t="str">
        <f>IFERROR(VLOOKUP(База_КР_КК[[#This Row],[ИД штатной должности (S)]],'уровень защищенности'!$B$7:$F$1095,5,0),"не защищена")</f>
        <v>средний</v>
      </c>
      <c r="F2555" s="68">
        <v>500120</v>
      </c>
      <c r="G2555" s="74" t="s">
        <v>2789</v>
      </c>
      <c r="H2555" s="181">
        <f>INDEX('Списки данных'!$D$2:$D$1048576,MATCH(База_КР_КК[[#This Row],[Структурное подразделение]],'Списки данных'!$C$2:$C$1048576,0))</f>
        <v>31</v>
      </c>
      <c r="I2555" s="80" t="s">
        <v>156</v>
      </c>
      <c r="J2555" s="80" t="s">
        <v>223</v>
      </c>
      <c r="K2555" s="80" t="s">
        <v>21</v>
      </c>
      <c r="L2555" s="30" t="s">
        <v>191</v>
      </c>
      <c r="M2555" s="68">
        <v>7</v>
      </c>
      <c r="N2555" s="181" t="str">
        <f t="shared" si="40"/>
        <v>да</v>
      </c>
      <c r="O2555" s="23">
        <v>45047</v>
      </c>
      <c r="P2555" s="23"/>
      <c r="Q2555" s="106"/>
      <c r="R2555" s="37" t="s">
        <v>23</v>
      </c>
      <c r="S2555" s="37" t="s">
        <v>23</v>
      </c>
      <c r="T2555" s="37">
        <v>616</v>
      </c>
      <c r="U2555" s="38" t="s">
        <v>1025</v>
      </c>
      <c r="V2555" s="69" t="s">
        <v>272</v>
      </c>
      <c r="W2555" s="89" t="s">
        <v>156</v>
      </c>
      <c r="X2555" s="106" t="s">
        <v>297</v>
      </c>
      <c r="Y2555" s="107" t="s">
        <v>14</v>
      </c>
      <c r="Z2555" s="67">
        <f>IF(База_КР_КК[[#This Row],[Таб.номер резервиста]]="-","-",IF(OR(База_КР_КК[[#This Row],[Уровень КК]]=2,База_КР_КК[[#This Row],[Уровень КК]]=3),IF(COUNTIFS($U$2:$U2555,$U2555,$F$2:$F2555,$F2555)=1,1,0),IF(COUNTIFS($U$2:$U2555,$U2555,$L$2:$L2555,$L2555)=1,1,0)))</f>
        <v>1</v>
      </c>
      <c r="AA25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5" s="106" t="s">
        <v>24</v>
      </c>
      <c r="AC2555" s="51">
        <v>45061</v>
      </c>
      <c r="AD2555" s="106" t="s">
        <v>15</v>
      </c>
      <c r="AE2555" s="38" t="s">
        <v>360</v>
      </c>
    </row>
    <row r="2556" spans="1:31" ht="18" customHeight="1" x14ac:dyDescent="0.25">
      <c r="A25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56" s="79">
        <v>4</v>
      </c>
      <c r="C2556" s="23">
        <v>44922</v>
      </c>
      <c r="D2556" s="67">
        <f>IF(COUNTIF($G$2:$G2556,$G2556)=1,1,0)</f>
        <v>0</v>
      </c>
      <c r="E2556" s="67" t="str">
        <f>IFERROR(VLOOKUP(База_КР_КК[[#This Row],[ИД штатной должности (S)]],'уровень защищенности'!$B$7:$F$1095,5,0),"не защищена")</f>
        <v>средний</v>
      </c>
      <c r="F2556" s="68">
        <v>500120</v>
      </c>
      <c r="G2556" s="74" t="s">
        <v>2789</v>
      </c>
      <c r="H2556" s="181">
        <f>INDEX('Списки данных'!$D$2:$D$1048576,MATCH(База_КР_КК[[#This Row],[Структурное подразделение]],'Списки данных'!$C$2:$C$1048576,0))</f>
        <v>31</v>
      </c>
      <c r="I2556" s="80" t="s">
        <v>156</v>
      </c>
      <c r="J2556" s="80" t="s">
        <v>223</v>
      </c>
      <c r="K2556" s="80" t="s">
        <v>21</v>
      </c>
      <c r="L2556" s="30" t="s">
        <v>191</v>
      </c>
      <c r="M2556" s="68">
        <v>7</v>
      </c>
      <c r="N2556" s="181" t="str">
        <f t="shared" si="40"/>
        <v>да</v>
      </c>
      <c r="O2556" s="23">
        <v>45047</v>
      </c>
      <c r="P2556" s="23"/>
      <c r="Q2556" s="106"/>
      <c r="R2556" s="37" t="s">
        <v>23</v>
      </c>
      <c r="S2556" s="37" t="s">
        <v>23</v>
      </c>
      <c r="T2556" s="37">
        <v>1714</v>
      </c>
      <c r="U2556" s="38" t="s">
        <v>2010</v>
      </c>
      <c r="V2556" s="69" t="s">
        <v>272</v>
      </c>
      <c r="W2556" s="89" t="s">
        <v>156</v>
      </c>
      <c r="X2556" s="106" t="s">
        <v>296</v>
      </c>
      <c r="Y2556" s="107" t="s">
        <v>12</v>
      </c>
      <c r="Z2556" s="67">
        <f>IF(База_КР_КК[[#This Row],[Таб.номер резервиста]]="-","-",IF(OR(База_КР_КК[[#This Row],[Уровень КК]]=2,База_КР_КК[[#This Row],[Уровень КК]]=3),IF(COUNTIFS($U$2:$U2556,$U2556,$F$2:$F2556,$F2556)=1,1,0),IF(COUNTIFS($U$2:$U2556,$U2556,$L$2:$L2556,$L2556)=1,1,0)))</f>
        <v>1</v>
      </c>
      <c r="AA25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6" s="106"/>
      <c r="AC2556" s="51"/>
      <c r="AD2556" s="106" t="s">
        <v>15</v>
      </c>
      <c r="AE2556" s="38" t="s">
        <v>362</v>
      </c>
    </row>
    <row r="2557" spans="1:31" ht="18" customHeight="1" x14ac:dyDescent="0.25">
      <c r="A25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57" s="79">
        <v>4</v>
      </c>
      <c r="C2557" s="23">
        <v>44588</v>
      </c>
      <c r="D2557" s="67">
        <f>IF(COUNTIF($G$2:$G2557,$G2557)=1,1,0)</f>
        <v>1</v>
      </c>
      <c r="E2557" s="67" t="str">
        <f>IFERROR(VLOOKUP(База_КР_КК[[#This Row],[ИД штатной должности (S)]],'уровень защищенности'!$B$7:$F$1095,5,0),"не защищена")</f>
        <v>средний</v>
      </c>
      <c r="F2557" s="68">
        <v>500120</v>
      </c>
      <c r="G2557" s="74" t="s">
        <v>2790</v>
      </c>
      <c r="H2557" s="181">
        <f>INDEX('Списки данных'!$D$2:$D$1048576,MATCH(База_КР_КК[[#This Row],[Структурное подразделение]],'Списки данных'!$C$2:$C$1048576,0))</f>
        <v>31</v>
      </c>
      <c r="I2557" s="80" t="s">
        <v>156</v>
      </c>
      <c r="J2557" s="80" t="s">
        <v>223</v>
      </c>
      <c r="K2557" s="80" t="s">
        <v>21</v>
      </c>
      <c r="L2557" s="30" t="s">
        <v>191</v>
      </c>
      <c r="M2557" s="68">
        <v>7</v>
      </c>
      <c r="N2557" s="181" t="str">
        <f t="shared" si="40"/>
        <v>нет</v>
      </c>
      <c r="O2557" s="23"/>
      <c r="P2557" s="23"/>
      <c r="Q2557" s="106"/>
      <c r="R2557" s="37">
        <v>615</v>
      </c>
      <c r="S2557" s="39" t="s">
        <v>1024</v>
      </c>
      <c r="T2557" s="37">
        <v>1713</v>
      </c>
      <c r="U2557" s="38" t="s">
        <v>2009</v>
      </c>
      <c r="V2557" s="69" t="s">
        <v>272</v>
      </c>
      <c r="W2557" s="89" t="s">
        <v>156</v>
      </c>
      <c r="X2557" s="106" t="s">
        <v>297</v>
      </c>
      <c r="Y2557" s="107" t="s">
        <v>12</v>
      </c>
      <c r="Z2557" s="67">
        <f>IF(База_КР_КК[[#This Row],[Таб.номер резервиста]]="-","-",IF(OR(База_КР_КК[[#This Row],[Уровень КК]]=2,База_КР_КК[[#This Row],[Уровень КК]]=3),IF(COUNTIFS($U$2:$U2557,$U2557,$F$2:$F2557,$F2557)=1,1,0),IF(COUNTIFS($U$2:$U2557,$U2557,$L$2:$L2557,$L2557)=1,1,0)))</f>
        <v>0</v>
      </c>
      <c r="AA25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7" s="106"/>
      <c r="AC2557" s="51"/>
      <c r="AD2557" s="106" t="s">
        <v>15</v>
      </c>
      <c r="AE2557" s="38" t="s">
        <v>360</v>
      </c>
    </row>
    <row r="2558" spans="1:31" ht="18" customHeight="1" x14ac:dyDescent="0.25">
      <c r="A25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58" s="79">
        <v>4</v>
      </c>
      <c r="C2558" s="23">
        <v>44588</v>
      </c>
      <c r="D2558" s="67">
        <f>IF(COUNTIF($G$2:$G2558,$G2558)=1,1,0)</f>
        <v>0</v>
      </c>
      <c r="E2558" s="67" t="str">
        <f>IFERROR(VLOOKUP(База_КР_КК[[#This Row],[ИД штатной должности (S)]],'уровень защищенности'!$B$7:$F$1095,5,0),"не защищена")</f>
        <v>средний</v>
      </c>
      <c r="F2558" s="68">
        <v>500120</v>
      </c>
      <c r="G2558" s="74" t="s">
        <v>2790</v>
      </c>
      <c r="H2558" s="181">
        <f>INDEX('Списки данных'!$D$2:$D$1048576,MATCH(База_КР_КК[[#This Row],[Структурное подразделение]],'Списки данных'!$C$2:$C$1048576,0))</f>
        <v>31</v>
      </c>
      <c r="I2558" s="80" t="s">
        <v>156</v>
      </c>
      <c r="J2558" s="80" t="s">
        <v>223</v>
      </c>
      <c r="K2558" s="80" t="s">
        <v>21</v>
      </c>
      <c r="L2558" s="30" t="s">
        <v>191</v>
      </c>
      <c r="M2558" s="68">
        <v>7</v>
      </c>
      <c r="N2558" s="181" t="str">
        <f t="shared" si="40"/>
        <v>нет</v>
      </c>
      <c r="O2558" s="23"/>
      <c r="P2558" s="23"/>
      <c r="Q2558" s="106"/>
      <c r="R2558" s="37">
        <v>615</v>
      </c>
      <c r="S2558" s="39" t="s">
        <v>1024</v>
      </c>
      <c r="T2558" s="37">
        <v>616</v>
      </c>
      <c r="U2558" s="38" t="s">
        <v>1025</v>
      </c>
      <c r="V2558" s="69" t="s">
        <v>272</v>
      </c>
      <c r="W2558" s="89" t="s">
        <v>156</v>
      </c>
      <c r="X2558" s="106" t="s">
        <v>297</v>
      </c>
      <c r="Y2558" s="107" t="s">
        <v>14</v>
      </c>
      <c r="Z2558" s="67">
        <f>IF(База_КР_КК[[#This Row],[Таб.номер резервиста]]="-","-",IF(OR(База_КР_КК[[#This Row],[Уровень КК]]=2,База_КР_КК[[#This Row],[Уровень КК]]=3),IF(COUNTIFS($U$2:$U2558,$U2558,$F$2:$F2558,$F2558)=1,1,0),IF(COUNTIFS($U$2:$U2558,$U2558,$L$2:$L2558,$L2558)=1,1,0)))</f>
        <v>0</v>
      </c>
      <c r="AA25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8" s="106" t="s">
        <v>24</v>
      </c>
      <c r="AC2558" s="23">
        <v>45061</v>
      </c>
      <c r="AD2558" s="106" t="s">
        <v>15</v>
      </c>
      <c r="AE2558" s="38" t="s">
        <v>360</v>
      </c>
    </row>
    <row r="2559" spans="1:31" ht="18" customHeight="1" x14ac:dyDescent="0.25">
      <c r="A25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59" s="79">
        <v>4</v>
      </c>
      <c r="C2559" s="23">
        <v>44922</v>
      </c>
      <c r="D2559" s="67">
        <f>IF(COUNTIF($G$2:$G2559,$G2559)=1,1,0)</f>
        <v>0</v>
      </c>
      <c r="E2559" s="67" t="str">
        <f>IFERROR(VLOOKUP(База_КР_КК[[#This Row],[ИД штатной должности (S)]],'уровень защищенности'!$B$7:$F$1095,5,0),"не защищена")</f>
        <v>средний</v>
      </c>
      <c r="F2559" s="68">
        <v>500120</v>
      </c>
      <c r="G2559" s="74" t="s">
        <v>2790</v>
      </c>
      <c r="H2559" s="181">
        <f>INDEX('Списки данных'!$D$2:$D$1048576,MATCH(База_КР_КК[[#This Row],[Структурное подразделение]],'Списки данных'!$C$2:$C$1048576,0))</f>
        <v>31</v>
      </c>
      <c r="I2559" s="80" t="s">
        <v>156</v>
      </c>
      <c r="J2559" s="80" t="s">
        <v>223</v>
      </c>
      <c r="K2559" s="80" t="s">
        <v>21</v>
      </c>
      <c r="L2559" s="30" t="s">
        <v>191</v>
      </c>
      <c r="M2559" s="68">
        <v>7</v>
      </c>
      <c r="N2559" s="181" t="str">
        <f t="shared" ref="N2559:N2622" si="41">IF(ISBLANK(O2559),"нет","да")</f>
        <v>нет</v>
      </c>
      <c r="O2559" s="23"/>
      <c r="P2559" s="23"/>
      <c r="Q2559" s="106"/>
      <c r="R2559" s="37">
        <v>615</v>
      </c>
      <c r="S2559" s="39" t="s">
        <v>1024</v>
      </c>
      <c r="T2559" s="37">
        <v>1714</v>
      </c>
      <c r="U2559" s="38" t="s">
        <v>2010</v>
      </c>
      <c r="V2559" s="69" t="s">
        <v>272</v>
      </c>
      <c r="W2559" s="89" t="s">
        <v>156</v>
      </c>
      <c r="X2559" s="106" t="s">
        <v>296</v>
      </c>
      <c r="Y2559" s="107" t="s">
        <v>12</v>
      </c>
      <c r="Z2559" s="67">
        <f>IF(База_КР_КК[[#This Row],[Таб.номер резервиста]]="-","-",IF(OR(База_КР_КК[[#This Row],[Уровень КК]]=2,База_КР_КК[[#This Row],[Уровень КК]]=3),IF(COUNTIFS($U$2:$U2559,$U2559,$F$2:$F2559,$F2559)=1,1,0),IF(COUNTIFS($U$2:$U2559,$U2559,$L$2:$L2559,$L2559)=1,1,0)))</f>
        <v>0</v>
      </c>
      <c r="AA25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59" s="106"/>
      <c r="AC2559" s="51"/>
      <c r="AD2559" s="106" t="s">
        <v>15</v>
      </c>
      <c r="AE2559" s="38" t="s">
        <v>362</v>
      </c>
    </row>
    <row r="2560" spans="1:31" ht="18" customHeight="1" x14ac:dyDescent="0.25">
      <c r="A25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0" s="79">
        <v>4</v>
      </c>
      <c r="C2560" s="23">
        <v>44588</v>
      </c>
      <c r="D2560" s="67">
        <f>IF(COUNTIF($G$2:$G2560,$G2560)=1,1,0)</f>
        <v>1</v>
      </c>
      <c r="E2560" s="67" t="str">
        <f>IFERROR(VLOOKUP(База_КР_КК[[#This Row],[ИД штатной должности (S)]],'уровень защищенности'!$B$7:$F$1095,5,0),"не защищена")</f>
        <v>средний</v>
      </c>
      <c r="F2560" s="68">
        <v>500120</v>
      </c>
      <c r="G2560" s="74" t="s">
        <v>2791</v>
      </c>
      <c r="H2560" s="181">
        <f>INDEX('Списки данных'!$D$2:$D$1048576,MATCH(База_КР_КК[[#This Row],[Структурное подразделение]],'Списки данных'!$C$2:$C$1048576,0))</f>
        <v>31</v>
      </c>
      <c r="I2560" s="80" t="s">
        <v>156</v>
      </c>
      <c r="J2560" s="80" t="s">
        <v>223</v>
      </c>
      <c r="K2560" s="80" t="s">
        <v>21</v>
      </c>
      <c r="L2560" s="30" t="s">
        <v>191</v>
      </c>
      <c r="M2560" s="68">
        <v>7</v>
      </c>
      <c r="N2560" s="181" t="str">
        <f t="shared" si="41"/>
        <v>да</v>
      </c>
      <c r="O2560" s="23">
        <v>44848</v>
      </c>
      <c r="P2560" s="23">
        <v>45061</v>
      </c>
      <c r="Q2560" s="106" t="s">
        <v>66</v>
      </c>
      <c r="R2560" s="37">
        <v>616</v>
      </c>
      <c r="S2560" s="37" t="s">
        <v>1025</v>
      </c>
      <c r="T2560" s="37">
        <v>1713</v>
      </c>
      <c r="U2560" s="38" t="s">
        <v>2009</v>
      </c>
      <c r="V2560" s="69" t="s">
        <v>272</v>
      </c>
      <c r="W2560" s="89" t="s">
        <v>156</v>
      </c>
      <c r="X2560" s="106" t="s">
        <v>297</v>
      </c>
      <c r="Y2560" s="107" t="s">
        <v>12</v>
      </c>
      <c r="Z2560" s="67">
        <f>IF(База_КР_КК[[#This Row],[Таб.номер резервиста]]="-","-",IF(OR(База_КР_КК[[#This Row],[Уровень КК]]=2,База_КР_КК[[#This Row],[Уровень КК]]=3),IF(COUNTIFS($U$2:$U2560,$U2560,$F$2:$F2560,$F2560)=1,1,0),IF(COUNTIFS($U$2:$U2560,$U2560,$L$2:$L2560,$L2560)=1,1,0)))</f>
        <v>0</v>
      </c>
      <c r="AA25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0" s="106"/>
      <c r="AC2560" s="51"/>
      <c r="AD2560" s="106" t="s">
        <v>15</v>
      </c>
      <c r="AE2560" s="38" t="s">
        <v>360</v>
      </c>
    </row>
    <row r="2561" spans="1:31" ht="18" customHeight="1" x14ac:dyDescent="0.25">
      <c r="A25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1" s="79">
        <v>4</v>
      </c>
      <c r="C2561" s="23">
        <v>44588</v>
      </c>
      <c r="D2561" s="67">
        <f>IF(COUNTIF($G$2:$G2561,$G2561)=1,1,0)</f>
        <v>0</v>
      </c>
      <c r="E2561" s="67" t="str">
        <f>IFERROR(VLOOKUP(База_КР_КК[[#This Row],[ИД штатной должности (S)]],'уровень защищенности'!$B$7:$F$1095,5,0),"не защищена")</f>
        <v>средний</v>
      </c>
      <c r="F2561" s="68">
        <v>500120</v>
      </c>
      <c r="G2561" s="74" t="s">
        <v>2791</v>
      </c>
      <c r="H2561" s="181">
        <f>INDEX('Списки данных'!$D$2:$D$1048576,MATCH(База_КР_КК[[#This Row],[Структурное подразделение]],'Списки данных'!$C$2:$C$1048576,0))</f>
        <v>31</v>
      </c>
      <c r="I2561" s="80" t="s">
        <v>156</v>
      </c>
      <c r="J2561" s="80" t="s">
        <v>223</v>
      </c>
      <c r="K2561" s="80" t="s">
        <v>21</v>
      </c>
      <c r="L2561" s="30" t="s">
        <v>191</v>
      </c>
      <c r="M2561" s="68">
        <v>7</v>
      </c>
      <c r="N2561" s="181" t="str">
        <f t="shared" si="41"/>
        <v>да</v>
      </c>
      <c r="O2561" s="23">
        <v>44848</v>
      </c>
      <c r="P2561" s="23">
        <v>45061</v>
      </c>
      <c r="Q2561" s="106" t="s">
        <v>66</v>
      </c>
      <c r="R2561" s="37">
        <v>616</v>
      </c>
      <c r="S2561" s="37" t="s">
        <v>1025</v>
      </c>
      <c r="T2561" s="37">
        <v>616</v>
      </c>
      <c r="U2561" s="38" t="s">
        <v>1025</v>
      </c>
      <c r="V2561" s="69" t="s">
        <v>272</v>
      </c>
      <c r="W2561" s="89" t="s">
        <v>156</v>
      </c>
      <c r="X2561" s="106" t="s">
        <v>297</v>
      </c>
      <c r="Y2561" s="107" t="s">
        <v>14</v>
      </c>
      <c r="Z2561" s="67">
        <f>IF(База_КР_КК[[#This Row],[Таб.номер резервиста]]="-","-",IF(OR(База_КР_КК[[#This Row],[Уровень КК]]=2,База_КР_КК[[#This Row],[Уровень КК]]=3),IF(COUNTIFS($U$2:$U2561,$U2561,$F$2:$F2561,$F2561)=1,1,0),IF(COUNTIFS($U$2:$U2561,$U2561,$L$2:$L2561,$L2561)=1,1,0)))</f>
        <v>0</v>
      </c>
      <c r="AA25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561" s="106" t="s">
        <v>24</v>
      </c>
      <c r="AC2561" s="23">
        <v>45061</v>
      </c>
      <c r="AD2561" s="106" t="s">
        <v>15</v>
      </c>
      <c r="AE2561" s="38" t="s">
        <v>360</v>
      </c>
    </row>
    <row r="2562" spans="1:31" ht="18" customHeight="1" x14ac:dyDescent="0.25">
      <c r="A25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2" s="79">
        <v>4</v>
      </c>
      <c r="C2562" s="23">
        <v>44922</v>
      </c>
      <c r="D2562" s="67">
        <f>IF(COUNTIF($G$2:$G2562,$G2562)=1,1,0)</f>
        <v>0</v>
      </c>
      <c r="E2562" s="67" t="str">
        <f>IFERROR(VLOOKUP(База_КР_КК[[#This Row],[ИД штатной должности (S)]],'уровень защищенности'!$B$7:$F$1095,5,0),"не защищена")</f>
        <v>средний</v>
      </c>
      <c r="F2562" s="68">
        <v>500120</v>
      </c>
      <c r="G2562" s="74" t="s">
        <v>2791</v>
      </c>
      <c r="H2562" s="181">
        <f>INDEX('Списки данных'!$D$2:$D$1048576,MATCH(База_КР_КК[[#This Row],[Структурное подразделение]],'Списки данных'!$C$2:$C$1048576,0))</f>
        <v>31</v>
      </c>
      <c r="I2562" s="80" t="s">
        <v>156</v>
      </c>
      <c r="J2562" s="80" t="s">
        <v>223</v>
      </c>
      <c r="K2562" s="80" t="s">
        <v>21</v>
      </c>
      <c r="L2562" s="30" t="s">
        <v>191</v>
      </c>
      <c r="M2562" s="68">
        <v>7</v>
      </c>
      <c r="N2562" s="181" t="str">
        <f t="shared" si="41"/>
        <v>да</v>
      </c>
      <c r="O2562" s="23">
        <v>44848</v>
      </c>
      <c r="P2562" s="23">
        <v>45061</v>
      </c>
      <c r="Q2562" s="106" t="s">
        <v>66</v>
      </c>
      <c r="R2562" s="37">
        <v>616</v>
      </c>
      <c r="S2562" s="37" t="s">
        <v>1025</v>
      </c>
      <c r="T2562" s="37">
        <v>1714</v>
      </c>
      <c r="U2562" s="38" t="s">
        <v>2010</v>
      </c>
      <c r="V2562" s="69" t="s">
        <v>272</v>
      </c>
      <c r="W2562" s="89" t="s">
        <v>156</v>
      </c>
      <c r="X2562" s="106" t="s">
        <v>296</v>
      </c>
      <c r="Y2562" s="107" t="s">
        <v>12</v>
      </c>
      <c r="Z2562" s="67">
        <f>IF(База_КР_КК[[#This Row],[Таб.номер резервиста]]="-","-",IF(OR(База_КР_КК[[#This Row],[Уровень КК]]=2,База_КР_КК[[#This Row],[Уровень КК]]=3),IF(COUNTIFS($U$2:$U2562,$U2562,$F$2:$F2562,$F2562)=1,1,0),IF(COUNTIFS($U$2:$U2562,$U2562,$L$2:$L2562,$L2562)=1,1,0)))</f>
        <v>0</v>
      </c>
      <c r="AA25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2" s="106"/>
      <c r="AC2562" s="51"/>
      <c r="AD2562" s="106" t="s">
        <v>15</v>
      </c>
      <c r="AE2562" s="38" t="s">
        <v>362</v>
      </c>
    </row>
    <row r="2563" spans="1:31" ht="18" customHeight="1" x14ac:dyDescent="0.25">
      <c r="A25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3" s="79">
        <v>4</v>
      </c>
      <c r="C2563" s="23">
        <v>44588</v>
      </c>
      <c r="D2563" s="67">
        <f>IF(COUNTIF($G$2:$G2563,$G2563)=1,1,0)</f>
        <v>1</v>
      </c>
      <c r="E2563" s="67" t="str">
        <f>IFERROR(VLOOKUP(База_КР_КК[[#This Row],[ИД штатной должности (S)]],'уровень защищенности'!$B$7:$F$1095,5,0),"не защищена")</f>
        <v>средний</v>
      </c>
      <c r="F2563" s="68">
        <v>500120</v>
      </c>
      <c r="G2563" s="74" t="s">
        <v>2792</v>
      </c>
      <c r="H2563" s="181">
        <f>INDEX('Списки данных'!$D$2:$D$1048576,MATCH(База_КР_КК[[#This Row],[Структурное подразделение]],'Списки данных'!$C$2:$C$1048576,0))</f>
        <v>31</v>
      </c>
      <c r="I2563" s="80" t="s">
        <v>156</v>
      </c>
      <c r="J2563" s="80" t="s">
        <v>223</v>
      </c>
      <c r="K2563" s="80" t="s">
        <v>21</v>
      </c>
      <c r="L2563" s="30" t="s">
        <v>191</v>
      </c>
      <c r="M2563" s="68">
        <v>7</v>
      </c>
      <c r="N2563" s="181" t="str">
        <f t="shared" si="41"/>
        <v>да</v>
      </c>
      <c r="O2563" s="23">
        <v>45012</v>
      </c>
      <c r="P2563" s="23"/>
      <c r="Q2563" s="106"/>
      <c r="R2563" s="37" t="s">
        <v>23</v>
      </c>
      <c r="S2563" s="37" t="s">
        <v>23</v>
      </c>
      <c r="T2563" s="37">
        <v>1713</v>
      </c>
      <c r="U2563" s="38" t="s">
        <v>2009</v>
      </c>
      <c r="V2563" s="69" t="s">
        <v>272</v>
      </c>
      <c r="W2563" s="89" t="s">
        <v>156</v>
      </c>
      <c r="X2563" s="106" t="s">
        <v>297</v>
      </c>
      <c r="Y2563" s="107" t="s">
        <v>12</v>
      </c>
      <c r="Z2563" s="67">
        <f>IF(База_КР_КК[[#This Row],[Таб.номер резервиста]]="-","-",IF(OR(База_КР_КК[[#This Row],[Уровень КК]]=2,База_КР_КК[[#This Row],[Уровень КК]]=3),IF(COUNTIFS($U$2:$U2563,$U2563,$F$2:$F2563,$F2563)=1,1,0),IF(COUNTIFS($U$2:$U2563,$U2563,$L$2:$L2563,$L2563)=1,1,0)))</f>
        <v>0</v>
      </c>
      <c r="AA25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3" s="106"/>
      <c r="AC2563" s="51"/>
      <c r="AD2563" s="106" t="s">
        <v>15</v>
      </c>
      <c r="AE2563" s="38" t="s">
        <v>360</v>
      </c>
    </row>
    <row r="2564" spans="1:31" ht="18" customHeight="1" x14ac:dyDescent="0.25">
      <c r="A25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4" s="79">
        <v>4</v>
      </c>
      <c r="C2564" s="23">
        <v>44588</v>
      </c>
      <c r="D2564" s="67">
        <f>IF(COUNTIF($G$2:$G2564,$G2564)=1,1,0)</f>
        <v>0</v>
      </c>
      <c r="E2564" s="67" t="str">
        <f>IFERROR(VLOOKUP(База_КР_КК[[#This Row],[ИД штатной должности (S)]],'уровень защищенности'!$B$7:$F$1095,5,0),"не защищена")</f>
        <v>средний</v>
      </c>
      <c r="F2564" s="68">
        <v>500120</v>
      </c>
      <c r="G2564" s="74" t="s">
        <v>2792</v>
      </c>
      <c r="H2564" s="181">
        <f>INDEX('Списки данных'!$D$2:$D$1048576,MATCH(База_КР_КК[[#This Row],[Структурное подразделение]],'Списки данных'!$C$2:$C$1048576,0))</f>
        <v>31</v>
      </c>
      <c r="I2564" s="80" t="s">
        <v>156</v>
      </c>
      <c r="J2564" s="80" t="s">
        <v>223</v>
      </c>
      <c r="K2564" s="80" t="s">
        <v>21</v>
      </c>
      <c r="L2564" s="30" t="s">
        <v>191</v>
      </c>
      <c r="M2564" s="68">
        <v>7</v>
      </c>
      <c r="N2564" s="181" t="str">
        <f t="shared" si="41"/>
        <v>да</v>
      </c>
      <c r="O2564" s="23">
        <v>45012</v>
      </c>
      <c r="P2564" s="23"/>
      <c r="Q2564" s="106"/>
      <c r="R2564" s="37" t="s">
        <v>23</v>
      </c>
      <c r="S2564" s="37" t="s">
        <v>23</v>
      </c>
      <c r="T2564" s="37">
        <v>616</v>
      </c>
      <c r="U2564" s="38" t="s">
        <v>1025</v>
      </c>
      <c r="V2564" s="69" t="s">
        <v>272</v>
      </c>
      <c r="W2564" s="89" t="s">
        <v>156</v>
      </c>
      <c r="X2564" s="106" t="s">
        <v>297</v>
      </c>
      <c r="Y2564" s="107" t="s">
        <v>14</v>
      </c>
      <c r="Z2564" s="67">
        <f>IF(База_КР_КК[[#This Row],[Таб.номер резервиста]]="-","-",IF(OR(База_КР_КК[[#This Row],[Уровень КК]]=2,База_КР_КК[[#This Row],[Уровень КК]]=3),IF(COUNTIFS($U$2:$U2564,$U2564,$F$2:$F2564,$F2564)=1,1,0),IF(COUNTIFS($U$2:$U2564,$U2564,$L$2:$L2564,$L2564)=1,1,0)))</f>
        <v>0</v>
      </c>
      <c r="AA25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4" s="106" t="s">
        <v>24</v>
      </c>
      <c r="AC2564" s="23">
        <v>45061</v>
      </c>
      <c r="AD2564" s="106" t="s">
        <v>15</v>
      </c>
      <c r="AE2564" s="38" t="s">
        <v>360</v>
      </c>
    </row>
    <row r="2565" spans="1:31" ht="18" customHeight="1" x14ac:dyDescent="0.25">
      <c r="A25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5" s="79">
        <v>4</v>
      </c>
      <c r="C2565" s="23">
        <v>44922</v>
      </c>
      <c r="D2565" s="67">
        <f>IF(COUNTIF($G$2:$G2565,$G2565)=1,1,0)</f>
        <v>0</v>
      </c>
      <c r="E2565" s="67" t="str">
        <f>IFERROR(VLOOKUP(База_КР_КК[[#This Row],[ИД штатной должности (S)]],'уровень защищенности'!$B$7:$F$1095,5,0),"не защищена")</f>
        <v>средний</v>
      </c>
      <c r="F2565" s="68">
        <v>500120</v>
      </c>
      <c r="G2565" s="74" t="s">
        <v>2792</v>
      </c>
      <c r="H2565" s="181">
        <f>INDEX('Списки данных'!$D$2:$D$1048576,MATCH(База_КР_КК[[#This Row],[Структурное подразделение]],'Списки данных'!$C$2:$C$1048576,0))</f>
        <v>31</v>
      </c>
      <c r="I2565" s="80" t="s">
        <v>156</v>
      </c>
      <c r="J2565" s="80" t="s">
        <v>223</v>
      </c>
      <c r="K2565" s="80" t="s">
        <v>21</v>
      </c>
      <c r="L2565" s="30" t="s">
        <v>191</v>
      </c>
      <c r="M2565" s="68">
        <v>7</v>
      </c>
      <c r="N2565" s="181" t="str">
        <f t="shared" si="41"/>
        <v>да</v>
      </c>
      <c r="O2565" s="23">
        <v>45012</v>
      </c>
      <c r="P2565" s="23"/>
      <c r="Q2565" s="106"/>
      <c r="R2565" s="37" t="s">
        <v>23</v>
      </c>
      <c r="S2565" s="37" t="s">
        <v>23</v>
      </c>
      <c r="T2565" s="37">
        <v>1714</v>
      </c>
      <c r="U2565" s="38" t="s">
        <v>2010</v>
      </c>
      <c r="V2565" s="69" t="s">
        <v>272</v>
      </c>
      <c r="W2565" s="89" t="s">
        <v>156</v>
      </c>
      <c r="X2565" s="106" t="s">
        <v>296</v>
      </c>
      <c r="Y2565" s="107" t="s">
        <v>12</v>
      </c>
      <c r="Z2565" s="67">
        <f>IF(База_КР_КК[[#This Row],[Таб.номер резервиста]]="-","-",IF(OR(База_КР_КК[[#This Row],[Уровень КК]]=2,База_КР_КК[[#This Row],[Уровень КК]]=3),IF(COUNTIFS($U$2:$U2565,$U2565,$F$2:$F2565,$F2565)=1,1,0),IF(COUNTIFS($U$2:$U2565,$U2565,$L$2:$L2565,$L2565)=1,1,0)))</f>
        <v>0</v>
      </c>
      <c r="AA25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5" s="106"/>
      <c r="AC2565" s="51"/>
      <c r="AD2565" s="106" t="s">
        <v>15</v>
      </c>
      <c r="AE2565" s="38" t="s">
        <v>362</v>
      </c>
    </row>
    <row r="2566" spans="1:31" ht="18" customHeight="1" x14ac:dyDescent="0.25">
      <c r="A25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6" s="79">
        <v>4</v>
      </c>
      <c r="C2566" s="23">
        <v>44922</v>
      </c>
      <c r="D2566" s="67">
        <f>IF(COUNTIF($G$2:$G2566,$G2566)=1,1,0)</f>
        <v>1</v>
      </c>
      <c r="E2566" s="67" t="str">
        <f>IFERROR(VLOOKUP(База_КР_КК[[#This Row],[ИД штатной должности (S)]],'уровень защищенности'!$B$7:$F$1095,5,0),"не защищена")</f>
        <v>низкий</v>
      </c>
      <c r="F2566" s="68">
        <v>500711</v>
      </c>
      <c r="G2566" s="74" t="s">
        <v>2793</v>
      </c>
      <c r="H2566" s="181">
        <f>INDEX('Списки данных'!$D$2:$D$1048576,MATCH(База_КР_КК[[#This Row],[Структурное подразделение]],'Списки данных'!$C$2:$C$1048576,0))</f>
        <v>33</v>
      </c>
      <c r="I2566" s="80" t="s">
        <v>144</v>
      </c>
      <c r="J2566" s="80" t="s">
        <v>224</v>
      </c>
      <c r="K2566" s="80" t="s">
        <v>21</v>
      </c>
      <c r="L2566" s="30" t="s">
        <v>189</v>
      </c>
      <c r="M2566" s="68">
        <v>6</v>
      </c>
      <c r="N2566" s="181" t="str">
        <f t="shared" si="41"/>
        <v>нет</v>
      </c>
      <c r="O2566" s="51"/>
      <c r="P2566" s="51"/>
      <c r="Q2566" s="106"/>
      <c r="R2566" s="37">
        <v>617</v>
      </c>
      <c r="S2566" s="39" t="s">
        <v>1026</v>
      </c>
      <c r="T2566" s="37">
        <v>1558</v>
      </c>
      <c r="U2566" s="38" t="s">
        <v>1853</v>
      </c>
      <c r="V2566" s="69" t="s">
        <v>272</v>
      </c>
      <c r="W2566" s="89" t="s">
        <v>144</v>
      </c>
      <c r="X2566" s="106" t="s">
        <v>296</v>
      </c>
      <c r="Y2566" s="107" t="s">
        <v>12</v>
      </c>
      <c r="Z2566" s="67">
        <f>IF(База_КР_КК[[#This Row],[Таб.номер резервиста]]="-","-",IF(OR(База_КР_КК[[#This Row],[Уровень КК]]=2,База_КР_КК[[#This Row],[Уровень КК]]=3),IF(COUNTIFS($U$2:$U2566,$U2566,$F$2:$F2566,$F2566)=1,1,0),IF(COUNTIFS($U$2:$U2566,$U2566,$L$2:$L2566,$L2566)=1,1,0)))</f>
        <v>1</v>
      </c>
      <c r="AA25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6" s="106"/>
      <c r="AC2566" s="51"/>
      <c r="AD2566" s="106" t="s">
        <v>15</v>
      </c>
      <c r="AE2566" s="38" t="s">
        <v>362</v>
      </c>
    </row>
    <row r="2567" spans="1:31" ht="18" customHeight="1" x14ac:dyDescent="0.25">
      <c r="A25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7" s="79">
        <v>4</v>
      </c>
      <c r="C2567" s="23">
        <v>44557</v>
      </c>
      <c r="D2567" s="67">
        <f>IF(COUNTIF($G$2:$G2567,$G2567)=1,1,0)</f>
        <v>1</v>
      </c>
      <c r="E2567" s="67" t="str">
        <f>IFERROR(VLOOKUP(База_КР_КК[[#This Row],[ИД штатной должности (S)]],'уровень защищенности'!$B$7:$F$1095,5,0),"не защищена")</f>
        <v>низкий</v>
      </c>
      <c r="F2567" s="68">
        <v>500553</v>
      </c>
      <c r="G2567" s="74" t="s">
        <v>2794</v>
      </c>
      <c r="H2567" s="181">
        <f>INDEX('Списки данных'!$D$2:$D$1048576,MATCH(База_КР_КК[[#This Row],[Структурное подразделение]],'Списки данных'!$C$2:$C$1048576,0))</f>
        <v>33</v>
      </c>
      <c r="I2567" s="80" t="s">
        <v>144</v>
      </c>
      <c r="J2567" s="80" t="s">
        <v>224</v>
      </c>
      <c r="K2567" s="80" t="s">
        <v>21</v>
      </c>
      <c r="L2567" s="30" t="s">
        <v>191</v>
      </c>
      <c r="M2567" s="68">
        <v>7</v>
      </c>
      <c r="N2567" s="181" t="str">
        <f t="shared" si="41"/>
        <v>да</v>
      </c>
      <c r="O2567" s="23">
        <v>44720</v>
      </c>
      <c r="P2567" s="23">
        <v>44720</v>
      </c>
      <c r="Q2567" s="106" t="s">
        <v>57</v>
      </c>
      <c r="R2567" s="37">
        <v>618</v>
      </c>
      <c r="S2567" s="39" t="s">
        <v>1027</v>
      </c>
      <c r="T2567" s="37">
        <v>1640</v>
      </c>
      <c r="U2567" s="39" t="s">
        <v>1960</v>
      </c>
      <c r="V2567" s="69" t="s">
        <v>272</v>
      </c>
      <c r="W2567" s="89" t="s">
        <v>144</v>
      </c>
      <c r="X2567" s="106" t="s">
        <v>296</v>
      </c>
      <c r="Y2567" s="107" t="s">
        <v>12</v>
      </c>
      <c r="Z2567" s="67">
        <f>IF(База_КР_КК[[#This Row],[Таб.номер резервиста]]="-","-",IF(OR(База_КР_КК[[#This Row],[Уровень КК]]=2,База_КР_КК[[#This Row],[Уровень КК]]=3),IF(COUNTIFS($U$2:$U2567,$U2567,$F$2:$F2567,$F2567)=1,1,0),IF(COUNTIFS($U$2:$U2567,$U2567,$L$2:$L2567,$L2567)=1,1,0)))</f>
        <v>0</v>
      </c>
      <c r="AA25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7" s="106"/>
      <c r="AC2567" s="51"/>
      <c r="AD2567" s="106" t="s">
        <v>15</v>
      </c>
      <c r="AE2567" s="38" t="s">
        <v>361</v>
      </c>
    </row>
    <row r="2568" spans="1:31" ht="18" customHeight="1" x14ac:dyDescent="0.25">
      <c r="A25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8" s="79">
        <v>4</v>
      </c>
      <c r="C2568" s="23">
        <v>44557</v>
      </c>
      <c r="D2568" s="67">
        <f>IF(COUNTIF($G$2:$G2568,$G2568)=1,1,0)</f>
        <v>0</v>
      </c>
      <c r="E2568" s="67" t="str">
        <f>IFERROR(VLOOKUP(База_КР_КК[[#This Row],[ИД штатной должности (S)]],'уровень защищенности'!$B$7:$F$1095,5,0),"не защищена")</f>
        <v>низкий</v>
      </c>
      <c r="F2568" s="68">
        <v>500553</v>
      </c>
      <c r="G2568" s="74" t="s">
        <v>2794</v>
      </c>
      <c r="H2568" s="181">
        <f>INDEX('Списки данных'!$D$2:$D$1048576,MATCH(База_КР_КК[[#This Row],[Структурное подразделение]],'Списки данных'!$C$2:$C$1048576,0))</f>
        <v>33</v>
      </c>
      <c r="I2568" s="80" t="s">
        <v>144</v>
      </c>
      <c r="J2568" s="80" t="s">
        <v>224</v>
      </c>
      <c r="K2568" s="80" t="s">
        <v>21</v>
      </c>
      <c r="L2568" s="30" t="s">
        <v>191</v>
      </c>
      <c r="M2568" s="68">
        <v>7</v>
      </c>
      <c r="N2568" s="181" t="str">
        <f t="shared" si="41"/>
        <v>да</v>
      </c>
      <c r="O2568" s="23">
        <v>44720</v>
      </c>
      <c r="P2568" s="23">
        <v>44720</v>
      </c>
      <c r="Q2568" s="106" t="s">
        <v>57</v>
      </c>
      <c r="R2568" s="37">
        <v>618</v>
      </c>
      <c r="S2568" s="39" t="s">
        <v>1027</v>
      </c>
      <c r="T2568" s="37">
        <v>1641</v>
      </c>
      <c r="U2568" s="39" t="s">
        <v>1961</v>
      </c>
      <c r="V2568" s="69" t="s">
        <v>272</v>
      </c>
      <c r="W2568" s="89" t="s">
        <v>144</v>
      </c>
      <c r="X2568" s="106" t="s">
        <v>296</v>
      </c>
      <c r="Y2568" s="107" t="s">
        <v>12</v>
      </c>
      <c r="Z2568" s="67">
        <f>IF(База_КР_КК[[#This Row],[Таб.номер резервиста]]="-","-",IF(OR(База_КР_КК[[#This Row],[Уровень КК]]=2,База_КР_КК[[#This Row],[Уровень КК]]=3),IF(COUNTIFS($U$2:$U2568,$U2568,$F$2:$F2568,$F2568)=1,1,0),IF(COUNTIFS($U$2:$U2568,$U2568,$L$2:$L2568,$L2568)=1,1,0)))</f>
        <v>0</v>
      </c>
      <c r="AA25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8" s="106"/>
      <c r="AC2568" s="51"/>
      <c r="AD2568" s="106" t="s">
        <v>15</v>
      </c>
      <c r="AE2568" s="38" t="s">
        <v>361</v>
      </c>
    </row>
    <row r="2569" spans="1:31" ht="18" customHeight="1" x14ac:dyDescent="0.25">
      <c r="A25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69" s="79">
        <v>4</v>
      </c>
      <c r="C2569" s="23">
        <v>44922</v>
      </c>
      <c r="D2569" s="67">
        <f>IF(COUNTIF($G$2:$G2569,$G2569)=1,1,0)</f>
        <v>0</v>
      </c>
      <c r="E2569" s="67" t="str">
        <f>IFERROR(VLOOKUP(База_КР_КК[[#This Row],[ИД штатной должности (S)]],'уровень защищенности'!$B$7:$F$1095,5,0),"не защищена")</f>
        <v>низкий</v>
      </c>
      <c r="F2569" s="68">
        <v>500553</v>
      </c>
      <c r="G2569" s="74" t="s">
        <v>2794</v>
      </c>
      <c r="H2569" s="181">
        <f>INDEX('Списки данных'!$D$2:$D$1048576,MATCH(База_КР_КК[[#This Row],[Структурное подразделение]],'Списки данных'!$C$2:$C$1048576,0))</f>
        <v>33</v>
      </c>
      <c r="I2569" s="80" t="s">
        <v>144</v>
      </c>
      <c r="J2569" s="80" t="s">
        <v>224</v>
      </c>
      <c r="K2569" s="80" t="s">
        <v>21</v>
      </c>
      <c r="L2569" s="30" t="s">
        <v>191</v>
      </c>
      <c r="M2569" s="68">
        <v>7</v>
      </c>
      <c r="N2569" s="181" t="str">
        <f t="shared" si="41"/>
        <v>да</v>
      </c>
      <c r="O2569" s="23">
        <v>44720</v>
      </c>
      <c r="P2569" s="23">
        <v>44720</v>
      </c>
      <c r="Q2569" s="106" t="s">
        <v>57</v>
      </c>
      <c r="R2569" s="37">
        <v>618</v>
      </c>
      <c r="S2569" s="39" t="s">
        <v>1027</v>
      </c>
      <c r="T2569" s="37">
        <v>1642</v>
      </c>
      <c r="U2569" s="38" t="s">
        <v>1962</v>
      </c>
      <c r="V2569" s="69" t="s">
        <v>272</v>
      </c>
      <c r="W2569" s="89" t="s">
        <v>144</v>
      </c>
      <c r="X2569" s="106" t="s">
        <v>296</v>
      </c>
      <c r="Y2569" s="107" t="s">
        <v>12</v>
      </c>
      <c r="Z2569" s="67">
        <f>IF(База_КР_КК[[#This Row],[Таб.номер резервиста]]="-","-",IF(OR(База_КР_КК[[#This Row],[Уровень КК]]=2,База_КР_КК[[#This Row],[Уровень КК]]=3),IF(COUNTIFS($U$2:$U2569,$U2569,$F$2:$F2569,$F2569)=1,1,0),IF(COUNTIFS($U$2:$U2569,$U2569,$L$2:$L2569,$L2569)=1,1,0)))</f>
        <v>0</v>
      </c>
      <c r="AA25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69" s="106"/>
      <c r="AC2569" s="51"/>
      <c r="AD2569" s="106" t="s">
        <v>15</v>
      </c>
      <c r="AE2569" s="38" t="s">
        <v>362</v>
      </c>
    </row>
    <row r="2570" spans="1:31" ht="18" customHeight="1" x14ac:dyDescent="0.25">
      <c r="A25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0" s="79">
        <v>4</v>
      </c>
      <c r="C2570" s="23">
        <v>44557</v>
      </c>
      <c r="D2570" s="67">
        <f>IF(COUNTIF($G$2:$G2570,$G2570)=1,1,0)</f>
        <v>0</v>
      </c>
      <c r="E2570" s="67" t="str">
        <f>IFERROR(VLOOKUP(База_КР_КК[[#This Row],[ИД штатной должности (S)]],'уровень защищенности'!$B$7:$F$1095,5,0),"не защищена")</f>
        <v>низкий</v>
      </c>
      <c r="F2570" s="68">
        <v>500553</v>
      </c>
      <c r="G2570" s="74" t="s">
        <v>2794</v>
      </c>
      <c r="H2570" s="181">
        <f>INDEX('Списки данных'!$D$2:$D$1048576,MATCH(База_КР_КК[[#This Row],[Структурное подразделение]],'Списки данных'!$C$2:$C$1048576,0))</f>
        <v>33</v>
      </c>
      <c r="I2570" s="80" t="s">
        <v>144</v>
      </c>
      <c r="J2570" s="80" t="s">
        <v>224</v>
      </c>
      <c r="K2570" s="80" t="s">
        <v>21</v>
      </c>
      <c r="L2570" s="30" t="s">
        <v>191</v>
      </c>
      <c r="M2570" s="68">
        <v>7</v>
      </c>
      <c r="N2570" s="181" t="str">
        <f t="shared" si="41"/>
        <v>да</v>
      </c>
      <c r="O2570" s="23">
        <v>44720</v>
      </c>
      <c r="P2570" s="23">
        <v>44720</v>
      </c>
      <c r="Q2570" s="106" t="s">
        <v>57</v>
      </c>
      <c r="R2570" s="37">
        <v>618</v>
      </c>
      <c r="S2570" s="39" t="s">
        <v>1027</v>
      </c>
      <c r="T2570" s="37">
        <v>1643</v>
      </c>
      <c r="U2570" s="39" t="s">
        <v>1963</v>
      </c>
      <c r="V2570" s="69" t="s">
        <v>272</v>
      </c>
      <c r="W2570" s="89" t="s">
        <v>144</v>
      </c>
      <c r="X2570" s="106" t="s">
        <v>295</v>
      </c>
      <c r="Y2570" s="107" t="s">
        <v>14</v>
      </c>
      <c r="Z2570" s="67">
        <f>IF(База_КР_КК[[#This Row],[Таб.номер резервиста]]="-","-",IF(OR(База_КР_КК[[#This Row],[Уровень КК]]=2,База_КР_КК[[#This Row],[Уровень КК]]=3),IF(COUNTIFS($U$2:$U2570,$U2570,$F$2:$F2570,$F2570)=1,1,0),IF(COUNTIFS($U$2:$U2570,$U2570,$L$2:$L2570,$L2570)=1,1,0)))</f>
        <v>0</v>
      </c>
      <c r="AA25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0" s="106" t="s">
        <v>24</v>
      </c>
      <c r="AC2570" s="51">
        <v>44960</v>
      </c>
      <c r="AD2570" s="106" t="s">
        <v>17</v>
      </c>
      <c r="AE2570" s="38" t="s">
        <v>362</v>
      </c>
    </row>
    <row r="2571" spans="1:31" ht="18" customHeight="1" x14ac:dyDescent="0.25">
      <c r="A25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1" s="79">
        <v>4</v>
      </c>
      <c r="C2571" s="23">
        <v>44922</v>
      </c>
      <c r="D2571" s="67">
        <f>IF(COUNTIF($G$2:$G2571,$G2571)=1,1,0)</f>
        <v>0</v>
      </c>
      <c r="E2571" s="67" t="str">
        <f>IFERROR(VLOOKUP(База_КР_КК[[#This Row],[ИД штатной должности (S)]],'уровень защищенности'!$B$7:$F$1095,5,0),"не защищена")</f>
        <v>низкий</v>
      </c>
      <c r="F2571" s="68">
        <v>500553</v>
      </c>
      <c r="G2571" s="74" t="s">
        <v>2794</v>
      </c>
      <c r="H2571" s="181">
        <f>INDEX('Списки данных'!$D$2:$D$1048576,MATCH(База_КР_КК[[#This Row],[Структурное подразделение]],'Списки данных'!$C$2:$C$1048576,0))</f>
        <v>33</v>
      </c>
      <c r="I2571" s="80" t="s">
        <v>144</v>
      </c>
      <c r="J2571" s="80" t="s">
        <v>224</v>
      </c>
      <c r="K2571" s="80" t="s">
        <v>21</v>
      </c>
      <c r="L2571" s="30" t="s">
        <v>191</v>
      </c>
      <c r="M2571" s="68">
        <v>7</v>
      </c>
      <c r="N2571" s="181" t="str">
        <f t="shared" si="41"/>
        <v>да</v>
      </c>
      <c r="O2571" s="23">
        <v>44720</v>
      </c>
      <c r="P2571" s="23">
        <v>44720</v>
      </c>
      <c r="Q2571" s="106" t="s">
        <v>57</v>
      </c>
      <c r="R2571" s="37">
        <v>618</v>
      </c>
      <c r="S2571" s="39" t="s">
        <v>1027</v>
      </c>
      <c r="T2571" s="37">
        <v>621</v>
      </c>
      <c r="U2571" s="38" t="s">
        <v>1030</v>
      </c>
      <c r="V2571" s="69" t="s">
        <v>192</v>
      </c>
      <c r="W2571" s="89" t="s">
        <v>144</v>
      </c>
      <c r="X2571" s="106" t="s">
        <v>295</v>
      </c>
      <c r="Y2571" s="107" t="s">
        <v>14</v>
      </c>
      <c r="Z2571" s="67">
        <f>IF(База_КР_КК[[#This Row],[Таб.номер резервиста]]="-","-",IF(OR(База_КР_КК[[#This Row],[Уровень КК]]=2,База_КР_КК[[#This Row],[Уровень КК]]=3),IF(COUNTIFS($U$2:$U2571,$U2571,$F$2:$F2571,$F2571)=1,1,0),IF(COUNTIFS($U$2:$U2571,$U2571,$L$2:$L2571,$L2571)=1,1,0)))</f>
        <v>0</v>
      </c>
      <c r="AA25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1" s="106" t="s">
        <v>24</v>
      </c>
      <c r="AC2571" s="51">
        <v>44960</v>
      </c>
      <c r="AD2571" s="106" t="s">
        <v>15</v>
      </c>
      <c r="AE2571" s="38" t="s">
        <v>362</v>
      </c>
    </row>
    <row r="2572" spans="1:31" ht="18" customHeight="1" x14ac:dyDescent="0.25">
      <c r="A25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2" s="79">
        <v>4</v>
      </c>
      <c r="C2572" s="23">
        <v>44557</v>
      </c>
      <c r="D2572" s="67">
        <f>IF(COUNTIF($G$2:$G2572,$G2572)=1,1,0)</f>
        <v>1</v>
      </c>
      <c r="E2572" s="67" t="str">
        <f>IFERROR(VLOOKUP(База_КР_КК[[#This Row],[ИД штатной должности (S)]],'уровень защищенности'!$B$7:$F$1095,5,0),"не защищена")</f>
        <v>низкий</v>
      </c>
      <c r="F2572" s="68">
        <v>500553</v>
      </c>
      <c r="G2572" s="74" t="s">
        <v>2795</v>
      </c>
      <c r="H2572" s="181">
        <f>INDEX('Списки данных'!$D$2:$D$1048576,MATCH(База_КР_КК[[#This Row],[Структурное подразделение]],'Списки данных'!$C$2:$C$1048576,0))</f>
        <v>33</v>
      </c>
      <c r="I2572" s="80" t="s">
        <v>144</v>
      </c>
      <c r="J2572" s="80" t="s">
        <v>224</v>
      </c>
      <c r="K2572" s="80" t="s">
        <v>21</v>
      </c>
      <c r="L2572" s="30" t="s">
        <v>191</v>
      </c>
      <c r="M2572" s="68">
        <v>7</v>
      </c>
      <c r="N2572" s="181" t="str">
        <f t="shared" si="41"/>
        <v>нет</v>
      </c>
      <c r="O2572" s="23"/>
      <c r="P2572" s="23"/>
      <c r="Q2572" s="106"/>
      <c r="R2572" s="37">
        <v>619</v>
      </c>
      <c r="S2572" s="39" t="s">
        <v>1028</v>
      </c>
      <c r="T2572" s="37">
        <v>1640</v>
      </c>
      <c r="U2572" s="39" t="s">
        <v>1960</v>
      </c>
      <c r="V2572" s="69" t="s">
        <v>272</v>
      </c>
      <c r="W2572" s="89" t="s">
        <v>144</v>
      </c>
      <c r="X2572" s="106" t="s">
        <v>296</v>
      </c>
      <c r="Y2572" s="107" t="s">
        <v>12</v>
      </c>
      <c r="Z2572" s="67">
        <f>IF(База_КР_КК[[#This Row],[Таб.номер резервиста]]="-","-",IF(OR(База_КР_КК[[#This Row],[Уровень КК]]=2,База_КР_КК[[#This Row],[Уровень КК]]=3),IF(COUNTIFS($U$2:$U2572,$U2572,$F$2:$F2572,$F2572)=1,1,0),IF(COUNTIFS($U$2:$U2572,$U2572,$L$2:$L2572,$L2572)=1,1,0)))</f>
        <v>0</v>
      </c>
      <c r="AA25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2" s="106"/>
      <c r="AC2572" s="51"/>
      <c r="AD2572" s="106" t="s">
        <v>15</v>
      </c>
      <c r="AE2572" s="38" t="s">
        <v>361</v>
      </c>
    </row>
    <row r="2573" spans="1:31" ht="18" customHeight="1" x14ac:dyDescent="0.25">
      <c r="A25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3" s="79">
        <v>4</v>
      </c>
      <c r="C2573" s="23">
        <v>44557</v>
      </c>
      <c r="D2573" s="67">
        <f>IF(COUNTIF($G$2:$G2573,$G2573)=1,1,0)</f>
        <v>0</v>
      </c>
      <c r="E2573" s="67" t="str">
        <f>IFERROR(VLOOKUP(База_КР_КК[[#This Row],[ИД штатной должности (S)]],'уровень защищенности'!$B$7:$F$1095,5,0),"не защищена")</f>
        <v>низкий</v>
      </c>
      <c r="F2573" s="68">
        <v>500553</v>
      </c>
      <c r="G2573" s="74" t="s">
        <v>2795</v>
      </c>
      <c r="H2573" s="181">
        <f>INDEX('Списки данных'!$D$2:$D$1048576,MATCH(База_КР_КК[[#This Row],[Структурное подразделение]],'Списки данных'!$C$2:$C$1048576,0))</f>
        <v>33</v>
      </c>
      <c r="I2573" s="80" t="s">
        <v>144</v>
      </c>
      <c r="J2573" s="80" t="s">
        <v>224</v>
      </c>
      <c r="K2573" s="80" t="s">
        <v>21</v>
      </c>
      <c r="L2573" s="30" t="s">
        <v>191</v>
      </c>
      <c r="M2573" s="68">
        <v>7</v>
      </c>
      <c r="N2573" s="181" t="str">
        <f t="shared" si="41"/>
        <v>нет</v>
      </c>
      <c r="O2573" s="23"/>
      <c r="P2573" s="23"/>
      <c r="Q2573" s="106"/>
      <c r="R2573" s="37">
        <v>619</v>
      </c>
      <c r="S2573" s="39" t="s">
        <v>1028</v>
      </c>
      <c r="T2573" s="37">
        <v>1641</v>
      </c>
      <c r="U2573" s="39" t="s">
        <v>1961</v>
      </c>
      <c r="V2573" s="69" t="s">
        <v>272</v>
      </c>
      <c r="W2573" s="89" t="s">
        <v>144</v>
      </c>
      <c r="X2573" s="106" t="s">
        <v>296</v>
      </c>
      <c r="Y2573" s="107" t="s">
        <v>12</v>
      </c>
      <c r="Z2573" s="67">
        <f>IF(База_КР_КК[[#This Row],[Таб.номер резервиста]]="-","-",IF(OR(База_КР_КК[[#This Row],[Уровень КК]]=2,База_КР_КК[[#This Row],[Уровень КК]]=3),IF(COUNTIFS($U$2:$U2573,$U2573,$F$2:$F2573,$F2573)=1,1,0),IF(COUNTIFS($U$2:$U2573,$U2573,$L$2:$L2573,$L2573)=1,1,0)))</f>
        <v>0</v>
      </c>
      <c r="AA25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3" s="106"/>
      <c r="AC2573" s="51"/>
      <c r="AD2573" s="106" t="s">
        <v>15</v>
      </c>
      <c r="AE2573" s="38" t="s">
        <v>361</v>
      </c>
    </row>
    <row r="2574" spans="1:31" ht="18" customHeight="1" x14ac:dyDescent="0.25">
      <c r="A25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4" s="79">
        <v>4</v>
      </c>
      <c r="C2574" s="23">
        <v>44922</v>
      </c>
      <c r="D2574" s="67">
        <f>IF(COUNTIF($G$2:$G2574,$G2574)=1,1,0)</f>
        <v>0</v>
      </c>
      <c r="E2574" s="67" t="str">
        <f>IFERROR(VLOOKUP(База_КР_КК[[#This Row],[ИД штатной должности (S)]],'уровень защищенности'!$B$7:$F$1095,5,0),"не защищена")</f>
        <v>низкий</v>
      </c>
      <c r="F2574" s="68">
        <v>500553</v>
      </c>
      <c r="G2574" s="74" t="s">
        <v>2795</v>
      </c>
      <c r="H2574" s="181">
        <f>INDEX('Списки данных'!$D$2:$D$1048576,MATCH(База_КР_КК[[#This Row],[Структурное подразделение]],'Списки данных'!$C$2:$C$1048576,0))</f>
        <v>33</v>
      </c>
      <c r="I2574" s="80" t="s">
        <v>144</v>
      </c>
      <c r="J2574" s="80" t="s">
        <v>224</v>
      </c>
      <c r="K2574" s="80" t="s">
        <v>21</v>
      </c>
      <c r="L2574" s="30" t="s">
        <v>191</v>
      </c>
      <c r="M2574" s="68">
        <v>7</v>
      </c>
      <c r="N2574" s="181" t="str">
        <f t="shared" si="41"/>
        <v>нет</v>
      </c>
      <c r="O2574" s="23"/>
      <c r="P2574" s="23"/>
      <c r="Q2574" s="106"/>
      <c r="R2574" s="37">
        <v>619</v>
      </c>
      <c r="S2574" s="39" t="s">
        <v>1028</v>
      </c>
      <c r="T2574" s="37">
        <v>1642</v>
      </c>
      <c r="U2574" s="38" t="s">
        <v>1962</v>
      </c>
      <c r="V2574" s="69" t="s">
        <v>272</v>
      </c>
      <c r="W2574" s="89" t="s">
        <v>144</v>
      </c>
      <c r="X2574" s="106" t="s">
        <v>296</v>
      </c>
      <c r="Y2574" s="107" t="s">
        <v>12</v>
      </c>
      <c r="Z2574" s="67">
        <f>IF(База_КР_КК[[#This Row],[Таб.номер резервиста]]="-","-",IF(OR(База_КР_КК[[#This Row],[Уровень КК]]=2,База_КР_КК[[#This Row],[Уровень КК]]=3),IF(COUNTIFS($U$2:$U2574,$U2574,$F$2:$F2574,$F2574)=1,1,0),IF(COUNTIFS($U$2:$U2574,$U2574,$L$2:$L2574,$L2574)=1,1,0)))</f>
        <v>0</v>
      </c>
      <c r="AA25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4" s="106"/>
      <c r="AC2574" s="51"/>
      <c r="AD2574" s="106" t="s">
        <v>15</v>
      </c>
      <c r="AE2574" s="38" t="s">
        <v>362</v>
      </c>
    </row>
    <row r="2575" spans="1:31" ht="18" customHeight="1" x14ac:dyDescent="0.25">
      <c r="A25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5" s="79">
        <v>4</v>
      </c>
      <c r="C2575" s="23">
        <v>44557</v>
      </c>
      <c r="D2575" s="67">
        <f>IF(COUNTIF($G$2:$G2575,$G2575)=1,1,0)</f>
        <v>0</v>
      </c>
      <c r="E2575" s="67" t="str">
        <f>IFERROR(VLOOKUP(База_КР_КК[[#This Row],[ИД штатной должности (S)]],'уровень защищенности'!$B$7:$F$1095,5,0),"не защищена")</f>
        <v>низкий</v>
      </c>
      <c r="F2575" s="68">
        <v>500553</v>
      </c>
      <c r="G2575" s="74" t="s">
        <v>2795</v>
      </c>
      <c r="H2575" s="181">
        <f>INDEX('Списки данных'!$D$2:$D$1048576,MATCH(База_КР_КК[[#This Row],[Структурное подразделение]],'Списки данных'!$C$2:$C$1048576,0))</f>
        <v>33</v>
      </c>
      <c r="I2575" s="80" t="s">
        <v>144</v>
      </c>
      <c r="J2575" s="80" t="s">
        <v>224</v>
      </c>
      <c r="K2575" s="80" t="s">
        <v>21</v>
      </c>
      <c r="L2575" s="30" t="s">
        <v>191</v>
      </c>
      <c r="M2575" s="68">
        <v>7</v>
      </c>
      <c r="N2575" s="181" t="str">
        <f t="shared" si="41"/>
        <v>нет</v>
      </c>
      <c r="O2575" s="23"/>
      <c r="P2575" s="23"/>
      <c r="Q2575" s="106"/>
      <c r="R2575" s="37">
        <v>619</v>
      </c>
      <c r="S2575" s="39" t="s">
        <v>1028</v>
      </c>
      <c r="T2575" s="37">
        <v>1643</v>
      </c>
      <c r="U2575" s="39" t="s">
        <v>1963</v>
      </c>
      <c r="V2575" s="69" t="s">
        <v>272</v>
      </c>
      <c r="W2575" s="89" t="s">
        <v>144</v>
      </c>
      <c r="X2575" s="106" t="s">
        <v>295</v>
      </c>
      <c r="Y2575" s="107" t="s">
        <v>14</v>
      </c>
      <c r="Z2575" s="67">
        <f>IF(База_КР_КК[[#This Row],[Таб.номер резервиста]]="-","-",IF(OR(База_КР_КК[[#This Row],[Уровень КК]]=2,База_КР_КК[[#This Row],[Уровень КК]]=3),IF(COUNTIFS($U$2:$U2575,$U2575,$F$2:$F2575,$F2575)=1,1,0),IF(COUNTIFS($U$2:$U2575,$U2575,$L$2:$L2575,$L2575)=1,1,0)))</f>
        <v>0</v>
      </c>
      <c r="AA25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5" s="106" t="s">
        <v>24</v>
      </c>
      <c r="AC2575" s="51">
        <v>44960</v>
      </c>
      <c r="AD2575" s="106" t="s">
        <v>17</v>
      </c>
      <c r="AE2575" s="38" t="s">
        <v>362</v>
      </c>
    </row>
    <row r="2576" spans="1:31" ht="18" customHeight="1" x14ac:dyDescent="0.25">
      <c r="A25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6" s="79">
        <v>4</v>
      </c>
      <c r="C2576" s="23">
        <v>44922</v>
      </c>
      <c r="D2576" s="67">
        <f>IF(COUNTIF($G$2:$G2576,$G2576)=1,1,0)</f>
        <v>0</v>
      </c>
      <c r="E2576" s="67" t="str">
        <f>IFERROR(VLOOKUP(База_КР_КК[[#This Row],[ИД штатной должности (S)]],'уровень защищенности'!$B$7:$F$1095,5,0),"не защищена")</f>
        <v>низкий</v>
      </c>
      <c r="F2576" s="68">
        <v>500553</v>
      </c>
      <c r="G2576" s="74" t="s">
        <v>2795</v>
      </c>
      <c r="H2576" s="181">
        <f>INDEX('Списки данных'!$D$2:$D$1048576,MATCH(База_КР_КК[[#This Row],[Структурное подразделение]],'Списки данных'!$C$2:$C$1048576,0))</f>
        <v>33</v>
      </c>
      <c r="I2576" s="80" t="s">
        <v>144</v>
      </c>
      <c r="J2576" s="80" t="s">
        <v>224</v>
      </c>
      <c r="K2576" s="80" t="s">
        <v>21</v>
      </c>
      <c r="L2576" s="30" t="s">
        <v>191</v>
      </c>
      <c r="M2576" s="68">
        <v>7</v>
      </c>
      <c r="N2576" s="181" t="str">
        <f t="shared" si="41"/>
        <v>нет</v>
      </c>
      <c r="O2576" s="23"/>
      <c r="P2576" s="23"/>
      <c r="Q2576" s="106"/>
      <c r="R2576" s="37">
        <v>619</v>
      </c>
      <c r="S2576" s="39" t="s">
        <v>1028</v>
      </c>
      <c r="T2576" s="37">
        <v>621</v>
      </c>
      <c r="U2576" s="38" t="s">
        <v>1030</v>
      </c>
      <c r="V2576" s="69" t="s">
        <v>192</v>
      </c>
      <c r="W2576" s="89" t="s">
        <v>144</v>
      </c>
      <c r="X2576" s="106" t="s">
        <v>295</v>
      </c>
      <c r="Y2576" s="107" t="s">
        <v>14</v>
      </c>
      <c r="Z2576" s="67">
        <f>IF(База_КР_КК[[#This Row],[Таб.номер резервиста]]="-","-",IF(OR(База_КР_КК[[#This Row],[Уровень КК]]=2,База_КР_КК[[#This Row],[Уровень КК]]=3),IF(COUNTIFS($U$2:$U2576,$U2576,$F$2:$F2576,$F2576)=1,1,0),IF(COUNTIFS($U$2:$U2576,$U2576,$L$2:$L2576,$L2576)=1,1,0)))</f>
        <v>0</v>
      </c>
      <c r="AA25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6" s="106" t="s">
        <v>24</v>
      </c>
      <c r="AC2576" s="51">
        <v>44960</v>
      </c>
      <c r="AD2576" s="106" t="s">
        <v>15</v>
      </c>
      <c r="AE2576" s="38" t="s">
        <v>362</v>
      </c>
    </row>
    <row r="2577" spans="1:31" ht="18" customHeight="1" x14ac:dyDescent="0.25">
      <c r="A25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7" s="79">
        <v>4</v>
      </c>
      <c r="C2577" s="23">
        <v>44557</v>
      </c>
      <c r="D2577" s="67">
        <f>IF(COUNTIF($G$2:$G2577,$G2577)=1,1,0)</f>
        <v>1</v>
      </c>
      <c r="E2577" s="67" t="str">
        <f>IFERROR(VLOOKUP(База_КР_КК[[#This Row],[ИД штатной должности (S)]],'уровень защищенности'!$B$7:$F$1095,5,0),"не защищена")</f>
        <v>низкий</v>
      </c>
      <c r="F2577" s="68">
        <v>500553</v>
      </c>
      <c r="G2577" s="74" t="s">
        <v>2796</v>
      </c>
      <c r="H2577" s="181">
        <f>INDEX('Списки данных'!$D$2:$D$1048576,MATCH(База_КР_КК[[#This Row],[Структурное подразделение]],'Списки данных'!$C$2:$C$1048576,0))</f>
        <v>33</v>
      </c>
      <c r="I2577" s="80" t="s">
        <v>144</v>
      </c>
      <c r="J2577" s="80" t="s">
        <v>224</v>
      </c>
      <c r="K2577" s="80" t="s">
        <v>21</v>
      </c>
      <c r="L2577" s="30" t="s">
        <v>191</v>
      </c>
      <c r="M2577" s="68">
        <v>7</v>
      </c>
      <c r="N2577" s="181" t="str">
        <f t="shared" si="41"/>
        <v>нет</v>
      </c>
      <c r="O2577" s="23"/>
      <c r="P2577" s="23"/>
      <c r="Q2577" s="106"/>
      <c r="R2577" s="37">
        <v>620</v>
      </c>
      <c r="S2577" s="39" t="s">
        <v>1029</v>
      </c>
      <c r="T2577" s="37">
        <v>1640</v>
      </c>
      <c r="U2577" s="39" t="s">
        <v>1960</v>
      </c>
      <c r="V2577" s="69" t="s">
        <v>272</v>
      </c>
      <c r="W2577" s="89" t="s">
        <v>144</v>
      </c>
      <c r="X2577" s="106" t="s">
        <v>296</v>
      </c>
      <c r="Y2577" s="107" t="s">
        <v>12</v>
      </c>
      <c r="Z2577" s="67">
        <f>IF(База_КР_КК[[#This Row],[Таб.номер резервиста]]="-","-",IF(OR(База_КР_КК[[#This Row],[Уровень КК]]=2,База_КР_КК[[#This Row],[Уровень КК]]=3),IF(COUNTIFS($U$2:$U2577,$U2577,$F$2:$F2577,$F2577)=1,1,0),IF(COUNTIFS($U$2:$U2577,$U2577,$L$2:$L2577,$L2577)=1,1,0)))</f>
        <v>0</v>
      </c>
      <c r="AA25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7" s="106"/>
      <c r="AC2577" s="51"/>
      <c r="AD2577" s="106" t="s">
        <v>15</v>
      </c>
      <c r="AE2577" s="38" t="s">
        <v>361</v>
      </c>
    </row>
    <row r="2578" spans="1:31" ht="18" customHeight="1" x14ac:dyDescent="0.25">
      <c r="A25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8" s="79">
        <v>4</v>
      </c>
      <c r="C2578" s="23">
        <v>44557</v>
      </c>
      <c r="D2578" s="67">
        <f>IF(COUNTIF($G$2:$G2578,$G2578)=1,1,0)</f>
        <v>0</v>
      </c>
      <c r="E2578" s="67" t="str">
        <f>IFERROR(VLOOKUP(База_КР_КК[[#This Row],[ИД штатной должности (S)]],'уровень защищенности'!$B$7:$F$1095,5,0),"не защищена")</f>
        <v>низкий</v>
      </c>
      <c r="F2578" s="68">
        <v>500553</v>
      </c>
      <c r="G2578" s="74" t="s">
        <v>2796</v>
      </c>
      <c r="H2578" s="181">
        <f>INDEX('Списки данных'!$D$2:$D$1048576,MATCH(База_КР_КК[[#This Row],[Структурное подразделение]],'Списки данных'!$C$2:$C$1048576,0))</f>
        <v>33</v>
      </c>
      <c r="I2578" s="80" t="s">
        <v>144</v>
      </c>
      <c r="J2578" s="80" t="s">
        <v>224</v>
      </c>
      <c r="K2578" s="80" t="s">
        <v>21</v>
      </c>
      <c r="L2578" s="30" t="s">
        <v>191</v>
      </c>
      <c r="M2578" s="68">
        <v>7</v>
      </c>
      <c r="N2578" s="181" t="str">
        <f t="shared" si="41"/>
        <v>нет</v>
      </c>
      <c r="O2578" s="23"/>
      <c r="P2578" s="23"/>
      <c r="Q2578" s="106"/>
      <c r="R2578" s="37">
        <v>620</v>
      </c>
      <c r="S2578" s="39" t="s">
        <v>1029</v>
      </c>
      <c r="T2578" s="37">
        <v>1641</v>
      </c>
      <c r="U2578" s="39" t="s">
        <v>1961</v>
      </c>
      <c r="V2578" s="69" t="s">
        <v>272</v>
      </c>
      <c r="W2578" s="89" t="s">
        <v>144</v>
      </c>
      <c r="X2578" s="106" t="s">
        <v>296</v>
      </c>
      <c r="Y2578" s="107" t="s">
        <v>12</v>
      </c>
      <c r="Z2578" s="67">
        <f>IF(База_КР_КК[[#This Row],[Таб.номер резервиста]]="-","-",IF(OR(База_КР_КК[[#This Row],[Уровень КК]]=2,База_КР_КК[[#This Row],[Уровень КК]]=3),IF(COUNTIFS($U$2:$U2578,$U2578,$F$2:$F2578,$F2578)=1,1,0),IF(COUNTIFS($U$2:$U2578,$U2578,$L$2:$L2578,$L2578)=1,1,0)))</f>
        <v>0</v>
      </c>
      <c r="AA25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8" s="106"/>
      <c r="AC2578" s="51"/>
      <c r="AD2578" s="106" t="s">
        <v>15</v>
      </c>
      <c r="AE2578" s="38" t="s">
        <v>361</v>
      </c>
    </row>
    <row r="2579" spans="1:31" ht="18" customHeight="1" x14ac:dyDescent="0.25">
      <c r="A25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79" s="79">
        <v>4</v>
      </c>
      <c r="C2579" s="23">
        <v>44922</v>
      </c>
      <c r="D2579" s="67">
        <f>IF(COUNTIF($G$2:$G2579,$G2579)=1,1,0)</f>
        <v>0</v>
      </c>
      <c r="E2579" s="67" t="str">
        <f>IFERROR(VLOOKUP(База_КР_КК[[#This Row],[ИД штатной должности (S)]],'уровень защищенности'!$B$7:$F$1095,5,0),"не защищена")</f>
        <v>низкий</v>
      </c>
      <c r="F2579" s="68">
        <v>500553</v>
      </c>
      <c r="G2579" s="74" t="s">
        <v>2796</v>
      </c>
      <c r="H2579" s="181">
        <f>INDEX('Списки данных'!$D$2:$D$1048576,MATCH(База_КР_КК[[#This Row],[Структурное подразделение]],'Списки данных'!$C$2:$C$1048576,0))</f>
        <v>33</v>
      </c>
      <c r="I2579" s="80" t="s">
        <v>144</v>
      </c>
      <c r="J2579" s="80" t="s">
        <v>224</v>
      </c>
      <c r="K2579" s="80" t="s">
        <v>21</v>
      </c>
      <c r="L2579" s="30" t="s">
        <v>191</v>
      </c>
      <c r="M2579" s="68">
        <v>7</v>
      </c>
      <c r="N2579" s="181" t="str">
        <f t="shared" si="41"/>
        <v>нет</v>
      </c>
      <c r="O2579" s="23"/>
      <c r="P2579" s="23"/>
      <c r="Q2579" s="106"/>
      <c r="R2579" s="37">
        <v>620</v>
      </c>
      <c r="S2579" s="39" t="s">
        <v>1029</v>
      </c>
      <c r="T2579" s="37">
        <v>1642</v>
      </c>
      <c r="U2579" s="38" t="s">
        <v>1962</v>
      </c>
      <c r="V2579" s="69" t="s">
        <v>272</v>
      </c>
      <c r="W2579" s="89" t="s">
        <v>144</v>
      </c>
      <c r="X2579" s="106" t="s">
        <v>296</v>
      </c>
      <c r="Y2579" s="107" t="s">
        <v>12</v>
      </c>
      <c r="Z2579" s="67">
        <f>IF(База_КР_КК[[#This Row],[Таб.номер резервиста]]="-","-",IF(OR(База_КР_КК[[#This Row],[Уровень КК]]=2,База_КР_КК[[#This Row],[Уровень КК]]=3),IF(COUNTIFS($U$2:$U2579,$U2579,$F$2:$F2579,$F2579)=1,1,0),IF(COUNTIFS($U$2:$U2579,$U2579,$L$2:$L2579,$L2579)=1,1,0)))</f>
        <v>0</v>
      </c>
      <c r="AA25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79" s="106"/>
      <c r="AC2579" s="51"/>
      <c r="AD2579" s="106" t="s">
        <v>15</v>
      </c>
      <c r="AE2579" s="38" t="s">
        <v>362</v>
      </c>
    </row>
    <row r="2580" spans="1:31" ht="18" customHeight="1" x14ac:dyDescent="0.25">
      <c r="A25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0" s="79">
        <v>4</v>
      </c>
      <c r="C2580" s="23">
        <v>44557</v>
      </c>
      <c r="D2580" s="67">
        <f>IF(COUNTIF($G$2:$G2580,$G2580)=1,1,0)</f>
        <v>0</v>
      </c>
      <c r="E2580" s="67" t="str">
        <f>IFERROR(VLOOKUP(База_КР_КК[[#This Row],[ИД штатной должности (S)]],'уровень защищенности'!$B$7:$F$1095,5,0),"не защищена")</f>
        <v>низкий</v>
      </c>
      <c r="F2580" s="68">
        <v>500553</v>
      </c>
      <c r="G2580" s="74" t="s">
        <v>2796</v>
      </c>
      <c r="H2580" s="181">
        <f>INDEX('Списки данных'!$D$2:$D$1048576,MATCH(База_КР_КК[[#This Row],[Структурное подразделение]],'Списки данных'!$C$2:$C$1048576,0))</f>
        <v>33</v>
      </c>
      <c r="I2580" s="80" t="s">
        <v>144</v>
      </c>
      <c r="J2580" s="80" t="s">
        <v>224</v>
      </c>
      <c r="K2580" s="80" t="s">
        <v>21</v>
      </c>
      <c r="L2580" s="30" t="s">
        <v>191</v>
      </c>
      <c r="M2580" s="68">
        <v>7</v>
      </c>
      <c r="N2580" s="181" t="str">
        <f t="shared" si="41"/>
        <v>нет</v>
      </c>
      <c r="O2580" s="23"/>
      <c r="P2580" s="23"/>
      <c r="Q2580" s="106"/>
      <c r="R2580" s="37">
        <v>620</v>
      </c>
      <c r="S2580" s="39" t="s">
        <v>1029</v>
      </c>
      <c r="T2580" s="37">
        <v>1643</v>
      </c>
      <c r="U2580" s="39" t="s">
        <v>1963</v>
      </c>
      <c r="V2580" s="69" t="s">
        <v>272</v>
      </c>
      <c r="W2580" s="89" t="s">
        <v>144</v>
      </c>
      <c r="X2580" s="106" t="s">
        <v>295</v>
      </c>
      <c r="Y2580" s="107" t="s">
        <v>14</v>
      </c>
      <c r="Z2580" s="67">
        <f>IF(База_КР_КК[[#This Row],[Таб.номер резервиста]]="-","-",IF(OR(База_КР_КК[[#This Row],[Уровень КК]]=2,База_КР_КК[[#This Row],[Уровень КК]]=3),IF(COUNTIFS($U$2:$U2580,$U2580,$F$2:$F2580,$F2580)=1,1,0),IF(COUNTIFS($U$2:$U2580,$U2580,$L$2:$L2580,$L2580)=1,1,0)))</f>
        <v>0</v>
      </c>
      <c r="AA25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0" s="106" t="s">
        <v>24</v>
      </c>
      <c r="AC2580" s="51">
        <v>44960</v>
      </c>
      <c r="AD2580" s="106" t="s">
        <v>17</v>
      </c>
      <c r="AE2580" s="38" t="s">
        <v>362</v>
      </c>
    </row>
    <row r="2581" spans="1:31" ht="18" customHeight="1" x14ac:dyDescent="0.25">
      <c r="A25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1" s="79">
        <v>4</v>
      </c>
      <c r="C2581" s="23">
        <v>44922</v>
      </c>
      <c r="D2581" s="67">
        <f>IF(COUNTIF($G$2:$G2581,$G2581)=1,1,0)</f>
        <v>0</v>
      </c>
      <c r="E2581" s="67" t="str">
        <f>IFERROR(VLOOKUP(База_КР_КК[[#This Row],[ИД штатной должности (S)]],'уровень защищенности'!$B$7:$F$1095,5,0),"не защищена")</f>
        <v>низкий</v>
      </c>
      <c r="F2581" s="68">
        <v>500553</v>
      </c>
      <c r="G2581" s="74" t="s">
        <v>2796</v>
      </c>
      <c r="H2581" s="181">
        <f>INDEX('Списки данных'!$D$2:$D$1048576,MATCH(База_КР_КК[[#This Row],[Структурное подразделение]],'Списки данных'!$C$2:$C$1048576,0))</f>
        <v>33</v>
      </c>
      <c r="I2581" s="80" t="s">
        <v>144</v>
      </c>
      <c r="J2581" s="80" t="s">
        <v>224</v>
      </c>
      <c r="K2581" s="80" t="s">
        <v>21</v>
      </c>
      <c r="L2581" s="30" t="s">
        <v>191</v>
      </c>
      <c r="M2581" s="68">
        <v>7</v>
      </c>
      <c r="N2581" s="181" t="str">
        <f t="shared" si="41"/>
        <v>нет</v>
      </c>
      <c r="O2581" s="23"/>
      <c r="P2581" s="23"/>
      <c r="Q2581" s="106"/>
      <c r="R2581" s="37">
        <v>620</v>
      </c>
      <c r="S2581" s="39" t="s">
        <v>1029</v>
      </c>
      <c r="T2581" s="37">
        <v>621</v>
      </c>
      <c r="U2581" s="38" t="s">
        <v>1030</v>
      </c>
      <c r="V2581" s="69" t="s">
        <v>192</v>
      </c>
      <c r="W2581" s="89" t="s">
        <v>144</v>
      </c>
      <c r="X2581" s="106" t="s">
        <v>295</v>
      </c>
      <c r="Y2581" s="107" t="s">
        <v>14</v>
      </c>
      <c r="Z2581" s="67">
        <f>IF(База_КР_КК[[#This Row],[Таб.номер резервиста]]="-","-",IF(OR(База_КР_КК[[#This Row],[Уровень КК]]=2,База_КР_КК[[#This Row],[Уровень КК]]=3),IF(COUNTIFS($U$2:$U2581,$U2581,$F$2:$F2581,$F2581)=1,1,0),IF(COUNTIFS($U$2:$U2581,$U2581,$L$2:$L2581,$L2581)=1,1,0)))</f>
        <v>0</v>
      </c>
      <c r="AA25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1" s="106" t="s">
        <v>24</v>
      </c>
      <c r="AC2581" s="51">
        <v>44960</v>
      </c>
      <c r="AD2581" s="106" t="s">
        <v>15</v>
      </c>
      <c r="AE2581" s="38" t="s">
        <v>362</v>
      </c>
    </row>
    <row r="2582" spans="1:31" ht="18" customHeight="1" x14ac:dyDescent="0.25">
      <c r="A25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2" s="79">
        <v>4</v>
      </c>
      <c r="C2582" s="23">
        <v>44557</v>
      </c>
      <c r="D2582" s="67">
        <f>IF(COUNTIF($G$2:$G2582,$G2582)=1,1,0)</f>
        <v>1</v>
      </c>
      <c r="E2582" s="67" t="str">
        <f>IFERROR(VLOOKUP(База_КР_КК[[#This Row],[ИД штатной должности (S)]],'уровень защищенности'!$B$7:$F$1095,5,0),"не защищена")</f>
        <v>низкий</v>
      </c>
      <c r="F2582" s="68">
        <v>500553</v>
      </c>
      <c r="G2582" s="74" t="s">
        <v>2797</v>
      </c>
      <c r="H2582" s="181">
        <f>INDEX('Списки данных'!$D$2:$D$1048576,MATCH(База_КР_КК[[#This Row],[Структурное подразделение]],'Списки данных'!$C$2:$C$1048576,0))</f>
        <v>33</v>
      </c>
      <c r="I2582" s="80" t="s">
        <v>144</v>
      </c>
      <c r="J2582" s="80" t="s">
        <v>224</v>
      </c>
      <c r="K2582" s="80" t="s">
        <v>21</v>
      </c>
      <c r="L2582" s="30" t="s">
        <v>191</v>
      </c>
      <c r="M2582" s="68">
        <v>7</v>
      </c>
      <c r="N2582" s="181" t="str">
        <f t="shared" si="41"/>
        <v>да</v>
      </c>
      <c r="O2582" s="23">
        <v>44883</v>
      </c>
      <c r="P2582" s="23">
        <v>44960</v>
      </c>
      <c r="Q2582" s="106" t="s">
        <v>66</v>
      </c>
      <c r="R2582" s="37">
        <v>621</v>
      </c>
      <c r="S2582" s="38" t="s">
        <v>1030</v>
      </c>
      <c r="T2582" s="37">
        <v>1640</v>
      </c>
      <c r="U2582" s="39" t="s">
        <v>1960</v>
      </c>
      <c r="V2582" s="69" t="s">
        <v>272</v>
      </c>
      <c r="W2582" s="89" t="s">
        <v>144</v>
      </c>
      <c r="X2582" s="106" t="s">
        <v>296</v>
      </c>
      <c r="Y2582" s="107" t="s">
        <v>12</v>
      </c>
      <c r="Z2582" s="67">
        <f>IF(База_КР_КК[[#This Row],[Таб.номер резервиста]]="-","-",IF(OR(База_КР_КК[[#This Row],[Уровень КК]]=2,База_КР_КК[[#This Row],[Уровень КК]]=3),IF(COUNTIFS($U$2:$U2582,$U2582,$F$2:$F2582,$F2582)=1,1,0),IF(COUNTIFS($U$2:$U2582,$U2582,$L$2:$L2582,$L2582)=1,1,0)))</f>
        <v>0</v>
      </c>
      <c r="AA25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2" s="106"/>
      <c r="AC2582" s="51"/>
      <c r="AD2582" s="106" t="s">
        <v>15</v>
      </c>
      <c r="AE2582" s="38" t="s">
        <v>361</v>
      </c>
    </row>
    <row r="2583" spans="1:31" ht="18" customHeight="1" x14ac:dyDescent="0.25">
      <c r="A25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3" s="79">
        <v>4</v>
      </c>
      <c r="C2583" s="23">
        <v>44557</v>
      </c>
      <c r="D2583" s="67">
        <f>IF(COUNTIF($G$2:$G2583,$G2583)=1,1,0)</f>
        <v>0</v>
      </c>
      <c r="E2583" s="67" t="str">
        <f>IFERROR(VLOOKUP(База_КР_КК[[#This Row],[ИД штатной должности (S)]],'уровень защищенности'!$B$7:$F$1095,5,0),"не защищена")</f>
        <v>низкий</v>
      </c>
      <c r="F2583" s="68">
        <v>500553</v>
      </c>
      <c r="G2583" s="74" t="s">
        <v>2797</v>
      </c>
      <c r="H2583" s="181">
        <f>INDEX('Списки данных'!$D$2:$D$1048576,MATCH(База_КР_КК[[#This Row],[Структурное подразделение]],'Списки данных'!$C$2:$C$1048576,0))</f>
        <v>33</v>
      </c>
      <c r="I2583" s="80" t="s">
        <v>144</v>
      </c>
      <c r="J2583" s="80" t="s">
        <v>224</v>
      </c>
      <c r="K2583" s="80" t="s">
        <v>21</v>
      </c>
      <c r="L2583" s="30" t="s">
        <v>191</v>
      </c>
      <c r="M2583" s="68">
        <v>7</v>
      </c>
      <c r="N2583" s="181" t="str">
        <f t="shared" si="41"/>
        <v>да</v>
      </c>
      <c r="O2583" s="23">
        <v>44883</v>
      </c>
      <c r="P2583" s="23">
        <v>44960</v>
      </c>
      <c r="Q2583" s="106" t="s">
        <v>66</v>
      </c>
      <c r="R2583" s="37">
        <v>621</v>
      </c>
      <c r="S2583" s="38" t="s">
        <v>1030</v>
      </c>
      <c r="T2583" s="37">
        <v>1641</v>
      </c>
      <c r="U2583" s="39" t="s">
        <v>1961</v>
      </c>
      <c r="V2583" s="69" t="s">
        <v>272</v>
      </c>
      <c r="W2583" s="89" t="s">
        <v>144</v>
      </c>
      <c r="X2583" s="106" t="s">
        <v>296</v>
      </c>
      <c r="Y2583" s="107" t="s">
        <v>12</v>
      </c>
      <c r="Z2583" s="67">
        <f>IF(База_КР_КК[[#This Row],[Таб.номер резервиста]]="-","-",IF(OR(База_КР_КК[[#This Row],[Уровень КК]]=2,База_КР_КК[[#This Row],[Уровень КК]]=3),IF(COUNTIFS($U$2:$U2583,$U2583,$F$2:$F2583,$F2583)=1,1,0),IF(COUNTIFS($U$2:$U2583,$U2583,$L$2:$L2583,$L2583)=1,1,0)))</f>
        <v>0</v>
      </c>
      <c r="AA25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3" s="106"/>
      <c r="AC2583" s="51"/>
      <c r="AD2583" s="106" t="s">
        <v>15</v>
      </c>
      <c r="AE2583" s="38" t="s">
        <v>361</v>
      </c>
    </row>
    <row r="2584" spans="1:31" ht="18" customHeight="1" x14ac:dyDescent="0.25">
      <c r="A25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4" s="79">
        <v>4</v>
      </c>
      <c r="C2584" s="23">
        <v>44922</v>
      </c>
      <c r="D2584" s="67">
        <f>IF(COUNTIF($G$2:$G2584,$G2584)=1,1,0)</f>
        <v>0</v>
      </c>
      <c r="E2584" s="67" t="str">
        <f>IFERROR(VLOOKUP(База_КР_КК[[#This Row],[ИД штатной должности (S)]],'уровень защищенности'!$B$7:$F$1095,5,0),"не защищена")</f>
        <v>низкий</v>
      </c>
      <c r="F2584" s="68">
        <v>500553</v>
      </c>
      <c r="G2584" s="74" t="s">
        <v>2797</v>
      </c>
      <c r="H2584" s="181">
        <f>INDEX('Списки данных'!$D$2:$D$1048576,MATCH(База_КР_КК[[#This Row],[Структурное подразделение]],'Списки данных'!$C$2:$C$1048576,0))</f>
        <v>33</v>
      </c>
      <c r="I2584" s="80" t="s">
        <v>144</v>
      </c>
      <c r="J2584" s="80" t="s">
        <v>224</v>
      </c>
      <c r="K2584" s="80" t="s">
        <v>21</v>
      </c>
      <c r="L2584" s="30" t="s">
        <v>191</v>
      </c>
      <c r="M2584" s="68">
        <v>7</v>
      </c>
      <c r="N2584" s="181" t="str">
        <f t="shared" si="41"/>
        <v>да</v>
      </c>
      <c r="O2584" s="23">
        <v>44883</v>
      </c>
      <c r="P2584" s="23">
        <v>44960</v>
      </c>
      <c r="Q2584" s="106" t="s">
        <v>66</v>
      </c>
      <c r="R2584" s="37">
        <v>621</v>
      </c>
      <c r="S2584" s="38" t="s">
        <v>1030</v>
      </c>
      <c r="T2584" s="37">
        <v>1642</v>
      </c>
      <c r="U2584" s="38" t="s">
        <v>1962</v>
      </c>
      <c r="V2584" s="69" t="s">
        <v>272</v>
      </c>
      <c r="W2584" s="89" t="s">
        <v>144</v>
      </c>
      <c r="X2584" s="106" t="s">
        <v>296</v>
      </c>
      <c r="Y2584" s="107" t="s">
        <v>12</v>
      </c>
      <c r="Z2584" s="67">
        <f>IF(База_КР_КК[[#This Row],[Таб.номер резервиста]]="-","-",IF(OR(База_КР_КК[[#This Row],[Уровень КК]]=2,База_КР_КК[[#This Row],[Уровень КК]]=3),IF(COUNTIFS($U$2:$U2584,$U2584,$F$2:$F2584,$F2584)=1,1,0),IF(COUNTIFS($U$2:$U2584,$U2584,$L$2:$L2584,$L2584)=1,1,0)))</f>
        <v>0</v>
      </c>
      <c r="AA25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4" s="106"/>
      <c r="AC2584" s="51"/>
      <c r="AD2584" s="106" t="s">
        <v>15</v>
      </c>
      <c r="AE2584" s="38" t="s">
        <v>362</v>
      </c>
    </row>
    <row r="2585" spans="1:31" ht="18" customHeight="1" x14ac:dyDescent="0.25">
      <c r="A25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5" s="79">
        <v>4</v>
      </c>
      <c r="C2585" s="23">
        <v>44557</v>
      </c>
      <c r="D2585" s="67">
        <f>IF(COUNTIF($G$2:$G2585,$G2585)=1,1,0)</f>
        <v>0</v>
      </c>
      <c r="E2585" s="67" t="str">
        <f>IFERROR(VLOOKUP(База_КР_КК[[#This Row],[ИД штатной должности (S)]],'уровень защищенности'!$B$7:$F$1095,5,0),"не защищена")</f>
        <v>низкий</v>
      </c>
      <c r="F2585" s="68">
        <v>500553</v>
      </c>
      <c r="G2585" s="74" t="s">
        <v>2797</v>
      </c>
      <c r="H2585" s="181">
        <f>INDEX('Списки данных'!$D$2:$D$1048576,MATCH(База_КР_КК[[#This Row],[Структурное подразделение]],'Списки данных'!$C$2:$C$1048576,0))</f>
        <v>33</v>
      </c>
      <c r="I2585" s="80" t="s">
        <v>144</v>
      </c>
      <c r="J2585" s="80" t="s">
        <v>224</v>
      </c>
      <c r="K2585" s="80" t="s">
        <v>21</v>
      </c>
      <c r="L2585" s="30" t="s">
        <v>191</v>
      </c>
      <c r="M2585" s="68">
        <v>7</v>
      </c>
      <c r="N2585" s="181" t="str">
        <f t="shared" si="41"/>
        <v>да</v>
      </c>
      <c r="O2585" s="23">
        <v>44883</v>
      </c>
      <c r="P2585" s="23">
        <v>44960</v>
      </c>
      <c r="Q2585" s="106" t="s">
        <v>66</v>
      </c>
      <c r="R2585" s="37">
        <v>621</v>
      </c>
      <c r="S2585" s="38" t="s">
        <v>1030</v>
      </c>
      <c r="T2585" s="37">
        <v>1643</v>
      </c>
      <c r="U2585" s="39" t="s">
        <v>1963</v>
      </c>
      <c r="V2585" s="69" t="s">
        <v>272</v>
      </c>
      <c r="W2585" s="89" t="s">
        <v>144</v>
      </c>
      <c r="X2585" s="106" t="s">
        <v>295</v>
      </c>
      <c r="Y2585" s="107" t="s">
        <v>14</v>
      </c>
      <c r="Z2585" s="67">
        <f>IF(База_КР_КК[[#This Row],[Таб.номер резервиста]]="-","-",IF(OR(База_КР_КК[[#This Row],[Уровень КК]]=2,База_КР_КК[[#This Row],[Уровень КК]]=3),IF(COUNTIFS($U$2:$U2585,$U2585,$F$2:$F2585,$F2585)=1,1,0),IF(COUNTIFS($U$2:$U2585,$U2585,$L$2:$L2585,$L2585)=1,1,0)))</f>
        <v>0</v>
      </c>
      <c r="AA25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5" s="106" t="s">
        <v>24</v>
      </c>
      <c r="AC2585" s="51">
        <v>44960</v>
      </c>
      <c r="AD2585" s="106" t="s">
        <v>17</v>
      </c>
      <c r="AE2585" s="38" t="s">
        <v>362</v>
      </c>
    </row>
    <row r="2586" spans="1:31" ht="18" customHeight="1" x14ac:dyDescent="0.25">
      <c r="A25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6" s="79">
        <v>4</v>
      </c>
      <c r="C2586" s="23">
        <v>44922</v>
      </c>
      <c r="D2586" s="67">
        <f>IF(COUNTIF($G$2:$G2586,$G2586)=1,1,0)</f>
        <v>0</v>
      </c>
      <c r="E2586" s="67" t="str">
        <f>IFERROR(VLOOKUP(База_КР_КК[[#This Row],[ИД штатной должности (S)]],'уровень защищенности'!$B$7:$F$1095,5,0),"не защищена")</f>
        <v>низкий</v>
      </c>
      <c r="F2586" s="68">
        <v>500553</v>
      </c>
      <c r="G2586" s="74" t="s">
        <v>2797</v>
      </c>
      <c r="H2586" s="181">
        <f>INDEX('Списки данных'!$D$2:$D$1048576,MATCH(База_КР_КК[[#This Row],[Структурное подразделение]],'Списки данных'!$C$2:$C$1048576,0))</f>
        <v>33</v>
      </c>
      <c r="I2586" s="80" t="s">
        <v>144</v>
      </c>
      <c r="J2586" s="80" t="s">
        <v>224</v>
      </c>
      <c r="K2586" s="80" t="s">
        <v>21</v>
      </c>
      <c r="L2586" s="30" t="s">
        <v>191</v>
      </c>
      <c r="M2586" s="68">
        <v>7</v>
      </c>
      <c r="N2586" s="181" t="str">
        <f t="shared" si="41"/>
        <v>да</v>
      </c>
      <c r="O2586" s="23">
        <v>44883</v>
      </c>
      <c r="P2586" s="23">
        <v>44960</v>
      </c>
      <c r="Q2586" s="106" t="s">
        <v>66</v>
      </c>
      <c r="R2586" s="37">
        <v>621</v>
      </c>
      <c r="S2586" s="38" t="s">
        <v>1030</v>
      </c>
      <c r="T2586" s="37">
        <v>621</v>
      </c>
      <c r="U2586" s="38" t="s">
        <v>1030</v>
      </c>
      <c r="V2586" s="69" t="s">
        <v>192</v>
      </c>
      <c r="W2586" s="89" t="s">
        <v>144</v>
      </c>
      <c r="X2586" s="106" t="s">
        <v>295</v>
      </c>
      <c r="Y2586" s="107" t="s">
        <v>14</v>
      </c>
      <c r="Z2586" s="67">
        <f>IF(База_КР_КК[[#This Row],[Таб.номер резервиста]]="-","-",IF(OR(База_КР_КК[[#This Row],[Уровень КК]]=2,База_КР_КК[[#This Row],[Уровень КК]]=3),IF(COUNTIFS($U$2:$U2586,$U2586,$F$2:$F2586,$F2586)=1,1,0),IF(COUNTIFS($U$2:$U2586,$U2586,$L$2:$L2586,$L2586)=1,1,0)))</f>
        <v>0</v>
      </c>
      <c r="AA25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586" s="106" t="s">
        <v>24</v>
      </c>
      <c r="AC2586" s="51">
        <v>44960</v>
      </c>
      <c r="AD2586" s="106" t="s">
        <v>15</v>
      </c>
      <c r="AE2586" s="38" t="s">
        <v>362</v>
      </c>
    </row>
    <row r="2587" spans="1:31" ht="18" customHeight="1" x14ac:dyDescent="0.25">
      <c r="A25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7" s="79">
        <v>3</v>
      </c>
      <c r="C2587" s="23">
        <v>44112</v>
      </c>
      <c r="D2587" s="67">
        <f>IF(COUNTIF($G$2:$G2587,$G2587)=1,1,0)</f>
        <v>1</v>
      </c>
      <c r="E2587" s="67" t="str">
        <f>IFERROR(VLOOKUP(База_КР_КК[[#This Row],[ИД штатной должности (S)]],'уровень защищенности'!$B$7:$F$1095,5,0),"не защищена")</f>
        <v>средний</v>
      </c>
      <c r="F2587" s="68">
        <v>500747</v>
      </c>
      <c r="G2587" s="74" t="s">
        <v>2798</v>
      </c>
      <c r="H2587" s="181">
        <f>INDEX('Списки данных'!$D$2:$D$1048576,MATCH(База_КР_КК[[#This Row],[Структурное подразделение]],'Списки данных'!$C$2:$C$1048576,0))</f>
        <v>94</v>
      </c>
      <c r="I2587" s="80" t="s">
        <v>145</v>
      </c>
      <c r="J2587" s="80" t="s">
        <v>233</v>
      </c>
      <c r="K2587" s="80" t="s">
        <v>21</v>
      </c>
      <c r="L2587" s="30" t="s">
        <v>180</v>
      </c>
      <c r="M2587" s="68">
        <v>5</v>
      </c>
      <c r="N2587" s="181" t="str">
        <f t="shared" si="41"/>
        <v>да</v>
      </c>
      <c r="O2587" s="23">
        <v>44927</v>
      </c>
      <c r="P2587" s="23">
        <v>44939</v>
      </c>
      <c r="Q2587" s="106" t="s">
        <v>57</v>
      </c>
      <c r="R2587" s="37">
        <v>622</v>
      </c>
      <c r="S2587" s="39" t="s">
        <v>1031</v>
      </c>
      <c r="T2587" s="37">
        <v>496</v>
      </c>
      <c r="U2587" s="38" t="s">
        <v>906</v>
      </c>
      <c r="V2587" s="69" t="s">
        <v>189</v>
      </c>
      <c r="W2587" s="89" t="s">
        <v>145</v>
      </c>
      <c r="X2587" s="106" t="s">
        <v>297</v>
      </c>
      <c r="Y2587" s="107" t="s">
        <v>12</v>
      </c>
      <c r="Z2587" s="67">
        <f>IF(База_КР_КК[[#This Row],[Таб.номер резервиста]]="-","-",IF(OR(База_КР_КК[[#This Row],[Уровень КК]]=2,База_КР_КК[[#This Row],[Уровень КК]]=3),IF(COUNTIFS($U$2:$U2587,$U2587,$F$2:$F2587,$F2587)=1,1,0),IF(COUNTIFS($U$2:$U2587,$U2587,$L$2:$L2587,$L2587)=1,1,0)))</f>
        <v>1</v>
      </c>
      <c r="AA25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7" s="106"/>
      <c r="AC2587" s="51"/>
      <c r="AD2587" s="106" t="s">
        <v>13</v>
      </c>
      <c r="AE2587" s="38" t="s">
        <v>359</v>
      </c>
    </row>
    <row r="2588" spans="1:31" ht="18" customHeight="1" x14ac:dyDescent="0.25">
      <c r="A25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8" s="79">
        <v>3</v>
      </c>
      <c r="C2588" s="23">
        <v>44781</v>
      </c>
      <c r="D2588" s="67">
        <f>IF(COUNTIF($G$2:$G2588,$G2588)=1,1,0)</f>
        <v>0</v>
      </c>
      <c r="E2588" s="67" t="str">
        <f>IFERROR(VLOOKUP(База_КР_КК[[#This Row],[ИД штатной должности (S)]],'уровень защищенности'!$B$7:$F$1095,5,0),"не защищена")</f>
        <v>средний</v>
      </c>
      <c r="F2588" s="68">
        <v>500747</v>
      </c>
      <c r="G2588" s="74" t="s">
        <v>2798</v>
      </c>
      <c r="H2588" s="181">
        <f>INDEX('Списки данных'!$D$2:$D$1048576,MATCH(База_КР_КК[[#This Row],[Структурное подразделение]],'Списки данных'!$C$2:$C$1048576,0))</f>
        <v>94</v>
      </c>
      <c r="I2588" s="80" t="s">
        <v>145</v>
      </c>
      <c r="J2588" s="80" t="s">
        <v>233</v>
      </c>
      <c r="K2588" s="80" t="s">
        <v>21</v>
      </c>
      <c r="L2588" s="30" t="s">
        <v>180</v>
      </c>
      <c r="M2588" s="68">
        <v>5</v>
      </c>
      <c r="N2588" s="181" t="str">
        <f t="shared" si="41"/>
        <v>да</v>
      </c>
      <c r="O2588" s="23">
        <v>44927</v>
      </c>
      <c r="P2588" s="23">
        <v>44939</v>
      </c>
      <c r="Q2588" s="106" t="s">
        <v>57</v>
      </c>
      <c r="R2588" s="37">
        <v>622</v>
      </c>
      <c r="S2588" s="39" t="s">
        <v>1031</v>
      </c>
      <c r="T2588" s="37">
        <v>499</v>
      </c>
      <c r="U2588" s="38" t="s">
        <v>909</v>
      </c>
      <c r="V2588" s="69" t="s">
        <v>189</v>
      </c>
      <c r="W2588" s="89" t="s">
        <v>145</v>
      </c>
      <c r="X2588" s="106" t="s">
        <v>296</v>
      </c>
      <c r="Y2588" s="107" t="s">
        <v>12</v>
      </c>
      <c r="Z2588" s="67">
        <f>IF(База_КР_КК[[#This Row],[Таб.номер резервиста]]="-","-",IF(OR(База_КР_КК[[#This Row],[Уровень КК]]=2,База_КР_КК[[#This Row],[Уровень КК]]=3),IF(COUNTIFS($U$2:$U2588,$U2588,$F$2:$F2588,$F2588)=1,1,0),IF(COUNTIFS($U$2:$U2588,$U2588,$L$2:$L2588,$L2588)=1,1,0)))</f>
        <v>1</v>
      </c>
      <c r="AA25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8" s="106"/>
      <c r="AC2588" s="51"/>
      <c r="AD2588" s="106" t="s">
        <v>15</v>
      </c>
      <c r="AE2588" s="38" t="s">
        <v>359</v>
      </c>
    </row>
    <row r="2589" spans="1:31" ht="18" customHeight="1" x14ac:dyDescent="0.25">
      <c r="A25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89" s="79">
        <v>3</v>
      </c>
      <c r="C2589" s="23">
        <v>44781</v>
      </c>
      <c r="D2589" s="67">
        <f>IF(COUNTIF($G$2:$G2589,$G2589)=1,1,0)</f>
        <v>0</v>
      </c>
      <c r="E2589" s="67" t="str">
        <f>IFERROR(VLOOKUP(База_КР_КК[[#This Row],[ИД штатной должности (S)]],'уровень защищенности'!$B$7:$F$1095,5,0),"не защищена")</f>
        <v>средний</v>
      </c>
      <c r="F2589" s="68">
        <v>500747</v>
      </c>
      <c r="G2589" s="74" t="s">
        <v>2798</v>
      </c>
      <c r="H2589" s="181">
        <f>INDEX('Списки данных'!$D$2:$D$1048576,MATCH(База_КР_КК[[#This Row],[Структурное подразделение]],'Списки данных'!$C$2:$C$1048576,0))</f>
        <v>94</v>
      </c>
      <c r="I2589" s="80" t="s">
        <v>145</v>
      </c>
      <c r="J2589" s="80" t="s">
        <v>233</v>
      </c>
      <c r="K2589" s="80" t="s">
        <v>21</v>
      </c>
      <c r="L2589" s="30" t="s">
        <v>180</v>
      </c>
      <c r="M2589" s="68">
        <v>5</v>
      </c>
      <c r="N2589" s="181" t="str">
        <f t="shared" si="41"/>
        <v>да</v>
      </c>
      <c r="O2589" s="23">
        <v>44927</v>
      </c>
      <c r="P2589" s="23">
        <v>44939</v>
      </c>
      <c r="Q2589" s="106" t="s">
        <v>57</v>
      </c>
      <c r="R2589" s="37">
        <v>622</v>
      </c>
      <c r="S2589" s="39" t="s">
        <v>1031</v>
      </c>
      <c r="T2589" s="37">
        <v>500</v>
      </c>
      <c r="U2589" s="38" t="s">
        <v>910</v>
      </c>
      <c r="V2589" s="69" t="s">
        <v>189</v>
      </c>
      <c r="W2589" s="89" t="s">
        <v>145</v>
      </c>
      <c r="X2589" s="106" t="s">
        <v>296</v>
      </c>
      <c r="Y2589" s="107" t="s">
        <v>12</v>
      </c>
      <c r="Z2589" s="67">
        <f>IF(База_КР_КК[[#This Row],[Таб.номер резервиста]]="-","-",IF(OR(База_КР_КК[[#This Row],[Уровень КК]]=2,База_КР_КК[[#This Row],[Уровень КК]]=3),IF(COUNTIFS($U$2:$U2589,$U2589,$F$2:$F2589,$F2589)=1,1,0),IF(COUNTIFS($U$2:$U2589,$U2589,$L$2:$L2589,$L2589)=1,1,0)))</f>
        <v>1</v>
      </c>
      <c r="AA25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89" s="106"/>
      <c r="AC2589" s="51"/>
      <c r="AD2589" s="106" t="s">
        <v>15</v>
      </c>
      <c r="AE2589" s="38" t="s">
        <v>359</v>
      </c>
    </row>
    <row r="2590" spans="1:31" ht="18" customHeight="1" x14ac:dyDescent="0.25">
      <c r="A25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90" s="79">
        <v>3</v>
      </c>
      <c r="C2590" s="23">
        <v>44112</v>
      </c>
      <c r="D2590" s="67">
        <f>IF(COUNTIF($G$2:$G2590,$G2590)=1,1,0)</f>
        <v>0</v>
      </c>
      <c r="E2590" s="67" t="str">
        <f>IFERROR(VLOOKUP(База_КР_КК[[#This Row],[ИД штатной должности (S)]],'уровень защищенности'!$B$7:$F$1095,5,0),"не защищена")</f>
        <v>средний</v>
      </c>
      <c r="F2590" s="68">
        <v>500747</v>
      </c>
      <c r="G2590" s="74" t="s">
        <v>2798</v>
      </c>
      <c r="H2590" s="181">
        <f>INDEX('Списки данных'!$D$2:$D$1048576,MATCH(База_КР_КК[[#This Row],[Структурное подразделение]],'Списки данных'!$C$2:$C$1048576,0))</f>
        <v>94</v>
      </c>
      <c r="I2590" s="80" t="s">
        <v>145</v>
      </c>
      <c r="J2590" s="80" t="s">
        <v>233</v>
      </c>
      <c r="K2590" s="80" t="s">
        <v>21</v>
      </c>
      <c r="L2590" s="30" t="s">
        <v>180</v>
      </c>
      <c r="M2590" s="68">
        <v>5</v>
      </c>
      <c r="N2590" s="181" t="str">
        <f t="shared" si="41"/>
        <v>да</v>
      </c>
      <c r="O2590" s="23">
        <v>44927</v>
      </c>
      <c r="P2590" s="23">
        <v>44939</v>
      </c>
      <c r="Q2590" s="106" t="s">
        <v>57</v>
      </c>
      <c r="R2590" s="37">
        <v>622</v>
      </c>
      <c r="S2590" s="39" t="s">
        <v>1031</v>
      </c>
      <c r="T2590" s="37">
        <v>498</v>
      </c>
      <c r="U2590" s="38" t="s">
        <v>908</v>
      </c>
      <c r="V2590" s="69" t="s">
        <v>189</v>
      </c>
      <c r="W2590" s="89" t="s">
        <v>145</v>
      </c>
      <c r="X2590" s="106" t="s">
        <v>296</v>
      </c>
      <c r="Y2590" s="107" t="s">
        <v>18</v>
      </c>
      <c r="Z2590" s="67">
        <f>IF(База_КР_КК[[#This Row],[Таб.номер резервиста]]="-","-",IF(OR(База_КР_КК[[#This Row],[Уровень КК]]=2,База_КР_КК[[#This Row],[Уровень КК]]=3),IF(COUNTIFS($U$2:$U2590,$U2590,$F$2:$F2590,$F2590)=1,1,0),IF(COUNTIFS($U$2:$U2590,$U2590,$L$2:$L2590,$L2590)=1,1,0)))</f>
        <v>1</v>
      </c>
      <c r="AA25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0" s="106" t="s">
        <v>38</v>
      </c>
      <c r="AC2590" s="51">
        <v>44781</v>
      </c>
      <c r="AD2590" s="106" t="s">
        <v>31</v>
      </c>
      <c r="AE2590" s="38" t="s">
        <v>359</v>
      </c>
    </row>
    <row r="2591" spans="1:31" ht="18" customHeight="1" x14ac:dyDescent="0.25">
      <c r="A25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91" s="79">
        <v>3</v>
      </c>
      <c r="C2591" s="23">
        <v>44894</v>
      </c>
      <c r="D2591" s="67">
        <f>IF(COUNTIF($G$2:$G2591,$G2591)=1,1,0)</f>
        <v>1</v>
      </c>
      <c r="E2591" s="67" t="str">
        <f>IFERROR(VLOOKUP(База_КР_КК[[#This Row],[ИД штатной должности (S)]],'уровень защищенности'!$B$7:$F$1095,5,0),"не защищена")</f>
        <v>высокий</v>
      </c>
      <c r="F2591" s="68">
        <v>500717</v>
      </c>
      <c r="G2591" s="74" t="s">
        <v>2799</v>
      </c>
      <c r="H2591" s="181">
        <f>INDEX('Списки данных'!$D$2:$D$1048576,MATCH(База_КР_КК[[#This Row],[Структурное подразделение]],'Списки данных'!$C$2:$C$1048576,0))</f>
        <v>262</v>
      </c>
      <c r="I2591" s="80" t="s">
        <v>131</v>
      </c>
      <c r="J2591" s="80" t="s">
        <v>232</v>
      </c>
      <c r="K2591" s="80" t="s">
        <v>21</v>
      </c>
      <c r="L2591" s="30" t="s">
        <v>179</v>
      </c>
      <c r="M2591" s="68">
        <v>4</v>
      </c>
      <c r="N2591" s="181" t="str">
        <f t="shared" si="41"/>
        <v>нет</v>
      </c>
      <c r="O2591" s="23"/>
      <c r="P2591" s="23"/>
      <c r="Q2591" s="106"/>
      <c r="R2591" s="37">
        <v>623</v>
      </c>
      <c r="S2591" s="39" t="s">
        <v>1032</v>
      </c>
      <c r="T2591" s="37">
        <v>1715</v>
      </c>
      <c r="U2591" s="38" t="s">
        <v>2011</v>
      </c>
      <c r="V2591" s="69" t="s">
        <v>180</v>
      </c>
      <c r="W2591" s="89" t="s">
        <v>131</v>
      </c>
      <c r="X2591" s="106" t="s">
        <v>295</v>
      </c>
      <c r="Y2591" s="107" t="s">
        <v>12</v>
      </c>
      <c r="Z2591" s="67">
        <f>IF(База_КР_КК[[#This Row],[Таб.номер резервиста]]="-","-",IF(OR(База_КР_КК[[#This Row],[Уровень КК]]=2,База_КР_КК[[#This Row],[Уровень КК]]=3),IF(COUNTIFS($U$2:$U2591,$U2591,$F$2:$F2591,$F2591)=1,1,0),IF(COUNTIFS($U$2:$U2591,$U2591,$L$2:$L2591,$L2591)=1,1,0)))</f>
        <v>1</v>
      </c>
      <c r="AA25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1" s="106"/>
      <c r="AC2591" s="51"/>
      <c r="AD2591" s="106" t="s">
        <v>15</v>
      </c>
      <c r="AE2591" s="38" t="s">
        <v>352</v>
      </c>
    </row>
    <row r="2592" spans="1:31" ht="18" customHeight="1" x14ac:dyDescent="0.25">
      <c r="A25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92" s="79">
        <v>3</v>
      </c>
      <c r="C2592" s="23">
        <v>44894</v>
      </c>
      <c r="D2592" s="67">
        <f>IF(COUNTIF($G$2:$G2592,$G2592)=1,1,0)</f>
        <v>0</v>
      </c>
      <c r="E2592" s="67" t="str">
        <f>IFERROR(VLOOKUP(База_КР_КК[[#This Row],[ИД штатной должности (S)]],'уровень защищенности'!$B$7:$F$1095,5,0),"не защищена")</f>
        <v>высокий</v>
      </c>
      <c r="F2592" s="68">
        <v>500717</v>
      </c>
      <c r="G2592" s="74" t="s">
        <v>2799</v>
      </c>
      <c r="H2592" s="181">
        <f>INDEX('Списки данных'!$D$2:$D$1048576,MATCH(База_КР_КК[[#This Row],[Структурное подразделение]],'Списки данных'!$C$2:$C$1048576,0))</f>
        <v>262</v>
      </c>
      <c r="I2592" s="80" t="s">
        <v>131</v>
      </c>
      <c r="J2592" s="80" t="s">
        <v>232</v>
      </c>
      <c r="K2592" s="80" t="s">
        <v>21</v>
      </c>
      <c r="L2592" s="30" t="s">
        <v>179</v>
      </c>
      <c r="M2592" s="68">
        <v>4</v>
      </c>
      <c r="N2592" s="181" t="str">
        <f t="shared" si="41"/>
        <v>нет</v>
      </c>
      <c r="O2592" s="23"/>
      <c r="P2592" s="23"/>
      <c r="Q2592" s="106"/>
      <c r="R2592" s="37">
        <v>623</v>
      </c>
      <c r="S2592" s="39" t="s">
        <v>1032</v>
      </c>
      <c r="T2592" s="37">
        <v>1716</v>
      </c>
      <c r="U2592" s="38" t="s">
        <v>1918</v>
      </c>
      <c r="V2592" s="69" t="s">
        <v>200</v>
      </c>
      <c r="W2592" s="89" t="s">
        <v>131</v>
      </c>
      <c r="X2592" s="106" t="s">
        <v>296</v>
      </c>
      <c r="Y2592" s="107" t="s">
        <v>12</v>
      </c>
      <c r="Z2592" s="67">
        <f>IF(База_КР_КК[[#This Row],[Таб.номер резервиста]]="-","-",IF(OR(База_КР_КК[[#This Row],[Уровень КК]]=2,База_КР_КК[[#This Row],[Уровень КК]]=3),IF(COUNTIFS($U$2:$U2592,$U2592,$F$2:$F2592,$F2592)=1,1,0),IF(COUNTIFS($U$2:$U2592,$U2592,$L$2:$L2592,$L2592)=1,1,0)))</f>
        <v>1</v>
      </c>
      <c r="AA25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2" s="106"/>
      <c r="AC2592" s="51"/>
      <c r="AD2592" s="106" t="s">
        <v>15</v>
      </c>
      <c r="AE2592" s="38" t="s">
        <v>352</v>
      </c>
    </row>
    <row r="2593" spans="1:31" ht="18" customHeight="1" x14ac:dyDescent="0.25">
      <c r="A25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93" s="79">
        <v>3</v>
      </c>
      <c r="C2593" s="23">
        <v>44894</v>
      </c>
      <c r="D2593" s="67">
        <f>IF(COUNTIF($G$2:$G2593,$G2593)=1,1,0)</f>
        <v>1</v>
      </c>
      <c r="E2593" s="67" t="str">
        <f>IFERROR(VLOOKUP(База_КР_КК[[#This Row],[ИД штатной должности (S)]],'уровень защищенности'!$B$7:$F$1095,5,0),"не защищена")</f>
        <v>низкий</v>
      </c>
      <c r="F2593" s="68">
        <v>500718</v>
      </c>
      <c r="G2593" s="74" t="s">
        <v>2800</v>
      </c>
      <c r="H2593" s="181">
        <f>INDEX('Списки данных'!$D$2:$D$1048576,MATCH(База_КР_КК[[#This Row],[Структурное подразделение]],'Списки данных'!$C$2:$C$1048576,0))</f>
        <v>262</v>
      </c>
      <c r="I2593" s="80" t="s">
        <v>131</v>
      </c>
      <c r="J2593" s="80" t="s">
        <v>232</v>
      </c>
      <c r="K2593" s="80" t="s">
        <v>21</v>
      </c>
      <c r="L2593" s="30" t="s">
        <v>179</v>
      </c>
      <c r="M2593" s="68">
        <v>4</v>
      </c>
      <c r="N2593" s="181" t="str">
        <f t="shared" si="41"/>
        <v>нет</v>
      </c>
      <c r="O2593" s="23"/>
      <c r="P2593" s="23"/>
      <c r="Q2593" s="106"/>
      <c r="R2593" s="37">
        <v>624</v>
      </c>
      <c r="S2593" s="39" t="s">
        <v>1033</v>
      </c>
      <c r="T2593" s="37">
        <v>1717</v>
      </c>
      <c r="U2593" s="38" t="s">
        <v>2012</v>
      </c>
      <c r="V2593" s="69" t="s">
        <v>180</v>
      </c>
      <c r="W2593" s="89" t="s">
        <v>131</v>
      </c>
      <c r="X2593" s="106" t="s">
        <v>296</v>
      </c>
      <c r="Y2593" s="107" t="s">
        <v>12</v>
      </c>
      <c r="Z2593" s="67">
        <f>IF(База_КР_КК[[#This Row],[Таб.номер резервиста]]="-","-",IF(OR(База_КР_КК[[#This Row],[Уровень КК]]=2,База_КР_КК[[#This Row],[Уровень КК]]=3),IF(COUNTIFS($U$2:$U2593,$U2593,$F$2:$F2593,$F2593)=1,1,0),IF(COUNTIFS($U$2:$U2593,$U2593,$L$2:$L2593,$L2593)=1,1,0)))</f>
        <v>1</v>
      </c>
      <c r="AA25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3" s="106"/>
      <c r="AC2593" s="51"/>
      <c r="AD2593" s="106" t="s">
        <v>15</v>
      </c>
      <c r="AE2593" s="38" t="s">
        <v>352</v>
      </c>
    </row>
    <row r="2594" spans="1:31" ht="18" customHeight="1" x14ac:dyDescent="0.25">
      <c r="A25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94" s="79">
        <v>3</v>
      </c>
      <c r="C2594" s="23">
        <v>43399</v>
      </c>
      <c r="D2594" s="67">
        <f>IF(COUNTIF($G$2:$G2594,$G2594)=1,1,0)</f>
        <v>1</v>
      </c>
      <c r="E2594" s="67" t="str">
        <f>IFERROR(VLOOKUP(База_КР_КК[[#This Row],[ИД штатной должности (S)]],'уровень защищенности'!$B$7:$F$1095,5,0),"не защищена")</f>
        <v>не защищена</v>
      </c>
      <c r="F2594" s="68">
        <v>500723</v>
      </c>
      <c r="G2594" s="74" t="s">
        <v>2801</v>
      </c>
      <c r="H2594" s="181">
        <f>INDEX('Списки данных'!$D$2:$D$1048576,MATCH(База_КР_КК[[#This Row],[Структурное подразделение]],'Списки данных'!$C$2:$C$1048576,0))</f>
        <v>213</v>
      </c>
      <c r="I2594" s="80" t="s">
        <v>165</v>
      </c>
      <c r="J2594" s="80" t="s">
        <v>227</v>
      </c>
      <c r="K2594" s="80" t="s">
        <v>21</v>
      </c>
      <c r="L2594" s="30" t="s">
        <v>186</v>
      </c>
      <c r="M2594" s="68">
        <v>5</v>
      </c>
      <c r="N2594" s="181" t="str">
        <f t="shared" si="41"/>
        <v>нет</v>
      </c>
      <c r="O2594" s="23"/>
      <c r="P2594" s="23"/>
      <c r="Q2594" s="107"/>
      <c r="R2594" s="37">
        <v>625</v>
      </c>
      <c r="S2594" s="39" t="s">
        <v>1034</v>
      </c>
      <c r="T2594" s="37">
        <v>1718</v>
      </c>
      <c r="U2594" s="38" t="s">
        <v>1839</v>
      </c>
      <c r="V2594" s="89" t="s">
        <v>198</v>
      </c>
      <c r="W2594" s="89" t="s">
        <v>289</v>
      </c>
      <c r="X2594" s="106" t="s">
        <v>296</v>
      </c>
      <c r="Y2594" s="107" t="s">
        <v>18</v>
      </c>
      <c r="Z2594" s="67">
        <f>IF(База_КР_КК[[#This Row],[Таб.номер резервиста]]="-","-",IF(OR(База_КР_КК[[#This Row],[Уровень КК]]=2,База_КР_КК[[#This Row],[Уровень КК]]=3),IF(COUNTIFS($U$2:$U2594,$U2594,$F$2:$F2594,$F2594)=1,1,0),IF(COUNTIFS($U$2:$U2594,$U2594,$L$2:$L2594,$L2594)=1,1,0)))</f>
        <v>1</v>
      </c>
      <c r="AA25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4" s="106" t="s">
        <v>33</v>
      </c>
      <c r="AC2594" s="51">
        <v>45062</v>
      </c>
      <c r="AD2594" s="106" t="s">
        <v>22</v>
      </c>
      <c r="AE2594" s="38" t="s">
        <v>364</v>
      </c>
    </row>
    <row r="2595" spans="1:31" ht="18" customHeight="1" x14ac:dyDescent="0.25">
      <c r="A25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7</v>
      </c>
      <c r="B2595" s="79">
        <v>3</v>
      </c>
      <c r="C2595" s="23">
        <v>43399</v>
      </c>
      <c r="D2595" s="67">
        <f>IF(COUNTIF($G$2:$G2595,$G2595)=1,1,0)</f>
        <v>0</v>
      </c>
      <c r="E2595" s="67" t="str">
        <f>IFERROR(VLOOKUP(База_КР_КК[[#This Row],[ИД штатной должности (S)]],'уровень защищенности'!$B$7:$F$1095,5,0),"не защищена")</f>
        <v>не защищена</v>
      </c>
      <c r="F2595" s="68">
        <v>500723</v>
      </c>
      <c r="G2595" s="74" t="s">
        <v>2801</v>
      </c>
      <c r="H2595" s="181">
        <f>INDEX('Списки данных'!$D$2:$D$1048576,MATCH(База_КР_КК[[#This Row],[Структурное подразделение]],'Списки данных'!$C$2:$C$1048576,0))</f>
        <v>213</v>
      </c>
      <c r="I2595" s="80" t="s">
        <v>165</v>
      </c>
      <c r="J2595" s="80" t="s">
        <v>227</v>
      </c>
      <c r="K2595" s="80" t="s">
        <v>21</v>
      </c>
      <c r="L2595" s="30" t="s">
        <v>186</v>
      </c>
      <c r="M2595" s="68">
        <v>5</v>
      </c>
      <c r="N2595" s="181" t="str">
        <f t="shared" si="41"/>
        <v>нет</v>
      </c>
      <c r="O2595" s="23"/>
      <c r="P2595" s="23"/>
      <c r="Q2595" s="107"/>
      <c r="R2595" s="37">
        <v>625</v>
      </c>
      <c r="S2595" s="39" t="s">
        <v>1034</v>
      </c>
      <c r="T2595" s="37">
        <v>1719</v>
      </c>
      <c r="U2595" s="38" t="s">
        <v>2013</v>
      </c>
      <c r="V2595" s="69" t="s">
        <v>187</v>
      </c>
      <c r="W2595" s="89" t="s">
        <v>131</v>
      </c>
      <c r="X2595" s="106" t="s">
        <v>295</v>
      </c>
      <c r="Y2595" s="107" t="s">
        <v>18</v>
      </c>
      <c r="Z2595" s="67">
        <f>IF(База_КР_КК[[#This Row],[Таб.номер резервиста]]="-","-",IF(OR(База_КР_КК[[#This Row],[Уровень КК]]=2,База_КР_КК[[#This Row],[Уровень КК]]=3),IF(COUNTIFS($U$2:$U2595,$U2595,$F$2:$F2595,$F2595)=1,1,0),IF(COUNTIFS($U$2:$U2595,$U2595,$L$2:$L2595,$L2595)=1,1,0)))</f>
        <v>1</v>
      </c>
      <c r="AA25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5" s="106" t="s">
        <v>37</v>
      </c>
      <c r="AC2595" s="51">
        <v>44819</v>
      </c>
      <c r="AD2595" s="106" t="s">
        <v>17</v>
      </c>
      <c r="AE2595" s="38" t="s">
        <v>364</v>
      </c>
    </row>
    <row r="2596" spans="1:31" ht="18" customHeight="1" x14ac:dyDescent="0.25">
      <c r="A25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96" s="79">
        <v>4</v>
      </c>
      <c r="C2596" s="23">
        <v>44922</v>
      </c>
      <c r="D2596" s="67">
        <f>IF(COUNTIF($G$2:$G2596,$G2596)=1,1,0)</f>
        <v>1</v>
      </c>
      <c r="E2596" s="67" t="str">
        <f>IFERROR(VLOOKUP(База_КР_КК[[#This Row],[ИД штатной должности (S)]],'уровень защищенности'!$B$7:$F$1095,5,0),"не защищена")</f>
        <v>низкий</v>
      </c>
      <c r="F2596" s="68">
        <v>500629</v>
      </c>
      <c r="G2596" s="74" t="s">
        <v>2802</v>
      </c>
      <c r="H2596" s="181">
        <f>INDEX('Списки данных'!$D$2:$D$1048576,MATCH(База_КР_КК[[#This Row],[Структурное подразделение]],'Списки данных'!$C$2:$C$1048576,0))</f>
        <v>31</v>
      </c>
      <c r="I2596" s="80" t="s">
        <v>156</v>
      </c>
      <c r="J2596" s="80" t="s">
        <v>223</v>
      </c>
      <c r="K2596" s="80" t="s">
        <v>21</v>
      </c>
      <c r="L2596" s="30" t="s">
        <v>191</v>
      </c>
      <c r="M2596" s="68">
        <v>7</v>
      </c>
      <c r="N2596" s="181" t="str">
        <f t="shared" si="41"/>
        <v>да</v>
      </c>
      <c r="O2596" s="23">
        <v>44991</v>
      </c>
      <c r="P2596" s="23">
        <v>44991</v>
      </c>
      <c r="Q2596" s="106" t="s">
        <v>66</v>
      </c>
      <c r="R2596" s="37">
        <v>626</v>
      </c>
      <c r="S2596" s="38" t="s">
        <v>1035</v>
      </c>
      <c r="T2596" s="37">
        <v>1711</v>
      </c>
      <c r="U2596" s="38" t="s">
        <v>2007</v>
      </c>
      <c r="V2596" s="69" t="s">
        <v>272</v>
      </c>
      <c r="W2596" s="89" t="s">
        <v>156</v>
      </c>
      <c r="X2596" s="106" t="s">
        <v>296</v>
      </c>
      <c r="Y2596" s="107" t="s">
        <v>12</v>
      </c>
      <c r="Z2596" s="67">
        <f>IF(База_КР_КК[[#This Row],[Таб.номер резервиста]]="-","-",IF(OR(База_КР_КК[[#This Row],[Уровень КК]]=2,База_КР_КК[[#This Row],[Уровень КК]]=3),IF(COUNTIFS($U$2:$U2596,$U2596,$F$2:$F2596,$F2596)=1,1,0),IF(COUNTIFS($U$2:$U2596,$U2596,$L$2:$L2596,$L2596)=1,1,0)))</f>
        <v>0</v>
      </c>
      <c r="AA25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6" s="33"/>
      <c r="AC2596" s="25"/>
      <c r="AD2596" s="106" t="s">
        <v>15</v>
      </c>
      <c r="AE2596" s="38" t="s">
        <v>362</v>
      </c>
    </row>
    <row r="2597" spans="1:31" ht="18" customHeight="1" x14ac:dyDescent="0.25">
      <c r="A25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8</v>
      </c>
      <c r="B2597" s="79">
        <v>4</v>
      </c>
      <c r="C2597" s="23">
        <v>44922</v>
      </c>
      <c r="D2597" s="67">
        <f>IF(COUNTIF($G$2:$G2597,$G2597)=1,1,0)</f>
        <v>0</v>
      </c>
      <c r="E2597" s="67" t="str">
        <f>IFERROR(VLOOKUP(База_КР_КК[[#This Row],[ИД штатной должности (S)]],'уровень защищенности'!$B$7:$F$1095,5,0),"не защищена")</f>
        <v>низкий</v>
      </c>
      <c r="F2597" s="68">
        <v>500629</v>
      </c>
      <c r="G2597" s="74" t="s">
        <v>2802</v>
      </c>
      <c r="H2597" s="181">
        <f>INDEX('Списки данных'!$D$2:$D$1048576,MATCH(База_КР_КК[[#This Row],[Структурное подразделение]],'Списки данных'!$C$2:$C$1048576,0))</f>
        <v>31</v>
      </c>
      <c r="I2597" s="80" t="s">
        <v>156</v>
      </c>
      <c r="J2597" s="80" t="s">
        <v>223</v>
      </c>
      <c r="K2597" s="80" t="s">
        <v>21</v>
      </c>
      <c r="L2597" s="30" t="s">
        <v>191</v>
      </c>
      <c r="M2597" s="68">
        <v>7</v>
      </c>
      <c r="N2597" s="181" t="str">
        <f t="shared" si="41"/>
        <v>да</v>
      </c>
      <c r="O2597" s="23">
        <v>44991</v>
      </c>
      <c r="P2597" s="23">
        <v>44991</v>
      </c>
      <c r="Q2597" s="106" t="s">
        <v>66</v>
      </c>
      <c r="R2597" s="37">
        <v>626</v>
      </c>
      <c r="S2597" s="38" t="s">
        <v>1035</v>
      </c>
      <c r="T2597" s="37">
        <v>626</v>
      </c>
      <c r="U2597" s="38" t="s">
        <v>1035</v>
      </c>
      <c r="V2597" s="69" t="s">
        <v>272</v>
      </c>
      <c r="W2597" s="89" t="s">
        <v>156</v>
      </c>
      <c r="X2597" s="106" t="s">
        <v>296</v>
      </c>
      <c r="Y2597" s="107" t="s">
        <v>14</v>
      </c>
      <c r="Z2597" s="67">
        <f>IF(База_КР_КК[[#This Row],[Таб.номер резервиста]]="-","-",IF(OR(База_КР_КК[[#This Row],[Уровень КК]]=2,База_КР_КК[[#This Row],[Уровень КК]]=3),IF(COUNTIFS($U$2:$U2597,$U2597,$F$2:$F2597,$F2597)=1,1,0),IF(COUNTIFS($U$2:$U2597,$U2597,$L$2:$L2597,$L2597)=1,1,0)))</f>
        <v>0</v>
      </c>
      <c r="AA25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597" s="33" t="s">
        <v>24</v>
      </c>
      <c r="AC2597" s="52">
        <v>44991</v>
      </c>
      <c r="AD2597" s="106" t="s">
        <v>15</v>
      </c>
      <c r="AE2597" s="38" t="s">
        <v>362</v>
      </c>
    </row>
    <row r="2598" spans="1:31" ht="18" customHeight="1" x14ac:dyDescent="0.25">
      <c r="A25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598" s="79">
        <v>3</v>
      </c>
      <c r="C2598" s="23">
        <v>44340</v>
      </c>
      <c r="D2598" s="67">
        <f>IF(COUNTIF($G$2:$G2598,$G2598)=1,1,0)</f>
        <v>1</v>
      </c>
      <c r="E2598" s="67" t="str">
        <f>IFERROR(VLOOKUP(База_КР_КК[[#This Row],[ИД штатной должности (S)]],'уровень защищенности'!$B$7:$F$1095,5,0),"не защищена")</f>
        <v>высокий</v>
      </c>
      <c r="F2598" s="68">
        <v>500001</v>
      </c>
      <c r="G2598" s="74" t="s">
        <v>2803</v>
      </c>
      <c r="H2598" s="181">
        <f>INDEX('Списки данных'!$D$2:$D$1048576,MATCH(База_КР_КК[[#This Row],[Структурное подразделение]],'Списки данных'!$C$2:$C$1048576,0))</f>
        <v>20</v>
      </c>
      <c r="I2598" s="80" t="s">
        <v>143</v>
      </c>
      <c r="J2598" s="80" t="s">
        <v>242</v>
      </c>
      <c r="K2598" s="80" t="s">
        <v>21</v>
      </c>
      <c r="L2598" s="30" t="s">
        <v>183</v>
      </c>
      <c r="M2598" s="68">
        <v>5</v>
      </c>
      <c r="N2598" s="181" t="str">
        <f t="shared" si="41"/>
        <v>нет</v>
      </c>
      <c r="O2598" s="23"/>
      <c r="P2598" s="23"/>
      <c r="Q2598" s="106"/>
      <c r="R2598" s="37">
        <v>627</v>
      </c>
      <c r="S2598" s="38" t="s">
        <v>1036</v>
      </c>
      <c r="T2598" s="37">
        <v>633</v>
      </c>
      <c r="U2598" s="39" t="s">
        <v>1042</v>
      </c>
      <c r="V2598" s="69" t="s">
        <v>189</v>
      </c>
      <c r="W2598" s="89" t="s">
        <v>143</v>
      </c>
      <c r="X2598" s="106" t="s">
        <v>296</v>
      </c>
      <c r="Y2598" s="107" t="s">
        <v>12</v>
      </c>
      <c r="Z2598" s="67">
        <f>IF(База_КР_КК[[#This Row],[Таб.номер резервиста]]="-","-",IF(OR(База_КР_КК[[#This Row],[Уровень КК]]=2,База_КР_КК[[#This Row],[Уровень КК]]=3),IF(COUNTIFS($U$2:$U2598,$U2598,$F$2:$F2598,$F2598)=1,1,0),IF(COUNTIFS($U$2:$U2598,$U2598,$L$2:$L2598,$L2598)=1,1,0)))</f>
        <v>1</v>
      </c>
      <c r="AA25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8" s="106"/>
      <c r="AC2598" s="51"/>
      <c r="AD2598" s="106" t="s">
        <v>15</v>
      </c>
      <c r="AE2598" s="38" t="s">
        <v>303</v>
      </c>
    </row>
    <row r="2599" spans="1:31" ht="18" customHeight="1" x14ac:dyDescent="0.25">
      <c r="A25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599" s="79">
        <v>3</v>
      </c>
      <c r="C2599" s="23">
        <v>44740</v>
      </c>
      <c r="D2599" s="67">
        <f>IF(COUNTIF($G$2:$G2599,$G2599)=1,1,0)</f>
        <v>0</v>
      </c>
      <c r="E2599" s="67" t="str">
        <f>IFERROR(VLOOKUP(База_КР_КК[[#This Row],[ИД штатной должности (S)]],'уровень защищенности'!$B$7:$F$1095,5,0),"не защищена")</f>
        <v>высокий</v>
      </c>
      <c r="F2599" s="68">
        <v>500001</v>
      </c>
      <c r="G2599" s="74" t="s">
        <v>2803</v>
      </c>
      <c r="H2599" s="181">
        <f>INDEX('Списки данных'!$D$2:$D$1048576,MATCH(База_КР_КК[[#This Row],[Структурное подразделение]],'Списки данных'!$C$2:$C$1048576,0))</f>
        <v>20</v>
      </c>
      <c r="I2599" s="80" t="s">
        <v>143</v>
      </c>
      <c r="J2599" s="80" t="s">
        <v>242</v>
      </c>
      <c r="K2599" s="80" t="s">
        <v>21</v>
      </c>
      <c r="L2599" s="30" t="s">
        <v>183</v>
      </c>
      <c r="M2599" s="68">
        <v>5</v>
      </c>
      <c r="N2599" s="181" t="str">
        <f t="shared" si="41"/>
        <v>нет</v>
      </c>
      <c r="O2599" s="23"/>
      <c r="P2599" s="23"/>
      <c r="Q2599" s="106"/>
      <c r="R2599" s="37">
        <v>627</v>
      </c>
      <c r="S2599" s="39" t="s">
        <v>1036</v>
      </c>
      <c r="T2599" s="37">
        <v>634</v>
      </c>
      <c r="U2599" s="38" t="s">
        <v>1043</v>
      </c>
      <c r="V2599" s="69" t="s">
        <v>187</v>
      </c>
      <c r="W2599" s="89" t="s">
        <v>143</v>
      </c>
      <c r="X2599" s="106" t="s">
        <v>295</v>
      </c>
      <c r="Y2599" s="107" t="s">
        <v>12</v>
      </c>
      <c r="Z2599" s="67">
        <f>IF(База_КР_КК[[#This Row],[Таб.номер резервиста]]="-","-",IF(OR(База_КР_КК[[#This Row],[Уровень КК]]=2,База_КР_КК[[#This Row],[Уровень КК]]=3),IF(COUNTIFS($U$2:$U2599,$U2599,$F$2:$F2599,$F2599)=1,1,0),IF(COUNTIFS($U$2:$U2599,$U2599,$L$2:$L2599,$L2599)=1,1,0)))</f>
        <v>1</v>
      </c>
      <c r="AA25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599" s="106"/>
      <c r="AC2599" s="51"/>
      <c r="AD2599" s="106"/>
      <c r="AE2599" s="38" t="s">
        <v>370</v>
      </c>
    </row>
    <row r="2600" spans="1:31" ht="18" customHeight="1" x14ac:dyDescent="0.25">
      <c r="A26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0" s="79">
        <v>3</v>
      </c>
      <c r="C2600" s="23">
        <v>43557</v>
      </c>
      <c r="D2600" s="67">
        <f>IF(COUNTIF($G$2:$G2600,$G2600)=1,1,0)</f>
        <v>0</v>
      </c>
      <c r="E2600" s="67" t="str">
        <f>IFERROR(VLOOKUP(База_КР_КК[[#This Row],[ИД штатной должности (S)]],'уровень защищенности'!$B$7:$F$1095,5,0),"не защищена")</f>
        <v>высокий</v>
      </c>
      <c r="F2600" s="68">
        <v>500001</v>
      </c>
      <c r="G2600" s="74" t="s">
        <v>2803</v>
      </c>
      <c r="H2600" s="181">
        <f>INDEX('Списки данных'!$D$2:$D$1048576,MATCH(База_КР_КК[[#This Row],[Структурное подразделение]],'Списки данных'!$C$2:$C$1048576,0))</f>
        <v>20</v>
      </c>
      <c r="I2600" s="80" t="s">
        <v>143</v>
      </c>
      <c r="J2600" s="80" t="s">
        <v>242</v>
      </c>
      <c r="K2600" s="80" t="s">
        <v>21</v>
      </c>
      <c r="L2600" s="30" t="s">
        <v>183</v>
      </c>
      <c r="M2600" s="68">
        <v>5</v>
      </c>
      <c r="N2600" s="181" t="str">
        <f t="shared" si="41"/>
        <v>нет</v>
      </c>
      <c r="O2600" s="23"/>
      <c r="P2600" s="23"/>
      <c r="Q2600" s="106"/>
      <c r="R2600" s="37">
        <v>627</v>
      </c>
      <c r="S2600" s="38" t="s">
        <v>1036</v>
      </c>
      <c r="T2600" s="37">
        <v>1720</v>
      </c>
      <c r="U2600" s="39" t="s">
        <v>1889</v>
      </c>
      <c r="V2600" s="89" t="s">
        <v>189</v>
      </c>
      <c r="W2600" s="90" t="s">
        <v>143</v>
      </c>
      <c r="X2600" s="106" t="s">
        <v>296</v>
      </c>
      <c r="Y2600" s="107" t="s">
        <v>18</v>
      </c>
      <c r="Z2600" s="67">
        <f>IF(База_КР_КК[[#This Row],[Таб.номер резервиста]]="-","-",IF(OR(База_КР_КК[[#This Row],[Уровень КК]]=2,База_КР_КК[[#This Row],[Уровень КК]]=3),IF(COUNTIFS($U$2:$U2600,$U2600,$F$2:$F2600,$F2600)=1,1,0),IF(COUNTIFS($U$2:$U2600,$U2600,$L$2:$L2600,$L2600)=1,1,0)))</f>
        <v>1</v>
      </c>
      <c r="AA26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0" s="106" t="s">
        <v>19</v>
      </c>
      <c r="AC2600" s="51">
        <v>44292</v>
      </c>
      <c r="AD2600" s="106" t="s">
        <v>15</v>
      </c>
      <c r="AE2600" s="38" t="s">
        <v>305</v>
      </c>
    </row>
    <row r="2601" spans="1:31" ht="18" customHeight="1" x14ac:dyDescent="0.25">
      <c r="A26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1" s="79">
        <v>3</v>
      </c>
      <c r="C2601" s="23">
        <v>43080</v>
      </c>
      <c r="D2601" s="67">
        <f>IF(COUNTIF($G$2:$G2601,$G2601)=1,1,0)</f>
        <v>0</v>
      </c>
      <c r="E2601" s="67" t="str">
        <f>IFERROR(VLOOKUP(База_КР_КК[[#This Row],[ИД штатной должности (S)]],'уровень защищенности'!$B$7:$F$1095,5,0),"не защищена")</f>
        <v>высокий</v>
      </c>
      <c r="F2601" s="68">
        <v>500001</v>
      </c>
      <c r="G2601" s="74" t="s">
        <v>2803</v>
      </c>
      <c r="H2601" s="181">
        <f>INDEX('Списки данных'!$D$2:$D$1048576,MATCH(База_КР_КК[[#This Row],[Структурное подразделение]],'Списки данных'!$C$2:$C$1048576,0))</f>
        <v>20</v>
      </c>
      <c r="I2601" s="80" t="s">
        <v>143</v>
      </c>
      <c r="J2601" s="80" t="s">
        <v>242</v>
      </c>
      <c r="K2601" s="80" t="s">
        <v>21</v>
      </c>
      <c r="L2601" s="30" t="s">
        <v>183</v>
      </c>
      <c r="M2601" s="68">
        <v>5</v>
      </c>
      <c r="N2601" s="181" t="str">
        <f t="shared" si="41"/>
        <v>нет</v>
      </c>
      <c r="O2601" s="23"/>
      <c r="P2601" s="23"/>
      <c r="Q2601" s="106"/>
      <c r="R2601" s="37">
        <v>627</v>
      </c>
      <c r="S2601" s="38" t="s">
        <v>1036</v>
      </c>
      <c r="T2601" s="37">
        <v>630</v>
      </c>
      <c r="U2601" s="39" t="s">
        <v>1039</v>
      </c>
      <c r="V2601" s="89" t="s">
        <v>198</v>
      </c>
      <c r="W2601" s="90" t="s">
        <v>143</v>
      </c>
      <c r="X2601" s="106" t="s">
        <v>296</v>
      </c>
      <c r="Y2601" s="107" t="s">
        <v>18</v>
      </c>
      <c r="Z2601" s="67">
        <f>IF(База_КР_КК[[#This Row],[Таб.номер резервиста]]="-","-",IF(OR(База_КР_КК[[#This Row],[Уровень КК]]=2,База_КР_КК[[#This Row],[Уровень КК]]=3),IF(COUNTIFS($U$2:$U2601,$U2601,$F$2:$F2601,$F2601)=1,1,0),IF(COUNTIFS($U$2:$U2601,$U2601,$L$2:$L2601,$L2601)=1,1,0)))</f>
        <v>1</v>
      </c>
      <c r="AA26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1" s="106" t="s">
        <v>38</v>
      </c>
      <c r="AC2601" s="51">
        <v>43557</v>
      </c>
      <c r="AD2601" s="106" t="s">
        <v>31</v>
      </c>
      <c r="AE2601" s="38" t="s">
        <v>305</v>
      </c>
    </row>
    <row r="2602" spans="1:31" ht="18" customHeight="1" x14ac:dyDescent="0.25">
      <c r="A26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2" s="79">
        <v>3</v>
      </c>
      <c r="C2602" s="23">
        <v>44039</v>
      </c>
      <c r="D2602" s="67">
        <f>IF(COUNTIF($G$2:$G2602,$G2602)=1,1,0)</f>
        <v>1</v>
      </c>
      <c r="E2602" s="67" t="str">
        <f>IFERROR(VLOOKUP(База_КР_КК[[#This Row],[ИД штатной должности (S)]],'уровень защищенности'!$B$7:$F$1095,5,0),"не защищена")</f>
        <v>высокий</v>
      </c>
      <c r="F2602" s="68">
        <v>500007</v>
      </c>
      <c r="G2602" s="74" t="s">
        <v>2804</v>
      </c>
      <c r="H2602" s="181">
        <f>INDEX('Списки данных'!$D$2:$D$1048576,MATCH(База_КР_КК[[#This Row],[Структурное подразделение]],'Списки данных'!$C$2:$C$1048576,0))</f>
        <v>21</v>
      </c>
      <c r="I2602" s="80" t="s">
        <v>138</v>
      </c>
      <c r="J2602" s="80" t="s">
        <v>243</v>
      </c>
      <c r="K2602" s="80" t="s">
        <v>21</v>
      </c>
      <c r="L2602" s="30" t="s">
        <v>198</v>
      </c>
      <c r="M2602" s="68">
        <v>6</v>
      </c>
      <c r="N2602" s="181" t="str">
        <f t="shared" si="41"/>
        <v>нет</v>
      </c>
      <c r="O2602" s="23"/>
      <c r="P2602" s="23"/>
      <c r="Q2602" s="106"/>
      <c r="R2602" s="37">
        <v>628</v>
      </c>
      <c r="S2602" s="39" t="s">
        <v>1037</v>
      </c>
      <c r="T2602" s="37">
        <v>719</v>
      </c>
      <c r="U2602" s="39" t="s">
        <v>1128</v>
      </c>
      <c r="V2602" s="89" t="s">
        <v>192</v>
      </c>
      <c r="W2602" s="89" t="s">
        <v>138</v>
      </c>
      <c r="X2602" s="106" t="s">
        <v>296</v>
      </c>
      <c r="Y2602" s="107" t="s">
        <v>12</v>
      </c>
      <c r="Z2602" s="67">
        <f>IF(База_КР_КК[[#This Row],[Таб.номер резервиста]]="-","-",IF(OR(База_КР_КК[[#This Row],[Уровень КК]]=2,База_КР_КК[[#This Row],[Уровень КК]]=3),IF(COUNTIFS($U$2:$U2602,$U2602,$F$2:$F2602,$F2602)=1,1,0),IF(COUNTIFS($U$2:$U2602,$U2602,$L$2:$L2602,$L2602)=1,1,0)))</f>
        <v>1</v>
      </c>
      <c r="AA26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2" s="106"/>
      <c r="AC2602" s="51"/>
      <c r="AD2602" s="106" t="s">
        <v>13</v>
      </c>
      <c r="AE2602" s="38" t="s">
        <v>370</v>
      </c>
    </row>
    <row r="2603" spans="1:31" ht="18" customHeight="1" x14ac:dyDescent="0.25">
      <c r="A26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3" s="79">
        <v>3</v>
      </c>
      <c r="C2603" s="23">
        <v>44039</v>
      </c>
      <c r="D2603" s="67">
        <f>IF(COUNTIF($G$2:$G2603,$G2603)=1,1,0)</f>
        <v>0</v>
      </c>
      <c r="E2603" s="67" t="str">
        <f>IFERROR(VLOOKUP(База_КР_КК[[#This Row],[ИД штатной должности (S)]],'уровень защищенности'!$B$7:$F$1095,5,0),"не защищена")</f>
        <v>высокий</v>
      </c>
      <c r="F2603" s="68">
        <v>500007</v>
      </c>
      <c r="G2603" s="74" t="s">
        <v>2804</v>
      </c>
      <c r="H2603" s="181">
        <f>INDEX('Списки данных'!$D$2:$D$1048576,MATCH(База_КР_КК[[#This Row],[Структурное подразделение]],'Списки данных'!$C$2:$C$1048576,0))</f>
        <v>21</v>
      </c>
      <c r="I2603" s="80" t="s">
        <v>138</v>
      </c>
      <c r="J2603" s="80" t="s">
        <v>243</v>
      </c>
      <c r="K2603" s="80" t="s">
        <v>21</v>
      </c>
      <c r="L2603" s="30" t="s">
        <v>198</v>
      </c>
      <c r="M2603" s="68">
        <v>6</v>
      </c>
      <c r="N2603" s="181" t="str">
        <f t="shared" si="41"/>
        <v>нет</v>
      </c>
      <c r="O2603" s="23"/>
      <c r="P2603" s="23"/>
      <c r="Q2603" s="106"/>
      <c r="R2603" s="37">
        <v>628</v>
      </c>
      <c r="S2603" s="39" t="s">
        <v>1037</v>
      </c>
      <c r="T2603" s="37">
        <v>720</v>
      </c>
      <c r="U2603" s="38" t="s">
        <v>1129</v>
      </c>
      <c r="V2603" s="89" t="s">
        <v>192</v>
      </c>
      <c r="W2603" s="89" t="s">
        <v>138</v>
      </c>
      <c r="X2603" s="106" t="s">
        <v>295</v>
      </c>
      <c r="Y2603" s="107" t="s">
        <v>12</v>
      </c>
      <c r="Z2603" s="67">
        <f>IF(База_КР_КК[[#This Row],[Таб.номер резервиста]]="-","-",IF(OR(База_КР_КК[[#This Row],[Уровень КК]]=2,База_КР_КК[[#This Row],[Уровень КК]]=3),IF(COUNTIFS($U$2:$U2603,$U2603,$F$2:$F2603,$F2603)=1,1,0),IF(COUNTIFS($U$2:$U2603,$U2603,$L$2:$L2603,$L2603)=1,1,0)))</f>
        <v>1</v>
      </c>
      <c r="AA26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3" s="106"/>
      <c r="AC2603" s="51"/>
      <c r="AD2603" s="106" t="s">
        <v>13</v>
      </c>
      <c r="AE2603" s="38" t="s">
        <v>370</v>
      </c>
    </row>
    <row r="2604" spans="1:31" ht="18" customHeight="1" x14ac:dyDescent="0.25">
      <c r="A26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4" s="79">
        <v>3</v>
      </c>
      <c r="C2604" s="23">
        <v>44039</v>
      </c>
      <c r="D2604" s="67">
        <f>IF(COUNTIF($G$2:$G2604,$G2604)=1,1,0)</f>
        <v>0</v>
      </c>
      <c r="E2604" s="67" t="str">
        <f>IFERROR(VLOOKUP(База_КР_КК[[#This Row],[ИД штатной должности (S)]],'уровень защищенности'!$B$7:$F$1095,5,0),"не защищена")</f>
        <v>высокий</v>
      </c>
      <c r="F2604" s="68">
        <v>500007</v>
      </c>
      <c r="G2604" s="74" t="s">
        <v>2804</v>
      </c>
      <c r="H2604" s="181">
        <f>INDEX('Списки данных'!$D$2:$D$1048576,MATCH(База_КР_КК[[#This Row],[Структурное подразделение]],'Списки данных'!$C$2:$C$1048576,0))</f>
        <v>21</v>
      </c>
      <c r="I2604" s="80" t="s">
        <v>138</v>
      </c>
      <c r="J2604" s="80" t="s">
        <v>243</v>
      </c>
      <c r="K2604" s="80" t="s">
        <v>21</v>
      </c>
      <c r="L2604" s="30" t="s">
        <v>198</v>
      </c>
      <c r="M2604" s="68">
        <v>6</v>
      </c>
      <c r="N2604" s="181" t="str">
        <f t="shared" si="41"/>
        <v>нет</v>
      </c>
      <c r="O2604" s="23"/>
      <c r="P2604" s="23"/>
      <c r="Q2604" s="106"/>
      <c r="R2604" s="37">
        <v>628</v>
      </c>
      <c r="S2604" s="39" t="s">
        <v>1037</v>
      </c>
      <c r="T2604" s="37">
        <v>1722</v>
      </c>
      <c r="U2604" s="39" t="s">
        <v>2014</v>
      </c>
      <c r="V2604" s="89" t="s">
        <v>192</v>
      </c>
      <c r="W2604" s="89" t="s">
        <v>278</v>
      </c>
      <c r="X2604" s="106" t="s">
        <v>296</v>
      </c>
      <c r="Y2604" s="107" t="s">
        <v>18</v>
      </c>
      <c r="Z2604" s="67">
        <f>IF(База_КР_КК[[#This Row],[Таб.номер резервиста]]="-","-",IF(OR(База_КР_КК[[#This Row],[Уровень КК]]=2,База_КР_КК[[#This Row],[Уровень КК]]=3),IF(COUNTIFS($U$2:$U2604,$U2604,$F$2:$F2604,$F2604)=1,1,0),IF(COUNTIFS($U$2:$U2604,$U2604,$L$2:$L2604,$L2604)=1,1,0)))</f>
        <v>1</v>
      </c>
      <c r="AA26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4" s="106" t="s">
        <v>33</v>
      </c>
      <c r="AC2604" s="51">
        <v>44599</v>
      </c>
      <c r="AD2604" s="106" t="s">
        <v>31</v>
      </c>
      <c r="AE2604" s="38" t="s">
        <v>370</v>
      </c>
    </row>
    <row r="2605" spans="1:31" ht="18" customHeight="1" x14ac:dyDescent="0.25">
      <c r="A26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5" s="79">
        <v>3</v>
      </c>
      <c r="C2605" s="23">
        <v>43080</v>
      </c>
      <c r="D2605" s="67">
        <f>IF(COUNTIF($G$2:$G2605,$G2605)=1,1,0)</f>
        <v>1</v>
      </c>
      <c r="E2605" s="67" t="str">
        <f>IFERROR(VLOOKUP(База_КР_КК[[#This Row],[ИД штатной должности (S)]],'уровень защищенности'!$B$7:$F$1095,5,0),"не защищена")</f>
        <v>высокий</v>
      </c>
      <c r="F2605" s="68">
        <v>500009</v>
      </c>
      <c r="G2605" s="74" t="s">
        <v>2805</v>
      </c>
      <c r="H2605" s="181">
        <f>INDEX('Списки данных'!$D$2:$D$1048576,MATCH(База_КР_КК[[#This Row],[Структурное подразделение]],'Списки данных'!$C$2:$C$1048576,0))</f>
        <v>21</v>
      </c>
      <c r="I2605" s="80" t="s">
        <v>138</v>
      </c>
      <c r="J2605" s="80" t="s">
        <v>243</v>
      </c>
      <c r="K2605" s="80" t="s">
        <v>21</v>
      </c>
      <c r="L2605" s="30" t="s">
        <v>183</v>
      </c>
      <c r="M2605" s="68">
        <v>5</v>
      </c>
      <c r="N2605" s="181" t="str">
        <f t="shared" si="41"/>
        <v>да</v>
      </c>
      <c r="O2605" s="23">
        <v>43283</v>
      </c>
      <c r="P2605" s="23">
        <v>43283</v>
      </c>
      <c r="Q2605" s="106" t="s">
        <v>66</v>
      </c>
      <c r="R2605" s="37">
        <v>629</v>
      </c>
      <c r="S2605" s="38" t="s">
        <v>1038</v>
      </c>
      <c r="T2605" s="37">
        <v>731</v>
      </c>
      <c r="U2605" s="39" t="s">
        <v>1140</v>
      </c>
      <c r="V2605" s="89" t="s">
        <v>187</v>
      </c>
      <c r="W2605" s="90" t="s">
        <v>138</v>
      </c>
      <c r="X2605" s="106" t="s">
        <v>295</v>
      </c>
      <c r="Y2605" s="107" t="s">
        <v>12</v>
      </c>
      <c r="Z2605" s="67">
        <f>IF(База_КР_КК[[#This Row],[Таб.номер резервиста]]="-","-",IF(OR(База_КР_КК[[#This Row],[Уровень КК]]=2,База_КР_КК[[#This Row],[Уровень КК]]=3),IF(COUNTIFS($U$2:$U2605,$U2605,$F$2:$F2605,$F2605)=1,1,0),IF(COUNTIFS($U$2:$U2605,$U2605,$L$2:$L2605,$L2605)=1,1,0)))</f>
        <v>1</v>
      </c>
      <c r="AA26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5" s="106"/>
      <c r="AC2605" s="51"/>
      <c r="AD2605" s="106" t="s">
        <v>17</v>
      </c>
      <c r="AE2605" s="38" t="s">
        <v>303</v>
      </c>
    </row>
    <row r="2606" spans="1:31" ht="18" customHeight="1" x14ac:dyDescent="0.25">
      <c r="A26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6" s="79">
        <v>3</v>
      </c>
      <c r="C2606" s="23">
        <v>43992</v>
      </c>
      <c r="D2606" s="67">
        <f>IF(COUNTIF($G$2:$G2606,$G2606)=1,1,0)</f>
        <v>0</v>
      </c>
      <c r="E2606" s="67" t="str">
        <f>IFERROR(VLOOKUP(База_КР_КК[[#This Row],[ИД штатной должности (S)]],'уровень защищенности'!$B$7:$F$1095,5,0),"не защищена")</f>
        <v>высокий</v>
      </c>
      <c r="F2606" s="68">
        <v>500009</v>
      </c>
      <c r="G2606" s="74" t="s">
        <v>2805</v>
      </c>
      <c r="H2606" s="181">
        <f>INDEX('Списки данных'!$D$2:$D$1048576,MATCH(База_КР_КК[[#This Row],[Структурное подразделение]],'Списки данных'!$C$2:$C$1048576,0))</f>
        <v>21</v>
      </c>
      <c r="I2606" s="80" t="s">
        <v>138</v>
      </c>
      <c r="J2606" s="80" t="s">
        <v>243</v>
      </c>
      <c r="K2606" s="80" t="s">
        <v>21</v>
      </c>
      <c r="L2606" s="30" t="s">
        <v>183</v>
      </c>
      <c r="M2606" s="68">
        <v>5</v>
      </c>
      <c r="N2606" s="181" t="str">
        <f t="shared" si="41"/>
        <v>да</v>
      </c>
      <c r="O2606" s="23">
        <v>43283</v>
      </c>
      <c r="P2606" s="23">
        <v>43283</v>
      </c>
      <c r="Q2606" s="106" t="s">
        <v>66</v>
      </c>
      <c r="R2606" s="37">
        <v>629</v>
      </c>
      <c r="S2606" s="38" t="s">
        <v>1038</v>
      </c>
      <c r="T2606" s="37">
        <v>1723</v>
      </c>
      <c r="U2606" s="39" t="s">
        <v>2015</v>
      </c>
      <c r="V2606" s="89" t="s">
        <v>187</v>
      </c>
      <c r="W2606" s="90" t="s">
        <v>138</v>
      </c>
      <c r="X2606" s="106" t="s">
        <v>297</v>
      </c>
      <c r="Y2606" s="107" t="s">
        <v>18</v>
      </c>
      <c r="Z2606" s="67">
        <f>IF(База_КР_КК[[#This Row],[Таб.номер резервиста]]="-","-",IF(OR(База_КР_КК[[#This Row],[Уровень КК]]=2,База_КР_КК[[#This Row],[Уровень КК]]=3),IF(COUNTIFS($U$2:$U2606,$U2606,$F$2:$F2606,$F2606)=1,1,0),IF(COUNTIFS($U$2:$U2606,$U2606,$L$2:$L2606,$L2606)=1,1,0)))</f>
        <v>1</v>
      </c>
      <c r="AA26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6" s="106" t="s">
        <v>19</v>
      </c>
      <c r="AC2606" s="51">
        <v>45101</v>
      </c>
      <c r="AD2606" s="106" t="s">
        <v>17</v>
      </c>
      <c r="AE2606" s="38" t="s">
        <v>303</v>
      </c>
    </row>
    <row r="2607" spans="1:31" ht="18" customHeight="1" x14ac:dyDescent="0.25">
      <c r="A26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7" s="79">
        <v>3</v>
      </c>
      <c r="C2607" s="23">
        <v>43080</v>
      </c>
      <c r="D2607" s="67">
        <f>IF(COUNTIF($G$2:$G2607,$G2607)=1,1,0)</f>
        <v>0</v>
      </c>
      <c r="E2607" s="67" t="str">
        <f>IFERROR(VLOOKUP(База_КР_КК[[#This Row],[ИД штатной должности (S)]],'уровень защищенности'!$B$7:$F$1095,5,0),"не защищена")</f>
        <v>высокий</v>
      </c>
      <c r="F2607" s="68">
        <v>500009</v>
      </c>
      <c r="G2607" s="74" t="s">
        <v>2805</v>
      </c>
      <c r="H2607" s="181">
        <f>INDEX('Списки данных'!$D$2:$D$1048576,MATCH(База_КР_КК[[#This Row],[Структурное подразделение]],'Списки данных'!$C$2:$C$1048576,0))</f>
        <v>21</v>
      </c>
      <c r="I2607" s="80" t="s">
        <v>138</v>
      </c>
      <c r="J2607" s="80" t="s">
        <v>243</v>
      </c>
      <c r="K2607" s="80" t="s">
        <v>21</v>
      </c>
      <c r="L2607" s="30" t="s">
        <v>183</v>
      </c>
      <c r="M2607" s="68">
        <v>5</v>
      </c>
      <c r="N2607" s="181" t="str">
        <f t="shared" si="41"/>
        <v>да</v>
      </c>
      <c r="O2607" s="23">
        <v>43283</v>
      </c>
      <c r="P2607" s="23">
        <v>43283</v>
      </c>
      <c r="Q2607" s="106" t="s">
        <v>66</v>
      </c>
      <c r="R2607" s="37">
        <v>629</v>
      </c>
      <c r="S2607" s="38" t="s">
        <v>1038</v>
      </c>
      <c r="T2607" s="37">
        <v>629</v>
      </c>
      <c r="U2607" s="39" t="s">
        <v>1038</v>
      </c>
      <c r="V2607" s="89" t="s">
        <v>187</v>
      </c>
      <c r="W2607" s="90" t="s">
        <v>138</v>
      </c>
      <c r="X2607" s="106" t="s">
        <v>297</v>
      </c>
      <c r="Y2607" s="107" t="s">
        <v>14</v>
      </c>
      <c r="Z2607" s="67">
        <f>IF(База_КР_КК[[#This Row],[Таб.номер резервиста]]="-","-",IF(OR(База_КР_КК[[#This Row],[Уровень КК]]=2,База_КР_КК[[#This Row],[Уровень КК]]=3),IF(COUNTIFS($U$2:$U2607,$U2607,$F$2:$F2607,$F2607)=1,1,0),IF(COUNTIFS($U$2:$U2607,$U2607,$L$2:$L2607,$L2607)=1,1,0)))</f>
        <v>1</v>
      </c>
      <c r="AA26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607" s="106" t="s">
        <v>24</v>
      </c>
      <c r="AC2607" s="51">
        <v>43283</v>
      </c>
      <c r="AD2607" s="106" t="s">
        <v>15</v>
      </c>
      <c r="AE2607" s="38" t="s">
        <v>305</v>
      </c>
    </row>
    <row r="2608" spans="1:31" ht="18" customHeight="1" x14ac:dyDescent="0.25">
      <c r="A26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8" s="79">
        <v>3</v>
      </c>
      <c r="C2608" s="23">
        <v>44740</v>
      </c>
      <c r="D2608" s="67">
        <f>IF(COUNTIF($G$2:$G2608,$G2608)=1,1,0)</f>
        <v>1</v>
      </c>
      <c r="E2608" s="67" t="str">
        <f>IFERROR(VLOOKUP(База_КР_КК[[#This Row],[ИД штатной должности (S)]],'уровень защищенности'!$B$7:$F$1095,5,0),"не защищена")</f>
        <v>высокий</v>
      </c>
      <c r="F2608" s="68">
        <v>500013</v>
      </c>
      <c r="G2608" s="74" t="s">
        <v>2806</v>
      </c>
      <c r="H2608" s="181">
        <f>INDEX('Списки данных'!$D$2:$D$1048576,MATCH(База_КР_КК[[#This Row],[Структурное подразделение]],'Списки данных'!$C$2:$C$1048576,0))</f>
        <v>20</v>
      </c>
      <c r="I2608" s="80" t="s">
        <v>143</v>
      </c>
      <c r="J2608" s="80" t="s">
        <v>242</v>
      </c>
      <c r="K2608" s="80" t="s">
        <v>21</v>
      </c>
      <c r="L2608" s="30" t="s">
        <v>198</v>
      </c>
      <c r="M2608" s="68">
        <v>6</v>
      </c>
      <c r="N2608" s="181" t="str">
        <f t="shared" si="41"/>
        <v>нет</v>
      </c>
      <c r="O2608" s="23"/>
      <c r="P2608" s="23"/>
      <c r="Q2608" s="106"/>
      <c r="R2608" s="37">
        <v>630</v>
      </c>
      <c r="S2608" s="39" t="s">
        <v>1039</v>
      </c>
      <c r="T2608" s="37">
        <v>1724</v>
      </c>
      <c r="U2608" s="38" t="s">
        <v>1868</v>
      </c>
      <c r="V2608" s="69" t="s">
        <v>189</v>
      </c>
      <c r="W2608" s="89" t="s">
        <v>143</v>
      </c>
      <c r="X2608" s="106" t="s">
        <v>295</v>
      </c>
      <c r="Y2608" s="107" t="s">
        <v>12</v>
      </c>
      <c r="Z2608" s="67">
        <f>IF(База_КР_КК[[#This Row],[Таб.номер резервиста]]="-","-",IF(OR(База_КР_КК[[#This Row],[Уровень КК]]=2,База_КР_КК[[#This Row],[Уровень КК]]=3),IF(COUNTIFS($U$2:$U2608,$U2608,$F$2:$F2608,$F2608)=1,1,0),IF(COUNTIFS($U$2:$U2608,$U2608,$L$2:$L2608,$L2608)=1,1,0)))</f>
        <v>1</v>
      </c>
      <c r="AA26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8" s="106"/>
      <c r="AC2608" s="51"/>
      <c r="AD2608" s="106" t="s">
        <v>13</v>
      </c>
      <c r="AE2608" s="38" t="s">
        <v>370</v>
      </c>
    </row>
    <row r="2609" spans="1:31" ht="18" customHeight="1" x14ac:dyDescent="0.25">
      <c r="A26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09" s="79">
        <v>3</v>
      </c>
      <c r="C2609" s="23">
        <v>44039</v>
      </c>
      <c r="D2609" s="67">
        <f>IF(COUNTIF($G$2:$G2609,$G2609)=1,1,0)</f>
        <v>0</v>
      </c>
      <c r="E2609" s="67" t="str">
        <f>IFERROR(VLOOKUP(База_КР_КК[[#This Row],[ИД штатной должности (S)]],'уровень защищенности'!$B$7:$F$1095,5,0),"не защищена")</f>
        <v>высокий</v>
      </c>
      <c r="F2609" s="68">
        <v>500013</v>
      </c>
      <c r="G2609" s="74" t="s">
        <v>2806</v>
      </c>
      <c r="H2609" s="181">
        <f>INDEX('Списки данных'!$D$2:$D$1048576,MATCH(База_КР_КК[[#This Row],[Структурное подразделение]],'Списки данных'!$C$2:$C$1048576,0))</f>
        <v>20</v>
      </c>
      <c r="I2609" s="80" t="s">
        <v>143</v>
      </c>
      <c r="J2609" s="80" t="s">
        <v>242</v>
      </c>
      <c r="K2609" s="80" t="s">
        <v>21</v>
      </c>
      <c r="L2609" s="30" t="s">
        <v>198</v>
      </c>
      <c r="M2609" s="68">
        <v>6</v>
      </c>
      <c r="N2609" s="181" t="str">
        <f t="shared" si="41"/>
        <v>нет</v>
      </c>
      <c r="O2609" s="23"/>
      <c r="P2609" s="23"/>
      <c r="Q2609" s="106"/>
      <c r="R2609" s="37">
        <v>630</v>
      </c>
      <c r="S2609" s="39" t="s">
        <v>1039</v>
      </c>
      <c r="T2609" s="37">
        <v>1725</v>
      </c>
      <c r="U2609" s="39" t="s">
        <v>1868</v>
      </c>
      <c r="V2609" s="89" t="s">
        <v>192</v>
      </c>
      <c r="W2609" s="89" t="s">
        <v>143</v>
      </c>
      <c r="X2609" s="106" t="s">
        <v>297</v>
      </c>
      <c r="Y2609" s="107" t="s">
        <v>18</v>
      </c>
      <c r="Z2609" s="67">
        <f>IF(База_КР_КК[[#This Row],[Таб.номер резервиста]]="-","-",IF(OR(База_КР_КК[[#This Row],[Уровень КК]]=2,База_КР_КК[[#This Row],[Уровень КК]]=3),IF(COUNTIFS($U$2:$U2609,$U2609,$F$2:$F2609,$F2609)=1,1,0),IF(COUNTIFS($U$2:$U2609,$U2609,$L$2:$L2609,$L2609)=1,1,0)))</f>
        <v>0</v>
      </c>
      <c r="AA26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09" s="106" t="s">
        <v>38</v>
      </c>
      <c r="AC2609" s="51">
        <v>44740</v>
      </c>
      <c r="AD2609" s="106" t="s">
        <v>31</v>
      </c>
      <c r="AE2609" s="38" t="s">
        <v>370</v>
      </c>
    </row>
    <row r="2610" spans="1:31" ht="18" customHeight="1" x14ac:dyDescent="0.25">
      <c r="A26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0" s="79">
        <v>3</v>
      </c>
      <c r="C2610" s="23">
        <v>43992</v>
      </c>
      <c r="D2610" s="67">
        <f>IF(COUNTIF($G$2:$G2610,$G2610)=1,1,0)</f>
        <v>1</v>
      </c>
      <c r="E2610" s="67" t="str">
        <f>IFERROR(VLOOKUP(База_КР_КК[[#This Row],[ИД штатной должности (S)]],'уровень защищенности'!$B$7:$F$1095,5,0),"не защищена")</f>
        <v>высокий</v>
      </c>
      <c r="F2610" s="68">
        <v>500015</v>
      </c>
      <c r="G2610" s="74" t="s">
        <v>2807</v>
      </c>
      <c r="H2610" s="181">
        <f>INDEX('Списки данных'!$D$2:$D$1048576,MATCH(База_КР_КК[[#This Row],[Структурное подразделение]],'Списки данных'!$C$2:$C$1048576,0))</f>
        <v>4</v>
      </c>
      <c r="I2610" s="80" t="s">
        <v>157</v>
      </c>
      <c r="J2610" s="80" t="s">
        <v>244</v>
      </c>
      <c r="K2610" s="80" t="s">
        <v>21</v>
      </c>
      <c r="L2610" s="30" t="s">
        <v>183</v>
      </c>
      <c r="M2610" s="68">
        <v>5</v>
      </c>
      <c r="N2610" s="181" t="str">
        <f t="shared" si="41"/>
        <v>нет</v>
      </c>
      <c r="O2610" s="23"/>
      <c r="P2610" s="23"/>
      <c r="Q2610" s="106"/>
      <c r="R2610" s="37">
        <v>631</v>
      </c>
      <c r="S2610" s="38" t="s">
        <v>1040</v>
      </c>
      <c r="T2610" s="37">
        <v>635</v>
      </c>
      <c r="U2610" s="39" t="s">
        <v>1044</v>
      </c>
      <c r="V2610" s="89" t="s">
        <v>189</v>
      </c>
      <c r="W2610" s="90" t="s">
        <v>157</v>
      </c>
      <c r="X2610" s="106" t="s">
        <v>295</v>
      </c>
      <c r="Y2610" s="107" t="s">
        <v>12</v>
      </c>
      <c r="Z2610" s="67">
        <f>IF(База_КР_КК[[#This Row],[Таб.номер резервиста]]="-","-",IF(OR(База_КР_КК[[#This Row],[Уровень КК]]=2,База_КР_КК[[#This Row],[Уровень КК]]=3),IF(COUNTIFS($U$2:$U2610,$U2610,$F$2:$F2610,$F2610)=1,1,0),IF(COUNTIFS($U$2:$U2610,$U2610,$L$2:$L2610,$L2610)=1,1,0)))</f>
        <v>1</v>
      </c>
      <c r="AA26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0" s="106"/>
      <c r="AC2610" s="51"/>
      <c r="AD2610" s="106" t="s">
        <v>17</v>
      </c>
      <c r="AE2610" s="38" t="s">
        <v>370</v>
      </c>
    </row>
    <row r="2611" spans="1:31" ht="18" customHeight="1" x14ac:dyDescent="0.25">
      <c r="A26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1" s="79">
        <v>3</v>
      </c>
      <c r="C2611" s="23">
        <v>43080</v>
      </c>
      <c r="D2611" s="67">
        <f>IF(COUNTIF($G$2:$G2611,$G2611)=1,1,0)</f>
        <v>0</v>
      </c>
      <c r="E2611" s="67" t="str">
        <f>IFERROR(VLOOKUP(База_КР_КК[[#This Row],[ИД штатной должности (S)]],'уровень защищенности'!$B$7:$F$1095,5,0),"не защищена")</f>
        <v>высокий</v>
      </c>
      <c r="F2611" s="68">
        <v>500015</v>
      </c>
      <c r="G2611" s="74" t="s">
        <v>2807</v>
      </c>
      <c r="H2611" s="181">
        <f>INDEX('Списки данных'!$D$2:$D$1048576,MATCH(База_КР_КК[[#This Row],[Структурное подразделение]],'Списки данных'!$C$2:$C$1048576,0))</f>
        <v>4</v>
      </c>
      <c r="I2611" s="80" t="s">
        <v>157</v>
      </c>
      <c r="J2611" s="80" t="s">
        <v>244</v>
      </c>
      <c r="K2611" s="80" t="s">
        <v>21</v>
      </c>
      <c r="L2611" s="30" t="s">
        <v>183</v>
      </c>
      <c r="M2611" s="68">
        <v>5</v>
      </c>
      <c r="N2611" s="181" t="str">
        <f t="shared" si="41"/>
        <v>нет</v>
      </c>
      <c r="O2611" s="23"/>
      <c r="P2611" s="23"/>
      <c r="Q2611" s="106"/>
      <c r="R2611" s="37">
        <v>631</v>
      </c>
      <c r="S2611" s="38" t="s">
        <v>1040</v>
      </c>
      <c r="T2611" s="37">
        <v>632</v>
      </c>
      <c r="U2611" s="39" t="s">
        <v>1041</v>
      </c>
      <c r="V2611" s="89" t="s">
        <v>189</v>
      </c>
      <c r="W2611" s="90" t="s">
        <v>157</v>
      </c>
      <c r="X2611" s="106" t="s">
        <v>295</v>
      </c>
      <c r="Y2611" s="107" t="s">
        <v>12</v>
      </c>
      <c r="Z2611" s="67">
        <f>IF(База_КР_КК[[#This Row],[Таб.номер резервиста]]="-","-",IF(OR(База_КР_КК[[#This Row],[Уровень КК]]=2,База_КР_КК[[#This Row],[Уровень КК]]=3),IF(COUNTIFS($U$2:$U2611,$U2611,$F$2:$F2611,$F2611)=1,1,0),IF(COUNTIFS($U$2:$U2611,$U2611,$L$2:$L2611,$L2611)=1,1,0)))</f>
        <v>1</v>
      </c>
      <c r="AA26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1" s="106"/>
      <c r="AC2611" s="51"/>
      <c r="AD2611" s="106" t="s">
        <v>13</v>
      </c>
      <c r="AE2611" s="38" t="s">
        <v>303</v>
      </c>
    </row>
    <row r="2612" spans="1:31" ht="18" customHeight="1" x14ac:dyDescent="0.25">
      <c r="A26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2" s="79">
        <v>3</v>
      </c>
      <c r="C2612" s="23">
        <v>43080</v>
      </c>
      <c r="D2612" s="67">
        <f>IF(COUNTIF($G$2:$G2612,$G2612)=1,1,0)</f>
        <v>0</v>
      </c>
      <c r="E2612" s="67" t="str">
        <f>IFERROR(VLOOKUP(База_КР_КК[[#This Row],[ИД штатной должности (S)]],'уровень защищенности'!$B$7:$F$1095,5,0),"не защищена")</f>
        <v>высокий</v>
      </c>
      <c r="F2612" s="68">
        <v>500015</v>
      </c>
      <c r="G2612" s="74" t="s">
        <v>2807</v>
      </c>
      <c r="H2612" s="181">
        <f>INDEX('Списки данных'!$D$2:$D$1048576,MATCH(База_КР_КК[[#This Row],[Структурное подразделение]],'Списки данных'!$C$2:$C$1048576,0))</f>
        <v>4</v>
      </c>
      <c r="I2612" s="80" t="s">
        <v>157</v>
      </c>
      <c r="J2612" s="80" t="s">
        <v>244</v>
      </c>
      <c r="K2612" s="80" t="s">
        <v>21</v>
      </c>
      <c r="L2612" s="30" t="s">
        <v>183</v>
      </c>
      <c r="M2612" s="68">
        <v>5</v>
      </c>
      <c r="N2612" s="181" t="str">
        <f t="shared" si="41"/>
        <v>нет</v>
      </c>
      <c r="O2612" s="23"/>
      <c r="P2612" s="23"/>
      <c r="Q2612" s="106"/>
      <c r="R2612" s="37">
        <v>631</v>
      </c>
      <c r="S2612" s="38" t="s">
        <v>1040</v>
      </c>
      <c r="T2612" s="37">
        <v>1726</v>
      </c>
      <c r="U2612" s="39" t="s">
        <v>1957</v>
      </c>
      <c r="V2612" s="89" t="s">
        <v>180</v>
      </c>
      <c r="W2612" s="90" t="s">
        <v>279</v>
      </c>
      <c r="X2612" s="106" t="s">
        <v>295</v>
      </c>
      <c r="Y2612" s="107" t="s">
        <v>12</v>
      </c>
      <c r="Z2612" s="67">
        <f>IF(База_КР_КК[[#This Row],[Таб.номер резервиста]]="-","-",IF(OR(База_КР_КК[[#This Row],[Уровень КК]]=2,База_КР_КК[[#This Row],[Уровень КК]]=3),IF(COUNTIFS($U$2:$U2612,$U2612,$F$2:$F2612,$F2612)=1,1,0),IF(COUNTIFS($U$2:$U2612,$U2612,$L$2:$L2612,$L2612)=1,1,0)))</f>
        <v>1</v>
      </c>
      <c r="AA26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2" s="106"/>
      <c r="AC2612" s="51"/>
      <c r="AD2612" s="106" t="s">
        <v>17</v>
      </c>
      <c r="AE2612" s="38" t="s">
        <v>303</v>
      </c>
    </row>
    <row r="2613" spans="1:31" ht="18" customHeight="1" x14ac:dyDescent="0.25">
      <c r="A26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3" s="79">
        <v>3</v>
      </c>
      <c r="C2613" s="23">
        <v>44039</v>
      </c>
      <c r="D2613" s="67">
        <f>IF(COUNTIF($G$2:$G2613,$G2613)=1,1,0)</f>
        <v>1</v>
      </c>
      <c r="E2613" s="67" t="str">
        <f>IFERROR(VLOOKUP(База_КР_КК[[#This Row],[ИД штатной должности (S)]],'уровень защищенности'!$B$7:$F$1095,5,0),"не защищена")</f>
        <v>высокий</v>
      </c>
      <c r="F2613" s="68">
        <v>500123</v>
      </c>
      <c r="G2613" s="74" t="s">
        <v>2808</v>
      </c>
      <c r="H2613" s="181">
        <f>INDEX('Списки данных'!$D$2:$D$1048576,MATCH(База_КР_КК[[#This Row],[Структурное подразделение]],'Списки данных'!$C$2:$C$1048576,0))</f>
        <v>4</v>
      </c>
      <c r="I2613" s="80" t="s">
        <v>157</v>
      </c>
      <c r="J2613" s="80" t="s">
        <v>244</v>
      </c>
      <c r="K2613" s="80" t="s">
        <v>21</v>
      </c>
      <c r="L2613" s="30" t="s">
        <v>189</v>
      </c>
      <c r="M2613" s="68">
        <v>6</v>
      </c>
      <c r="N2613" s="181" t="str">
        <f t="shared" si="41"/>
        <v>нет</v>
      </c>
      <c r="O2613" s="23"/>
      <c r="P2613" s="23"/>
      <c r="Q2613" s="106"/>
      <c r="R2613" s="37">
        <v>632</v>
      </c>
      <c r="S2613" s="39" t="s">
        <v>1041</v>
      </c>
      <c r="T2613" s="37">
        <v>640</v>
      </c>
      <c r="U2613" s="39" t="s">
        <v>1049</v>
      </c>
      <c r="V2613" s="89" t="s">
        <v>192</v>
      </c>
      <c r="W2613" s="89" t="s">
        <v>157</v>
      </c>
      <c r="X2613" s="106" t="s">
        <v>295</v>
      </c>
      <c r="Y2613" s="107" t="s">
        <v>12</v>
      </c>
      <c r="Z2613" s="67">
        <f>IF(База_КР_КК[[#This Row],[Таб.номер резервиста]]="-","-",IF(OR(База_КР_КК[[#This Row],[Уровень КК]]=2,База_КР_КК[[#This Row],[Уровень КК]]=3),IF(COUNTIFS($U$2:$U2613,$U2613,$F$2:$F2613,$F2613)=1,1,0),IF(COUNTIFS($U$2:$U2613,$U2613,$L$2:$L2613,$L2613)=1,1,0)))</f>
        <v>1</v>
      </c>
      <c r="AA26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3" s="106"/>
      <c r="AC2613" s="51"/>
      <c r="AD2613" s="106" t="s">
        <v>17</v>
      </c>
      <c r="AE2613" s="38" t="s">
        <v>370</v>
      </c>
    </row>
    <row r="2614" spans="1:31" ht="18" customHeight="1" x14ac:dyDescent="0.25">
      <c r="A26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4" s="79">
        <v>3</v>
      </c>
      <c r="C2614" s="23">
        <v>44740</v>
      </c>
      <c r="D2614" s="67">
        <f>IF(COUNTIF($G$2:$G2614,$G2614)=1,1,0)</f>
        <v>0</v>
      </c>
      <c r="E2614" s="67" t="str">
        <f>IFERROR(VLOOKUP(База_КР_КК[[#This Row],[ИД штатной должности (S)]],'уровень защищенности'!$B$7:$F$1095,5,0),"не защищена")</f>
        <v>высокий</v>
      </c>
      <c r="F2614" s="68">
        <v>500123</v>
      </c>
      <c r="G2614" s="74" t="s">
        <v>2808</v>
      </c>
      <c r="H2614" s="181">
        <f>INDEX('Списки данных'!$D$2:$D$1048576,MATCH(База_КР_КК[[#This Row],[Структурное подразделение]],'Списки данных'!$C$2:$C$1048576,0))</f>
        <v>4</v>
      </c>
      <c r="I2614" s="80" t="s">
        <v>157</v>
      </c>
      <c r="J2614" s="80" t="s">
        <v>244</v>
      </c>
      <c r="K2614" s="80" t="s">
        <v>21</v>
      </c>
      <c r="L2614" s="30" t="s">
        <v>189</v>
      </c>
      <c r="M2614" s="68">
        <v>6</v>
      </c>
      <c r="N2614" s="181" t="str">
        <f t="shared" si="41"/>
        <v>нет</v>
      </c>
      <c r="O2614" s="23"/>
      <c r="P2614" s="23"/>
      <c r="Q2614" s="106"/>
      <c r="R2614" s="37">
        <v>632</v>
      </c>
      <c r="S2614" s="39" t="s">
        <v>1041</v>
      </c>
      <c r="T2614" s="37">
        <v>1727</v>
      </c>
      <c r="U2614" s="38" t="s">
        <v>1892</v>
      </c>
      <c r="V2614" s="89" t="s">
        <v>272</v>
      </c>
      <c r="W2614" s="89" t="s">
        <v>157</v>
      </c>
      <c r="X2614" s="106" t="s">
        <v>296</v>
      </c>
      <c r="Y2614" s="107" t="s">
        <v>12</v>
      </c>
      <c r="Z2614" s="67">
        <f>IF(База_КР_КК[[#This Row],[Таб.номер резервиста]]="-","-",IF(OR(База_КР_КК[[#This Row],[Уровень КК]]=2,База_КР_КК[[#This Row],[Уровень КК]]=3),IF(COUNTIFS($U$2:$U2614,$U2614,$F$2:$F2614,$F2614)=1,1,0),IF(COUNTIFS($U$2:$U2614,$U2614,$L$2:$L2614,$L2614)=1,1,0)))</f>
        <v>1</v>
      </c>
      <c r="AA26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4" s="106"/>
      <c r="AC2614" s="51"/>
      <c r="AD2614" s="106" t="s">
        <v>13</v>
      </c>
      <c r="AE2614" s="38" t="s">
        <v>370</v>
      </c>
    </row>
    <row r="2615" spans="1:31" ht="18" customHeight="1" x14ac:dyDescent="0.25">
      <c r="A26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5" s="79">
        <v>3</v>
      </c>
      <c r="C2615" s="23">
        <v>44039</v>
      </c>
      <c r="D2615" s="67">
        <f>IF(COUNTIF($G$2:$G2615,$G2615)=1,1,0)</f>
        <v>1</v>
      </c>
      <c r="E2615" s="67" t="str">
        <f>IFERROR(VLOOKUP(База_КР_КК[[#This Row],[ИД штатной должности (S)]],'уровень защищенности'!$B$7:$F$1095,5,0),"не защищена")</f>
        <v>средний</v>
      </c>
      <c r="F2615" s="68">
        <v>500124</v>
      </c>
      <c r="G2615" s="74" t="s">
        <v>2809</v>
      </c>
      <c r="H2615" s="181">
        <f>INDEX('Списки данных'!$D$2:$D$1048576,MATCH(База_КР_КК[[#This Row],[Структурное подразделение]],'Списки данных'!$C$2:$C$1048576,0))</f>
        <v>20</v>
      </c>
      <c r="I2615" s="80" t="s">
        <v>143</v>
      </c>
      <c r="J2615" s="80" t="s">
        <v>242</v>
      </c>
      <c r="K2615" s="80" t="s">
        <v>21</v>
      </c>
      <c r="L2615" s="30" t="s">
        <v>189</v>
      </c>
      <c r="M2615" s="68">
        <v>6</v>
      </c>
      <c r="N2615" s="181" t="str">
        <f t="shared" si="41"/>
        <v>да</v>
      </c>
      <c r="O2615" s="23">
        <v>45026</v>
      </c>
      <c r="P2615" s="23"/>
      <c r="Q2615" s="106"/>
      <c r="R2615" s="37" t="s">
        <v>23</v>
      </c>
      <c r="S2615" s="37" t="s">
        <v>23</v>
      </c>
      <c r="T2615" s="37">
        <v>653</v>
      </c>
      <c r="U2615" s="39" t="s">
        <v>1062</v>
      </c>
      <c r="V2615" s="89" t="s">
        <v>192</v>
      </c>
      <c r="W2615" s="89" t="s">
        <v>143</v>
      </c>
      <c r="X2615" s="106" t="s">
        <v>297</v>
      </c>
      <c r="Y2615" s="107" t="s">
        <v>12</v>
      </c>
      <c r="Z2615" s="67">
        <f>IF(База_КР_КК[[#This Row],[Таб.номер резервиста]]="-","-",IF(OR(База_КР_КК[[#This Row],[Уровень КК]]=2,База_КР_КК[[#This Row],[Уровень КК]]=3),IF(COUNTIFS($U$2:$U2615,$U2615,$F$2:$F2615,$F2615)=1,1,0),IF(COUNTIFS($U$2:$U2615,$U2615,$L$2:$L2615,$L2615)=1,1,0)))</f>
        <v>1</v>
      </c>
      <c r="AA26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5" s="106"/>
      <c r="AC2615" s="51"/>
      <c r="AD2615" s="106" t="s">
        <v>13</v>
      </c>
      <c r="AE2615" s="38" t="s">
        <v>370</v>
      </c>
    </row>
    <row r="2616" spans="1:31" ht="18" customHeight="1" x14ac:dyDescent="0.25">
      <c r="A26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6" s="79">
        <v>4</v>
      </c>
      <c r="C2616" s="23">
        <v>44538</v>
      </c>
      <c r="D2616" s="67">
        <f>IF(COUNTIF($G$2:$G2616,$G2616)=1,1,0)</f>
        <v>1</v>
      </c>
      <c r="E2616" s="67" t="str">
        <f>IFERROR(VLOOKUP(База_КР_КК[[#This Row],[ИД штатной должности (S)]],'уровень защищенности'!$B$7:$F$1095,5,0),"не защищена")</f>
        <v>высокий</v>
      </c>
      <c r="F2616" s="68">
        <v>500125</v>
      </c>
      <c r="G2616" s="74" t="s">
        <v>2810</v>
      </c>
      <c r="H2616" s="181">
        <f>INDEX('Списки данных'!$D$2:$D$1048576,MATCH(База_КР_КК[[#This Row],[Структурное подразделение]],'Списки данных'!$C$2:$C$1048576,0))</f>
        <v>20</v>
      </c>
      <c r="I2616" s="80" t="s">
        <v>143</v>
      </c>
      <c r="J2616" s="80" t="s">
        <v>242</v>
      </c>
      <c r="K2616" s="80" t="s">
        <v>245</v>
      </c>
      <c r="L2616" s="30" t="s">
        <v>189</v>
      </c>
      <c r="M2616" s="68">
        <v>7</v>
      </c>
      <c r="N2616" s="181" t="str">
        <f t="shared" si="41"/>
        <v>нет</v>
      </c>
      <c r="O2616" s="23"/>
      <c r="P2616" s="23"/>
      <c r="Q2616" s="106"/>
      <c r="R2616" s="37">
        <v>633</v>
      </c>
      <c r="S2616" s="39" t="s">
        <v>1042</v>
      </c>
      <c r="T2616" s="37">
        <v>1728</v>
      </c>
      <c r="U2616" s="39" t="s">
        <v>2016</v>
      </c>
      <c r="V2616" s="69" t="s">
        <v>16</v>
      </c>
      <c r="W2616" s="89" t="s">
        <v>143</v>
      </c>
      <c r="X2616" s="106" t="s">
        <v>295</v>
      </c>
      <c r="Y2616" s="107" t="s">
        <v>12</v>
      </c>
      <c r="Z2616" s="67">
        <f>IF(База_КР_КК[[#This Row],[Таб.номер резервиста]]="-","-",IF(OR(База_КР_КК[[#This Row],[Уровень КК]]=2,База_КР_КК[[#This Row],[Уровень КК]]=3),IF(COUNTIFS($U$2:$U2616,$U2616,$F$2:$F2616,$F2616)=1,1,0),IF(COUNTIFS($U$2:$U2616,$U2616,$L$2:$L2616,$L2616)=1,1,0)))</f>
        <v>1</v>
      </c>
      <c r="AA26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6" s="106"/>
      <c r="AC2616" s="51"/>
      <c r="AD2616" s="106" t="s">
        <v>13</v>
      </c>
      <c r="AE2616" s="38" t="s">
        <v>371</v>
      </c>
    </row>
    <row r="2617" spans="1:31" ht="18" customHeight="1" x14ac:dyDescent="0.25">
      <c r="A26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7" s="79">
        <v>3</v>
      </c>
      <c r="C2617" s="23">
        <v>44039</v>
      </c>
      <c r="D2617" s="67">
        <f>IF(COUNTIF($G$2:$G2617,$G2617)=1,1,0)</f>
        <v>1</v>
      </c>
      <c r="E2617" s="67" t="str">
        <f>IFERROR(VLOOKUP(База_КР_КК[[#This Row],[ИД штатной должности (S)]],'уровень защищенности'!$B$7:$F$1095,5,0),"не защищена")</f>
        <v>высокий</v>
      </c>
      <c r="F2617" s="68">
        <v>500126</v>
      </c>
      <c r="G2617" s="74" t="s">
        <v>2811</v>
      </c>
      <c r="H2617" s="181">
        <f>INDEX('Списки данных'!$D$2:$D$1048576,MATCH(База_КР_КК[[#This Row],[Структурное подразделение]],'Списки данных'!$C$2:$C$1048576,0))</f>
        <v>20</v>
      </c>
      <c r="I2617" s="80" t="s">
        <v>143</v>
      </c>
      <c r="J2617" s="80" t="s">
        <v>242</v>
      </c>
      <c r="K2617" s="80" t="s">
        <v>245</v>
      </c>
      <c r="L2617" s="30" t="s">
        <v>187</v>
      </c>
      <c r="M2617" s="68">
        <v>6</v>
      </c>
      <c r="N2617" s="181" t="str">
        <f t="shared" si="41"/>
        <v>нет</v>
      </c>
      <c r="O2617" s="23"/>
      <c r="P2617" s="23"/>
      <c r="Q2617" s="106"/>
      <c r="R2617" s="37">
        <v>634</v>
      </c>
      <c r="S2617" s="39" t="s">
        <v>1043</v>
      </c>
      <c r="T2617" s="37">
        <v>802</v>
      </c>
      <c r="U2617" s="39" t="s">
        <v>1211</v>
      </c>
      <c r="V2617" s="89" t="s">
        <v>198</v>
      </c>
      <c r="W2617" s="89" t="s">
        <v>143</v>
      </c>
      <c r="X2617" s="106" t="s">
        <v>297</v>
      </c>
      <c r="Y2617" s="107" t="s">
        <v>12</v>
      </c>
      <c r="Z2617" s="67">
        <f>IF(База_КР_КК[[#This Row],[Таб.номер резервиста]]="-","-",IF(OR(База_КР_КК[[#This Row],[Уровень КК]]=2,База_КР_КК[[#This Row],[Уровень КК]]=3),IF(COUNTIFS($U$2:$U2617,$U2617,$F$2:$F2617,$F2617)=1,1,0),IF(COUNTIFS($U$2:$U2617,$U2617,$L$2:$L2617,$L2617)=1,1,0)))</f>
        <v>1</v>
      </c>
      <c r="AA26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7" s="106"/>
      <c r="AC2617" s="51"/>
      <c r="AD2617" s="106" t="s">
        <v>17</v>
      </c>
      <c r="AE2617" s="38" t="s">
        <v>370</v>
      </c>
    </row>
    <row r="2618" spans="1:31" ht="18" customHeight="1" x14ac:dyDescent="0.25">
      <c r="A26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8" s="79">
        <v>3</v>
      </c>
      <c r="C2618" s="23">
        <v>44369</v>
      </c>
      <c r="D2618" s="67">
        <f>IF(COUNTIF($G$2:$G2618,$G2618)=1,1,0)</f>
        <v>0</v>
      </c>
      <c r="E2618" s="67" t="str">
        <f>IFERROR(VLOOKUP(База_КР_КК[[#This Row],[ИД штатной должности (S)]],'уровень защищенности'!$B$7:$F$1095,5,0),"не защищена")</f>
        <v>высокий</v>
      </c>
      <c r="F2618" s="68">
        <v>500126</v>
      </c>
      <c r="G2618" s="74" t="s">
        <v>2811</v>
      </c>
      <c r="H2618" s="181">
        <f>INDEX('Списки данных'!$D$2:$D$1048576,MATCH(База_КР_КК[[#This Row],[Структурное подразделение]],'Списки данных'!$C$2:$C$1048576,0))</f>
        <v>20</v>
      </c>
      <c r="I2618" s="80" t="s">
        <v>143</v>
      </c>
      <c r="J2618" s="80" t="s">
        <v>242</v>
      </c>
      <c r="K2618" s="80" t="s">
        <v>245</v>
      </c>
      <c r="L2618" s="30" t="s">
        <v>187</v>
      </c>
      <c r="M2618" s="68">
        <v>6</v>
      </c>
      <c r="N2618" s="181" t="str">
        <f t="shared" si="41"/>
        <v>нет</v>
      </c>
      <c r="O2618" s="23"/>
      <c r="P2618" s="23"/>
      <c r="Q2618" s="106"/>
      <c r="R2618" s="37">
        <v>634</v>
      </c>
      <c r="S2618" s="38" t="s">
        <v>1043</v>
      </c>
      <c r="T2618" s="37">
        <v>633</v>
      </c>
      <c r="U2618" s="39" t="s">
        <v>1042</v>
      </c>
      <c r="V2618" s="69" t="s">
        <v>189</v>
      </c>
      <c r="W2618" s="89" t="s">
        <v>143</v>
      </c>
      <c r="X2618" s="106" t="s">
        <v>295</v>
      </c>
      <c r="Y2618" s="107" t="s">
        <v>12</v>
      </c>
      <c r="Z2618" s="67">
        <f>IF(База_КР_КК[[#This Row],[Таб.номер резервиста]]="-","-",IF(OR(База_КР_КК[[#This Row],[Уровень КК]]=2,База_КР_КК[[#This Row],[Уровень КК]]=3),IF(COUNTIFS($U$2:$U2618,$U2618,$F$2:$F2618,$F2618)=1,1,0),IF(COUNTIFS($U$2:$U2618,$U2618,$L$2:$L2618,$L2618)=1,1,0)))</f>
        <v>1</v>
      </c>
      <c r="AA26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8" s="106"/>
      <c r="AC2618" s="51"/>
      <c r="AD2618" s="106" t="s">
        <v>17</v>
      </c>
      <c r="AE2618" s="38" t="s">
        <v>370</v>
      </c>
    </row>
    <row r="2619" spans="1:31" ht="18" customHeight="1" x14ac:dyDescent="0.25">
      <c r="A26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19" s="79">
        <v>3</v>
      </c>
      <c r="C2619" s="23">
        <v>44039</v>
      </c>
      <c r="D2619" s="67">
        <f>IF(COUNTIF($G$2:$G2619,$G2619)=1,1,0)</f>
        <v>0</v>
      </c>
      <c r="E2619" s="67" t="str">
        <f>IFERROR(VLOOKUP(База_КР_КК[[#This Row],[ИД штатной должности (S)]],'уровень защищенности'!$B$7:$F$1095,5,0),"не защищена")</f>
        <v>высокий</v>
      </c>
      <c r="F2619" s="68">
        <v>500126</v>
      </c>
      <c r="G2619" s="74" t="s">
        <v>2811</v>
      </c>
      <c r="H2619" s="181">
        <f>INDEX('Списки данных'!$D$2:$D$1048576,MATCH(База_КР_КК[[#This Row],[Структурное подразделение]],'Списки данных'!$C$2:$C$1048576,0))</f>
        <v>20</v>
      </c>
      <c r="I2619" s="80" t="s">
        <v>143</v>
      </c>
      <c r="J2619" s="80" t="s">
        <v>242</v>
      </c>
      <c r="K2619" s="80" t="s">
        <v>245</v>
      </c>
      <c r="L2619" s="30" t="s">
        <v>187</v>
      </c>
      <c r="M2619" s="68">
        <v>6</v>
      </c>
      <c r="N2619" s="181" t="str">
        <f t="shared" si="41"/>
        <v>нет</v>
      </c>
      <c r="O2619" s="23"/>
      <c r="P2619" s="23"/>
      <c r="Q2619" s="106"/>
      <c r="R2619" s="37">
        <v>634</v>
      </c>
      <c r="S2619" s="39" t="s">
        <v>1043</v>
      </c>
      <c r="T2619" s="37">
        <v>1720</v>
      </c>
      <c r="U2619" s="39" t="s">
        <v>1889</v>
      </c>
      <c r="V2619" s="89" t="s">
        <v>189</v>
      </c>
      <c r="W2619" s="89" t="s">
        <v>143</v>
      </c>
      <c r="X2619" s="106" t="s">
        <v>295</v>
      </c>
      <c r="Y2619" s="107" t="s">
        <v>18</v>
      </c>
      <c r="Z2619" s="67">
        <f>IF(База_КР_КК[[#This Row],[Таб.номер резервиста]]="-","-",IF(OR(База_КР_КК[[#This Row],[Уровень КК]]=2,База_КР_КК[[#This Row],[Уровень КК]]=3),IF(COUNTIFS($U$2:$U2619,$U2619,$F$2:$F2619,$F2619)=1,1,0),IF(COUNTIFS($U$2:$U2619,$U2619,$L$2:$L2619,$L2619)=1,1,0)))</f>
        <v>1</v>
      </c>
      <c r="AA26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19" s="106" t="s">
        <v>19</v>
      </c>
      <c r="AC2619" s="51">
        <v>44290</v>
      </c>
      <c r="AD2619" s="106" t="s">
        <v>15</v>
      </c>
      <c r="AE2619" s="38" t="s">
        <v>332</v>
      </c>
    </row>
    <row r="2620" spans="1:31" ht="18" customHeight="1" x14ac:dyDescent="0.25">
      <c r="A26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0" s="79">
        <v>3</v>
      </c>
      <c r="C2620" s="23">
        <v>44740</v>
      </c>
      <c r="D2620" s="67">
        <f>IF(COUNTIF($G$2:$G2620,$G2620)=1,1,0)</f>
        <v>1</v>
      </c>
      <c r="E2620" s="67" t="str">
        <f>IFERROR(VLOOKUP(База_КР_КК[[#This Row],[ИД штатной должности (S)]],'уровень защищенности'!$B$7:$F$1095,5,0),"не защищена")</f>
        <v>средний</v>
      </c>
      <c r="F2620" s="68">
        <v>500127</v>
      </c>
      <c r="G2620" s="74" t="s">
        <v>2812</v>
      </c>
      <c r="H2620" s="181">
        <f>INDEX('Списки данных'!$D$2:$D$1048576,MATCH(База_КР_КК[[#This Row],[Структурное подразделение]],'Списки данных'!$C$2:$C$1048576,0))</f>
        <v>4</v>
      </c>
      <c r="I2620" s="80" t="s">
        <v>157</v>
      </c>
      <c r="J2620" s="80" t="s">
        <v>244</v>
      </c>
      <c r="K2620" s="80" t="s">
        <v>21</v>
      </c>
      <c r="L2620" s="30" t="s">
        <v>189</v>
      </c>
      <c r="M2620" s="68">
        <v>6</v>
      </c>
      <c r="N2620" s="181" t="str">
        <f t="shared" si="41"/>
        <v>да</v>
      </c>
      <c r="O2620" s="23">
        <v>44622</v>
      </c>
      <c r="P2620" s="23">
        <v>44672</v>
      </c>
      <c r="Q2620" s="106" t="s">
        <v>66</v>
      </c>
      <c r="R2620" s="37">
        <v>635</v>
      </c>
      <c r="S2620" s="39" t="s">
        <v>1044</v>
      </c>
      <c r="T2620" s="37">
        <v>646</v>
      </c>
      <c r="U2620" s="38" t="s">
        <v>1055</v>
      </c>
      <c r="V2620" s="89" t="s">
        <v>192</v>
      </c>
      <c r="W2620" s="89" t="s">
        <v>157</v>
      </c>
      <c r="X2620" s="106" t="s">
        <v>297</v>
      </c>
      <c r="Y2620" s="107" t="s">
        <v>12</v>
      </c>
      <c r="Z2620" s="67">
        <f>IF(База_КР_КК[[#This Row],[Таб.номер резервиста]]="-","-",IF(OR(База_КР_КК[[#This Row],[Уровень КК]]=2,База_КР_КК[[#This Row],[Уровень КК]]=3),IF(COUNTIFS($U$2:$U2620,$U2620,$F$2:$F2620,$F2620)=1,1,0),IF(COUNTIFS($U$2:$U2620,$U2620,$L$2:$L2620,$L2620)=1,1,0)))</f>
        <v>1</v>
      </c>
      <c r="AA26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0" s="106"/>
      <c r="AC2620" s="51"/>
      <c r="AD2620" s="106" t="s">
        <v>13</v>
      </c>
      <c r="AE2620" s="38" t="s">
        <v>370</v>
      </c>
    </row>
    <row r="2621" spans="1:31" ht="18" customHeight="1" x14ac:dyDescent="0.25">
      <c r="A26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1" s="79">
        <v>3</v>
      </c>
      <c r="C2621" s="23">
        <v>44039</v>
      </c>
      <c r="D2621" s="67">
        <f>IF(COUNTIF($G$2:$G2621,$G2621)=1,1,0)</f>
        <v>0</v>
      </c>
      <c r="E2621" s="67" t="str">
        <f>IFERROR(VLOOKUP(База_КР_КК[[#This Row],[ИД штатной должности (S)]],'уровень защищенности'!$B$7:$F$1095,5,0),"не защищена")</f>
        <v>средний</v>
      </c>
      <c r="F2621" s="68">
        <v>500127</v>
      </c>
      <c r="G2621" s="74" t="s">
        <v>2812</v>
      </c>
      <c r="H2621" s="181">
        <f>INDEX('Списки данных'!$D$2:$D$1048576,MATCH(База_КР_КК[[#This Row],[Структурное подразделение]],'Списки данных'!$C$2:$C$1048576,0))</f>
        <v>4</v>
      </c>
      <c r="I2621" s="80" t="s">
        <v>157</v>
      </c>
      <c r="J2621" s="80" t="s">
        <v>244</v>
      </c>
      <c r="K2621" s="80" t="s">
        <v>21</v>
      </c>
      <c r="L2621" s="30" t="s">
        <v>189</v>
      </c>
      <c r="M2621" s="68">
        <v>6</v>
      </c>
      <c r="N2621" s="181" t="str">
        <f t="shared" si="41"/>
        <v>да</v>
      </c>
      <c r="O2621" s="23">
        <v>44622</v>
      </c>
      <c r="P2621" s="23">
        <v>44672</v>
      </c>
      <c r="Q2621" s="106" t="s">
        <v>66</v>
      </c>
      <c r="R2621" s="37">
        <v>635</v>
      </c>
      <c r="S2621" s="39" t="s">
        <v>1044</v>
      </c>
      <c r="T2621" s="37">
        <v>635</v>
      </c>
      <c r="U2621" s="39" t="s">
        <v>1044</v>
      </c>
      <c r="V2621" s="89" t="s">
        <v>189</v>
      </c>
      <c r="W2621" s="89" t="s">
        <v>157</v>
      </c>
      <c r="X2621" s="106" t="s">
        <v>295</v>
      </c>
      <c r="Y2621" s="107" t="s">
        <v>14</v>
      </c>
      <c r="Z2621" s="67">
        <f>IF(База_КР_КК[[#This Row],[Таб.номер резервиста]]="-","-",IF(OR(База_КР_КК[[#This Row],[Уровень КК]]=2,База_КР_КК[[#This Row],[Уровень КК]]=3),IF(COUNTIFS($U$2:$U2621,$U2621,$F$2:$F2621,$F2621)=1,1,0),IF(COUNTIFS($U$2:$U2621,$U2621,$L$2:$L2621,$L2621)=1,1,0)))</f>
        <v>1</v>
      </c>
      <c r="AA26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621" s="106" t="s">
        <v>24</v>
      </c>
      <c r="AC2621" s="51">
        <v>44672</v>
      </c>
      <c r="AD2621" s="106" t="s">
        <v>15</v>
      </c>
      <c r="AE2621" s="38" t="s">
        <v>332</v>
      </c>
    </row>
    <row r="2622" spans="1:31" ht="18" customHeight="1" x14ac:dyDescent="0.25">
      <c r="A26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2" s="79">
        <v>4</v>
      </c>
      <c r="C2622" s="23">
        <v>44116</v>
      </c>
      <c r="D2622" s="67">
        <f>IF(COUNTIF($G$2:$G2622,$G2622)=1,1,0)</f>
        <v>1</v>
      </c>
      <c r="E2622" s="67" t="str">
        <f>IFERROR(VLOOKUP(База_КР_КК[[#This Row],[ИД штатной должности (S)]],'уровень защищенности'!$B$7:$F$1095,5,0),"не защищена")</f>
        <v>средний</v>
      </c>
      <c r="F2622" s="68">
        <v>500128</v>
      </c>
      <c r="G2622" s="74" t="s">
        <v>2813</v>
      </c>
      <c r="H2622" s="181">
        <f>INDEX('Списки данных'!$D$2:$D$1048576,MATCH(База_КР_КК[[#This Row],[Структурное подразделение]],'Списки данных'!$C$2:$C$1048576,0))</f>
        <v>4</v>
      </c>
      <c r="I2622" s="80" t="s">
        <v>157</v>
      </c>
      <c r="J2622" s="80" t="s">
        <v>244</v>
      </c>
      <c r="K2622" s="80" t="s">
        <v>21</v>
      </c>
      <c r="L2622" s="30" t="s">
        <v>191</v>
      </c>
      <c r="M2622" s="68">
        <v>7</v>
      </c>
      <c r="N2622" s="181" t="str">
        <f t="shared" si="41"/>
        <v>нет</v>
      </c>
      <c r="O2622" s="23"/>
      <c r="P2622" s="23"/>
      <c r="Q2622" s="106"/>
      <c r="R2622" s="37">
        <v>636</v>
      </c>
      <c r="S2622" s="38" t="s">
        <v>1045</v>
      </c>
      <c r="T2622" s="37">
        <v>1730</v>
      </c>
      <c r="U2622" s="39" t="s">
        <v>2017</v>
      </c>
      <c r="V2622" s="89" t="s">
        <v>272</v>
      </c>
      <c r="W2622" s="89" t="s">
        <v>157</v>
      </c>
      <c r="X2622" s="106" t="s">
        <v>297</v>
      </c>
      <c r="Y2622" s="107" t="s">
        <v>12</v>
      </c>
      <c r="Z2622" s="67">
        <f>IF(База_КР_КК[[#This Row],[Таб.номер резервиста]]="-","-",IF(OR(База_КР_КК[[#This Row],[Уровень КК]]=2,База_КР_КК[[#This Row],[Уровень КК]]=3),IF(COUNTIFS($U$2:$U2622,$U2622,$F$2:$F2622,$F2622)=1,1,0),IF(COUNTIFS($U$2:$U2622,$U2622,$L$2:$L2622,$L2622)=1,1,0)))</f>
        <v>1</v>
      </c>
      <c r="AA26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2" s="106"/>
      <c r="AC2622" s="51"/>
      <c r="AD2622" s="106" t="s">
        <v>13</v>
      </c>
      <c r="AE2622" s="38" t="s">
        <v>372</v>
      </c>
    </row>
    <row r="2623" spans="1:31" ht="18" customHeight="1" x14ac:dyDescent="0.25">
      <c r="A26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3" s="79">
        <v>4</v>
      </c>
      <c r="C2623" s="23">
        <v>44116</v>
      </c>
      <c r="D2623" s="67">
        <f>IF(COUNTIF($G$2:$G2623,$G2623)=1,1,0)</f>
        <v>0</v>
      </c>
      <c r="E2623" s="67" t="str">
        <f>IFERROR(VLOOKUP(База_КР_КК[[#This Row],[ИД штатной должности (S)]],'уровень защищенности'!$B$7:$F$1095,5,0),"не защищена")</f>
        <v>средний</v>
      </c>
      <c r="F2623" s="68">
        <v>500128</v>
      </c>
      <c r="G2623" s="74" t="s">
        <v>2813</v>
      </c>
      <c r="H2623" s="181">
        <f>INDEX('Списки данных'!$D$2:$D$1048576,MATCH(База_КР_КК[[#This Row],[Структурное подразделение]],'Списки данных'!$C$2:$C$1048576,0))</f>
        <v>4</v>
      </c>
      <c r="I2623" s="80" t="s">
        <v>157</v>
      </c>
      <c r="J2623" s="80" t="s">
        <v>244</v>
      </c>
      <c r="K2623" s="80" t="s">
        <v>21</v>
      </c>
      <c r="L2623" s="30" t="s">
        <v>191</v>
      </c>
      <c r="M2623" s="68">
        <v>7</v>
      </c>
      <c r="N2623" s="181" t="str">
        <f t="shared" ref="N2623:N2686" si="42">IF(ISBLANK(O2623),"нет","да")</f>
        <v>нет</v>
      </c>
      <c r="O2623" s="23"/>
      <c r="P2623" s="23"/>
      <c r="Q2623" s="106"/>
      <c r="R2623" s="37">
        <v>636</v>
      </c>
      <c r="S2623" s="38" t="s">
        <v>1045</v>
      </c>
      <c r="T2623" s="37">
        <v>1731</v>
      </c>
      <c r="U2623" s="39" t="s">
        <v>2018</v>
      </c>
      <c r="V2623" s="89" t="s">
        <v>272</v>
      </c>
      <c r="W2623" s="89" t="s">
        <v>157</v>
      </c>
      <c r="X2623" s="106" t="s">
        <v>297</v>
      </c>
      <c r="Y2623" s="107" t="s">
        <v>12</v>
      </c>
      <c r="Z2623" s="67">
        <f>IF(База_КР_КК[[#This Row],[Таб.номер резервиста]]="-","-",IF(OR(База_КР_КК[[#This Row],[Уровень КК]]=2,База_КР_КК[[#This Row],[Уровень КК]]=3),IF(COUNTIFS($U$2:$U2623,$U2623,$F$2:$F2623,$F2623)=1,1,0),IF(COUNTIFS($U$2:$U2623,$U2623,$L$2:$L2623,$L2623)=1,1,0)))</f>
        <v>1</v>
      </c>
      <c r="AA26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3" s="106"/>
      <c r="AC2623" s="51"/>
      <c r="AD2623" s="106" t="s">
        <v>22</v>
      </c>
      <c r="AE2623" s="38" t="s">
        <v>372</v>
      </c>
    </row>
    <row r="2624" spans="1:31" ht="18" customHeight="1" x14ac:dyDescent="0.25">
      <c r="A26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4" s="79">
        <v>4</v>
      </c>
      <c r="C2624" s="23">
        <v>44116</v>
      </c>
      <c r="D2624" s="67">
        <f>IF(COUNTIF($G$2:$G2624,$G2624)=1,1,0)</f>
        <v>0</v>
      </c>
      <c r="E2624" s="67" t="str">
        <f>IFERROR(VLOOKUP(База_КР_КК[[#This Row],[ИД штатной должности (S)]],'уровень защищенности'!$B$7:$F$1095,5,0),"не защищена")</f>
        <v>средний</v>
      </c>
      <c r="F2624" s="68">
        <v>500128</v>
      </c>
      <c r="G2624" s="74" t="s">
        <v>2813</v>
      </c>
      <c r="H2624" s="181">
        <f>INDEX('Списки данных'!$D$2:$D$1048576,MATCH(База_КР_КК[[#This Row],[Структурное подразделение]],'Списки данных'!$C$2:$C$1048576,0))</f>
        <v>4</v>
      </c>
      <c r="I2624" s="80" t="s">
        <v>157</v>
      </c>
      <c r="J2624" s="80" t="s">
        <v>244</v>
      </c>
      <c r="K2624" s="80" t="s">
        <v>21</v>
      </c>
      <c r="L2624" s="30" t="s">
        <v>191</v>
      </c>
      <c r="M2624" s="68">
        <v>7</v>
      </c>
      <c r="N2624" s="181" t="str">
        <f t="shared" si="42"/>
        <v>нет</v>
      </c>
      <c r="O2624" s="25"/>
      <c r="P2624" s="23"/>
      <c r="Q2624" s="106"/>
      <c r="R2624" s="37">
        <v>636</v>
      </c>
      <c r="S2624" s="39" t="s">
        <v>1045</v>
      </c>
      <c r="T2624" s="37">
        <v>1732</v>
      </c>
      <c r="U2624" s="38" t="s">
        <v>1970</v>
      </c>
      <c r="V2624" s="89" t="s">
        <v>272</v>
      </c>
      <c r="W2624" s="89" t="s">
        <v>157</v>
      </c>
      <c r="X2624" s="106" t="s">
        <v>296</v>
      </c>
      <c r="Y2624" s="107" t="s">
        <v>12</v>
      </c>
      <c r="Z2624" s="67">
        <f>IF(База_КР_КК[[#This Row],[Таб.номер резервиста]]="-","-",IF(OR(База_КР_КК[[#This Row],[Уровень КК]]=2,База_КР_КК[[#This Row],[Уровень КК]]=3),IF(COUNTIFS($U$2:$U2624,$U2624,$F$2:$F2624,$F2624)=1,1,0),IF(COUNTIFS($U$2:$U2624,$U2624,$L$2:$L2624,$L2624)=1,1,0)))</f>
        <v>1</v>
      </c>
      <c r="AA26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4" s="106"/>
      <c r="AC2624" s="51"/>
      <c r="AD2624" s="106" t="s">
        <v>13</v>
      </c>
      <c r="AE2624" s="38" t="s">
        <v>372</v>
      </c>
    </row>
    <row r="2625" spans="1:31" ht="18" customHeight="1" x14ac:dyDescent="0.25">
      <c r="A26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5" s="79">
        <v>4</v>
      </c>
      <c r="C2625" s="23">
        <v>44116</v>
      </c>
      <c r="D2625" s="67">
        <f>IF(COUNTIF($G$2:$G2625,$G2625)=1,1,0)</f>
        <v>0</v>
      </c>
      <c r="E2625" s="67" t="str">
        <f>IFERROR(VLOOKUP(База_КР_КК[[#This Row],[ИД штатной должности (S)]],'уровень защищенности'!$B$7:$F$1095,5,0),"не защищена")</f>
        <v>средний</v>
      </c>
      <c r="F2625" s="68">
        <v>500128</v>
      </c>
      <c r="G2625" s="74" t="s">
        <v>2813</v>
      </c>
      <c r="H2625" s="181">
        <f>INDEX('Списки данных'!$D$2:$D$1048576,MATCH(База_КР_КК[[#This Row],[Структурное подразделение]],'Списки данных'!$C$2:$C$1048576,0))</f>
        <v>4</v>
      </c>
      <c r="I2625" s="80" t="s">
        <v>157</v>
      </c>
      <c r="J2625" s="80" t="s">
        <v>244</v>
      </c>
      <c r="K2625" s="80" t="s">
        <v>21</v>
      </c>
      <c r="L2625" s="30" t="s">
        <v>191</v>
      </c>
      <c r="M2625" s="68">
        <v>7</v>
      </c>
      <c r="N2625" s="181" t="str">
        <f t="shared" si="42"/>
        <v>нет</v>
      </c>
      <c r="O2625" s="25"/>
      <c r="P2625" s="23"/>
      <c r="Q2625" s="106"/>
      <c r="R2625" s="37">
        <v>636</v>
      </c>
      <c r="S2625" s="39" t="s">
        <v>1045</v>
      </c>
      <c r="T2625" s="37">
        <v>1733</v>
      </c>
      <c r="U2625" s="38" t="s">
        <v>2019</v>
      </c>
      <c r="V2625" s="89" t="s">
        <v>272</v>
      </c>
      <c r="W2625" s="89" t="s">
        <v>157</v>
      </c>
      <c r="X2625" s="106" t="s">
        <v>296</v>
      </c>
      <c r="Y2625" s="107" t="s">
        <v>12</v>
      </c>
      <c r="Z2625" s="67">
        <f>IF(База_КР_КК[[#This Row],[Таб.номер резервиста]]="-","-",IF(OR(База_КР_КК[[#This Row],[Уровень КК]]=2,База_КР_КК[[#This Row],[Уровень КК]]=3),IF(COUNTIFS($U$2:$U2625,$U2625,$F$2:$F2625,$F2625)=1,1,0),IF(COUNTIFS($U$2:$U2625,$U2625,$L$2:$L2625,$L2625)=1,1,0)))</f>
        <v>1</v>
      </c>
      <c r="AA26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5" s="106"/>
      <c r="AC2625" s="51"/>
      <c r="AD2625" s="106" t="s">
        <v>13</v>
      </c>
      <c r="AE2625" s="38" t="s">
        <v>372</v>
      </c>
    </row>
    <row r="2626" spans="1:31" ht="18" customHeight="1" x14ac:dyDescent="0.25">
      <c r="A26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6" s="79">
        <v>4</v>
      </c>
      <c r="C2626" s="23">
        <v>44116</v>
      </c>
      <c r="D2626" s="67">
        <f>IF(COUNTIF($G$2:$G2626,$G2626)=1,1,0)</f>
        <v>1</v>
      </c>
      <c r="E2626" s="67" t="str">
        <f>IFERROR(VLOOKUP(База_КР_КК[[#This Row],[ИД штатной должности (S)]],'уровень защищенности'!$B$7:$F$1095,5,0),"не защищена")</f>
        <v>средний</v>
      </c>
      <c r="F2626" s="68">
        <v>500128</v>
      </c>
      <c r="G2626" s="74" t="s">
        <v>2814</v>
      </c>
      <c r="H2626" s="181">
        <f>INDEX('Списки данных'!$D$2:$D$1048576,MATCH(База_КР_КК[[#This Row],[Структурное подразделение]],'Списки данных'!$C$2:$C$1048576,0))</f>
        <v>4</v>
      </c>
      <c r="I2626" s="80" t="s">
        <v>157</v>
      </c>
      <c r="J2626" s="80" t="s">
        <v>244</v>
      </c>
      <c r="K2626" s="80" t="s">
        <v>21</v>
      </c>
      <c r="L2626" s="30" t="s">
        <v>191</v>
      </c>
      <c r="M2626" s="68">
        <v>7</v>
      </c>
      <c r="N2626" s="181" t="str">
        <f t="shared" si="42"/>
        <v>нет</v>
      </c>
      <c r="O2626" s="23"/>
      <c r="P2626" s="23"/>
      <c r="Q2626" s="106"/>
      <c r="R2626" s="37">
        <v>637</v>
      </c>
      <c r="S2626" s="38" t="s">
        <v>1046</v>
      </c>
      <c r="T2626" s="37">
        <v>1730</v>
      </c>
      <c r="U2626" s="39" t="s">
        <v>2017</v>
      </c>
      <c r="V2626" s="89" t="s">
        <v>272</v>
      </c>
      <c r="W2626" s="89" t="s">
        <v>157</v>
      </c>
      <c r="X2626" s="106" t="s">
        <v>297</v>
      </c>
      <c r="Y2626" s="107" t="s">
        <v>12</v>
      </c>
      <c r="Z2626" s="67">
        <f>IF(База_КР_КК[[#This Row],[Таб.номер резервиста]]="-","-",IF(OR(База_КР_КК[[#This Row],[Уровень КК]]=2,База_КР_КК[[#This Row],[Уровень КК]]=3),IF(COUNTIFS($U$2:$U2626,$U2626,$F$2:$F2626,$F2626)=1,1,0),IF(COUNTIFS($U$2:$U2626,$U2626,$L$2:$L2626,$L2626)=1,1,0)))</f>
        <v>0</v>
      </c>
      <c r="AA26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6" s="106"/>
      <c r="AC2626" s="51"/>
      <c r="AD2626" s="106" t="s">
        <v>13</v>
      </c>
      <c r="AE2626" s="38" t="s">
        <v>372</v>
      </c>
    </row>
    <row r="2627" spans="1:31" ht="18" customHeight="1" x14ac:dyDescent="0.25">
      <c r="A26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7" s="79">
        <v>4</v>
      </c>
      <c r="C2627" s="23">
        <v>44116</v>
      </c>
      <c r="D2627" s="67">
        <f>IF(COUNTIF($G$2:$G2627,$G2627)=1,1,0)</f>
        <v>0</v>
      </c>
      <c r="E2627" s="67" t="str">
        <f>IFERROR(VLOOKUP(База_КР_КК[[#This Row],[ИД штатной должности (S)]],'уровень защищенности'!$B$7:$F$1095,5,0),"не защищена")</f>
        <v>средний</v>
      </c>
      <c r="F2627" s="68">
        <v>500128</v>
      </c>
      <c r="G2627" s="74" t="s">
        <v>2814</v>
      </c>
      <c r="H2627" s="181">
        <f>INDEX('Списки данных'!$D$2:$D$1048576,MATCH(База_КР_КК[[#This Row],[Структурное подразделение]],'Списки данных'!$C$2:$C$1048576,0))</f>
        <v>4</v>
      </c>
      <c r="I2627" s="80" t="s">
        <v>157</v>
      </c>
      <c r="J2627" s="80" t="s">
        <v>244</v>
      </c>
      <c r="K2627" s="80" t="s">
        <v>21</v>
      </c>
      <c r="L2627" s="30" t="s">
        <v>191</v>
      </c>
      <c r="M2627" s="68">
        <v>7</v>
      </c>
      <c r="N2627" s="181" t="str">
        <f t="shared" si="42"/>
        <v>нет</v>
      </c>
      <c r="O2627" s="23"/>
      <c r="P2627" s="23"/>
      <c r="Q2627" s="106"/>
      <c r="R2627" s="37">
        <v>637</v>
      </c>
      <c r="S2627" s="38" t="s">
        <v>1046</v>
      </c>
      <c r="T2627" s="37">
        <v>1731</v>
      </c>
      <c r="U2627" s="39" t="s">
        <v>2018</v>
      </c>
      <c r="V2627" s="89" t="s">
        <v>272</v>
      </c>
      <c r="W2627" s="89" t="s">
        <v>157</v>
      </c>
      <c r="X2627" s="106" t="s">
        <v>297</v>
      </c>
      <c r="Y2627" s="107" t="s">
        <v>12</v>
      </c>
      <c r="Z2627" s="67">
        <f>IF(База_КР_КК[[#This Row],[Таб.номер резервиста]]="-","-",IF(OR(База_КР_КК[[#This Row],[Уровень КК]]=2,База_КР_КК[[#This Row],[Уровень КК]]=3),IF(COUNTIFS($U$2:$U2627,$U2627,$F$2:$F2627,$F2627)=1,1,0),IF(COUNTIFS($U$2:$U2627,$U2627,$L$2:$L2627,$L2627)=1,1,0)))</f>
        <v>0</v>
      </c>
      <c r="AA26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7" s="106"/>
      <c r="AC2627" s="51"/>
      <c r="AD2627" s="106" t="s">
        <v>22</v>
      </c>
      <c r="AE2627" s="38" t="s">
        <v>372</v>
      </c>
    </row>
    <row r="2628" spans="1:31" ht="18" customHeight="1" x14ac:dyDescent="0.25">
      <c r="A26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8" s="79">
        <v>4</v>
      </c>
      <c r="C2628" s="23">
        <v>44116</v>
      </c>
      <c r="D2628" s="67">
        <f>IF(COUNTIF($G$2:$G2628,$G2628)=1,1,0)</f>
        <v>0</v>
      </c>
      <c r="E2628" s="67" t="str">
        <f>IFERROR(VLOOKUP(База_КР_КК[[#This Row],[ИД штатной должности (S)]],'уровень защищенности'!$B$7:$F$1095,5,0),"не защищена")</f>
        <v>средний</v>
      </c>
      <c r="F2628" s="68">
        <v>500128</v>
      </c>
      <c r="G2628" s="74" t="s">
        <v>2814</v>
      </c>
      <c r="H2628" s="181">
        <f>INDEX('Списки данных'!$D$2:$D$1048576,MATCH(База_КР_КК[[#This Row],[Структурное подразделение]],'Списки данных'!$C$2:$C$1048576,0))</f>
        <v>4</v>
      </c>
      <c r="I2628" s="80" t="s">
        <v>157</v>
      </c>
      <c r="J2628" s="80" t="s">
        <v>244</v>
      </c>
      <c r="K2628" s="80" t="s">
        <v>21</v>
      </c>
      <c r="L2628" s="30" t="s">
        <v>191</v>
      </c>
      <c r="M2628" s="68">
        <v>7</v>
      </c>
      <c r="N2628" s="181" t="str">
        <f t="shared" si="42"/>
        <v>нет</v>
      </c>
      <c r="O2628" s="25"/>
      <c r="P2628" s="23"/>
      <c r="Q2628" s="106"/>
      <c r="R2628" s="37">
        <v>637</v>
      </c>
      <c r="S2628" s="39" t="s">
        <v>1046</v>
      </c>
      <c r="T2628" s="37">
        <v>1732</v>
      </c>
      <c r="U2628" s="38" t="s">
        <v>1970</v>
      </c>
      <c r="V2628" s="89" t="s">
        <v>272</v>
      </c>
      <c r="W2628" s="89" t="s">
        <v>157</v>
      </c>
      <c r="X2628" s="106" t="s">
        <v>296</v>
      </c>
      <c r="Y2628" s="107" t="s">
        <v>12</v>
      </c>
      <c r="Z2628" s="67">
        <f>IF(База_КР_КК[[#This Row],[Таб.номер резервиста]]="-","-",IF(OR(База_КР_КК[[#This Row],[Уровень КК]]=2,База_КР_КК[[#This Row],[Уровень КК]]=3),IF(COUNTIFS($U$2:$U2628,$U2628,$F$2:$F2628,$F2628)=1,1,0),IF(COUNTIFS($U$2:$U2628,$U2628,$L$2:$L2628,$L2628)=1,1,0)))</f>
        <v>0</v>
      </c>
      <c r="AA26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8" s="106"/>
      <c r="AC2628" s="51"/>
      <c r="AD2628" s="106" t="s">
        <v>13</v>
      </c>
      <c r="AE2628" s="38" t="s">
        <v>372</v>
      </c>
    </row>
    <row r="2629" spans="1:31" ht="18" customHeight="1" x14ac:dyDescent="0.25">
      <c r="A26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29" s="79">
        <v>4</v>
      </c>
      <c r="C2629" s="23">
        <v>44116</v>
      </c>
      <c r="D2629" s="67">
        <f>IF(COUNTIF($G$2:$G2629,$G2629)=1,1,0)</f>
        <v>0</v>
      </c>
      <c r="E2629" s="67" t="str">
        <f>IFERROR(VLOOKUP(База_КР_КК[[#This Row],[ИД штатной должности (S)]],'уровень защищенности'!$B$7:$F$1095,5,0),"не защищена")</f>
        <v>средний</v>
      </c>
      <c r="F2629" s="68">
        <v>500128</v>
      </c>
      <c r="G2629" s="74" t="s">
        <v>2814</v>
      </c>
      <c r="H2629" s="181">
        <f>INDEX('Списки данных'!$D$2:$D$1048576,MATCH(База_КР_КК[[#This Row],[Структурное подразделение]],'Списки данных'!$C$2:$C$1048576,0))</f>
        <v>4</v>
      </c>
      <c r="I2629" s="80" t="s">
        <v>157</v>
      </c>
      <c r="J2629" s="80" t="s">
        <v>244</v>
      </c>
      <c r="K2629" s="80" t="s">
        <v>21</v>
      </c>
      <c r="L2629" s="30" t="s">
        <v>191</v>
      </c>
      <c r="M2629" s="68">
        <v>7</v>
      </c>
      <c r="N2629" s="181" t="str">
        <f t="shared" si="42"/>
        <v>нет</v>
      </c>
      <c r="O2629" s="25"/>
      <c r="P2629" s="23"/>
      <c r="Q2629" s="106"/>
      <c r="R2629" s="37">
        <v>637</v>
      </c>
      <c r="S2629" s="39" t="s">
        <v>1046</v>
      </c>
      <c r="T2629" s="37">
        <v>1733</v>
      </c>
      <c r="U2629" s="38" t="s">
        <v>2019</v>
      </c>
      <c r="V2629" s="89" t="s">
        <v>272</v>
      </c>
      <c r="W2629" s="89" t="s">
        <v>157</v>
      </c>
      <c r="X2629" s="106" t="s">
        <v>296</v>
      </c>
      <c r="Y2629" s="107" t="s">
        <v>12</v>
      </c>
      <c r="Z2629" s="67">
        <f>IF(База_КР_КК[[#This Row],[Таб.номер резервиста]]="-","-",IF(OR(База_КР_КК[[#This Row],[Уровень КК]]=2,База_КР_КК[[#This Row],[Уровень КК]]=3),IF(COUNTIFS($U$2:$U2629,$U2629,$F$2:$F2629,$F2629)=1,1,0),IF(COUNTIFS($U$2:$U2629,$U2629,$L$2:$L2629,$L2629)=1,1,0)))</f>
        <v>0</v>
      </c>
      <c r="AA26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29" s="106"/>
      <c r="AC2629" s="51"/>
      <c r="AD2629" s="106" t="s">
        <v>13</v>
      </c>
      <c r="AE2629" s="38" t="s">
        <v>372</v>
      </c>
    </row>
    <row r="2630" spans="1:31" ht="18" customHeight="1" x14ac:dyDescent="0.25">
      <c r="A26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0" s="79">
        <v>4</v>
      </c>
      <c r="C2630" s="23">
        <v>44116</v>
      </c>
      <c r="D2630" s="67">
        <f>IF(COUNTIF($G$2:$G2630,$G2630)=1,1,0)</f>
        <v>1</v>
      </c>
      <c r="E2630" s="67" t="str">
        <f>IFERROR(VLOOKUP(База_КР_КК[[#This Row],[ИД штатной должности (S)]],'уровень защищенности'!$B$7:$F$1095,5,0),"не защищена")</f>
        <v>средний</v>
      </c>
      <c r="F2630" s="68">
        <v>500128</v>
      </c>
      <c r="G2630" s="74" t="s">
        <v>2815</v>
      </c>
      <c r="H2630" s="181">
        <f>INDEX('Списки данных'!$D$2:$D$1048576,MATCH(База_КР_КК[[#This Row],[Структурное подразделение]],'Списки данных'!$C$2:$C$1048576,0))</f>
        <v>4</v>
      </c>
      <c r="I2630" s="80" t="s">
        <v>157</v>
      </c>
      <c r="J2630" s="80" t="s">
        <v>244</v>
      </c>
      <c r="K2630" s="80" t="s">
        <v>21</v>
      </c>
      <c r="L2630" s="30" t="s">
        <v>191</v>
      </c>
      <c r="M2630" s="68">
        <v>7</v>
      </c>
      <c r="N2630" s="181" t="str">
        <f t="shared" si="42"/>
        <v>нет</v>
      </c>
      <c r="O2630" s="23"/>
      <c r="P2630" s="23"/>
      <c r="Q2630" s="106"/>
      <c r="R2630" s="37">
        <v>638</v>
      </c>
      <c r="S2630" s="38" t="s">
        <v>1047</v>
      </c>
      <c r="T2630" s="37">
        <v>1730</v>
      </c>
      <c r="U2630" s="39" t="s">
        <v>2017</v>
      </c>
      <c r="V2630" s="89" t="s">
        <v>272</v>
      </c>
      <c r="W2630" s="89" t="s">
        <v>157</v>
      </c>
      <c r="X2630" s="106" t="s">
        <v>297</v>
      </c>
      <c r="Y2630" s="107" t="s">
        <v>12</v>
      </c>
      <c r="Z2630" s="67">
        <f>IF(База_КР_КК[[#This Row],[Таб.номер резервиста]]="-","-",IF(OR(База_КР_КК[[#This Row],[Уровень КК]]=2,База_КР_КК[[#This Row],[Уровень КК]]=3),IF(COUNTIFS($U$2:$U2630,$U2630,$F$2:$F2630,$F2630)=1,1,0),IF(COUNTIFS($U$2:$U2630,$U2630,$L$2:$L2630,$L2630)=1,1,0)))</f>
        <v>0</v>
      </c>
      <c r="AA26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0" s="106"/>
      <c r="AC2630" s="51"/>
      <c r="AD2630" s="106" t="s">
        <v>13</v>
      </c>
      <c r="AE2630" s="38" t="s">
        <v>372</v>
      </c>
    </row>
    <row r="2631" spans="1:31" ht="18" customHeight="1" x14ac:dyDescent="0.25">
      <c r="A26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1" s="79">
        <v>4</v>
      </c>
      <c r="C2631" s="23">
        <v>44116</v>
      </c>
      <c r="D2631" s="67">
        <f>IF(COUNTIF($G$2:$G2631,$G2631)=1,1,0)</f>
        <v>0</v>
      </c>
      <c r="E2631" s="67" t="str">
        <f>IFERROR(VLOOKUP(База_КР_КК[[#This Row],[ИД штатной должности (S)]],'уровень защищенности'!$B$7:$F$1095,5,0),"не защищена")</f>
        <v>средний</v>
      </c>
      <c r="F2631" s="68">
        <v>500128</v>
      </c>
      <c r="G2631" s="74" t="s">
        <v>2815</v>
      </c>
      <c r="H2631" s="181">
        <f>INDEX('Списки данных'!$D$2:$D$1048576,MATCH(База_КР_КК[[#This Row],[Структурное подразделение]],'Списки данных'!$C$2:$C$1048576,0))</f>
        <v>4</v>
      </c>
      <c r="I2631" s="80" t="s">
        <v>157</v>
      </c>
      <c r="J2631" s="80" t="s">
        <v>244</v>
      </c>
      <c r="K2631" s="80" t="s">
        <v>21</v>
      </c>
      <c r="L2631" s="30" t="s">
        <v>191</v>
      </c>
      <c r="M2631" s="68">
        <v>7</v>
      </c>
      <c r="N2631" s="181" t="str">
        <f t="shared" si="42"/>
        <v>нет</v>
      </c>
      <c r="O2631" s="23"/>
      <c r="P2631" s="23"/>
      <c r="Q2631" s="106"/>
      <c r="R2631" s="37">
        <v>638</v>
      </c>
      <c r="S2631" s="38" t="s">
        <v>1047</v>
      </c>
      <c r="T2631" s="37">
        <v>1731</v>
      </c>
      <c r="U2631" s="39" t="s">
        <v>2018</v>
      </c>
      <c r="V2631" s="89" t="s">
        <v>272</v>
      </c>
      <c r="W2631" s="89" t="s">
        <v>157</v>
      </c>
      <c r="X2631" s="106" t="s">
        <v>297</v>
      </c>
      <c r="Y2631" s="107" t="s">
        <v>12</v>
      </c>
      <c r="Z2631" s="67">
        <f>IF(База_КР_КК[[#This Row],[Таб.номер резервиста]]="-","-",IF(OR(База_КР_КК[[#This Row],[Уровень КК]]=2,База_КР_КК[[#This Row],[Уровень КК]]=3),IF(COUNTIFS($U$2:$U2631,$U2631,$F$2:$F2631,$F2631)=1,1,0),IF(COUNTIFS($U$2:$U2631,$U2631,$L$2:$L2631,$L2631)=1,1,0)))</f>
        <v>0</v>
      </c>
      <c r="AA26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1" s="106"/>
      <c r="AC2631" s="51"/>
      <c r="AD2631" s="106" t="s">
        <v>22</v>
      </c>
      <c r="AE2631" s="38" t="s">
        <v>372</v>
      </c>
    </row>
    <row r="2632" spans="1:31" ht="18" customHeight="1" x14ac:dyDescent="0.25">
      <c r="A26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2" s="79">
        <v>4</v>
      </c>
      <c r="C2632" s="23">
        <v>44116</v>
      </c>
      <c r="D2632" s="67">
        <f>IF(COUNTIF($G$2:$G2632,$G2632)=1,1,0)</f>
        <v>0</v>
      </c>
      <c r="E2632" s="67" t="str">
        <f>IFERROR(VLOOKUP(База_КР_КК[[#This Row],[ИД штатной должности (S)]],'уровень защищенности'!$B$7:$F$1095,5,0),"не защищена")</f>
        <v>средний</v>
      </c>
      <c r="F2632" s="68">
        <v>500128</v>
      </c>
      <c r="G2632" s="74" t="s">
        <v>2815</v>
      </c>
      <c r="H2632" s="181">
        <f>INDEX('Списки данных'!$D$2:$D$1048576,MATCH(База_КР_КК[[#This Row],[Структурное подразделение]],'Списки данных'!$C$2:$C$1048576,0))</f>
        <v>4</v>
      </c>
      <c r="I2632" s="80" t="s">
        <v>157</v>
      </c>
      <c r="J2632" s="80" t="s">
        <v>244</v>
      </c>
      <c r="K2632" s="80" t="s">
        <v>21</v>
      </c>
      <c r="L2632" s="30" t="s">
        <v>191</v>
      </c>
      <c r="M2632" s="68">
        <v>7</v>
      </c>
      <c r="N2632" s="181" t="str">
        <f t="shared" si="42"/>
        <v>нет</v>
      </c>
      <c r="O2632" s="25"/>
      <c r="P2632" s="23"/>
      <c r="Q2632" s="106"/>
      <c r="R2632" s="37">
        <v>638</v>
      </c>
      <c r="S2632" s="39" t="s">
        <v>1047</v>
      </c>
      <c r="T2632" s="37">
        <v>1732</v>
      </c>
      <c r="U2632" s="38" t="s">
        <v>1970</v>
      </c>
      <c r="V2632" s="89" t="s">
        <v>272</v>
      </c>
      <c r="W2632" s="89" t="s">
        <v>157</v>
      </c>
      <c r="X2632" s="106" t="s">
        <v>296</v>
      </c>
      <c r="Y2632" s="107" t="s">
        <v>12</v>
      </c>
      <c r="Z2632" s="67">
        <f>IF(База_КР_КК[[#This Row],[Таб.номер резервиста]]="-","-",IF(OR(База_КР_КК[[#This Row],[Уровень КК]]=2,База_КР_КК[[#This Row],[Уровень КК]]=3),IF(COUNTIFS($U$2:$U2632,$U2632,$F$2:$F2632,$F2632)=1,1,0),IF(COUNTIFS($U$2:$U2632,$U2632,$L$2:$L2632,$L2632)=1,1,0)))</f>
        <v>0</v>
      </c>
      <c r="AA26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2" s="106"/>
      <c r="AC2632" s="51"/>
      <c r="AD2632" s="106" t="s">
        <v>13</v>
      </c>
      <c r="AE2632" s="38" t="s">
        <v>372</v>
      </c>
    </row>
    <row r="2633" spans="1:31" ht="18" customHeight="1" x14ac:dyDescent="0.25">
      <c r="A26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3" s="79">
        <v>4</v>
      </c>
      <c r="C2633" s="23">
        <v>44116</v>
      </c>
      <c r="D2633" s="67">
        <f>IF(COUNTIF($G$2:$G2633,$G2633)=1,1,0)</f>
        <v>0</v>
      </c>
      <c r="E2633" s="67" t="str">
        <f>IFERROR(VLOOKUP(База_КР_КК[[#This Row],[ИД штатной должности (S)]],'уровень защищенности'!$B$7:$F$1095,5,0),"не защищена")</f>
        <v>средний</v>
      </c>
      <c r="F2633" s="68">
        <v>500128</v>
      </c>
      <c r="G2633" s="74" t="s">
        <v>2815</v>
      </c>
      <c r="H2633" s="181">
        <f>INDEX('Списки данных'!$D$2:$D$1048576,MATCH(База_КР_КК[[#This Row],[Структурное подразделение]],'Списки данных'!$C$2:$C$1048576,0))</f>
        <v>4</v>
      </c>
      <c r="I2633" s="80" t="s">
        <v>157</v>
      </c>
      <c r="J2633" s="80" t="s">
        <v>244</v>
      </c>
      <c r="K2633" s="80" t="s">
        <v>21</v>
      </c>
      <c r="L2633" s="30" t="s">
        <v>191</v>
      </c>
      <c r="M2633" s="68">
        <v>7</v>
      </c>
      <c r="N2633" s="181" t="str">
        <f t="shared" si="42"/>
        <v>нет</v>
      </c>
      <c r="O2633" s="25"/>
      <c r="P2633" s="23"/>
      <c r="Q2633" s="106"/>
      <c r="R2633" s="37">
        <v>638</v>
      </c>
      <c r="S2633" s="39" t="s">
        <v>1047</v>
      </c>
      <c r="T2633" s="37">
        <v>1733</v>
      </c>
      <c r="U2633" s="38" t="s">
        <v>2019</v>
      </c>
      <c r="V2633" s="89" t="s">
        <v>272</v>
      </c>
      <c r="W2633" s="89" t="s">
        <v>157</v>
      </c>
      <c r="X2633" s="106" t="s">
        <v>296</v>
      </c>
      <c r="Y2633" s="107" t="s">
        <v>12</v>
      </c>
      <c r="Z2633" s="67">
        <f>IF(База_КР_КК[[#This Row],[Таб.номер резервиста]]="-","-",IF(OR(База_КР_КК[[#This Row],[Уровень КК]]=2,База_КР_КК[[#This Row],[Уровень КК]]=3),IF(COUNTIFS($U$2:$U2633,$U2633,$F$2:$F2633,$F2633)=1,1,0),IF(COUNTIFS($U$2:$U2633,$U2633,$L$2:$L2633,$L2633)=1,1,0)))</f>
        <v>0</v>
      </c>
      <c r="AA26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3" s="106"/>
      <c r="AC2633" s="51"/>
      <c r="AD2633" s="106" t="s">
        <v>13</v>
      </c>
      <c r="AE2633" s="38" t="s">
        <v>372</v>
      </c>
    </row>
    <row r="2634" spans="1:31" ht="18" customHeight="1" x14ac:dyDescent="0.25">
      <c r="A26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4" s="79">
        <v>4</v>
      </c>
      <c r="C2634" s="23">
        <v>44116</v>
      </c>
      <c r="D2634" s="67">
        <f>IF(COUNTIF($G$2:$G2634,$G2634)=1,1,0)</f>
        <v>1</v>
      </c>
      <c r="E2634" s="67" t="str">
        <f>IFERROR(VLOOKUP(База_КР_КК[[#This Row],[ИД штатной должности (S)]],'уровень защищенности'!$B$7:$F$1095,5,0),"не защищена")</f>
        <v>средний</v>
      </c>
      <c r="F2634" s="68">
        <v>500128</v>
      </c>
      <c r="G2634" s="74" t="s">
        <v>2816</v>
      </c>
      <c r="H2634" s="181">
        <f>INDEX('Списки данных'!$D$2:$D$1048576,MATCH(База_КР_КК[[#This Row],[Структурное подразделение]],'Списки данных'!$C$2:$C$1048576,0))</f>
        <v>4</v>
      </c>
      <c r="I2634" s="80" t="s">
        <v>157</v>
      </c>
      <c r="J2634" s="80" t="s">
        <v>244</v>
      </c>
      <c r="K2634" s="80" t="s">
        <v>21</v>
      </c>
      <c r="L2634" s="30" t="s">
        <v>191</v>
      </c>
      <c r="M2634" s="68">
        <v>7</v>
      </c>
      <c r="N2634" s="181" t="str">
        <f t="shared" si="42"/>
        <v>нет</v>
      </c>
      <c r="O2634" s="23"/>
      <c r="P2634" s="23"/>
      <c r="Q2634" s="106"/>
      <c r="R2634" s="37">
        <v>639</v>
      </c>
      <c r="S2634" s="38" t="s">
        <v>1048</v>
      </c>
      <c r="T2634" s="37">
        <v>1730</v>
      </c>
      <c r="U2634" s="39" t="s">
        <v>2017</v>
      </c>
      <c r="V2634" s="89" t="s">
        <v>272</v>
      </c>
      <c r="W2634" s="89" t="s">
        <v>157</v>
      </c>
      <c r="X2634" s="106" t="s">
        <v>297</v>
      </c>
      <c r="Y2634" s="107" t="s">
        <v>12</v>
      </c>
      <c r="Z2634" s="67">
        <f>IF(База_КР_КК[[#This Row],[Таб.номер резервиста]]="-","-",IF(OR(База_КР_КК[[#This Row],[Уровень КК]]=2,База_КР_КК[[#This Row],[Уровень КК]]=3),IF(COUNTIFS($U$2:$U2634,$U2634,$F$2:$F2634,$F2634)=1,1,0),IF(COUNTIFS($U$2:$U2634,$U2634,$L$2:$L2634,$L2634)=1,1,0)))</f>
        <v>0</v>
      </c>
      <c r="AA26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4" s="106"/>
      <c r="AC2634" s="51"/>
      <c r="AD2634" s="106" t="s">
        <v>13</v>
      </c>
      <c r="AE2634" s="38" t="s">
        <v>372</v>
      </c>
    </row>
    <row r="2635" spans="1:31" ht="18" customHeight="1" x14ac:dyDescent="0.25">
      <c r="A26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5" s="79">
        <v>4</v>
      </c>
      <c r="C2635" s="23">
        <v>44116</v>
      </c>
      <c r="D2635" s="67">
        <f>IF(COUNTIF($G$2:$G2635,$G2635)=1,1,0)</f>
        <v>0</v>
      </c>
      <c r="E2635" s="67" t="str">
        <f>IFERROR(VLOOKUP(База_КР_КК[[#This Row],[ИД штатной должности (S)]],'уровень защищенности'!$B$7:$F$1095,5,0),"не защищена")</f>
        <v>средний</v>
      </c>
      <c r="F2635" s="68">
        <v>500128</v>
      </c>
      <c r="G2635" s="74" t="s">
        <v>2816</v>
      </c>
      <c r="H2635" s="181">
        <f>INDEX('Списки данных'!$D$2:$D$1048576,MATCH(База_КР_КК[[#This Row],[Структурное подразделение]],'Списки данных'!$C$2:$C$1048576,0))</f>
        <v>4</v>
      </c>
      <c r="I2635" s="80" t="s">
        <v>157</v>
      </c>
      <c r="J2635" s="80" t="s">
        <v>244</v>
      </c>
      <c r="K2635" s="80" t="s">
        <v>21</v>
      </c>
      <c r="L2635" s="30" t="s">
        <v>191</v>
      </c>
      <c r="M2635" s="68">
        <v>7</v>
      </c>
      <c r="N2635" s="181" t="str">
        <f t="shared" si="42"/>
        <v>нет</v>
      </c>
      <c r="O2635" s="23"/>
      <c r="P2635" s="23"/>
      <c r="Q2635" s="106"/>
      <c r="R2635" s="37">
        <v>639</v>
      </c>
      <c r="S2635" s="38" t="s">
        <v>1048</v>
      </c>
      <c r="T2635" s="37">
        <v>1731</v>
      </c>
      <c r="U2635" s="39" t="s">
        <v>2018</v>
      </c>
      <c r="V2635" s="89" t="s">
        <v>272</v>
      </c>
      <c r="W2635" s="89" t="s">
        <v>157</v>
      </c>
      <c r="X2635" s="106" t="s">
        <v>297</v>
      </c>
      <c r="Y2635" s="107" t="s">
        <v>12</v>
      </c>
      <c r="Z2635" s="67">
        <f>IF(База_КР_КК[[#This Row],[Таб.номер резервиста]]="-","-",IF(OR(База_КР_КК[[#This Row],[Уровень КК]]=2,База_КР_КК[[#This Row],[Уровень КК]]=3),IF(COUNTIFS($U$2:$U2635,$U2635,$F$2:$F2635,$F2635)=1,1,0),IF(COUNTIFS($U$2:$U2635,$U2635,$L$2:$L2635,$L2635)=1,1,0)))</f>
        <v>0</v>
      </c>
      <c r="AA26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5" s="106"/>
      <c r="AC2635" s="51"/>
      <c r="AD2635" s="106" t="s">
        <v>22</v>
      </c>
      <c r="AE2635" s="38" t="s">
        <v>372</v>
      </c>
    </row>
    <row r="2636" spans="1:31" ht="18" customHeight="1" x14ac:dyDescent="0.25">
      <c r="A26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6" s="79">
        <v>4</v>
      </c>
      <c r="C2636" s="23">
        <v>44116</v>
      </c>
      <c r="D2636" s="67">
        <f>IF(COUNTIF($G$2:$G2636,$G2636)=1,1,0)</f>
        <v>0</v>
      </c>
      <c r="E2636" s="67" t="str">
        <f>IFERROR(VLOOKUP(База_КР_КК[[#This Row],[ИД штатной должности (S)]],'уровень защищенности'!$B$7:$F$1095,5,0),"не защищена")</f>
        <v>средний</v>
      </c>
      <c r="F2636" s="68">
        <v>500128</v>
      </c>
      <c r="G2636" s="74" t="s">
        <v>2816</v>
      </c>
      <c r="H2636" s="181">
        <f>INDEX('Списки данных'!$D$2:$D$1048576,MATCH(База_КР_КК[[#This Row],[Структурное подразделение]],'Списки данных'!$C$2:$C$1048576,0))</f>
        <v>4</v>
      </c>
      <c r="I2636" s="80" t="s">
        <v>157</v>
      </c>
      <c r="J2636" s="80" t="s">
        <v>244</v>
      </c>
      <c r="K2636" s="80" t="s">
        <v>21</v>
      </c>
      <c r="L2636" s="30" t="s">
        <v>191</v>
      </c>
      <c r="M2636" s="68">
        <v>7</v>
      </c>
      <c r="N2636" s="181" t="str">
        <f t="shared" si="42"/>
        <v>нет</v>
      </c>
      <c r="O2636" s="25"/>
      <c r="P2636" s="23"/>
      <c r="Q2636" s="106"/>
      <c r="R2636" s="37">
        <v>639</v>
      </c>
      <c r="S2636" s="39" t="s">
        <v>1048</v>
      </c>
      <c r="T2636" s="37">
        <v>1732</v>
      </c>
      <c r="U2636" s="38" t="s">
        <v>1970</v>
      </c>
      <c r="V2636" s="89" t="s">
        <v>272</v>
      </c>
      <c r="W2636" s="89" t="s">
        <v>157</v>
      </c>
      <c r="X2636" s="106" t="s">
        <v>296</v>
      </c>
      <c r="Y2636" s="107" t="s">
        <v>12</v>
      </c>
      <c r="Z2636" s="67">
        <f>IF(База_КР_КК[[#This Row],[Таб.номер резервиста]]="-","-",IF(OR(База_КР_КК[[#This Row],[Уровень КК]]=2,База_КР_КК[[#This Row],[Уровень КК]]=3),IF(COUNTIFS($U$2:$U2636,$U2636,$F$2:$F2636,$F2636)=1,1,0),IF(COUNTIFS($U$2:$U2636,$U2636,$L$2:$L2636,$L2636)=1,1,0)))</f>
        <v>0</v>
      </c>
      <c r="AA26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6" s="106"/>
      <c r="AC2636" s="51"/>
      <c r="AD2636" s="106" t="s">
        <v>13</v>
      </c>
      <c r="AE2636" s="38" t="s">
        <v>372</v>
      </c>
    </row>
    <row r="2637" spans="1:31" ht="18" customHeight="1" x14ac:dyDescent="0.25">
      <c r="A26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7" s="79">
        <v>4</v>
      </c>
      <c r="C2637" s="23">
        <v>44116</v>
      </c>
      <c r="D2637" s="67">
        <f>IF(COUNTIF($G$2:$G2637,$G2637)=1,1,0)</f>
        <v>0</v>
      </c>
      <c r="E2637" s="67" t="str">
        <f>IFERROR(VLOOKUP(База_КР_КК[[#This Row],[ИД штатной должности (S)]],'уровень защищенности'!$B$7:$F$1095,5,0),"не защищена")</f>
        <v>средний</v>
      </c>
      <c r="F2637" s="68">
        <v>500128</v>
      </c>
      <c r="G2637" s="74" t="s">
        <v>2816</v>
      </c>
      <c r="H2637" s="181">
        <f>INDEX('Списки данных'!$D$2:$D$1048576,MATCH(База_КР_КК[[#This Row],[Структурное подразделение]],'Списки данных'!$C$2:$C$1048576,0))</f>
        <v>4</v>
      </c>
      <c r="I2637" s="80" t="s">
        <v>157</v>
      </c>
      <c r="J2637" s="80" t="s">
        <v>244</v>
      </c>
      <c r="K2637" s="80" t="s">
        <v>21</v>
      </c>
      <c r="L2637" s="30" t="s">
        <v>191</v>
      </c>
      <c r="M2637" s="68">
        <v>7</v>
      </c>
      <c r="N2637" s="181" t="str">
        <f t="shared" si="42"/>
        <v>нет</v>
      </c>
      <c r="O2637" s="25"/>
      <c r="P2637" s="23"/>
      <c r="Q2637" s="106"/>
      <c r="R2637" s="37">
        <v>639</v>
      </c>
      <c r="S2637" s="39" t="s">
        <v>1048</v>
      </c>
      <c r="T2637" s="37">
        <v>1733</v>
      </c>
      <c r="U2637" s="38" t="s">
        <v>2019</v>
      </c>
      <c r="V2637" s="89" t="s">
        <v>272</v>
      </c>
      <c r="W2637" s="89" t="s">
        <v>157</v>
      </c>
      <c r="X2637" s="106" t="s">
        <v>296</v>
      </c>
      <c r="Y2637" s="107" t="s">
        <v>12</v>
      </c>
      <c r="Z2637" s="67">
        <f>IF(База_КР_КК[[#This Row],[Таб.номер резервиста]]="-","-",IF(OR(База_КР_КК[[#This Row],[Уровень КК]]=2,База_КР_КК[[#This Row],[Уровень КК]]=3),IF(COUNTIFS($U$2:$U2637,$U2637,$F$2:$F2637,$F2637)=1,1,0),IF(COUNTIFS($U$2:$U2637,$U2637,$L$2:$L2637,$L2637)=1,1,0)))</f>
        <v>0</v>
      </c>
      <c r="AA26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7" s="106"/>
      <c r="AC2637" s="51"/>
      <c r="AD2637" s="106" t="s">
        <v>13</v>
      </c>
      <c r="AE2637" s="38" t="s">
        <v>372</v>
      </c>
    </row>
    <row r="2638" spans="1:31" ht="18" customHeight="1" x14ac:dyDescent="0.25">
      <c r="A26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8" s="79">
        <v>4</v>
      </c>
      <c r="C2638" s="23">
        <v>44116</v>
      </c>
      <c r="D2638" s="67">
        <f>IF(COUNTIF($G$2:$G2638,$G2638)=1,1,0)</f>
        <v>1</v>
      </c>
      <c r="E2638" s="67" t="str">
        <f>IFERROR(VLOOKUP(База_КР_КК[[#This Row],[ИД штатной должности (S)]],'уровень защищенности'!$B$7:$F$1095,5,0),"не защищена")</f>
        <v>средний</v>
      </c>
      <c r="F2638" s="68">
        <v>500129</v>
      </c>
      <c r="G2638" s="74" t="s">
        <v>2817</v>
      </c>
      <c r="H2638" s="181">
        <f>INDEX('Списки данных'!$D$2:$D$1048576,MATCH(База_КР_КК[[#This Row],[Структурное подразделение]],'Списки данных'!$C$2:$C$1048576,0))</f>
        <v>4</v>
      </c>
      <c r="I2638" s="80" t="s">
        <v>157</v>
      </c>
      <c r="J2638" s="80" t="s">
        <v>244</v>
      </c>
      <c r="K2638" s="80" t="s">
        <v>21</v>
      </c>
      <c r="L2638" s="30" t="s">
        <v>192</v>
      </c>
      <c r="M2638" s="68">
        <v>7</v>
      </c>
      <c r="N2638" s="181" t="str">
        <f t="shared" si="42"/>
        <v>нет</v>
      </c>
      <c r="O2638" s="23"/>
      <c r="P2638" s="23"/>
      <c r="Q2638" s="106"/>
      <c r="R2638" s="37">
        <v>640</v>
      </c>
      <c r="S2638" s="38" t="s">
        <v>1049</v>
      </c>
      <c r="T2638" s="37">
        <v>1731</v>
      </c>
      <c r="U2638" s="39" t="s">
        <v>2018</v>
      </c>
      <c r="V2638" s="89" t="s">
        <v>272</v>
      </c>
      <c r="W2638" s="89" t="s">
        <v>157</v>
      </c>
      <c r="X2638" s="106" t="s">
        <v>297</v>
      </c>
      <c r="Y2638" s="107" t="s">
        <v>12</v>
      </c>
      <c r="Z2638" s="67">
        <f>IF(База_КР_КК[[#This Row],[Таб.номер резервиста]]="-","-",IF(OR(База_КР_КК[[#This Row],[Уровень КК]]=2,База_КР_КК[[#This Row],[Уровень КК]]=3),IF(COUNTIFS($U$2:$U2638,$U2638,$F$2:$F2638,$F2638)=1,1,0),IF(COUNTIFS($U$2:$U2638,$U2638,$L$2:$L2638,$L2638)=1,1,0)))</f>
        <v>1</v>
      </c>
      <c r="AA26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8" s="106"/>
      <c r="AC2638" s="51"/>
      <c r="AD2638" s="106" t="s">
        <v>22</v>
      </c>
      <c r="AE2638" s="38" t="s">
        <v>372</v>
      </c>
    </row>
    <row r="2639" spans="1:31" ht="18" customHeight="1" x14ac:dyDescent="0.25">
      <c r="A26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39" s="79">
        <v>4</v>
      </c>
      <c r="C2639" s="23">
        <v>44116</v>
      </c>
      <c r="D2639" s="67">
        <f>IF(COUNTIF($G$2:$G2639,$G2639)=1,1,0)</f>
        <v>0</v>
      </c>
      <c r="E2639" s="67" t="str">
        <f>IFERROR(VLOOKUP(База_КР_КК[[#This Row],[ИД штатной должности (S)]],'уровень защищенности'!$B$7:$F$1095,5,0),"не защищена")</f>
        <v>средний</v>
      </c>
      <c r="F2639" s="68">
        <v>500129</v>
      </c>
      <c r="G2639" s="74" t="s">
        <v>2817</v>
      </c>
      <c r="H2639" s="181">
        <f>INDEX('Списки данных'!$D$2:$D$1048576,MATCH(База_КР_КК[[#This Row],[Структурное подразделение]],'Списки данных'!$C$2:$C$1048576,0))</f>
        <v>4</v>
      </c>
      <c r="I2639" s="80" t="s">
        <v>157</v>
      </c>
      <c r="J2639" s="80" t="s">
        <v>244</v>
      </c>
      <c r="K2639" s="80" t="s">
        <v>21</v>
      </c>
      <c r="L2639" s="30" t="s">
        <v>192</v>
      </c>
      <c r="M2639" s="68">
        <v>7</v>
      </c>
      <c r="N2639" s="181" t="str">
        <f t="shared" si="42"/>
        <v>нет</v>
      </c>
      <c r="O2639" s="23"/>
      <c r="P2639" s="23"/>
      <c r="Q2639" s="106"/>
      <c r="R2639" s="37">
        <v>640</v>
      </c>
      <c r="S2639" s="39" t="s">
        <v>1049</v>
      </c>
      <c r="T2639" s="37">
        <v>1734</v>
      </c>
      <c r="U2639" s="38" t="s">
        <v>2020</v>
      </c>
      <c r="V2639" s="89" t="s">
        <v>272</v>
      </c>
      <c r="W2639" s="89" t="s">
        <v>157</v>
      </c>
      <c r="X2639" s="106" t="s">
        <v>297</v>
      </c>
      <c r="Y2639" s="107" t="s">
        <v>12</v>
      </c>
      <c r="Z2639" s="67">
        <f>IF(База_КР_КК[[#This Row],[Таб.номер резервиста]]="-","-",IF(OR(База_КР_КК[[#This Row],[Уровень КК]]=2,База_КР_КК[[#This Row],[Уровень КК]]=3),IF(COUNTIFS($U$2:$U2639,$U2639,$F$2:$F2639,$F2639)=1,1,0),IF(COUNTIFS($U$2:$U2639,$U2639,$L$2:$L2639,$L2639)=1,1,0)))</f>
        <v>1</v>
      </c>
      <c r="AA26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39" s="106"/>
      <c r="AC2639" s="51"/>
      <c r="AD2639" s="106" t="s">
        <v>22</v>
      </c>
      <c r="AE2639" s="38" t="s">
        <v>372</v>
      </c>
    </row>
    <row r="2640" spans="1:31" ht="18" customHeight="1" x14ac:dyDescent="0.25">
      <c r="A26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0" s="79">
        <v>4</v>
      </c>
      <c r="C2640" s="23">
        <v>44116</v>
      </c>
      <c r="D2640" s="67">
        <f>IF(COUNTIF($G$2:$G2640,$G2640)=1,1,0)</f>
        <v>1</v>
      </c>
      <c r="E2640" s="67" t="str">
        <f>IFERROR(VLOOKUP(База_КР_КК[[#This Row],[ИД штатной должности (S)]],'уровень защищенности'!$B$7:$F$1095,5,0),"не защищена")</f>
        <v>высокий</v>
      </c>
      <c r="F2640" s="68">
        <v>500130</v>
      </c>
      <c r="G2640" s="74" t="s">
        <v>2818</v>
      </c>
      <c r="H2640" s="181">
        <f>INDEX('Списки данных'!$D$2:$D$1048576,MATCH(База_КР_КК[[#This Row],[Структурное подразделение]],'Списки данных'!$C$2:$C$1048576,0))</f>
        <v>4</v>
      </c>
      <c r="I2640" s="80" t="s">
        <v>157</v>
      </c>
      <c r="J2640" s="80" t="s">
        <v>244</v>
      </c>
      <c r="K2640" s="80" t="s">
        <v>21</v>
      </c>
      <c r="L2640" s="30" t="s">
        <v>191</v>
      </c>
      <c r="M2640" s="68">
        <v>7</v>
      </c>
      <c r="N2640" s="181" t="str">
        <f t="shared" si="42"/>
        <v>нет</v>
      </c>
      <c r="O2640" s="23"/>
      <c r="P2640" s="23"/>
      <c r="Q2640" s="106"/>
      <c r="R2640" s="37">
        <v>641</v>
      </c>
      <c r="S2640" s="38" t="s">
        <v>1050</v>
      </c>
      <c r="T2640" s="37">
        <v>1735</v>
      </c>
      <c r="U2640" s="39" t="s">
        <v>1660</v>
      </c>
      <c r="V2640" s="89" t="s">
        <v>272</v>
      </c>
      <c r="W2640" s="89" t="s">
        <v>157</v>
      </c>
      <c r="X2640" s="106" t="s">
        <v>297</v>
      </c>
      <c r="Y2640" s="107" t="s">
        <v>12</v>
      </c>
      <c r="Z2640" s="67">
        <f>IF(База_КР_КК[[#This Row],[Таб.номер резервиста]]="-","-",IF(OR(База_КР_КК[[#This Row],[Уровень КК]]=2,База_КР_КК[[#This Row],[Уровень КК]]=3),IF(COUNTIFS($U$2:$U2640,$U2640,$F$2:$F2640,$F2640)=1,1,0),IF(COUNTIFS($U$2:$U2640,$U2640,$L$2:$L2640,$L2640)=1,1,0)))</f>
        <v>0</v>
      </c>
      <c r="AA26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0" s="106"/>
      <c r="AC2640" s="51"/>
      <c r="AD2640" s="106" t="s">
        <v>13</v>
      </c>
      <c r="AE2640" s="38" t="s">
        <v>372</v>
      </c>
    </row>
    <row r="2641" spans="1:31" ht="18" customHeight="1" x14ac:dyDescent="0.25">
      <c r="A26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1" s="79">
        <v>4</v>
      </c>
      <c r="C2641" s="23">
        <v>44116</v>
      </c>
      <c r="D2641" s="67">
        <f>IF(COUNTIF($G$2:$G2641,$G2641)=1,1,0)</f>
        <v>0</v>
      </c>
      <c r="E2641" s="67" t="str">
        <f>IFERROR(VLOOKUP(База_КР_КК[[#This Row],[ИД штатной должности (S)]],'уровень защищенности'!$B$7:$F$1095,5,0),"не защищена")</f>
        <v>высокий</v>
      </c>
      <c r="F2641" s="68">
        <v>500130</v>
      </c>
      <c r="G2641" s="74" t="s">
        <v>2818</v>
      </c>
      <c r="H2641" s="181">
        <f>INDEX('Списки данных'!$D$2:$D$1048576,MATCH(База_КР_КК[[#This Row],[Структурное подразделение]],'Списки данных'!$C$2:$C$1048576,0))</f>
        <v>4</v>
      </c>
      <c r="I2641" s="80" t="s">
        <v>157</v>
      </c>
      <c r="J2641" s="80" t="s">
        <v>244</v>
      </c>
      <c r="K2641" s="80" t="s">
        <v>21</v>
      </c>
      <c r="L2641" s="30" t="s">
        <v>191</v>
      </c>
      <c r="M2641" s="68">
        <v>7</v>
      </c>
      <c r="N2641" s="181" t="str">
        <f t="shared" si="42"/>
        <v>нет</v>
      </c>
      <c r="O2641" s="23"/>
      <c r="P2641" s="23"/>
      <c r="Q2641" s="106"/>
      <c r="R2641" s="37">
        <v>641</v>
      </c>
      <c r="S2641" s="38" t="s">
        <v>1050</v>
      </c>
      <c r="T2641" s="37">
        <v>1736</v>
      </c>
      <c r="U2641" s="39" t="s">
        <v>1959</v>
      </c>
      <c r="V2641" s="89" t="s">
        <v>272</v>
      </c>
      <c r="W2641" s="89" t="s">
        <v>157</v>
      </c>
      <c r="X2641" s="106" t="s">
        <v>296</v>
      </c>
      <c r="Y2641" s="107" t="s">
        <v>12</v>
      </c>
      <c r="Z2641" s="67">
        <f>IF(База_КР_КК[[#This Row],[Таб.номер резервиста]]="-","-",IF(OR(База_КР_КК[[#This Row],[Уровень КК]]=2,База_КР_КК[[#This Row],[Уровень КК]]=3),IF(COUNTIFS($U$2:$U2641,$U2641,$F$2:$F2641,$F2641)=1,1,0),IF(COUNTIFS($U$2:$U2641,$U2641,$L$2:$L2641,$L2641)=1,1,0)))</f>
        <v>1</v>
      </c>
      <c r="AA26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1" s="106"/>
      <c r="AC2641" s="51"/>
      <c r="AD2641" s="106" t="s">
        <v>22</v>
      </c>
      <c r="AE2641" s="38" t="s">
        <v>372</v>
      </c>
    </row>
    <row r="2642" spans="1:31" ht="18" customHeight="1" x14ac:dyDescent="0.25">
      <c r="A26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2" s="79">
        <v>4</v>
      </c>
      <c r="C2642" s="23">
        <v>44116</v>
      </c>
      <c r="D2642" s="67">
        <f>IF(COUNTIF($G$2:$G2642,$G2642)=1,1,0)</f>
        <v>0</v>
      </c>
      <c r="E2642" s="67" t="str">
        <f>IFERROR(VLOOKUP(База_КР_КК[[#This Row],[ИД штатной должности (S)]],'уровень защищенности'!$B$7:$F$1095,5,0),"не защищена")</f>
        <v>высокий</v>
      </c>
      <c r="F2642" s="68">
        <v>500130</v>
      </c>
      <c r="G2642" s="74" t="s">
        <v>2818</v>
      </c>
      <c r="H2642" s="181">
        <f>INDEX('Списки данных'!$D$2:$D$1048576,MATCH(База_КР_КК[[#This Row],[Структурное подразделение]],'Списки данных'!$C$2:$C$1048576,0))</f>
        <v>4</v>
      </c>
      <c r="I2642" s="80" t="s">
        <v>157</v>
      </c>
      <c r="J2642" s="80" t="s">
        <v>244</v>
      </c>
      <c r="K2642" s="80" t="s">
        <v>21</v>
      </c>
      <c r="L2642" s="30" t="s">
        <v>191</v>
      </c>
      <c r="M2642" s="68">
        <v>7</v>
      </c>
      <c r="N2642" s="181" t="str">
        <f t="shared" si="42"/>
        <v>нет</v>
      </c>
      <c r="O2642" s="23"/>
      <c r="P2642" s="23"/>
      <c r="Q2642" s="106"/>
      <c r="R2642" s="37">
        <v>641</v>
      </c>
      <c r="S2642" s="38" t="s">
        <v>1050</v>
      </c>
      <c r="T2642" s="37">
        <v>1737</v>
      </c>
      <c r="U2642" s="39" t="s">
        <v>1826</v>
      </c>
      <c r="V2642" s="89" t="s">
        <v>272</v>
      </c>
      <c r="W2642" s="89" t="s">
        <v>157</v>
      </c>
      <c r="X2642" s="106" t="s">
        <v>297</v>
      </c>
      <c r="Y2642" s="107" t="s">
        <v>12</v>
      </c>
      <c r="Z2642" s="67">
        <f>IF(База_КР_КК[[#This Row],[Таб.номер резервиста]]="-","-",IF(OR(База_КР_КК[[#This Row],[Уровень КК]]=2,База_КР_КК[[#This Row],[Уровень КК]]=3),IF(COUNTIFS($U$2:$U2642,$U2642,$F$2:$F2642,$F2642)=1,1,0),IF(COUNTIFS($U$2:$U2642,$U2642,$L$2:$L2642,$L2642)=1,1,0)))</f>
        <v>0</v>
      </c>
      <c r="AA26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2" s="106"/>
      <c r="AC2642" s="51"/>
      <c r="AD2642" s="106" t="s">
        <v>13</v>
      </c>
      <c r="AE2642" s="38" t="s">
        <v>372</v>
      </c>
    </row>
    <row r="2643" spans="1:31" ht="18" customHeight="1" x14ac:dyDescent="0.25">
      <c r="A26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3" s="79">
        <v>4</v>
      </c>
      <c r="C2643" s="23">
        <v>44116</v>
      </c>
      <c r="D2643" s="67">
        <f>IF(COUNTIF($G$2:$G2643,$G2643)=1,1,0)</f>
        <v>0</v>
      </c>
      <c r="E2643" s="67" t="str">
        <f>IFERROR(VLOOKUP(База_КР_КК[[#This Row],[ИД штатной должности (S)]],'уровень защищенности'!$B$7:$F$1095,5,0),"не защищена")</f>
        <v>высокий</v>
      </c>
      <c r="F2643" s="68">
        <v>500130</v>
      </c>
      <c r="G2643" s="74" t="s">
        <v>2818</v>
      </c>
      <c r="H2643" s="181">
        <f>INDEX('Списки данных'!$D$2:$D$1048576,MATCH(База_КР_КК[[#This Row],[Структурное подразделение]],'Списки данных'!$C$2:$C$1048576,0))</f>
        <v>4</v>
      </c>
      <c r="I2643" s="80" t="s">
        <v>157</v>
      </c>
      <c r="J2643" s="80" t="s">
        <v>244</v>
      </c>
      <c r="K2643" s="80" t="s">
        <v>21</v>
      </c>
      <c r="L2643" s="30" t="s">
        <v>191</v>
      </c>
      <c r="M2643" s="68">
        <v>7</v>
      </c>
      <c r="N2643" s="181" t="str">
        <f t="shared" si="42"/>
        <v>нет</v>
      </c>
      <c r="O2643" s="23"/>
      <c r="P2643" s="23"/>
      <c r="Q2643" s="106"/>
      <c r="R2643" s="37">
        <v>641</v>
      </c>
      <c r="S2643" s="38" t="s">
        <v>1050</v>
      </c>
      <c r="T2643" s="37">
        <v>1738</v>
      </c>
      <c r="U2643" s="39" t="s">
        <v>1565</v>
      </c>
      <c r="V2643" s="89" t="s">
        <v>272</v>
      </c>
      <c r="W2643" s="89" t="s">
        <v>157</v>
      </c>
      <c r="X2643" s="106" t="s">
        <v>297</v>
      </c>
      <c r="Y2643" s="107" t="s">
        <v>12</v>
      </c>
      <c r="Z2643" s="67">
        <f>IF(База_КР_КК[[#This Row],[Таб.номер резервиста]]="-","-",IF(OR(База_КР_КК[[#This Row],[Уровень КК]]=2,База_КР_КК[[#This Row],[Уровень КК]]=3),IF(COUNTIFS($U$2:$U2643,$U2643,$F$2:$F2643,$F2643)=1,1,0),IF(COUNTIFS($U$2:$U2643,$U2643,$L$2:$L2643,$L2643)=1,1,0)))</f>
        <v>0</v>
      </c>
      <c r="AA26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3" s="106"/>
      <c r="AC2643" s="51"/>
      <c r="AD2643" s="106" t="s">
        <v>17</v>
      </c>
      <c r="AE2643" s="38" t="s">
        <v>372</v>
      </c>
    </row>
    <row r="2644" spans="1:31" ht="18" customHeight="1" x14ac:dyDescent="0.25">
      <c r="A26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4" s="79">
        <v>4</v>
      </c>
      <c r="C2644" s="23">
        <v>44116</v>
      </c>
      <c r="D2644" s="67">
        <f>IF(COUNTIF($G$2:$G2644,$G2644)=1,1,0)</f>
        <v>0</v>
      </c>
      <c r="E2644" s="67" t="str">
        <f>IFERROR(VLOOKUP(База_КР_КК[[#This Row],[ИД штатной должности (S)]],'уровень защищенности'!$B$7:$F$1095,5,0),"не защищена")</f>
        <v>высокий</v>
      </c>
      <c r="F2644" s="68">
        <v>500130</v>
      </c>
      <c r="G2644" s="74" t="s">
        <v>2818</v>
      </c>
      <c r="H2644" s="181">
        <f>INDEX('Списки данных'!$D$2:$D$1048576,MATCH(База_КР_КК[[#This Row],[Структурное подразделение]],'Списки данных'!$C$2:$C$1048576,0))</f>
        <v>4</v>
      </c>
      <c r="I2644" s="80" t="s">
        <v>157</v>
      </c>
      <c r="J2644" s="80" t="s">
        <v>244</v>
      </c>
      <c r="K2644" s="80" t="s">
        <v>21</v>
      </c>
      <c r="L2644" s="30" t="s">
        <v>191</v>
      </c>
      <c r="M2644" s="68">
        <v>7</v>
      </c>
      <c r="N2644" s="181" t="str">
        <f t="shared" si="42"/>
        <v>нет</v>
      </c>
      <c r="O2644" s="23"/>
      <c r="P2644" s="23"/>
      <c r="Q2644" s="106"/>
      <c r="R2644" s="37">
        <v>641</v>
      </c>
      <c r="S2644" s="39" t="s">
        <v>1050</v>
      </c>
      <c r="T2644" s="37">
        <v>1727</v>
      </c>
      <c r="U2644" s="38" t="s">
        <v>1892</v>
      </c>
      <c r="V2644" s="89" t="s">
        <v>272</v>
      </c>
      <c r="W2644" s="89" t="s">
        <v>157</v>
      </c>
      <c r="X2644" s="106" t="s">
        <v>295</v>
      </c>
      <c r="Y2644" s="107" t="s">
        <v>12</v>
      </c>
      <c r="Z2644" s="67">
        <f>IF(База_КР_КК[[#This Row],[Таб.номер резервиста]]="-","-",IF(OR(База_КР_КК[[#This Row],[Уровень КК]]=2,База_КР_КК[[#This Row],[Уровень КК]]=3),IF(COUNTIFS($U$2:$U2644,$U2644,$F$2:$F2644,$F2644)=1,1,0),IF(COUNTIFS($U$2:$U2644,$U2644,$L$2:$L2644,$L2644)=1,1,0)))</f>
        <v>0</v>
      </c>
      <c r="AA26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4" s="106"/>
      <c r="AC2644" s="51"/>
      <c r="AD2644" s="106" t="s">
        <v>13</v>
      </c>
      <c r="AE2644" s="38" t="s">
        <v>372</v>
      </c>
    </row>
    <row r="2645" spans="1:31" ht="18" customHeight="1" x14ac:dyDescent="0.25">
      <c r="A26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5" s="79">
        <v>4</v>
      </c>
      <c r="C2645" s="23">
        <v>44116</v>
      </c>
      <c r="D2645" s="67">
        <f>IF(COUNTIF($G$2:$G2645,$G2645)=1,1,0)</f>
        <v>0</v>
      </c>
      <c r="E2645" s="67" t="str">
        <f>IFERROR(VLOOKUP(База_КР_КК[[#This Row],[ИД штатной должности (S)]],'уровень защищенности'!$B$7:$F$1095,5,0),"не защищена")</f>
        <v>высокий</v>
      </c>
      <c r="F2645" s="68">
        <v>500130</v>
      </c>
      <c r="G2645" s="74" t="s">
        <v>2818</v>
      </c>
      <c r="H2645" s="181">
        <f>INDEX('Списки данных'!$D$2:$D$1048576,MATCH(База_КР_КК[[#This Row],[Структурное подразделение]],'Списки данных'!$C$2:$C$1048576,0))</f>
        <v>4</v>
      </c>
      <c r="I2645" s="80" t="s">
        <v>157</v>
      </c>
      <c r="J2645" s="80" t="s">
        <v>244</v>
      </c>
      <c r="K2645" s="80" t="s">
        <v>21</v>
      </c>
      <c r="L2645" s="30" t="s">
        <v>191</v>
      </c>
      <c r="M2645" s="68">
        <v>7</v>
      </c>
      <c r="N2645" s="181" t="str">
        <f t="shared" si="42"/>
        <v>нет</v>
      </c>
      <c r="O2645" s="23"/>
      <c r="P2645" s="23"/>
      <c r="Q2645" s="106"/>
      <c r="R2645" s="37">
        <v>641</v>
      </c>
      <c r="S2645" s="38" t="s">
        <v>1050</v>
      </c>
      <c r="T2645" s="37">
        <v>642</v>
      </c>
      <c r="U2645" s="39" t="s">
        <v>1051</v>
      </c>
      <c r="V2645" s="89" t="s">
        <v>272</v>
      </c>
      <c r="W2645" s="89" t="s">
        <v>157</v>
      </c>
      <c r="X2645" s="106" t="s">
        <v>297</v>
      </c>
      <c r="Y2645" s="107" t="s">
        <v>18</v>
      </c>
      <c r="Z2645" s="67">
        <f>IF(База_КР_КК[[#This Row],[Таб.номер резервиста]]="-","-",IF(OR(База_КР_КК[[#This Row],[Уровень КК]]=2,База_КР_КК[[#This Row],[Уровень КК]]=3),IF(COUNTIFS($U$2:$U2645,$U2645,$F$2:$F2645,$F2645)=1,1,0),IF(COUNTIFS($U$2:$U2645,$U2645,$L$2:$L2645,$L2645)=1,1,0)))</f>
        <v>1</v>
      </c>
      <c r="AA26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5" s="106" t="s">
        <v>24</v>
      </c>
      <c r="AC2645" s="51">
        <v>44672</v>
      </c>
      <c r="AD2645" s="106" t="s">
        <v>15</v>
      </c>
      <c r="AE2645" s="38" t="s">
        <v>373</v>
      </c>
    </row>
    <row r="2646" spans="1:31" ht="18" customHeight="1" x14ac:dyDescent="0.25">
      <c r="A26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6" s="79">
        <v>4</v>
      </c>
      <c r="C2646" s="23">
        <v>44116</v>
      </c>
      <c r="D2646" s="67">
        <f>IF(COUNTIF($G$2:$G2646,$G2646)=1,1,0)</f>
        <v>1</v>
      </c>
      <c r="E2646" s="67" t="str">
        <f>IFERROR(VLOOKUP(База_КР_КК[[#This Row],[ИД штатной должности (S)]],'уровень защищенности'!$B$7:$F$1095,5,0),"не защищена")</f>
        <v>высокий</v>
      </c>
      <c r="F2646" s="68">
        <v>500130</v>
      </c>
      <c r="G2646" s="74" t="s">
        <v>2819</v>
      </c>
      <c r="H2646" s="181">
        <f>INDEX('Списки данных'!$D$2:$D$1048576,MATCH(База_КР_КК[[#This Row],[Структурное подразделение]],'Списки данных'!$C$2:$C$1048576,0))</f>
        <v>4</v>
      </c>
      <c r="I2646" s="80" t="s">
        <v>157</v>
      </c>
      <c r="J2646" s="80" t="s">
        <v>244</v>
      </c>
      <c r="K2646" s="80" t="s">
        <v>21</v>
      </c>
      <c r="L2646" s="30" t="s">
        <v>191</v>
      </c>
      <c r="M2646" s="68">
        <v>7</v>
      </c>
      <c r="N2646" s="181" t="str">
        <f t="shared" si="42"/>
        <v>да</v>
      </c>
      <c r="O2646" s="23">
        <v>44672</v>
      </c>
      <c r="P2646" s="23">
        <v>44672</v>
      </c>
      <c r="Q2646" s="106" t="s">
        <v>66</v>
      </c>
      <c r="R2646" s="37">
        <v>642</v>
      </c>
      <c r="S2646" s="39" t="s">
        <v>1051</v>
      </c>
      <c r="T2646" s="37">
        <v>1735</v>
      </c>
      <c r="U2646" s="39" t="s">
        <v>1660</v>
      </c>
      <c r="V2646" s="89" t="s">
        <v>272</v>
      </c>
      <c r="W2646" s="89" t="s">
        <v>157</v>
      </c>
      <c r="X2646" s="106" t="s">
        <v>297</v>
      </c>
      <c r="Y2646" s="107" t="s">
        <v>12</v>
      </c>
      <c r="Z2646" s="67">
        <f>IF(База_КР_КК[[#This Row],[Таб.номер резервиста]]="-","-",IF(OR(База_КР_КК[[#This Row],[Уровень КК]]=2,База_КР_КК[[#This Row],[Уровень КК]]=3),IF(COUNTIFS($U$2:$U2646,$U2646,$F$2:$F2646,$F2646)=1,1,0),IF(COUNTIFS($U$2:$U2646,$U2646,$L$2:$L2646,$L2646)=1,1,0)))</f>
        <v>0</v>
      </c>
      <c r="AA26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6" s="106"/>
      <c r="AC2646" s="51"/>
      <c r="AD2646" s="106" t="s">
        <v>13</v>
      </c>
      <c r="AE2646" s="38" t="s">
        <v>372</v>
      </c>
    </row>
    <row r="2647" spans="1:31" ht="18" customHeight="1" x14ac:dyDescent="0.25">
      <c r="A26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7" s="79">
        <v>4</v>
      </c>
      <c r="C2647" s="23">
        <v>44116</v>
      </c>
      <c r="D2647" s="67">
        <f>IF(COUNTIF($G$2:$G2647,$G2647)=1,1,0)</f>
        <v>0</v>
      </c>
      <c r="E2647" s="67" t="str">
        <f>IFERROR(VLOOKUP(База_КР_КК[[#This Row],[ИД штатной должности (S)]],'уровень защищенности'!$B$7:$F$1095,5,0),"не защищена")</f>
        <v>высокий</v>
      </c>
      <c r="F2647" s="68">
        <v>500130</v>
      </c>
      <c r="G2647" s="74" t="s">
        <v>2819</v>
      </c>
      <c r="H2647" s="181">
        <f>INDEX('Списки данных'!$D$2:$D$1048576,MATCH(База_КР_КК[[#This Row],[Структурное подразделение]],'Списки данных'!$C$2:$C$1048576,0))</f>
        <v>4</v>
      </c>
      <c r="I2647" s="80" t="s">
        <v>157</v>
      </c>
      <c r="J2647" s="80" t="s">
        <v>244</v>
      </c>
      <c r="K2647" s="80" t="s">
        <v>21</v>
      </c>
      <c r="L2647" s="30" t="s">
        <v>191</v>
      </c>
      <c r="M2647" s="68">
        <v>7</v>
      </c>
      <c r="N2647" s="181" t="str">
        <f t="shared" si="42"/>
        <v>да</v>
      </c>
      <c r="O2647" s="23">
        <v>44672</v>
      </c>
      <c r="P2647" s="23">
        <v>44672</v>
      </c>
      <c r="Q2647" s="106" t="s">
        <v>66</v>
      </c>
      <c r="R2647" s="37">
        <v>642</v>
      </c>
      <c r="S2647" s="39" t="s">
        <v>1051</v>
      </c>
      <c r="T2647" s="37">
        <v>1736</v>
      </c>
      <c r="U2647" s="39" t="s">
        <v>1959</v>
      </c>
      <c r="V2647" s="89" t="s">
        <v>272</v>
      </c>
      <c r="W2647" s="89" t="s">
        <v>157</v>
      </c>
      <c r="X2647" s="106" t="s">
        <v>296</v>
      </c>
      <c r="Y2647" s="107" t="s">
        <v>12</v>
      </c>
      <c r="Z2647" s="67">
        <f>IF(База_КР_КК[[#This Row],[Таб.номер резервиста]]="-","-",IF(OR(База_КР_КК[[#This Row],[Уровень КК]]=2,База_КР_КК[[#This Row],[Уровень КК]]=3),IF(COUNTIFS($U$2:$U2647,$U2647,$F$2:$F2647,$F2647)=1,1,0),IF(COUNTIFS($U$2:$U2647,$U2647,$L$2:$L2647,$L2647)=1,1,0)))</f>
        <v>0</v>
      </c>
      <c r="AA26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7" s="106"/>
      <c r="AC2647" s="51"/>
      <c r="AD2647" s="106" t="s">
        <v>22</v>
      </c>
      <c r="AE2647" s="38" t="s">
        <v>372</v>
      </c>
    </row>
    <row r="2648" spans="1:31" ht="18" customHeight="1" x14ac:dyDescent="0.25">
      <c r="A26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8" s="79">
        <v>4</v>
      </c>
      <c r="C2648" s="23">
        <v>44116</v>
      </c>
      <c r="D2648" s="67">
        <f>IF(COUNTIF($G$2:$G2648,$G2648)=1,1,0)</f>
        <v>0</v>
      </c>
      <c r="E2648" s="67" t="str">
        <f>IFERROR(VLOOKUP(База_КР_КК[[#This Row],[ИД штатной должности (S)]],'уровень защищенности'!$B$7:$F$1095,5,0),"не защищена")</f>
        <v>высокий</v>
      </c>
      <c r="F2648" s="68">
        <v>500130</v>
      </c>
      <c r="G2648" s="74" t="s">
        <v>2819</v>
      </c>
      <c r="H2648" s="181">
        <f>INDEX('Списки данных'!$D$2:$D$1048576,MATCH(База_КР_КК[[#This Row],[Структурное подразделение]],'Списки данных'!$C$2:$C$1048576,0))</f>
        <v>4</v>
      </c>
      <c r="I2648" s="80" t="s">
        <v>157</v>
      </c>
      <c r="J2648" s="80" t="s">
        <v>244</v>
      </c>
      <c r="K2648" s="80" t="s">
        <v>21</v>
      </c>
      <c r="L2648" s="30" t="s">
        <v>191</v>
      </c>
      <c r="M2648" s="68">
        <v>7</v>
      </c>
      <c r="N2648" s="181" t="str">
        <f t="shared" si="42"/>
        <v>да</v>
      </c>
      <c r="O2648" s="23">
        <v>44672</v>
      </c>
      <c r="P2648" s="23">
        <v>44672</v>
      </c>
      <c r="Q2648" s="106" t="s">
        <v>66</v>
      </c>
      <c r="R2648" s="37">
        <v>642</v>
      </c>
      <c r="S2648" s="39" t="s">
        <v>1051</v>
      </c>
      <c r="T2648" s="37">
        <v>1737</v>
      </c>
      <c r="U2648" s="39" t="s">
        <v>1826</v>
      </c>
      <c r="V2648" s="89" t="s">
        <v>272</v>
      </c>
      <c r="W2648" s="89" t="s">
        <v>157</v>
      </c>
      <c r="X2648" s="106" t="s">
        <v>297</v>
      </c>
      <c r="Y2648" s="107" t="s">
        <v>12</v>
      </c>
      <c r="Z2648" s="67">
        <f>IF(База_КР_КК[[#This Row],[Таб.номер резервиста]]="-","-",IF(OR(База_КР_КК[[#This Row],[Уровень КК]]=2,База_КР_КК[[#This Row],[Уровень КК]]=3),IF(COUNTIFS($U$2:$U2648,$U2648,$F$2:$F2648,$F2648)=1,1,0),IF(COUNTIFS($U$2:$U2648,$U2648,$L$2:$L2648,$L2648)=1,1,0)))</f>
        <v>0</v>
      </c>
      <c r="AA26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8" s="106"/>
      <c r="AC2648" s="51"/>
      <c r="AD2648" s="106" t="s">
        <v>13</v>
      </c>
      <c r="AE2648" s="38" t="s">
        <v>372</v>
      </c>
    </row>
    <row r="2649" spans="1:31" ht="18" customHeight="1" x14ac:dyDescent="0.25">
      <c r="A26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49" s="79">
        <v>4</v>
      </c>
      <c r="C2649" s="23">
        <v>44116</v>
      </c>
      <c r="D2649" s="67">
        <f>IF(COUNTIF($G$2:$G2649,$G2649)=1,1,0)</f>
        <v>0</v>
      </c>
      <c r="E2649" s="67" t="str">
        <f>IFERROR(VLOOKUP(База_КР_КК[[#This Row],[ИД штатной должности (S)]],'уровень защищенности'!$B$7:$F$1095,5,0),"не защищена")</f>
        <v>высокий</v>
      </c>
      <c r="F2649" s="68">
        <v>500130</v>
      </c>
      <c r="G2649" s="74" t="s">
        <v>2819</v>
      </c>
      <c r="H2649" s="181">
        <f>INDEX('Списки данных'!$D$2:$D$1048576,MATCH(База_КР_КК[[#This Row],[Структурное подразделение]],'Списки данных'!$C$2:$C$1048576,0))</f>
        <v>4</v>
      </c>
      <c r="I2649" s="80" t="s">
        <v>157</v>
      </c>
      <c r="J2649" s="80" t="s">
        <v>244</v>
      </c>
      <c r="K2649" s="80" t="s">
        <v>21</v>
      </c>
      <c r="L2649" s="30" t="s">
        <v>191</v>
      </c>
      <c r="M2649" s="68">
        <v>7</v>
      </c>
      <c r="N2649" s="181" t="str">
        <f t="shared" si="42"/>
        <v>да</v>
      </c>
      <c r="O2649" s="23">
        <v>44672</v>
      </c>
      <c r="P2649" s="23">
        <v>44672</v>
      </c>
      <c r="Q2649" s="106" t="s">
        <v>66</v>
      </c>
      <c r="R2649" s="37">
        <v>642</v>
      </c>
      <c r="S2649" s="39" t="s">
        <v>1051</v>
      </c>
      <c r="T2649" s="37">
        <v>1738</v>
      </c>
      <c r="U2649" s="39" t="s">
        <v>1565</v>
      </c>
      <c r="V2649" s="89" t="s">
        <v>272</v>
      </c>
      <c r="W2649" s="89" t="s">
        <v>157</v>
      </c>
      <c r="X2649" s="106" t="s">
        <v>297</v>
      </c>
      <c r="Y2649" s="107" t="s">
        <v>12</v>
      </c>
      <c r="Z2649" s="67">
        <f>IF(База_КР_КК[[#This Row],[Таб.номер резервиста]]="-","-",IF(OR(База_КР_КК[[#This Row],[Уровень КК]]=2,База_КР_КК[[#This Row],[Уровень КК]]=3),IF(COUNTIFS($U$2:$U2649,$U2649,$F$2:$F2649,$F2649)=1,1,0),IF(COUNTIFS($U$2:$U2649,$U2649,$L$2:$L2649,$L2649)=1,1,0)))</f>
        <v>0</v>
      </c>
      <c r="AA26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49" s="106"/>
      <c r="AC2649" s="51"/>
      <c r="AD2649" s="106" t="s">
        <v>17</v>
      </c>
      <c r="AE2649" s="38" t="s">
        <v>372</v>
      </c>
    </row>
    <row r="2650" spans="1:31" ht="18" customHeight="1" x14ac:dyDescent="0.25">
      <c r="A26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0" s="79">
        <v>4</v>
      </c>
      <c r="C2650" s="23">
        <v>44116</v>
      </c>
      <c r="D2650" s="67">
        <f>IF(COUNTIF($G$2:$G2650,$G2650)=1,1,0)</f>
        <v>0</v>
      </c>
      <c r="E2650" s="67" t="str">
        <f>IFERROR(VLOOKUP(База_КР_КК[[#This Row],[ИД штатной должности (S)]],'уровень защищенности'!$B$7:$F$1095,5,0),"не защищена")</f>
        <v>высокий</v>
      </c>
      <c r="F2650" s="68">
        <v>500130</v>
      </c>
      <c r="G2650" s="74" t="s">
        <v>2819</v>
      </c>
      <c r="H2650" s="181">
        <f>INDEX('Списки данных'!$D$2:$D$1048576,MATCH(База_КР_КК[[#This Row],[Структурное подразделение]],'Списки данных'!$C$2:$C$1048576,0))</f>
        <v>4</v>
      </c>
      <c r="I2650" s="80" t="s">
        <v>157</v>
      </c>
      <c r="J2650" s="80" t="s">
        <v>244</v>
      </c>
      <c r="K2650" s="80" t="s">
        <v>21</v>
      </c>
      <c r="L2650" s="30" t="s">
        <v>191</v>
      </c>
      <c r="M2650" s="68">
        <v>7</v>
      </c>
      <c r="N2650" s="181" t="str">
        <f t="shared" si="42"/>
        <v>да</v>
      </c>
      <c r="O2650" s="23">
        <v>44672</v>
      </c>
      <c r="P2650" s="23">
        <v>44672</v>
      </c>
      <c r="Q2650" s="106" t="s">
        <v>66</v>
      </c>
      <c r="R2650" s="37">
        <v>642</v>
      </c>
      <c r="S2650" s="39" t="s">
        <v>1051</v>
      </c>
      <c r="T2650" s="37">
        <v>1727</v>
      </c>
      <c r="U2650" s="38" t="s">
        <v>1892</v>
      </c>
      <c r="V2650" s="89" t="s">
        <v>272</v>
      </c>
      <c r="W2650" s="89" t="s">
        <v>157</v>
      </c>
      <c r="X2650" s="106" t="s">
        <v>295</v>
      </c>
      <c r="Y2650" s="107" t="s">
        <v>12</v>
      </c>
      <c r="Z2650" s="67">
        <f>IF(База_КР_КК[[#This Row],[Таб.номер резервиста]]="-","-",IF(OR(База_КР_КК[[#This Row],[Уровень КК]]=2,База_КР_КК[[#This Row],[Уровень КК]]=3),IF(COUNTIFS($U$2:$U2650,$U2650,$F$2:$F2650,$F2650)=1,1,0),IF(COUNTIFS($U$2:$U2650,$U2650,$L$2:$L2650,$L2650)=1,1,0)))</f>
        <v>0</v>
      </c>
      <c r="AA26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0" s="106"/>
      <c r="AC2650" s="51"/>
      <c r="AD2650" s="106" t="s">
        <v>13</v>
      </c>
      <c r="AE2650" s="38" t="s">
        <v>372</v>
      </c>
    </row>
    <row r="2651" spans="1:31" ht="18" customHeight="1" x14ac:dyDescent="0.25">
      <c r="A26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1" s="79">
        <v>4</v>
      </c>
      <c r="C2651" s="23">
        <v>44116</v>
      </c>
      <c r="D2651" s="67">
        <f>IF(COUNTIF($G$2:$G2651,$G2651)=1,1,0)</f>
        <v>0</v>
      </c>
      <c r="E2651" s="67" t="str">
        <f>IFERROR(VLOOKUP(База_КР_КК[[#This Row],[ИД штатной должности (S)]],'уровень защищенности'!$B$7:$F$1095,5,0),"не защищена")</f>
        <v>высокий</v>
      </c>
      <c r="F2651" s="68">
        <v>500130</v>
      </c>
      <c r="G2651" s="74" t="s">
        <v>2819</v>
      </c>
      <c r="H2651" s="181">
        <f>INDEX('Списки данных'!$D$2:$D$1048576,MATCH(База_КР_КК[[#This Row],[Структурное подразделение]],'Списки данных'!$C$2:$C$1048576,0))</f>
        <v>4</v>
      </c>
      <c r="I2651" s="80" t="s">
        <v>157</v>
      </c>
      <c r="J2651" s="80" t="s">
        <v>244</v>
      </c>
      <c r="K2651" s="80" t="s">
        <v>21</v>
      </c>
      <c r="L2651" s="30" t="s">
        <v>191</v>
      </c>
      <c r="M2651" s="68">
        <v>7</v>
      </c>
      <c r="N2651" s="181" t="str">
        <f t="shared" si="42"/>
        <v>да</v>
      </c>
      <c r="O2651" s="23">
        <v>44672</v>
      </c>
      <c r="P2651" s="23">
        <v>44672</v>
      </c>
      <c r="Q2651" s="106" t="s">
        <v>66</v>
      </c>
      <c r="R2651" s="37">
        <v>642</v>
      </c>
      <c r="S2651" s="39" t="s">
        <v>1051</v>
      </c>
      <c r="T2651" s="37">
        <v>642</v>
      </c>
      <c r="U2651" s="39" t="s">
        <v>1051</v>
      </c>
      <c r="V2651" s="89" t="s">
        <v>272</v>
      </c>
      <c r="W2651" s="89" t="s">
        <v>157</v>
      </c>
      <c r="X2651" s="106" t="s">
        <v>297</v>
      </c>
      <c r="Y2651" s="107" t="s">
        <v>14</v>
      </c>
      <c r="Z2651" s="67">
        <f>IF(База_КР_КК[[#This Row],[Таб.номер резервиста]]="-","-",IF(OR(База_КР_КК[[#This Row],[Уровень КК]]=2,База_КР_КК[[#This Row],[Уровень КК]]=3),IF(COUNTIFS($U$2:$U2651,$U2651,$F$2:$F2651,$F2651)=1,1,0),IF(COUNTIFS($U$2:$U2651,$U2651,$L$2:$L2651,$L2651)=1,1,0)))</f>
        <v>0</v>
      </c>
      <c r="AA26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651" s="106" t="s">
        <v>24</v>
      </c>
      <c r="AC2651" s="51">
        <v>44672</v>
      </c>
      <c r="AD2651" s="106" t="s">
        <v>15</v>
      </c>
      <c r="AE2651" s="38" t="s">
        <v>373</v>
      </c>
    </row>
    <row r="2652" spans="1:31" ht="18" customHeight="1" x14ac:dyDescent="0.25">
      <c r="A26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2" s="79">
        <v>4</v>
      </c>
      <c r="C2652" s="23">
        <v>44116</v>
      </c>
      <c r="D2652" s="67">
        <f>IF(COUNTIF($G$2:$G2652,$G2652)=1,1,0)</f>
        <v>1</v>
      </c>
      <c r="E2652" s="67" t="str">
        <f>IFERROR(VLOOKUP(База_КР_КК[[#This Row],[ИД штатной должности (S)]],'уровень защищенности'!$B$7:$F$1095,5,0),"не защищена")</f>
        <v>высокий</v>
      </c>
      <c r="F2652" s="68">
        <v>500130</v>
      </c>
      <c r="G2652" s="74" t="s">
        <v>2820</v>
      </c>
      <c r="H2652" s="181">
        <f>INDEX('Списки данных'!$D$2:$D$1048576,MATCH(База_КР_КК[[#This Row],[Структурное подразделение]],'Списки данных'!$C$2:$C$1048576,0))</f>
        <v>4</v>
      </c>
      <c r="I2652" s="80" t="s">
        <v>157</v>
      </c>
      <c r="J2652" s="80" t="s">
        <v>244</v>
      </c>
      <c r="K2652" s="80" t="s">
        <v>21</v>
      </c>
      <c r="L2652" s="30" t="s">
        <v>191</v>
      </c>
      <c r="M2652" s="68">
        <v>7</v>
      </c>
      <c r="N2652" s="181" t="str">
        <f t="shared" si="42"/>
        <v>нет</v>
      </c>
      <c r="O2652" s="23"/>
      <c r="P2652" s="23"/>
      <c r="Q2652" s="106"/>
      <c r="R2652" s="37">
        <v>643</v>
      </c>
      <c r="S2652" s="38" t="s">
        <v>1052</v>
      </c>
      <c r="T2652" s="37">
        <v>1735</v>
      </c>
      <c r="U2652" s="39" t="s">
        <v>1660</v>
      </c>
      <c r="V2652" s="89" t="s">
        <v>272</v>
      </c>
      <c r="W2652" s="89" t="s">
        <v>157</v>
      </c>
      <c r="X2652" s="106" t="s">
        <v>297</v>
      </c>
      <c r="Y2652" s="107" t="s">
        <v>12</v>
      </c>
      <c r="Z2652" s="67">
        <f>IF(База_КР_КК[[#This Row],[Таб.номер резервиста]]="-","-",IF(OR(База_КР_КК[[#This Row],[Уровень КК]]=2,База_КР_КК[[#This Row],[Уровень КК]]=3),IF(COUNTIFS($U$2:$U2652,$U2652,$F$2:$F2652,$F2652)=1,1,0),IF(COUNTIFS($U$2:$U2652,$U2652,$L$2:$L2652,$L2652)=1,1,0)))</f>
        <v>0</v>
      </c>
      <c r="AA26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2" s="106"/>
      <c r="AC2652" s="51"/>
      <c r="AD2652" s="106" t="s">
        <v>13</v>
      </c>
      <c r="AE2652" s="38" t="s">
        <v>372</v>
      </c>
    </row>
    <row r="2653" spans="1:31" ht="18" customHeight="1" x14ac:dyDescent="0.25">
      <c r="A26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3" s="79">
        <v>4</v>
      </c>
      <c r="C2653" s="23">
        <v>44116</v>
      </c>
      <c r="D2653" s="67">
        <f>IF(COUNTIF($G$2:$G2653,$G2653)=1,1,0)</f>
        <v>0</v>
      </c>
      <c r="E2653" s="67" t="str">
        <f>IFERROR(VLOOKUP(База_КР_КК[[#This Row],[ИД штатной должности (S)]],'уровень защищенности'!$B$7:$F$1095,5,0),"не защищена")</f>
        <v>высокий</v>
      </c>
      <c r="F2653" s="68">
        <v>500130</v>
      </c>
      <c r="G2653" s="74" t="s">
        <v>2820</v>
      </c>
      <c r="H2653" s="181">
        <f>INDEX('Списки данных'!$D$2:$D$1048576,MATCH(База_КР_КК[[#This Row],[Структурное подразделение]],'Списки данных'!$C$2:$C$1048576,0))</f>
        <v>4</v>
      </c>
      <c r="I2653" s="80" t="s">
        <v>157</v>
      </c>
      <c r="J2653" s="80" t="s">
        <v>244</v>
      </c>
      <c r="K2653" s="80" t="s">
        <v>21</v>
      </c>
      <c r="L2653" s="30" t="s">
        <v>191</v>
      </c>
      <c r="M2653" s="68">
        <v>7</v>
      </c>
      <c r="N2653" s="181" t="str">
        <f t="shared" si="42"/>
        <v>нет</v>
      </c>
      <c r="O2653" s="23"/>
      <c r="P2653" s="23"/>
      <c r="Q2653" s="106"/>
      <c r="R2653" s="37">
        <v>643</v>
      </c>
      <c r="S2653" s="38" t="s">
        <v>1052</v>
      </c>
      <c r="T2653" s="37">
        <v>1736</v>
      </c>
      <c r="U2653" s="39" t="s">
        <v>1959</v>
      </c>
      <c r="V2653" s="89" t="s">
        <v>272</v>
      </c>
      <c r="W2653" s="89" t="s">
        <v>157</v>
      </c>
      <c r="X2653" s="106" t="s">
        <v>296</v>
      </c>
      <c r="Y2653" s="107" t="s">
        <v>12</v>
      </c>
      <c r="Z2653" s="67">
        <f>IF(База_КР_КК[[#This Row],[Таб.номер резервиста]]="-","-",IF(OR(База_КР_КК[[#This Row],[Уровень КК]]=2,База_КР_КК[[#This Row],[Уровень КК]]=3),IF(COUNTIFS($U$2:$U2653,$U2653,$F$2:$F2653,$F2653)=1,1,0),IF(COUNTIFS($U$2:$U2653,$U2653,$L$2:$L2653,$L2653)=1,1,0)))</f>
        <v>0</v>
      </c>
      <c r="AA26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3" s="106"/>
      <c r="AC2653" s="51"/>
      <c r="AD2653" s="106" t="s">
        <v>22</v>
      </c>
      <c r="AE2653" s="38" t="s">
        <v>372</v>
      </c>
    </row>
    <row r="2654" spans="1:31" ht="18" customHeight="1" x14ac:dyDescent="0.25">
      <c r="A26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4" s="79">
        <v>4</v>
      </c>
      <c r="C2654" s="23">
        <v>44116</v>
      </c>
      <c r="D2654" s="67">
        <f>IF(COUNTIF($G$2:$G2654,$G2654)=1,1,0)</f>
        <v>0</v>
      </c>
      <c r="E2654" s="67" t="str">
        <f>IFERROR(VLOOKUP(База_КР_КК[[#This Row],[ИД штатной должности (S)]],'уровень защищенности'!$B$7:$F$1095,5,0),"не защищена")</f>
        <v>высокий</v>
      </c>
      <c r="F2654" s="68">
        <v>500130</v>
      </c>
      <c r="G2654" s="74" t="s">
        <v>2820</v>
      </c>
      <c r="H2654" s="181">
        <f>INDEX('Списки данных'!$D$2:$D$1048576,MATCH(База_КР_КК[[#This Row],[Структурное подразделение]],'Списки данных'!$C$2:$C$1048576,0))</f>
        <v>4</v>
      </c>
      <c r="I2654" s="80" t="s">
        <v>157</v>
      </c>
      <c r="J2654" s="80" t="s">
        <v>244</v>
      </c>
      <c r="K2654" s="80" t="s">
        <v>21</v>
      </c>
      <c r="L2654" s="30" t="s">
        <v>191</v>
      </c>
      <c r="M2654" s="68">
        <v>7</v>
      </c>
      <c r="N2654" s="181" t="str">
        <f t="shared" si="42"/>
        <v>нет</v>
      </c>
      <c r="O2654" s="23"/>
      <c r="P2654" s="23"/>
      <c r="Q2654" s="106"/>
      <c r="R2654" s="37">
        <v>643</v>
      </c>
      <c r="S2654" s="38" t="s">
        <v>1052</v>
      </c>
      <c r="T2654" s="37">
        <v>1737</v>
      </c>
      <c r="U2654" s="39" t="s">
        <v>1826</v>
      </c>
      <c r="V2654" s="89" t="s">
        <v>272</v>
      </c>
      <c r="W2654" s="89" t="s">
        <v>157</v>
      </c>
      <c r="X2654" s="106" t="s">
        <v>297</v>
      </c>
      <c r="Y2654" s="107" t="s">
        <v>12</v>
      </c>
      <c r="Z2654" s="67">
        <f>IF(База_КР_КК[[#This Row],[Таб.номер резервиста]]="-","-",IF(OR(База_КР_КК[[#This Row],[Уровень КК]]=2,База_КР_КК[[#This Row],[Уровень КК]]=3),IF(COUNTIFS($U$2:$U2654,$U2654,$F$2:$F2654,$F2654)=1,1,0),IF(COUNTIFS($U$2:$U2654,$U2654,$L$2:$L2654,$L2654)=1,1,0)))</f>
        <v>0</v>
      </c>
      <c r="AA26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4" s="106"/>
      <c r="AC2654" s="51"/>
      <c r="AD2654" s="106" t="s">
        <v>13</v>
      </c>
      <c r="AE2654" s="38" t="s">
        <v>372</v>
      </c>
    </row>
    <row r="2655" spans="1:31" ht="18" customHeight="1" x14ac:dyDescent="0.25">
      <c r="A26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5" s="79">
        <v>4</v>
      </c>
      <c r="C2655" s="23">
        <v>44116</v>
      </c>
      <c r="D2655" s="67">
        <f>IF(COUNTIF($G$2:$G2655,$G2655)=1,1,0)</f>
        <v>0</v>
      </c>
      <c r="E2655" s="67" t="str">
        <f>IFERROR(VLOOKUP(База_КР_КК[[#This Row],[ИД штатной должности (S)]],'уровень защищенности'!$B$7:$F$1095,5,0),"не защищена")</f>
        <v>высокий</v>
      </c>
      <c r="F2655" s="68">
        <v>500130</v>
      </c>
      <c r="G2655" s="74" t="s">
        <v>2820</v>
      </c>
      <c r="H2655" s="181">
        <f>INDEX('Списки данных'!$D$2:$D$1048576,MATCH(База_КР_КК[[#This Row],[Структурное подразделение]],'Списки данных'!$C$2:$C$1048576,0))</f>
        <v>4</v>
      </c>
      <c r="I2655" s="80" t="s">
        <v>157</v>
      </c>
      <c r="J2655" s="80" t="s">
        <v>244</v>
      </c>
      <c r="K2655" s="80" t="s">
        <v>21</v>
      </c>
      <c r="L2655" s="30" t="s">
        <v>191</v>
      </c>
      <c r="M2655" s="68">
        <v>7</v>
      </c>
      <c r="N2655" s="181" t="str">
        <f t="shared" si="42"/>
        <v>нет</v>
      </c>
      <c r="O2655" s="23"/>
      <c r="P2655" s="23"/>
      <c r="Q2655" s="106"/>
      <c r="R2655" s="37">
        <v>643</v>
      </c>
      <c r="S2655" s="38" t="s">
        <v>1052</v>
      </c>
      <c r="T2655" s="37">
        <v>1738</v>
      </c>
      <c r="U2655" s="39" t="s">
        <v>1565</v>
      </c>
      <c r="V2655" s="89" t="s">
        <v>272</v>
      </c>
      <c r="W2655" s="89" t="s">
        <v>157</v>
      </c>
      <c r="X2655" s="106" t="s">
        <v>297</v>
      </c>
      <c r="Y2655" s="107" t="s">
        <v>12</v>
      </c>
      <c r="Z2655" s="67">
        <f>IF(База_КР_КК[[#This Row],[Таб.номер резервиста]]="-","-",IF(OR(База_КР_КК[[#This Row],[Уровень КК]]=2,База_КР_КК[[#This Row],[Уровень КК]]=3),IF(COUNTIFS($U$2:$U2655,$U2655,$F$2:$F2655,$F2655)=1,1,0),IF(COUNTIFS($U$2:$U2655,$U2655,$L$2:$L2655,$L2655)=1,1,0)))</f>
        <v>0</v>
      </c>
      <c r="AA26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5" s="106"/>
      <c r="AC2655" s="51"/>
      <c r="AD2655" s="106" t="s">
        <v>17</v>
      </c>
      <c r="AE2655" s="38" t="s">
        <v>372</v>
      </c>
    </row>
    <row r="2656" spans="1:31" ht="18" customHeight="1" x14ac:dyDescent="0.25">
      <c r="A26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6" s="79">
        <v>4</v>
      </c>
      <c r="C2656" s="23">
        <v>44116</v>
      </c>
      <c r="D2656" s="67">
        <f>IF(COUNTIF($G$2:$G2656,$G2656)=1,1,0)</f>
        <v>0</v>
      </c>
      <c r="E2656" s="67" t="str">
        <f>IFERROR(VLOOKUP(База_КР_КК[[#This Row],[ИД штатной должности (S)]],'уровень защищенности'!$B$7:$F$1095,5,0),"не защищена")</f>
        <v>высокий</v>
      </c>
      <c r="F2656" s="68">
        <v>500130</v>
      </c>
      <c r="G2656" s="74" t="s">
        <v>2820</v>
      </c>
      <c r="H2656" s="181">
        <f>INDEX('Списки данных'!$D$2:$D$1048576,MATCH(База_КР_КК[[#This Row],[Структурное подразделение]],'Списки данных'!$C$2:$C$1048576,0))</f>
        <v>4</v>
      </c>
      <c r="I2656" s="80" t="s">
        <v>157</v>
      </c>
      <c r="J2656" s="80" t="s">
        <v>244</v>
      </c>
      <c r="K2656" s="80" t="s">
        <v>21</v>
      </c>
      <c r="L2656" s="30" t="s">
        <v>191</v>
      </c>
      <c r="M2656" s="68">
        <v>7</v>
      </c>
      <c r="N2656" s="181" t="str">
        <f t="shared" si="42"/>
        <v>нет</v>
      </c>
      <c r="O2656" s="23"/>
      <c r="P2656" s="23"/>
      <c r="Q2656" s="106"/>
      <c r="R2656" s="37">
        <v>643</v>
      </c>
      <c r="S2656" s="39" t="s">
        <v>1052</v>
      </c>
      <c r="T2656" s="37">
        <v>1727</v>
      </c>
      <c r="U2656" s="38" t="s">
        <v>1892</v>
      </c>
      <c r="V2656" s="89" t="s">
        <v>272</v>
      </c>
      <c r="W2656" s="89" t="s">
        <v>157</v>
      </c>
      <c r="X2656" s="106" t="s">
        <v>295</v>
      </c>
      <c r="Y2656" s="107" t="s">
        <v>12</v>
      </c>
      <c r="Z2656" s="67">
        <f>IF(База_КР_КК[[#This Row],[Таб.номер резервиста]]="-","-",IF(OR(База_КР_КК[[#This Row],[Уровень КК]]=2,База_КР_КК[[#This Row],[Уровень КК]]=3),IF(COUNTIFS($U$2:$U2656,$U2656,$F$2:$F2656,$F2656)=1,1,0),IF(COUNTIFS($U$2:$U2656,$U2656,$L$2:$L2656,$L2656)=1,1,0)))</f>
        <v>0</v>
      </c>
      <c r="AA26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6" s="106"/>
      <c r="AC2656" s="51"/>
      <c r="AD2656" s="106" t="s">
        <v>13</v>
      </c>
      <c r="AE2656" s="38" t="s">
        <v>372</v>
      </c>
    </row>
    <row r="2657" spans="1:31" ht="18" customHeight="1" x14ac:dyDescent="0.25">
      <c r="A26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7" s="79">
        <v>4</v>
      </c>
      <c r="C2657" s="23">
        <v>44116</v>
      </c>
      <c r="D2657" s="67">
        <f>IF(COUNTIF($G$2:$G2657,$G2657)=1,1,0)</f>
        <v>0</v>
      </c>
      <c r="E2657" s="67" t="str">
        <f>IFERROR(VLOOKUP(База_КР_КК[[#This Row],[ИД штатной должности (S)]],'уровень защищенности'!$B$7:$F$1095,5,0),"не защищена")</f>
        <v>высокий</v>
      </c>
      <c r="F2657" s="68">
        <v>500130</v>
      </c>
      <c r="G2657" s="74" t="s">
        <v>2820</v>
      </c>
      <c r="H2657" s="181">
        <f>INDEX('Списки данных'!$D$2:$D$1048576,MATCH(База_КР_КК[[#This Row],[Структурное подразделение]],'Списки данных'!$C$2:$C$1048576,0))</f>
        <v>4</v>
      </c>
      <c r="I2657" s="80" t="s">
        <v>157</v>
      </c>
      <c r="J2657" s="80" t="s">
        <v>244</v>
      </c>
      <c r="K2657" s="80" t="s">
        <v>21</v>
      </c>
      <c r="L2657" s="30" t="s">
        <v>191</v>
      </c>
      <c r="M2657" s="68">
        <v>7</v>
      </c>
      <c r="N2657" s="181" t="str">
        <f t="shared" si="42"/>
        <v>нет</v>
      </c>
      <c r="O2657" s="23"/>
      <c r="P2657" s="23"/>
      <c r="Q2657" s="106"/>
      <c r="R2657" s="37">
        <v>643</v>
      </c>
      <c r="S2657" s="38" t="s">
        <v>1052</v>
      </c>
      <c r="T2657" s="37">
        <v>642</v>
      </c>
      <c r="U2657" s="39" t="s">
        <v>1051</v>
      </c>
      <c r="V2657" s="89" t="s">
        <v>272</v>
      </c>
      <c r="W2657" s="89" t="s">
        <v>157</v>
      </c>
      <c r="X2657" s="106" t="s">
        <v>297</v>
      </c>
      <c r="Y2657" s="107" t="s">
        <v>18</v>
      </c>
      <c r="Z2657" s="67">
        <f>IF(База_КР_КК[[#This Row],[Таб.номер резервиста]]="-","-",IF(OR(База_КР_КК[[#This Row],[Уровень КК]]=2,База_КР_КК[[#This Row],[Уровень КК]]=3),IF(COUNTIFS($U$2:$U2657,$U2657,$F$2:$F2657,$F2657)=1,1,0),IF(COUNTIFS($U$2:$U2657,$U2657,$L$2:$L2657,$L2657)=1,1,0)))</f>
        <v>0</v>
      </c>
      <c r="AA26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7" s="106" t="s">
        <v>24</v>
      </c>
      <c r="AC2657" s="51">
        <v>44672</v>
      </c>
      <c r="AD2657" s="106" t="s">
        <v>15</v>
      </c>
      <c r="AE2657" s="38" t="s">
        <v>373</v>
      </c>
    </row>
    <row r="2658" spans="1:31" ht="18" customHeight="1" x14ac:dyDescent="0.25">
      <c r="A26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8" s="79">
        <v>4</v>
      </c>
      <c r="C2658" s="23">
        <v>44116</v>
      </c>
      <c r="D2658" s="67">
        <f>IF(COUNTIF($G$2:$G2658,$G2658)=1,1,0)</f>
        <v>1</v>
      </c>
      <c r="E2658" s="67" t="str">
        <f>IFERROR(VLOOKUP(База_КР_КК[[#This Row],[ИД штатной должности (S)]],'уровень защищенности'!$B$7:$F$1095,5,0),"не защищена")</f>
        <v>высокий</v>
      </c>
      <c r="F2658" s="68">
        <v>500130</v>
      </c>
      <c r="G2658" s="74" t="s">
        <v>2821</v>
      </c>
      <c r="H2658" s="181">
        <f>INDEX('Списки данных'!$D$2:$D$1048576,MATCH(База_КР_КК[[#This Row],[Структурное подразделение]],'Списки данных'!$C$2:$C$1048576,0))</f>
        <v>4</v>
      </c>
      <c r="I2658" s="80" t="s">
        <v>157</v>
      </c>
      <c r="J2658" s="80" t="s">
        <v>244</v>
      </c>
      <c r="K2658" s="80" t="s">
        <v>21</v>
      </c>
      <c r="L2658" s="30" t="s">
        <v>191</v>
      </c>
      <c r="M2658" s="68">
        <v>7</v>
      </c>
      <c r="N2658" s="181" t="str">
        <f t="shared" si="42"/>
        <v>нет</v>
      </c>
      <c r="O2658" s="23"/>
      <c r="P2658" s="23"/>
      <c r="Q2658" s="106"/>
      <c r="R2658" s="37">
        <v>644</v>
      </c>
      <c r="S2658" s="38" t="s">
        <v>1053</v>
      </c>
      <c r="T2658" s="37">
        <v>1735</v>
      </c>
      <c r="U2658" s="39" t="s">
        <v>1660</v>
      </c>
      <c r="V2658" s="89" t="s">
        <v>272</v>
      </c>
      <c r="W2658" s="89" t="s">
        <v>157</v>
      </c>
      <c r="X2658" s="106" t="s">
        <v>297</v>
      </c>
      <c r="Y2658" s="107" t="s">
        <v>12</v>
      </c>
      <c r="Z2658" s="67">
        <f>IF(База_КР_КК[[#This Row],[Таб.номер резервиста]]="-","-",IF(OR(База_КР_КК[[#This Row],[Уровень КК]]=2,База_КР_КК[[#This Row],[Уровень КК]]=3),IF(COUNTIFS($U$2:$U2658,$U2658,$F$2:$F2658,$F2658)=1,1,0),IF(COUNTIFS($U$2:$U2658,$U2658,$L$2:$L2658,$L2658)=1,1,0)))</f>
        <v>0</v>
      </c>
      <c r="AA26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8" s="106"/>
      <c r="AC2658" s="51"/>
      <c r="AD2658" s="106" t="s">
        <v>13</v>
      </c>
      <c r="AE2658" s="38" t="s">
        <v>372</v>
      </c>
    </row>
    <row r="2659" spans="1:31" ht="18" customHeight="1" x14ac:dyDescent="0.25">
      <c r="A26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59" s="79">
        <v>4</v>
      </c>
      <c r="C2659" s="23">
        <v>44116</v>
      </c>
      <c r="D2659" s="67">
        <f>IF(COUNTIF($G$2:$G2659,$G2659)=1,1,0)</f>
        <v>0</v>
      </c>
      <c r="E2659" s="67" t="str">
        <f>IFERROR(VLOOKUP(База_КР_КК[[#This Row],[ИД штатной должности (S)]],'уровень защищенности'!$B$7:$F$1095,5,0),"не защищена")</f>
        <v>высокий</v>
      </c>
      <c r="F2659" s="68">
        <v>500130</v>
      </c>
      <c r="G2659" s="74" t="s">
        <v>2821</v>
      </c>
      <c r="H2659" s="181">
        <f>INDEX('Списки данных'!$D$2:$D$1048576,MATCH(База_КР_КК[[#This Row],[Структурное подразделение]],'Списки данных'!$C$2:$C$1048576,0))</f>
        <v>4</v>
      </c>
      <c r="I2659" s="80" t="s">
        <v>157</v>
      </c>
      <c r="J2659" s="80" t="s">
        <v>244</v>
      </c>
      <c r="K2659" s="80" t="s">
        <v>21</v>
      </c>
      <c r="L2659" s="30" t="s">
        <v>191</v>
      </c>
      <c r="M2659" s="68">
        <v>7</v>
      </c>
      <c r="N2659" s="181" t="str">
        <f t="shared" si="42"/>
        <v>нет</v>
      </c>
      <c r="O2659" s="23"/>
      <c r="P2659" s="23"/>
      <c r="Q2659" s="106"/>
      <c r="R2659" s="37">
        <v>644</v>
      </c>
      <c r="S2659" s="38" t="s">
        <v>1053</v>
      </c>
      <c r="T2659" s="37">
        <v>1736</v>
      </c>
      <c r="U2659" s="39" t="s">
        <v>1959</v>
      </c>
      <c r="V2659" s="89" t="s">
        <v>272</v>
      </c>
      <c r="W2659" s="89" t="s">
        <v>157</v>
      </c>
      <c r="X2659" s="106" t="s">
        <v>296</v>
      </c>
      <c r="Y2659" s="107" t="s">
        <v>12</v>
      </c>
      <c r="Z2659" s="67">
        <f>IF(База_КР_КК[[#This Row],[Таб.номер резервиста]]="-","-",IF(OR(База_КР_КК[[#This Row],[Уровень КК]]=2,База_КР_КК[[#This Row],[Уровень КК]]=3),IF(COUNTIFS($U$2:$U2659,$U2659,$F$2:$F2659,$F2659)=1,1,0),IF(COUNTIFS($U$2:$U2659,$U2659,$L$2:$L2659,$L2659)=1,1,0)))</f>
        <v>0</v>
      </c>
      <c r="AA26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59" s="106"/>
      <c r="AC2659" s="51"/>
      <c r="AD2659" s="106" t="s">
        <v>22</v>
      </c>
      <c r="AE2659" s="38" t="s">
        <v>372</v>
      </c>
    </row>
    <row r="2660" spans="1:31" ht="18" customHeight="1" x14ac:dyDescent="0.25">
      <c r="A26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0" s="79">
        <v>4</v>
      </c>
      <c r="C2660" s="23">
        <v>44116</v>
      </c>
      <c r="D2660" s="67">
        <f>IF(COUNTIF($G$2:$G2660,$G2660)=1,1,0)</f>
        <v>0</v>
      </c>
      <c r="E2660" s="67" t="str">
        <f>IFERROR(VLOOKUP(База_КР_КК[[#This Row],[ИД штатной должности (S)]],'уровень защищенности'!$B$7:$F$1095,5,0),"не защищена")</f>
        <v>высокий</v>
      </c>
      <c r="F2660" s="68">
        <v>500130</v>
      </c>
      <c r="G2660" s="74" t="s">
        <v>2821</v>
      </c>
      <c r="H2660" s="181">
        <f>INDEX('Списки данных'!$D$2:$D$1048576,MATCH(База_КР_КК[[#This Row],[Структурное подразделение]],'Списки данных'!$C$2:$C$1048576,0))</f>
        <v>4</v>
      </c>
      <c r="I2660" s="80" t="s">
        <v>157</v>
      </c>
      <c r="J2660" s="80" t="s">
        <v>244</v>
      </c>
      <c r="K2660" s="80" t="s">
        <v>21</v>
      </c>
      <c r="L2660" s="30" t="s">
        <v>191</v>
      </c>
      <c r="M2660" s="68">
        <v>7</v>
      </c>
      <c r="N2660" s="181" t="str">
        <f t="shared" si="42"/>
        <v>нет</v>
      </c>
      <c r="O2660" s="23"/>
      <c r="P2660" s="23"/>
      <c r="Q2660" s="106"/>
      <c r="R2660" s="37">
        <v>644</v>
      </c>
      <c r="S2660" s="38" t="s">
        <v>1053</v>
      </c>
      <c r="T2660" s="37">
        <v>1737</v>
      </c>
      <c r="U2660" s="39" t="s">
        <v>1826</v>
      </c>
      <c r="V2660" s="89" t="s">
        <v>272</v>
      </c>
      <c r="W2660" s="89" t="s">
        <v>157</v>
      </c>
      <c r="X2660" s="106" t="s">
        <v>297</v>
      </c>
      <c r="Y2660" s="107" t="s">
        <v>12</v>
      </c>
      <c r="Z2660" s="67">
        <f>IF(База_КР_КК[[#This Row],[Таб.номер резервиста]]="-","-",IF(OR(База_КР_КК[[#This Row],[Уровень КК]]=2,База_КР_КК[[#This Row],[Уровень КК]]=3),IF(COUNTIFS($U$2:$U2660,$U2660,$F$2:$F2660,$F2660)=1,1,0),IF(COUNTIFS($U$2:$U2660,$U2660,$L$2:$L2660,$L2660)=1,1,0)))</f>
        <v>0</v>
      </c>
      <c r="AA26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0" s="106"/>
      <c r="AC2660" s="51"/>
      <c r="AD2660" s="106" t="s">
        <v>13</v>
      </c>
      <c r="AE2660" s="38" t="s">
        <v>372</v>
      </c>
    </row>
    <row r="2661" spans="1:31" ht="18" customHeight="1" x14ac:dyDescent="0.25">
      <c r="A26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1" s="79">
        <v>4</v>
      </c>
      <c r="C2661" s="23">
        <v>44116</v>
      </c>
      <c r="D2661" s="67">
        <f>IF(COUNTIF($G$2:$G2661,$G2661)=1,1,0)</f>
        <v>0</v>
      </c>
      <c r="E2661" s="67" t="str">
        <f>IFERROR(VLOOKUP(База_КР_КК[[#This Row],[ИД штатной должности (S)]],'уровень защищенности'!$B$7:$F$1095,5,0),"не защищена")</f>
        <v>высокий</v>
      </c>
      <c r="F2661" s="68">
        <v>500130</v>
      </c>
      <c r="G2661" s="74" t="s">
        <v>2821</v>
      </c>
      <c r="H2661" s="181">
        <f>INDEX('Списки данных'!$D$2:$D$1048576,MATCH(База_КР_КК[[#This Row],[Структурное подразделение]],'Списки данных'!$C$2:$C$1048576,0))</f>
        <v>4</v>
      </c>
      <c r="I2661" s="80" t="s">
        <v>157</v>
      </c>
      <c r="J2661" s="80" t="s">
        <v>244</v>
      </c>
      <c r="K2661" s="80" t="s">
        <v>21</v>
      </c>
      <c r="L2661" s="30" t="s">
        <v>191</v>
      </c>
      <c r="M2661" s="68">
        <v>7</v>
      </c>
      <c r="N2661" s="181" t="str">
        <f t="shared" si="42"/>
        <v>нет</v>
      </c>
      <c r="O2661" s="23"/>
      <c r="P2661" s="23"/>
      <c r="Q2661" s="106"/>
      <c r="R2661" s="37">
        <v>644</v>
      </c>
      <c r="S2661" s="38" t="s">
        <v>1053</v>
      </c>
      <c r="T2661" s="37">
        <v>1738</v>
      </c>
      <c r="U2661" s="39" t="s">
        <v>1565</v>
      </c>
      <c r="V2661" s="89" t="s">
        <v>272</v>
      </c>
      <c r="W2661" s="89" t="s">
        <v>157</v>
      </c>
      <c r="X2661" s="106" t="s">
        <v>297</v>
      </c>
      <c r="Y2661" s="107" t="s">
        <v>12</v>
      </c>
      <c r="Z2661" s="67">
        <f>IF(База_КР_КК[[#This Row],[Таб.номер резервиста]]="-","-",IF(OR(База_КР_КК[[#This Row],[Уровень КК]]=2,База_КР_КК[[#This Row],[Уровень КК]]=3),IF(COUNTIFS($U$2:$U2661,$U2661,$F$2:$F2661,$F2661)=1,1,0),IF(COUNTIFS($U$2:$U2661,$U2661,$L$2:$L2661,$L2661)=1,1,0)))</f>
        <v>0</v>
      </c>
      <c r="AA26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1" s="106"/>
      <c r="AC2661" s="51"/>
      <c r="AD2661" s="106" t="s">
        <v>17</v>
      </c>
      <c r="AE2661" s="38" t="s">
        <v>372</v>
      </c>
    </row>
    <row r="2662" spans="1:31" ht="18" customHeight="1" x14ac:dyDescent="0.25">
      <c r="A26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2" s="79">
        <v>4</v>
      </c>
      <c r="C2662" s="23">
        <v>44116</v>
      </c>
      <c r="D2662" s="67">
        <f>IF(COUNTIF($G$2:$G2662,$G2662)=1,1,0)</f>
        <v>0</v>
      </c>
      <c r="E2662" s="67" t="str">
        <f>IFERROR(VLOOKUP(База_КР_КК[[#This Row],[ИД штатной должности (S)]],'уровень защищенности'!$B$7:$F$1095,5,0),"не защищена")</f>
        <v>высокий</v>
      </c>
      <c r="F2662" s="68">
        <v>500130</v>
      </c>
      <c r="G2662" s="74" t="s">
        <v>2821</v>
      </c>
      <c r="H2662" s="181">
        <f>INDEX('Списки данных'!$D$2:$D$1048576,MATCH(База_КР_КК[[#This Row],[Структурное подразделение]],'Списки данных'!$C$2:$C$1048576,0))</f>
        <v>4</v>
      </c>
      <c r="I2662" s="80" t="s">
        <v>157</v>
      </c>
      <c r="J2662" s="80" t="s">
        <v>244</v>
      </c>
      <c r="K2662" s="80" t="s">
        <v>21</v>
      </c>
      <c r="L2662" s="30" t="s">
        <v>191</v>
      </c>
      <c r="M2662" s="68">
        <v>7</v>
      </c>
      <c r="N2662" s="181" t="str">
        <f t="shared" si="42"/>
        <v>нет</v>
      </c>
      <c r="O2662" s="23"/>
      <c r="P2662" s="23"/>
      <c r="Q2662" s="106"/>
      <c r="R2662" s="37">
        <v>644</v>
      </c>
      <c r="S2662" s="39" t="s">
        <v>1053</v>
      </c>
      <c r="T2662" s="37">
        <v>1727</v>
      </c>
      <c r="U2662" s="38" t="s">
        <v>1892</v>
      </c>
      <c r="V2662" s="89" t="s">
        <v>272</v>
      </c>
      <c r="W2662" s="89" t="s">
        <v>157</v>
      </c>
      <c r="X2662" s="106" t="s">
        <v>295</v>
      </c>
      <c r="Y2662" s="107" t="s">
        <v>12</v>
      </c>
      <c r="Z2662" s="67">
        <f>IF(База_КР_КК[[#This Row],[Таб.номер резервиста]]="-","-",IF(OR(База_КР_КК[[#This Row],[Уровень КК]]=2,База_КР_КК[[#This Row],[Уровень КК]]=3),IF(COUNTIFS($U$2:$U2662,$U2662,$F$2:$F2662,$F2662)=1,1,0),IF(COUNTIFS($U$2:$U2662,$U2662,$L$2:$L2662,$L2662)=1,1,0)))</f>
        <v>0</v>
      </c>
      <c r="AA26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2" s="106"/>
      <c r="AC2662" s="51"/>
      <c r="AD2662" s="106" t="s">
        <v>13</v>
      </c>
      <c r="AE2662" s="38" t="s">
        <v>372</v>
      </c>
    </row>
    <row r="2663" spans="1:31" ht="18" customHeight="1" x14ac:dyDescent="0.25">
      <c r="A26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3" s="79">
        <v>4</v>
      </c>
      <c r="C2663" s="23">
        <v>44116</v>
      </c>
      <c r="D2663" s="67">
        <f>IF(COUNTIF($G$2:$G2663,$G2663)=1,1,0)</f>
        <v>0</v>
      </c>
      <c r="E2663" s="67" t="str">
        <f>IFERROR(VLOOKUP(База_КР_КК[[#This Row],[ИД штатной должности (S)]],'уровень защищенности'!$B$7:$F$1095,5,0),"не защищена")</f>
        <v>высокий</v>
      </c>
      <c r="F2663" s="68">
        <v>500130</v>
      </c>
      <c r="G2663" s="74" t="s">
        <v>2821</v>
      </c>
      <c r="H2663" s="181">
        <f>INDEX('Списки данных'!$D$2:$D$1048576,MATCH(База_КР_КК[[#This Row],[Структурное подразделение]],'Списки данных'!$C$2:$C$1048576,0))</f>
        <v>4</v>
      </c>
      <c r="I2663" s="80" t="s">
        <v>157</v>
      </c>
      <c r="J2663" s="80" t="s">
        <v>244</v>
      </c>
      <c r="K2663" s="80" t="s">
        <v>21</v>
      </c>
      <c r="L2663" s="30" t="s">
        <v>191</v>
      </c>
      <c r="M2663" s="68">
        <v>7</v>
      </c>
      <c r="N2663" s="181" t="str">
        <f t="shared" si="42"/>
        <v>нет</v>
      </c>
      <c r="O2663" s="23"/>
      <c r="P2663" s="23"/>
      <c r="Q2663" s="106"/>
      <c r="R2663" s="37">
        <v>644</v>
      </c>
      <c r="S2663" s="38" t="s">
        <v>1053</v>
      </c>
      <c r="T2663" s="37">
        <v>642</v>
      </c>
      <c r="U2663" s="39" t="s">
        <v>1051</v>
      </c>
      <c r="V2663" s="89" t="s">
        <v>272</v>
      </c>
      <c r="W2663" s="89" t="s">
        <v>157</v>
      </c>
      <c r="X2663" s="106" t="s">
        <v>297</v>
      </c>
      <c r="Y2663" s="107" t="s">
        <v>18</v>
      </c>
      <c r="Z2663" s="67">
        <f>IF(База_КР_КК[[#This Row],[Таб.номер резервиста]]="-","-",IF(OR(База_КР_КК[[#This Row],[Уровень КК]]=2,База_КР_КК[[#This Row],[Уровень КК]]=3),IF(COUNTIFS($U$2:$U2663,$U2663,$F$2:$F2663,$F2663)=1,1,0),IF(COUNTIFS($U$2:$U2663,$U2663,$L$2:$L2663,$L2663)=1,1,0)))</f>
        <v>0</v>
      </c>
      <c r="AA26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3" s="106" t="s">
        <v>24</v>
      </c>
      <c r="AC2663" s="51">
        <v>44672</v>
      </c>
      <c r="AD2663" s="106" t="s">
        <v>15</v>
      </c>
      <c r="AE2663" s="38" t="s">
        <v>373</v>
      </c>
    </row>
    <row r="2664" spans="1:31" ht="18" customHeight="1" x14ac:dyDescent="0.25">
      <c r="A26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4" s="79">
        <v>4</v>
      </c>
      <c r="C2664" s="23">
        <v>44862</v>
      </c>
      <c r="D2664" s="67">
        <f>IF(COUNTIF($G$2:$G2664,$G2664)=1,1,0)</f>
        <v>1</v>
      </c>
      <c r="E2664" s="67" t="str">
        <f>IFERROR(VLOOKUP(База_КР_КК[[#This Row],[ИД штатной должности (S)]],'уровень защищенности'!$B$7:$F$1095,5,0),"не защищена")</f>
        <v>высокий</v>
      </c>
      <c r="F2664" s="68">
        <v>500131</v>
      </c>
      <c r="G2664" s="74" t="s">
        <v>2822</v>
      </c>
      <c r="H2664" s="181">
        <f>INDEX('Списки данных'!$D$2:$D$1048576,MATCH(База_КР_КК[[#This Row],[Структурное подразделение]],'Списки данных'!$C$2:$C$1048576,0))</f>
        <v>4</v>
      </c>
      <c r="I2664" s="80" t="s">
        <v>157</v>
      </c>
      <c r="J2664" s="80" t="s">
        <v>244</v>
      </c>
      <c r="K2664" s="80" t="s">
        <v>21</v>
      </c>
      <c r="L2664" s="30" t="s">
        <v>192</v>
      </c>
      <c r="M2664" s="68">
        <v>7</v>
      </c>
      <c r="N2664" s="181" t="str">
        <f t="shared" si="42"/>
        <v>нет</v>
      </c>
      <c r="O2664" s="23"/>
      <c r="P2664" s="23"/>
      <c r="Q2664" s="106"/>
      <c r="R2664" s="37">
        <v>645</v>
      </c>
      <c r="S2664" s="38" t="s">
        <v>1054</v>
      </c>
      <c r="T2664" s="37">
        <v>1739</v>
      </c>
      <c r="U2664" s="39" t="s">
        <v>2021</v>
      </c>
      <c r="V2664" s="89" t="s">
        <v>272</v>
      </c>
      <c r="W2664" s="89" t="s">
        <v>157</v>
      </c>
      <c r="X2664" s="106" t="s">
        <v>296</v>
      </c>
      <c r="Y2664" s="107" t="s">
        <v>12</v>
      </c>
      <c r="Z2664" s="67">
        <f>IF(База_КР_КК[[#This Row],[Таб.номер резервиста]]="-","-",IF(OR(База_КР_КК[[#This Row],[Уровень КК]]=2,База_КР_КК[[#This Row],[Уровень КК]]=3),IF(COUNTIFS($U$2:$U2664,$U2664,$F$2:$F2664,$F2664)=1,1,0),IF(COUNTIFS($U$2:$U2664,$U2664,$L$2:$L2664,$L2664)=1,1,0)))</f>
        <v>1</v>
      </c>
      <c r="AA26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4" s="106"/>
      <c r="AC2664" s="51"/>
      <c r="AD2664" s="106" t="s">
        <v>15</v>
      </c>
      <c r="AE2664" s="38" t="s">
        <v>373</v>
      </c>
    </row>
    <row r="2665" spans="1:31" ht="18" customHeight="1" x14ac:dyDescent="0.25">
      <c r="A26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5" s="79">
        <v>4</v>
      </c>
      <c r="C2665" s="23">
        <v>44862</v>
      </c>
      <c r="D2665" s="67">
        <f>IF(COUNTIF($G$2:$G2665,$G2665)=1,1,0)</f>
        <v>0</v>
      </c>
      <c r="E2665" s="67" t="str">
        <f>IFERROR(VLOOKUP(База_КР_КК[[#This Row],[ИД штатной должности (S)]],'уровень защищенности'!$B$7:$F$1095,5,0),"не защищена")</f>
        <v>высокий</v>
      </c>
      <c r="F2665" s="68">
        <v>500131</v>
      </c>
      <c r="G2665" s="74" t="s">
        <v>2822</v>
      </c>
      <c r="H2665" s="181">
        <f>INDEX('Списки данных'!$D$2:$D$1048576,MATCH(База_КР_КК[[#This Row],[Структурное подразделение]],'Списки данных'!$C$2:$C$1048576,0))</f>
        <v>4</v>
      </c>
      <c r="I2665" s="80" t="s">
        <v>157</v>
      </c>
      <c r="J2665" s="80" t="s">
        <v>244</v>
      </c>
      <c r="K2665" s="80" t="s">
        <v>21</v>
      </c>
      <c r="L2665" s="30" t="s">
        <v>192</v>
      </c>
      <c r="M2665" s="68">
        <v>7</v>
      </c>
      <c r="N2665" s="181" t="str">
        <f t="shared" si="42"/>
        <v>нет</v>
      </c>
      <c r="O2665" s="23"/>
      <c r="P2665" s="23"/>
      <c r="Q2665" s="106"/>
      <c r="R2665" s="37">
        <v>645</v>
      </c>
      <c r="S2665" s="39" t="s">
        <v>1054</v>
      </c>
      <c r="T2665" s="37">
        <v>1740</v>
      </c>
      <c r="U2665" s="38" t="s">
        <v>2022</v>
      </c>
      <c r="V2665" s="89" t="s">
        <v>272</v>
      </c>
      <c r="W2665" s="89" t="s">
        <v>157</v>
      </c>
      <c r="X2665" s="106" t="s">
        <v>295</v>
      </c>
      <c r="Y2665" s="107" t="s">
        <v>12</v>
      </c>
      <c r="Z2665" s="67">
        <f>IF(База_КР_КК[[#This Row],[Таб.номер резервиста]]="-","-",IF(OR(База_КР_КК[[#This Row],[Уровень КК]]=2,База_КР_КК[[#This Row],[Уровень КК]]=3),IF(COUNTIFS($U$2:$U2665,$U2665,$F$2:$F2665,$F2665)=1,1,0),IF(COUNTIFS($U$2:$U2665,$U2665,$L$2:$L2665,$L2665)=1,1,0)))</f>
        <v>1</v>
      </c>
      <c r="AA26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5" s="106"/>
      <c r="AC2665" s="51"/>
      <c r="AD2665" s="106" t="s">
        <v>13</v>
      </c>
      <c r="AE2665" s="38" t="s">
        <v>372</v>
      </c>
    </row>
    <row r="2666" spans="1:31" ht="18" customHeight="1" x14ac:dyDescent="0.25">
      <c r="A26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6" s="79">
        <v>4</v>
      </c>
      <c r="C2666" s="23">
        <v>44116</v>
      </c>
      <c r="D2666" s="67">
        <f>IF(COUNTIF($G$2:$G2666,$G2666)=1,1,0)</f>
        <v>1</v>
      </c>
      <c r="E2666" s="67" t="str">
        <f>IFERROR(VLOOKUP(База_КР_КК[[#This Row],[ИД штатной должности (S)]],'уровень защищенности'!$B$7:$F$1095,5,0),"не защищена")</f>
        <v>средний</v>
      </c>
      <c r="F2666" s="68">
        <v>500132</v>
      </c>
      <c r="G2666" s="74" t="s">
        <v>2823</v>
      </c>
      <c r="H2666" s="181">
        <f>INDEX('Списки данных'!$D$2:$D$1048576,MATCH(База_КР_КК[[#This Row],[Структурное подразделение]],'Списки данных'!$C$2:$C$1048576,0))</f>
        <v>4</v>
      </c>
      <c r="I2666" s="80" t="s">
        <v>157</v>
      </c>
      <c r="J2666" s="80" t="s">
        <v>244</v>
      </c>
      <c r="K2666" s="80" t="s">
        <v>21</v>
      </c>
      <c r="L2666" s="30" t="s">
        <v>192</v>
      </c>
      <c r="M2666" s="68">
        <v>7</v>
      </c>
      <c r="N2666" s="181" t="str">
        <f t="shared" si="42"/>
        <v>нет</v>
      </c>
      <c r="O2666" s="23"/>
      <c r="P2666" s="23"/>
      <c r="Q2666" s="106"/>
      <c r="R2666" s="37">
        <v>646</v>
      </c>
      <c r="S2666" s="38" t="s">
        <v>1055</v>
      </c>
      <c r="T2666" s="37">
        <v>1727</v>
      </c>
      <c r="U2666" s="39" t="s">
        <v>1892</v>
      </c>
      <c r="V2666" s="89" t="s">
        <v>272</v>
      </c>
      <c r="W2666" s="89" t="s">
        <v>157</v>
      </c>
      <c r="X2666" s="106" t="s">
        <v>297</v>
      </c>
      <c r="Y2666" s="107" t="s">
        <v>12</v>
      </c>
      <c r="Z2666" s="67">
        <f>IF(База_КР_КК[[#This Row],[Таб.номер резервиста]]="-","-",IF(OR(База_КР_КК[[#This Row],[Уровень КК]]=2,База_КР_КК[[#This Row],[Уровень КК]]=3),IF(COUNTIFS($U$2:$U2666,$U2666,$F$2:$F2666,$F2666)=1,1,0),IF(COUNTIFS($U$2:$U2666,$U2666,$L$2:$L2666,$L2666)=1,1,0)))</f>
        <v>0</v>
      </c>
      <c r="AA26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6" s="106"/>
      <c r="AC2666" s="51"/>
      <c r="AD2666" s="106" t="s">
        <v>13</v>
      </c>
      <c r="AE2666" s="38" t="s">
        <v>372</v>
      </c>
    </row>
    <row r="2667" spans="1:31" ht="18" customHeight="1" x14ac:dyDescent="0.25">
      <c r="A26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7" s="79">
        <v>4</v>
      </c>
      <c r="C2667" s="23">
        <v>44855</v>
      </c>
      <c r="D2667" s="67">
        <f>IF(COUNTIF($G$2:$G2667,$G2667)=1,1,0)</f>
        <v>1</v>
      </c>
      <c r="E2667" s="67" t="str">
        <f>IFERROR(VLOOKUP(База_КР_КК[[#This Row],[ИД штатной должности (S)]],'уровень защищенности'!$B$7:$F$1095,5,0),"не защищена")</f>
        <v>средний</v>
      </c>
      <c r="F2667" s="68">
        <v>500133</v>
      </c>
      <c r="G2667" s="74" t="s">
        <v>2824</v>
      </c>
      <c r="H2667" s="181">
        <f>INDEX('Списки данных'!$D$2:$D$1048576,MATCH(База_КР_КК[[#This Row],[Структурное подразделение]],'Списки данных'!$C$2:$C$1048576,0))</f>
        <v>20</v>
      </c>
      <c r="I2667" s="80" t="s">
        <v>143</v>
      </c>
      <c r="J2667" s="80" t="s">
        <v>242</v>
      </c>
      <c r="K2667" s="80" t="s">
        <v>245</v>
      </c>
      <c r="L2667" s="30" t="s">
        <v>192</v>
      </c>
      <c r="M2667" s="68">
        <v>7</v>
      </c>
      <c r="N2667" s="181" t="str">
        <f t="shared" si="42"/>
        <v>нет</v>
      </c>
      <c r="O2667" s="23"/>
      <c r="P2667" s="23"/>
      <c r="Q2667" s="106"/>
      <c r="R2667" s="37">
        <v>647</v>
      </c>
      <c r="S2667" s="39" t="s">
        <v>1056</v>
      </c>
      <c r="T2667" s="37">
        <v>1741</v>
      </c>
      <c r="U2667" s="38" t="s">
        <v>1582</v>
      </c>
      <c r="V2667" s="69" t="s">
        <v>272</v>
      </c>
      <c r="W2667" s="89" t="s">
        <v>143</v>
      </c>
      <c r="X2667" s="106" t="s">
        <v>297</v>
      </c>
      <c r="Y2667" s="107" t="s">
        <v>12</v>
      </c>
      <c r="Z2667" s="67">
        <f>IF(База_КР_КК[[#This Row],[Таб.номер резервиста]]="-","-",IF(OR(База_КР_КК[[#This Row],[Уровень КК]]=2,База_КР_КК[[#This Row],[Уровень КК]]=3),IF(COUNTIFS($U$2:$U2667,$U2667,$F$2:$F2667,$F2667)=1,1,0),IF(COUNTIFS($U$2:$U2667,$U2667,$L$2:$L2667,$L2667)=1,1,0)))</f>
        <v>1</v>
      </c>
      <c r="AA26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7" s="106"/>
      <c r="AC2667" s="51"/>
      <c r="AD2667" s="106" t="s">
        <v>15</v>
      </c>
      <c r="AE2667" s="38" t="s">
        <v>371</v>
      </c>
    </row>
    <row r="2668" spans="1:31" ht="18" customHeight="1" x14ac:dyDescent="0.25">
      <c r="A26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8" s="79">
        <v>4</v>
      </c>
      <c r="C2668" s="23">
        <v>44116</v>
      </c>
      <c r="D2668" s="67">
        <f>IF(COUNTIF($G$2:$G2668,$G2668)=1,1,0)</f>
        <v>0</v>
      </c>
      <c r="E2668" s="67" t="str">
        <f>IFERROR(VLOOKUP(База_КР_КК[[#This Row],[ИД штатной должности (S)]],'уровень защищенности'!$B$7:$F$1095,5,0),"не защищена")</f>
        <v>средний</v>
      </c>
      <c r="F2668" s="68">
        <v>500133</v>
      </c>
      <c r="G2668" s="74" t="s">
        <v>2824</v>
      </c>
      <c r="H2668" s="181">
        <f>INDEX('Списки данных'!$D$2:$D$1048576,MATCH(База_КР_КК[[#This Row],[Структурное подразделение]],'Списки данных'!$C$2:$C$1048576,0))</f>
        <v>20</v>
      </c>
      <c r="I2668" s="80" t="s">
        <v>143</v>
      </c>
      <c r="J2668" s="80" t="s">
        <v>242</v>
      </c>
      <c r="K2668" s="80" t="s">
        <v>245</v>
      </c>
      <c r="L2668" s="30" t="s">
        <v>192</v>
      </c>
      <c r="M2668" s="68">
        <v>7</v>
      </c>
      <c r="N2668" s="181" t="str">
        <f t="shared" si="42"/>
        <v>нет</v>
      </c>
      <c r="O2668" s="23"/>
      <c r="P2668" s="23"/>
      <c r="Q2668" s="106"/>
      <c r="R2668" s="37">
        <v>647</v>
      </c>
      <c r="S2668" s="38" t="s">
        <v>1056</v>
      </c>
      <c r="T2668" s="37">
        <v>1742</v>
      </c>
      <c r="U2668" s="39" t="s">
        <v>1582</v>
      </c>
      <c r="V2668" s="89" t="s">
        <v>272</v>
      </c>
      <c r="W2668" s="89" t="s">
        <v>143</v>
      </c>
      <c r="X2668" s="106" t="s">
        <v>297</v>
      </c>
      <c r="Y2668" s="107" t="s">
        <v>18</v>
      </c>
      <c r="Z2668" s="67">
        <f>IF(База_КР_КК[[#This Row],[Таб.номер резервиста]]="-","-",IF(OR(База_КР_КК[[#This Row],[Уровень КК]]=2,База_КР_КК[[#This Row],[Уровень КК]]=3),IF(COUNTIFS($U$2:$U2668,$U2668,$F$2:$F2668,$F2668)=1,1,0),IF(COUNTIFS($U$2:$U2668,$U2668,$L$2:$L2668,$L2668)=1,1,0)))</f>
        <v>0</v>
      </c>
      <c r="AA26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8" s="106" t="s">
        <v>38</v>
      </c>
      <c r="AC2668" s="51">
        <v>44855</v>
      </c>
      <c r="AD2668" s="106" t="s">
        <v>31</v>
      </c>
      <c r="AE2668" s="38" t="s">
        <v>371</v>
      </c>
    </row>
    <row r="2669" spans="1:31" ht="18" customHeight="1" x14ac:dyDescent="0.25">
      <c r="A26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69" s="79">
        <v>4</v>
      </c>
      <c r="C2669" s="23">
        <v>44116</v>
      </c>
      <c r="D2669" s="67">
        <f>IF(COUNTIF($G$2:$G2669,$G2669)=1,1,0)</f>
        <v>1</v>
      </c>
      <c r="E2669" s="67" t="str">
        <f>IFERROR(VLOOKUP(База_КР_КК[[#This Row],[ИД штатной должности (S)]],'уровень защищенности'!$B$7:$F$1095,5,0),"не защищена")</f>
        <v>средний</v>
      </c>
      <c r="F2669" s="68">
        <v>500134</v>
      </c>
      <c r="G2669" s="74" t="s">
        <v>2825</v>
      </c>
      <c r="H2669" s="181">
        <f>INDEX('Списки данных'!$D$2:$D$1048576,MATCH(База_КР_КК[[#This Row],[Структурное подразделение]],'Списки данных'!$C$2:$C$1048576,0))</f>
        <v>20</v>
      </c>
      <c r="I2669" s="80" t="s">
        <v>143</v>
      </c>
      <c r="J2669" s="80" t="s">
        <v>242</v>
      </c>
      <c r="K2669" s="80" t="s">
        <v>21</v>
      </c>
      <c r="L2669" s="30" t="s">
        <v>191</v>
      </c>
      <c r="M2669" s="68">
        <v>7</v>
      </c>
      <c r="N2669" s="181" t="str">
        <f t="shared" si="42"/>
        <v>да</v>
      </c>
      <c r="O2669" s="23">
        <v>45044</v>
      </c>
      <c r="P2669" s="23">
        <v>45061</v>
      </c>
      <c r="Q2669" s="106" t="s">
        <v>57</v>
      </c>
      <c r="R2669" s="37">
        <v>648</v>
      </c>
      <c r="S2669" s="37" t="s">
        <v>1057</v>
      </c>
      <c r="T2669" s="37">
        <v>1743</v>
      </c>
      <c r="U2669" s="39" t="s">
        <v>2023</v>
      </c>
      <c r="V2669" s="89" t="s">
        <v>272</v>
      </c>
      <c r="W2669" s="89" t="s">
        <v>143</v>
      </c>
      <c r="X2669" s="106" t="s">
        <v>297</v>
      </c>
      <c r="Y2669" s="107" t="s">
        <v>12</v>
      </c>
      <c r="Z2669" s="67">
        <f>IF(База_КР_КК[[#This Row],[Таб.номер резервиста]]="-","-",IF(OR(База_КР_КК[[#This Row],[Уровень КК]]=2,База_КР_КК[[#This Row],[Уровень КК]]=3),IF(COUNTIFS($U$2:$U2669,$U2669,$F$2:$F2669,$F2669)=1,1,0),IF(COUNTIFS($U$2:$U2669,$U2669,$L$2:$L2669,$L2669)=1,1,0)))</f>
        <v>1</v>
      </c>
      <c r="AA26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69" s="106"/>
      <c r="AC2669" s="51"/>
      <c r="AD2669" s="106" t="s">
        <v>13</v>
      </c>
      <c r="AE2669" s="38" t="s">
        <v>371</v>
      </c>
    </row>
    <row r="2670" spans="1:31" ht="18" customHeight="1" x14ac:dyDescent="0.25">
      <c r="A26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0" s="79">
        <v>4</v>
      </c>
      <c r="C2670" s="23">
        <v>44467</v>
      </c>
      <c r="D2670" s="67">
        <f>IF(COUNTIF($G$2:$G2670,$G2670)=1,1,0)</f>
        <v>0</v>
      </c>
      <c r="E2670" s="67" t="str">
        <f>IFERROR(VLOOKUP(База_КР_КК[[#This Row],[ИД штатной должности (S)]],'уровень защищенности'!$B$7:$F$1095,5,0),"не защищена")</f>
        <v>средний</v>
      </c>
      <c r="F2670" s="68">
        <v>500134</v>
      </c>
      <c r="G2670" s="74" t="s">
        <v>2825</v>
      </c>
      <c r="H2670" s="181">
        <f>INDEX('Списки данных'!$D$2:$D$1048576,MATCH(База_КР_КК[[#This Row],[Структурное подразделение]],'Списки данных'!$C$2:$C$1048576,0))</f>
        <v>20</v>
      </c>
      <c r="I2670" s="80" t="s">
        <v>143</v>
      </c>
      <c r="J2670" s="80" t="s">
        <v>242</v>
      </c>
      <c r="K2670" s="80" t="s">
        <v>21</v>
      </c>
      <c r="L2670" s="30" t="s">
        <v>191</v>
      </c>
      <c r="M2670" s="68">
        <v>7</v>
      </c>
      <c r="N2670" s="181" t="str">
        <f t="shared" si="42"/>
        <v>да</v>
      </c>
      <c r="O2670" s="23">
        <v>45044</v>
      </c>
      <c r="P2670" s="23">
        <v>45061</v>
      </c>
      <c r="Q2670" s="106" t="s">
        <v>57</v>
      </c>
      <c r="R2670" s="37">
        <v>648</v>
      </c>
      <c r="S2670" s="37" t="s">
        <v>1057</v>
      </c>
      <c r="T2670" s="37">
        <v>1744</v>
      </c>
      <c r="U2670" s="39" t="s">
        <v>2024</v>
      </c>
      <c r="V2670" s="89" t="s">
        <v>272</v>
      </c>
      <c r="W2670" s="89" t="s">
        <v>143</v>
      </c>
      <c r="X2670" s="106" t="s">
        <v>297</v>
      </c>
      <c r="Y2670" s="107" t="s">
        <v>12</v>
      </c>
      <c r="Z2670" s="67">
        <f>IF(База_КР_КК[[#This Row],[Таб.номер резервиста]]="-","-",IF(OR(База_КР_КК[[#This Row],[Уровень КК]]=2,База_КР_КК[[#This Row],[Уровень КК]]=3),IF(COUNTIFS($U$2:$U2670,$U2670,$F$2:$F2670,$F2670)=1,1,0),IF(COUNTIFS($U$2:$U2670,$U2670,$L$2:$L2670,$L2670)=1,1,0)))</f>
        <v>1</v>
      </c>
      <c r="AA26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0" s="106"/>
      <c r="AC2670" s="51"/>
      <c r="AD2670" s="106" t="s">
        <v>13</v>
      </c>
      <c r="AE2670" s="38" t="s">
        <v>371</v>
      </c>
    </row>
    <row r="2671" spans="1:31" ht="18" customHeight="1" x14ac:dyDescent="0.25">
      <c r="A26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1" s="79">
        <v>4</v>
      </c>
      <c r="C2671" s="23">
        <v>44467</v>
      </c>
      <c r="D2671" s="67">
        <f>IF(COUNTIF($G$2:$G2671,$G2671)=1,1,0)</f>
        <v>0</v>
      </c>
      <c r="E2671" s="67" t="str">
        <f>IFERROR(VLOOKUP(База_КР_КК[[#This Row],[ИД штатной должности (S)]],'уровень защищенности'!$B$7:$F$1095,5,0),"не защищена")</f>
        <v>средний</v>
      </c>
      <c r="F2671" s="68">
        <v>500134</v>
      </c>
      <c r="G2671" s="74" t="s">
        <v>2825</v>
      </c>
      <c r="H2671" s="181">
        <f>INDEX('Списки данных'!$D$2:$D$1048576,MATCH(База_КР_КК[[#This Row],[Структурное подразделение]],'Списки данных'!$C$2:$C$1048576,0))</f>
        <v>20</v>
      </c>
      <c r="I2671" s="80" t="s">
        <v>143</v>
      </c>
      <c r="J2671" s="80" t="s">
        <v>242</v>
      </c>
      <c r="K2671" s="80" t="s">
        <v>21</v>
      </c>
      <c r="L2671" s="30" t="s">
        <v>191</v>
      </c>
      <c r="M2671" s="68">
        <v>7</v>
      </c>
      <c r="N2671" s="181" t="str">
        <f t="shared" si="42"/>
        <v>да</v>
      </c>
      <c r="O2671" s="23">
        <v>45044</v>
      </c>
      <c r="P2671" s="23">
        <v>45061</v>
      </c>
      <c r="Q2671" s="106" t="s">
        <v>57</v>
      </c>
      <c r="R2671" s="37">
        <v>648</v>
      </c>
      <c r="S2671" s="37" t="s">
        <v>1057</v>
      </c>
      <c r="T2671" s="37">
        <v>1745</v>
      </c>
      <c r="U2671" s="39" t="s">
        <v>2011</v>
      </c>
      <c r="V2671" s="89" t="s">
        <v>272</v>
      </c>
      <c r="W2671" s="89" t="s">
        <v>143</v>
      </c>
      <c r="X2671" s="106" t="s">
        <v>296</v>
      </c>
      <c r="Y2671" s="107" t="s">
        <v>12</v>
      </c>
      <c r="Z2671" s="67">
        <f>IF(База_КР_КК[[#This Row],[Таб.номер резервиста]]="-","-",IF(OR(База_КР_КК[[#This Row],[Уровень КК]]=2,База_КР_КК[[#This Row],[Уровень КК]]=3),IF(COUNTIFS($U$2:$U2671,$U2671,$F$2:$F2671,$F2671)=1,1,0),IF(COUNTIFS($U$2:$U2671,$U2671,$L$2:$L2671,$L2671)=1,1,0)))</f>
        <v>1</v>
      </c>
      <c r="AA26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1" s="106"/>
      <c r="AC2671" s="51"/>
      <c r="AD2671" s="106" t="s">
        <v>13</v>
      </c>
      <c r="AE2671" s="38" t="s">
        <v>371</v>
      </c>
    </row>
    <row r="2672" spans="1:31" ht="18" customHeight="1" x14ac:dyDescent="0.25">
      <c r="A26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2" s="79">
        <v>4</v>
      </c>
      <c r="C2672" s="23">
        <v>44467</v>
      </c>
      <c r="D2672" s="67">
        <f>IF(COUNTIF($G$2:$G2672,$G2672)=1,1,0)</f>
        <v>0</v>
      </c>
      <c r="E2672" s="67" t="str">
        <f>IFERROR(VLOOKUP(База_КР_КК[[#This Row],[ИД штатной должности (S)]],'уровень защищенности'!$B$7:$F$1095,5,0),"не защищена")</f>
        <v>средний</v>
      </c>
      <c r="F2672" s="68">
        <v>500134</v>
      </c>
      <c r="G2672" s="74" t="s">
        <v>2825</v>
      </c>
      <c r="H2672" s="181">
        <f>INDEX('Списки данных'!$D$2:$D$1048576,MATCH(База_КР_КК[[#This Row],[Структурное подразделение]],'Списки данных'!$C$2:$C$1048576,0))</f>
        <v>20</v>
      </c>
      <c r="I2672" s="80" t="s">
        <v>143</v>
      </c>
      <c r="J2672" s="80" t="s">
        <v>242</v>
      </c>
      <c r="K2672" s="80" t="s">
        <v>21</v>
      </c>
      <c r="L2672" s="30" t="s">
        <v>191</v>
      </c>
      <c r="M2672" s="68">
        <v>7</v>
      </c>
      <c r="N2672" s="181" t="str">
        <f t="shared" si="42"/>
        <v>да</v>
      </c>
      <c r="O2672" s="23">
        <v>45044</v>
      </c>
      <c r="P2672" s="23">
        <v>45061</v>
      </c>
      <c r="Q2672" s="106" t="s">
        <v>57</v>
      </c>
      <c r="R2672" s="37">
        <v>648</v>
      </c>
      <c r="S2672" s="37" t="s">
        <v>1057</v>
      </c>
      <c r="T2672" s="37">
        <v>1746</v>
      </c>
      <c r="U2672" s="39" t="s">
        <v>1956</v>
      </c>
      <c r="V2672" s="89" t="s">
        <v>272</v>
      </c>
      <c r="W2672" s="89" t="s">
        <v>143</v>
      </c>
      <c r="X2672" s="106" t="s">
        <v>296</v>
      </c>
      <c r="Y2672" s="107" t="s">
        <v>12</v>
      </c>
      <c r="Z2672" s="67">
        <f>IF(База_КР_КК[[#This Row],[Таб.номер резервиста]]="-","-",IF(OR(База_КР_КК[[#This Row],[Уровень КК]]=2,База_КР_КК[[#This Row],[Уровень КК]]=3),IF(COUNTIFS($U$2:$U2672,$U2672,$F$2:$F2672,$F2672)=1,1,0),IF(COUNTIFS($U$2:$U2672,$U2672,$L$2:$L2672,$L2672)=1,1,0)))</f>
        <v>1</v>
      </c>
      <c r="AA26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2" s="106"/>
      <c r="AC2672" s="51"/>
      <c r="AD2672" s="106" t="s">
        <v>13</v>
      </c>
      <c r="AE2672" s="38" t="s">
        <v>371</v>
      </c>
    </row>
    <row r="2673" spans="1:31" ht="18" customHeight="1" x14ac:dyDescent="0.25">
      <c r="A26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3" s="79">
        <v>4</v>
      </c>
      <c r="C2673" s="23">
        <v>44467</v>
      </c>
      <c r="D2673" s="67">
        <f>IF(COUNTIF($G$2:$G2673,$G2673)=1,1,0)</f>
        <v>0</v>
      </c>
      <c r="E2673" s="67" t="str">
        <f>IFERROR(VLOOKUP(База_КР_КК[[#This Row],[ИД штатной должности (S)]],'уровень защищенности'!$B$7:$F$1095,5,0),"не защищена")</f>
        <v>средний</v>
      </c>
      <c r="F2673" s="68">
        <v>500134</v>
      </c>
      <c r="G2673" s="74" t="s">
        <v>2825</v>
      </c>
      <c r="H2673" s="181">
        <f>INDEX('Списки данных'!$D$2:$D$1048576,MATCH(База_КР_КК[[#This Row],[Структурное подразделение]],'Списки данных'!$C$2:$C$1048576,0))</f>
        <v>20</v>
      </c>
      <c r="I2673" s="80" t="s">
        <v>143</v>
      </c>
      <c r="J2673" s="80" t="s">
        <v>242</v>
      </c>
      <c r="K2673" s="80" t="s">
        <v>21</v>
      </c>
      <c r="L2673" s="30" t="s">
        <v>191</v>
      </c>
      <c r="M2673" s="68">
        <v>7</v>
      </c>
      <c r="N2673" s="181" t="str">
        <f t="shared" si="42"/>
        <v>да</v>
      </c>
      <c r="O2673" s="23">
        <v>45044</v>
      </c>
      <c r="P2673" s="23">
        <v>45061</v>
      </c>
      <c r="Q2673" s="106" t="s">
        <v>57</v>
      </c>
      <c r="R2673" s="37">
        <v>648</v>
      </c>
      <c r="S2673" s="37" t="s">
        <v>1057</v>
      </c>
      <c r="T2673" s="37">
        <v>1747</v>
      </c>
      <c r="U2673" s="39" t="s">
        <v>1967</v>
      </c>
      <c r="V2673" s="89" t="s">
        <v>272</v>
      </c>
      <c r="W2673" s="89" t="s">
        <v>143</v>
      </c>
      <c r="X2673" s="106" t="s">
        <v>296</v>
      </c>
      <c r="Y2673" s="107" t="s">
        <v>12</v>
      </c>
      <c r="Z2673" s="67">
        <f>IF(База_КР_КК[[#This Row],[Таб.номер резервиста]]="-","-",IF(OR(База_КР_КК[[#This Row],[Уровень КК]]=2,База_КР_КК[[#This Row],[Уровень КК]]=3),IF(COUNTIFS($U$2:$U2673,$U2673,$F$2:$F2673,$F2673)=1,1,0),IF(COUNTIFS($U$2:$U2673,$U2673,$L$2:$L2673,$L2673)=1,1,0)))</f>
        <v>1</v>
      </c>
      <c r="AA26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3" s="106"/>
      <c r="AC2673" s="51"/>
      <c r="AD2673" s="106" t="s">
        <v>13</v>
      </c>
      <c r="AE2673" s="38" t="s">
        <v>371</v>
      </c>
    </row>
    <row r="2674" spans="1:31" ht="18" customHeight="1" x14ac:dyDescent="0.25">
      <c r="A26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4" s="79">
        <v>4</v>
      </c>
      <c r="C2674" s="23">
        <v>44467</v>
      </c>
      <c r="D2674" s="67">
        <f>IF(COUNTIF($G$2:$G2674,$G2674)=1,1,0)</f>
        <v>0</v>
      </c>
      <c r="E2674" s="67" t="str">
        <f>IFERROR(VLOOKUP(База_КР_КК[[#This Row],[ИД штатной должности (S)]],'уровень защищенности'!$B$7:$F$1095,5,0),"не защищена")</f>
        <v>средний</v>
      </c>
      <c r="F2674" s="68">
        <v>500134</v>
      </c>
      <c r="G2674" s="74" t="s">
        <v>2825</v>
      </c>
      <c r="H2674" s="181">
        <f>INDEX('Списки данных'!$D$2:$D$1048576,MATCH(База_КР_КК[[#This Row],[Структурное подразделение]],'Списки данных'!$C$2:$C$1048576,0))</f>
        <v>20</v>
      </c>
      <c r="I2674" s="80" t="s">
        <v>143</v>
      </c>
      <c r="J2674" s="80" t="s">
        <v>242</v>
      </c>
      <c r="K2674" s="80" t="s">
        <v>21</v>
      </c>
      <c r="L2674" s="30" t="s">
        <v>191</v>
      </c>
      <c r="M2674" s="68">
        <v>7</v>
      </c>
      <c r="N2674" s="181" t="str">
        <f t="shared" si="42"/>
        <v>да</v>
      </c>
      <c r="O2674" s="23">
        <v>45044</v>
      </c>
      <c r="P2674" s="23">
        <v>45061</v>
      </c>
      <c r="Q2674" s="106" t="s">
        <v>57</v>
      </c>
      <c r="R2674" s="37">
        <v>648</v>
      </c>
      <c r="S2674" s="37" t="s">
        <v>1057</v>
      </c>
      <c r="T2674" s="37">
        <v>1748</v>
      </c>
      <c r="U2674" s="39" t="s">
        <v>2011</v>
      </c>
      <c r="V2674" s="89" t="s">
        <v>272</v>
      </c>
      <c r="W2674" s="89" t="s">
        <v>143</v>
      </c>
      <c r="X2674" s="106" t="s">
        <v>296</v>
      </c>
      <c r="Y2674" s="107" t="s">
        <v>12</v>
      </c>
      <c r="Z2674" s="67">
        <f>IF(База_КР_КК[[#This Row],[Таб.номер резервиста]]="-","-",IF(OR(База_КР_КК[[#This Row],[Уровень КК]]=2,База_КР_КК[[#This Row],[Уровень КК]]=3),IF(COUNTIFS($U$2:$U2674,$U2674,$F$2:$F2674,$F2674)=1,1,0),IF(COUNTIFS($U$2:$U2674,$U2674,$L$2:$L2674,$L2674)=1,1,0)))</f>
        <v>0</v>
      </c>
      <c r="AA26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4" s="106"/>
      <c r="AC2674" s="51"/>
      <c r="AD2674" s="106" t="s">
        <v>13</v>
      </c>
      <c r="AE2674" s="38" t="s">
        <v>371</v>
      </c>
    </row>
    <row r="2675" spans="1:31" ht="18" customHeight="1" x14ac:dyDescent="0.25">
      <c r="A26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5" s="79">
        <v>4</v>
      </c>
      <c r="C2675" s="23">
        <v>44467</v>
      </c>
      <c r="D2675" s="67">
        <f>IF(COUNTIF($G$2:$G2675,$G2675)=1,1,0)</f>
        <v>0</v>
      </c>
      <c r="E2675" s="67" t="str">
        <f>IFERROR(VLOOKUP(База_КР_КК[[#This Row],[ИД штатной должности (S)]],'уровень защищенности'!$B$7:$F$1095,5,0),"не защищена")</f>
        <v>средний</v>
      </c>
      <c r="F2675" s="68">
        <v>500134</v>
      </c>
      <c r="G2675" s="74" t="s">
        <v>2825</v>
      </c>
      <c r="H2675" s="181">
        <f>INDEX('Списки данных'!$D$2:$D$1048576,MATCH(База_КР_КК[[#This Row],[Структурное подразделение]],'Списки данных'!$C$2:$C$1048576,0))</f>
        <v>20</v>
      </c>
      <c r="I2675" s="80" t="s">
        <v>143</v>
      </c>
      <c r="J2675" s="80" t="s">
        <v>242</v>
      </c>
      <c r="K2675" s="80" t="s">
        <v>21</v>
      </c>
      <c r="L2675" s="30" t="s">
        <v>191</v>
      </c>
      <c r="M2675" s="68">
        <v>7</v>
      </c>
      <c r="N2675" s="181" t="str">
        <f t="shared" si="42"/>
        <v>да</v>
      </c>
      <c r="O2675" s="23">
        <v>45044</v>
      </c>
      <c r="P2675" s="23">
        <v>45061</v>
      </c>
      <c r="Q2675" s="106" t="s">
        <v>57</v>
      </c>
      <c r="R2675" s="37">
        <v>648</v>
      </c>
      <c r="S2675" s="37" t="s">
        <v>1057</v>
      </c>
      <c r="T2675" s="37">
        <v>1749</v>
      </c>
      <c r="U2675" s="39" t="s">
        <v>2025</v>
      </c>
      <c r="V2675" s="89" t="s">
        <v>272</v>
      </c>
      <c r="W2675" s="89" t="s">
        <v>143</v>
      </c>
      <c r="X2675" s="106" t="s">
        <v>297</v>
      </c>
      <c r="Y2675" s="107" t="s">
        <v>12</v>
      </c>
      <c r="Z2675" s="67">
        <f>IF(База_КР_КК[[#This Row],[Таб.номер резервиста]]="-","-",IF(OR(База_КР_КК[[#This Row],[Уровень КК]]=2,База_КР_КК[[#This Row],[Уровень КК]]=3),IF(COUNTIFS($U$2:$U2675,$U2675,$F$2:$F2675,$F2675)=1,1,0),IF(COUNTIFS($U$2:$U2675,$U2675,$L$2:$L2675,$L2675)=1,1,0)))</f>
        <v>1</v>
      </c>
      <c r="AA26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5" s="106"/>
      <c r="AC2675" s="51"/>
      <c r="AD2675" s="106" t="s">
        <v>13</v>
      </c>
      <c r="AE2675" s="38" t="s">
        <v>371</v>
      </c>
    </row>
    <row r="2676" spans="1:31" ht="18" customHeight="1" x14ac:dyDescent="0.25">
      <c r="A26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6" s="79">
        <v>4</v>
      </c>
      <c r="C2676" s="23">
        <v>44855</v>
      </c>
      <c r="D2676" s="67">
        <f>IF(COUNTIF($G$2:$G2676,$G2676)=1,1,0)</f>
        <v>0</v>
      </c>
      <c r="E2676" s="67" t="str">
        <f>IFERROR(VLOOKUP(База_КР_КК[[#This Row],[ИД штатной должности (S)]],'уровень защищенности'!$B$7:$F$1095,5,0),"не защищена")</f>
        <v>средний</v>
      </c>
      <c r="F2676" s="68">
        <v>500134</v>
      </c>
      <c r="G2676" s="74" t="s">
        <v>2825</v>
      </c>
      <c r="H2676" s="181">
        <f>INDEX('Списки данных'!$D$2:$D$1048576,MATCH(База_КР_КК[[#This Row],[Структурное подразделение]],'Списки данных'!$C$2:$C$1048576,0))</f>
        <v>20</v>
      </c>
      <c r="I2676" s="80" t="s">
        <v>143</v>
      </c>
      <c r="J2676" s="80" t="s">
        <v>242</v>
      </c>
      <c r="K2676" s="80" t="s">
        <v>21</v>
      </c>
      <c r="L2676" s="30" t="s">
        <v>191</v>
      </c>
      <c r="M2676" s="68">
        <v>7</v>
      </c>
      <c r="N2676" s="181" t="str">
        <f t="shared" si="42"/>
        <v>да</v>
      </c>
      <c r="O2676" s="23">
        <v>45044</v>
      </c>
      <c r="P2676" s="23">
        <v>45061</v>
      </c>
      <c r="Q2676" s="106" t="s">
        <v>57</v>
      </c>
      <c r="R2676" s="37">
        <v>648</v>
      </c>
      <c r="S2676" s="37" t="s">
        <v>1057</v>
      </c>
      <c r="T2676" s="37">
        <v>1750</v>
      </c>
      <c r="U2676" s="38" t="s">
        <v>2026</v>
      </c>
      <c r="V2676" s="69" t="s">
        <v>272</v>
      </c>
      <c r="W2676" s="89" t="s">
        <v>143</v>
      </c>
      <c r="X2676" s="106" t="s">
        <v>297</v>
      </c>
      <c r="Y2676" s="107" t="s">
        <v>12</v>
      </c>
      <c r="Z2676" s="67">
        <f>IF(База_КР_КК[[#This Row],[Таб.номер резервиста]]="-","-",IF(OR(База_КР_КК[[#This Row],[Уровень КК]]=2,База_КР_КК[[#This Row],[Уровень КК]]=3),IF(COUNTIFS($U$2:$U2676,$U2676,$F$2:$F2676,$F2676)=1,1,0),IF(COUNTIFS($U$2:$U2676,$U2676,$L$2:$L2676,$L2676)=1,1,0)))</f>
        <v>1</v>
      </c>
      <c r="AA26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6" s="106"/>
      <c r="AC2676" s="51"/>
      <c r="AD2676" s="106" t="s">
        <v>13</v>
      </c>
      <c r="AE2676" s="38" t="s">
        <v>371</v>
      </c>
    </row>
    <row r="2677" spans="1:31" ht="18" customHeight="1" x14ac:dyDescent="0.25">
      <c r="A26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7" s="79">
        <v>4</v>
      </c>
      <c r="C2677" s="23">
        <v>44116</v>
      </c>
      <c r="D2677" s="67">
        <f>IF(COUNTIF($G$2:$G2677,$G2677)=1,1,0)</f>
        <v>1</v>
      </c>
      <c r="E2677" s="67" t="str">
        <f>IFERROR(VLOOKUP(База_КР_КК[[#This Row],[ИД штатной должности (S)]],'уровень защищенности'!$B$7:$F$1095,5,0),"не защищена")</f>
        <v>средний</v>
      </c>
      <c r="F2677" s="68">
        <v>500134</v>
      </c>
      <c r="G2677" s="74" t="s">
        <v>2826</v>
      </c>
      <c r="H2677" s="181">
        <f>INDEX('Списки данных'!$D$2:$D$1048576,MATCH(База_КР_КК[[#This Row],[Структурное подразделение]],'Списки данных'!$C$2:$C$1048576,0))</f>
        <v>20</v>
      </c>
      <c r="I2677" s="80" t="s">
        <v>143</v>
      </c>
      <c r="J2677" s="80" t="s">
        <v>242</v>
      </c>
      <c r="K2677" s="80" t="s">
        <v>21</v>
      </c>
      <c r="L2677" s="30" t="s">
        <v>191</v>
      </c>
      <c r="M2677" s="68">
        <v>7</v>
      </c>
      <c r="N2677" s="181" t="str">
        <f t="shared" si="42"/>
        <v>да</v>
      </c>
      <c r="O2677" s="23">
        <v>44136</v>
      </c>
      <c r="P2677" s="23">
        <v>44136</v>
      </c>
      <c r="Q2677" s="106" t="s">
        <v>66</v>
      </c>
      <c r="R2677" s="37">
        <v>649</v>
      </c>
      <c r="S2677" s="38" t="s">
        <v>1058</v>
      </c>
      <c r="T2677" s="37">
        <v>1743</v>
      </c>
      <c r="U2677" s="39" t="s">
        <v>2023</v>
      </c>
      <c r="V2677" s="89" t="s">
        <v>272</v>
      </c>
      <c r="W2677" s="89" t="s">
        <v>143</v>
      </c>
      <c r="X2677" s="106" t="s">
        <v>297</v>
      </c>
      <c r="Y2677" s="107" t="s">
        <v>12</v>
      </c>
      <c r="Z2677" s="67">
        <f>IF(База_КР_КК[[#This Row],[Таб.номер резервиста]]="-","-",IF(OR(База_КР_КК[[#This Row],[Уровень КК]]=2,База_КР_КК[[#This Row],[Уровень КК]]=3),IF(COUNTIFS($U$2:$U2677,$U2677,$F$2:$F2677,$F2677)=1,1,0),IF(COUNTIFS($U$2:$U2677,$U2677,$L$2:$L2677,$L2677)=1,1,0)))</f>
        <v>0</v>
      </c>
      <c r="AA26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7" s="106"/>
      <c r="AC2677" s="51"/>
      <c r="AD2677" s="106" t="s">
        <v>13</v>
      </c>
      <c r="AE2677" s="38" t="s">
        <v>371</v>
      </c>
    </row>
    <row r="2678" spans="1:31" ht="18" customHeight="1" x14ac:dyDescent="0.25">
      <c r="A26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8" s="79">
        <v>4</v>
      </c>
      <c r="C2678" s="23">
        <v>44467</v>
      </c>
      <c r="D2678" s="67">
        <f>IF(COUNTIF($G$2:$G2678,$G2678)=1,1,0)</f>
        <v>0</v>
      </c>
      <c r="E2678" s="67" t="str">
        <f>IFERROR(VLOOKUP(База_КР_КК[[#This Row],[ИД штатной должности (S)]],'уровень защищенности'!$B$7:$F$1095,5,0),"не защищена")</f>
        <v>средний</v>
      </c>
      <c r="F2678" s="68">
        <v>500134</v>
      </c>
      <c r="G2678" s="74" t="s">
        <v>2826</v>
      </c>
      <c r="H2678" s="181">
        <f>INDEX('Списки данных'!$D$2:$D$1048576,MATCH(База_КР_КК[[#This Row],[Структурное подразделение]],'Списки данных'!$C$2:$C$1048576,0))</f>
        <v>20</v>
      </c>
      <c r="I2678" s="80" t="s">
        <v>143</v>
      </c>
      <c r="J2678" s="80" t="s">
        <v>242</v>
      </c>
      <c r="K2678" s="80" t="s">
        <v>21</v>
      </c>
      <c r="L2678" s="30" t="s">
        <v>191</v>
      </c>
      <c r="M2678" s="68">
        <v>7</v>
      </c>
      <c r="N2678" s="181" t="str">
        <f t="shared" si="42"/>
        <v>да</v>
      </c>
      <c r="O2678" s="23">
        <v>44136</v>
      </c>
      <c r="P2678" s="23">
        <v>44136</v>
      </c>
      <c r="Q2678" s="106" t="s">
        <v>66</v>
      </c>
      <c r="R2678" s="37">
        <v>649</v>
      </c>
      <c r="S2678" s="38" t="s">
        <v>1058</v>
      </c>
      <c r="T2678" s="37">
        <v>1744</v>
      </c>
      <c r="U2678" s="39" t="s">
        <v>2024</v>
      </c>
      <c r="V2678" s="89" t="s">
        <v>272</v>
      </c>
      <c r="W2678" s="89" t="s">
        <v>143</v>
      </c>
      <c r="X2678" s="106" t="s">
        <v>297</v>
      </c>
      <c r="Y2678" s="107" t="s">
        <v>12</v>
      </c>
      <c r="Z2678" s="67">
        <f>IF(База_КР_КК[[#This Row],[Таб.номер резервиста]]="-","-",IF(OR(База_КР_КК[[#This Row],[Уровень КК]]=2,База_КР_КК[[#This Row],[Уровень КК]]=3),IF(COUNTIFS($U$2:$U2678,$U2678,$F$2:$F2678,$F2678)=1,1,0),IF(COUNTIFS($U$2:$U2678,$U2678,$L$2:$L2678,$L2678)=1,1,0)))</f>
        <v>0</v>
      </c>
      <c r="AA26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8" s="106"/>
      <c r="AC2678" s="51"/>
      <c r="AD2678" s="106" t="s">
        <v>13</v>
      </c>
      <c r="AE2678" s="38" t="s">
        <v>371</v>
      </c>
    </row>
    <row r="2679" spans="1:31" ht="18" customHeight="1" x14ac:dyDescent="0.25">
      <c r="A26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79" s="79">
        <v>4</v>
      </c>
      <c r="C2679" s="23">
        <v>44467</v>
      </c>
      <c r="D2679" s="67">
        <f>IF(COUNTIF($G$2:$G2679,$G2679)=1,1,0)</f>
        <v>0</v>
      </c>
      <c r="E2679" s="67" t="str">
        <f>IFERROR(VLOOKUP(База_КР_КК[[#This Row],[ИД штатной должности (S)]],'уровень защищенности'!$B$7:$F$1095,5,0),"не защищена")</f>
        <v>средний</v>
      </c>
      <c r="F2679" s="68">
        <v>500134</v>
      </c>
      <c r="G2679" s="74" t="s">
        <v>2826</v>
      </c>
      <c r="H2679" s="181">
        <f>INDEX('Списки данных'!$D$2:$D$1048576,MATCH(База_КР_КК[[#This Row],[Структурное подразделение]],'Списки данных'!$C$2:$C$1048576,0))</f>
        <v>20</v>
      </c>
      <c r="I2679" s="80" t="s">
        <v>143</v>
      </c>
      <c r="J2679" s="80" t="s">
        <v>242</v>
      </c>
      <c r="K2679" s="80" t="s">
        <v>21</v>
      </c>
      <c r="L2679" s="30" t="s">
        <v>191</v>
      </c>
      <c r="M2679" s="68">
        <v>7</v>
      </c>
      <c r="N2679" s="181" t="str">
        <f t="shared" si="42"/>
        <v>да</v>
      </c>
      <c r="O2679" s="23">
        <v>44136</v>
      </c>
      <c r="P2679" s="23">
        <v>44136</v>
      </c>
      <c r="Q2679" s="106" t="s">
        <v>66</v>
      </c>
      <c r="R2679" s="37">
        <v>649</v>
      </c>
      <c r="S2679" s="38" t="s">
        <v>1058</v>
      </c>
      <c r="T2679" s="37">
        <v>1745</v>
      </c>
      <c r="U2679" s="39" t="s">
        <v>2011</v>
      </c>
      <c r="V2679" s="89" t="s">
        <v>272</v>
      </c>
      <c r="W2679" s="89" t="s">
        <v>143</v>
      </c>
      <c r="X2679" s="106" t="s">
        <v>296</v>
      </c>
      <c r="Y2679" s="107" t="s">
        <v>12</v>
      </c>
      <c r="Z2679" s="67">
        <f>IF(База_КР_КК[[#This Row],[Таб.номер резервиста]]="-","-",IF(OR(База_КР_КК[[#This Row],[Уровень КК]]=2,База_КР_КК[[#This Row],[Уровень КК]]=3),IF(COUNTIFS($U$2:$U2679,$U2679,$F$2:$F2679,$F2679)=1,1,0),IF(COUNTIFS($U$2:$U2679,$U2679,$L$2:$L2679,$L2679)=1,1,0)))</f>
        <v>0</v>
      </c>
      <c r="AA26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79" s="106"/>
      <c r="AC2679" s="51"/>
      <c r="AD2679" s="106" t="s">
        <v>13</v>
      </c>
      <c r="AE2679" s="38" t="s">
        <v>371</v>
      </c>
    </row>
    <row r="2680" spans="1:31" ht="18" customHeight="1" x14ac:dyDescent="0.25">
      <c r="A26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0" s="79">
        <v>4</v>
      </c>
      <c r="C2680" s="23">
        <v>44467</v>
      </c>
      <c r="D2680" s="67">
        <f>IF(COUNTIF($G$2:$G2680,$G2680)=1,1,0)</f>
        <v>0</v>
      </c>
      <c r="E2680" s="67" t="str">
        <f>IFERROR(VLOOKUP(База_КР_КК[[#This Row],[ИД штатной должности (S)]],'уровень защищенности'!$B$7:$F$1095,5,0),"не защищена")</f>
        <v>средний</v>
      </c>
      <c r="F2680" s="68">
        <v>500134</v>
      </c>
      <c r="G2680" s="74" t="s">
        <v>2826</v>
      </c>
      <c r="H2680" s="181">
        <f>INDEX('Списки данных'!$D$2:$D$1048576,MATCH(База_КР_КК[[#This Row],[Структурное подразделение]],'Списки данных'!$C$2:$C$1048576,0))</f>
        <v>20</v>
      </c>
      <c r="I2680" s="80" t="s">
        <v>143</v>
      </c>
      <c r="J2680" s="80" t="s">
        <v>242</v>
      </c>
      <c r="K2680" s="80" t="s">
        <v>21</v>
      </c>
      <c r="L2680" s="30" t="s">
        <v>191</v>
      </c>
      <c r="M2680" s="68">
        <v>7</v>
      </c>
      <c r="N2680" s="181" t="str">
        <f t="shared" si="42"/>
        <v>да</v>
      </c>
      <c r="O2680" s="23">
        <v>44136</v>
      </c>
      <c r="P2680" s="23">
        <v>44136</v>
      </c>
      <c r="Q2680" s="106" t="s">
        <v>66</v>
      </c>
      <c r="R2680" s="37">
        <v>649</v>
      </c>
      <c r="S2680" s="38" t="s">
        <v>1058</v>
      </c>
      <c r="T2680" s="37">
        <v>1746</v>
      </c>
      <c r="U2680" s="39" t="s">
        <v>1956</v>
      </c>
      <c r="V2680" s="89" t="s">
        <v>272</v>
      </c>
      <c r="W2680" s="89" t="s">
        <v>143</v>
      </c>
      <c r="X2680" s="106" t="s">
        <v>296</v>
      </c>
      <c r="Y2680" s="107" t="s">
        <v>12</v>
      </c>
      <c r="Z2680" s="67">
        <f>IF(База_КР_КК[[#This Row],[Таб.номер резервиста]]="-","-",IF(OR(База_КР_КК[[#This Row],[Уровень КК]]=2,База_КР_КК[[#This Row],[Уровень КК]]=3),IF(COUNTIFS($U$2:$U2680,$U2680,$F$2:$F2680,$F2680)=1,1,0),IF(COUNTIFS($U$2:$U2680,$U2680,$L$2:$L2680,$L2680)=1,1,0)))</f>
        <v>0</v>
      </c>
      <c r="AA26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0" s="106"/>
      <c r="AC2680" s="51"/>
      <c r="AD2680" s="106" t="s">
        <v>13</v>
      </c>
      <c r="AE2680" s="38" t="s">
        <v>371</v>
      </c>
    </row>
    <row r="2681" spans="1:31" ht="18" customHeight="1" x14ac:dyDescent="0.25">
      <c r="A26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1" s="79">
        <v>4</v>
      </c>
      <c r="C2681" s="23">
        <v>44467</v>
      </c>
      <c r="D2681" s="67">
        <f>IF(COUNTIF($G$2:$G2681,$G2681)=1,1,0)</f>
        <v>0</v>
      </c>
      <c r="E2681" s="67" t="str">
        <f>IFERROR(VLOOKUP(База_КР_КК[[#This Row],[ИД штатной должности (S)]],'уровень защищенности'!$B$7:$F$1095,5,0),"не защищена")</f>
        <v>средний</v>
      </c>
      <c r="F2681" s="68">
        <v>500134</v>
      </c>
      <c r="G2681" s="74" t="s">
        <v>2826</v>
      </c>
      <c r="H2681" s="181">
        <f>INDEX('Списки данных'!$D$2:$D$1048576,MATCH(База_КР_КК[[#This Row],[Структурное подразделение]],'Списки данных'!$C$2:$C$1048576,0))</f>
        <v>20</v>
      </c>
      <c r="I2681" s="80" t="s">
        <v>143</v>
      </c>
      <c r="J2681" s="80" t="s">
        <v>242</v>
      </c>
      <c r="K2681" s="80" t="s">
        <v>21</v>
      </c>
      <c r="L2681" s="30" t="s">
        <v>191</v>
      </c>
      <c r="M2681" s="68">
        <v>7</v>
      </c>
      <c r="N2681" s="181" t="str">
        <f t="shared" si="42"/>
        <v>да</v>
      </c>
      <c r="O2681" s="23">
        <v>44136</v>
      </c>
      <c r="P2681" s="23">
        <v>44136</v>
      </c>
      <c r="Q2681" s="106" t="s">
        <v>66</v>
      </c>
      <c r="R2681" s="37">
        <v>649</v>
      </c>
      <c r="S2681" s="38" t="s">
        <v>1058</v>
      </c>
      <c r="T2681" s="37">
        <v>1747</v>
      </c>
      <c r="U2681" s="39" t="s">
        <v>1967</v>
      </c>
      <c r="V2681" s="89" t="s">
        <v>272</v>
      </c>
      <c r="W2681" s="89" t="s">
        <v>143</v>
      </c>
      <c r="X2681" s="106" t="s">
        <v>296</v>
      </c>
      <c r="Y2681" s="107" t="s">
        <v>12</v>
      </c>
      <c r="Z2681" s="67">
        <f>IF(База_КР_КК[[#This Row],[Таб.номер резервиста]]="-","-",IF(OR(База_КР_КК[[#This Row],[Уровень КК]]=2,База_КР_КК[[#This Row],[Уровень КК]]=3),IF(COUNTIFS($U$2:$U2681,$U2681,$F$2:$F2681,$F2681)=1,1,0),IF(COUNTIFS($U$2:$U2681,$U2681,$L$2:$L2681,$L2681)=1,1,0)))</f>
        <v>0</v>
      </c>
      <c r="AA26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1" s="106"/>
      <c r="AC2681" s="51"/>
      <c r="AD2681" s="106" t="s">
        <v>13</v>
      </c>
      <c r="AE2681" s="38" t="s">
        <v>371</v>
      </c>
    </row>
    <row r="2682" spans="1:31" ht="18" customHeight="1" x14ac:dyDescent="0.25">
      <c r="A26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2" s="79">
        <v>4</v>
      </c>
      <c r="C2682" s="23">
        <v>44467</v>
      </c>
      <c r="D2682" s="67">
        <f>IF(COUNTIF($G$2:$G2682,$G2682)=1,1,0)</f>
        <v>0</v>
      </c>
      <c r="E2682" s="67" t="str">
        <f>IFERROR(VLOOKUP(База_КР_КК[[#This Row],[ИД штатной должности (S)]],'уровень защищенности'!$B$7:$F$1095,5,0),"не защищена")</f>
        <v>средний</v>
      </c>
      <c r="F2682" s="68">
        <v>500134</v>
      </c>
      <c r="G2682" s="74" t="s">
        <v>2826</v>
      </c>
      <c r="H2682" s="181">
        <f>INDEX('Списки данных'!$D$2:$D$1048576,MATCH(База_КР_КК[[#This Row],[Структурное подразделение]],'Списки данных'!$C$2:$C$1048576,0))</f>
        <v>20</v>
      </c>
      <c r="I2682" s="80" t="s">
        <v>143</v>
      </c>
      <c r="J2682" s="80" t="s">
        <v>242</v>
      </c>
      <c r="K2682" s="80" t="s">
        <v>21</v>
      </c>
      <c r="L2682" s="30" t="s">
        <v>191</v>
      </c>
      <c r="M2682" s="68">
        <v>7</v>
      </c>
      <c r="N2682" s="181" t="str">
        <f t="shared" si="42"/>
        <v>да</v>
      </c>
      <c r="O2682" s="23">
        <v>44136</v>
      </c>
      <c r="P2682" s="23">
        <v>44136</v>
      </c>
      <c r="Q2682" s="106" t="s">
        <v>66</v>
      </c>
      <c r="R2682" s="37">
        <v>649</v>
      </c>
      <c r="S2682" s="38" t="s">
        <v>1058</v>
      </c>
      <c r="T2682" s="37">
        <v>1748</v>
      </c>
      <c r="U2682" s="39" t="s">
        <v>2011</v>
      </c>
      <c r="V2682" s="89" t="s">
        <v>272</v>
      </c>
      <c r="W2682" s="89" t="s">
        <v>143</v>
      </c>
      <c r="X2682" s="106" t="s">
        <v>296</v>
      </c>
      <c r="Y2682" s="107" t="s">
        <v>12</v>
      </c>
      <c r="Z2682" s="67">
        <f>IF(База_КР_КК[[#This Row],[Таб.номер резервиста]]="-","-",IF(OR(База_КР_КК[[#This Row],[Уровень КК]]=2,База_КР_КК[[#This Row],[Уровень КК]]=3),IF(COUNTIFS($U$2:$U2682,$U2682,$F$2:$F2682,$F2682)=1,1,0),IF(COUNTIFS($U$2:$U2682,$U2682,$L$2:$L2682,$L2682)=1,1,0)))</f>
        <v>0</v>
      </c>
      <c r="AA26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2" s="106"/>
      <c r="AC2682" s="51"/>
      <c r="AD2682" s="106" t="s">
        <v>13</v>
      </c>
      <c r="AE2682" s="38" t="s">
        <v>371</v>
      </c>
    </row>
    <row r="2683" spans="1:31" ht="18" customHeight="1" x14ac:dyDescent="0.25">
      <c r="A26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3" s="79">
        <v>4</v>
      </c>
      <c r="C2683" s="23">
        <v>44467</v>
      </c>
      <c r="D2683" s="67">
        <f>IF(COUNTIF($G$2:$G2683,$G2683)=1,1,0)</f>
        <v>0</v>
      </c>
      <c r="E2683" s="67" t="str">
        <f>IFERROR(VLOOKUP(База_КР_КК[[#This Row],[ИД штатной должности (S)]],'уровень защищенности'!$B$7:$F$1095,5,0),"не защищена")</f>
        <v>средний</v>
      </c>
      <c r="F2683" s="68">
        <v>500134</v>
      </c>
      <c r="G2683" s="74" t="s">
        <v>2826</v>
      </c>
      <c r="H2683" s="181">
        <f>INDEX('Списки данных'!$D$2:$D$1048576,MATCH(База_КР_КК[[#This Row],[Структурное подразделение]],'Списки данных'!$C$2:$C$1048576,0))</f>
        <v>20</v>
      </c>
      <c r="I2683" s="80" t="s">
        <v>143</v>
      </c>
      <c r="J2683" s="80" t="s">
        <v>242</v>
      </c>
      <c r="K2683" s="80" t="s">
        <v>21</v>
      </c>
      <c r="L2683" s="30" t="s">
        <v>191</v>
      </c>
      <c r="M2683" s="68">
        <v>7</v>
      </c>
      <c r="N2683" s="181" t="str">
        <f t="shared" si="42"/>
        <v>да</v>
      </c>
      <c r="O2683" s="23">
        <v>44136</v>
      </c>
      <c r="P2683" s="23">
        <v>44136</v>
      </c>
      <c r="Q2683" s="106" t="s">
        <v>66</v>
      </c>
      <c r="R2683" s="37">
        <v>649</v>
      </c>
      <c r="S2683" s="38" t="s">
        <v>1058</v>
      </c>
      <c r="T2683" s="37">
        <v>1749</v>
      </c>
      <c r="U2683" s="39" t="s">
        <v>2025</v>
      </c>
      <c r="V2683" s="89" t="s">
        <v>272</v>
      </c>
      <c r="W2683" s="89" t="s">
        <v>143</v>
      </c>
      <c r="X2683" s="106" t="s">
        <v>297</v>
      </c>
      <c r="Y2683" s="107" t="s">
        <v>12</v>
      </c>
      <c r="Z2683" s="67">
        <f>IF(База_КР_КК[[#This Row],[Таб.номер резервиста]]="-","-",IF(OR(База_КР_КК[[#This Row],[Уровень КК]]=2,База_КР_КК[[#This Row],[Уровень КК]]=3),IF(COUNTIFS($U$2:$U2683,$U2683,$F$2:$F2683,$F2683)=1,1,0),IF(COUNTIFS($U$2:$U2683,$U2683,$L$2:$L2683,$L2683)=1,1,0)))</f>
        <v>0</v>
      </c>
      <c r="AA26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3" s="106"/>
      <c r="AC2683" s="51"/>
      <c r="AD2683" s="106" t="s">
        <v>13</v>
      </c>
      <c r="AE2683" s="38" t="s">
        <v>371</v>
      </c>
    </row>
    <row r="2684" spans="1:31" ht="18" customHeight="1" x14ac:dyDescent="0.25">
      <c r="A26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4" s="79">
        <v>4</v>
      </c>
      <c r="C2684" s="23">
        <v>44855</v>
      </c>
      <c r="D2684" s="67">
        <f>IF(COUNTIF($G$2:$G2684,$G2684)=1,1,0)</f>
        <v>0</v>
      </c>
      <c r="E2684" s="67" t="str">
        <f>IFERROR(VLOOKUP(База_КР_КК[[#This Row],[ИД штатной должности (S)]],'уровень защищенности'!$B$7:$F$1095,5,0),"не защищена")</f>
        <v>средний</v>
      </c>
      <c r="F2684" s="68">
        <v>500134</v>
      </c>
      <c r="G2684" s="74" t="s">
        <v>2826</v>
      </c>
      <c r="H2684" s="181">
        <f>INDEX('Списки данных'!$D$2:$D$1048576,MATCH(База_КР_КК[[#This Row],[Структурное подразделение]],'Списки данных'!$C$2:$C$1048576,0))</f>
        <v>20</v>
      </c>
      <c r="I2684" s="80" t="s">
        <v>143</v>
      </c>
      <c r="J2684" s="80" t="s">
        <v>242</v>
      </c>
      <c r="K2684" s="80" t="s">
        <v>21</v>
      </c>
      <c r="L2684" s="30" t="s">
        <v>191</v>
      </c>
      <c r="M2684" s="68">
        <v>7</v>
      </c>
      <c r="N2684" s="181" t="str">
        <f t="shared" si="42"/>
        <v>да</v>
      </c>
      <c r="O2684" s="23">
        <v>44136</v>
      </c>
      <c r="P2684" s="23">
        <v>44136</v>
      </c>
      <c r="Q2684" s="106" t="s">
        <v>66</v>
      </c>
      <c r="R2684" s="37">
        <v>649</v>
      </c>
      <c r="S2684" s="39" t="s">
        <v>1058</v>
      </c>
      <c r="T2684" s="37">
        <v>1750</v>
      </c>
      <c r="U2684" s="38" t="s">
        <v>2026</v>
      </c>
      <c r="V2684" s="69" t="s">
        <v>272</v>
      </c>
      <c r="W2684" s="89" t="s">
        <v>143</v>
      </c>
      <c r="X2684" s="106" t="s">
        <v>297</v>
      </c>
      <c r="Y2684" s="107" t="s">
        <v>12</v>
      </c>
      <c r="Z2684" s="67">
        <f>IF(База_КР_КК[[#This Row],[Таб.номер резервиста]]="-","-",IF(OR(База_КР_КК[[#This Row],[Уровень КК]]=2,База_КР_КК[[#This Row],[Уровень КК]]=3),IF(COUNTIFS($U$2:$U2684,$U2684,$F$2:$F2684,$F2684)=1,1,0),IF(COUNTIFS($U$2:$U2684,$U2684,$L$2:$L2684,$L2684)=1,1,0)))</f>
        <v>0</v>
      </c>
      <c r="AA26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4" s="106"/>
      <c r="AC2684" s="51"/>
      <c r="AD2684" s="106" t="s">
        <v>13</v>
      </c>
      <c r="AE2684" s="38" t="s">
        <v>371</v>
      </c>
    </row>
    <row r="2685" spans="1:31" ht="18" customHeight="1" x14ac:dyDescent="0.25">
      <c r="A26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5" s="79">
        <v>4</v>
      </c>
      <c r="C2685" s="23">
        <v>44116</v>
      </c>
      <c r="D2685" s="67">
        <f>IF(COUNTIF($G$2:$G2685,$G2685)=1,1,0)</f>
        <v>0</v>
      </c>
      <c r="E2685" s="67" t="str">
        <f>IFERROR(VLOOKUP(База_КР_КК[[#This Row],[ИД штатной должности (S)]],'уровень защищенности'!$B$7:$F$1095,5,0),"не защищена")</f>
        <v>средний</v>
      </c>
      <c r="F2685" s="68">
        <v>500134</v>
      </c>
      <c r="G2685" s="74" t="s">
        <v>2826</v>
      </c>
      <c r="H2685" s="181">
        <f>INDEX('Списки данных'!$D$2:$D$1048576,MATCH(База_КР_КК[[#This Row],[Структурное подразделение]],'Списки данных'!$C$2:$C$1048576,0))</f>
        <v>20</v>
      </c>
      <c r="I2685" s="80" t="s">
        <v>143</v>
      </c>
      <c r="J2685" s="80" t="s">
        <v>242</v>
      </c>
      <c r="K2685" s="80" t="s">
        <v>21</v>
      </c>
      <c r="L2685" s="30" t="s">
        <v>191</v>
      </c>
      <c r="M2685" s="68">
        <v>7</v>
      </c>
      <c r="N2685" s="181" t="str">
        <f t="shared" si="42"/>
        <v>да</v>
      </c>
      <c r="O2685" s="23">
        <v>44136</v>
      </c>
      <c r="P2685" s="23">
        <v>44136</v>
      </c>
      <c r="Q2685" s="106" t="s">
        <v>66</v>
      </c>
      <c r="R2685" s="37">
        <v>649</v>
      </c>
      <c r="S2685" s="38" t="s">
        <v>1058</v>
      </c>
      <c r="T2685" s="37">
        <v>649</v>
      </c>
      <c r="U2685" s="39" t="s">
        <v>1058</v>
      </c>
      <c r="V2685" s="89" t="s">
        <v>192</v>
      </c>
      <c r="W2685" s="89" t="s">
        <v>143</v>
      </c>
      <c r="X2685" s="106" t="s">
        <v>295</v>
      </c>
      <c r="Y2685" s="107" t="s">
        <v>14</v>
      </c>
      <c r="Z2685" s="67">
        <f>IF(База_КР_КК[[#This Row],[Таб.номер резервиста]]="-","-",IF(OR(База_КР_КК[[#This Row],[Уровень КК]]=2,База_КР_КК[[#This Row],[Уровень КК]]=3),IF(COUNTIFS($U$2:$U2685,$U2685,$F$2:$F2685,$F2685)=1,1,0),IF(COUNTIFS($U$2:$U2685,$U2685,$L$2:$L2685,$L2685)=1,1,0)))</f>
        <v>1</v>
      </c>
      <c r="AA26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685" s="106" t="s">
        <v>24</v>
      </c>
      <c r="AC2685" s="51">
        <v>44136</v>
      </c>
      <c r="AD2685" s="106" t="s">
        <v>15</v>
      </c>
      <c r="AE2685" s="38" t="s">
        <v>373</v>
      </c>
    </row>
    <row r="2686" spans="1:31" ht="18" customHeight="1" x14ac:dyDescent="0.25">
      <c r="A26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6" s="79">
        <v>4</v>
      </c>
      <c r="C2686" s="23">
        <v>44116</v>
      </c>
      <c r="D2686" s="67">
        <f>IF(COUNTIF($G$2:$G2686,$G2686)=1,1,0)</f>
        <v>1</v>
      </c>
      <c r="E2686" s="67" t="str">
        <f>IFERROR(VLOOKUP(База_КР_КК[[#This Row],[ИД штатной должности (S)]],'уровень защищенности'!$B$7:$F$1095,5,0),"не защищена")</f>
        <v>средний</v>
      </c>
      <c r="F2686" s="68">
        <v>500134</v>
      </c>
      <c r="G2686" s="74" t="s">
        <v>2827</v>
      </c>
      <c r="H2686" s="181">
        <f>INDEX('Списки данных'!$D$2:$D$1048576,MATCH(База_КР_КК[[#This Row],[Структурное подразделение]],'Списки данных'!$C$2:$C$1048576,0))</f>
        <v>20</v>
      </c>
      <c r="I2686" s="80" t="s">
        <v>143</v>
      </c>
      <c r="J2686" s="80" t="s">
        <v>242</v>
      </c>
      <c r="K2686" s="80" t="s">
        <v>21</v>
      </c>
      <c r="L2686" s="30" t="s">
        <v>191</v>
      </c>
      <c r="M2686" s="68">
        <v>7</v>
      </c>
      <c r="N2686" s="181" t="str">
        <f t="shared" si="42"/>
        <v>да</v>
      </c>
      <c r="O2686" s="23">
        <v>44452</v>
      </c>
      <c r="P2686" s="23">
        <v>44599</v>
      </c>
      <c r="Q2686" s="106" t="s">
        <v>66</v>
      </c>
      <c r="R2686" s="37">
        <v>650</v>
      </c>
      <c r="S2686" s="39" t="s">
        <v>1059</v>
      </c>
      <c r="T2686" s="37">
        <v>1743</v>
      </c>
      <c r="U2686" s="39" t="s">
        <v>2023</v>
      </c>
      <c r="V2686" s="89" t="s">
        <v>272</v>
      </c>
      <c r="W2686" s="89" t="s">
        <v>143</v>
      </c>
      <c r="X2686" s="106" t="s">
        <v>297</v>
      </c>
      <c r="Y2686" s="107" t="s">
        <v>12</v>
      </c>
      <c r="Z2686" s="67">
        <f>IF(База_КР_КК[[#This Row],[Таб.номер резервиста]]="-","-",IF(OR(База_КР_КК[[#This Row],[Уровень КК]]=2,База_КР_КК[[#This Row],[Уровень КК]]=3),IF(COUNTIFS($U$2:$U2686,$U2686,$F$2:$F2686,$F2686)=1,1,0),IF(COUNTIFS($U$2:$U2686,$U2686,$L$2:$L2686,$L2686)=1,1,0)))</f>
        <v>0</v>
      </c>
      <c r="AA26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6" s="106"/>
      <c r="AC2686" s="51"/>
      <c r="AD2686" s="106" t="s">
        <v>13</v>
      </c>
      <c r="AE2686" s="38" t="s">
        <v>371</v>
      </c>
    </row>
    <row r="2687" spans="1:31" ht="18" customHeight="1" x14ac:dyDescent="0.25">
      <c r="A26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7" s="79">
        <v>4</v>
      </c>
      <c r="C2687" s="23">
        <v>44467</v>
      </c>
      <c r="D2687" s="67">
        <f>IF(COUNTIF($G$2:$G2687,$G2687)=1,1,0)</f>
        <v>0</v>
      </c>
      <c r="E2687" s="67" t="str">
        <f>IFERROR(VLOOKUP(База_КР_КК[[#This Row],[ИД штатной должности (S)]],'уровень защищенности'!$B$7:$F$1095,5,0),"не защищена")</f>
        <v>средний</v>
      </c>
      <c r="F2687" s="68">
        <v>500134</v>
      </c>
      <c r="G2687" s="74" t="s">
        <v>2827</v>
      </c>
      <c r="H2687" s="181">
        <f>INDEX('Списки данных'!$D$2:$D$1048576,MATCH(База_КР_КК[[#This Row],[Структурное подразделение]],'Списки данных'!$C$2:$C$1048576,0))</f>
        <v>20</v>
      </c>
      <c r="I2687" s="80" t="s">
        <v>143</v>
      </c>
      <c r="J2687" s="80" t="s">
        <v>242</v>
      </c>
      <c r="K2687" s="80" t="s">
        <v>21</v>
      </c>
      <c r="L2687" s="30" t="s">
        <v>191</v>
      </c>
      <c r="M2687" s="68">
        <v>7</v>
      </c>
      <c r="N2687" s="181" t="str">
        <f t="shared" ref="N2687:N2750" si="43">IF(ISBLANK(O2687),"нет","да")</f>
        <v>да</v>
      </c>
      <c r="O2687" s="23">
        <v>44452</v>
      </c>
      <c r="P2687" s="23">
        <v>44599</v>
      </c>
      <c r="Q2687" s="106" t="s">
        <v>66</v>
      </c>
      <c r="R2687" s="37">
        <v>650</v>
      </c>
      <c r="S2687" s="39" t="s">
        <v>1059</v>
      </c>
      <c r="T2687" s="37">
        <v>1744</v>
      </c>
      <c r="U2687" s="39" t="s">
        <v>2024</v>
      </c>
      <c r="V2687" s="89" t="s">
        <v>272</v>
      </c>
      <c r="W2687" s="89" t="s">
        <v>143</v>
      </c>
      <c r="X2687" s="106" t="s">
        <v>297</v>
      </c>
      <c r="Y2687" s="107" t="s">
        <v>12</v>
      </c>
      <c r="Z2687" s="67">
        <f>IF(База_КР_КК[[#This Row],[Таб.номер резервиста]]="-","-",IF(OR(База_КР_КК[[#This Row],[Уровень КК]]=2,База_КР_КК[[#This Row],[Уровень КК]]=3),IF(COUNTIFS($U$2:$U2687,$U2687,$F$2:$F2687,$F2687)=1,1,0),IF(COUNTIFS($U$2:$U2687,$U2687,$L$2:$L2687,$L2687)=1,1,0)))</f>
        <v>0</v>
      </c>
      <c r="AA26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7" s="106"/>
      <c r="AC2687" s="51"/>
      <c r="AD2687" s="106" t="s">
        <v>13</v>
      </c>
      <c r="AE2687" s="38" t="s">
        <v>371</v>
      </c>
    </row>
    <row r="2688" spans="1:31" ht="18" customHeight="1" x14ac:dyDescent="0.25">
      <c r="A26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8" s="79">
        <v>4</v>
      </c>
      <c r="C2688" s="23">
        <v>44467</v>
      </c>
      <c r="D2688" s="67">
        <f>IF(COUNTIF($G$2:$G2688,$G2688)=1,1,0)</f>
        <v>0</v>
      </c>
      <c r="E2688" s="67" t="str">
        <f>IFERROR(VLOOKUP(База_КР_КК[[#This Row],[ИД штатной должности (S)]],'уровень защищенности'!$B$7:$F$1095,5,0),"не защищена")</f>
        <v>средний</v>
      </c>
      <c r="F2688" s="68">
        <v>500134</v>
      </c>
      <c r="G2688" s="74" t="s">
        <v>2827</v>
      </c>
      <c r="H2688" s="181">
        <f>INDEX('Списки данных'!$D$2:$D$1048576,MATCH(База_КР_КК[[#This Row],[Структурное подразделение]],'Списки данных'!$C$2:$C$1048576,0))</f>
        <v>20</v>
      </c>
      <c r="I2688" s="80" t="s">
        <v>143</v>
      </c>
      <c r="J2688" s="80" t="s">
        <v>242</v>
      </c>
      <c r="K2688" s="80" t="s">
        <v>21</v>
      </c>
      <c r="L2688" s="30" t="s">
        <v>191</v>
      </c>
      <c r="M2688" s="68">
        <v>7</v>
      </c>
      <c r="N2688" s="181" t="str">
        <f t="shared" si="43"/>
        <v>да</v>
      </c>
      <c r="O2688" s="23">
        <v>44452</v>
      </c>
      <c r="P2688" s="23">
        <v>44599</v>
      </c>
      <c r="Q2688" s="106" t="s">
        <v>66</v>
      </c>
      <c r="R2688" s="37">
        <v>650</v>
      </c>
      <c r="S2688" s="39" t="s">
        <v>1059</v>
      </c>
      <c r="T2688" s="37">
        <v>1745</v>
      </c>
      <c r="U2688" s="39" t="s">
        <v>2011</v>
      </c>
      <c r="V2688" s="89" t="s">
        <v>272</v>
      </c>
      <c r="W2688" s="89" t="s">
        <v>143</v>
      </c>
      <c r="X2688" s="106" t="s">
        <v>296</v>
      </c>
      <c r="Y2688" s="107" t="s">
        <v>12</v>
      </c>
      <c r="Z2688" s="67">
        <f>IF(База_КР_КК[[#This Row],[Таб.номер резервиста]]="-","-",IF(OR(База_КР_КК[[#This Row],[Уровень КК]]=2,База_КР_КК[[#This Row],[Уровень КК]]=3),IF(COUNTIFS($U$2:$U2688,$U2688,$F$2:$F2688,$F2688)=1,1,0),IF(COUNTIFS($U$2:$U2688,$U2688,$L$2:$L2688,$L2688)=1,1,0)))</f>
        <v>0</v>
      </c>
      <c r="AA26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8" s="106"/>
      <c r="AC2688" s="51"/>
      <c r="AD2688" s="106" t="s">
        <v>13</v>
      </c>
      <c r="AE2688" s="38" t="s">
        <v>371</v>
      </c>
    </row>
    <row r="2689" spans="1:31" ht="18" customHeight="1" x14ac:dyDescent="0.25">
      <c r="A26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89" s="79">
        <v>4</v>
      </c>
      <c r="C2689" s="23">
        <v>44467</v>
      </c>
      <c r="D2689" s="67">
        <f>IF(COUNTIF($G$2:$G2689,$G2689)=1,1,0)</f>
        <v>0</v>
      </c>
      <c r="E2689" s="67" t="str">
        <f>IFERROR(VLOOKUP(База_КР_КК[[#This Row],[ИД штатной должности (S)]],'уровень защищенности'!$B$7:$F$1095,5,0),"не защищена")</f>
        <v>средний</v>
      </c>
      <c r="F2689" s="68">
        <v>500134</v>
      </c>
      <c r="G2689" s="74" t="s">
        <v>2827</v>
      </c>
      <c r="H2689" s="181">
        <f>INDEX('Списки данных'!$D$2:$D$1048576,MATCH(База_КР_КК[[#This Row],[Структурное подразделение]],'Списки данных'!$C$2:$C$1048576,0))</f>
        <v>20</v>
      </c>
      <c r="I2689" s="80" t="s">
        <v>143</v>
      </c>
      <c r="J2689" s="80" t="s">
        <v>242</v>
      </c>
      <c r="K2689" s="80" t="s">
        <v>21</v>
      </c>
      <c r="L2689" s="30" t="s">
        <v>191</v>
      </c>
      <c r="M2689" s="68">
        <v>7</v>
      </c>
      <c r="N2689" s="181" t="str">
        <f t="shared" si="43"/>
        <v>да</v>
      </c>
      <c r="O2689" s="23">
        <v>44452</v>
      </c>
      <c r="P2689" s="23">
        <v>44599</v>
      </c>
      <c r="Q2689" s="106" t="s">
        <v>66</v>
      </c>
      <c r="R2689" s="37">
        <v>650</v>
      </c>
      <c r="S2689" s="39" t="s">
        <v>1059</v>
      </c>
      <c r="T2689" s="37">
        <v>1746</v>
      </c>
      <c r="U2689" s="39" t="s">
        <v>1956</v>
      </c>
      <c r="V2689" s="89" t="s">
        <v>272</v>
      </c>
      <c r="W2689" s="89" t="s">
        <v>143</v>
      </c>
      <c r="X2689" s="106" t="s">
        <v>296</v>
      </c>
      <c r="Y2689" s="107" t="s">
        <v>12</v>
      </c>
      <c r="Z2689" s="67">
        <f>IF(База_КР_КК[[#This Row],[Таб.номер резервиста]]="-","-",IF(OR(База_КР_КК[[#This Row],[Уровень КК]]=2,База_КР_КК[[#This Row],[Уровень КК]]=3),IF(COUNTIFS($U$2:$U2689,$U2689,$F$2:$F2689,$F2689)=1,1,0),IF(COUNTIFS($U$2:$U2689,$U2689,$L$2:$L2689,$L2689)=1,1,0)))</f>
        <v>0</v>
      </c>
      <c r="AA26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89" s="106"/>
      <c r="AC2689" s="51"/>
      <c r="AD2689" s="106" t="s">
        <v>13</v>
      </c>
      <c r="AE2689" s="38" t="s">
        <v>371</v>
      </c>
    </row>
    <row r="2690" spans="1:31" ht="18" customHeight="1" x14ac:dyDescent="0.25">
      <c r="A26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0" s="79">
        <v>4</v>
      </c>
      <c r="C2690" s="23">
        <v>44467</v>
      </c>
      <c r="D2690" s="67">
        <f>IF(COUNTIF($G$2:$G2690,$G2690)=1,1,0)</f>
        <v>0</v>
      </c>
      <c r="E2690" s="67" t="str">
        <f>IFERROR(VLOOKUP(База_КР_КК[[#This Row],[ИД штатной должности (S)]],'уровень защищенности'!$B$7:$F$1095,5,0),"не защищена")</f>
        <v>средний</v>
      </c>
      <c r="F2690" s="68">
        <v>500134</v>
      </c>
      <c r="G2690" s="74" t="s">
        <v>2827</v>
      </c>
      <c r="H2690" s="181">
        <f>INDEX('Списки данных'!$D$2:$D$1048576,MATCH(База_КР_КК[[#This Row],[Структурное подразделение]],'Списки данных'!$C$2:$C$1048576,0))</f>
        <v>20</v>
      </c>
      <c r="I2690" s="80" t="s">
        <v>143</v>
      </c>
      <c r="J2690" s="80" t="s">
        <v>242</v>
      </c>
      <c r="K2690" s="80" t="s">
        <v>21</v>
      </c>
      <c r="L2690" s="30" t="s">
        <v>191</v>
      </c>
      <c r="M2690" s="68">
        <v>7</v>
      </c>
      <c r="N2690" s="181" t="str">
        <f t="shared" si="43"/>
        <v>да</v>
      </c>
      <c r="O2690" s="23">
        <v>44452</v>
      </c>
      <c r="P2690" s="23">
        <v>44599</v>
      </c>
      <c r="Q2690" s="106" t="s">
        <v>66</v>
      </c>
      <c r="R2690" s="37">
        <v>650</v>
      </c>
      <c r="S2690" s="39" t="s">
        <v>1059</v>
      </c>
      <c r="T2690" s="37">
        <v>1747</v>
      </c>
      <c r="U2690" s="39" t="s">
        <v>1967</v>
      </c>
      <c r="V2690" s="89" t="s">
        <v>272</v>
      </c>
      <c r="W2690" s="89" t="s">
        <v>143</v>
      </c>
      <c r="X2690" s="106" t="s">
        <v>296</v>
      </c>
      <c r="Y2690" s="107" t="s">
        <v>12</v>
      </c>
      <c r="Z2690" s="67">
        <f>IF(База_КР_КК[[#This Row],[Таб.номер резервиста]]="-","-",IF(OR(База_КР_КК[[#This Row],[Уровень КК]]=2,База_КР_КК[[#This Row],[Уровень КК]]=3),IF(COUNTIFS($U$2:$U2690,$U2690,$F$2:$F2690,$F2690)=1,1,0),IF(COUNTIFS($U$2:$U2690,$U2690,$L$2:$L2690,$L2690)=1,1,0)))</f>
        <v>0</v>
      </c>
      <c r="AA26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0" s="106"/>
      <c r="AC2690" s="51"/>
      <c r="AD2690" s="106" t="s">
        <v>13</v>
      </c>
      <c r="AE2690" s="38" t="s">
        <v>371</v>
      </c>
    </row>
    <row r="2691" spans="1:31" ht="18" customHeight="1" x14ac:dyDescent="0.25">
      <c r="A26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1" s="79">
        <v>4</v>
      </c>
      <c r="C2691" s="23">
        <v>44467</v>
      </c>
      <c r="D2691" s="67">
        <f>IF(COUNTIF($G$2:$G2691,$G2691)=1,1,0)</f>
        <v>0</v>
      </c>
      <c r="E2691" s="67" t="str">
        <f>IFERROR(VLOOKUP(База_КР_КК[[#This Row],[ИД штатной должности (S)]],'уровень защищенности'!$B$7:$F$1095,5,0),"не защищена")</f>
        <v>средний</v>
      </c>
      <c r="F2691" s="68">
        <v>500134</v>
      </c>
      <c r="G2691" s="74" t="s">
        <v>2827</v>
      </c>
      <c r="H2691" s="181">
        <f>INDEX('Списки данных'!$D$2:$D$1048576,MATCH(База_КР_КК[[#This Row],[Структурное подразделение]],'Списки данных'!$C$2:$C$1048576,0))</f>
        <v>20</v>
      </c>
      <c r="I2691" s="80" t="s">
        <v>143</v>
      </c>
      <c r="J2691" s="80" t="s">
        <v>242</v>
      </c>
      <c r="K2691" s="80" t="s">
        <v>21</v>
      </c>
      <c r="L2691" s="30" t="s">
        <v>191</v>
      </c>
      <c r="M2691" s="68">
        <v>7</v>
      </c>
      <c r="N2691" s="181" t="str">
        <f t="shared" si="43"/>
        <v>да</v>
      </c>
      <c r="O2691" s="23">
        <v>44452</v>
      </c>
      <c r="P2691" s="23">
        <v>44599</v>
      </c>
      <c r="Q2691" s="106" t="s">
        <v>66</v>
      </c>
      <c r="R2691" s="37">
        <v>650</v>
      </c>
      <c r="S2691" s="39" t="s">
        <v>1059</v>
      </c>
      <c r="T2691" s="37">
        <v>1748</v>
      </c>
      <c r="U2691" s="39" t="s">
        <v>2011</v>
      </c>
      <c r="V2691" s="89" t="s">
        <v>272</v>
      </c>
      <c r="W2691" s="89" t="s">
        <v>143</v>
      </c>
      <c r="X2691" s="106" t="s">
        <v>296</v>
      </c>
      <c r="Y2691" s="107" t="s">
        <v>12</v>
      </c>
      <c r="Z2691" s="67">
        <f>IF(База_КР_КК[[#This Row],[Таб.номер резервиста]]="-","-",IF(OR(База_КР_КК[[#This Row],[Уровень КК]]=2,База_КР_КК[[#This Row],[Уровень КК]]=3),IF(COUNTIFS($U$2:$U2691,$U2691,$F$2:$F2691,$F2691)=1,1,0),IF(COUNTIFS($U$2:$U2691,$U2691,$L$2:$L2691,$L2691)=1,1,0)))</f>
        <v>0</v>
      </c>
      <c r="AA26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1" s="106"/>
      <c r="AC2691" s="51"/>
      <c r="AD2691" s="106" t="s">
        <v>13</v>
      </c>
      <c r="AE2691" s="38" t="s">
        <v>371</v>
      </c>
    </row>
    <row r="2692" spans="1:31" ht="18" customHeight="1" x14ac:dyDescent="0.25">
      <c r="A26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2" s="79">
        <v>4</v>
      </c>
      <c r="C2692" s="23">
        <v>44467</v>
      </c>
      <c r="D2692" s="67">
        <f>IF(COUNTIF($G$2:$G2692,$G2692)=1,1,0)</f>
        <v>0</v>
      </c>
      <c r="E2692" s="67" t="str">
        <f>IFERROR(VLOOKUP(База_КР_КК[[#This Row],[ИД штатной должности (S)]],'уровень защищенности'!$B$7:$F$1095,5,0),"не защищена")</f>
        <v>средний</v>
      </c>
      <c r="F2692" s="68">
        <v>500134</v>
      </c>
      <c r="G2692" s="74" t="s">
        <v>2827</v>
      </c>
      <c r="H2692" s="181">
        <f>INDEX('Списки данных'!$D$2:$D$1048576,MATCH(База_КР_КК[[#This Row],[Структурное подразделение]],'Списки данных'!$C$2:$C$1048576,0))</f>
        <v>20</v>
      </c>
      <c r="I2692" s="80" t="s">
        <v>143</v>
      </c>
      <c r="J2692" s="80" t="s">
        <v>242</v>
      </c>
      <c r="K2692" s="80" t="s">
        <v>21</v>
      </c>
      <c r="L2692" s="30" t="s">
        <v>191</v>
      </c>
      <c r="M2692" s="68">
        <v>7</v>
      </c>
      <c r="N2692" s="181" t="str">
        <f t="shared" si="43"/>
        <v>да</v>
      </c>
      <c r="O2692" s="23">
        <v>44452</v>
      </c>
      <c r="P2692" s="23">
        <v>44599</v>
      </c>
      <c r="Q2692" s="106" t="s">
        <v>66</v>
      </c>
      <c r="R2692" s="37">
        <v>650</v>
      </c>
      <c r="S2692" s="39" t="s">
        <v>1059</v>
      </c>
      <c r="T2692" s="37">
        <v>1749</v>
      </c>
      <c r="U2692" s="39" t="s">
        <v>2025</v>
      </c>
      <c r="V2692" s="89" t="s">
        <v>272</v>
      </c>
      <c r="W2692" s="89" t="s">
        <v>143</v>
      </c>
      <c r="X2692" s="106" t="s">
        <v>297</v>
      </c>
      <c r="Y2692" s="107" t="s">
        <v>12</v>
      </c>
      <c r="Z2692" s="67">
        <f>IF(База_КР_КК[[#This Row],[Таб.номер резервиста]]="-","-",IF(OR(База_КР_КК[[#This Row],[Уровень КК]]=2,База_КР_КК[[#This Row],[Уровень КК]]=3),IF(COUNTIFS($U$2:$U2692,$U2692,$F$2:$F2692,$F2692)=1,1,0),IF(COUNTIFS($U$2:$U2692,$U2692,$L$2:$L2692,$L2692)=1,1,0)))</f>
        <v>0</v>
      </c>
      <c r="AA26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2" s="106"/>
      <c r="AC2692" s="51"/>
      <c r="AD2692" s="106" t="s">
        <v>13</v>
      </c>
      <c r="AE2692" s="38" t="s">
        <v>371</v>
      </c>
    </row>
    <row r="2693" spans="1:31" ht="18" customHeight="1" x14ac:dyDescent="0.25">
      <c r="A26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3" s="79">
        <v>4</v>
      </c>
      <c r="C2693" s="23">
        <v>44855</v>
      </c>
      <c r="D2693" s="67">
        <f>IF(COUNTIF($G$2:$G2693,$G2693)=1,1,0)</f>
        <v>0</v>
      </c>
      <c r="E2693" s="67" t="str">
        <f>IFERROR(VLOOKUP(База_КР_КК[[#This Row],[ИД штатной должности (S)]],'уровень защищенности'!$B$7:$F$1095,5,0),"не защищена")</f>
        <v>средний</v>
      </c>
      <c r="F2693" s="68">
        <v>500134</v>
      </c>
      <c r="G2693" s="74" t="s">
        <v>2827</v>
      </c>
      <c r="H2693" s="181">
        <f>INDEX('Списки данных'!$D$2:$D$1048576,MATCH(База_КР_КК[[#This Row],[Структурное подразделение]],'Списки данных'!$C$2:$C$1048576,0))</f>
        <v>20</v>
      </c>
      <c r="I2693" s="80" t="s">
        <v>143</v>
      </c>
      <c r="J2693" s="80" t="s">
        <v>242</v>
      </c>
      <c r="K2693" s="80" t="s">
        <v>21</v>
      </c>
      <c r="L2693" s="30" t="s">
        <v>191</v>
      </c>
      <c r="M2693" s="68">
        <v>7</v>
      </c>
      <c r="N2693" s="181" t="str">
        <f t="shared" si="43"/>
        <v>да</v>
      </c>
      <c r="O2693" s="23">
        <v>44452</v>
      </c>
      <c r="P2693" s="23">
        <v>44599</v>
      </c>
      <c r="Q2693" s="106" t="s">
        <v>66</v>
      </c>
      <c r="R2693" s="37">
        <v>650</v>
      </c>
      <c r="S2693" s="39" t="s">
        <v>1059</v>
      </c>
      <c r="T2693" s="37">
        <v>1750</v>
      </c>
      <c r="U2693" s="38" t="s">
        <v>2026</v>
      </c>
      <c r="V2693" s="69" t="s">
        <v>272</v>
      </c>
      <c r="W2693" s="89" t="s">
        <v>143</v>
      </c>
      <c r="X2693" s="106" t="s">
        <v>297</v>
      </c>
      <c r="Y2693" s="107" t="s">
        <v>12</v>
      </c>
      <c r="Z2693" s="67">
        <f>IF(База_КР_КК[[#This Row],[Таб.номер резервиста]]="-","-",IF(OR(База_КР_КК[[#This Row],[Уровень КК]]=2,База_КР_КК[[#This Row],[Уровень КК]]=3),IF(COUNTIFS($U$2:$U2693,$U2693,$F$2:$F2693,$F2693)=1,1,0),IF(COUNTIFS($U$2:$U2693,$U2693,$L$2:$L2693,$L2693)=1,1,0)))</f>
        <v>0</v>
      </c>
      <c r="AA26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3" s="106"/>
      <c r="AC2693" s="51"/>
      <c r="AD2693" s="106" t="s">
        <v>13</v>
      </c>
      <c r="AE2693" s="38" t="s">
        <v>371</v>
      </c>
    </row>
    <row r="2694" spans="1:31" ht="18" customHeight="1" x14ac:dyDescent="0.25">
      <c r="A26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4" s="79">
        <v>4</v>
      </c>
      <c r="C2694" s="23">
        <v>44538</v>
      </c>
      <c r="D2694" s="67">
        <f>IF(COUNTIF($G$2:$G2694,$G2694)=1,1,0)</f>
        <v>0</v>
      </c>
      <c r="E2694" s="67" t="str">
        <f>IFERROR(VLOOKUP(База_КР_КК[[#This Row],[ИД штатной должности (S)]],'уровень защищенности'!$B$7:$F$1095,5,0),"не защищена")</f>
        <v>средний</v>
      </c>
      <c r="F2694" s="68">
        <v>500134</v>
      </c>
      <c r="G2694" s="74" t="s">
        <v>2827</v>
      </c>
      <c r="H2694" s="181">
        <f>INDEX('Списки данных'!$D$2:$D$1048576,MATCH(База_КР_КК[[#This Row],[Структурное подразделение]],'Списки данных'!$C$2:$C$1048576,0))</f>
        <v>20</v>
      </c>
      <c r="I2694" s="80" t="s">
        <v>143</v>
      </c>
      <c r="J2694" s="80" t="s">
        <v>242</v>
      </c>
      <c r="K2694" s="80" t="s">
        <v>21</v>
      </c>
      <c r="L2694" s="30" t="s">
        <v>191</v>
      </c>
      <c r="M2694" s="68">
        <v>7</v>
      </c>
      <c r="N2694" s="181" t="str">
        <f t="shared" si="43"/>
        <v>да</v>
      </c>
      <c r="O2694" s="23">
        <v>44452</v>
      </c>
      <c r="P2694" s="23">
        <v>44599</v>
      </c>
      <c r="Q2694" s="106" t="s">
        <v>66</v>
      </c>
      <c r="R2694" s="37">
        <v>650</v>
      </c>
      <c r="S2694" s="39" t="s">
        <v>1059</v>
      </c>
      <c r="T2694" s="37">
        <v>650</v>
      </c>
      <c r="U2694" s="39" t="s">
        <v>1059</v>
      </c>
      <c r="V2694" s="89" t="s">
        <v>192</v>
      </c>
      <c r="W2694" s="89" t="s">
        <v>143</v>
      </c>
      <c r="X2694" s="106" t="s">
        <v>295</v>
      </c>
      <c r="Y2694" s="107" t="s">
        <v>14</v>
      </c>
      <c r="Z2694" s="67">
        <f>IF(База_КР_КК[[#This Row],[Таб.номер резервиста]]="-","-",IF(OR(База_КР_КК[[#This Row],[Уровень КК]]=2,База_КР_КК[[#This Row],[Уровень КК]]=3),IF(COUNTIFS($U$2:$U2694,$U2694,$F$2:$F2694,$F2694)=1,1,0),IF(COUNTIFS($U$2:$U2694,$U2694,$L$2:$L2694,$L2694)=1,1,0)))</f>
        <v>1</v>
      </c>
      <c r="AA26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694" s="106" t="s">
        <v>24</v>
      </c>
      <c r="AC2694" s="51">
        <v>44599</v>
      </c>
      <c r="AD2694" s="106" t="s">
        <v>15</v>
      </c>
      <c r="AE2694" s="38" t="s">
        <v>374</v>
      </c>
    </row>
    <row r="2695" spans="1:31" ht="18" customHeight="1" x14ac:dyDescent="0.25">
      <c r="A26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5" s="79">
        <v>4</v>
      </c>
      <c r="C2695" s="23">
        <v>44116</v>
      </c>
      <c r="D2695" s="67">
        <f>IF(COUNTIF($G$2:$G2695,$G2695)=1,1,0)</f>
        <v>1</v>
      </c>
      <c r="E2695" s="67" t="str">
        <f>IFERROR(VLOOKUP(База_КР_КК[[#This Row],[ИД штатной должности (S)]],'уровень защищенности'!$B$7:$F$1095,5,0),"не защищена")</f>
        <v>средний</v>
      </c>
      <c r="F2695" s="68">
        <v>500134</v>
      </c>
      <c r="G2695" s="74" t="s">
        <v>2828</v>
      </c>
      <c r="H2695" s="181">
        <f>INDEX('Списки данных'!$D$2:$D$1048576,MATCH(База_КР_КК[[#This Row],[Структурное подразделение]],'Списки данных'!$C$2:$C$1048576,0))</f>
        <v>20</v>
      </c>
      <c r="I2695" s="80" t="s">
        <v>143</v>
      </c>
      <c r="J2695" s="80" t="s">
        <v>242</v>
      </c>
      <c r="K2695" s="80" t="s">
        <v>21</v>
      </c>
      <c r="L2695" s="30" t="s">
        <v>191</v>
      </c>
      <c r="M2695" s="68">
        <v>7</v>
      </c>
      <c r="N2695" s="181" t="str">
        <f t="shared" si="43"/>
        <v>нет</v>
      </c>
      <c r="O2695" s="23"/>
      <c r="P2695" s="23"/>
      <c r="Q2695" s="106"/>
      <c r="R2695" s="37">
        <v>651</v>
      </c>
      <c r="S2695" s="38" t="s">
        <v>1060</v>
      </c>
      <c r="T2695" s="37">
        <v>1743</v>
      </c>
      <c r="U2695" s="39" t="s">
        <v>2023</v>
      </c>
      <c r="V2695" s="89" t="s">
        <v>272</v>
      </c>
      <c r="W2695" s="89" t="s">
        <v>143</v>
      </c>
      <c r="X2695" s="106" t="s">
        <v>297</v>
      </c>
      <c r="Y2695" s="107" t="s">
        <v>12</v>
      </c>
      <c r="Z2695" s="67">
        <f>IF(База_КР_КК[[#This Row],[Таб.номер резервиста]]="-","-",IF(OR(База_КР_КК[[#This Row],[Уровень КК]]=2,База_КР_КК[[#This Row],[Уровень КК]]=3),IF(COUNTIFS($U$2:$U2695,$U2695,$F$2:$F2695,$F2695)=1,1,0),IF(COUNTIFS($U$2:$U2695,$U2695,$L$2:$L2695,$L2695)=1,1,0)))</f>
        <v>0</v>
      </c>
      <c r="AA26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5" s="106"/>
      <c r="AC2695" s="51"/>
      <c r="AD2695" s="106" t="s">
        <v>13</v>
      </c>
      <c r="AE2695" s="38" t="s">
        <v>371</v>
      </c>
    </row>
    <row r="2696" spans="1:31" ht="18" customHeight="1" x14ac:dyDescent="0.25">
      <c r="A26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6" s="79">
        <v>4</v>
      </c>
      <c r="C2696" s="23">
        <v>44467</v>
      </c>
      <c r="D2696" s="67">
        <f>IF(COUNTIF($G$2:$G2696,$G2696)=1,1,0)</f>
        <v>0</v>
      </c>
      <c r="E2696" s="67" t="str">
        <f>IFERROR(VLOOKUP(База_КР_КК[[#This Row],[ИД штатной должности (S)]],'уровень защищенности'!$B$7:$F$1095,5,0),"не защищена")</f>
        <v>средний</v>
      </c>
      <c r="F2696" s="68">
        <v>500134</v>
      </c>
      <c r="G2696" s="74" t="s">
        <v>2828</v>
      </c>
      <c r="H2696" s="181">
        <f>INDEX('Списки данных'!$D$2:$D$1048576,MATCH(База_КР_КК[[#This Row],[Структурное подразделение]],'Списки данных'!$C$2:$C$1048576,0))</f>
        <v>20</v>
      </c>
      <c r="I2696" s="80" t="s">
        <v>143</v>
      </c>
      <c r="J2696" s="80" t="s">
        <v>242</v>
      </c>
      <c r="K2696" s="80" t="s">
        <v>21</v>
      </c>
      <c r="L2696" s="30" t="s">
        <v>191</v>
      </c>
      <c r="M2696" s="68">
        <v>7</v>
      </c>
      <c r="N2696" s="181" t="str">
        <f t="shared" si="43"/>
        <v>нет</v>
      </c>
      <c r="O2696" s="23"/>
      <c r="P2696" s="23"/>
      <c r="Q2696" s="106"/>
      <c r="R2696" s="37">
        <v>651</v>
      </c>
      <c r="S2696" s="38" t="s">
        <v>1060</v>
      </c>
      <c r="T2696" s="37">
        <v>1744</v>
      </c>
      <c r="U2696" s="39" t="s">
        <v>2024</v>
      </c>
      <c r="V2696" s="89" t="s">
        <v>272</v>
      </c>
      <c r="W2696" s="89" t="s">
        <v>143</v>
      </c>
      <c r="X2696" s="106" t="s">
        <v>297</v>
      </c>
      <c r="Y2696" s="107" t="s">
        <v>12</v>
      </c>
      <c r="Z2696" s="67">
        <f>IF(База_КР_КК[[#This Row],[Таб.номер резервиста]]="-","-",IF(OR(База_КР_КК[[#This Row],[Уровень КК]]=2,База_КР_КК[[#This Row],[Уровень КК]]=3),IF(COUNTIFS($U$2:$U2696,$U2696,$F$2:$F2696,$F2696)=1,1,0),IF(COUNTIFS($U$2:$U2696,$U2696,$L$2:$L2696,$L2696)=1,1,0)))</f>
        <v>0</v>
      </c>
      <c r="AA26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6" s="106"/>
      <c r="AC2696" s="51"/>
      <c r="AD2696" s="106" t="s">
        <v>13</v>
      </c>
      <c r="AE2696" s="38" t="s">
        <v>371</v>
      </c>
    </row>
    <row r="2697" spans="1:31" ht="18" customHeight="1" x14ac:dyDescent="0.25">
      <c r="A26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7" s="79">
        <v>4</v>
      </c>
      <c r="C2697" s="23">
        <v>44467</v>
      </c>
      <c r="D2697" s="67">
        <f>IF(COUNTIF($G$2:$G2697,$G2697)=1,1,0)</f>
        <v>0</v>
      </c>
      <c r="E2697" s="67" t="str">
        <f>IFERROR(VLOOKUP(База_КР_КК[[#This Row],[ИД штатной должности (S)]],'уровень защищенности'!$B$7:$F$1095,5,0),"не защищена")</f>
        <v>средний</v>
      </c>
      <c r="F2697" s="68">
        <v>500134</v>
      </c>
      <c r="G2697" s="74" t="s">
        <v>2828</v>
      </c>
      <c r="H2697" s="181">
        <f>INDEX('Списки данных'!$D$2:$D$1048576,MATCH(База_КР_КК[[#This Row],[Структурное подразделение]],'Списки данных'!$C$2:$C$1048576,0))</f>
        <v>20</v>
      </c>
      <c r="I2697" s="80" t="s">
        <v>143</v>
      </c>
      <c r="J2697" s="80" t="s">
        <v>242</v>
      </c>
      <c r="K2697" s="80" t="s">
        <v>21</v>
      </c>
      <c r="L2697" s="30" t="s">
        <v>191</v>
      </c>
      <c r="M2697" s="68">
        <v>7</v>
      </c>
      <c r="N2697" s="181" t="str">
        <f t="shared" si="43"/>
        <v>нет</v>
      </c>
      <c r="O2697" s="23"/>
      <c r="P2697" s="23"/>
      <c r="Q2697" s="106"/>
      <c r="R2697" s="37">
        <v>651</v>
      </c>
      <c r="S2697" s="38" t="s">
        <v>1060</v>
      </c>
      <c r="T2697" s="37">
        <v>1745</v>
      </c>
      <c r="U2697" s="39" t="s">
        <v>2011</v>
      </c>
      <c r="V2697" s="89" t="s">
        <v>272</v>
      </c>
      <c r="W2697" s="89" t="s">
        <v>143</v>
      </c>
      <c r="X2697" s="106" t="s">
        <v>296</v>
      </c>
      <c r="Y2697" s="107" t="s">
        <v>12</v>
      </c>
      <c r="Z2697" s="67">
        <f>IF(База_КР_КК[[#This Row],[Таб.номер резервиста]]="-","-",IF(OR(База_КР_КК[[#This Row],[Уровень КК]]=2,База_КР_КК[[#This Row],[Уровень КК]]=3),IF(COUNTIFS($U$2:$U2697,$U2697,$F$2:$F2697,$F2697)=1,1,0),IF(COUNTIFS($U$2:$U2697,$U2697,$L$2:$L2697,$L2697)=1,1,0)))</f>
        <v>0</v>
      </c>
      <c r="AA26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7" s="106"/>
      <c r="AC2697" s="51"/>
      <c r="AD2697" s="106" t="s">
        <v>13</v>
      </c>
      <c r="AE2697" s="38" t="s">
        <v>371</v>
      </c>
    </row>
    <row r="2698" spans="1:31" ht="18" customHeight="1" x14ac:dyDescent="0.25">
      <c r="A26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8" s="79">
        <v>4</v>
      </c>
      <c r="C2698" s="23">
        <v>44467</v>
      </c>
      <c r="D2698" s="67">
        <f>IF(COUNTIF($G$2:$G2698,$G2698)=1,1,0)</f>
        <v>0</v>
      </c>
      <c r="E2698" s="67" t="str">
        <f>IFERROR(VLOOKUP(База_КР_КК[[#This Row],[ИД штатной должности (S)]],'уровень защищенности'!$B$7:$F$1095,5,0),"не защищена")</f>
        <v>средний</v>
      </c>
      <c r="F2698" s="68">
        <v>500134</v>
      </c>
      <c r="G2698" s="74" t="s">
        <v>2828</v>
      </c>
      <c r="H2698" s="181">
        <f>INDEX('Списки данных'!$D$2:$D$1048576,MATCH(База_КР_КК[[#This Row],[Структурное подразделение]],'Списки данных'!$C$2:$C$1048576,0))</f>
        <v>20</v>
      </c>
      <c r="I2698" s="80" t="s">
        <v>143</v>
      </c>
      <c r="J2698" s="80" t="s">
        <v>242</v>
      </c>
      <c r="K2698" s="80" t="s">
        <v>21</v>
      </c>
      <c r="L2698" s="30" t="s">
        <v>191</v>
      </c>
      <c r="M2698" s="68">
        <v>7</v>
      </c>
      <c r="N2698" s="181" t="str">
        <f t="shared" si="43"/>
        <v>нет</v>
      </c>
      <c r="O2698" s="23"/>
      <c r="P2698" s="23"/>
      <c r="Q2698" s="106"/>
      <c r="R2698" s="37">
        <v>651</v>
      </c>
      <c r="S2698" s="38" t="s">
        <v>1060</v>
      </c>
      <c r="T2698" s="37">
        <v>1746</v>
      </c>
      <c r="U2698" s="39" t="s">
        <v>1956</v>
      </c>
      <c r="V2698" s="89" t="s">
        <v>272</v>
      </c>
      <c r="W2698" s="89" t="s">
        <v>143</v>
      </c>
      <c r="X2698" s="106" t="s">
        <v>296</v>
      </c>
      <c r="Y2698" s="107" t="s">
        <v>12</v>
      </c>
      <c r="Z2698" s="67">
        <f>IF(База_КР_КК[[#This Row],[Таб.номер резервиста]]="-","-",IF(OR(База_КР_КК[[#This Row],[Уровень КК]]=2,База_КР_КК[[#This Row],[Уровень КК]]=3),IF(COUNTIFS($U$2:$U2698,$U2698,$F$2:$F2698,$F2698)=1,1,0),IF(COUNTIFS($U$2:$U2698,$U2698,$L$2:$L2698,$L2698)=1,1,0)))</f>
        <v>0</v>
      </c>
      <c r="AA26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8" s="106"/>
      <c r="AC2698" s="51"/>
      <c r="AD2698" s="106" t="s">
        <v>13</v>
      </c>
      <c r="AE2698" s="38" t="s">
        <v>371</v>
      </c>
    </row>
    <row r="2699" spans="1:31" ht="18" customHeight="1" x14ac:dyDescent="0.25">
      <c r="A26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699" s="79">
        <v>4</v>
      </c>
      <c r="C2699" s="23">
        <v>44467</v>
      </c>
      <c r="D2699" s="67">
        <f>IF(COUNTIF($G$2:$G2699,$G2699)=1,1,0)</f>
        <v>0</v>
      </c>
      <c r="E2699" s="67" t="str">
        <f>IFERROR(VLOOKUP(База_КР_КК[[#This Row],[ИД штатной должности (S)]],'уровень защищенности'!$B$7:$F$1095,5,0),"не защищена")</f>
        <v>средний</v>
      </c>
      <c r="F2699" s="68">
        <v>500134</v>
      </c>
      <c r="G2699" s="74" t="s">
        <v>2828</v>
      </c>
      <c r="H2699" s="181">
        <f>INDEX('Списки данных'!$D$2:$D$1048576,MATCH(База_КР_КК[[#This Row],[Структурное подразделение]],'Списки данных'!$C$2:$C$1048576,0))</f>
        <v>20</v>
      </c>
      <c r="I2699" s="80" t="s">
        <v>143</v>
      </c>
      <c r="J2699" s="80" t="s">
        <v>242</v>
      </c>
      <c r="K2699" s="80" t="s">
        <v>21</v>
      </c>
      <c r="L2699" s="30" t="s">
        <v>191</v>
      </c>
      <c r="M2699" s="68">
        <v>7</v>
      </c>
      <c r="N2699" s="181" t="str">
        <f t="shared" si="43"/>
        <v>нет</v>
      </c>
      <c r="O2699" s="23"/>
      <c r="P2699" s="23"/>
      <c r="Q2699" s="106"/>
      <c r="R2699" s="37">
        <v>651</v>
      </c>
      <c r="S2699" s="38" t="s">
        <v>1060</v>
      </c>
      <c r="T2699" s="37">
        <v>1747</v>
      </c>
      <c r="U2699" s="39" t="s">
        <v>1967</v>
      </c>
      <c r="V2699" s="89" t="s">
        <v>272</v>
      </c>
      <c r="W2699" s="89" t="s">
        <v>143</v>
      </c>
      <c r="X2699" s="106" t="s">
        <v>296</v>
      </c>
      <c r="Y2699" s="107" t="s">
        <v>12</v>
      </c>
      <c r="Z2699" s="67">
        <f>IF(База_КР_КК[[#This Row],[Таб.номер резервиста]]="-","-",IF(OR(База_КР_КК[[#This Row],[Уровень КК]]=2,База_КР_КК[[#This Row],[Уровень КК]]=3),IF(COUNTIFS($U$2:$U2699,$U2699,$F$2:$F2699,$F2699)=1,1,0),IF(COUNTIFS($U$2:$U2699,$U2699,$L$2:$L2699,$L2699)=1,1,0)))</f>
        <v>0</v>
      </c>
      <c r="AA26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699" s="106"/>
      <c r="AC2699" s="51"/>
      <c r="AD2699" s="106" t="s">
        <v>13</v>
      </c>
      <c r="AE2699" s="38" t="s">
        <v>371</v>
      </c>
    </row>
    <row r="2700" spans="1:31" ht="18" customHeight="1" x14ac:dyDescent="0.25">
      <c r="A27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0" s="79">
        <v>4</v>
      </c>
      <c r="C2700" s="23">
        <v>44467</v>
      </c>
      <c r="D2700" s="67">
        <f>IF(COUNTIF($G$2:$G2700,$G2700)=1,1,0)</f>
        <v>0</v>
      </c>
      <c r="E2700" s="67" t="str">
        <f>IFERROR(VLOOKUP(База_КР_КК[[#This Row],[ИД штатной должности (S)]],'уровень защищенности'!$B$7:$F$1095,5,0),"не защищена")</f>
        <v>средний</v>
      </c>
      <c r="F2700" s="68">
        <v>500134</v>
      </c>
      <c r="G2700" s="74" t="s">
        <v>2828</v>
      </c>
      <c r="H2700" s="181">
        <f>INDEX('Списки данных'!$D$2:$D$1048576,MATCH(База_КР_КК[[#This Row],[Структурное подразделение]],'Списки данных'!$C$2:$C$1048576,0))</f>
        <v>20</v>
      </c>
      <c r="I2700" s="80" t="s">
        <v>143</v>
      </c>
      <c r="J2700" s="80" t="s">
        <v>242</v>
      </c>
      <c r="K2700" s="80" t="s">
        <v>21</v>
      </c>
      <c r="L2700" s="30" t="s">
        <v>191</v>
      </c>
      <c r="M2700" s="68">
        <v>7</v>
      </c>
      <c r="N2700" s="181" t="str">
        <f t="shared" si="43"/>
        <v>нет</v>
      </c>
      <c r="O2700" s="23"/>
      <c r="P2700" s="23"/>
      <c r="Q2700" s="106"/>
      <c r="R2700" s="37">
        <v>651</v>
      </c>
      <c r="S2700" s="38" t="s">
        <v>1060</v>
      </c>
      <c r="T2700" s="37">
        <v>1748</v>
      </c>
      <c r="U2700" s="39" t="s">
        <v>2011</v>
      </c>
      <c r="V2700" s="89" t="s">
        <v>272</v>
      </c>
      <c r="W2700" s="89" t="s">
        <v>143</v>
      </c>
      <c r="X2700" s="106" t="s">
        <v>296</v>
      </c>
      <c r="Y2700" s="107" t="s">
        <v>12</v>
      </c>
      <c r="Z2700" s="67">
        <f>IF(База_КР_КК[[#This Row],[Таб.номер резервиста]]="-","-",IF(OR(База_КР_КК[[#This Row],[Уровень КК]]=2,База_КР_КК[[#This Row],[Уровень КК]]=3),IF(COUNTIFS($U$2:$U2700,$U2700,$F$2:$F2700,$F2700)=1,1,0),IF(COUNTIFS($U$2:$U2700,$U2700,$L$2:$L2700,$L2700)=1,1,0)))</f>
        <v>0</v>
      </c>
      <c r="AA27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0" s="106"/>
      <c r="AC2700" s="51"/>
      <c r="AD2700" s="106" t="s">
        <v>13</v>
      </c>
      <c r="AE2700" s="38" t="s">
        <v>371</v>
      </c>
    </row>
    <row r="2701" spans="1:31" ht="18" customHeight="1" x14ac:dyDescent="0.25">
      <c r="A27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1" s="79">
        <v>4</v>
      </c>
      <c r="C2701" s="23">
        <v>44467</v>
      </c>
      <c r="D2701" s="67">
        <f>IF(COUNTIF($G$2:$G2701,$G2701)=1,1,0)</f>
        <v>0</v>
      </c>
      <c r="E2701" s="67" t="str">
        <f>IFERROR(VLOOKUP(База_КР_КК[[#This Row],[ИД штатной должности (S)]],'уровень защищенности'!$B$7:$F$1095,5,0),"не защищена")</f>
        <v>средний</v>
      </c>
      <c r="F2701" s="68">
        <v>500134</v>
      </c>
      <c r="G2701" s="74" t="s">
        <v>2828</v>
      </c>
      <c r="H2701" s="181">
        <f>INDEX('Списки данных'!$D$2:$D$1048576,MATCH(База_КР_КК[[#This Row],[Структурное подразделение]],'Списки данных'!$C$2:$C$1048576,0))</f>
        <v>20</v>
      </c>
      <c r="I2701" s="80" t="s">
        <v>143</v>
      </c>
      <c r="J2701" s="80" t="s">
        <v>242</v>
      </c>
      <c r="K2701" s="80" t="s">
        <v>21</v>
      </c>
      <c r="L2701" s="30" t="s">
        <v>191</v>
      </c>
      <c r="M2701" s="68">
        <v>7</v>
      </c>
      <c r="N2701" s="181" t="str">
        <f t="shared" si="43"/>
        <v>нет</v>
      </c>
      <c r="O2701" s="23"/>
      <c r="P2701" s="23"/>
      <c r="Q2701" s="106"/>
      <c r="R2701" s="37">
        <v>651</v>
      </c>
      <c r="S2701" s="38" t="s">
        <v>1060</v>
      </c>
      <c r="T2701" s="37">
        <v>1749</v>
      </c>
      <c r="U2701" s="39" t="s">
        <v>2025</v>
      </c>
      <c r="V2701" s="89" t="s">
        <v>272</v>
      </c>
      <c r="W2701" s="89" t="s">
        <v>143</v>
      </c>
      <c r="X2701" s="106" t="s">
        <v>297</v>
      </c>
      <c r="Y2701" s="107" t="s">
        <v>12</v>
      </c>
      <c r="Z2701" s="67">
        <f>IF(База_КР_КК[[#This Row],[Таб.номер резервиста]]="-","-",IF(OR(База_КР_КК[[#This Row],[Уровень КК]]=2,База_КР_КК[[#This Row],[Уровень КК]]=3),IF(COUNTIFS($U$2:$U2701,$U2701,$F$2:$F2701,$F2701)=1,1,0),IF(COUNTIFS($U$2:$U2701,$U2701,$L$2:$L2701,$L2701)=1,1,0)))</f>
        <v>0</v>
      </c>
      <c r="AA27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1" s="106"/>
      <c r="AC2701" s="51"/>
      <c r="AD2701" s="106" t="s">
        <v>13</v>
      </c>
      <c r="AE2701" s="38" t="s">
        <v>371</v>
      </c>
    </row>
    <row r="2702" spans="1:31" ht="18" customHeight="1" x14ac:dyDescent="0.25">
      <c r="A27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2" s="79">
        <v>4</v>
      </c>
      <c r="C2702" s="23">
        <v>44855</v>
      </c>
      <c r="D2702" s="67">
        <f>IF(COUNTIF($G$2:$G2702,$G2702)=1,1,0)</f>
        <v>0</v>
      </c>
      <c r="E2702" s="67" t="str">
        <f>IFERROR(VLOOKUP(База_КР_КК[[#This Row],[ИД штатной должности (S)]],'уровень защищенности'!$B$7:$F$1095,5,0),"не защищена")</f>
        <v>средний</v>
      </c>
      <c r="F2702" s="68">
        <v>500134</v>
      </c>
      <c r="G2702" s="74" t="s">
        <v>2828</v>
      </c>
      <c r="H2702" s="181">
        <f>INDEX('Списки данных'!$D$2:$D$1048576,MATCH(База_КР_КК[[#This Row],[Структурное подразделение]],'Списки данных'!$C$2:$C$1048576,0))</f>
        <v>20</v>
      </c>
      <c r="I2702" s="80" t="s">
        <v>143</v>
      </c>
      <c r="J2702" s="80" t="s">
        <v>242</v>
      </c>
      <c r="K2702" s="80" t="s">
        <v>21</v>
      </c>
      <c r="L2702" s="30" t="s">
        <v>191</v>
      </c>
      <c r="M2702" s="68">
        <v>7</v>
      </c>
      <c r="N2702" s="181" t="str">
        <f t="shared" si="43"/>
        <v>нет</v>
      </c>
      <c r="O2702" s="23"/>
      <c r="P2702" s="23"/>
      <c r="Q2702" s="106"/>
      <c r="R2702" s="37">
        <v>651</v>
      </c>
      <c r="S2702" s="39" t="s">
        <v>1060</v>
      </c>
      <c r="T2702" s="37">
        <v>1750</v>
      </c>
      <c r="U2702" s="38" t="s">
        <v>2026</v>
      </c>
      <c r="V2702" s="69" t="s">
        <v>272</v>
      </c>
      <c r="W2702" s="89" t="s">
        <v>143</v>
      </c>
      <c r="X2702" s="106" t="s">
        <v>297</v>
      </c>
      <c r="Y2702" s="107" t="s">
        <v>12</v>
      </c>
      <c r="Z2702" s="67">
        <f>IF(База_КР_КК[[#This Row],[Таб.номер резервиста]]="-","-",IF(OR(База_КР_КК[[#This Row],[Уровень КК]]=2,База_КР_КК[[#This Row],[Уровень КК]]=3),IF(COUNTIFS($U$2:$U2702,$U2702,$F$2:$F2702,$F2702)=1,1,0),IF(COUNTIFS($U$2:$U2702,$U2702,$L$2:$L2702,$L2702)=1,1,0)))</f>
        <v>0</v>
      </c>
      <c r="AA27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2" s="106"/>
      <c r="AC2702" s="51"/>
      <c r="AD2702" s="106" t="s">
        <v>13</v>
      </c>
      <c r="AE2702" s="38" t="s">
        <v>371</v>
      </c>
    </row>
    <row r="2703" spans="1:31" ht="18" customHeight="1" x14ac:dyDescent="0.25">
      <c r="A27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3" s="79">
        <v>3</v>
      </c>
      <c r="C2703" s="23">
        <v>43080</v>
      </c>
      <c r="D2703" s="67">
        <f>IF(COUNTIF($G$2:$G2703,$G2703)=1,1,0)</f>
        <v>1</v>
      </c>
      <c r="E2703" s="67" t="str">
        <f>IFERROR(VLOOKUP(База_КР_КК[[#This Row],[ИД штатной должности (S)]],'уровень защищенности'!$B$7:$F$1095,5,0),"не защищена")</f>
        <v>высокий</v>
      </c>
      <c r="F2703" s="68">
        <v>500017</v>
      </c>
      <c r="G2703" s="74" t="s">
        <v>2829</v>
      </c>
      <c r="H2703" s="181">
        <f>INDEX('Списки данных'!$D$2:$D$1048576,MATCH(База_КР_КК[[#This Row],[Структурное подразделение]],'Списки данных'!$C$2:$C$1048576,0))</f>
        <v>6</v>
      </c>
      <c r="I2703" s="80" t="s">
        <v>136</v>
      </c>
      <c r="J2703" s="80" t="s">
        <v>246</v>
      </c>
      <c r="K2703" s="80" t="s">
        <v>21</v>
      </c>
      <c r="L2703" s="30" t="s">
        <v>183</v>
      </c>
      <c r="M2703" s="68">
        <v>4</v>
      </c>
      <c r="N2703" s="181" t="str">
        <f t="shared" si="43"/>
        <v>да</v>
      </c>
      <c r="O2703" s="23">
        <v>45078</v>
      </c>
      <c r="P2703" s="23">
        <v>45078</v>
      </c>
      <c r="Q2703" s="106" t="s">
        <v>66</v>
      </c>
      <c r="R2703" s="37">
        <v>652</v>
      </c>
      <c r="S2703" s="38" t="s">
        <v>1061</v>
      </c>
      <c r="T2703" s="37">
        <v>666</v>
      </c>
      <c r="U2703" s="39" t="s">
        <v>1075</v>
      </c>
      <c r="V2703" s="89" t="s">
        <v>187</v>
      </c>
      <c r="W2703" s="90" t="s">
        <v>136</v>
      </c>
      <c r="X2703" s="106" t="s">
        <v>295</v>
      </c>
      <c r="Y2703" s="107" t="s">
        <v>12</v>
      </c>
      <c r="Z2703" s="67">
        <f>IF(База_КР_КК[[#This Row],[Таб.номер резервиста]]="-","-",IF(OR(База_КР_КК[[#This Row],[Уровень КК]]=2,База_КР_КК[[#This Row],[Уровень КК]]=3),IF(COUNTIFS($U$2:$U2703,$U2703,$F$2:$F2703,$F2703)=1,1,0),IF(COUNTIFS($U$2:$U2703,$U2703,$L$2:$L2703,$L2703)=1,1,0)))</f>
        <v>1</v>
      </c>
      <c r="AA27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3" s="106"/>
      <c r="AC2703" s="51"/>
      <c r="AD2703" s="106" t="s">
        <v>13</v>
      </c>
      <c r="AE2703" s="38" t="s">
        <v>303</v>
      </c>
    </row>
    <row r="2704" spans="1:31" ht="18" customHeight="1" x14ac:dyDescent="0.25">
      <c r="A27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4" s="79">
        <v>3</v>
      </c>
      <c r="C2704" s="23">
        <v>43080</v>
      </c>
      <c r="D2704" s="67">
        <f>IF(COUNTIF($G$2:$G2704,$G2704)=1,1,0)</f>
        <v>0</v>
      </c>
      <c r="E2704" s="67" t="str">
        <f>IFERROR(VLOOKUP(База_КР_КК[[#This Row],[ИД штатной должности (S)]],'уровень защищенности'!$B$7:$F$1095,5,0),"не защищена")</f>
        <v>высокий</v>
      </c>
      <c r="F2704" s="68">
        <v>500017</v>
      </c>
      <c r="G2704" s="74" t="s">
        <v>2829</v>
      </c>
      <c r="H2704" s="181">
        <f>INDEX('Списки данных'!$D$2:$D$1048576,MATCH(База_КР_КК[[#This Row],[Структурное подразделение]],'Списки данных'!$C$2:$C$1048576,0))</f>
        <v>6</v>
      </c>
      <c r="I2704" s="80" t="s">
        <v>136</v>
      </c>
      <c r="J2704" s="80" t="s">
        <v>246</v>
      </c>
      <c r="K2704" s="80" t="s">
        <v>21</v>
      </c>
      <c r="L2704" s="30" t="s">
        <v>183</v>
      </c>
      <c r="M2704" s="68">
        <v>4</v>
      </c>
      <c r="N2704" s="181" t="str">
        <f t="shared" si="43"/>
        <v>да</v>
      </c>
      <c r="O2704" s="23">
        <v>45078</v>
      </c>
      <c r="P2704" s="23">
        <v>45078</v>
      </c>
      <c r="Q2704" s="106" t="s">
        <v>66</v>
      </c>
      <c r="R2704" s="37">
        <v>652</v>
      </c>
      <c r="S2704" s="38" t="s">
        <v>1061</v>
      </c>
      <c r="T2704" s="37">
        <v>652</v>
      </c>
      <c r="U2704" s="39" t="s">
        <v>1061</v>
      </c>
      <c r="V2704" s="89" t="s">
        <v>179</v>
      </c>
      <c r="W2704" s="90" t="s">
        <v>136</v>
      </c>
      <c r="X2704" s="106" t="s">
        <v>297</v>
      </c>
      <c r="Y2704" s="107" t="s">
        <v>14</v>
      </c>
      <c r="Z2704" s="67">
        <f>IF(База_КР_КК[[#This Row],[Таб.номер резервиста]]="-","-",IF(OR(База_КР_КК[[#This Row],[Уровень КК]]=2,База_КР_КК[[#This Row],[Уровень КК]]=3),IF(COUNTIFS($U$2:$U2704,$U2704,$F$2:$F2704,$F2704)=1,1,0),IF(COUNTIFS($U$2:$U2704,$U2704,$L$2:$L2704,$L2704)=1,1,0)))</f>
        <v>1</v>
      </c>
      <c r="AA27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704" s="106" t="s">
        <v>24</v>
      </c>
      <c r="AC2704" s="51">
        <v>45078</v>
      </c>
      <c r="AD2704" s="106" t="s">
        <v>13</v>
      </c>
      <c r="AE2704" s="38" t="s">
        <v>303</v>
      </c>
    </row>
    <row r="2705" spans="1:31" ht="18" customHeight="1" x14ac:dyDescent="0.25">
      <c r="A27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5" s="79">
        <v>3</v>
      </c>
      <c r="C2705" s="23">
        <v>43557</v>
      </c>
      <c r="D2705" s="67">
        <f>IF(COUNTIF($G$2:$G2705,$G2705)=1,1,0)</f>
        <v>0</v>
      </c>
      <c r="E2705" s="67" t="str">
        <f>IFERROR(VLOOKUP(База_КР_КК[[#This Row],[ИД штатной должности (S)]],'уровень защищенности'!$B$7:$F$1095,5,0),"не защищена")</f>
        <v>высокий</v>
      </c>
      <c r="F2705" s="68">
        <v>500017</v>
      </c>
      <c r="G2705" s="74" t="s">
        <v>2829</v>
      </c>
      <c r="H2705" s="181">
        <f>INDEX('Списки данных'!$D$2:$D$1048576,MATCH(База_КР_КК[[#This Row],[Структурное подразделение]],'Списки данных'!$C$2:$C$1048576,0))</f>
        <v>6</v>
      </c>
      <c r="I2705" s="80" t="s">
        <v>136</v>
      </c>
      <c r="J2705" s="80" t="s">
        <v>246</v>
      </c>
      <c r="K2705" s="80" t="s">
        <v>21</v>
      </c>
      <c r="L2705" s="30" t="s">
        <v>183</v>
      </c>
      <c r="M2705" s="68">
        <v>4</v>
      </c>
      <c r="N2705" s="181" t="str">
        <f t="shared" si="43"/>
        <v>да</v>
      </c>
      <c r="O2705" s="23">
        <v>45078</v>
      </c>
      <c r="P2705" s="23">
        <v>45078</v>
      </c>
      <c r="Q2705" s="106" t="s">
        <v>66</v>
      </c>
      <c r="R2705" s="37">
        <v>652</v>
      </c>
      <c r="S2705" s="38" t="s">
        <v>1061</v>
      </c>
      <c r="T2705" s="37">
        <v>659</v>
      </c>
      <c r="U2705" s="39" t="s">
        <v>1068</v>
      </c>
      <c r="V2705" s="89" t="s">
        <v>187</v>
      </c>
      <c r="W2705" s="90" t="s">
        <v>136</v>
      </c>
      <c r="X2705" s="106" t="s">
        <v>295</v>
      </c>
      <c r="Y2705" s="107" t="s">
        <v>12</v>
      </c>
      <c r="Z2705" s="67">
        <f>IF(База_КР_КК[[#This Row],[Таб.номер резервиста]]="-","-",IF(OR(База_КР_КК[[#This Row],[Уровень КК]]=2,База_КР_КК[[#This Row],[Уровень КК]]=3),IF(COUNTIFS($U$2:$U2705,$U2705,$F$2:$F2705,$F2705)=1,1,0),IF(COUNTIFS($U$2:$U2705,$U2705,$L$2:$L2705,$L2705)=1,1,0)))</f>
        <v>1</v>
      </c>
      <c r="AA27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5" s="106"/>
      <c r="AC2705" s="51"/>
      <c r="AD2705" s="106" t="s">
        <v>17</v>
      </c>
      <c r="AE2705" s="38" t="s">
        <v>303</v>
      </c>
    </row>
    <row r="2706" spans="1:31" ht="18" customHeight="1" x14ac:dyDescent="0.25">
      <c r="A27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6" s="79">
        <v>3</v>
      </c>
      <c r="C2706" s="23">
        <v>43992</v>
      </c>
      <c r="D2706" s="67">
        <f>IF(COUNTIF($G$2:$G2706,$G2706)=1,1,0)</f>
        <v>0</v>
      </c>
      <c r="E2706" s="67" t="str">
        <f>IFERROR(VLOOKUP(База_КР_КК[[#This Row],[ИД штатной должности (S)]],'уровень защищенности'!$B$7:$F$1095,5,0),"не защищена")</f>
        <v>высокий</v>
      </c>
      <c r="F2706" s="68">
        <v>500017</v>
      </c>
      <c r="G2706" s="74" t="s">
        <v>2829</v>
      </c>
      <c r="H2706" s="181">
        <f>INDEX('Списки данных'!$D$2:$D$1048576,MATCH(База_КР_КК[[#This Row],[Структурное подразделение]],'Списки данных'!$C$2:$C$1048576,0))</f>
        <v>6</v>
      </c>
      <c r="I2706" s="80" t="s">
        <v>136</v>
      </c>
      <c r="J2706" s="80" t="s">
        <v>246</v>
      </c>
      <c r="K2706" s="80" t="s">
        <v>21</v>
      </c>
      <c r="L2706" s="30" t="s">
        <v>183</v>
      </c>
      <c r="M2706" s="68">
        <v>4</v>
      </c>
      <c r="N2706" s="181" t="str">
        <f t="shared" si="43"/>
        <v>да</v>
      </c>
      <c r="O2706" s="23">
        <v>45078</v>
      </c>
      <c r="P2706" s="23">
        <v>45078</v>
      </c>
      <c r="Q2706" s="106" t="s">
        <v>66</v>
      </c>
      <c r="R2706" s="37">
        <v>652</v>
      </c>
      <c r="S2706" s="38" t="s">
        <v>1061</v>
      </c>
      <c r="T2706" s="37">
        <v>669</v>
      </c>
      <c r="U2706" s="39" t="s">
        <v>1078</v>
      </c>
      <c r="V2706" s="89" t="s">
        <v>189</v>
      </c>
      <c r="W2706" s="90" t="s">
        <v>136</v>
      </c>
      <c r="X2706" s="106" t="s">
        <v>295</v>
      </c>
      <c r="Y2706" s="107" t="s">
        <v>12</v>
      </c>
      <c r="Z2706" s="67">
        <f>IF(База_КР_КК[[#This Row],[Таб.номер резервиста]]="-","-",IF(OR(База_КР_КК[[#This Row],[Уровень КК]]=2,База_КР_КК[[#This Row],[Уровень КК]]=3),IF(COUNTIFS($U$2:$U2706,$U2706,$F$2:$F2706,$F2706)=1,1,0),IF(COUNTIFS($U$2:$U2706,$U2706,$L$2:$L2706,$L2706)=1,1,0)))</f>
        <v>1</v>
      </c>
      <c r="AA27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6" s="106"/>
      <c r="AC2706" s="51"/>
      <c r="AD2706" s="106" t="s">
        <v>17</v>
      </c>
      <c r="AE2706" s="38" t="s">
        <v>370</v>
      </c>
    </row>
    <row r="2707" spans="1:31" ht="18" customHeight="1" x14ac:dyDescent="0.25">
      <c r="A27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7" s="79">
        <v>4</v>
      </c>
      <c r="C2707" s="23">
        <v>44116</v>
      </c>
      <c r="D2707" s="67">
        <f>IF(COUNTIF($G$2:$G2707,$G2707)=1,1,0)</f>
        <v>1</v>
      </c>
      <c r="E2707" s="67" t="str">
        <f>IFERROR(VLOOKUP(База_КР_КК[[#This Row],[ИД штатной должности (S)]],'уровень защищенности'!$B$7:$F$1095,5,0),"не защищена")</f>
        <v>средний</v>
      </c>
      <c r="F2707" s="68">
        <v>500135</v>
      </c>
      <c r="G2707" s="74" t="s">
        <v>2830</v>
      </c>
      <c r="H2707" s="181">
        <f>INDEX('Списки данных'!$D$2:$D$1048576,MATCH(База_КР_КК[[#This Row],[Структурное подразделение]],'Списки данных'!$C$2:$C$1048576,0))</f>
        <v>20</v>
      </c>
      <c r="I2707" s="80" t="s">
        <v>143</v>
      </c>
      <c r="J2707" s="80" t="s">
        <v>242</v>
      </c>
      <c r="K2707" s="80" t="s">
        <v>21</v>
      </c>
      <c r="L2707" s="30" t="s">
        <v>191</v>
      </c>
      <c r="M2707" s="68">
        <v>7</v>
      </c>
      <c r="N2707" s="181" t="str">
        <f t="shared" si="43"/>
        <v>нет</v>
      </c>
      <c r="O2707" s="23"/>
      <c r="P2707" s="23"/>
      <c r="Q2707" s="106"/>
      <c r="R2707" s="37">
        <v>653</v>
      </c>
      <c r="S2707" s="38" t="s">
        <v>1062</v>
      </c>
      <c r="T2707" s="37">
        <v>1743</v>
      </c>
      <c r="U2707" s="39" t="s">
        <v>2023</v>
      </c>
      <c r="V2707" s="89" t="s">
        <v>272</v>
      </c>
      <c r="W2707" s="89" t="s">
        <v>143</v>
      </c>
      <c r="X2707" s="106" t="s">
        <v>297</v>
      </c>
      <c r="Y2707" s="107" t="s">
        <v>12</v>
      </c>
      <c r="Z2707" s="67">
        <f>IF(База_КР_КК[[#This Row],[Таб.номер резервиста]]="-","-",IF(OR(База_КР_КК[[#This Row],[Уровень КК]]=2,База_КР_КК[[#This Row],[Уровень КК]]=3),IF(COUNTIFS($U$2:$U2707,$U2707,$F$2:$F2707,$F2707)=1,1,0),IF(COUNTIFS($U$2:$U2707,$U2707,$L$2:$L2707,$L2707)=1,1,0)))</f>
        <v>0</v>
      </c>
      <c r="AA27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7" s="106"/>
      <c r="AC2707" s="51"/>
      <c r="AD2707" s="106" t="s">
        <v>13</v>
      </c>
      <c r="AE2707" s="38" t="s">
        <v>371</v>
      </c>
    </row>
    <row r="2708" spans="1:31" ht="18" customHeight="1" x14ac:dyDescent="0.25">
      <c r="A27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8" s="79">
        <v>4</v>
      </c>
      <c r="C2708" s="23">
        <v>44467</v>
      </c>
      <c r="D2708" s="67">
        <f>IF(COUNTIF($G$2:$G2708,$G2708)=1,1,0)</f>
        <v>0</v>
      </c>
      <c r="E2708" s="67" t="str">
        <f>IFERROR(VLOOKUP(База_КР_КК[[#This Row],[ИД штатной должности (S)]],'уровень защищенности'!$B$7:$F$1095,5,0),"не защищена")</f>
        <v>средний</v>
      </c>
      <c r="F2708" s="68">
        <v>500135</v>
      </c>
      <c r="G2708" s="74" t="s">
        <v>2830</v>
      </c>
      <c r="H2708" s="181">
        <f>INDEX('Списки данных'!$D$2:$D$1048576,MATCH(База_КР_КК[[#This Row],[Структурное подразделение]],'Списки данных'!$C$2:$C$1048576,0))</f>
        <v>20</v>
      </c>
      <c r="I2708" s="80" t="s">
        <v>143</v>
      </c>
      <c r="J2708" s="80" t="s">
        <v>242</v>
      </c>
      <c r="K2708" s="80" t="s">
        <v>21</v>
      </c>
      <c r="L2708" s="30" t="s">
        <v>191</v>
      </c>
      <c r="M2708" s="68">
        <v>7</v>
      </c>
      <c r="N2708" s="181" t="str">
        <f t="shared" si="43"/>
        <v>нет</v>
      </c>
      <c r="O2708" s="23"/>
      <c r="P2708" s="23"/>
      <c r="Q2708" s="106"/>
      <c r="R2708" s="37">
        <v>653</v>
      </c>
      <c r="S2708" s="38" t="s">
        <v>1062</v>
      </c>
      <c r="T2708" s="37">
        <v>1744</v>
      </c>
      <c r="U2708" s="39" t="s">
        <v>2024</v>
      </c>
      <c r="V2708" s="89" t="s">
        <v>272</v>
      </c>
      <c r="W2708" s="89" t="s">
        <v>143</v>
      </c>
      <c r="X2708" s="106" t="s">
        <v>297</v>
      </c>
      <c r="Y2708" s="107" t="s">
        <v>12</v>
      </c>
      <c r="Z2708" s="67">
        <f>IF(База_КР_КК[[#This Row],[Таб.номер резервиста]]="-","-",IF(OR(База_КР_КК[[#This Row],[Уровень КК]]=2,База_КР_КК[[#This Row],[Уровень КК]]=3),IF(COUNTIFS($U$2:$U2708,$U2708,$F$2:$F2708,$F2708)=1,1,0),IF(COUNTIFS($U$2:$U2708,$U2708,$L$2:$L2708,$L2708)=1,1,0)))</f>
        <v>0</v>
      </c>
      <c r="AA27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8" s="106"/>
      <c r="AC2708" s="51"/>
      <c r="AD2708" s="106" t="s">
        <v>13</v>
      </c>
      <c r="AE2708" s="38" t="s">
        <v>371</v>
      </c>
    </row>
    <row r="2709" spans="1:31" ht="18" customHeight="1" x14ac:dyDescent="0.25">
      <c r="A27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09" s="79">
        <v>4</v>
      </c>
      <c r="C2709" s="23">
        <v>44467</v>
      </c>
      <c r="D2709" s="67">
        <f>IF(COUNTIF($G$2:$G2709,$G2709)=1,1,0)</f>
        <v>0</v>
      </c>
      <c r="E2709" s="67" t="str">
        <f>IFERROR(VLOOKUP(База_КР_КК[[#This Row],[ИД штатной должности (S)]],'уровень защищенности'!$B$7:$F$1095,5,0),"не защищена")</f>
        <v>средний</v>
      </c>
      <c r="F2709" s="68">
        <v>500135</v>
      </c>
      <c r="G2709" s="74" t="s">
        <v>2830</v>
      </c>
      <c r="H2709" s="181">
        <f>INDEX('Списки данных'!$D$2:$D$1048576,MATCH(База_КР_КК[[#This Row],[Структурное подразделение]],'Списки данных'!$C$2:$C$1048576,0))</f>
        <v>20</v>
      </c>
      <c r="I2709" s="80" t="s">
        <v>143</v>
      </c>
      <c r="J2709" s="80" t="s">
        <v>242</v>
      </c>
      <c r="K2709" s="80" t="s">
        <v>21</v>
      </c>
      <c r="L2709" s="30" t="s">
        <v>191</v>
      </c>
      <c r="M2709" s="68">
        <v>7</v>
      </c>
      <c r="N2709" s="181" t="str">
        <f t="shared" si="43"/>
        <v>нет</v>
      </c>
      <c r="O2709" s="23"/>
      <c r="P2709" s="23"/>
      <c r="Q2709" s="106"/>
      <c r="R2709" s="37">
        <v>653</v>
      </c>
      <c r="S2709" s="38" t="s">
        <v>1062</v>
      </c>
      <c r="T2709" s="37">
        <v>1745</v>
      </c>
      <c r="U2709" s="39" t="s">
        <v>2011</v>
      </c>
      <c r="V2709" s="89" t="s">
        <v>272</v>
      </c>
      <c r="W2709" s="89" t="s">
        <v>143</v>
      </c>
      <c r="X2709" s="106" t="s">
        <v>296</v>
      </c>
      <c r="Y2709" s="107" t="s">
        <v>12</v>
      </c>
      <c r="Z2709" s="67">
        <f>IF(База_КР_КК[[#This Row],[Таб.номер резервиста]]="-","-",IF(OR(База_КР_КК[[#This Row],[Уровень КК]]=2,База_КР_КК[[#This Row],[Уровень КК]]=3),IF(COUNTIFS($U$2:$U2709,$U2709,$F$2:$F2709,$F2709)=1,1,0),IF(COUNTIFS($U$2:$U2709,$U2709,$L$2:$L2709,$L2709)=1,1,0)))</f>
        <v>0</v>
      </c>
      <c r="AA27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09" s="106"/>
      <c r="AC2709" s="51"/>
      <c r="AD2709" s="106" t="s">
        <v>13</v>
      </c>
      <c r="AE2709" s="38" t="s">
        <v>371</v>
      </c>
    </row>
    <row r="2710" spans="1:31" ht="18" customHeight="1" x14ac:dyDescent="0.25">
      <c r="A27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0" s="79">
        <v>4</v>
      </c>
      <c r="C2710" s="23">
        <v>44467</v>
      </c>
      <c r="D2710" s="67">
        <f>IF(COUNTIF($G$2:$G2710,$G2710)=1,1,0)</f>
        <v>0</v>
      </c>
      <c r="E2710" s="67" t="str">
        <f>IFERROR(VLOOKUP(База_КР_КК[[#This Row],[ИД штатной должности (S)]],'уровень защищенности'!$B$7:$F$1095,5,0),"не защищена")</f>
        <v>средний</v>
      </c>
      <c r="F2710" s="68">
        <v>500135</v>
      </c>
      <c r="G2710" s="74" t="s">
        <v>2830</v>
      </c>
      <c r="H2710" s="181">
        <f>INDEX('Списки данных'!$D$2:$D$1048576,MATCH(База_КР_КК[[#This Row],[Структурное подразделение]],'Списки данных'!$C$2:$C$1048576,0))</f>
        <v>20</v>
      </c>
      <c r="I2710" s="80" t="s">
        <v>143</v>
      </c>
      <c r="J2710" s="80" t="s">
        <v>242</v>
      </c>
      <c r="K2710" s="80" t="s">
        <v>21</v>
      </c>
      <c r="L2710" s="30" t="s">
        <v>191</v>
      </c>
      <c r="M2710" s="68">
        <v>7</v>
      </c>
      <c r="N2710" s="181" t="str">
        <f t="shared" si="43"/>
        <v>нет</v>
      </c>
      <c r="O2710" s="23"/>
      <c r="P2710" s="23"/>
      <c r="Q2710" s="106"/>
      <c r="R2710" s="37">
        <v>653</v>
      </c>
      <c r="S2710" s="38" t="s">
        <v>1062</v>
      </c>
      <c r="T2710" s="37">
        <v>1746</v>
      </c>
      <c r="U2710" s="39" t="s">
        <v>1956</v>
      </c>
      <c r="V2710" s="89" t="s">
        <v>272</v>
      </c>
      <c r="W2710" s="89" t="s">
        <v>143</v>
      </c>
      <c r="X2710" s="106" t="s">
        <v>296</v>
      </c>
      <c r="Y2710" s="107" t="s">
        <v>12</v>
      </c>
      <c r="Z2710" s="67">
        <f>IF(База_КР_КК[[#This Row],[Таб.номер резервиста]]="-","-",IF(OR(База_КР_КК[[#This Row],[Уровень КК]]=2,База_КР_КК[[#This Row],[Уровень КК]]=3),IF(COUNTIFS($U$2:$U2710,$U2710,$F$2:$F2710,$F2710)=1,1,0),IF(COUNTIFS($U$2:$U2710,$U2710,$L$2:$L2710,$L2710)=1,1,0)))</f>
        <v>0</v>
      </c>
      <c r="AA27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0" s="106"/>
      <c r="AC2710" s="51"/>
      <c r="AD2710" s="106" t="s">
        <v>13</v>
      </c>
      <c r="AE2710" s="38" t="s">
        <v>371</v>
      </c>
    </row>
    <row r="2711" spans="1:31" ht="18" customHeight="1" x14ac:dyDescent="0.25">
      <c r="A27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1" s="79">
        <v>4</v>
      </c>
      <c r="C2711" s="23">
        <v>44467</v>
      </c>
      <c r="D2711" s="67">
        <f>IF(COUNTIF($G$2:$G2711,$G2711)=1,1,0)</f>
        <v>0</v>
      </c>
      <c r="E2711" s="67" t="str">
        <f>IFERROR(VLOOKUP(База_КР_КК[[#This Row],[ИД штатной должности (S)]],'уровень защищенности'!$B$7:$F$1095,5,0),"не защищена")</f>
        <v>средний</v>
      </c>
      <c r="F2711" s="68">
        <v>500135</v>
      </c>
      <c r="G2711" s="74" t="s">
        <v>2830</v>
      </c>
      <c r="H2711" s="181">
        <f>INDEX('Списки данных'!$D$2:$D$1048576,MATCH(База_КР_КК[[#This Row],[Структурное подразделение]],'Списки данных'!$C$2:$C$1048576,0))</f>
        <v>20</v>
      </c>
      <c r="I2711" s="80" t="s">
        <v>143</v>
      </c>
      <c r="J2711" s="80" t="s">
        <v>242</v>
      </c>
      <c r="K2711" s="80" t="s">
        <v>21</v>
      </c>
      <c r="L2711" s="30" t="s">
        <v>191</v>
      </c>
      <c r="M2711" s="68">
        <v>7</v>
      </c>
      <c r="N2711" s="181" t="str">
        <f t="shared" si="43"/>
        <v>нет</v>
      </c>
      <c r="O2711" s="23"/>
      <c r="P2711" s="23"/>
      <c r="Q2711" s="106"/>
      <c r="R2711" s="37">
        <v>653</v>
      </c>
      <c r="S2711" s="38" t="s">
        <v>1062</v>
      </c>
      <c r="T2711" s="37">
        <v>1747</v>
      </c>
      <c r="U2711" s="39" t="s">
        <v>1967</v>
      </c>
      <c r="V2711" s="89" t="s">
        <v>272</v>
      </c>
      <c r="W2711" s="89" t="s">
        <v>143</v>
      </c>
      <c r="X2711" s="106" t="s">
        <v>296</v>
      </c>
      <c r="Y2711" s="107" t="s">
        <v>12</v>
      </c>
      <c r="Z2711" s="67">
        <f>IF(База_КР_КК[[#This Row],[Таб.номер резервиста]]="-","-",IF(OR(База_КР_КК[[#This Row],[Уровень КК]]=2,База_КР_КК[[#This Row],[Уровень КК]]=3),IF(COUNTIFS($U$2:$U2711,$U2711,$F$2:$F2711,$F2711)=1,1,0),IF(COUNTIFS($U$2:$U2711,$U2711,$L$2:$L2711,$L2711)=1,1,0)))</f>
        <v>0</v>
      </c>
      <c r="AA27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1" s="106"/>
      <c r="AC2711" s="51"/>
      <c r="AD2711" s="106" t="s">
        <v>13</v>
      </c>
      <c r="AE2711" s="38" t="s">
        <v>371</v>
      </c>
    </row>
    <row r="2712" spans="1:31" ht="18" customHeight="1" x14ac:dyDescent="0.25">
      <c r="A27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2" s="79">
        <v>4</v>
      </c>
      <c r="C2712" s="23">
        <v>44467</v>
      </c>
      <c r="D2712" s="67">
        <f>IF(COUNTIF($G$2:$G2712,$G2712)=1,1,0)</f>
        <v>0</v>
      </c>
      <c r="E2712" s="67" t="str">
        <f>IFERROR(VLOOKUP(База_КР_КК[[#This Row],[ИД штатной должности (S)]],'уровень защищенности'!$B$7:$F$1095,5,0),"не защищена")</f>
        <v>средний</v>
      </c>
      <c r="F2712" s="68">
        <v>500135</v>
      </c>
      <c r="G2712" s="74" t="s">
        <v>2830</v>
      </c>
      <c r="H2712" s="181">
        <f>INDEX('Списки данных'!$D$2:$D$1048576,MATCH(База_КР_КК[[#This Row],[Структурное подразделение]],'Списки данных'!$C$2:$C$1048576,0))</f>
        <v>20</v>
      </c>
      <c r="I2712" s="80" t="s">
        <v>143</v>
      </c>
      <c r="J2712" s="80" t="s">
        <v>242</v>
      </c>
      <c r="K2712" s="80" t="s">
        <v>21</v>
      </c>
      <c r="L2712" s="30" t="s">
        <v>191</v>
      </c>
      <c r="M2712" s="68">
        <v>7</v>
      </c>
      <c r="N2712" s="181" t="str">
        <f t="shared" si="43"/>
        <v>нет</v>
      </c>
      <c r="O2712" s="23"/>
      <c r="P2712" s="23"/>
      <c r="Q2712" s="106"/>
      <c r="R2712" s="37">
        <v>653</v>
      </c>
      <c r="S2712" s="38" t="s">
        <v>1062</v>
      </c>
      <c r="T2712" s="37">
        <v>1748</v>
      </c>
      <c r="U2712" s="39" t="s">
        <v>2011</v>
      </c>
      <c r="V2712" s="89" t="s">
        <v>272</v>
      </c>
      <c r="W2712" s="89" t="s">
        <v>143</v>
      </c>
      <c r="X2712" s="106" t="s">
        <v>296</v>
      </c>
      <c r="Y2712" s="107" t="s">
        <v>12</v>
      </c>
      <c r="Z2712" s="67">
        <f>IF(База_КР_КК[[#This Row],[Таб.номер резервиста]]="-","-",IF(OR(База_КР_КК[[#This Row],[Уровень КК]]=2,База_КР_КК[[#This Row],[Уровень КК]]=3),IF(COUNTIFS($U$2:$U2712,$U2712,$F$2:$F2712,$F2712)=1,1,0),IF(COUNTIFS($U$2:$U2712,$U2712,$L$2:$L2712,$L2712)=1,1,0)))</f>
        <v>0</v>
      </c>
      <c r="AA27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2" s="106"/>
      <c r="AC2712" s="51"/>
      <c r="AD2712" s="106" t="s">
        <v>13</v>
      </c>
      <c r="AE2712" s="38" t="s">
        <v>371</v>
      </c>
    </row>
    <row r="2713" spans="1:31" ht="18" customHeight="1" x14ac:dyDescent="0.25">
      <c r="A27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3" s="79">
        <v>4</v>
      </c>
      <c r="C2713" s="23">
        <v>44467</v>
      </c>
      <c r="D2713" s="67">
        <f>IF(COUNTIF($G$2:$G2713,$G2713)=1,1,0)</f>
        <v>0</v>
      </c>
      <c r="E2713" s="67" t="str">
        <f>IFERROR(VLOOKUP(База_КР_КК[[#This Row],[ИД штатной должности (S)]],'уровень защищенности'!$B$7:$F$1095,5,0),"не защищена")</f>
        <v>средний</v>
      </c>
      <c r="F2713" s="68">
        <v>500135</v>
      </c>
      <c r="G2713" s="74" t="s">
        <v>2830</v>
      </c>
      <c r="H2713" s="181">
        <f>INDEX('Списки данных'!$D$2:$D$1048576,MATCH(База_КР_КК[[#This Row],[Структурное подразделение]],'Списки данных'!$C$2:$C$1048576,0))</f>
        <v>20</v>
      </c>
      <c r="I2713" s="80" t="s">
        <v>143</v>
      </c>
      <c r="J2713" s="80" t="s">
        <v>242</v>
      </c>
      <c r="K2713" s="80" t="s">
        <v>21</v>
      </c>
      <c r="L2713" s="30" t="s">
        <v>191</v>
      </c>
      <c r="M2713" s="68">
        <v>7</v>
      </c>
      <c r="N2713" s="181" t="str">
        <f t="shared" si="43"/>
        <v>нет</v>
      </c>
      <c r="O2713" s="23"/>
      <c r="P2713" s="23"/>
      <c r="Q2713" s="106"/>
      <c r="R2713" s="37">
        <v>653</v>
      </c>
      <c r="S2713" s="38" t="s">
        <v>1062</v>
      </c>
      <c r="T2713" s="37">
        <v>1749</v>
      </c>
      <c r="U2713" s="39" t="s">
        <v>2025</v>
      </c>
      <c r="V2713" s="89" t="s">
        <v>272</v>
      </c>
      <c r="W2713" s="89" t="s">
        <v>143</v>
      </c>
      <c r="X2713" s="106" t="s">
        <v>297</v>
      </c>
      <c r="Y2713" s="107" t="s">
        <v>12</v>
      </c>
      <c r="Z2713" s="67">
        <f>IF(База_КР_КК[[#This Row],[Таб.номер резервиста]]="-","-",IF(OR(База_КР_КК[[#This Row],[Уровень КК]]=2,База_КР_КК[[#This Row],[Уровень КК]]=3),IF(COUNTIFS($U$2:$U2713,$U2713,$F$2:$F2713,$F2713)=1,1,0),IF(COUNTIFS($U$2:$U2713,$U2713,$L$2:$L2713,$L2713)=1,1,0)))</f>
        <v>0</v>
      </c>
      <c r="AA27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3" s="106"/>
      <c r="AC2713" s="51"/>
      <c r="AD2713" s="106" t="s">
        <v>13</v>
      </c>
      <c r="AE2713" s="38" t="s">
        <v>371</v>
      </c>
    </row>
    <row r="2714" spans="1:31" ht="18" customHeight="1" x14ac:dyDescent="0.25">
      <c r="A27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4" s="79">
        <v>4</v>
      </c>
      <c r="C2714" s="23">
        <v>44855</v>
      </c>
      <c r="D2714" s="67">
        <f>IF(COUNTIF($G$2:$G2714,$G2714)=1,1,0)</f>
        <v>0</v>
      </c>
      <c r="E2714" s="67" t="str">
        <f>IFERROR(VLOOKUP(База_КР_КК[[#This Row],[ИД штатной должности (S)]],'уровень защищенности'!$B$7:$F$1095,5,0),"не защищена")</f>
        <v>средний</v>
      </c>
      <c r="F2714" s="68">
        <v>500135</v>
      </c>
      <c r="G2714" s="74" t="s">
        <v>2830</v>
      </c>
      <c r="H2714" s="181">
        <f>INDEX('Списки данных'!$D$2:$D$1048576,MATCH(База_КР_КК[[#This Row],[Структурное подразделение]],'Списки данных'!$C$2:$C$1048576,0))</f>
        <v>20</v>
      </c>
      <c r="I2714" s="80" t="s">
        <v>143</v>
      </c>
      <c r="J2714" s="80" t="s">
        <v>242</v>
      </c>
      <c r="K2714" s="80" t="s">
        <v>21</v>
      </c>
      <c r="L2714" s="30" t="s">
        <v>191</v>
      </c>
      <c r="M2714" s="68">
        <v>7</v>
      </c>
      <c r="N2714" s="181" t="str">
        <f t="shared" si="43"/>
        <v>нет</v>
      </c>
      <c r="O2714" s="23"/>
      <c r="P2714" s="23"/>
      <c r="Q2714" s="106"/>
      <c r="R2714" s="37">
        <v>653</v>
      </c>
      <c r="S2714" s="39" t="s">
        <v>1062</v>
      </c>
      <c r="T2714" s="37">
        <v>1750</v>
      </c>
      <c r="U2714" s="38" t="s">
        <v>2026</v>
      </c>
      <c r="V2714" s="69" t="s">
        <v>272</v>
      </c>
      <c r="W2714" s="89" t="s">
        <v>143</v>
      </c>
      <c r="X2714" s="106" t="s">
        <v>297</v>
      </c>
      <c r="Y2714" s="107" t="s">
        <v>12</v>
      </c>
      <c r="Z2714" s="67">
        <f>IF(База_КР_КК[[#This Row],[Таб.номер резервиста]]="-","-",IF(OR(База_КР_КК[[#This Row],[Уровень КК]]=2,База_КР_КК[[#This Row],[Уровень КК]]=3),IF(COUNTIFS($U$2:$U2714,$U2714,$F$2:$F2714,$F2714)=1,1,0),IF(COUNTIFS($U$2:$U2714,$U2714,$L$2:$L2714,$L2714)=1,1,0)))</f>
        <v>0</v>
      </c>
      <c r="AA27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4" s="106"/>
      <c r="AC2714" s="51"/>
      <c r="AD2714" s="106" t="s">
        <v>13</v>
      </c>
      <c r="AE2714" s="38" t="s">
        <v>371</v>
      </c>
    </row>
    <row r="2715" spans="1:31" ht="18" customHeight="1" x14ac:dyDescent="0.25">
      <c r="A27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5" s="79">
        <v>4</v>
      </c>
      <c r="C2715" s="23">
        <v>44116</v>
      </c>
      <c r="D2715" s="67">
        <f>IF(COUNTIF($G$2:$G2715,$G2715)=1,1,0)</f>
        <v>1</v>
      </c>
      <c r="E2715" s="67" t="str">
        <f>IFERROR(VLOOKUP(База_КР_КК[[#This Row],[ИД штатной должности (S)]],'уровень защищенности'!$B$7:$F$1095,5,0),"не защищена")</f>
        <v>средний</v>
      </c>
      <c r="F2715" s="68">
        <v>500135</v>
      </c>
      <c r="G2715" s="74" t="s">
        <v>2831</v>
      </c>
      <c r="H2715" s="181">
        <f>INDEX('Списки данных'!$D$2:$D$1048576,MATCH(База_КР_КК[[#This Row],[Структурное подразделение]],'Списки данных'!$C$2:$C$1048576,0))</f>
        <v>20</v>
      </c>
      <c r="I2715" s="80" t="s">
        <v>143</v>
      </c>
      <c r="J2715" s="80" t="s">
        <v>242</v>
      </c>
      <c r="K2715" s="80" t="s">
        <v>21</v>
      </c>
      <c r="L2715" s="30" t="s">
        <v>191</v>
      </c>
      <c r="M2715" s="68">
        <v>7</v>
      </c>
      <c r="N2715" s="181" t="str">
        <f t="shared" si="43"/>
        <v>нет</v>
      </c>
      <c r="O2715" s="23"/>
      <c r="P2715" s="23"/>
      <c r="Q2715" s="106"/>
      <c r="R2715" s="37">
        <v>654</v>
      </c>
      <c r="S2715" s="38" t="s">
        <v>1063</v>
      </c>
      <c r="T2715" s="37">
        <v>1743</v>
      </c>
      <c r="U2715" s="39" t="s">
        <v>2023</v>
      </c>
      <c r="V2715" s="89" t="s">
        <v>272</v>
      </c>
      <c r="W2715" s="89" t="s">
        <v>143</v>
      </c>
      <c r="X2715" s="106" t="s">
        <v>297</v>
      </c>
      <c r="Y2715" s="107" t="s">
        <v>12</v>
      </c>
      <c r="Z2715" s="67">
        <f>IF(База_КР_КК[[#This Row],[Таб.номер резервиста]]="-","-",IF(OR(База_КР_КК[[#This Row],[Уровень КК]]=2,База_КР_КК[[#This Row],[Уровень КК]]=3),IF(COUNTIFS($U$2:$U2715,$U2715,$F$2:$F2715,$F2715)=1,1,0),IF(COUNTIFS($U$2:$U2715,$U2715,$L$2:$L2715,$L2715)=1,1,0)))</f>
        <v>0</v>
      </c>
      <c r="AA27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5" s="106"/>
      <c r="AC2715" s="51"/>
      <c r="AD2715" s="106" t="s">
        <v>13</v>
      </c>
      <c r="AE2715" s="38" t="s">
        <v>371</v>
      </c>
    </row>
    <row r="2716" spans="1:31" ht="18" customHeight="1" x14ac:dyDescent="0.25">
      <c r="A27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6" s="79">
        <v>4</v>
      </c>
      <c r="C2716" s="23">
        <v>44467</v>
      </c>
      <c r="D2716" s="67">
        <f>IF(COUNTIF($G$2:$G2716,$G2716)=1,1,0)</f>
        <v>0</v>
      </c>
      <c r="E2716" s="67" t="str">
        <f>IFERROR(VLOOKUP(База_КР_КК[[#This Row],[ИД штатной должности (S)]],'уровень защищенности'!$B$7:$F$1095,5,0),"не защищена")</f>
        <v>средний</v>
      </c>
      <c r="F2716" s="68">
        <v>500135</v>
      </c>
      <c r="G2716" s="74" t="s">
        <v>2831</v>
      </c>
      <c r="H2716" s="181">
        <f>INDEX('Списки данных'!$D$2:$D$1048576,MATCH(База_КР_КК[[#This Row],[Структурное подразделение]],'Списки данных'!$C$2:$C$1048576,0))</f>
        <v>20</v>
      </c>
      <c r="I2716" s="80" t="s">
        <v>143</v>
      </c>
      <c r="J2716" s="80" t="s">
        <v>242</v>
      </c>
      <c r="K2716" s="80" t="s">
        <v>21</v>
      </c>
      <c r="L2716" s="30" t="s">
        <v>191</v>
      </c>
      <c r="M2716" s="68">
        <v>7</v>
      </c>
      <c r="N2716" s="181" t="str">
        <f t="shared" si="43"/>
        <v>нет</v>
      </c>
      <c r="O2716" s="23"/>
      <c r="P2716" s="23"/>
      <c r="Q2716" s="106"/>
      <c r="R2716" s="37">
        <v>654</v>
      </c>
      <c r="S2716" s="38" t="s">
        <v>1063</v>
      </c>
      <c r="T2716" s="37">
        <v>1744</v>
      </c>
      <c r="U2716" s="39" t="s">
        <v>2024</v>
      </c>
      <c r="V2716" s="89" t="s">
        <v>272</v>
      </c>
      <c r="W2716" s="89" t="s">
        <v>143</v>
      </c>
      <c r="X2716" s="106" t="s">
        <v>297</v>
      </c>
      <c r="Y2716" s="107" t="s">
        <v>12</v>
      </c>
      <c r="Z2716" s="67">
        <f>IF(База_КР_КК[[#This Row],[Таб.номер резервиста]]="-","-",IF(OR(База_КР_КК[[#This Row],[Уровень КК]]=2,База_КР_КК[[#This Row],[Уровень КК]]=3),IF(COUNTIFS($U$2:$U2716,$U2716,$F$2:$F2716,$F2716)=1,1,0),IF(COUNTIFS($U$2:$U2716,$U2716,$L$2:$L2716,$L2716)=1,1,0)))</f>
        <v>0</v>
      </c>
      <c r="AA27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6" s="106"/>
      <c r="AC2716" s="51"/>
      <c r="AD2716" s="106" t="s">
        <v>13</v>
      </c>
      <c r="AE2716" s="38" t="s">
        <v>371</v>
      </c>
    </row>
    <row r="2717" spans="1:31" ht="18" customHeight="1" x14ac:dyDescent="0.25">
      <c r="A27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7" s="79">
        <v>4</v>
      </c>
      <c r="C2717" s="23">
        <v>44467</v>
      </c>
      <c r="D2717" s="67">
        <f>IF(COUNTIF($G$2:$G2717,$G2717)=1,1,0)</f>
        <v>0</v>
      </c>
      <c r="E2717" s="67" t="str">
        <f>IFERROR(VLOOKUP(База_КР_КК[[#This Row],[ИД штатной должности (S)]],'уровень защищенности'!$B$7:$F$1095,5,0),"не защищена")</f>
        <v>средний</v>
      </c>
      <c r="F2717" s="68">
        <v>500135</v>
      </c>
      <c r="G2717" s="74" t="s">
        <v>2831</v>
      </c>
      <c r="H2717" s="181">
        <f>INDEX('Списки данных'!$D$2:$D$1048576,MATCH(База_КР_КК[[#This Row],[Структурное подразделение]],'Списки данных'!$C$2:$C$1048576,0))</f>
        <v>20</v>
      </c>
      <c r="I2717" s="80" t="s">
        <v>143</v>
      </c>
      <c r="J2717" s="80" t="s">
        <v>242</v>
      </c>
      <c r="K2717" s="80" t="s">
        <v>21</v>
      </c>
      <c r="L2717" s="30" t="s">
        <v>191</v>
      </c>
      <c r="M2717" s="68">
        <v>7</v>
      </c>
      <c r="N2717" s="181" t="str">
        <f t="shared" si="43"/>
        <v>нет</v>
      </c>
      <c r="O2717" s="23"/>
      <c r="P2717" s="23"/>
      <c r="Q2717" s="106"/>
      <c r="R2717" s="37">
        <v>654</v>
      </c>
      <c r="S2717" s="38" t="s">
        <v>1063</v>
      </c>
      <c r="T2717" s="37">
        <v>1745</v>
      </c>
      <c r="U2717" s="39" t="s">
        <v>2011</v>
      </c>
      <c r="V2717" s="89" t="s">
        <v>272</v>
      </c>
      <c r="W2717" s="89" t="s">
        <v>143</v>
      </c>
      <c r="X2717" s="106" t="s">
        <v>296</v>
      </c>
      <c r="Y2717" s="107" t="s">
        <v>12</v>
      </c>
      <c r="Z2717" s="67">
        <f>IF(База_КР_КК[[#This Row],[Таб.номер резервиста]]="-","-",IF(OR(База_КР_КК[[#This Row],[Уровень КК]]=2,База_КР_КК[[#This Row],[Уровень КК]]=3),IF(COUNTIFS($U$2:$U2717,$U2717,$F$2:$F2717,$F2717)=1,1,0),IF(COUNTIFS($U$2:$U2717,$U2717,$L$2:$L2717,$L2717)=1,1,0)))</f>
        <v>0</v>
      </c>
      <c r="AA27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7" s="106"/>
      <c r="AC2717" s="51"/>
      <c r="AD2717" s="106" t="s">
        <v>13</v>
      </c>
      <c r="AE2717" s="38" t="s">
        <v>371</v>
      </c>
    </row>
    <row r="2718" spans="1:31" ht="18" customHeight="1" x14ac:dyDescent="0.25">
      <c r="A27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8" s="79">
        <v>4</v>
      </c>
      <c r="C2718" s="23">
        <v>44467</v>
      </c>
      <c r="D2718" s="67">
        <f>IF(COUNTIF($G$2:$G2718,$G2718)=1,1,0)</f>
        <v>0</v>
      </c>
      <c r="E2718" s="67" t="str">
        <f>IFERROR(VLOOKUP(База_КР_КК[[#This Row],[ИД штатной должности (S)]],'уровень защищенности'!$B$7:$F$1095,5,0),"не защищена")</f>
        <v>средний</v>
      </c>
      <c r="F2718" s="68">
        <v>500135</v>
      </c>
      <c r="G2718" s="74" t="s">
        <v>2831</v>
      </c>
      <c r="H2718" s="181">
        <f>INDEX('Списки данных'!$D$2:$D$1048576,MATCH(База_КР_КК[[#This Row],[Структурное подразделение]],'Списки данных'!$C$2:$C$1048576,0))</f>
        <v>20</v>
      </c>
      <c r="I2718" s="80" t="s">
        <v>143</v>
      </c>
      <c r="J2718" s="80" t="s">
        <v>242</v>
      </c>
      <c r="K2718" s="80" t="s">
        <v>21</v>
      </c>
      <c r="L2718" s="30" t="s">
        <v>191</v>
      </c>
      <c r="M2718" s="68">
        <v>7</v>
      </c>
      <c r="N2718" s="181" t="str">
        <f t="shared" si="43"/>
        <v>нет</v>
      </c>
      <c r="O2718" s="23"/>
      <c r="P2718" s="23"/>
      <c r="Q2718" s="106"/>
      <c r="R2718" s="37">
        <v>654</v>
      </c>
      <c r="S2718" s="38" t="s">
        <v>1063</v>
      </c>
      <c r="T2718" s="37">
        <v>1746</v>
      </c>
      <c r="U2718" s="39" t="s">
        <v>1956</v>
      </c>
      <c r="V2718" s="89" t="s">
        <v>272</v>
      </c>
      <c r="W2718" s="89" t="s">
        <v>143</v>
      </c>
      <c r="X2718" s="106" t="s">
        <v>296</v>
      </c>
      <c r="Y2718" s="107" t="s">
        <v>12</v>
      </c>
      <c r="Z2718" s="67">
        <f>IF(База_КР_КК[[#This Row],[Таб.номер резервиста]]="-","-",IF(OR(База_КР_КК[[#This Row],[Уровень КК]]=2,База_КР_КК[[#This Row],[Уровень КК]]=3),IF(COUNTIFS($U$2:$U2718,$U2718,$F$2:$F2718,$F2718)=1,1,0),IF(COUNTIFS($U$2:$U2718,$U2718,$L$2:$L2718,$L2718)=1,1,0)))</f>
        <v>0</v>
      </c>
      <c r="AA27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8" s="106"/>
      <c r="AC2718" s="51"/>
      <c r="AD2718" s="106" t="s">
        <v>13</v>
      </c>
      <c r="AE2718" s="38" t="s">
        <v>371</v>
      </c>
    </row>
    <row r="2719" spans="1:31" ht="18" customHeight="1" x14ac:dyDescent="0.25">
      <c r="A27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19" s="79">
        <v>4</v>
      </c>
      <c r="C2719" s="23">
        <v>44467</v>
      </c>
      <c r="D2719" s="67">
        <f>IF(COUNTIF($G$2:$G2719,$G2719)=1,1,0)</f>
        <v>0</v>
      </c>
      <c r="E2719" s="67" t="str">
        <f>IFERROR(VLOOKUP(База_КР_КК[[#This Row],[ИД штатной должности (S)]],'уровень защищенности'!$B$7:$F$1095,5,0),"не защищена")</f>
        <v>средний</v>
      </c>
      <c r="F2719" s="68">
        <v>500135</v>
      </c>
      <c r="G2719" s="74" t="s">
        <v>2831</v>
      </c>
      <c r="H2719" s="181">
        <f>INDEX('Списки данных'!$D$2:$D$1048576,MATCH(База_КР_КК[[#This Row],[Структурное подразделение]],'Списки данных'!$C$2:$C$1048576,0))</f>
        <v>20</v>
      </c>
      <c r="I2719" s="80" t="s">
        <v>143</v>
      </c>
      <c r="J2719" s="80" t="s">
        <v>242</v>
      </c>
      <c r="K2719" s="80" t="s">
        <v>21</v>
      </c>
      <c r="L2719" s="30" t="s">
        <v>191</v>
      </c>
      <c r="M2719" s="68">
        <v>7</v>
      </c>
      <c r="N2719" s="181" t="str">
        <f t="shared" si="43"/>
        <v>нет</v>
      </c>
      <c r="O2719" s="23"/>
      <c r="P2719" s="23"/>
      <c r="Q2719" s="106"/>
      <c r="R2719" s="37">
        <v>654</v>
      </c>
      <c r="S2719" s="38" t="s">
        <v>1063</v>
      </c>
      <c r="T2719" s="37">
        <v>1747</v>
      </c>
      <c r="U2719" s="39" t="s">
        <v>1967</v>
      </c>
      <c r="V2719" s="89" t="s">
        <v>272</v>
      </c>
      <c r="W2719" s="89" t="s">
        <v>143</v>
      </c>
      <c r="X2719" s="106" t="s">
        <v>296</v>
      </c>
      <c r="Y2719" s="107" t="s">
        <v>12</v>
      </c>
      <c r="Z2719" s="67">
        <f>IF(База_КР_КК[[#This Row],[Таб.номер резервиста]]="-","-",IF(OR(База_КР_КК[[#This Row],[Уровень КК]]=2,База_КР_КК[[#This Row],[Уровень КК]]=3),IF(COUNTIFS($U$2:$U2719,$U2719,$F$2:$F2719,$F2719)=1,1,0),IF(COUNTIFS($U$2:$U2719,$U2719,$L$2:$L2719,$L2719)=1,1,0)))</f>
        <v>0</v>
      </c>
      <c r="AA27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19" s="106"/>
      <c r="AC2719" s="51"/>
      <c r="AD2719" s="106" t="s">
        <v>13</v>
      </c>
      <c r="AE2719" s="38" t="s">
        <v>371</v>
      </c>
    </row>
    <row r="2720" spans="1:31" ht="18" customHeight="1" x14ac:dyDescent="0.25">
      <c r="A27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0" s="79">
        <v>4</v>
      </c>
      <c r="C2720" s="23">
        <v>44467</v>
      </c>
      <c r="D2720" s="67">
        <f>IF(COUNTIF($G$2:$G2720,$G2720)=1,1,0)</f>
        <v>0</v>
      </c>
      <c r="E2720" s="67" t="str">
        <f>IFERROR(VLOOKUP(База_КР_КК[[#This Row],[ИД штатной должности (S)]],'уровень защищенности'!$B$7:$F$1095,5,0),"не защищена")</f>
        <v>средний</v>
      </c>
      <c r="F2720" s="68">
        <v>500135</v>
      </c>
      <c r="G2720" s="74" t="s">
        <v>2831</v>
      </c>
      <c r="H2720" s="181">
        <f>INDEX('Списки данных'!$D$2:$D$1048576,MATCH(База_КР_КК[[#This Row],[Структурное подразделение]],'Списки данных'!$C$2:$C$1048576,0))</f>
        <v>20</v>
      </c>
      <c r="I2720" s="80" t="s">
        <v>143</v>
      </c>
      <c r="J2720" s="80" t="s">
        <v>242</v>
      </c>
      <c r="K2720" s="80" t="s">
        <v>21</v>
      </c>
      <c r="L2720" s="30" t="s">
        <v>191</v>
      </c>
      <c r="M2720" s="68">
        <v>7</v>
      </c>
      <c r="N2720" s="181" t="str">
        <f t="shared" si="43"/>
        <v>нет</v>
      </c>
      <c r="O2720" s="23"/>
      <c r="P2720" s="23"/>
      <c r="Q2720" s="106"/>
      <c r="R2720" s="37">
        <v>654</v>
      </c>
      <c r="S2720" s="38" t="s">
        <v>1063</v>
      </c>
      <c r="T2720" s="37">
        <v>1748</v>
      </c>
      <c r="U2720" s="39" t="s">
        <v>2011</v>
      </c>
      <c r="V2720" s="89" t="s">
        <v>272</v>
      </c>
      <c r="W2720" s="89" t="s">
        <v>143</v>
      </c>
      <c r="X2720" s="106" t="s">
        <v>296</v>
      </c>
      <c r="Y2720" s="107" t="s">
        <v>12</v>
      </c>
      <c r="Z2720" s="67">
        <f>IF(База_КР_КК[[#This Row],[Таб.номер резервиста]]="-","-",IF(OR(База_КР_КК[[#This Row],[Уровень КК]]=2,База_КР_КК[[#This Row],[Уровень КК]]=3),IF(COUNTIFS($U$2:$U2720,$U2720,$F$2:$F2720,$F2720)=1,1,0),IF(COUNTIFS($U$2:$U2720,$U2720,$L$2:$L2720,$L2720)=1,1,0)))</f>
        <v>0</v>
      </c>
      <c r="AA27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0" s="106"/>
      <c r="AC2720" s="51"/>
      <c r="AD2720" s="106" t="s">
        <v>13</v>
      </c>
      <c r="AE2720" s="38" t="s">
        <v>371</v>
      </c>
    </row>
    <row r="2721" spans="1:31" ht="18" customHeight="1" x14ac:dyDescent="0.25">
      <c r="A27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1" s="79">
        <v>4</v>
      </c>
      <c r="C2721" s="23">
        <v>44467</v>
      </c>
      <c r="D2721" s="67">
        <f>IF(COUNTIF($G$2:$G2721,$G2721)=1,1,0)</f>
        <v>0</v>
      </c>
      <c r="E2721" s="67" t="str">
        <f>IFERROR(VLOOKUP(База_КР_КК[[#This Row],[ИД штатной должности (S)]],'уровень защищенности'!$B$7:$F$1095,5,0),"не защищена")</f>
        <v>средний</v>
      </c>
      <c r="F2721" s="68">
        <v>500135</v>
      </c>
      <c r="G2721" s="74" t="s">
        <v>2831</v>
      </c>
      <c r="H2721" s="181">
        <f>INDEX('Списки данных'!$D$2:$D$1048576,MATCH(База_КР_КК[[#This Row],[Структурное подразделение]],'Списки данных'!$C$2:$C$1048576,0))</f>
        <v>20</v>
      </c>
      <c r="I2721" s="80" t="s">
        <v>143</v>
      </c>
      <c r="J2721" s="80" t="s">
        <v>242</v>
      </c>
      <c r="K2721" s="80" t="s">
        <v>21</v>
      </c>
      <c r="L2721" s="30" t="s">
        <v>191</v>
      </c>
      <c r="M2721" s="68">
        <v>7</v>
      </c>
      <c r="N2721" s="181" t="str">
        <f t="shared" si="43"/>
        <v>нет</v>
      </c>
      <c r="O2721" s="23"/>
      <c r="P2721" s="23"/>
      <c r="Q2721" s="106"/>
      <c r="R2721" s="37">
        <v>654</v>
      </c>
      <c r="S2721" s="38" t="s">
        <v>1063</v>
      </c>
      <c r="T2721" s="37">
        <v>1749</v>
      </c>
      <c r="U2721" s="39" t="s">
        <v>2025</v>
      </c>
      <c r="V2721" s="89" t="s">
        <v>272</v>
      </c>
      <c r="W2721" s="89" t="s">
        <v>143</v>
      </c>
      <c r="X2721" s="106" t="s">
        <v>297</v>
      </c>
      <c r="Y2721" s="107" t="s">
        <v>12</v>
      </c>
      <c r="Z2721" s="67">
        <f>IF(База_КР_КК[[#This Row],[Таб.номер резервиста]]="-","-",IF(OR(База_КР_КК[[#This Row],[Уровень КК]]=2,База_КР_КК[[#This Row],[Уровень КК]]=3),IF(COUNTIFS($U$2:$U2721,$U2721,$F$2:$F2721,$F2721)=1,1,0),IF(COUNTIFS($U$2:$U2721,$U2721,$L$2:$L2721,$L2721)=1,1,0)))</f>
        <v>0</v>
      </c>
      <c r="AA27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1" s="106"/>
      <c r="AC2721" s="51"/>
      <c r="AD2721" s="106" t="s">
        <v>13</v>
      </c>
      <c r="AE2721" s="38" t="s">
        <v>371</v>
      </c>
    </row>
    <row r="2722" spans="1:31" ht="18" customHeight="1" x14ac:dyDescent="0.25">
      <c r="A27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2" s="79">
        <v>4</v>
      </c>
      <c r="C2722" s="23">
        <v>44855</v>
      </c>
      <c r="D2722" s="67">
        <f>IF(COUNTIF($G$2:$G2722,$G2722)=1,1,0)</f>
        <v>0</v>
      </c>
      <c r="E2722" s="67" t="str">
        <f>IFERROR(VLOOKUP(База_КР_КК[[#This Row],[ИД штатной должности (S)]],'уровень защищенности'!$B$7:$F$1095,5,0),"не защищена")</f>
        <v>средний</v>
      </c>
      <c r="F2722" s="68">
        <v>500135</v>
      </c>
      <c r="G2722" s="74" t="s">
        <v>2831</v>
      </c>
      <c r="H2722" s="181">
        <f>INDEX('Списки данных'!$D$2:$D$1048576,MATCH(База_КР_КК[[#This Row],[Структурное подразделение]],'Списки данных'!$C$2:$C$1048576,0))</f>
        <v>20</v>
      </c>
      <c r="I2722" s="80" t="s">
        <v>143</v>
      </c>
      <c r="J2722" s="80" t="s">
        <v>242</v>
      </c>
      <c r="K2722" s="80" t="s">
        <v>21</v>
      </c>
      <c r="L2722" s="30" t="s">
        <v>191</v>
      </c>
      <c r="M2722" s="68">
        <v>7</v>
      </c>
      <c r="N2722" s="181" t="str">
        <f t="shared" si="43"/>
        <v>нет</v>
      </c>
      <c r="O2722" s="23"/>
      <c r="P2722" s="23"/>
      <c r="Q2722" s="106"/>
      <c r="R2722" s="37">
        <v>654</v>
      </c>
      <c r="S2722" s="39" t="s">
        <v>1063</v>
      </c>
      <c r="T2722" s="37">
        <v>1750</v>
      </c>
      <c r="U2722" s="38" t="s">
        <v>2026</v>
      </c>
      <c r="V2722" s="69" t="s">
        <v>272</v>
      </c>
      <c r="W2722" s="89" t="s">
        <v>143</v>
      </c>
      <c r="X2722" s="106" t="s">
        <v>297</v>
      </c>
      <c r="Y2722" s="107" t="s">
        <v>12</v>
      </c>
      <c r="Z2722" s="67">
        <f>IF(База_КР_КК[[#This Row],[Таб.номер резервиста]]="-","-",IF(OR(База_КР_КК[[#This Row],[Уровень КК]]=2,База_КР_КК[[#This Row],[Уровень КК]]=3),IF(COUNTIFS($U$2:$U2722,$U2722,$F$2:$F2722,$F2722)=1,1,0),IF(COUNTIFS($U$2:$U2722,$U2722,$L$2:$L2722,$L2722)=1,1,0)))</f>
        <v>0</v>
      </c>
      <c r="AA27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2" s="106"/>
      <c r="AC2722" s="51"/>
      <c r="AD2722" s="106" t="s">
        <v>13</v>
      </c>
      <c r="AE2722" s="38" t="s">
        <v>371</v>
      </c>
    </row>
    <row r="2723" spans="1:31" ht="18" customHeight="1" x14ac:dyDescent="0.25">
      <c r="A27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3" s="79">
        <v>4</v>
      </c>
      <c r="C2723" s="23">
        <v>44116</v>
      </c>
      <c r="D2723" s="67">
        <f>IF(COUNTIF($G$2:$G2723,$G2723)=1,1,0)</f>
        <v>1</v>
      </c>
      <c r="E2723" s="67" t="str">
        <f>IFERROR(VLOOKUP(База_КР_КК[[#This Row],[ИД штатной должности (S)]],'уровень защищенности'!$B$7:$F$1095,5,0),"не защищена")</f>
        <v>средний</v>
      </c>
      <c r="F2723" s="68">
        <v>500135</v>
      </c>
      <c r="G2723" s="74" t="s">
        <v>2832</v>
      </c>
      <c r="H2723" s="181">
        <f>INDEX('Списки данных'!$D$2:$D$1048576,MATCH(База_КР_КК[[#This Row],[Структурное подразделение]],'Списки данных'!$C$2:$C$1048576,0))</f>
        <v>20</v>
      </c>
      <c r="I2723" s="80" t="s">
        <v>143</v>
      </c>
      <c r="J2723" s="80" t="s">
        <v>242</v>
      </c>
      <c r="K2723" s="80" t="s">
        <v>21</v>
      </c>
      <c r="L2723" s="30" t="s">
        <v>191</v>
      </c>
      <c r="M2723" s="68">
        <v>7</v>
      </c>
      <c r="N2723" s="181" t="str">
        <f t="shared" si="43"/>
        <v>нет</v>
      </c>
      <c r="O2723" s="23"/>
      <c r="P2723" s="23"/>
      <c r="Q2723" s="106"/>
      <c r="R2723" s="37">
        <v>655</v>
      </c>
      <c r="S2723" s="38" t="s">
        <v>1064</v>
      </c>
      <c r="T2723" s="37">
        <v>1743</v>
      </c>
      <c r="U2723" s="39" t="s">
        <v>2023</v>
      </c>
      <c r="V2723" s="89" t="s">
        <v>272</v>
      </c>
      <c r="W2723" s="89" t="s">
        <v>143</v>
      </c>
      <c r="X2723" s="106" t="s">
        <v>297</v>
      </c>
      <c r="Y2723" s="107" t="s">
        <v>12</v>
      </c>
      <c r="Z2723" s="67">
        <f>IF(База_КР_КК[[#This Row],[Таб.номер резервиста]]="-","-",IF(OR(База_КР_КК[[#This Row],[Уровень КК]]=2,База_КР_КК[[#This Row],[Уровень КК]]=3),IF(COUNTIFS($U$2:$U2723,$U2723,$F$2:$F2723,$F2723)=1,1,0),IF(COUNTIFS($U$2:$U2723,$U2723,$L$2:$L2723,$L2723)=1,1,0)))</f>
        <v>0</v>
      </c>
      <c r="AA27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3" s="106"/>
      <c r="AC2723" s="51"/>
      <c r="AD2723" s="106" t="s">
        <v>13</v>
      </c>
      <c r="AE2723" s="38" t="s">
        <v>371</v>
      </c>
    </row>
    <row r="2724" spans="1:31" ht="18" customHeight="1" x14ac:dyDescent="0.25">
      <c r="A27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4" s="79">
        <v>4</v>
      </c>
      <c r="C2724" s="23">
        <v>44467</v>
      </c>
      <c r="D2724" s="67">
        <f>IF(COUNTIF($G$2:$G2724,$G2724)=1,1,0)</f>
        <v>0</v>
      </c>
      <c r="E2724" s="67" t="str">
        <f>IFERROR(VLOOKUP(База_КР_КК[[#This Row],[ИД штатной должности (S)]],'уровень защищенности'!$B$7:$F$1095,5,0),"не защищена")</f>
        <v>средний</v>
      </c>
      <c r="F2724" s="68">
        <v>500135</v>
      </c>
      <c r="G2724" s="74" t="s">
        <v>2832</v>
      </c>
      <c r="H2724" s="181">
        <f>INDEX('Списки данных'!$D$2:$D$1048576,MATCH(База_КР_КК[[#This Row],[Структурное подразделение]],'Списки данных'!$C$2:$C$1048576,0))</f>
        <v>20</v>
      </c>
      <c r="I2724" s="80" t="s">
        <v>143</v>
      </c>
      <c r="J2724" s="80" t="s">
        <v>242</v>
      </c>
      <c r="K2724" s="80" t="s">
        <v>21</v>
      </c>
      <c r="L2724" s="30" t="s">
        <v>191</v>
      </c>
      <c r="M2724" s="68">
        <v>7</v>
      </c>
      <c r="N2724" s="181" t="str">
        <f t="shared" si="43"/>
        <v>нет</v>
      </c>
      <c r="O2724" s="23"/>
      <c r="P2724" s="23"/>
      <c r="Q2724" s="106"/>
      <c r="R2724" s="37">
        <v>655</v>
      </c>
      <c r="S2724" s="38" t="s">
        <v>1064</v>
      </c>
      <c r="T2724" s="37">
        <v>1744</v>
      </c>
      <c r="U2724" s="39" t="s">
        <v>2024</v>
      </c>
      <c r="V2724" s="89" t="s">
        <v>272</v>
      </c>
      <c r="W2724" s="89" t="s">
        <v>143</v>
      </c>
      <c r="X2724" s="106" t="s">
        <v>297</v>
      </c>
      <c r="Y2724" s="107" t="s">
        <v>12</v>
      </c>
      <c r="Z2724" s="67">
        <f>IF(База_КР_КК[[#This Row],[Таб.номер резервиста]]="-","-",IF(OR(База_КР_КК[[#This Row],[Уровень КК]]=2,База_КР_КК[[#This Row],[Уровень КК]]=3),IF(COUNTIFS($U$2:$U2724,$U2724,$F$2:$F2724,$F2724)=1,1,0),IF(COUNTIFS($U$2:$U2724,$U2724,$L$2:$L2724,$L2724)=1,1,0)))</f>
        <v>0</v>
      </c>
      <c r="AA27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4" s="106"/>
      <c r="AC2724" s="51"/>
      <c r="AD2724" s="106" t="s">
        <v>13</v>
      </c>
      <c r="AE2724" s="38" t="s">
        <v>371</v>
      </c>
    </row>
    <row r="2725" spans="1:31" ht="18" customHeight="1" x14ac:dyDescent="0.25">
      <c r="A27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5" s="79">
        <v>4</v>
      </c>
      <c r="C2725" s="23">
        <v>44467</v>
      </c>
      <c r="D2725" s="67">
        <f>IF(COUNTIF($G$2:$G2725,$G2725)=1,1,0)</f>
        <v>0</v>
      </c>
      <c r="E2725" s="67" t="str">
        <f>IFERROR(VLOOKUP(База_КР_КК[[#This Row],[ИД штатной должности (S)]],'уровень защищенности'!$B$7:$F$1095,5,0),"не защищена")</f>
        <v>средний</v>
      </c>
      <c r="F2725" s="68">
        <v>500135</v>
      </c>
      <c r="G2725" s="74" t="s">
        <v>2832</v>
      </c>
      <c r="H2725" s="181">
        <f>INDEX('Списки данных'!$D$2:$D$1048576,MATCH(База_КР_КК[[#This Row],[Структурное подразделение]],'Списки данных'!$C$2:$C$1048576,0))</f>
        <v>20</v>
      </c>
      <c r="I2725" s="80" t="s">
        <v>143</v>
      </c>
      <c r="J2725" s="80" t="s">
        <v>242</v>
      </c>
      <c r="K2725" s="80" t="s">
        <v>21</v>
      </c>
      <c r="L2725" s="30" t="s">
        <v>191</v>
      </c>
      <c r="M2725" s="68">
        <v>7</v>
      </c>
      <c r="N2725" s="181" t="str">
        <f t="shared" si="43"/>
        <v>нет</v>
      </c>
      <c r="O2725" s="23"/>
      <c r="P2725" s="23"/>
      <c r="Q2725" s="106"/>
      <c r="R2725" s="37">
        <v>655</v>
      </c>
      <c r="S2725" s="38" t="s">
        <v>1064</v>
      </c>
      <c r="T2725" s="37">
        <v>1745</v>
      </c>
      <c r="U2725" s="39" t="s">
        <v>2011</v>
      </c>
      <c r="V2725" s="89" t="s">
        <v>272</v>
      </c>
      <c r="W2725" s="89" t="s">
        <v>143</v>
      </c>
      <c r="X2725" s="106" t="s">
        <v>296</v>
      </c>
      <c r="Y2725" s="107" t="s">
        <v>12</v>
      </c>
      <c r="Z2725" s="67">
        <f>IF(База_КР_КК[[#This Row],[Таб.номер резервиста]]="-","-",IF(OR(База_КР_КК[[#This Row],[Уровень КК]]=2,База_КР_КК[[#This Row],[Уровень КК]]=3),IF(COUNTIFS($U$2:$U2725,$U2725,$F$2:$F2725,$F2725)=1,1,0),IF(COUNTIFS($U$2:$U2725,$U2725,$L$2:$L2725,$L2725)=1,1,0)))</f>
        <v>0</v>
      </c>
      <c r="AA27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5" s="106"/>
      <c r="AC2725" s="51"/>
      <c r="AD2725" s="106" t="s">
        <v>13</v>
      </c>
      <c r="AE2725" s="38" t="s">
        <v>371</v>
      </c>
    </row>
    <row r="2726" spans="1:31" ht="18" customHeight="1" x14ac:dyDescent="0.25">
      <c r="A27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6" s="79">
        <v>4</v>
      </c>
      <c r="C2726" s="23">
        <v>44467</v>
      </c>
      <c r="D2726" s="67">
        <f>IF(COUNTIF($G$2:$G2726,$G2726)=1,1,0)</f>
        <v>0</v>
      </c>
      <c r="E2726" s="67" t="str">
        <f>IFERROR(VLOOKUP(База_КР_КК[[#This Row],[ИД штатной должности (S)]],'уровень защищенности'!$B$7:$F$1095,5,0),"не защищена")</f>
        <v>средний</v>
      </c>
      <c r="F2726" s="68">
        <v>500135</v>
      </c>
      <c r="G2726" s="74" t="s">
        <v>2832</v>
      </c>
      <c r="H2726" s="181">
        <f>INDEX('Списки данных'!$D$2:$D$1048576,MATCH(База_КР_КК[[#This Row],[Структурное подразделение]],'Списки данных'!$C$2:$C$1048576,0))</f>
        <v>20</v>
      </c>
      <c r="I2726" s="80" t="s">
        <v>143</v>
      </c>
      <c r="J2726" s="80" t="s">
        <v>242</v>
      </c>
      <c r="K2726" s="80" t="s">
        <v>21</v>
      </c>
      <c r="L2726" s="30" t="s">
        <v>191</v>
      </c>
      <c r="M2726" s="68">
        <v>7</v>
      </c>
      <c r="N2726" s="181" t="str">
        <f t="shared" si="43"/>
        <v>нет</v>
      </c>
      <c r="O2726" s="23"/>
      <c r="P2726" s="23"/>
      <c r="Q2726" s="106"/>
      <c r="R2726" s="37">
        <v>655</v>
      </c>
      <c r="S2726" s="38" t="s">
        <v>1064</v>
      </c>
      <c r="T2726" s="37">
        <v>1746</v>
      </c>
      <c r="U2726" s="39" t="s">
        <v>1956</v>
      </c>
      <c r="V2726" s="89" t="s">
        <v>272</v>
      </c>
      <c r="W2726" s="89" t="s">
        <v>143</v>
      </c>
      <c r="X2726" s="106" t="s">
        <v>296</v>
      </c>
      <c r="Y2726" s="107" t="s">
        <v>12</v>
      </c>
      <c r="Z2726" s="67">
        <f>IF(База_КР_КК[[#This Row],[Таб.номер резервиста]]="-","-",IF(OR(База_КР_КК[[#This Row],[Уровень КК]]=2,База_КР_КК[[#This Row],[Уровень КК]]=3),IF(COUNTIFS($U$2:$U2726,$U2726,$F$2:$F2726,$F2726)=1,1,0),IF(COUNTIFS($U$2:$U2726,$U2726,$L$2:$L2726,$L2726)=1,1,0)))</f>
        <v>0</v>
      </c>
      <c r="AA27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6" s="106"/>
      <c r="AC2726" s="51"/>
      <c r="AD2726" s="106" t="s">
        <v>13</v>
      </c>
      <c r="AE2726" s="38" t="s">
        <v>371</v>
      </c>
    </row>
    <row r="2727" spans="1:31" ht="18" customHeight="1" x14ac:dyDescent="0.25">
      <c r="A27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7" s="79">
        <v>4</v>
      </c>
      <c r="C2727" s="23">
        <v>44467</v>
      </c>
      <c r="D2727" s="67">
        <f>IF(COUNTIF($G$2:$G2727,$G2727)=1,1,0)</f>
        <v>0</v>
      </c>
      <c r="E2727" s="67" t="str">
        <f>IFERROR(VLOOKUP(База_КР_КК[[#This Row],[ИД штатной должности (S)]],'уровень защищенности'!$B$7:$F$1095,5,0),"не защищена")</f>
        <v>средний</v>
      </c>
      <c r="F2727" s="68">
        <v>500135</v>
      </c>
      <c r="G2727" s="74" t="s">
        <v>2832</v>
      </c>
      <c r="H2727" s="181">
        <f>INDEX('Списки данных'!$D$2:$D$1048576,MATCH(База_КР_КК[[#This Row],[Структурное подразделение]],'Списки данных'!$C$2:$C$1048576,0))</f>
        <v>20</v>
      </c>
      <c r="I2727" s="80" t="s">
        <v>143</v>
      </c>
      <c r="J2727" s="80" t="s">
        <v>242</v>
      </c>
      <c r="K2727" s="80" t="s">
        <v>21</v>
      </c>
      <c r="L2727" s="30" t="s">
        <v>191</v>
      </c>
      <c r="M2727" s="68">
        <v>7</v>
      </c>
      <c r="N2727" s="181" t="str">
        <f t="shared" si="43"/>
        <v>нет</v>
      </c>
      <c r="O2727" s="23"/>
      <c r="P2727" s="23"/>
      <c r="Q2727" s="106"/>
      <c r="R2727" s="37">
        <v>655</v>
      </c>
      <c r="S2727" s="38" t="s">
        <v>1064</v>
      </c>
      <c r="T2727" s="37">
        <v>1747</v>
      </c>
      <c r="U2727" s="39" t="s">
        <v>1967</v>
      </c>
      <c r="V2727" s="89" t="s">
        <v>272</v>
      </c>
      <c r="W2727" s="89" t="s">
        <v>143</v>
      </c>
      <c r="X2727" s="106" t="s">
        <v>296</v>
      </c>
      <c r="Y2727" s="107" t="s">
        <v>12</v>
      </c>
      <c r="Z2727" s="67">
        <f>IF(База_КР_КК[[#This Row],[Таб.номер резервиста]]="-","-",IF(OR(База_КР_КК[[#This Row],[Уровень КК]]=2,База_КР_КК[[#This Row],[Уровень КК]]=3),IF(COUNTIFS($U$2:$U2727,$U2727,$F$2:$F2727,$F2727)=1,1,0),IF(COUNTIFS($U$2:$U2727,$U2727,$L$2:$L2727,$L2727)=1,1,0)))</f>
        <v>0</v>
      </c>
      <c r="AA27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7" s="106"/>
      <c r="AC2727" s="51"/>
      <c r="AD2727" s="106" t="s">
        <v>13</v>
      </c>
      <c r="AE2727" s="38" t="s">
        <v>371</v>
      </c>
    </row>
    <row r="2728" spans="1:31" ht="18" customHeight="1" x14ac:dyDescent="0.25">
      <c r="A27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8" s="79">
        <v>4</v>
      </c>
      <c r="C2728" s="23">
        <v>44467</v>
      </c>
      <c r="D2728" s="67">
        <f>IF(COUNTIF($G$2:$G2728,$G2728)=1,1,0)</f>
        <v>0</v>
      </c>
      <c r="E2728" s="67" t="str">
        <f>IFERROR(VLOOKUP(База_КР_КК[[#This Row],[ИД штатной должности (S)]],'уровень защищенности'!$B$7:$F$1095,5,0),"не защищена")</f>
        <v>средний</v>
      </c>
      <c r="F2728" s="68">
        <v>500135</v>
      </c>
      <c r="G2728" s="74" t="s">
        <v>2832</v>
      </c>
      <c r="H2728" s="181">
        <f>INDEX('Списки данных'!$D$2:$D$1048576,MATCH(База_КР_КК[[#This Row],[Структурное подразделение]],'Списки данных'!$C$2:$C$1048576,0))</f>
        <v>20</v>
      </c>
      <c r="I2728" s="80" t="s">
        <v>143</v>
      </c>
      <c r="J2728" s="80" t="s">
        <v>242</v>
      </c>
      <c r="K2728" s="80" t="s">
        <v>21</v>
      </c>
      <c r="L2728" s="30" t="s">
        <v>191</v>
      </c>
      <c r="M2728" s="68">
        <v>7</v>
      </c>
      <c r="N2728" s="181" t="str">
        <f t="shared" si="43"/>
        <v>нет</v>
      </c>
      <c r="O2728" s="23"/>
      <c r="P2728" s="23"/>
      <c r="Q2728" s="106"/>
      <c r="R2728" s="37">
        <v>655</v>
      </c>
      <c r="S2728" s="38" t="s">
        <v>1064</v>
      </c>
      <c r="T2728" s="37">
        <v>1748</v>
      </c>
      <c r="U2728" s="39" t="s">
        <v>2011</v>
      </c>
      <c r="V2728" s="89" t="s">
        <v>272</v>
      </c>
      <c r="W2728" s="89" t="s">
        <v>143</v>
      </c>
      <c r="X2728" s="106" t="s">
        <v>296</v>
      </c>
      <c r="Y2728" s="107" t="s">
        <v>12</v>
      </c>
      <c r="Z2728" s="67">
        <f>IF(База_КР_КК[[#This Row],[Таб.номер резервиста]]="-","-",IF(OR(База_КР_КК[[#This Row],[Уровень КК]]=2,База_КР_КК[[#This Row],[Уровень КК]]=3),IF(COUNTIFS($U$2:$U2728,$U2728,$F$2:$F2728,$F2728)=1,1,0),IF(COUNTIFS($U$2:$U2728,$U2728,$L$2:$L2728,$L2728)=1,1,0)))</f>
        <v>0</v>
      </c>
      <c r="AA27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8" s="106"/>
      <c r="AC2728" s="51"/>
      <c r="AD2728" s="106" t="s">
        <v>13</v>
      </c>
      <c r="AE2728" s="38" t="s">
        <v>371</v>
      </c>
    </row>
    <row r="2729" spans="1:31" ht="18" customHeight="1" x14ac:dyDescent="0.25">
      <c r="A27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29" s="79">
        <v>4</v>
      </c>
      <c r="C2729" s="23">
        <v>44467</v>
      </c>
      <c r="D2729" s="67">
        <f>IF(COUNTIF($G$2:$G2729,$G2729)=1,1,0)</f>
        <v>0</v>
      </c>
      <c r="E2729" s="67" t="str">
        <f>IFERROR(VLOOKUP(База_КР_КК[[#This Row],[ИД штатной должности (S)]],'уровень защищенности'!$B$7:$F$1095,5,0),"не защищена")</f>
        <v>средний</v>
      </c>
      <c r="F2729" s="68">
        <v>500135</v>
      </c>
      <c r="G2729" s="74" t="s">
        <v>2832</v>
      </c>
      <c r="H2729" s="181">
        <f>INDEX('Списки данных'!$D$2:$D$1048576,MATCH(База_КР_КК[[#This Row],[Структурное подразделение]],'Списки данных'!$C$2:$C$1048576,0))</f>
        <v>20</v>
      </c>
      <c r="I2729" s="80" t="s">
        <v>143</v>
      </c>
      <c r="J2729" s="80" t="s">
        <v>242</v>
      </c>
      <c r="K2729" s="80" t="s">
        <v>21</v>
      </c>
      <c r="L2729" s="30" t="s">
        <v>191</v>
      </c>
      <c r="M2729" s="68">
        <v>7</v>
      </c>
      <c r="N2729" s="181" t="str">
        <f t="shared" si="43"/>
        <v>нет</v>
      </c>
      <c r="O2729" s="23"/>
      <c r="P2729" s="23"/>
      <c r="Q2729" s="106"/>
      <c r="R2729" s="37">
        <v>655</v>
      </c>
      <c r="S2729" s="38" t="s">
        <v>1064</v>
      </c>
      <c r="T2729" s="37">
        <v>1749</v>
      </c>
      <c r="U2729" s="39" t="s">
        <v>2025</v>
      </c>
      <c r="V2729" s="89" t="s">
        <v>272</v>
      </c>
      <c r="W2729" s="89" t="s">
        <v>143</v>
      </c>
      <c r="X2729" s="106" t="s">
        <v>297</v>
      </c>
      <c r="Y2729" s="107" t="s">
        <v>12</v>
      </c>
      <c r="Z2729" s="67">
        <f>IF(База_КР_КК[[#This Row],[Таб.номер резервиста]]="-","-",IF(OR(База_КР_КК[[#This Row],[Уровень КК]]=2,База_КР_КК[[#This Row],[Уровень КК]]=3),IF(COUNTIFS($U$2:$U2729,$U2729,$F$2:$F2729,$F2729)=1,1,0),IF(COUNTIFS($U$2:$U2729,$U2729,$L$2:$L2729,$L2729)=1,1,0)))</f>
        <v>0</v>
      </c>
      <c r="AA27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29" s="106"/>
      <c r="AC2729" s="51"/>
      <c r="AD2729" s="106" t="s">
        <v>13</v>
      </c>
      <c r="AE2729" s="38" t="s">
        <v>371</v>
      </c>
    </row>
    <row r="2730" spans="1:31" ht="18" customHeight="1" x14ac:dyDescent="0.25">
      <c r="A27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0" s="79">
        <v>4</v>
      </c>
      <c r="C2730" s="23">
        <v>44855</v>
      </c>
      <c r="D2730" s="67">
        <f>IF(COUNTIF($G$2:$G2730,$G2730)=1,1,0)</f>
        <v>0</v>
      </c>
      <c r="E2730" s="67" t="str">
        <f>IFERROR(VLOOKUP(База_КР_КК[[#This Row],[ИД штатной должности (S)]],'уровень защищенности'!$B$7:$F$1095,5,0),"не защищена")</f>
        <v>средний</v>
      </c>
      <c r="F2730" s="68">
        <v>500135</v>
      </c>
      <c r="G2730" s="74" t="s">
        <v>2832</v>
      </c>
      <c r="H2730" s="181">
        <f>INDEX('Списки данных'!$D$2:$D$1048576,MATCH(База_КР_КК[[#This Row],[Структурное подразделение]],'Списки данных'!$C$2:$C$1048576,0))</f>
        <v>20</v>
      </c>
      <c r="I2730" s="80" t="s">
        <v>143</v>
      </c>
      <c r="J2730" s="80" t="s">
        <v>242</v>
      </c>
      <c r="K2730" s="80" t="s">
        <v>21</v>
      </c>
      <c r="L2730" s="30" t="s">
        <v>191</v>
      </c>
      <c r="M2730" s="68">
        <v>7</v>
      </c>
      <c r="N2730" s="181" t="str">
        <f t="shared" si="43"/>
        <v>нет</v>
      </c>
      <c r="O2730" s="23"/>
      <c r="P2730" s="23"/>
      <c r="Q2730" s="106"/>
      <c r="R2730" s="37">
        <v>655</v>
      </c>
      <c r="S2730" s="39" t="s">
        <v>1064</v>
      </c>
      <c r="T2730" s="37">
        <v>1750</v>
      </c>
      <c r="U2730" s="38" t="s">
        <v>2026</v>
      </c>
      <c r="V2730" s="69" t="s">
        <v>272</v>
      </c>
      <c r="W2730" s="89" t="s">
        <v>143</v>
      </c>
      <c r="X2730" s="106" t="s">
        <v>297</v>
      </c>
      <c r="Y2730" s="107" t="s">
        <v>12</v>
      </c>
      <c r="Z2730" s="67">
        <f>IF(База_КР_КК[[#This Row],[Таб.номер резервиста]]="-","-",IF(OR(База_КР_КК[[#This Row],[Уровень КК]]=2,База_КР_КК[[#This Row],[Уровень КК]]=3),IF(COUNTIFS($U$2:$U2730,$U2730,$F$2:$F2730,$F2730)=1,1,0),IF(COUNTIFS($U$2:$U2730,$U2730,$L$2:$L2730,$L2730)=1,1,0)))</f>
        <v>0</v>
      </c>
      <c r="AA27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0" s="106"/>
      <c r="AC2730" s="51"/>
      <c r="AD2730" s="106" t="s">
        <v>13</v>
      </c>
      <c r="AE2730" s="38" t="s">
        <v>371</v>
      </c>
    </row>
    <row r="2731" spans="1:31" ht="18" customHeight="1" x14ac:dyDescent="0.25">
      <c r="A27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1" s="79">
        <v>4</v>
      </c>
      <c r="C2731" s="23">
        <v>44116</v>
      </c>
      <c r="D2731" s="67">
        <f>IF(COUNTIF($G$2:$G2731,$G2731)=1,1,0)</f>
        <v>1</v>
      </c>
      <c r="E2731" s="67" t="str">
        <f>IFERROR(VLOOKUP(База_КР_КК[[#This Row],[ИД штатной должности (S)]],'уровень защищенности'!$B$7:$F$1095,5,0),"не защищена")</f>
        <v>средний</v>
      </c>
      <c r="F2731" s="68">
        <v>500135</v>
      </c>
      <c r="G2731" s="74" t="s">
        <v>2833</v>
      </c>
      <c r="H2731" s="181">
        <f>INDEX('Списки данных'!$D$2:$D$1048576,MATCH(База_КР_КК[[#This Row],[Структурное подразделение]],'Списки данных'!$C$2:$C$1048576,0))</f>
        <v>20</v>
      </c>
      <c r="I2731" s="80" t="s">
        <v>143</v>
      </c>
      <c r="J2731" s="80" t="s">
        <v>242</v>
      </c>
      <c r="K2731" s="80" t="s">
        <v>21</v>
      </c>
      <c r="L2731" s="30" t="s">
        <v>191</v>
      </c>
      <c r="M2731" s="68">
        <v>7</v>
      </c>
      <c r="N2731" s="181" t="str">
        <f t="shared" si="43"/>
        <v>да</v>
      </c>
      <c r="O2731" s="23">
        <v>44473</v>
      </c>
      <c r="P2731" s="23">
        <v>44473</v>
      </c>
      <c r="Q2731" s="106" t="s">
        <v>66</v>
      </c>
      <c r="R2731" s="37">
        <v>656</v>
      </c>
      <c r="S2731" s="38" t="s">
        <v>1065</v>
      </c>
      <c r="T2731" s="37">
        <v>1743</v>
      </c>
      <c r="U2731" s="39" t="s">
        <v>2023</v>
      </c>
      <c r="V2731" s="89" t="s">
        <v>272</v>
      </c>
      <c r="W2731" s="89" t="s">
        <v>143</v>
      </c>
      <c r="X2731" s="106" t="s">
        <v>297</v>
      </c>
      <c r="Y2731" s="107" t="s">
        <v>12</v>
      </c>
      <c r="Z2731" s="67">
        <f>IF(База_КР_КК[[#This Row],[Таб.номер резервиста]]="-","-",IF(OR(База_КР_КК[[#This Row],[Уровень КК]]=2,База_КР_КК[[#This Row],[Уровень КК]]=3),IF(COUNTIFS($U$2:$U2731,$U2731,$F$2:$F2731,$F2731)=1,1,0),IF(COUNTIFS($U$2:$U2731,$U2731,$L$2:$L2731,$L2731)=1,1,0)))</f>
        <v>0</v>
      </c>
      <c r="AA27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1" s="106"/>
      <c r="AC2731" s="51"/>
      <c r="AD2731" s="106" t="s">
        <v>13</v>
      </c>
      <c r="AE2731" s="38" t="s">
        <v>371</v>
      </c>
    </row>
    <row r="2732" spans="1:31" ht="18" customHeight="1" x14ac:dyDescent="0.25">
      <c r="A27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2" s="79">
        <v>4</v>
      </c>
      <c r="C2732" s="23">
        <v>44467</v>
      </c>
      <c r="D2732" s="67">
        <f>IF(COUNTIF($G$2:$G2732,$G2732)=1,1,0)</f>
        <v>0</v>
      </c>
      <c r="E2732" s="67" t="str">
        <f>IFERROR(VLOOKUP(База_КР_КК[[#This Row],[ИД штатной должности (S)]],'уровень защищенности'!$B$7:$F$1095,5,0),"не защищена")</f>
        <v>средний</v>
      </c>
      <c r="F2732" s="68">
        <v>500135</v>
      </c>
      <c r="G2732" s="74" t="s">
        <v>2833</v>
      </c>
      <c r="H2732" s="181">
        <f>INDEX('Списки данных'!$D$2:$D$1048576,MATCH(База_КР_КК[[#This Row],[Структурное подразделение]],'Списки данных'!$C$2:$C$1048576,0))</f>
        <v>20</v>
      </c>
      <c r="I2732" s="80" t="s">
        <v>143</v>
      </c>
      <c r="J2732" s="80" t="s">
        <v>242</v>
      </c>
      <c r="K2732" s="80" t="s">
        <v>21</v>
      </c>
      <c r="L2732" s="30" t="s">
        <v>191</v>
      </c>
      <c r="M2732" s="68">
        <v>7</v>
      </c>
      <c r="N2732" s="181" t="str">
        <f t="shared" si="43"/>
        <v>да</v>
      </c>
      <c r="O2732" s="23">
        <v>44473</v>
      </c>
      <c r="P2732" s="23">
        <v>44473</v>
      </c>
      <c r="Q2732" s="106" t="s">
        <v>66</v>
      </c>
      <c r="R2732" s="37">
        <v>656</v>
      </c>
      <c r="S2732" s="39" t="s">
        <v>1065</v>
      </c>
      <c r="T2732" s="37">
        <v>1744</v>
      </c>
      <c r="U2732" s="39" t="s">
        <v>2024</v>
      </c>
      <c r="V2732" s="89" t="s">
        <v>272</v>
      </c>
      <c r="W2732" s="89" t="s">
        <v>143</v>
      </c>
      <c r="X2732" s="106" t="s">
        <v>297</v>
      </c>
      <c r="Y2732" s="107" t="s">
        <v>12</v>
      </c>
      <c r="Z2732" s="67">
        <f>IF(База_КР_КК[[#This Row],[Таб.номер резервиста]]="-","-",IF(OR(База_КР_КК[[#This Row],[Уровень КК]]=2,База_КР_КК[[#This Row],[Уровень КК]]=3),IF(COUNTIFS($U$2:$U2732,$U2732,$F$2:$F2732,$F2732)=1,1,0),IF(COUNTIFS($U$2:$U2732,$U2732,$L$2:$L2732,$L2732)=1,1,0)))</f>
        <v>0</v>
      </c>
      <c r="AA27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2" s="106"/>
      <c r="AC2732" s="51"/>
      <c r="AD2732" s="106" t="s">
        <v>13</v>
      </c>
      <c r="AE2732" s="38" t="s">
        <v>371</v>
      </c>
    </row>
    <row r="2733" spans="1:31" ht="18" customHeight="1" x14ac:dyDescent="0.25">
      <c r="A27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3" s="79">
        <v>4</v>
      </c>
      <c r="C2733" s="23">
        <v>44467</v>
      </c>
      <c r="D2733" s="67">
        <f>IF(COUNTIF($G$2:$G2733,$G2733)=1,1,0)</f>
        <v>0</v>
      </c>
      <c r="E2733" s="67" t="str">
        <f>IFERROR(VLOOKUP(База_КР_КК[[#This Row],[ИД штатной должности (S)]],'уровень защищенности'!$B$7:$F$1095,5,0),"не защищена")</f>
        <v>средний</v>
      </c>
      <c r="F2733" s="68">
        <v>500135</v>
      </c>
      <c r="G2733" s="74" t="s">
        <v>2833</v>
      </c>
      <c r="H2733" s="181">
        <f>INDEX('Списки данных'!$D$2:$D$1048576,MATCH(База_КР_КК[[#This Row],[Структурное подразделение]],'Списки данных'!$C$2:$C$1048576,0))</f>
        <v>20</v>
      </c>
      <c r="I2733" s="80" t="s">
        <v>143</v>
      </c>
      <c r="J2733" s="80" t="s">
        <v>242</v>
      </c>
      <c r="K2733" s="80" t="s">
        <v>21</v>
      </c>
      <c r="L2733" s="30" t="s">
        <v>191</v>
      </c>
      <c r="M2733" s="68">
        <v>7</v>
      </c>
      <c r="N2733" s="181" t="str">
        <f t="shared" si="43"/>
        <v>да</v>
      </c>
      <c r="O2733" s="23">
        <v>44473</v>
      </c>
      <c r="P2733" s="23">
        <v>44473</v>
      </c>
      <c r="Q2733" s="106" t="s">
        <v>66</v>
      </c>
      <c r="R2733" s="37">
        <v>656</v>
      </c>
      <c r="S2733" s="39" t="s">
        <v>1065</v>
      </c>
      <c r="T2733" s="37">
        <v>1745</v>
      </c>
      <c r="U2733" s="39" t="s">
        <v>2011</v>
      </c>
      <c r="V2733" s="89" t="s">
        <v>272</v>
      </c>
      <c r="W2733" s="89" t="s">
        <v>143</v>
      </c>
      <c r="X2733" s="106" t="s">
        <v>296</v>
      </c>
      <c r="Y2733" s="107" t="s">
        <v>12</v>
      </c>
      <c r="Z2733" s="67">
        <f>IF(База_КР_КК[[#This Row],[Таб.номер резервиста]]="-","-",IF(OR(База_КР_КК[[#This Row],[Уровень КК]]=2,База_КР_КК[[#This Row],[Уровень КК]]=3),IF(COUNTIFS($U$2:$U2733,$U2733,$F$2:$F2733,$F2733)=1,1,0),IF(COUNTIFS($U$2:$U2733,$U2733,$L$2:$L2733,$L2733)=1,1,0)))</f>
        <v>0</v>
      </c>
      <c r="AA27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3" s="106"/>
      <c r="AC2733" s="51"/>
      <c r="AD2733" s="106" t="s">
        <v>13</v>
      </c>
      <c r="AE2733" s="38" t="s">
        <v>371</v>
      </c>
    </row>
    <row r="2734" spans="1:31" ht="18" customHeight="1" x14ac:dyDescent="0.25">
      <c r="A27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4" s="79">
        <v>4</v>
      </c>
      <c r="C2734" s="23">
        <v>44467</v>
      </c>
      <c r="D2734" s="67">
        <f>IF(COUNTIF($G$2:$G2734,$G2734)=1,1,0)</f>
        <v>0</v>
      </c>
      <c r="E2734" s="67" t="str">
        <f>IFERROR(VLOOKUP(База_КР_КК[[#This Row],[ИД штатной должности (S)]],'уровень защищенности'!$B$7:$F$1095,5,0),"не защищена")</f>
        <v>средний</v>
      </c>
      <c r="F2734" s="68">
        <v>500135</v>
      </c>
      <c r="G2734" s="74" t="s">
        <v>2833</v>
      </c>
      <c r="H2734" s="181">
        <f>INDEX('Списки данных'!$D$2:$D$1048576,MATCH(База_КР_КК[[#This Row],[Структурное подразделение]],'Списки данных'!$C$2:$C$1048576,0))</f>
        <v>20</v>
      </c>
      <c r="I2734" s="80" t="s">
        <v>143</v>
      </c>
      <c r="J2734" s="80" t="s">
        <v>242</v>
      </c>
      <c r="K2734" s="80" t="s">
        <v>21</v>
      </c>
      <c r="L2734" s="30" t="s">
        <v>191</v>
      </c>
      <c r="M2734" s="68">
        <v>7</v>
      </c>
      <c r="N2734" s="181" t="str">
        <f t="shared" si="43"/>
        <v>да</v>
      </c>
      <c r="O2734" s="23">
        <v>44473</v>
      </c>
      <c r="P2734" s="23">
        <v>44473</v>
      </c>
      <c r="Q2734" s="106" t="s">
        <v>66</v>
      </c>
      <c r="R2734" s="37">
        <v>656</v>
      </c>
      <c r="S2734" s="39" t="s">
        <v>1065</v>
      </c>
      <c r="T2734" s="37">
        <v>1746</v>
      </c>
      <c r="U2734" s="39" t="s">
        <v>1956</v>
      </c>
      <c r="V2734" s="89" t="s">
        <v>272</v>
      </c>
      <c r="W2734" s="89" t="s">
        <v>143</v>
      </c>
      <c r="X2734" s="106" t="s">
        <v>296</v>
      </c>
      <c r="Y2734" s="107" t="s">
        <v>12</v>
      </c>
      <c r="Z2734" s="67">
        <f>IF(База_КР_КК[[#This Row],[Таб.номер резервиста]]="-","-",IF(OR(База_КР_КК[[#This Row],[Уровень КК]]=2,База_КР_КК[[#This Row],[Уровень КК]]=3),IF(COUNTIFS($U$2:$U2734,$U2734,$F$2:$F2734,$F2734)=1,1,0),IF(COUNTIFS($U$2:$U2734,$U2734,$L$2:$L2734,$L2734)=1,1,0)))</f>
        <v>0</v>
      </c>
      <c r="AA27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4" s="106"/>
      <c r="AC2734" s="51"/>
      <c r="AD2734" s="106" t="s">
        <v>13</v>
      </c>
      <c r="AE2734" s="38" t="s">
        <v>371</v>
      </c>
    </row>
    <row r="2735" spans="1:31" ht="18" customHeight="1" x14ac:dyDescent="0.25">
      <c r="A27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5" s="79">
        <v>4</v>
      </c>
      <c r="C2735" s="23">
        <v>44467</v>
      </c>
      <c r="D2735" s="67">
        <f>IF(COUNTIF($G$2:$G2735,$G2735)=1,1,0)</f>
        <v>0</v>
      </c>
      <c r="E2735" s="67" t="str">
        <f>IFERROR(VLOOKUP(База_КР_КК[[#This Row],[ИД штатной должности (S)]],'уровень защищенности'!$B$7:$F$1095,5,0),"не защищена")</f>
        <v>средний</v>
      </c>
      <c r="F2735" s="68">
        <v>500135</v>
      </c>
      <c r="G2735" s="74" t="s">
        <v>2833</v>
      </c>
      <c r="H2735" s="181">
        <f>INDEX('Списки данных'!$D$2:$D$1048576,MATCH(База_КР_КК[[#This Row],[Структурное подразделение]],'Списки данных'!$C$2:$C$1048576,0))</f>
        <v>20</v>
      </c>
      <c r="I2735" s="80" t="s">
        <v>143</v>
      </c>
      <c r="J2735" s="80" t="s">
        <v>242</v>
      </c>
      <c r="K2735" s="80" t="s">
        <v>21</v>
      </c>
      <c r="L2735" s="30" t="s">
        <v>191</v>
      </c>
      <c r="M2735" s="68">
        <v>7</v>
      </c>
      <c r="N2735" s="181" t="str">
        <f t="shared" si="43"/>
        <v>да</v>
      </c>
      <c r="O2735" s="23">
        <v>44473</v>
      </c>
      <c r="P2735" s="23">
        <v>44473</v>
      </c>
      <c r="Q2735" s="106" t="s">
        <v>66</v>
      </c>
      <c r="R2735" s="37">
        <v>656</v>
      </c>
      <c r="S2735" s="39" t="s">
        <v>1065</v>
      </c>
      <c r="T2735" s="37">
        <v>1747</v>
      </c>
      <c r="U2735" s="39" t="s">
        <v>1967</v>
      </c>
      <c r="V2735" s="89" t="s">
        <v>272</v>
      </c>
      <c r="W2735" s="89" t="s">
        <v>143</v>
      </c>
      <c r="X2735" s="106" t="s">
        <v>296</v>
      </c>
      <c r="Y2735" s="107" t="s">
        <v>12</v>
      </c>
      <c r="Z2735" s="67">
        <f>IF(База_КР_КК[[#This Row],[Таб.номер резервиста]]="-","-",IF(OR(База_КР_КК[[#This Row],[Уровень КК]]=2,База_КР_КК[[#This Row],[Уровень КК]]=3),IF(COUNTIFS($U$2:$U2735,$U2735,$F$2:$F2735,$F2735)=1,1,0),IF(COUNTIFS($U$2:$U2735,$U2735,$L$2:$L2735,$L2735)=1,1,0)))</f>
        <v>0</v>
      </c>
      <c r="AA27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5" s="106"/>
      <c r="AC2735" s="51"/>
      <c r="AD2735" s="106" t="s">
        <v>13</v>
      </c>
      <c r="AE2735" s="38" t="s">
        <v>371</v>
      </c>
    </row>
    <row r="2736" spans="1:31" ht="18" customHeight="1" x14ac:dyDescent="0.25">
      <c r="A27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6" s="79">
        <v>4</v>
      </c>
      <c r="C2736" s="23">
        <v>44467</v>
      </c>
      <c r="D2736" s="67">
        <f>IF(COUNTIF($G$2:$G2736,$G2736)=1,1,0)</f>
        <v>0</v>
      </c>
      <c r="E2736" s="67" t="str">
        <f>IFERROR(VLOOKUP(База_КР_КК[[#This Row],[ИД штатной должности (S)]],'уровень защищенности'!$B$7:$F$1095,5,0),"не защищена")</f>
        <v>средний</v>
      </c>
      <c r="F2736" s="68">
        <v>500135</v>
      </c>
      <c r="G2736" s="74" t="s">
        <v>2833</v>
      </c>
      <c r="H2736" s="181">
        <f>INDEX('Списки данных'!$D$2:$D$1048576,MATCH(База_КР_КК[[#This Row],[Структурное подразделение]],'Списки данных'!$C$2:$C$1048576,0))</f>
        <v>20</v>
      </c>
      <c r="I2736" s="80" t="s">
        <v>143</v>
      </c>
      <c r="J2736" s="80" t="s">
        <v>242</v>
      </c>
      <c r="K2736" s="80" t="s">
        <v>21</v>
      </c>
      <c r="L2736" s="30" t="s">
        <v>191</v>
      </c>
      <c r="M2736" s="68">
        <v>7</v>
      </c>
      <c r="N2736" s="181" t="str">
        <f t="shared" si="43"/>
        <v>да</v>
      </c>
      <c r="O2736" s="23">
        <v>44473</v>
      </c>
      <c r="P2736" s="23">
        <v>44473</v>
      </c>
      <c r="Q2736" s="106" t="s">
        <v>66</v>
      </c>
      <c r="R2736" s="37">
        <v>656</v>
      </c>
      <c r="S2736" s="39" t="s">
        <v>1065</v>
      </c>
      <c r="T2736" s="37">
        <v>1748</v>
      </c>
      <c r="U2736" s="39" t="s">
        <v>2011</v>
      </c>
      <c r="V2736" s="89" t="s">
        <v>272</v>
      </c>
      <c r="W2736" s="89" t="s">
        <v>143</v>
      </c>
      <c r="X2736" s="106" t="s">
        <v>296</v>
      </c>
      <c r="Y2736" s="107" t="s">
        <v>12</v>
      </c>
      <c r="Z2736" s="67">
        <f>IF(База_КР_КК[[#This Row],[Таб.номер резервиста]]="-","-",IF(OR(База_КР_КК[[#This Row],[Уровень КК]]=2,База_КР_КК[[#This Row],[Уровень КК]]=3),IF(COUNTIFS($U$2:$U2736,$U2736,$F$2:$F2736,$F2736)=1,1,0),IF(COUNTIFS($U$2:$U2736,$U2736,$L$2:$L2736,$L2736)=1,1,0)))</f>
        <v>0</v>
      </c>
      <c r="AA27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6" s="106"/>
      <c r="AC2736" s="51"/>
      <c r="AD2736" s="106" t="s">
        <v>13</v>
      </c>
      <c r="AE2736" s="38" t="s">
        <v>371</v>
      </c>
    </row>
    <row r="2737" spans="1:31" ht="18" customHeight="1" x14ac:dyDescent="0.25">
      <c r="A27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7" s="79">
        <v>4</v>
      </c>
      <c r="C2737" s="23">
        <v>44467</v>
      </c>
      <c r="D2737" s="67">
        <f>IF(COUNTIF($G$2:$G2737,$G2737)=1,1,0)</f>
        <v>0</v>
      </c>
      <c r="E2737" s="67" t="str">
        <f>IFERROR(VLOOKUP(База_КР_КК[[#This Row],[ИД штатной должности (S)]],'уровень защищенности'!$B$7:$F$1095,5,0),"не защищена")</f>
        <v>средний</v>
      </c>
      <c r="F2737" s="68">
        <v>500135</v>
      </c>
      <c r="G2737" s="74" t="s">
        <v>2833</v>
      </c>
      <c r="H2737" s="181">
        <f>INDEX('Списки данных'!$D$2:$D$1048576,MATCH(База_КР_КК[[#This Row],[Структурное подразделение]],'Списки данных'!$C$2:$C$1048576,0))</f>
        <v>20</v>
      </c>
      <c r="I2737" s="80" t="s">
        <v>143</v>
      </c>
      <c r="J2737" s="80" t="s">
        <v>242</v>
      </c>
      <c r="K2737" s="80" t="s">
        <v>21</v>
      </c>
      <c r="L2737" s="30" t="s">
        <v>191</v>
      </c>
      <c r="M2737" s="68">
        <v>7</v>
      </c>
      <c r="N2737" s="181" t="str">
        <f t="shared" si="43"/>
        <v>да</v>
      </c>
      <c r="O2737" s="23">
        <v>44473</v>
      </c>
      <c r="P2737" s="23">
        <v>44473</v>
      </c>
      <c r="Q2737" s="106" t="s">
        <v>66</v>
      </c>
      <c r="R2737" s="37">
        <v>656</v>
      </c>
      <c r="S2737" s="39" t="s">
        <v>1065</v>
      </c>
      <c r="T2737" s="37">
        <v>1749</v>
      </c>
      <c r="U2737" s="39" t="s">
        <v>2025</v>
      </c>
      <c r="V2737" s="89" t="s">
        <v>272</v>
      </c>
      <c r="W2737" s="89" t="s">
        <v>143</v>
      </c>
      <c r="X2737" s="106" t="s">
        <v>297</v>
      </c>
      <c r="Y2737" s="107" t="s">
        <v>12</v>
      </c>
      <c r="Z2737" s="67">
        <f>IF(База_КР_КК[[#This Row],[Таб.номер резервиста]]="-","-",IF(OR(База_КР_КК[[#This Row],[Уровень КК]]=2,База_КР_КК[[#This Row],[Уровень КК]]=3),IF(COUNTIFS($U$2:$U2737,$U2737,$F$2:$F2737,$F2737)=1,1,0),IF(COUNTIFS($U$2:$U2737,$U2737,$L$2:$L2737,$L2737)=1,1,0)))</f>
        <v>0</v>
      </c>
      <c r="AA27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7" s="106"/>
      <c r="AC2737" s="51"/>
      <c r="AD2737" s="106" t="s">
        <v>13</v>
      </c>
      <c r="AE2737" s="38" t="s">
        <v>371</v>
      </c>
    </row>
    <row r="2738" spans="1:31" ht="18" customHeight="1" x14ac:dyDescent="0.25">
      <c r="A27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8" s="79">
        <v>4</v>
      </c>
      <c r="C2738" s="23">
        <v>44855</v>
      </c>
      <c r="D2738" s="67">
        <f>IF(COUNTIF($G$2:$G2738,$G2738)=1,1,0)</f>
        <v>0</v>
      </c>
      <c r="E2738" s="67" t="str">
        <f>IFERROR(VLOOKUP(База_КР_КК[[#This Row],[ИД штатной должности (S)]],'уровень защищенности'!$B$7:$F$1095,5,0),"не защищена")</f>
        <v>средний</v>
      </c>
      <c r="F2738" s="68">
        <v>500135</v>
      </c>
      <c r="G2738" s="74" t="s">
        <v>2833</v>
      </c>
      <c r="H2738" s="181">
        <f>INDEX('Списки данных'!$D$2:$D$1048576,MATCH(База_КР_КК[[#This Row],[Структурное подразделение]],'Списки данных'!$C$2:$C$1048576,0))</f>
        <v>20</v>
      </c>
      <c r="I2738" s="80" t="s">
        <v>143</v>
      </c>
      <c r="J2738" s="80" t="s">
        <v>242</v>
      </c>
      <c r="K2738" s="80" t="s">
        <v>21</v>
      </c>
      <c r="L2738" s="30" t="s">
        <v>191</v>
      </c>
      <c r="M2738" s="68">
        <v>7</v>
      </c>
      <c r="N2738" s="181" t="str">
        <f t="shared" si="43"/>
        <v>да</v>
      </c>
      <c r="O2738" s="23">
        <v>44473</v>
      </c>
      <c r="P2738" s="23">
        <v>44473</v>
      </c>
      <c r="Q2738" s="106" t="s">
        <v>66</v>
      </c>
      <c r="R2738" s="37">
        <v>656</v>
      </c>
      <c r="S2738" s="39" t="s">
        <v>1065</v>
      </c>
      <c r="T2738" s="37">
        <v>1750</v>
      </c>
      <c r="U2738" s="38" t="s">
        <v>2026</v>
      </c>
      <c r="V2738" s="69" t="s">
        <v>272</v>
      </c>
      <c r="W2738" s="89" t="s">
        <v>143</v>
      </c>
      <c r="X2738" s="106" t="s">
        <v>297</v>
      </c>
      <c r="Y2738" s="107" t="s">
        <v>12</v>
      </c>
      <c r="Z2738" s="67">
        <f>IF(База_КР_КК[[#This Row],[Таб.номер резервиста]]="-","-",IF(OR(База_КР_КК[[#This Row],[Уровень КК]]=2,База_КР_КК[[#This Row],[Уровень КК]]=3),IF(COUNTIFS($U$2:$U2738,$U2738,$F$2:$F2738,$F2738)=1,1,0),IF(COUNTIFS($U$2:$U2738,$U2738,$L$2:$L2738,$L2738)=1,1,0)))</f>
        <v>0</v>
      </c>
      <c r="AA27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38" s="106"/>
      <c r="AC2738" s="51"/>
      <c r="AD2738" s="106" t="s">
        <v>13</v>
      </c>
      <c r="AE2738" s="38" t="s">
        <v>371</v>
      </c>
    </row>
    <row r="2739" spans="1:31" ht="18" customHeight="1" x14ac:dyDescent="0.25">
      <c r="A27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39" s="79">
        <v>4</v>
      </c>
      <c r="C2739" s="23">
        <v>44116</v>
      </c>
      <c r="D2739" s="67">
        <f>IF(COUNTIF($G$2:$G2739,$G2739)=1,1,0)</f>
        <v>0</v>
      </c>
      <c r="E2739" s="67" t="str">
        <f>IFERROR(VLOOKUP(База_КР_КК[[#This Row],[ИД штатной должности (S)]],'уровень защищенности'!$B$7:$F$1095,5,0),"не защищена")</f>
        <v>средний</v>
      </c>
      <c r="F2739" s="68">
        <v>500135</v>
      </c>
      <c r="G2739" s="74" t="s">
        <v>2833</v>
      </c>
      <c r="H2739" s="181">
        <f>INDEX('Списки данных'!$D$2:$D$1048576,MATCH(База_КР_КК[[#This Row],[Структурное подразделение]],'Списки данных'!$C$2:$C$1048576,0))</f>
        <v>20</v>
      </c>
      <c r="I2739" s="80" t="s">
        <v>143</v>
      </c>
      <c r="J2739" s="80" t="s">
        <v>242</v>
      </c>
      <c r="K2739" s="80" t="s">
        <v>21</v>
      </c>
      <c r="L2739" s="30" t="s">
        <v>191</v>
      </c>
      <c r="M2739" s="68">
        <v>7</v>
      </c>
      <c r="N2739" s="181" t="str">
        <f t="shared" si="43"/>
        <v>да</v>
      </c>
      <c r="O2739" s="23">
        <v>44473</v>
      </c>
      <c r="P2739" s="23">
        <v>44473</v>
      </c>
      <c r="Q2739" s="106" t="s">
        <v>66</v>
      </c>
      <c r="R2739" s="37">
        <v>656</v>
      </c>
      <c r="S2739" s="39" t="s">
        <v>1065</v>
      </c>
      <c r="T2739" s="37">
        <v>656</v>
      </c>
      <c r="U2739" s="39" t="s">
        <v>1065</v>
      </c>
      <c r="V2739" s="89" t="s">
        <v>192</v>
      </c>
      <c r="W2739" s="89" t="s">
        <v>143</v>
      </c>
      <c r="X2739" s="106" t="s">
        <v>295</v>
      </c>
      <c r="Y2739" s="107" t="s">
        <v>14</v>
      </c>
      <c r="Z2739" s="67">
        <f>IF(База_КР_КК[[#This Row],[Таб.номер резервиста]]="-","-",IF(OR(База_КР_КК[[#This Row],[Уровень КК]]=2,База_КР_КК[[#This Row],[Уровень КК]]=3),IF(COUNTIFS($U$2:$U2739,$U2739,$F$2:$F2739,$F2739)=1,1,0),IF(COUNTIFS($U$2:$U2739,$U2739,$L$2:$L2739,$L2739)=1,1,0)))</f>
        <v>1</v>
      </c>
      <c r="AA27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739" s="106" t="s">
        <v>24</v>
      </c>
      <c r="AC2739" s="51">
        <v>44473</v>
      </c>
      <c r="AD2739" s="106" t="s">
        <v>15</v>
      </c>
      <c r="AE2739" s="38" t="s">
        <v>373</v>
      </c>
    </row>
    <row r="2740" spans="1:31" ht="18" customHeight="1" x14ac:dyDescent="0.25">
      <c r="A27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0" s="79">
        <v>4</v>
      </c>
      <c r="C2740" s="23">
        <v>44116</v>
      </c>
      <c r="D2740" s="67">
        <f>IF(COUNTIF($G$2:$G2740,$G2740)=1,1,0)</f>
        <v>1</v>
      </c>
      <c r="E2740" s="67" t="str">
        <f>IFERROR(VLOOKUP(База_КР_КК[[#This Row],[ИД штатной должности (S)]],'уровень защищенности'!$B$7:$F$1095,5,0),"не защищена")</f>
        <v>высокий</v>
      </c>
      <c r="F2740" s="68">
        <v>500136</v>
      </c>
      <c r="G2740" s="74" t="s">
        <v>2834</v>
      </c>
      <c r="H2740" s="181">
        <f>INDEX('Списки данных'!$D$2:$D$1048576,MATCH(База_КР_КК[[#This Row],[Структурное подразделение]],'Списки данных'!$C$2:$C$1048576,0))</f>
        <v>20</v>
      </c>
      <c r="I2740" s="80" t="s">
        <v>143</v>
      </c>
      <c r="J2740" s="80" t="s">
        <v>242</v>
      </c>
      <c r="K2740" s="80" t="s">
        <v>21</v>
      </c>
      <c r="L2740" s="30" t="s">
        <v>192</v>
      </c>
      <c r="M2740" s="68">
        <v>7</v>
      </c>
      <c r="N2740" s="181" t="str">
        <f t="shared" si="43"/>
        <v>нет</v>
      </c>
      <c r="O2740" s="23"/>
      <c r="P2740" s="23"/>
      <c r="Q2740" s="106"/>
      <c r="R2740" s="37">
        <v>657</v>
      </c>
      <c r="S2740" s="38" t="s">
        <v>1066</v>
      </c>
      <c r="T2740" s="37">
        <v>656</v>
      </c>
      <c r="U2740" s="39" t="s">
        <v>1065</v>
      </c>
      <c r="V2740" s="89" t="s">
        <v>192</v>
      </c>
      <c r="W2740" s="89" t="s">
        <v>143</v>
      </c>
      <c r="X2740" s="106" t="s">
        <v>295</v>
      </c>
      <c r="Y2740" s="107" t="s">
        <v>12</v>
      </c>
      <c r="Z2740" s="67">
        <f>IF(База_КР_КК[[#This Row],[Таб.номер резервиста]]="-","-",IF(OR(База_КР_КК[[#This Row],[Уровень КК]]=2,База_КР_КК[[#This Row],[Уровень КК]]=3),IF(COUNTIFS($U$2:$U2740,$U2740,$F$2:$F2740,$F2740)=1,1,0),IF(COUNTIFS($U$2:$U2740,$U2740,$L$2:$L2740,$L2740)=1,1,0)))</f>
        <v>1</v>
      </c>
      <c r="AA27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0" s="106"/>
      <c r="AC2740" s="51"/>
      <c r="AD2740" s="106" t="s">
        <v>15</v>
      </c>
      <c r="AE2740" s="38" t="s">
        <v>373</v>
      </c>
    </row>
    <row r="2741" spans="1:31" ht="18" customHeight="1" x14ac:dyDescent="0.25">
      <c r="A27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1" s="79">
        <v>4</v>
      </c>
      <c r="C2741" s="23">
        <v>44116</v>
      </c>
      <c r="D2741" s="67">
        <f>IF(COUNTIF($G$2:$G2741,$G2741)=1,1,0)</f>
        <v>0</v>
      </c>
      <c r="E2741" s="67" t="str">
        <f>IFERROR(VLOOKUP(База_КР_КК[[#This Row],[ИД штатной должности (S)]],'уровень защищенности'!$B$7:$F$1095,5,0),"не защищена")</f>
        <v>высокий</v>
      </c>
      <c r="F2741" s="68">
        <v>500136</v>
      </c>
      <c r="G2741" s="74" t="s">
        <v>2834</v>
      </c>
      <c r="H2741" s="181">
        <f>INDEX('Списки данных'!$D$2:$D$1048576,MATCH(База_КР_КК[[#This Row],[Структурное подразделение]],'Списки данных'!$C$2:$C$1048576,0))</f>
        <v>20</v>
      </c>
      <c r="I2741" s="80" t="s">
        <v>143</v>
      </c>
      <c r="J2741" s="80" t="s">
        <v>242</v>
      </c>
      <c r="K2741" s="80" t="s">
        <v>21</v>
      </c>
      <c r="L2741" s="30" t="s">
        <v>192</v>
      </c>
      <c r="M2741" s="68">
        <v>7</v>
      </c>
      <c r="N2741" s="181" t="str">
        <f t="shared" si="43"/>
        <v>нет</v>
      </c>
      <c r="O2741" s="23"/>
      <c r="P2741" s="23"/>
      <c r="Q2741" s="106"/>
      <c r="R2741" s="37">
        <v>657</v>
      </c>
      <c r="S2741" s="38" t="s">
        <v>1066</v>
      </c>
      <c r="T2741" s="37">
        <v>1743</v>
      </c>
      <c r="U2741" s="39" t="s">
        <v>2023</v>
      </c>
      <c r="V2741" s="89" t="s">
        <v>272</v>
      </c>
      <c r="W2741" s="89" t="s">
        <v>143</v>
      </c>
      <c r="X2741" s="106" t="s">
        <v>297</v>
      </c>
      <c r="Y2741" s="107" t="s">
        <v>12</v>
      </c>
      <c r="Z2741" s="67">
        <f>IF(База_КР_КК[[#This Row],[Таб.номер резервиста]]="-","-",IF(OR(База_КР_КК[[#This Row],[Уровень КК]]=2,База_КР_КК[[#This Row],[Уровень КК]]=3),IF(COUNTIFS($U$2:$U2741,$U2741,$F$2:$F2741,$F2741)=1,1,0),IF(COUNTIFS($U$2:$U2741,$U2741,$L$2:$L2741,$L2741)=1,1,0)))</f>
        <v>1</v>
      </c>
      <c r="AA27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1" s="106"/>
      <c r="AC2741" s="51"/>
      <c r="AD2741" s="106" t="s">
        <v>13</v>
      </c>
      <c r="AE2741" s="38" t="s">
        <v>371</v>
      </c>
    </row>
    <row r="2742" spans="1:31" ht="18" customHeight="1" x14ac:dyDescent="0.25">
      <c r="A27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2" s="79">
        <v>4</v>
      </c>
      <c r="C2742" s="23">
        <v>44116</v>
      </c>
      <c r="D2742" s="67">
        <f>IF(COUNTIF($G$2:$G2742,$G2742)=1,1,0)</f>
        <v>0</v>
      </c>
      <c r="E2742" s="67" t="str">
        <f>IFERROR(VLOOKUP(База_КР_КК[[#This Row],[ИД штатной должности (S)]],'уровень защищенности'!$B$7:$F$1095,5,0),"не защищена")</f>
        <v>высокий</v>
      </c>
      <c r="F2742" s="68">
        <v>500136</v>
      </c>
      <c r="G2742" s="74" t="s">
        <v>2834</v>
      </c>
      <c r="H2742" s="181">
        <f>INDEX('Списки данных'!$D$2:$D$1048576,MATCH(База_КР_КК[[#This Row],[Структурное подразделение]],'Списки данных'!$C$2:$C$1048576,0))</f>
        <v>20</v>
      </c>
      <c r="I2742" s="80" t="s">
        <v>143</v>
      </c>
      <c r="J2742" s="80" t="s">
        <v>242</v>
      </c>
      <c r="K2742" s="80" t="s">
        <v>21</v>
      </c>
      <c r="L2742" s="30" t="s">
        <v>192</v>
      </c>
      <c r="M2742" s="68">
        <v>7</v>
      </c>
      <c r="N2742" s="181" t="str">
        <f t="shared" si="43"/>
        <v>нет</v>
      </c>
      <c r="O2742" s="23"/>
      <c r="P2742" s="23"/>
      <c r="Q2742" s="106"/>
      <c r="R2742" s="37">
        <v>657</v>
      </c>
      <c r="S2742" s="38" t="s">
        <v>1066</v>
      </c>
      <c r="T2742" s="37">
        <v>649</v>
      </c>
      <c r="U2742" s="39" t="s">
        <v>1058</v>
      </c>
      <c r="V2742" s="89" t="s">
        <v>192</v>
      </c>
      <c r="W2742" s="89" t="s">
        <v>143</v>
      </c>
      <c r="X2742" s="106" t="s">
        <v>295</v>
      </c>
      <c r="Y2742" s="107" t="s">
        <v>12</v>
      </c>
      <c r="Z2742" s="67">
        <f>IF(База_КР_КК[[#This Row],[Таб.номер резервиста]]="-","-",IF(OR(База_КР_КК[[#This Row],[Уровень КК]]=2,База_КР_КК[[#This Row],[Уровень КК]]=3),IF(COUNTIFS($U$2:$U2742,$U2742,$F$2:$F2742,$F2742)=1,1,0),IF(COUNTIFS($U$2:$U2742,$U2742,$L$2:$L2742,$L2742)=1,1,0)))</f>
        <v>1</v>
      </c>
      <c r="AA27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2" s="106"/>
      <c r="AC2742" s="51"/>
      <c r="AD2742" s="106" t="s">
        <v>15</v>
      </c>
      <c r="AE2742" s="38" t="s">
        <v>373</v>
      </c>
    </row>
    <row r="2743" spans="1:31" ht="18" customHeight="1" x14ac:dyDescent="0.25">
      <c r="A27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3" s="79">
        <v>4</v>
      </c>
      <c r="C2743" s="23">
        <v>44467</v>
      </c>
      <c r="D2743" s="67">
        <f>IF(COUNTIF($G$2:$G2743,$G2743)=1,1,0)</f>
        <v>0</v>
      </c>
      <c r="E2743" s="67" t="str">
        <f>IFERROR(VLOOKUP(База_КР_КК[[#This Row],[ИД штатной должности (S)]],'уровень защищенности'!$B$7:$F$1095,5,0),"не защищена")</f>
        <v>высокий</v>
      </c>
      <c r="F2743" s="68">
        <v>500136</v>
      </c>
      <c r="G2743" s="74" t="s">
        <v>2834</v>
      </c>
      <c r="H2743" s="181">
        <f>INDEX('Списки данных'!$D$2:$D$1048576,MATCH(База_КР_КК[[#This Row],[Структурное подразделение]],'Списки данных'!$C$2:$C$1048576,0))</f>
        <v>20</v>
      </c>
      <c r="I2743" s="80" t="s">
        <v>143</v>
      </c>
      <c r="J2743" s="80" t="s">
        <v>242</v>
      </c>
      <c r="K2743" s="80" t="s">
        <v>21</v>
      </c>
      <c r="L2743" s="30" t="s">
        <v>192</v>
      </c>
      <c r="M2743" s="68">
        <v>7</v>
      </c>
      <c r="N2743" s="181" t="str">
        <f t="shared" si="43"/>
        <v>нет</v>
      </c>
      <c r="O2743" s="23"/>
      <c r="P2743" s="23"/>
      <c r="Q2743" s="106"/>
      <c r="R2743" s="37">
        <v>657</v>
      </c>
      <c r="S2743" s="39" t="s">
        <v>1066</v>
      </c>
      <c r="T2743" s="37">
        <v>1744</v>
      </c>
      <c r="U2743" s="39" t="s">
        <v>2024</v>
      </c>
      <c r="V2743" s="89" t="s">
        <v>272</v>
      </c>
      <c r="W2743" s="89" t="s">
        <v>143</v>
      </c>
      <c r="X2743" s="106" t="s">
        <v>297</v>
      </c>
      <c r="Y2743" s="107" t="s">
        <v>12</v>
      </c>
      <c r="Z2743" s="67">
        <f>IF(База_КР_КК[[#This Row],[Таб.номер резервиста]]="-","-",IF(OR(База_КР_КК[[#This Row],[Уровень КК]]=2,База_КР_КК[[#This Row],[Уровень КК]]=3),IF(COUNTIFS($U$2:$U2743,$U2743,$F$2:$F2743,$F2743)=1,1,0),IF(COUNTIFS($U$2:$U2743,$U2743,$L$2:$L2743,$L2743)=1,1,0)))</f>
        <v>1</v>
      </c>
      <c r="AA27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3" s="106"/>
      <c r="AC2743" s="51"/>
      <c r="AD2743" s="106" t="s">
        <v>13</v>
      </c>
      <c r="AE2743" s="38" t="s">
        <v>371</v>
      </c>
    </row>
    <row r="2744" spans="1:31" ht="18" customHeight="1" x14ac:dyDescent="0.25">
      <c r="A27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4" s="79">
        <v>4</v>
      </c>
      <c r="C2744" s="23">
        <v>44467</v>
      </c>
      <c r="D2744" s="67">
        <f>IF(COUNTIF($G$2:$G2744,$G2744)=1,1,0)</f>
        <v>0</v>
      </c>
      <c r="E2744" s="67" t="str">
        <f>IFERROR(VLOOKUP(База_КР_КК[[#This Row],[ИД штатной должности (S)]],'уровень защищенности'!$B$7:$F$1095,5,0),"не защищена")</f>
        <v>высокий</v>
      </c>
      <c r="F2744" s="68">
        <v>500136</v>
      </c>
      <c r="G2744" s="74" t="s">
        <v>2834</v>
      </c>
      <c r="H2744" s="181">
        <f>INDEX('Списки данных'!$D$2:$D$1048576,MATCH(База_КР_КК[[#This Row],[Структурное подразделение]],'Списки данных'!$C$2:$C$1048576,0))</f>
        <v>20</v>
      </c>
      <c r="I2744" s="80" t="s">
        <v>143</v>
      </c>
      <c r="J2744" s="80" t="s">
        <v>242</v>
      </c>
      <c r="K2744" s="80" t="s">
        <v>21</v>
      </c>
      <c r="L2744" s="30" t="s">
        <v>192</v>
      </c>
      <c r="M2744" s="68">
        <v>7</v>
      </c>
      <c r="N2744" s="181" t="str">
        <f t="shared" si="43"/>
        <v>нет</v>
      </c>
      <c r="O2744" s="23"/>
      <c r="P2744" s="23"/>
      <c r="Q2744" s="106"/>
      <c r="R2744" s="37">
        <v>657</v>
      </c>
      <c r="S2744" s="39" t="s">
        <v>1066</v>
      </c>
      <c r="T2744" s="37">
        <v>1745</v>
      </c>
      <c r="U2744" s="39" t="s">
        <v>2011</v>
      </c>
      <c r="V2744" s="89" t="s">
        <v>272</v>
      </c>
      <c r="W2744" s="89" t="s">
        <v>143</v>
      </c>
      <c r="X2744" s="106" t="s">
        <v>296</v>
      </c>
      <c r="Y2744" s="107" t="s">
        <v>12</v>
      </c>
      <c r="Z2744" s="67">
        <f>IF(База_КР_КК[[#This Row],[Таб.номер резервиста]]="-","-",IF(OR(База_КР_КК[[#This Row],[Уровень КК]]=2,База_КР_КК[[#This Row],[Уровень КК]]=3),IF(COUNTIFS($U$2:$U2744,$U2744,$F$2:$F2744,$F2744)=1,1,0),IF(COUNTIFS($U$2:$U2744,$U2744,$L$2:$L2744,$L2744)=1,1,0)))</f>
        <v>1</v>
      </c>
      <c r="AA27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4" s="106"/>
      <c r="AC2744" s="51"/>
      <c r="AD2744" s="106" t="s">
        <v>13</v>
      </c>
      <c r="AE2744" s="38" t="s">
        <v>371</v>
      </c>
    </row>
    <row r="2745" spans="1:31" ht="18" customHeight="1" x14ac:dyDescent="0.25">
      <c r="A27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5" s="79">
        <v>4</v>
      </c>
      <c r="C2745" s="23">
        <v>44467</v>
      </c>
      <c r="D2745" s="67">
        <f>IF(COUNTIF($G$2:$G2745,$G2745)=1,1,0)</f>
        <v>0</v>
      </c>
      <c r="E2745" s="67" t="str">
        <f>IFERROR(VLOOKUP(База_КР_КК[[#This Row],[ИД штатной должности (S)]],'уровень защищенности'!$B$7:$F$1095,5,0),"не защищена")</f>
        <v>высокий</v>
      </c>
      <c r="F2745" s="68">
        <v>500136</v>
      </c>
      <c r="G2745" s="74" t="s">
        <v>2834</v>
      </c>
      <c r="H2745" s="181">
        <f>INDEX('Списки данных'!$D$2:$D$1048576,MATCH(База_КР_КК[[#This Row],[Структурное подразделение]],'Списки данных'!$C$2:$C$1048576,0))</f>
        <v>20</v>
      </c>
      <c r="I2745" s="80" t="s">
        <v>143</v>
      </c>
      <c r="J2745" s="80" t="s">
        <v>242</v>
      </c>
      <c r="K2745" s="80" t="s">
        <v>21</v>
      </c>
      <c r="L2745" s="30" t="s">
        <v>192</v>
      </c>
      <c r="M2745" s="68">
        <v>7</v>
      </c>
      <c r="N2745" s="181" t="str">
        <f t="shared" si="43"/>
        <v>нет</v>
      </c>
      <c r="O2745" s="23"/>
      <c r="P2745" s="23"/>
      <c r="Q2745" s="106"/>
      <c r="R2745" s="37">
        <v>657</v>
      </c>
      <c r="S2745" s="39" t="s">
        <v>1066</v>
      </c>
      <c r="T2745" s="37">
        <v>1746</v>
      </c>
      <c r="U2745" s="39" t="s">
        <v>1956</v>
      </c>
      <c r="V2745" s="89" t="s">
        <v>272</v>
      </c>
      <c r="W2745" s="89" t="s">
        <v>143</v>
      </c>
      <c r="X2745" s="106" t="s">
        <v>296</v>
      </c>
      <c r="Y2745" s="107" t="s">
        <v>12</v>
      </c>
      <c r="Z2745" s="67">
        <f>IF(База_КР_КК[[#This Row],[Таб.номер резервиста]]="-","-",IF(OR(База_КР_КК[[#This Row],[Уровень КК]]=2,База_КР_КК[[#This Row],[Уровень КК]]=3),IF(COUNTIFS($U$2:$U2745,$U2745,$F$2:$F2745,$F2745)=1,1,0),IF(COUNTIFS($U$2:$U2745,$U2745,$L$2:$L2745,$L2745)=1,1,0)))</f>
        <v>0</v>
      </c>
      <c r="AA27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5" s="106"/>
      <c r="AC2745" s="51"/>
      <c r="AD2745" s="106" t="s">
        <v>13</v>
      </c>
      <c r="AE2745" s="38" t="s">
        <v>371</v>
      </c>
    </row>
    <row r="2746" spans="1:31" ht="18" customHeight="1" x14ac:dyDescent="0.25">
      <c r="A27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6" s="79">
        <v>4</v>
      </c>
      <c r="C2746" s="23">
        <v>44467</v>
      </c>
      <c r="D2746" s="67">
        <f>IF(COUNTIF($G$2:$G2746,$G2746)=1,1,0)</f>
        <v>0</v>
      </c>
      <c r="E2746" s="67" t="str">
        <f>IFERROR(VLOOKUP(База_КР_КК[[#This Row],[ИД штатной должности (S)]],'уровень защищенности'!$B$7:$F$1095,5,0),"не защищена")</f>
        <v>высокий</v>
      </c>
      <c r="F2746" s="68">
        <v>500136</v>
      </c>
      <c r="G2746" s="74" t="s">
        <v>2834</v>
      </c>
      <c r="H2746" s="181">
        <f>INDEX('Списки данных'!$D$2:$D$1048576,MATCH(База_КР_КК[[#This Row],[Структурное подразделение]],'Списки данных'!$C$2:$C$1048576,0))</f>
        <v>20</v>
      </c>
      <c r="I2746" s="80" t="s">
        <v>143</v>
      </c>
      <c r="J2746" s="80" t="s">
        <v>242</v>
      </c>
      <c r="K2746" s="80" t="s">
        <v>21</v>
      </c>
      <c r="L2746" s="30" t="s">
        <v>192</v>
      </c>
      <c r="M2746" s="68">
        <v>7</v>
      </c>
      <c r="N2746" s="181" t="str">
        <f t="shared" si="43"/>
        <v>нет</v>
      </c>
      <c r="O2746" s="23"/>
      <c r="P2746" s="23"/>
      <c r="Q2746" s="106"/>
      <c r="R2746" s="37">
        <v>657</v>
      </c>
      <c r="S2746" s="39" t="s">
        <v>1066</v>
      </c>
      <c r="T2746" s="37">
        <v>1747</v>
      </c>
      <c r="U2746" s="39" t="s">
        <v>1967</v>
      </c>
      <c r="V2746" s="89" t="s">
        <v>272</v>
      </c>
      <c r="W2746" s="89" t="s">
        <v>143</v>
      </c>
      <c r="X2746" s="106" t="s">
        <v>296</v>
      </c>
      <c r="Y2746" s="107" t="s">
        <v>12</v>
      </c>
      <c r="Z2746" s="67">
        <f>IF(База_КР_КК[[#This Row],[Таб.номер резервиста]]="-","-",IF(OR(База_КР_КК[[#This Row],[Уровень КК]]=2,База_КР_КК[[#This Row],[Уровень КК]]=3),IF(COUNTIFS($U$2:$U2746,$U2746,$F$2:$F2746,$F2746)=1,1,0),IF(COUNTIFS($U$2:$U2746,$U2746,$L$2:$L2746,$L2746)=1,1,0)))</f>
        <v>1</v>
      </c>
      <c r="AA27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6" s="106"/>
      <c r="AC2746" s="51"/>
      <c r="AD2746" s="106" t="s">
        <v>13</v>
      </c>
      <c r="AE2746" s="38" t="s">
        <v>371</v>
      </c>
    </row>
    <row r="2747" spans="1:31" ht="18" customHeight="1" x14ac:dyDescent="0.25">
      <c r="A27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7" s="79">
        <v>4</v>
      </c>
      <c r="C2747" s="23">
        <v>44467</v>
      </c>
      <c r="D2747" s="67">
        <f>IF(COUNTIF($G$2:$G2747,$G2747)=1,1,0)</f>
        <v>0</v>
      </c>
      <c r="E2747" s="67" t="str">
        <f>IFERROR(VLOOKUP(База_КР_КК[[#This Row],[ИД штатной должности (S)]],'уровень защищенности'!$B$7:$F$1095,5,0),"не защищена")</f>
        <v>высокий</v>
      </c>
      <c r="F2747" s="68">
        <v>500136</v>
      </c>
      <c r="G2747" s="74" t="s">
        <v>2834</v>
      </c>
      <c r="H2747" s="181">
        <f>INDEX('Списки данных'!$D$2:$D$1048576,MATCH(База_КР_КК[[#This Row],[Структурное подразделение]],'Списки данных'!$C$2:$C$1048576,0))</f>
        <v>20</v>
      </c>
      <c r="I2747" s="80" t="s">
        <v>143</v>
      </c>
      <c r="J2747" s="80" t="s">
        <v>242</v>
      </c>
      <c r="K2747" s="80" t="s">
        <v>21</v>
      </c>
      <c r="L2747" s="30" t="s">
        <v>192</v>
      </c>
      <c r="M2747" s="68">
        <v>7</v>
      </c>
      <c r="N2747" s="181" t="str">
        <f t="shared" si="43"/>
        <v>нет</v>
      </c>
      <c r="O2747" s="23"/>
      <c r="P2747" s="23"/>
      <c r="Q2747" s="106"/>
      <c r="R2747" s="37">
        <v>657</v>
      </c>
      <c r="S2747" s="39" t="s">
        <v>1066</v>
      </c>
      <c r="T2747" s="37">
        <v>1748</v>
      </c>
      <c r="U2747" s="39" t="s">
        <v>2011</v>
      </c>
      <c r="V2747" s="89" t="s">
        <v>272</v>
      </c>
      <c r="W2747" s="89" t="s">
        <v>143</v>
      </c>
      <c r="X2747" s="106" t="s">
        <v>296</v>
      </c>
      <c r="Y2747" s="107" t="s">
        <v>12</v>
      </c>
      <c r="Z2747" s="67">
        <f>IF(База_КР_КК[[#This Row],[Таб.номер резервиста]]="-","-",IF(OR(База_КР_КК[[#This Row],[Уровень КК]]=2,База_КР_КК[[#This Row],[Уровень КК]]=3),IF(COUNTIFS($U$2:$U2747,$U2747,$F$2:$F2747,$F2747)=1,1,0),IF(COUNTIFS($U$2:$U2747,$U2747,$L$2:$L2747,$L2747)=1,1,0)))</f>
        <v>0</v>
      </c>
      <c r="AA27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7" s="106"/>
      <c r="AC2747" s="51"/>
      <c r="AD2747" s="106" t="s">
        <v>13</v>
      </c>
      <c r="AE2747" s="38" t="s">
        <v>371</v>
      </c>
    </row>
    <row r="2748" spans="1:31" ht="18" customHeight="1" x14ac:dyDescent="0.25">
      <c r="A27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8" s="79">
        <v>4</v>
      </c>
      <c r="C2748" s="23">
        <v>44467</v>
      </c>
      <c r="D2748" s="67">
        <f>IF(COUNTIF($G$2:$G2748,$G2748)=1,1,0)</f>
        <v>0</v>
      </c>
      <c r="E2748" s="67" t="str">
        <f>IFERROR(VLOOKUP(База_КР_КК[[#This Row],[ИД штатной должности (S)]],'уровень защищенности'!$B$7:$F$1095,5,0),"не защищена")</f>
        <v>высокий</v>
      </c>
      <c r="F2748" s="68">
        <v>500136</v>
      </c>
      <c r="G2748" s="74" t="s">
        <v>2834</v>
      </c>
      <c r="H2748" s="181">
        <f>INDEX('Списки данных'!$D$2:$D$1048576,MATCH(База_КР_КК[[#This Row],[Структурное подразделение]],'Списки данных'!$C$2:$C$1048576,0))</f>
        <v>20</v>
      </c>
      <c r="I2748" s="80" t="s">
        <v>143</v>
      </c>
      <c r="J2748" s="80" t="s">
        <v>242</v>
      </c>
      <c r="K2748" s="80" t="s">
        <v>21</v>
      </c>
      <c r="L2748" s="30" t="s">
        <v>192</v>
      </c>
      <c r="M2748" s="68">
        <v>7</v>
      </c>
      <c r="N2748" s="181" t="str">
        <f t="shared" si="43"/>
        <v>нет</v>
      </c>
      <c r="O2748" s="23"/>
      <c r="P2748" s="23"/>
      <c r="Q2748" s="106"/>
      <c r="R2748" s="37">
        <v>657</v>
      </c>
      <c r="S2748" s="39" t="s">
        <v>1066</v>
      </c>
      <c r="T2748" s="37">
        <v>1749</v>
      </c>
      <c r="U2748" s="39" t="s">
        <v>2025</v>
      </c>
      <c r="V2748" s="89" t="s">
        <v>272</v>
      </c>
      <c r="W2748" s="89" t="s">
        <v>143</v>
      </c>
      <c r="X2748" s="106" t="s">
        <v>297</v>
      </c>
      <c r="Y2748" s="107" t="s">
        <v>12</v>
      </c>
      <c r="Z2748" s="67">
        <f>IF(База_КР_КК[[#This Row],[Таб.номер резервиста]]="-","-",IF(OR(База_КР_КК[[#This Row],[Уровень КК]]=2,База_КР_КК[[#This Row],[Уровень КК]]=3),IF(COUNTIFS($U$2:$U2748,$U2748,$F$2:$F2748,$F2748)=1,1,0),IF(COUNTIFS($U$2:$U2748,$U2748,$L$2:$L2748,$L2748)=1,1,0)))</f>
        <v>1</v>
      </c>
      <c r="AA27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8" s="106"/>
      <c r="AC2748" s="51"/>
      <c r="AD2748" s="106" t="s">
        <v>13</v>
      </c>
      <c r="AE2748" s="38" t="s">
        <v>371</v>
      </c>
    </row>
    <row r="2749" spans="1:31" ht="18" customHeight="1" x14ac:dyDescent="0.25">
      <c r="A27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49" s="79">
        <v>4</v>
      </c>
      <c r="C2749" s="23">
        <v>44538</v>
      </c>
      <c r="D2749" s="67">
        <f>IF(COUNTIF($G$2:$G2749,$G2749)=1,1,0)</f>
        <v>0</v>
      </c>
      <c r="E2749" s="67" t="str">
        <f>IFERROR(VLOOKUP(База_КР_КК[[#This Row],[ИД штатной должности (S)]],'уровень защищенности'!$B$7:$F$1095,5,0),"не защищена")</f>
        <v>высокий</v>
      </c>
      <c r="F2749" s="68">
        <v>500136</v>
      </c>
      <c r="G2749" s="74" t="s">
        <v>2834</v>
      </c>
      <c r="H2749" s="181">
        <f>INDEX('Списки данных'!$D$2:$D$1048576,MATCH(База_КР_КК[[#This Row],[Структурное подразделение]],'Списки данных'!$C$2:$C$1048576,0))</f>
        <v>20</v>
      </c>
      <c r="I2749" s="80" t="s">
        <v>143</v>
      </c>
      <c r="J2749" s="80" t="s">
        <v>242</v>
      </c>
      <c r="K2749" s="80" t="s">
        <v>21</v>
      </c>
      <c r="L2749" s="30" t="s">
        <v>192</v>
      </c>
      <c r="M2749" s="68">
        <v>7</v>
      </c>
      <c r="N2749" s="181" t="str">
        <f t="shared" si="43"/>
        <v>нет</v>
      </c>
      <c r="O2749" s="23"/>
      <c r="P2749" s="23"/>
      <c r="Q2749" s="106"/>
      <c r="R2749" s="37">
        <v>657</v>
      </c>
      <c r="S2749" s="39" t="s">
        <v>1066</v>
      </c>
      <c r="T2749" s="37">
        <v>650</v>
      </c>
      <c r="U2749" s="39" t="s">
        <v>1059</v>
      </c>
      <c r="V2749" s="89" t="s">
        <v>192</v>
      </c>
      <c r="W2749" s="89" t="s">
        <v>143</v>
      </c>
      <c r="X2749" s="106" t="s">
        <v>295</v>
      </c>
      <c r="Y2749" s="107" t="s">
        <v>12</v>
      </c>
      <c r="Z2749" s="67">
        <f>IF(База_КР_КК[[#This Row],[Таб.номер резервиста]]="-","-",IF(OR(База_КР_КК[[#This Row],[Уровень КК]]=2,База_КР_КК[[#This Row],[Уровень КК]]=3),IF(COUNTIFS($U$2:$U2749,$U2749,$F$2:$F2749,$F2749)=1,1,0),IF(COUNTIFS($U$2:$U2749,$U2749,$L$2:$L2749,$L2749)=1,1,0)))</f>
        <v>1</v>
      </c>
      <c r="AA27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49" s="106"/>
      <c r="AC2749" s="51"/>
      <c r="AD2749" s="106" t="s">
        <v>15</v>
      </c>
      <c r="AE2749" s="38" t="s">
        <v>374</v>
      </c>
    </row>
    <row r="2750" spans="1:31" ht="18" customHeight="1" x14ac:dyDescent="0.25">
      <c r="A27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0" s="79">
        <v>4</v>
      </c>
      <c r="C2750" s="23">
        <v>44855</v>
      </c>
      <c r="D2750" s="67">
        <f>IF(COUNTIF($G$2:$G2750,$G2750)=1,1,0)</f>
        <v>0</v>
      </c>
      <c r="E2750" s="67" t="str">
        <f>IFERROR(VLOOKUP(База_КР_КК[[#This Row],[ИД штатной должности (S)]],'уровень защищенности'!$B$7:$F$1095,5,0),"не защищена")</f>
        <v>высокий</v>
      </c>
      <c r="F2750" s="68">
        <v>500136</v>
      </c>
      <c r="G2750" s="74" t="s">
        <v>2834</v>
      </c>
      <c r="H2750" s="181">
        <f>INDEX('Списки данных'!$D$2:$D$1048576,MATCH(База_КР_КК[[#This Row],[Структурное подразделение]],'Списки данных'!$C$2:$C$1048576,0))</f>
        <v>20</v>
      </c>
      <c r="I2750" s="80" t="s">
        <v>143</v>
      </c>
      <c r="J2750" s="80" t="s">
        <v>242</v>
      </c>
      <c r="K2750" s="80" t="s">
        <v>21</v>
      </c>
      <c r="L2750" s="30" t="s">
        <v>192</v>
      </c>
      <c r="M2750" s="68">
        <v>7</v>
      </c>
      <c r="N2750" s="181" t="str">
        <f t="shared" si="43"/>
        <v>нет</v>
      </c>
      <c r="O2750" s="23"/>
      <c r="P2750" s="23"/>
      <c r="Q2750" s="106"/>
      <c r="R2750" s="37">
        <v>657</v>
      </c>
      <c r="S2750" s="39" t="s">
        <v>1066</v>
      </c>
      <c r="T2750" s="37">
        <v>1750</v>
      </c>
      <c r="U2750" s="38" t="s">
        <v>2026</v>
      </c>
      <c r="V2750" s="69" t="s">
        <v>272</v>
      </c>
      <c r="W2750" s="89" t="s">
        <v>143</v>
      </c>
      <c r="X2750" s="106" t="s">
        <v>297</v>
      </c>
      <c r="Y2750" s="107" t="s">
        <v>12</v>
      </c>
      <c r="Z2750" s="67">
        <f>IF(База_КР_КК[[#This Row],[Таб.номер резервиста]]="-","-",IF(OR(База_КР_КК[[#This Row],[Уровень КК]]=2,База_КР_КК[[#This Row],[Уровень КК]]=3),IF(COUNTIFS($U$2:$U2750,$U2750,$F$2:$F2750,$F2750)=1,1,0),IF(COUNTIFS($U$2:$U2750,$U2750,$L$2:$L2750,$L2750)=1,1,0)))</f>
        <v>1</v>
      </c>
      <c r="AA27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0" s="106"/>
      <c r="AC2750" s="51"/>
      <c r="AD2750" s="106" t="s">
        <v>13</v>
      </c>
      <c r="AE2750" s="38" t="s">
        <v>371</v>
      </c>
    </row>
    <row r="2751" spans="1:31" ht="18" customHeight="1" x14ac:dyDescent="0.25">
      <c r="A27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1" s="79">
        <v>4</v>
      </c>
      <c r="C2751" s="23">
        <v>44116</v>
      </c>
      <c r="D2751" s="67">
        <f>IF(COUNTIF($G$2:$G2751,$G2751)=1,1,0)</f>
        <v>1</v>
      </c>
      <c r="E2751" s="67" t="str">
        <f>IFERROR(VLOOKUP(База_КР_КК[[#This Row],[ИД штатной должности (S)]],'уровень защищенности'!$B$7:$F$1095,5,0),"не защищена")</f>
        <v>средний</v>
      </c>
      <c r="F2751" s="68">
        <v>500137</v>
      </c>
      <c r="G2751" s="74" t="s">
        <v>2835</v>
      </c>
      <c r="H2751" s="181">
        <f>INDEX('Списки данных'!$D$2:$D$1048576,MATCH(База_КР_КК[[#This Row],[Структурное подразделение]],'Списки данных'!$C$2:$C$1048576,0))</f>
        <v>20</v>
      </c>
      <c r="I2751" s="80" t="s">
        <v>143</v>
      </c>
      <c r="J2751" s="80" t="s">
        <v>242</v>
      </c>
      <c r="K2751" s="80" t="s">
        <v>245</v>
      </c>
      <c r="L2751" s="30" t="s">
        <v>192</v>
      </c>
      <c r="M2751" s="68">
        <v>7</v>
      </c>
      <c r="N2751" s="181" t="str">
        <f t="shared" ref="N2751:N2814" si="44">IF(ISBLANK(O2751),"нет","да")</f>
        <v>нет</v>
      </c>
      <c r="O2751" s="23"/>
      <c r="P2751" s="23"/>
      <c r="Q2751" s="106"/>
      <c r="R2751" s="37">
        <v>658</v>
      </c>
      <c r="S2751" s="38" t="s">
        <v>1067</v>
      </c>
      <c r="T2751" s="37">
        <v>1750</v>
      </c>
      <c r="U2751" s="39" t="s">
        <v>2026</v>
      </c>
      <c r="V2751" s="89" t="s">
        <v>272</v>
      </c>
      <c r="W2751" s="89" t="s">
        <v>143</v>
      </c>
      <c r="X2751" s="106" t="s">
        <v>297</v>
      </c>
      <c r="Y2751" s="107" t="s">
        <v>12</v>
      </c>
      <c r="Z2751" s="67">
        <f>IF(База_КР_КК[[#This Row],[Таб.номер резервиста]]="-","-",IF(OR(База_КР_КК[[#This Row],[Уровень КК]]=2,База_КР_КК[[#This Row],[Уровень КК]]=3),IF(COUNTIFS($U$2:$U2751,$U2751,$F$2:$F2751,$F2751)=1,1,0),IF(COUNTIFS($U$2:$U2751,$U2751,$L$2:$L2751,$L2751)=1,1,0)))</f>
        <v>0</v>
      </c>
      <c r="AA27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1" s="106"/>
      <c r="AC2751" s="51"/>
      <c r="AD2751" s="106" t="s">
        <v>13</v>
      </c>
      <c r="AE2751" s="38" t="s">
        <v>371</v>
      </c>
    </row>
    <row r="2752" spans="1:31" ht="18" customHeight="1" x14ac:dyDescent="0.25">
      <c r="A27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2" s="79">
        <v>3</v>
      </c>
      <c r="C2752" s="23">
        <v>43458</v>
      </c>
      <c r="D2752" s="67">
        <f>IF(COUNTIF($G$2:$G2752,$G2752)=1,1,0)</f>
        <v>1</v>
      </c>
      <c r="E2752" s="67" t="str">
        <f>IFERROR(VLOOKUP(База_КР_КК[[#This Row],[ИД штатной должности (S)]],'уровень защищенности'!$B$7:$F$1095,5,0),"не защищена")</f>
        <v>высокий</v>
      </c>
      <c r="F2752" s="68">
        <v>500298</v>
      </c>
      <c r="G2752" s="74" t="s">
        <v>2836</v>
      </c>
      <c r="H2752" s="181">
        <f>INDEX('Списки данных'!$D$2:$D$1048576,MATCH(База_КР_КК[[#This Row],[Структурное подразделение]],'Списки данных'!$C$2:$C$1048576,0))</f>
        <v>6</v>
      </c>
      <c r="I2752" s="80" t="s">
        <v>136</v>
      </c>
      <c r="J2752" s="80" t="s">
        <v>246</v>
      </c>
      <c r="K2752" s="80" t="s">
        <v>21</v>
      </c>
      <c r="L2752" s="30" t="s">
        <v>187</v>
      </c>
      <c r="M2752" s="68">
        <v>5</v>
      </c>
      <c r="N2752" s="181" t="str">
        <f t="shared" si="44"/>
        <v>нет</v>
      </c>
      <c r="O2752" s="23"/>
      <c r="P2752" s="23"/>
      <c r="Q2752" s="106"/>
      <c r="R2752" s="37">
        <v>659</v>
      </c>
      <c r="S2752" s="38" t="s">
        <v>1068</v>
      </c>
      <c r="T2752" s="37">
        <v>669</v>
      </c>
      <c r="U2752" s="39" t="s">
        <v>1078</v>
      </c>
      <c r="V2752" s="89" t="s">
        <v>189</v>
      </c>
      <c r="W2752" s="90" t="s">
        <v>136</v>
      </c>
      <c r="X2752" s="106" t="s">
        <v>295</v>
      </c>
      <c r="Y2752" s="107" t="s">
        <v>12</v>
      </c>
      <c r="Z2752" s="67">
        <f>IF(База_КР_КК[[#This Row],[Таб.номер резервиста]]="-","-",IF(OR(База_КР_КК[[#This Row],[Уровень КК]]=2,База_КР_КК[[#This Row],[Уровень КК]]=3),IF(COUNTIFS($U$2:$U2752,$U2752,$F$2:$F2752,$F2752)=1,1,0),IF(COUNTIFS($U$2:$U2752,$U2752,$L$2:$L2752,$L2752)=1,1,0)))</f>
        <v>1</v>
      </c>
      <c r="AA27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2" s="106"/>
      <c r="AC2752" s="51"/>
      <c r="AD2752" s="106" t="s">
        <v>13</v>
      </c>
      <c r="AE2752" s="38" t="s">
        <v>370</v>
      </c>
    </row>
    <row r="2753" spans="1:31" ht="18" customHeight="1" x14ac:dyDescent="0.25">
      <c r="A27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3" s="79">
        <v>3</v>
      </c>
      <c r="C2753" s="23">
        <v>43458</v>
      </c>
      <c r="D2753" s="67">
        <f>IF(COUNTIF($G$2:$G2753,$G2753)=1,1,0)</f>
        <v>0</v>
      </c>
      <c r="E2753" s="67" t="str">
        <f>IFERROR(VLOOKUP(База_КР_КК[[#This Row],[ИД штатной должности (S)]],'уровень защищенности'!$B$7:$F$1095,5,0),"не защищена")</f>
        <v>высокий</v>
      </c>
      <c r="F2753" s="68">
        <v>500298</v>
      </c>
      <c r="G2753" s="74" t="s">
        <v>2836</v>
      </c>
      <c r="H2753" s="181">
        <f>INDEX('Списки данных'!$D$2:$D$1048576,MATCH(База_КР_КК[[#This Row],[Структурное подразделение]],'Списки данных'!$C$2:$C$1048576,0))</f>
        <v>6</v>
      </c>
      <c r="I2753" s="80" t="s">
        <v>136</v>
      </c>
      <c r="J2753" s="80" t="s">
        <v>246</v>
      </c>
      <c r="K2753" s="80" t="s">
        <v>21</v>
      </c>
      <c r="L2753" s="30" t="s">
        <v>187</v>
      </c>
      <c r="M2753" s="68">
        <v>5</v>
      </c>
      <c r="N2753" s="181" t="str">
        <f t="shared" si="44"/>
        <v>нет</v>
      </c>
      <c r="O2753" s="23"/>
      <c r="P2753" s="23"/>
      <c r="Q2753" s="106"/>
      <c r="R2753" s="37">
        <v>659</v>
      </c>
      <c r="S2753" s="39" t="s">
        <v>1068</v>
      </c>
      <c r="T2753" s="37">
        <v>668</v>
      </c>
      <c r="U2753" s="38" t="s">
        <v>1077</v>
      </c>
      <c r="V2753" s="89" t="s">
        <v>189</v>
      </c>
      <c r="W2753" s="90" t="s">
        <v>136</v>
      </c>
      <c r="X2753" s="106" t="s">
        <v>297</v>
      </c>
      <c r="Y2753" s="107" t="s">
        <v>12</v>
      </c>
      <c r="Z2753" s="67">
        <f>IF(База_КР_КК[[#This Row],[Таб.номер резервиста]]="-","-",IF(OR(База_КР_КК[[#This Row],[Уровень КК]]=2,База_КР_КК[[#This Row],[Уровень КК]]=3),IF(COUNTIFS($U$2:$U2753,$U2753,$F$2:$F2753,$F2753)=1,1,0),IF(COUNTIFS($U$2:$U2753,$U2753,$L$2:$L2753,$L2753)=1,1,0)))</f>
        <v>1</v>
      </c>
      <c r="AA27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3" s="106"/>
      <c r="AC2753" s="51"/>
      <c r="AD2753" s="106" t="s">
        <v>13</v>
      </c>
      <c r="AE2753" s="38" t="s">
        <v>370</v>
      </c>
    </row>
    <row r="2754" spans="1:31" ht="18" customHeight="1" x14ac:dyDescent="0.25">
      <c r="A27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4" s="79">
        <v>3</v>
      </c>
      <c r="C2754" s="23">
        <v>43458</v>
      </c>
      <c r="D2754" s="67">
        <f>IF(COUNTIF($G$2:$G2754,$G2754)=1,1,0)</f>
        <v>0</v>
      </c>
      <c r="E2754" s="67" t="str">
        <f>IFERROR(VLOOKUP(База_КР_КК[[#This Row],[ИД штатной должности (S)]],'уровень защищенности'!$B$7:$F$1095,5,0),"не защищена")</f>
        <v>высокий</v>
      </c>
      <c r="F2754" s="68">
        <v>500298</v>
      </c>
      <c r="G2754" s="74" t="s">
        <v>2836</v>
      </c>
      <c r="H2754" s="181">
        <f>INDEX('Списки данных'!$D$2:$D$1048576,MATCH(База_КР_КК[[#This Row],[Структурное подразделение]],'Списки данных'!$C$2:$C$1048576,0))</f>
        <v>6</v>
      </c>
      <c r="I2754" s="80" t="s">
        <v>136</v>
      </c>
      <c r="J2754" s="80" t="s">
        <v>246</v>
      </c>
      <c r="K2754" s="80" t="s">
        <v>21</v>
      </c>
      <c r="L2754" s="30" t="s">
        <v>187</v>
      </c>
      <c r="M2754" s="68">
        <v>5</v>
      </c>
      <c r="N2754" s="181" t="str">
        <f t="shared" si="44"/>
        <v>нет</v>
      </c>
      <c r="O2754" s="23"/>
      <c r="P2754" s="23"/>
      <c r="Q2754" s="106"/>
      <c r="R2754" s="37">
        <v>659</v>
      </c>
      <c r="S2754" s="38" t="s">
        <v>1068</v>
      </c>
      <c r="T2754" s="37">
        <v>1753</v>
      </c>
      <c r="U2754" s="39" t="s">
        <v>1908</v>
      </c>
      <c r="V2754" s="89" t="s">
        <v>194</v>
      </c>
      <c r="W2754" s="90" t="s">
        <v>136</v>
      </c>
      <c r="X2754" s="106" t="s">
        <v>296</v>
      </c>
      <c r="Y2754" s="107" t="s">
        <v>18</v>
      </c>
      <c r="Z2754" s="67">
        <f>IF(База_КР_КК[[#This Row],[Таб.номер резервиста]]="-","-",IF(OR(База_КР_КК[[#This Row],[Уровень КК]]=2,База_КР_КК[[#This Row],[Уровень КК]]=3),IF(COUNTIFS($U$2:$U2754,$U2754,$F$2:$F2754,$F2754)=1,1,0),IF(COUNTIFS($U$2:$U2754,$U2754,$L$2:$L2754,$L2754)=1,1,0)))</f>
        <v>1</v>
      </c>
      <c r="AA27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4" s="106" t="s">
        <v>19</v>
      </c>
      <c r="AC2754" s="51">
        <v>43887</v>
      </c>
      <c r="AD2754" s="106" t="s">
        <v>15</v>
      </c>
      <c r="AE2754" s="38" t="s">
        <v>375</v>
      </c>
    </row>
    <row r="2755" spans="1:31" ht="18" customHeight="1" x14ac:dyDescent="0.25">
      <c r="A27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5" s="79">
        <v>3</v>
      </c>
      <c r="C2755" s="23">
        <v>43458</v>
      </c>
      <c r="D2755" s="67">
        <f>IF(COUNTIF($G$2:$G2755,$G2755)=1,1,0)</f>
        <v>0</v>
      </c>
      <c r="E2755" s="67" t="str">
        <f>IFERROR(VLOOKUP(База_КР_КК[[#This Row],[ИД штатной должности (S)]],'уровень защищенности'!$B$7:$F$1095,5,0),"не защищена")</f>
        <v>высокий</v>
      </c>
      <c r="F2755" s="68">
        <v>500298</v>
      </c>
      <c r="G2755" s="74" t="s">
        <v>2836</v>
      </c>
      <c r="H2755" s="181">
        <f>INDEX('Списки данных'!$D$2:$D$1048576,MATCH(База_КР_КК[[#This Row],[Структурное подразделение]],'Списки данных'!$C$2:$C$1048576,0))</f>
        <v>6</v>
      </c>
      <c r="I2755" s="80" t="s">
        <v>136</v>
      </c>
      <c r="J2755" s="80" t="s">
        <v>246</v>
      </c>
      <c r="K2755" s="80" t="s">
        <v>21</v>
      </c>
      <c r="L2755" s="30" t="s">
        <v>187</v>
      </c>
      <c r="M2755" s="68">
        <v>5</v>
      </c>
      <c r="N2755" s="181" t="str">
        <f t="shared" si="44"/>
        <v>нет</v>
      </c>
      <c r="O2755" s="23"/>
      <c r="P2755" s="23"/>
      <c r="Q2755" s="106"/>
      <c r="R2755" s="37">
        <v>659</v>
      </c>
      <c r="S2755" s="38" t="s">
        <v>1068</v>
      </c>
      <c r="T2755" s="37">
        <v>1754</v>
      </c>
      <c r="U2755" s="39" t="s">
        <v>2027</v>
      </c>
      <c r="V2755" s="89" t="s">
        <v>189</v>
      </c>
      <c r="W2755" s="90" t="s">
        <v>129</v>
      </c>
      <c r="X2755" s="106" t="s">
        <v>295</v>
      </c>
      <c r="Y2755" s="107" t="s">
        <v>18</v>
      </c>
      <c r="Z2755" s="67">
        <f>IF(База_КР_КК[[#This Row],[Таб.номер резервиста]]="-","-",IF(OR(База_КР_КК[[#This Row],[Уровень КК]]=2,База_КР_КК[[#This Row],[Уровень КК]]=3),IF(COUNTIFS($U$2:$U2755,$U2755,$F$2:$F2755,$F2755)=1,1,0),IF(COUNTIFS($U$2:$U2755,$U2755,$L$2:$L2755,$L2755)=1,1,0)))</f>
        <v>1</v>
      </c>
      <c r="AA27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5" s="106" t="s">
        <v>33</v>
      </c>
      <c r="AC2755" s="51">
        <v>44714</v>
      </c>
      <c r="AD2755" s="106" t="s">
        <v>17</v>
      </c>
      <c r="AE2755" s="38" t="s">
        <v>370</v>
      </c>
    </row>
    <row r="2756" spans="1:31" ht="18" customHeight="1" x14ac:dyDescent="0.25">
      <c r="A27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6" s="79">
        <v>4</v>
      </c>
      <c r="C2756" s="23">
        <v>44109</v>
      </c>
      <c r="D2756" s="67">
        <f>IF(COUNTIF($G$2:$G2756,$G2756)=1,1,0)</f>
        <v>1</v>
      </c>
      <c r="E2756" s="67" t="str">
        <f>IFERROR(VLOOKUP(База_КР_КК[[#This Row],[ИД штатной должности (S)]],'уровень защищенности'!$B$7:$F$1095,5,0),"не защищена")</f>
        <v>высокий</v>
      </c>
      <c r="F2756" s="68">
        <v>500299</v>
      </c>
      <c r="G2756" s="74" t="s">
        <v>2837</v>
      </c>
      <c r="H2756" s="181">
        <f>INDEX('Списки данных'!$D$2:$D$1048576,MATCH(База_КР_КК[[#This Row],[Структурное подразделение]],'Списки данных'!$C$2:$C$1048576,0))</f>
        <v>6</v>
      </c>
      <c r="I2756" s="80" t="s">
        <v>136</v>
      </c>
      <c r="J2756" s="80" t="s">
        <v>246</v>
      </c>
      <c r="K2756" s="80" t="s">
        <v>21</v>
      </c>
      <c r="L2756" s="30" t="s">
        <v>194</v>
      </c>
      <c r="M2756" s="68">
        <v>6</v>
      </c>
      <c r="N2756" s="181" t="str">
        <f t="shared" si="44"/>
        <v>нет</v>
      </c>
      <c r="O2756" s="23"/>
      <c r="P2756" s="23"/>
      <c r="Q2756" s="106"/>
      <c r="R2756" s="37">
        <v>660</v>
      </c>
      <c r="S2756" s="38" t="s">
        <v>1069</v>
      </c>
      <c r="T2756" s="37">
        <v>1755</v>
      </c>
      <c r="U2756" s="39" t="s">
        <v>1647</v>
      </c>
      <c r="V2756" s="89" t="s">
        <v>16</v>
      </c>
      <c r="W2756" s="89" t="s">
        <v>136</v>
      </c>
      <c r="X2756" s="106" t="s">
        <v>295</v>
      </c>
      <c r="Y2756" s="107" t="s">
        <v>12</v>
      </c>
      <c r="Z2756" s="67">
        <f>IF(База_КР_КК[[#This Row],[Таб.номер резервиста]]="-","-",IF(OR(База_КР_КК[[#This Row],[Уровень КК]]=2,База_КР_КК[[#This Row],[Уровень КК]]=3),IF(COUNTIFS($U$2:$U2756,$U2756,$F$2:$F2756,$F2756)=1,1,0),IF(COUNTIFS($U$2:$U2756,$U2756,$L$2:$L2756,$L2756)=1,1,0)))</f>
        <v>1</v>
      </c>
      <c r="AA27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6" s="106"/>
      <c r="AC2756" s="51"/>
      <c r="AD2756" s="106" t="s">
        <v>13</v>
      </c>
      <c r="AE2756" s="38" t="s">
        <v>376</v>
      </c>
    </row>
    <row r="2757" spans="1:31" ht="18" customHeight="1" x14ac:dyDescent="0.25">
      <c r="A27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7" s="79">
        <v>4</v>
      </c>
      <c r="C2757" s="23">
        <v>44109</v>
      </c>
      <c r="D2757" s="67">
        <f>IF(COUNTIF($G$2:$G2757,$G2757)=1,1,0)</f>
        <v>0</v>
      </c>
      <c r="E2757" s="67" t="str">
        <f>IFERROR(VLOOKUP(База_КР_КК[[#This Row],[ИД штатной должности (S)]],'уровень защищенности'!$B$7:$F$1095,5,0),"не защищена")</f>
        <v>высокий</v>
      </c>
      <c r="F2757" s="68">
        <v>500299</v>
      </c>
      <c r="G2757" s="74" t="s">
        <v>2837</v>
      </c>
      <c r="H2757" s="181">
        <f>INDEX('Списки данных'!$D$2:$D$1048576,MATCH(База_КР_КК[[#This Row],[Структурное подразделение]],'Списки данных'!$C$2:$C$1048576,0))</f>
        <v>6</v>
      </c>
      <c r="I2757" s="80" t="s">
        <v>136</v>
      </c>
      <c r="J2757" s="80" t="s">
        <v>246</v>
      </c>
      <c r="K2757" s="80" t="s">
        <v>21</v>
      </c>
      <c r="L2757" s="30" t="s">
        <v>194</v>
      </c>
      <c r="M2757" s="68">
        <v>6</v>
      </c>
      <c r="N2757" s="181" t="str">
        <f t="shared" si="44"/>
        <v>нет</v>
      </c>
      <c r="O2757" s="23"/>
      <c r="P2757" s="23"/>
      <c r="Q2757" s="106"/>
      <c r="R2757" s="37">
        <v>660</v>
      </c>
      <c r="S2757" s="38" t="s">
        <v>1069</v>
      </c>
      <c r="T2757" s="37">
        <v>674</v>
      </c>
      <c r="U2757" s="39" t="s">
        <v>1083</v>
      </c>
      <c r="V2757" s="89" t="s">
        <v>192</v>
      </c>
      <c r="W2757" s="89" t="s">
        <v>136</v>
      </c>
      <c r="X2757" s="106" t="s">
        <v>295</v>
      </c>
      <c r="Y2757" s="107" t="s">
        <v>12</v>
      </c>
      <c r="Z2757" s="67">
        <f>IF(База_КР_КК[[#This Row],[Таб.номер резервиста]]="-","-",IF(OR(База_КР_КК[[#This Row],[Уровень КК]]=2,База_КР_КК[[#This Row],[Уровень КК]]=3),IF(COUNTIFS($U$2:$U2757,$U2757,$F$2:$F2757,$F2757)=1,1,0),IF(COUNTIFS($U$2:$U2757,$U2757,$L$2:$L2757,$L2757)=1,1,0)))</f>
        <v>1</v>
      </c>
      <c r="AA27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7" s="106"/>
      <c r="AC2757" s="51"/>
      <c r="AD2757" s="106" t="s">
        <v>13</v>
      </c>
      <c r="AE2757" s="38" t="s">
        <v>376</v>
      </c>
    </row>
    <row r="2758" spans="1:31" ht="18" customHeight="1" x14ac:dyDescent="0.25">
      <c r="A27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8" s="79">
        <v>4</v>
      </c>
      <c r="C2758" s="23">
        <v>44109</v>
      </c>
      <c r="D2758" s="67">
        <f>IF(COUNTIF($G$2:$G2758,$G2758)=1,1,0)</f>
        <v>1</v>
      </c>
      <c r="E2758" s="67" t="str">
        <f>IFERROR(VLOOKUP(База_КР_КК[[#This Row],[ИД штатной должности (S)]],'уровень защищенности'!$B$7:$F$1095,5,0),"не защищена")</f>
        <v>высокий</v>
      </c>
      <c r="F2758" s="68">
        <v>500299</v>
      </c>
      <c r="G2758" s="74" t="s">
        <v>2838</v>
      </c>
      <c r="H2758" s="181">
        <f>INDEX('Списки данных'!$D$2:$D$1048576,MATCH(База_КР_КК[[#This Row],[Структурное подразделение]],'Списки данных'!$C$2:$C$1048576,0))</f>
        <v>6</v>
      </c>
      <c r="I2758" s="80" t="s">
        <v>136</v>
      </c>
      <c r="J2758" s="80" t="s">
        <v>246</v>
      </c>
      <c r="K2758" s="80" t="s">
        <v>21</v>
      </c>
      <c r="L2758" s="30" t="s">
        <v>194</v>
      </c>
      <c r="M2758" s="68">
        <v>6</v>
      </c>
      <c r="N2758" s="181" t="str">
        <f t="shared" si="44"/>
        <v>нет</v>
      </c>
      <c r="O2758" s="23"/>
      <c r="P2758" s="23"/>
      <c r="Q2758" s="106"/>
      <c r="R2758" s="37">
        <v>661</v>
      </c>
      <c r="S2758" s="38" t="s">
        <v>1070</v>
      </c>
      <c r="T2758" s="37">
        <v>1755</v>
      </c>
      <c r="U2758" s="39" t="s">
        <v>1647</v>
      </c>
      <c r="V2758" s="89" t="s">
        <v>16</v>
      </c>
      <c r="W2758" s="89" t="s">
        <v>136</v>
      </c>
      <c r="X2758" s="106" t="s">
        <v>295</v>
      </c>
      <c r="Y2758" s="107" t="s">
        <v>12</v>
      </c>
      <c r="Z2758" s="67">
        <f>IF(База_КР_КК[[#This Row],[Таб.номер резервиста]]="-","-",IF(OR(База_КР_КК[[#This Row],[Уровень КК]]=2,База_КР_КК[[#This Row],[Уровень КК]]=3),IF(COUNTIFS($U$2:$U2758,$U2758,$F$2:$F2758,$F2758)=1,1,0),IF(COUNTIFS($U$2:$U2758,$U2758,$L$2:$L2758,$L2758)=1,1,0)))</f>
        <v>0</v>
      </c>
      <c r="AA27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8" s="106"/>
      <c r="AC2758" s="51"/>
      <c r="AD2758" s="106" t="s">
        <v>13</v>
      </c>
      <c r="AE2758" s="38" t="s">
        <v>376</v>
      </c>
    </row>
    <row r="2759" spans="1:31" ht="18" customHeight="1" x14ac:dyDescent="0.25">
      <c r="A27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59" s="79">
        <v>4</v>
      </c>
      <c r="C2759" s="23">
        <v>44109</v>
      </c>
      <c r="D2759" s="67">
        <f>IF(COUNTIF($G$2:$G2759,$G2759)=1,1,0)</f>
        <v>0</v>
      </c>
      <c r="E2759" s="67" t="str">
        <f>IFERROR(VLOOKUP(База_КР_КК[[#This Row],[ИД штатной должности (S)]],'уровень защищенности'!$B$7:$F$1095,5,0),"не защищена")</f>
        <v>высокий</v>
      </c>
      <c r="F2759" s="68">
        <v>500299</v>
      </c>
      <c r="G2759" s="74" t="s">
        <v>2838</v>
      </c>
      <c r="H2759" s="181">
        <f>INDEX('Списки данных'!$D$2:$D$1048576,MATCH(База_КР_КК[[#This Row],[Структурное подразделение]],'Списки данных'!$C$2:$C$1048576,0))</f>
        <v>6</v>
      </c>
      <c r="I2759" s="80" t="s">
        <v>136</v>
      </c>
      <c r="J2759" s="80" t="s">
        <v>246</v>
      </c>
      <c r="K2759" s="80" t="s">
        <v>21</v>
      </c>
      <c r="L2759" s="30" t="s">
        <v>194</v>
      </c>
      <c r="M2759" s="68">
        <v>6</v>
      </c>
      <c r="N2759" s="181" t="str">
        <f t="shared" si="44"/>
        <v>нет</v>
      </c>
      <c r="O2759" s="23"/>
      <c r="P2759" s="23"/>
      <c r="Q2759" s="106"/>
      <c r="R2759" s="37">
        <v>661</v>
      </c>
      <c r="S2759" s="38" t="s">
        <v>1070</v>
      </c>
      <c r="T2759" s="37">
        <v>674</v>
      </c>
      <c r="U2759" s="39" t="s">
        <v>1083</v>
      </c>
      <c r="V2759" s="89" t="s">
        <v>192</v>
      </c>
      <c r="W2759" s="89" t="s">
        <v>136</v>
      </c>
      <c r="X2759" s="106" t="s">
        <v>295</v>
      </c>
      <c r="Y2759" s="107" t="s">
        <v>12</v>
      </c>
      <c r="Z2759" s="67">
        <f>IF(База_КР_КК[[#This Row],[Таб.номер резервиста]]="-","-",IF(OR(База_КР_КК[[#This Row],[Уровень КК]]=2,База_КР_КК[[#This Row],[Уровень КК]]=3),IF(COUNTIFS($U$2:$U2759,$U2759,$F$2:$F2759,$F2759)=1,1,0),IF(COUNTIFS($U$2:$U2759,$U2759,$L$2:$L2759,$L2759)=1,1,0)))</f>
        <v>0</v>
      </c>
      <c r="AA27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59" s="106"/>
      <c r="AC2759" s="51"/>
      <c r="AD2759" s="106" t="s">
        <v>13</v>
      </c>
      <c r="AE2759" s="38" t="s">
        <v>376</v>
      </c>
    </row>
    <row r="2760" spans="1:31" ht="18" customHeight="1" x14ac:dyDescent="0.25">
      <c r="A27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0" s="79">
        <v>4</v>
      </c>
      <c r="C2760" s="23">
        <v>44109</v>
      </c>
      <c r="D2760" s="67">
        <f>IF(COUNTIF($G$2:$G2760,$G2760)=1,1,0)</f>
        <v>1</v>
      </c>
      <c r="E2760" s="67" t="str">
        <f>IFERROR(VLOOKUP(База_КР_КК[[#This Row],[ИД штатной должности (S)]],'уровень защищенности'!$B$7:$F$1095,5,0),"не защищена")</f>
        <v>высокий</v>
      </c>
      <c r="F2760" s="68">
        <v>500299</v>
      </c>
      <c r="G2760" s="74" t="s">
        <v>2839</v>
      </c>
      <c r="H2760" s="181">
        <f>INDEX('Списки данных'!$D$2:$D$1048576,MATCH(База_КР_КК[[#This Row],[Структурное подразделение]],'Списки данных'!$C$2:$C$1048576,0))</f>
        <v>6</v>
      </c>
      <c r="I2760" s="80" t="s">
        <v>136</v>
      </c>
      <c r="J2760" s="80" t="s">
        <v>246</v>
      </c>
      <c r="K2760" s="80" t="s">
        <v>21</v>
      </c>
      <c r="L2760" s="30" t="s">
        <v>194</v>
      </c>
      <c r="M2760" s="68">
        <v>6</v>
      </c>
      <c r="N2760" s="181" t="str">
        <f t="shared" si="44"/>
        <v>нет</v>
      </c>
      <c r="O2760" s="23"/>
      <c r="P2760" s="23"/>
      <c r="Q2760" s="106"/>
      <c r="R2760" s="37">
        <v>662</v>
      </c>
      <c r="S2760" s="38" t="s">
        <v>1071</v>
      </c>
      <c r="T2760" s="37">
        <v>1755</v>
      </c>
      <c r="U2760" s="39" t="s">
        <v>1647</v>
      </c>
      <c r="V2760" s="89" t="s">
        <v>16</v>
      </c>
      <c r="W2760" s="89" t="s">
        <v>136</v>
      </c>
      <c r="X2760" s="106" t="s">
        <v>295</v>
      </c>
      <c r="Y2760" s="107" t="s">
        <v>12</v>
      </c>
      <c r="Z2760" s="67">
        <f>IF(База_КР_КК[[#This Row],[Таб.номер резервиста]]="-","-",IF(OR(База_КР_КК[[#This Row],[Уровень КК]]=2,База_КР_КК[[#This Row],[Уровень КК]]=3),IF(COUNTIFS($U$2:$U2760,$U2760,$F$2:$F2760,$F2760)=1,1,0),IF(COUNTIFS($U$2:$U2760,$U2760,$L$2:$L2760,$L2760)=1,1,0)))</f>
        <v>0</v>
      </c>
      <c r="AA27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0" s="106"/>
      <c r="AC2760" s="51"/>
      <c r="AD2760" s="106" t="s">
        <v>13</v>
      </c>
      <c r="AE2760" s="38" t="s">
        <v>376</v>
      </c>
    </row>
    <row r="2761" spans="1:31" ht="18" customHeight="1" x14ac:dyDescent="0.25">
      <c r="A27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1" s="79">
        <v>4</v>
      </c>
      <c r="C2761" s="23">
        <v>44109</v>
      </c>
      <c r="D2761" s="67">
        <f>IF(COUNTIF($G$2:$G2761,$G2761)=1,1,0)</f>
        <v>0</v>
      </c>
      <c r="E2761" s="67" t="str">
        <f>IFERROR(VLOOKUP(База_КР_КК[[#This Row],[ИД штатной должности (S)]],'уровень защищенности'!$B$7:$F$1095,5,0),"не защищена")</f>
        <v>высокий</v>
      </c>
      <c r="F2761" s="68">
        <v>500299</v>
      </c>
      <c r="G2761" s="74" t="s">
        <v>2839</v>
      </c>
      <c r="H2761" s="181">
        <f>INDEX('Списки данных'!$D$2:$D$1048576,MATCH(База_КР_КК[[#This Row],[Структурное подразделение]],'Списки данных'!$C$2:$C$1048576,0))</f>
        <v>6</v>
      </c>
      <c r="I2761" s="80" t="s">
        <v>136</v>
      </c>
      <c r="J2761" s="80" t="s">
        <v>246</v>
      </c>
      <c r="K2761" s="80" t="s">
        <v>21</v>
      </c>
      <c r="L2761" s="30" t="s">
        <v>194</v>
      </c>
      <c r="M2761" s="68">
        <v>6</v>
      </c>
      <c r="N2761" s="181" t="str">
        <f t="shared" si="44"/>
        <v>нет</v>
      </c>
      <c r="O2761" s="23"/>
      <c r="P2761" s="23"/>
      <c r="Q2761" s="106"/>
      <c r="R2761" s="37">
        <v>662</v>
      </c>
      <c r="S2761" s="38" t="s">
        <v>1071</v>
      </c>
      <c r="T2761" s="37">
        <v>674</v>
      </c>
      <c r="U2761" s="39" t="s">
        <v>1083</v>
      </c>
      <c r="V2761" s="89" t="s">
        <v>192</v>
      </c>
      <c r="W2761" s="89" t="s">
        <v>136</v>
      </c>
      <c r="X2761" s="106" t="s">
        <v>295</v>
      </c>
      <c r="Y2761" s="107" t="s">
        <v>12</v>
      </c>
      <c r="Z2761" s="67">
        <f>IF(База_КР_КК[[#This Row],[Таб.номер резервиста]]="-","-",IF(OR(База_КР_КК[[#This Row],[Уровень КК]]=2,База_КР_КК[[#This Row],[Уровень КК]]=3),IF(COUNTIFS($U$2:$U2761,$U2761,$F$2:$F2761,$F2761)=1,1,0),IF(COUNTIFS($U$2:$U2761,$U2761,$L$2:$L2761,$L2761)=1,1,0)))</f>
        <v>0</v>
      </c>
      <c r="AA27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1" s="106"/>
      <c r="AC2761" s="51"/>
      <c r="AD2761" s="106" t="s">
        <v>13</v>
      </c>
      <c r="AE2761" s="38" t="s">
        <v>376</v>
      </c>
    </row>
    <row r="2762" spans="1:31" ht="18" customHeight="1" x14ac:dyDescent="0.25">
      <c r="A27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2" s="79">
        <v>4</v>
      </c>
      <c r="C2762" s="23">
        <v>44109</v>
      </c>
      <c r="D2762" s="67">
        <f>IF(COUNTIF($G$2:$G2762,$G2762)=1,1,0)</f>
        <v>1</v>
      </c>
      <c r="E2762" s="67" t="str">
        <f>IFERROR(VLOOKUP(База_КР_КК[[#This Row],[ИД штатной должности (S)]],'уровень защищенности'!$B$7:$F$1095,5,0),"не защищена")</f>
        <v>высокий</v>
      </c>
      <c r="F2762" s="68">
        <v>500299</v>
      </c>
      <c r="G2762" s="74" t="s">
        <v>2840</v>
      </c>
      <c r="H2762" s="181">
        <f>INDEX('Списки данных'!$D$2:$D$1048576,MATCH(База_КР_КК[[#This Row],[Структурное подразделение]],'Списки данных'!$C$2:$C$1048576,0))</f>
        <v>6</v>
      </c>
      <c r="I2762" s="80" t="s">
        <v>136</v>
      </c>
      <c r="J2762" s="80" t="s">
        <v>246</v>
      </c>
      <c r="K2762" s="80" t="s">
        <v>21</v>
      </c>
      <c r="L2762" s="30" t="s">
        <v>194</v>
      </c>
      <c r="M2762" s="68">
        <v>6</v>
      </c>
      <c r="N2762" s="181" t="str">
        <f t="shared" si="44"/>
        <v>нет</v>
      </c>
      <c r="O2762" s="23"/>
      <c r="P2762" s="23"/>
      <c r="Q2762" s="106"/>
      <c r="R2762" s="37">
        <v>663</v>
      </c>
      <c r="S2762" s="38" t="s">
        <v>1072</v>
      </c>
      <c r="T2762" s="37">
        <v>1755</v>
      </c>
      <c r="U2762" s="39" t="s">
        <v>1647</v>
      </c>
      <c r="V2762" s="89" t="s">
        <v>16</v>
      </c>
      <c r="W2762" s="89" t="s">
        <v>136</v>
      </c>
      <c r="X2762" s="106" t="s">
        <v>295</v>
      </c>
      <c r="Y2762" s="107" t="s">
        <v>12</v>
      </c>
      <c r="Z2762" s="67">
        <f>IF(База_КР_КК[[#This Row],[Таб.номер резервиста]]="-","-",IF(OR(База_КР_КК[[#This Row],[Уровень КК]]=2,База_КР_КК[[#This Row],[Уровень КК]]=3),IF(COUNTIFS($U$2:$U2762,$U2762,$F$2:$F2762,$F2762)=1,1,0),IF(COUNTIFS($U$2:$U2762,$U2762,$L$2:$L2762,$L2762)=1,1,0)))</f>
        <v>0</v>
      </c>
      <c r="AA27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2" s="106"/>
      <c r="AC2762" s="51"/>
      <c r="AD2762" s="106" t="s">
        <v>13</v>
      </c>
      <c r="AE2762" s="38" t="s">
        <v>376</v>
      </c>
    </row>
    <row r="2763" spans="1:31" ht="18" customHeight="1" x14ac:dyDescent="0.25">
      <c r="A27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3" s="79">
        <v>4</v>
      </c>
      <c r="C2763" s="23">
        <v>44109</v>
      </c>
      <c r="D2763" s="67">
        <f>IF(COUNTIF($G$2:$G2763,$G2763)=1,1,0)</f>
        <v>0</v>
      </c>
      <c r="E2763" s="67" t="str">
        <f>IFERROR(VLOOKUP(База_КР_КК[[#This Row],[ИД штатной должности (S)]],'уровень защищенности'!$B$7:$F$1095,5,0),"не защищена")</f>
        <v>высокий</v>
      </c>
      <c r="F2763" s="68">
        <v>500299</v>
      </c>
      <c r="G2763" s="74" t="s">
        <v>2840</v>
      </c>
      <c r="H2763" s="181">
        <f>INDEX('Списки данных'!$D$2:$D$1048576,MATCH(База_КР_КК[[#This Row],[Структурное подразделение]],'Списки данных'!$C$2:$C$1048576,0))</f>
        <v>6</v>
      </c>
      <c r="I2763" s="80" t="s">
        <v>136</v>
      </c>
      <c r="J2763" s="80" t="s">
        <v>246</v>
      </c>
      <c r="K2763" s="80" t="s">
        <v>21</v>
      </c>
      <c r="L2763" s="30" t="s">
        <v>194</v>
      </c>
      <c r="M2763" s="68">
        <v>6</v>
      </c>
      <c r="N2763" s="181" t="str">
        <f t="shared" si="44"/>
        <v>нет</v>
      </c>
      <c r="O2763" s="23"/>
      <c r="P2763" s="23"/>
      <c r="Q2763" s="106"/>
      <c r="R2763" s="37">
        <v>663</v>
      </c>
      <c r="S2763" s="38" t="s">
        <v>1072</v>
      </c>
      <c r="T2763" s="37">
        <v>674</v>
      </c>
      <c r="U2763" s="39" t="s">
        <v>1083</v>
      </c>
      <c r="V2763" s="89" t="s">
        <v>192</v>
      </c>
      <c r="W2763" s="89" t="s">
        <v>136</v>
      </c>
      <c r="X2763" s="106" t="s">
        <v>295</v>
      </c>
      <c r="Y2763" s="107" t="s">
        <v>12</v>
      </c>
      <c r="Z2763" s="67">
        <f>IF(База_КР_КК[[#This Row],[Таб.номер резервиста]]="-","-",IF(OR(База_КР_КК[[#This Row],[Уровень КК]]=2,База_КР_КК[[#This Row],[Уровень КК]]=3),IF(COUNTIFS($U$2:$U2763,$U2763,$F$2:$F2763,$F2763)=1,1,0),IF(COUNTIFS($U$2:$U2763,$U2763,$L$2:$L2763,$L2763)=1,1,0)))</f>
        <v>0</v>
      </c>
      <c r="AA27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3" s="106"/>
      <c r="AC2763" s="51"/>
      <c r="AD2763" s="106" t="s">
        <v>13</v>
      </c>
      <c r="AE2763" s="38" t="s">
        <v>376</v>
      </c>
    </row>
    <row r="2764" spans="1:31" ht="18" customHeight="1" x14ac:dyDescent="0.25">
      <c r="A27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4" s="79">
        <v>4</v>
      </c>
      <c r="C2764" s="23">
        <v>44109</v>
      </c>
      <c r="D2764" s="67">
        <f>IF(COUNTIF($G$2:$G2764,$G2764)=1,1,0)</f>
        <v>1</v>
      </c>
      <c r="E2764" s="67" t="str">
        <f>IFERROR(VLOOKUP(База_КР_КК[[#This Row],[ИД штатной должности (S)]],'уровень защищенности'!$B$7:$F$1095,5,0),"не защищена")</f>
        <v>высокий</v>
      </c>
      <c r="F2764" s="68">
        <v>500301</v>
      </c>
      <c r="G2764" s="74" t="s">
        <v>2841</v>
      </c>
      <c r="H2764" s="181">
        <f>INDEX('Списки данных'!$D$2:$D$1048576,MATCH(База_КР_КК[[#This Row],[Структурное подразделение]],'Списки данных'!$C$2:$C$1048576,0))</f>
        <v>6</v>
      </c>
      <c r="I2764" s="80" t="s">
        <v>136</v>
      </c>
      <c r="J2764" s="80" t="s">
        <v>246</v>
      </c>
      <c r="K2764" s="80" t="s">
        <v>21</v>
      </c>
      <c r="L2764" s="30" t="s">
        <v>192</v>
      </c>
      <c r="M2764" s="68">
        <v>6</v>
      </c>
      <c r="N2764" s="181" t="str">
        <f t="shared" si="44"/>
        <v>да</v>
      </c>
      <c r="O2764" s="23">
        <v>44327</v>
      </c>
      <c r="P2764" s="23">
        <v>44553</v>
      </c>
      <c r="Q2764" s="106" t="s">
        <v>66</v>
      </c>
      <c r="R2764" s="37">
        <v>664</v>
      </c>
      <c r="S2764" s="39" t="s">
        <v>1073</v>
      </c>
      <c r="T2764" s="37">
        <v>1756</v>
      </c>
      <c r="U2764" s="39" t="s">
        <v>1833</v>
      </c>
      <c r="V2764" s="89" t="s">
        <v>272</v>
      </c>
      <c r="W2764" s="89" t="s">
        <v>136</v>
      </c>
      <c r="X2764" s="106" t="s">
        <v>295</v>
      </c>
      <c r="Y2764" s="107" t="s">
        <v>12</v>
      </c>
      <c r="Z2764" s="67">
        <f>IF(База_КР_КК[[#This Row],[Таб.номер резервиста]]="-","-",IF(OR(База_КР_КК[[#This Row],[Уровень КК]]=2,База_КР_КК[[#This Row],[Уровень КК]]=3),IF(COUNTIFS($U$2:$U2764,$U2764,$F$2:$F2764,$F2764)=1,1,0),IF(COUNTIFS($U$2:$U2764,$U2764,$L$2:$L2764,$L2764)=1,1,0)))</f>
        <v>0</v>
      </c>
      <c r="AA27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4" s="106"/>
      <c r="AC2764" s="51"/>
      <c r="AD2764" s="106" t="s">
        <v>13</v>
      </c>
      <c r="AE2764" s="38" t="s">
        <v>376</v>
      </c>
    </row>
    <row r="2765" spans="1:31" ht="18" customHeight="1" x14ac:dyDescent="0.25">
      <c r="A27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5" s="79">
        <v>4</v>
      </c>
      <c r="C2765" s="23">
        <v>44859</v>
      </c>
      <c r="D2765" s="67">
        <f>IF(COUNTIF($G$2:$G2765,$G2765)=1,1,0)</f>
        <v>0</v>
      </c>
      <c r="E2765" s="67" t="str">
        <f>IFERROR(VLOOKUP(База_КР_КК[[#This Row],[ИД штатной должности (S)]],'уровень защищенности'!$B$7:$F$1095,5,0),"не защищена")</f>
        <v>высокий</v>
      </c>
      <c r="F2765" s="68">
        <v>500301</v>
      </c>
      <c r="G2765" s="74" t="s">
        <v>2841</v>
      </c>
      <c r="H2765" s="181">
        <f>INDEX('Списки данных'!$D$2:$D$1048576,MATCH(База_КР_КК[[#This Row],[Структурное подразделение]],'Списки данных'!$C$2:$C$1048576,0))</f>
        <v>6</v>
      </c>
      <c r="I2765" s="80" t="s">
        <v>136</v>
      </c>
      <c r="J2765" s="80" t="s">
        <v>246</v>
      </c>
      <c r="K2765" s="80" t="s">
        <v>21</v>
      </c>
      <c r="L2765" s="30" t="s">
        <v>192</v>
      </c>
      <c r="M2765" s="68">
        <v>6</v>
      </c>
      <c r="N2765" s="181" t="str">
        <f t="shared" si="44"/>
        <v>да</v>
      </c>
      <c r="O2765" s="23">
        <v>44327</v>
      </c>
      <c r="P2765" s="23">
        <v>44553</v>
      </c>
      <c r="Q2765" s="106" t="s">
        <v>66</v>
      </c>
      <c r="R2765" s="37">
        <v>664</v>
      </c>
      <c r="S2765" s="39" t="s">
        <v>1073</v>
      </c>
      <c r="T2765" s="37">
        <v>1757</v>
      </c>
      <c r="U2765" s="38" t="s">
        <v>1829</v>
      </c>
      <c r="V2765" s="89" t="s">
        <v>272</v>
      </c>
      <c r="W2765" s="89" t="s">
        <v>136</v>
      </c>
      <c r="X2765" s="106" t="s">
        <v>297</v>
      </c>
      <c r="Y2765" s="107" t="s">
        <v>12</v>
      </c>
      <c r="Z2765" s="67">
        <f>IF(База_КР_КК[[#This Row],[Таб.номер резервиста]]="-","-",IF(OR(База_КР_КК[[#This Row],[Уровень КК]]=2,База_КР_КК[[#This Row],[Уровень КК]]=3),IF(COUNTIFS($U$2:$U2765,$U2765,$F$2:$F2765,$F2765)=1,1,0),IF(COUNTIFS($U$2:$U2765,$U2765,$L$2:$L2765,$L2765)=1,1,0)))</f>
        <v>1</v>
      </c>
      <c r="AA27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5" s="106"/>
      <c r="AC2765" s="51"/>
      <c r="AD2765" s="106" t="s">
        <v>15</v>
      </c>
      <c r="AE2765" s="38" t="s">
        <v>376</v>
      </c>
    </row>
    <row r="2766" spans="1:31" ht="18" customHeight="1" x14ac:dyDescent="0.25">
      <c r="A27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6" s="79">
        <v>4</v>
      </c>
      <c r="C2766" s="23">
        <v>44109</v>
      </c>
      <c r="D2766" s="67">
        <f>IF(COUNTIF($G$2:$G2766,$G2766)=1,1,0)</f>
        <v>0</v>
      </c>
      <c r="E2766" s="67" t="str">
        <f>IFERROR(VLOOKUP(База_КР_КК[[#This Row],[ИД штатной должности (S)]],'уровень защищенности'!$B$7:$F$1095,5,0),"не защищена")</f>
        <v>высокий</v>
      </c>
      <c r="F2766" s="68">
        <v>500301</v>
      </c>
      <c r="G2766" s="74" t="s">
        <v>2841</v>
      </c>
      <c r="H2766" s="181">
        <f>INDEX('Списки данных'!$D$2:$D$1048576,MATCH(База_КР_КК[[#This Row],[Структурное подразделение]],'Списки данных'!$C$2:$C$1048576,0))</f>
        <v>6</v>
      </c>
      <c r="I2766" s="80" t="s">
        <v>136</v>
      </c>
      <c r="J2766" s="80" t="s">
        <v>246</v>
      </c>
      <c r="K2766" s="80" t="s">
        <v>21</v>
      </c>
      <c r="L2766" s="30" t="s">
        <v>192</v>
      </c>
      <c r="M2766" s="68">
        <v>6</v>
      </c>
      <c r="N2766" s="181" t="str">
        <f t="shared" si="44"/>
        <v>да</v>
      </c>
      <c r="O2766" s="23">
        <v>44327</v>
      </c>
      <c r="P2766" s="23">
        <v>44553</v>
      </c>
      <c r="Q2766" s="106" t="s">
        <v>66</v>
      </c>
      <c r="R2766" s="37">
        <v>664</v>
      </c>
      <c r="S2766" s="39" t="s">
        <v>1073</v>
      </c>
      <c r="T2766" s="37">
        <v>664</v>
      </c>
      <c r="U2766" s="39" t="s">
        <v>1073</v>
      </c>
      <c r="V2766" s="89" t="s">
        <v>272</v>
      </c>
      <c r="W2766" s="89" t="s">
        <v>136</v>
      </c>
      <c r="X2766" s="106" t="s">
        <v>297</v>
      </c>
      <c r="Y2766" s="107" t="s">
        <v>14</v>
      </c>
      <c r="Z2766" s="67">
        <f>IF(База_КР_КК[[#This Row],[Таб.номер резервиста]]="-","-",IF(OR(База_КР_КК[[#This Row],[Уровень КК]]=2,База_КР_КК[[#This Row],[Уровень КК]]=3),IF(COUNTIFS($U$2:$U2766,$U2766,$F$2:$F2766,$F2766)=1,1,0),IF(COUNTIFS($U$2:$U2766,$U2766,$L$2:$L2766,$L2766)=1,1,0)))</f>
        <v>1</v>
      </c>
      <c r="AA27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766" s="106" t="s">
        <v>24</v>
      </c>
      <c r="AC2766" s="51">
        <v>44553</v>
      </c>
      <c r="AD2766" s="106" t="s">
        <v>15</v>
      </c>
      <c r="AE2766" s="38" t="s">
        <v>377</v>
      </c>
    </row>
    <row r="2767" spans="1:31" ht="18" customHeight="1" x14ac:dyDescent="0.25">
      <c r="A27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7" s="79">
        <v>4</v>
      </c>
      <c r="C2767" s="23">
        <v>44109</v>
      </c>
      <c r="D2767" s="67">
        <f>IF(COUNTIF($G$2:$G2767,$G2767)=1,1,0)</f>
        <v>0</v>
      </c>
      <c r="E2767" s="67" t="str">
        <f>IFERROR(VLOOKUP(База_КР_КК[[#This Row],[ИД штатной должности (S)]],'уровень защищенности'!$B$7:$F$1095,5,0),"не защищена")</f>
        <v>высокий</v>
      </c>
      <c r="F2767" s="68">
        <v>500301</v>
      </c>
      <c r="G2767" s="74" t="s">
        <v>2841</v>
      </c>
      <c r="H2767" s="181">
        <f>INDEX('Списки данных'!$D$2:$D$1048576,MATCH(База_КР_КК[[#This Row],[Структурное подразделение]],'Списки данных'!$C$2:$C$1048576,0))</f>
        <v>6</v>
      </c>
      <c r="I2767" s="80" t="s">
        <v>136</v>
      </c>
      <c r="J2767" s="80" t="s">
        <v>246</v>
      </c>
      <c r="K2767" s="80" t="s">
        <v>21</v>
      </c>
      <c r="L2767" s="30" t="s">
        <v>192</v>
      </c>
      <c r="M2767" s="68">
        <v>6</v>
      </c>
      <c r="N2767" s="181" t="str">
        <f t="shared" si="44"/>
        <v>да</v>
      </c>
      <c r="O2767" s="23">
        <v>44327</v>
      </c>
      <c r="P2767" s="23">
        <v>44553</v>
      </c>
      <c r="Q2767" s="106" t="s">
        <v>66</v>
      </c>
      <c r="R2767" s="37">
        <v>664</v>
      </c>
      <c r="S2767" s="39" t="s">
        <v>1073</v>
      </c>
      <c r="T2767" s="37">
        <v>1758</v>
      </c>
      <c r="U2767" s="39" t="s">
        <v>1868</v>
      </c>
      <c r="V2767" s="89" t="s">
        <v>272</v>
      </c>
      <c r="W2767" s="89" t="s">
        <v>136</v>
      </c>
      <c r="X2767" s="106" t="s">
        <v>296</v>
      </c>
      <c r="Y2767" s="107" t="s">
        <v>18</v>
      </c>
      <c r="Z2767" s="67">
        <f>IF(База_КР_КК[[#This Row],[Таб.номер резервиста]]="-","-",IF(OR(База_КР_КК[[#This Row],[Уровень КК]]=2,База_КР_КК[[#This Row],[Уровень КК]]=3),IF(COUNTIFS($U$2:$U2767,$U2767,$F$2:$F2767,$F2767)=1,1,0),IF(COUNTIFS($U$2:$U2767,$U2767,$L$2:$L2767,$L2767)=1,1,0)))</f>
        <v>1</v>
      </c>
      <c r="AA27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7" s="106" t="s">
        <v>38</v>
      </c>
      <c r="AC2767" s="51">
        <v>44859</v>
      </c>
      <c r="AD2767" s="106" t="s">
        <v>31</v>
      </c>
      <c r="AE2767" s="38" t="s">
        <v>376</v>
      </c>
    </row>
    <row r="2768" spans="1:31" ht="18" customHeight="1" x14ac:dyDescent="0.25">
      <c r="A27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8" s="79">
        <v>3</v>
      </c>
      <c r="C2768" s="23">
        <v>44039</v>
      </c>
      <c r="D2768" s="67">
        <f>IF(COUNTIF($G$2:$G2768,$G2768)=1,1,0)</f>
        <v>1</v>
      </c>
      <c r="E2768" s="67" t="str">
        <f>IFERROR(VLOOKUP(База_КР_КК[[#This Row],[ИД штатной должности (S)]],'уровень защищенности'!$B$7:$F$1095,5,0),"не защищена")</f>
        <v>высокий</v>
      </c>
      <c r="F2768" s="68">
        <v>500302</v>
      </c>
      <c r="G2768" s="74" t="s">
        <v>2842</v>
      </c>
      <c r="H2768" s="181">
        <f>INDEX('Списки данных'!$D$2:$D$1048576,MATCH(База_КР_КК[[#This Row],[Структурное подразделение]],'Списки данных'!$C$2:$C$1048576,0))</f>
        <v>6</v>
      </c>
      <c r="I2768" s="80" t="s">
        <v>136</v>
      </c>
      <c r="J2768" s="80" t="s">
        <v>246</v>
      </c>
      <c r="K2768" s="80" t="s">
        <v>21</v>
      </c>
      <c r="L2768" s="30" t="s">
        <v>189</v>
      </c>
      <c r="M2768" s="68">
        <v>6</v>
      </c>
      <c r="N2768" s="181" t="str">
        <f t="shared" si="44"/>
        <v>нет</v>
      </c>
      <c r="O2768" s="23"/>
      <c r="P2768" s="23"/>
      <c r="Q2768" s="106"/>
      <c r="R2768" s="37">
        <v>665</v>
      </c>
      <c r="S2768" s="38" t="s">
        <v>1074</v>
      </c>
      <c r="T2768" s="37">
        <v>1759</v>
      </c>
      <c r="U2768" s="39" t="s">
        <v>1925</v>
      </c>
      <c r="V2768" s="89" t="s">
        <v>272</v>
      </c>
      <c r="W2768" s="89" t="s">
        <v>136</v>
      </c>
      <c r="X2768" s="106" t="s">
        <v>295</v>
      </c>
      <c r="Y2768" s="107" t="s">
        <v>12</v>
      </c>
      <c r="Z2768" s="67">
        <f>IF(База_КР_КК[[#This Row],[Таб.номер резервиста]]="-","-",IF(OR(База_КР_КК[[#This Row],[Уровень КК]]=2,База_КР_КК[[#This Row],[Уровень КК]]=3),IF(COUNTIFS($U$2:$U2768,$U2768,$F$2:$F2768,$F2768)=1,1,0),IF(COUNTIFS($U$2:$U2768,$U2768,$L$2:$L2768,$L2768)=1,1,0)))</f>
        <v>1</v>
      </c>
      <c r="AA27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8" s="106"/>
      <c r="AC2768" s="51"/>
      <c r="AD2768" s="106" t="s">
        <v>13</v>
      </c>
      <c r="AE2768" s="38" t="s">
        <v>370</v>
      </c>
    </row>
    <row r="2769" spans="1:31" ht="18" customHeight="1" x14ac:dyDescent="0.25">
      <c r="A27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69" s="79">
        <v>3</v>
      </c>
      <c r="C2769" s="23">
        <v>44176</v>
      </c>
      <c r="D2769" s="67">
        <f>IF(COUNTIF($G$2:$G2769,$G2769)=1,1,0)</f>
        <v>0</v>
      </c>
      <c r="E2769" s="67" t="str">
        <f>IFERROR(VLOOKUP(База_КР_КК[[#This Row],[ИД штатной должности (S)]],'уровень защищенности'!$B$7:$F$1095,5,0),"не защищена")</f>
        <v>высокий</v>
      </c>
      <c r="F2769" s="68">
        <v>500302</v>
      </c>
      <c r="G2769" s="74" t="s">
        <v>2842</v>
      </c>
      <c r="H2769" s="181">
        <f>INDEX('Списки данных'!$D$2:$D$1048576,MATCH(База_КР_КК[[#This Row],[Структурное подразделение]],'Списки данных'!$C$2:$C$1048576,0))</f>
        <v>6</v>
      </c>
      <c r="I2769" s="80" t="s">
        <v>136</v>
      </c>
      <c r="J2769" s="80" t="s">
        <v>246</v>
      </c>
      <c r="K2769" s="80" t="s">
        <v>21</v>
      </c>
      <c r="L2769" s="30" t="s">
        <v>189</v>
      </c>
      <c r="M2769" s="68">
        <v>6</v>
      </c>
      <c r="N2769" s="181" t="str">
        <f t="shared" si="44"/>
        <v>нет</v>
      </c>
      <c r="O2769" s="23"/>
      <c r="P2769" s="23"/>
      <c r="Q2769" s="106"/>
      <c r="R2769" s="37">
        <v>665</v>
      </c>
      <c r="S2769" s="38" t="s">
        <v>1074</v>
      </c>
      <c r="T2769" s="37">
        <v>821</v>
      </c>
      <c r="U2769" s="39" t="s">
        <v>1230</v>
      </c>
      <c r="V2769" s="89" t="s">
        <v>198</v>
      </c>
      <c r="W2769" s="89" t="s">
        <v>136</v>
      </c>
      <c r="X2769" s="106" t="s">
        <v>295</v>
      </c>
      <c r="Y2769" s="107" t="s">
        <v>12</v>
      </c>
      <c r="Z2769" s="67">
        <f>IF(База_КР_КК[[#This Row],[Таб.номер резервиста]]="-","-",IF(OR(База_КР_КК[[#This Row],[Уровень КК]]=2,База_КР_КК[[#This Row],[Уровень КК]]=3),IF(COUNTIFS($U$2:$U2769,$U2769,$F$2:$F2769,$F2769)=1,1,0),IF(COUNTIFS($U$2:$U2769,$U2769,$L$2:$L2769,$L2769)=1,1,0)))</f>
        <v>1</v>
      </c>
      <c r="AA27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69" s="106"/>
      <c r="AC2769" s="51"/>
      <c r="AD2769" s="106" t="s">
        <v>13</v>
      </c>
      <c r="AE2769" s="38" t="s">
        <v>370</v>
      </c>
    </row>
    <row r="2770" spans="1:31" ht="18" customHeight="1" x14ac:dyDescent="0.25">
      <c r="A27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0" s="79">
        <v>3</v>
      </c>
      <c r="C2770" s="23">
        <v>43458</v>
      </c>
      <c r="D2770" s="67">
        <f>IF(COUNTIF($G$2:$G2770,$G2770)=1,1,0)</f>
        <v>1</v>
      </c>
      <c r="E2770" s="67" t="str">
        <f>IFERROR(VLOOKUP(База_КР_КК[[#This Row],[ИД штатной должности (S)]],'уровень защищенности'!$B$7:$F$1095,5,0),"не защищена")</f>
        <v>высокий</v>
      </c>
      <c r="F2770" s="68">
        <v>500303</v>
      </c>
      <c r="G2770" s="74" t="s">
        <v>2843</v>
      </c>
      <c r="H2770" s="181">
        <f>INDEX('Списки данных'!$D$2:$D$1048576,MATCH(База_КР_КК[[#This Row],[Структурное подразделение]],'Списки данных'!$C$2:$C$1048576,0))</f>
        <v>6</v>
      </c>
      <c r="I2770" s="80" t="s">
        <v>136</v>
      </c>
      <c r="J2770" s="80" t="s">
        <v>246</v>
      </c>
      <c r="K2770" s="80" t="s">
        <v>21</v>
      </c>
      <c r="L2770" s="30" t="s">
        <v>187</v>
      </c>
      <c r="M2770" s="68">
        <v>5</v>
      </c>
      <c r="N2770" s="181" t="str">
        <f t="shared" si="44"/>
        <v>нет</v>
      </c>
      <c r="O2770" s="23"/>
      <c r="P2770" s="23"/>
      <c r="Q2770" s="106"/>
      <c r="R2770" s="37">
        <v>666</v>
      </c>
      <c r="S2770" s="38" t="s">
        <v>1075</v>
      </c>
      <c r="T2770" s="37">
        <v>669</v>
      </c>
      <c r="U2770" s="39" t="s">
        <v>1078</v>
      </c>
      <c r="V2770" s="89" t="s">
        <v>189</v>
      </c>
      <c r="W2770" s="90" t="s">
        <v>136</v>
      </c>
      <c r="X2770" s="106" t="s">
        <v>295</v>
      </c>
      <c r="Y2770" s="107" t="s">
        <v>12</v>
      </c>
      <c r="Z2770" s="67">
        <f>IF(База_КР_КК[[#This Row],[Таб.номер резервиста]]="-","-",IF(OR(База_КР_КК[[#This Row],[Уровень КК]]=2,База_КР_КК[[#This Row],[Уровень КК]]=3),IF(COUNTIFS($U$2:$U2770,$U2770,$F$2:$F2770,$F2770)=1,1,0),IF(COUNTIFS($U$2:$U2770,$U2770,$L$2:$L2770,$L2770)=1,1,0)))</f>
        <v>1</v>
      </c>
      <c r="AA27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0" s="106"/>
      <c r="AC2770" s="51"/>
      <c r="AD2770" s="106" t="s">
        <v>13</v>
      </c>
      <c r="AE2770" s="38" t="s">
        <v>370</v>
      </c>
    </row>
    <row r="2771" spans="1:31" ht="18" customHeight="1" x14ac:dyDescent="0.25">
      <c r="A27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1" s="79">
        <v>3</v>
      </c>
      <c r="C2771" s="23">
        <v>43458</v>
      </c>
      <c r="D2771" s="67">
        <f>IF(COUNTIF($G$2:$G2771,$G2771)=1,1,0)</f>
        <v>0</v>
      </c>
      <c r="E2771" s="67" t="str">
        <f>IFERROR(VLOOKUP(База_КР_КК[[#This Row],[ИД штатной должности (S)]],'уровень защищенности'!$B$7:$F$1095,5,0),"не защищена")</f>
        <v>высокий</v>
      </c>
      <c r="F2771" s="68">
        <v>500303</v>
      </c>
      <c r="G2771" s="74" t="s">
        <v>2843</v>
      </c>
      <c r="H2771" s="181">
        <f>INDEX('Списки данных'!$D$2:$D$1048576,MATCH(База_КР_КК[[#This Row],[Структурное подразделение]],'Списки данных'!$C$2:$C$1048576,0))</f>
        <v>6</v>
      </c>
      <c r="I2771" s="80" t="s">
        <v>136</v>
      </c>
      <c r="J2771" s="80" t="s">
        <v>246</v>
      </c>
      <c r="K2771" s="80" t="s">
        <v>21</v>
      </c>
      <c r="L2771" s="30" t="s">
        <v>187</v>
      </c>
      <c r="M2771" s="68">
        <v>5</v>
      </c>
      <c r="N2771" s="181" t="str">
        <f t="shared" si="44"/>
        <v>нет</v>
      </c>
      <c r="O2771" s="23"/>
      <c r="P2771" s="23"/>
      <c r="Q2771" s="106"/>
      <c r="R2771" s="37">
        <v>666</v>
      </c>
      <c r="S2771" s="38" t="s">
        <v>1075</v>
      </c>
      <c r="T2771" s="37">
        <v>670</v>
      </c>
      <c r="U2771" s="39" t="s">
        <v>1079</v>
      </c>
      <c r="V2771" s="89" t="s">
        <v>193</v>
      </c>
      <c r="W2771" s="90" t="s">
        <v>136</v>
      </c>
      <c r="X2771" s="106" t="s">
        <v>295</v>
      </c>
      <c r="Y2771" s="107" t="s">
        <v>12</v>
      </c>
      <c r="Z2771" s="67">
        <f>IF(База_КР_КК[[#This Row],[Таб.номер резервиста]]="-","-",IF(OR(База_КР_КК[[#This Row],[Уровень КК]]=2,База_КР_КК[[#This Row],[Уровень КК]]=3),IF(COUNTIFS($U$2:$U2771,$U2771,$F$2:$F2771,$F2771)=1,1,0),IF(COUNTIFS($U$2:$U2771,$U2771,$L$2:$L2771,$L2771)=1,1,0)))</f>
        <v>1</v>
      </c>
      <c r="AA27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1" s="106"/>
      <c r="AC2771" s="51"/>
      <c r="AD2771" s="106" t="s">
        <v>13</v>
      </c>
      <c r="AE2771" s="38" t="s">
        <v>370</v>
      </c>
    </row>
    <row r="2772" spans="1:31" ht="18" customHeight="1" x14ac:dyDescent="0.25">
      <c r="A27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2" s="79">
        <v>3</v>
      </c>
      <c r="C2772" s="23">
        <v>43458</v>
      </c>
      <c r="D2772" s="67">
        <f>IF(COUNTIF($G$2:$G2772,$G2772)=1,1,0)</f>
        <v>0</v>
      </c>
      <c r="E2772" s="67" t="str">
        <f>IFERROR(VLOOKUP(База_КР_КК[[#This Row],[ИД штатной должности (S)]],'уровень защищенности'!$B$7:$F$1095,5,0),"не защищена")</f>
        <v>высокий</v>
      </c>
      <c r="F2772" s="68">
        <v>500303</v>
      </c>
      <c r="G2772" s="74" t="s">
        <v>2843</v>
      </c>
      <c r="H2772" s="181">
        <f>INDEX('Списки данных'!$D$2:$D$1048576,MATCH(База_КР_КК[[#This Row],[Структурное подразделение]],'Списки данных'!$C$2:$C$1048576,0))</f>
        <v>6</v>
      </c>
      <c r="I2772" s="80" t="s">
        <v>136</v>
      </c>
      <c r="J2772" s="80" t="s">
        <v>246</v>
      </c>
      <c r="K2772" s="80" t="s">
        <v>21</v>
      </c>
      <c r="L2772" s="30" t="s">
        <v>187</v>
      </c>
      <c r="M2772" s="68">
        <v>5</v>
      </c>
      <c r="N2772" s="181" t="str">
        <f t="shared" si="44"/>
        <v>нет</v>
      </c>
      <c r="O2772" s="23"/>
      <c r="P2772" s="23"/>
      <c r="Q2772" s="106"/>
      <c r="R2772" s="37">
        <v>666</v>
      </c>
      <c r="S2772" s="39" t="s">
        <v>1075</v>
      </c>
      <c r="T2772" s="37">
        <v>1760</v>
      </c>
      <c r="U2772" s="38" t="s">
        <v>2028</v>
      </c>
      <c r="V2772" s="89" t="s">
        <v>16</v>
      </c>
      <c r="W2772" s="90" t="s">
        <v>279</v>
      </c>
      <c r="X2772" s="106" t="s">
        <v>297</v>
      </c>
      <c r="Y2772" s="107" t="s">
        <v>18</v>
      </c>
      <c r="Z2772" s="67">
        <f>IF(База_КР_КК[[#This Row],[Таб.номер резервиста]]="-","-",IF(OR(База_КР_КК[[#This Row],[Уровень КК]]=2,База_КР_КК[[#This Row],[Уровень КК]]=3),IF(COUNTIFS($U$2:$U2772,$U2772,$F$2:$F2772,$F2772)=1,1,0),IF(COUNTIFS($U$2:$U2772,$U2772,$L$2:$L2772,$L2772)=1,1,0)))</f>
        <v>1</v>
      </c>
      <c r="AA27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2" s="106" t="s">
        <v>33</v>
      </c>
      <c r="AC2772" s="51">
        <v>45023</v>
      </c>
      <c r="AD2772" s="106" t="s">
        <v>13</v>
      </c>
      <c r="AE2772" s="38" t="s">
        <v>370</v>
      </c>
    </row>
    <row r="2773" spans="1:31" ht="18" customHeight="1" x14ac:dyDescent="0.25">
      <c r="A27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3" s="79">
        <v>3</v>
      </c>
      <c r="C2773" s="23">
        <v>44176</v>
      </c>
      <c r="D2773" s="67">
        <f>IF(COUNTIF($G$2:$G2773,$G2773)=1,1,0)</f>
        <v>1</v>
      </c>
      <c r="E2773" s="67" t="str">
        <f>IFERROR(VLOOKUP(База_КР_КК[[#This Row],[ИД штатной должности (S)]],'уровень защищенности'!$B$7:$F$1095,5,0),"не защищена")</f>
        <v>не защищена</v>
      </c>
      <c r="F2773" s="68">
        <v>500304</v>
      </c>
      <c r="G2773" s="74" t="s">
        <v>2844</v>
      </c>
      <c r="H2773" s="181">
        <f>INDEX('Списки данных'!$D$2:$D$1048576,MATCH(База_КР_КК[[#This Row],[Структурное подразделение]],'Списки данных'!$C$2:$C$1048576,0))</f>
        <v>6</v>
      </c>
      <c r="I2773" s="80" t="s">
        <v>136</v>
      </c>
      <c r="J2773" s="80" t="s">
        <v>246</v>
      </c>
      <c r="K2773" s="80" t="s">
        <v>21</v>
      </c>
      <c r="L2773" s="30" t="s">
        <v>189</v>
      </c>
      <c r="M2773" s="68">
        <v>6</v>
      </c>
      <c r="N2773" s="181" t="str">
        <f t="shared" si="44"/>
        <v>да</v>
      </c>
      <c r="O2773" s="23">
        <v>44714</v>
      </c>
      <c r="P2773" s="23">
        <v>44958</v>
      </c>
      <c r="Q2773" s="106" t="s">
        <v>66</v>
      </c>
      <c r="R2773" s="37">
        <v>667</v>
      </c>
      <c r="S2773" s="39" t="s">
        <v>1076</v>
      </c>
      <c r="T2773" s="37">
        <v>667</v>
      </c>
      <c r="U2773" s="39" t="s">
        <v>1076</v>
      </c>
      <c r="V2773" s="89" t="s">
        <v>198</v>
      </c>
      <c r="W2773" s="89" t="s">
        <v>136</v>
      </c>
      <c r="X2773" s="106" t="s">
        <v>295</v>
      </c>
      <c r="Y2773" s="107" t="s">
        <v>14</v>
      </c>
      <c r="Z2773" s="67">
        <f>IF(База_КР_КК[[#This Row],[Таб.номер резервиста]]="-","-",IF(OR(База_КР_КК[[#This Row],[Уровень КК]]=2,База_КР_КК[[#This Row],[Уровень КК]]=3),IF(COUNTIFS($U$2:$U2773,$U2773,$F$2:$F2773,$F2773)=1,1,0),IF(COUNTIFS($U$2:$U2773,$U2773,$L$2:$L2773,$L2773)=1,1,0)))</f>
        <v>1</v>
      </c>
      <c r="AA27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773" s="106" t="s">
        <v>24</v>
      </c>
      <c r="AC2773" s="51">
        <v>44958</v>
      </c>
      <c r="AD2773" s="106" t="s">
        <v>17</v>
      </c>
      <c r="AE2773" s="38" t="s">
        <v>370</v>
      </c>
    </row>
    <row r="2774" spans="1:31" ht="18" customHeight="1" x14ac:dyDescent="0.25">
      <c r="A27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4" s="79">
        <v>3</v>
      </c>
      <c r="C2774" s="23">
        <v>44039</v>
      </c>
      <c r="D2774" s="67">
        <f>IF(COUNTIF($G$2:$G2774,$G2774)=1,1,0)</f>
        <v>0</v>
      </c>
      <c r="E2774" s="67" t="str">
        <f>IFERROR(VLOOKUP(База_КР_КК[[#This Row],[ИД штатной должности (S)]],'уровень защищенности'!$B$7:$F$1095,5,0),"не защищена")</f>
        <v>не защищена</v>
      </c>
      <c r="F2774" s="68">
        <v>500304</v>
      </c>
      <c r="G2774" s="74" t="s">
        <v>2844</v>
      </c>
      <c r="H2774" s="181">
        <f>INDEX('Списки данных'!$D$2:$D$1048576,MATCH(База_КР_КК[[#This Row],[Структурное подразделение]],'Списки данных'!$C$2:$C$1048576,0))</f>
        <v>6</v>
      </c>
      <c r="I2774" s="80" t="s">
        <v>136</v>
      </c>
      <c r="J2774" s="80" t="s">
        <v>246</v>
      </c>
      <c r="K2774" s="80" t="s">
        <v>21</v>
      </c>
      <c r="L2774" s="30" t="s">
        <v>189</v>
      </c>
      <c r="M2774" s="68">
        <v>6</v>
      </c>
      <c r="N2774" s="181" t="str">
        <f t="shared" si="44"/>
        <v>да</v>
      </c>
      <c r="O2774" s="23">
        <v>44714</v>
      </c>
      <c r="P2774" s="23">
        <v>44958</v>
      </c>
      <c r="Q2774" s="106" t="s">
        <v>66</v>
      </c>
      <c r="R2774" s="37">
        <v>667</v>
      </c>
      <c r="S2774" s="39" t="s">
        <v>1076</v>
      </c>
      <c r="T2774" s="37">
        <v>816</v>
      </c>
      <c r="U2774" s="39" t="s">
        <v>1225</v>
      </c>
      <c r="V2774" s="89" t="s">
        <v>192</v>
      </c>
      <c r="W2774" s="89" t="s">
        <v>136</v>
      </c>
      <c r="X2774" s="106" t="s">
        <v>297</v>
      </c>
      <c r="Y2774" s="107" t="s">
        <v>18</v>
      </c>
      <c r="Z2774" s="67">
        <f>IF(База_КР_КК[[#This Row],[Таб.номер резервиста]]="-","-",IF(OR(База_КР_КК[[#This Row],[Уровень КК]]=2,База_КР_КК[[#This Row],[Уровень КК]]=3),IF(COUNTIFS($U$2:$U2774,$U2774,$F$2:$F2774,$F2774)=1,1,0),IF(COUNTIFS($U$2:$U2774,$U2774,$L$2:$L2774,$L2774)=1,1,0)))</f>
        <v>1</v>
      </c>
      <c r="AA27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4" s="106" t="s">
        <v>20</v>
      </c>
      <c r="AC2774" s="51">
        <v>44105</v>
      </c>
      <c r="AD2774" s="106" t="s">
        <v>15</v>
      </c>
      <c r="AE2774" s="38" t="s">
        <v>332</v>
      </c>
    </row>
    <row r="2775" spans="1:31" ht="18" customHeight="1" x14ac:dyDescent="0.25">
      <c r="A27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5" s="79">
        <v>3</v>
      </c>
      <c r="C2775" s="23">
        <v>44740</v>
      </c>
      <c r="D2775" s="67">
        <f>IF(COUNTIF($G$2:$G2775,$G2775)=1,1,0)</f>
        <v>0</v>
      </c>
      <c r="E2775" s="67" t="str">
        <f>IFERROR(VLOOKUP(База_КР_КК[[#This Row],[ИД штатной должности (S)]],'уровень защищенности'!$B$7:$F$1095,5,0),"не защищена")</f>
        <v>не защищена</v>
      </c>
      <c r="F2775" s="68">
        <v>500304</v>
      </c>
      <c r="G2775" s="74" t="s">
        <v>2844</v>
      </c>
      <c r="H2775" s="181">
        <f>INDEX('Списки данных'!$D$2:$D$1048576,MATCH(База_КР_КК[[#This Row],[Структурное подразделение]],'Списки данных'!$C$2:$C$1048576,0))</f>
        <v>6</v>
      </c>
      <c r="I2775" s="80" t="s">
        <v>136</v>
      </c>
      <c r="J2775" s="80" t="s">
        <v>246</v>
      </c>
      <c r="K2775" s="80" t="s">
        <v>21</v>
      </c>
      <c r="L2775" s="30" t="s">
        <v>189</v>
      </c>
      <c r="M2775" s="68">
        <v>6</v>
      </c>
      <c r="N2775" s="181" t="str">
        <f t="shared" si="44"/>
        <v>да</v>
      </c>
      <c r="O2775" s="23">
        <v>44714</v>
      </c>
      <c r="P2775" s="23">
        <v>44958</v>
      </c>
      <c r="Q2775" s="106" t="s">
        <v>66</v>
      </c>
      <c r="R2775" s="37">
        <v>667</v>
      </c>
      <c r="S2775" s="39" t="s">
        <v>1076</v>
      </c>
      <c r="T2775" s="37">
        <v>1761</v>
      </c>
      <c r="U2775" s="38" t="s">
        <v>2029</v>
      </c>
      <c r="V2775" s="89" t="s">
        <v>192</v>
      </c>
      <c r="W2775" s="89" t="s">
        <v>136</v>
      </c>
      <c r="X2775" s="106" t="s">
        <v>296</v>
      </c>
      <c r="Y2775" s="107" t="s">
        <v>18</v>
      </c>
      <c r="Z2775" s="67">
        <f>IF(База_КР_КК[[#This Row],[Таб.номер резервиста]]="-","-",IF(OR(База_КР_КК[[#This Row],[Уровень КК]]=2,База_КР_КК[[#This Row],[Уровень КК]]=3),IF(COUNTIFS($U$2:$U2775,$U2775,$F$2:$F2775,$F2775)=1,1,0),IF(COUNTIFS($U$2:$U2775,$U2775,$L$2:$L2775,$L2775)=1,1,0)))</f>
        <v>1</v>
      </c>
      <c r="AA27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5" s="106" t="s">
        <v>19</v>
      </c>
      <c r="AC2775" s="51">
        <v>44908</v>
      </c>
      <c r="AD2775" s="106" t="s">
        <v>13</v>
      </c>
      <c r="AE2775" s="38" t="s">
        <v>370</v>
      </c>
    </row>
    <row r="2776" spans="1:31" ht="18" customHeight="1" x14ac:dyDescent="0.25">
      <c r="A27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6" s="79">
        <v>3</v>
      </c>
      <c r="C2776" s="23">
        <v>44176</v>
      </c>
      <c r="D2776" s="67">
        <f>IF(COUNTIF($G$2:$G2776,$G2776)=1,1,0)</f>
        <v>1</v>
      </c>
      <c r="E2776" s="67" t="str">
        <f>IFERROR(VLOOKUP(База_КР_КК[[#This Row],[ИД штатной должности (S)]],'уровень защищенности'!$B$7:$F$1095,5,0),"не защищена")</f>
        <v>средний</v>
      </c>
      <c r="F2776" s="68">
        <v>500305</v>
      </c>
      <c r="G2776" s="74" t="s">
        <v>2845</v>
      </c>
      <c r="H2776" s="181">
        <f>INDEX('Списки данных'!$D$2:$D$1048576,MATCH(База_КР_КК[[#This Row],[Структурное подразделение]],'Списки данных'!$C$2:$C$1048576,0))</f>
        <v>6</v>
      </c>
      <c r="I2776" s="80" t="s">
        <v>136</v>
      </c>
      <c r="J2776" s="80" t="s">
        <v>246</v>
      </c>
      <c r="K2776" s="80" t="s">
        <v>21</v>
      </c>
      <c r="L2776" s="30" t="s">
        <v>189</v>
      </c>
      <c r="M2776" s="68">
        <v>6</v>
      </c>
      <c r="N2776" s="181" t="str">
        <f t="shared" si="44"/>
        <v>нет</v>
      </c>
      <c r="O2776" s="23"/>
      <c r="P2776" s="23"/>
      <c r="Q2776" s="106"/>
      <c r="R2776" s="37">
        <v>668</v>
      </c>
      <c r="S2776" s="38" t="s">
        <v>1077</v>
      </c>
      <c r="T2776" s="37">
        <v>716</v>
      </c>
      <c r="U2776" s="39" t="s">
        <v>1125</v>
      </c>
      <c r="V2776" s="89" t="s">
        <v>198</v>
      </c>
      <c r="W2776" s="89" t="s">
        <v>136</v>
      </c>
      <c r="X2776" s="106" t="s">
        <v>297</v>
      </c>
      <c r="Y2776" s="107" t="s">
        <v>12</v>
      </c>
      <c r="Z2776" s="67">
        <f>IF(База_КР_КК[[#This Row],[Таб.номер резервиста]]="-","-",IF(OR(База_КР_КК[[#This Row],[Уровень КК]]=2,База_КР_КК[[#This Row],[Уровень КК]]=3),IF(COUNTIFS($U$2:$U2776,$U2776,$F$2:$F2776,$F2776)=1,1,0),IF(COUNTIFS($U$2:$U2776,$U2776,$L$2:$L2776,$L2776)=1,1,0)))</f>
        <v>1</v>
      </c>
      <c r="AA27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6" s="106"/>
      <c r="AC2776" s="51"/>
      <c r="AD2776" s="106" t="s">
        <v>13</v>
      </c>
      <c r="AE2776" s="38" t="s">
        <v>370</v>
      </c>
    </row>
    <row r="2777" spans="1:31" ht="18" customHeight="1" x14ac:dyDescent="0.25">
      <c r="A27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7" s="79">
        <v>3</v>
      </c>
      <c r="C2777" s="23">
        <v>44740</v>
      </c>
      <c r="D2777" s="67">
        <f>IF(COUNTIF($G$2:$G2777,$G2777)=1,1,0)</f>
        <v>0</v>
      </c>
      <c r="E2777" s="67" t="str">
        <f>IFERROR(VLOOKUP(База_КР_КК[[#This Row],[ИД штатной должности (S)]],'уровень защищенности'!$B$7:$F$1095,5,0),"не защищена")</f>
        <v>средний</v>
      </c>
      <c r="F2777" s="68">
        <v>500305</v>
      </c>
      <c r="G2777" s="74" t="s">
        <v>2845</v>
      </c>
      <c r="H2777" s="181">
        <f>INDEX('Списки данных'!$D$2:$D$1048576,MATCH(База_КР_КК[[#This Row],[Структурное подразделение]],'Списки данных'!$C$2:$C$1048576,0))</f>
        <v>6</v>
      </c>
      <c r="I2777" s="80" t="s">
        <v>136</v>
      </c>
      <c r="J2777" s="80" t="s">
        <v>246</v>
      </c>
      <c r="K2777" s="80" t="s">
        <v>21</v>
      </c>
      <c r="L2777" s="30" t="s">
        <v>189</v>
      </c>
      <c r="M2777" s="68">
        <v>6</v>
      </c>
      <c r="N2777" s="181" t="str">
        <f t="shared" si="44"/>
        <v>нет</v>
      </c>
      <c r="O2777" s="23"/>
      <c r="P2777" s="23"/>
      <c r="Q2777" s="106"/>
      <c r="R2777" s="37">
        <v>668</v>
      </c>
      <c r="S2777" s="39" t="s">
        <v>1077</v>
      </c>
      <c r="T2777" s="37">
        <v>1762</v>
      </c>
      <c r="U2777" s="38" t="s">
        <v>1994</v>
      </c>
      <c r="V2777" s="89" t="s">
        <v>272</v>
      </c>
      <c r="W2777" s="89" t="s">
        <v>136</v>
      </c>
      <c r="X2777" s="106" t="s">
        <v>296</v>
      </c>
      <c r="Y2777" s="107" t="s">
        <v>12</v>
      </c>
      <c r="Z2777" s="67">
        <f>IF(База_КР_КК[[#This Row],[Таб.номер резервиста]]="-","-",IF(OR(База_КР_КК[[#This Row],[Уровень КК]]=2,База_КР_КК[[#This Row],[Уровень КК]]=3),IF(COUNTIFS($U$2:$U2777,$U2777,$F$2:$F2777,$F2777)=1,1,0),IF(COUNTIFS($U$2:$U2777,$U2777,$L$2:$L2777,$L2777)=1,1,0)))</f>
        <v>1</v>
      </c>
      <c r="AA27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7" s="106"/>
      <c r="AC2777" s="51"/>
      <c r="AD2777" s="106" t="s">
        <v>13</v>
      </c>
      <c r="AE2777" s="38" t="s">
        <v>370</v>
      </c>
    </row>
    <row r="2778" spans="1:31" ht="18" customHeight="1" x14ac:dyDescent="0.25">
      <c r="A27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8" s="79">
        <v>3</v>
      </c>
      <c r="C2778" s="23">
        <v>44176</v>
      </c>
      <c r="D2778" s="67">
        <f>IF(COUNTIF($G$2:$G2778,$G2778)=1,1,0)</f>
        <v>1</v>
      </c>
      <c r="E2778" s="67" t="str">
        <f>IFERROR(VLOOKUP(База_КР_КК[[#This Row],[ИД штатной должности (S)]],'уровень защищенности'!$B$7:$F$1095,5,0),"не защищена")</f>
        <v>высокий</v>
      </c>
      <c r="F2778" s="68">
        <v>500306</v>
      </c>
      <c r="G2778" s="74" t="s">
        <v>2846</v>
      </c>
      <c r="H2778" s="181">
        <f>INDEX('Списки данных'!$D$2:$D$1048576,MATCH(База_КР_КК[[#This Row],[Структурное подразделение]],'Списки данных'!$C$2:$C$1048576,0))</f>
        <v>6</v>
      </c>
      <c r="I2778" s="80" t="s">
        <v>136</v>
      </c>
      <c r="J2778" s="80" t="s">
        <v>246</v>
      </c>
      <c r="K2778" s="80" t="s">
        <v>21</v>
      </c>
      <c r="L2778" s="30" t="s">
        <v>189</v>
      </c>
      <c r="M2778" s="68">
        <v>6</v>
      </c>
      <c r="N2778" s="181" t="str">
        <f t="shared" si="44"/>
        <v>нет</v>
      </c>
      <c r="O2778" s="23"/>
      <c r="P2778" s="23"/>
      <c r="Q2778" s="106"/>
      <c r="R2778" s="37">
        <v>669</v>
      </c>
      <c r="S2778" s="38" t="s">
        <v>1078</v>
      </c>
      <c r="T2778" s="37">
        <v>819</v>
      </c>
      <c r="U2778" s="39" t="s">
        <v>1228</v>
      </c>
      <c r="V2778" s="89" t="s">
        <v>198</v>
      </c>
      <c r="W2778" s="89" t="s">
        <v>136</v>
      </c>
      <c r="X2778" s="106" t="s">
        <v>295</v>
      </c>
      <c r="Y2778" s="107" t="s">
        <v>12</v>
      </c>
      <c r="Z2778" s="67">
        <f>IF(База_КР_КК[[#This Row],[Таб.номер резервиста]]="-","-",IF(OR(База_КР_КК[[#This Row],[Уровень КК]]=2,База_КР_КК[[#This Row],[Уровень КК]]=3),IF(COUNTIFS($U$2:$U2778,$U2778,$F$2:$F2778,$F2778)=1,1,0),IF(COUNTIFS($U$2:$U2778,$U2778,$L$2:$L2778,$L2778)=1,1,0)))</f>
        <v>1</v>
      </c>
      <c r="AA27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8" s="106"/>
      <c r="AC2778" s="51"/>
      <c r="AD2778" s="106" t="s">
        <v>13</v>
      </c>
      <c r="AE2778" s="38" t="s">
        <v>370</v>
      </c>
    </row>
    <row r="2779" spans="1:31" ht="18" customHeight="1" x14ac:dyDescent="0.25">
      <c r="A27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79" s="79">
        <v>3</v>
      </c>
      <c r="C2779" s="23">
        <v>44740</v>
      </c>
      <c r="D2779" s="67">
        <f>IF(COUNTIF($G$2:$G2779,$G2779)=1,1,0)</f>
        <v>0</v>
      </c>
      <c r="E2779" s="67" t="str">
        <f>IFERROR(VLOOKUP(База_КР_КК[[#This Row],[ИД штатной должности (S)]],'уровень защищенности'!$B$7:$F$1095,5,0),"не защищена")</f>
        <v>высокий</v>
      </c>
      <c r="F2779" s="68">
        <v>500306</v>
      </c>
      <c r="G2779" s="74" t="s">
        <v>2846</v>
      </c>
      <c r="H2779" s="181">
        <f>INDEX('Списки данных'!$D$2:$D$1048576,MATCH(База_КР_КК[[#This Row],[Структурное подразделение]],'Списки данных'!$C$2:$C$1048576,0))</f>
        <v>6</v>
      </c>
      <c r="I2779" s="80" t="s">
        <v>136</v>
      </c>
      <c r="J2779" s="80" t="s">
        <v>246</v>
      </c>
      <c r="K2779" s="80" t="s">
        <v>21</v>
      </c>
      <c r="L2779" s="30" t="s">
        <v>189</v>
      </c>
      <c r="M2779" s="68">
        <v>6</v>
      </c>
      <c r="N2779" s="181" t="str">
        <f t="shared" si="44"/>
        <v>нет</v>
      </c>
      <c r="O2779" s="23"/>
      <c r="P2779" s="23"/>
      <c r="Q2779" s="106"/>
      <c r="R2779" s="37">
        <v>669</v>
      </c>
      <c r="S2779" s="39" t="s">
        <v>1078</v>
      </c>
      <c r="T2779" s="37">
        <v>818</v>
      </c>
      <c r="U2779" s="38" t="s">
        <v>1227</v>
      </c>
      <c r="V2779" s="89" t="s">
        <v>198</v>
      </c>
      <c r="W2779" s="89" t="s">
        <v>136</v>
      </c>
      <c r="X2779" s="106" t="s">
        <v>296</v>
      </c>
      <c r="Y2779" s="107" t="s">
        <v>12</v>
      </c>
      <c r="Z2779" s="67">
        <f>IF(База_КР_КК[[#This Row],[Таб.номер резервиста]]="-","-",IF(OR(База_КР_КК[[#This Row],[Уровень КК]]=2,База_КР_КК[[#This Row],[Уровень КК]]=3),IF(COUNTIFS($U$2:$U2779,$U2779,$F$2:$F2779,$F2779)=1,1,0),IF(COUNTIFS($U$2:$U2779,$U2779,$L$2:$L2779,$L2779)=1,1,0)))</f>
        <v>1</v>
      </c>
      <c r="AA27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79" s="106"/>
      <c r="AC2779" s="51"/>
      <c r="AD2779" s="106" t="s">
        <v>15</v>
      </c>
      <c r="AE2779" s="38" t="s">
        <v>370</v>
      </c>
    </row>
    <row r="2780" spans="1:31" ht="18" customHeight="1" x14ac:dyDescent="0.25">
      <c r="A27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0" s="79">
        <v>4</v>
      </c>
      <c r="C2780" s="23">
        <v>44109</v>
      </c>
      <c r="D2780" s="67">
        <f>IF(COUNTIF($G$2:$G2780,$G2780)=1,1,0)</f>
        <v>1</v>
      </c>
      <c r="E2780" s="67" t="str">
        <f>IFERROR(VLOOKUP(База_КР_КК[[#This Row],[ИД штатной должности (S)]],'уровень защищенности'!$B$7:$F$1095,5,0),"не защищена")</f>
        <v>не защищена</v>
      </c>
      <c r="F2780" s="68">
        <v>500307</v>
      </c>
      <c r="G2780" s="74" t="s">
        <v>2847</v>
      </c>
      <c r="H2780" s="181">
        <f>INDEX('Списки данных'!$D$2:$D$1048576,MATCH(База_КР_КК[[#This Row],[Структурное подразделение]],'Списки данных'!$C$2:$C$1048576,0))</f>
        <v>6</v>
      </c>
      <c r="I2780" s="80" t="s">
        <v>136</v>
      </c>
      <c r="J2780" s="80" t="s">
        <v>246</v>
      </c>
      <c r="K2780" s="80" t="s">
        <v>247</v>
      </c>
      <c r="L2780" s="30" t="s">
        <v>193</v>
      </c>
      <c r="M2780" s="68">
        <v>6</v>
      </c>
      <c r="N2780" s="181" t="str">
        <f t="shared" si="44"/>
        <v>нет</v>
      </c>
      <c r="O2780" s="23"/>
      <c r="P2780" s="23"/>
      <c r="Q2780" s="106"/>
      <c r="R2780" s="37">
        <v>670</v>
      </c>
      <c r="S2780" s="38" t="s">
        <v>1079</v>
      </c>
      <c r="T2780" s="37">
        <v>1760</v>
      </c>
      <c r="U2780" s="39" t="s">
        <v>2028</v>
      </c>
      <c r="V2780" s="89" t="s">
        <v>16</v>
      </c>
      <c r="W2780" s="89" t="s">
        <v>279</v>
      </c>
      <c r="X2780" s="106" t="s">
        <v>295</v>
      </c>
      <c r="Y2780" s="107" t="s">
        <v>18</v>
      </c>
      <c r="Z2780" s="67">
        <f>IF(База_КР_КК[[#This Row],[Таб.номер резервиста]]="-","-",IF(OR(База_КР_КК[[#This Row],[Уровень КК]]=2,База_КР_КК[[#This Row],[Уровень КК]]=3),IF(COUNTIFS($U$2:$U2780,$U2780,$F$2:$F2780,$F2780)=1,1,0),IF(COUNTIFS($U$2:$U2780,$U2780,$L$2:$L2780,$L2780)=1,1,0)))</f>
        <v>1</v>
      </c>
      <c r="AA27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0" s="106" t="s">
        <v>33</v>
      </c>
      <c r="AC2780" s="51">
        <v>45023</v>
      </c>
      <c r="AD2780" s="106" t="s">
        <v>13</v>
      </c>
      <c r="AE2780" s="38" t="s">
        <v>376</v>
      </c>
    </row>
    <row r="2781" spans="1:31" ht="18" customHeight="1" x14ac:dyDescent="0.25">
      <c r="A27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1" s="79">
        <v>4</v>
      </c>
      <c r="C2781" s="23">
        <v>44109</v>
      </c>
      <c r="D2781" s="67">
        <f>IF(COUNTIF($G$2:$G2781,$G2781)=1,1,0)</f>
        <v>1</v>
      </c>
      <c r="E2781" s="67" t="str">
        <f>IFERROR(VLOOKUP(База_КР_КК[[#This Row],[ИД штатной должности (S)]],'уровень защищенности'!$B$7:$F$1095,5,0),"не защищена")</f>
        <v>высокий</v>
      </c>
      <c r="F2781" s="68">
        <v>500309</v>
      </c>
      <c r="G2781" s="74" t="s">
        <v>2848</v>
      </c>
      <c r="H2781" s="181">
        <f>INDEX('Списки данных'!$D$2:$D$1048576,MATCH(База_КР_КК[[#This Row],[Структурное подразделение]],'Списки данных'!$C$2:$C$1048576,0))</f>
        <v>6</v>
      </c>
      <c r="I2781" s="80" t="s">
        <v>136</v>
      </c>
      <c r="J2781" s="80" t="s">
        <v>246</v>
      </c>
      <c r="K2781" s="80" t="s">
        <v>247</v>
      </c>
      <c r="L2781" s="30" t="s">
        <v>193</v>
      </c>
      <c r="M2781" s="68">
        <v>6</v>
      </c>
      <c r="N2781" s="181" t="str">
        <f t="shared" si="44"/>
        <v>нет</v>
      </c>
      <c r="O2781" s="23"/>
      <c r="P2781" s="23"/>
      <c r="Q2781" s="106"/>
      <c r="R2781" s="37">
        <v>671</v>
      </c>
      <c r="S2781" s="38" t="s">
        <v>1080</v>
      </c>
      <c r="T2781" s="37">
        <v>795</v>
      </c>
      <c r="U2781" s="39" t="s">
        <v>1204</v>
      </c>
      <c r="V2781" s="89" t="s">
        <v>192</v>
      </c>
      <c r="W2781" s="89" t="s">
        <v>136</v>
      </c>
      <c r="X2781" s="106" t="s">
        <v>295</v>
      </c>
      <c r="Y2781" s="107" t="s">
        <v>12</v>
      </c>
      <c r="Z2781" s="67">
        <f>IF(База_КР_КК[[#This Row],[Таб.номер резервиста]]="-","-",IF(OR(База_КР_КК[[#This Row],[Уровень КК]]=2,База_КР_КК[[#This Row],[Уровень КК]]=3),IF(COUNTIFS($U$2:$U2781,$U2781,$F$2:$F2781,$F2781)=1,1,0),IF(COUNTIFS($U$2:$U2781,$U2781,$L$2:$L2781,$L2781)=1,1,0)))</f>
        <v>1</v>
      </c>
      <c r="AA27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1" s="106"/>
      <c r="AC2781" s="51"/>
      <c r="AD2781" s="106" t="s">
        <v>13</v>
      </c>
      <c r="AE2781" s="38" t="s">
        <v>376</v>
      </c>
    </row>
    <row r="2782" spans="1:31" ht="18" customHeight="1" x14ac:dyDescent="0.25">
      <c r="A27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2" s="79">
        <v>3</v>
      </c>
      <c r="C2782" s="23">
        <v>43080</v>
      </c>
      <c r="D2782" s="67">
        <f>IF(COUNTIF($G$2:$G2782,$G2782)=1,1,0)</f>
        <v>1</v>
      </c>
      <c r="E2782" s="67" t="str">
        <f>IFERROR(VLOOKUP(База_КР_КК[[#This Row],[ИД штатной должности (S)]],'уровень защищенности'!$B$7:$F$1095,5,0),"не защищена")</f>
        <v>высокий</v>
      </c>
      <c r="F2782" s="68">
        <v>500018</v>
      </c>
      <c r="G2782" s="74" t="s">
        <v>2849</v>
      </c>
      <c r="H2782" s="181">
        <f>INDEX('Списки данных'!$D$2:$D$1048576,MATCH(База_КР_КК[[#This Row],[Структурное подразделение]],'Списки данных'!$C$2:$C$1048576,0))</f>
        <v>7</v>
      </c>
      <c r="I2782" s="80" t="s">
        <v>137</v>
      </c>
      <c r="J2782" s="80" t="s">
        <v>248</v>
      </c>
      <c r="K2782" s="80" t="s">
        <v>21</v>
      </c>
      <c r="L2782" s="30" t="s">
        <v>183</v>
      </c>
      <c r="M2782" s="68">
        <v>4</v>
      </c>
      <c r="N2782" s="181" t="str">
        <f t="shared" si="44"/>
        <v>нет</v>
      </c>
      <c r="O2782" s="23"/>
      <c r="P2782" s="23"/>
      <c r="Q2782" s="106"/>
      <c r="R2782" s="37">
        <v>672</v>
      </c>
      <c r="S2782" s="38" t="s">
        <v>1081</v>
      </c>
      <c r="T2782" s="37">
        <v>734</v>
      </c>
      <c r="U2782" s="39" t="s">
        <v>1143</v>
      </c>
      <c r="V2782" s="89" t="s">
        <v>187</v>
      </c>
      <c r="W2782" s="90" t="s">
        <v>137</v>
      </c>
      <c r="X2782" s="106" t="s">
        <v>295</v>
      </c>
      <c r="Y2782" s="107" t="s">
        <v>12</v>
      </c>
      <c r="Z2782" s="67">
        <f>IF(База_КР_КК[[#This Row],[Таб.номер резервиста]]="-","-",IF(OR(База_КР_КК[[#This Row],[Уровень КК]]=2,База_КР_КК[[#This Row],[Уровень КК]]=3),IF(COUNTIFS($U$2:$U2782,$U2782,$F$2:$F2782,$F2782)=1,1,0),IF(COUNTIFS($U$2:$U2782,$U2782,$L$2:$L2782,$L2782)=1,1,0)))</f>
        <v>1</v>
      </c>
      <c r="AA27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2" s="106"/>
      <c r="AC2782" s="51"/>
      <c r="AD2782" s="106" t="s">
        <v>13</v>
      </c>
      <c r="AE2782" s="38" t="s">
        <v>303</v>
      </c>
    </row>
    <row r="2783" spans="1:31" ht="18" customHeight="1" x14ac:dyDescent="0.25">
      <c r="A27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3" s="79">
        <v>3</v>
      </c>
      <c r="C2783" s="23">
        <v>44340</v>
      </c>
      <c r="D2783" s="67">
        <f>IF(COUNTIF($G$2:$G2783,$G2783)=1,1,0)</f>
        <v>0</v>
      </c>
      <c r="E2783" s="67" t="str">
        <f>IFERROR(VLOOKUP(База_КР_КК[[#This Row],[ИД штатной должности (S)]],'уровень защищенности'!$B$7:$F$1095,5,0),"не защищена")</f>
        <v>высокий</v>
      </c>
      <c r="F2783" s="68">
        <v>500018</v>
      </c>
      <c r="G2783" s="74" t="s">
        <v>2849</v>
      </c>
      <c r="H2783" s="181">
        <f>INDEX('Списки данных'!$D$2:$D$1048576,MATCH(База_КР_КК[[#This Row],[Структурное подразделение]],'Списки данных'!$C$2:$C$1048576,0))</f>
        <v>7</v>
      </c>
      <c r="I2783" s="80" t="s">
        <v>137</v>
      </c>
      <c r="J2783" s="80" t="s">
        <v>248</v>
      </c>
      <c r="K2783" s="80" t="s">
        <v>21</v>
      </c>
      <c r="L2783" s="30" t="s">
        <v>183</v>
      </c>
      <c r="M2783" s="68">
        <v>4</v>
      </c>
      <c r="N2783" s="181" t="str">
        <f t="shared" si="44"/>
        <v>нет</v>
      </c>
      <c r="O2783" s="23"/>
      <c r="P2783" s="23"/>
      <c r="Q2783" s="106"/>
      <c r="R2783" s="37">
        <v>672</v>
      </c>
      <c r="S2783" s="38" t="s">
        <v>1081</v>
      </c>
      <c r="T2783" s="37">
        <v>740</v>
      </c>
      <c r="U2783" s="39" t="s">
        <v>1149</v>
      </c>
      <c r="V2783" s="69" t="s">
        <v>187</v>
      </c>
      <c r="W2783" s="89" t="s">
        <v>137</v>
      </c>
      <c r="X2783" s="106" t="s">
        <v>296</v>
      </c>
      <c r="Y2783" s="107" t="s">
        <v>12</v>
      </c>
      <c r="Z2783" s="67">
        <f>IF(База_КР_КК[[#This Row],[Таб.номер резервиста]]="-","-",IF(OR(База_КР_КК[[#This Row],[Уровень КК]]=2,База_КР_КК[[#This Row],[Уровень КК]]=3),IF(COUNTIFS($U$2:$U2783,$U2783,$F$2:$F2783,$F2783)=1,1,0),IF(COUNTIFS($U$2:$U2783,$U2783,$L$2:$L2783,$L2783)=1,1,0)))</f>
        <v>1</v>
      </c>
      <c r="AA27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3" s="106"/>
      <c r="AC2783" s="51"/>
      <c r="AD2783" s="106" t="s">
        <v>15</v>
      </c>
      <c r="AE2783" s="38" t="s">
        <v>303</v>
      </c>
    </row>
    <row r="2784" spans="1:31" ht="18" customHeight="1" x14ac:dyDescent="0.25">
      <c r="A27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4" s="79">
        <v>3</v>
      </c>
      <c r="C2784" s="23">
        <v>43080</v>
      </c>
      <c r="D2784" s="67">
        <f>IF(COUNTIF($G$2:$G2784,$G2784)=1,1,0)</f>
        <v>0</v>
      </c>
      <c r="E2784" s="67" t="str">
        <f>IFERROR(VLOOKUP(База_КР_КК[[#This Row],[ИД штатной должности (S)]],'уровень защищенности'!$B$7:$F$1095,5,0),"не защищена")</f>
        <v>высокий</v>
      </c>
      <c r="F2784" s="68">
        <v>500018</v>
      </c>
      <c r="G2784" s="74" t="s">
        <v>2849</v>
      </c>
      <c r="H2784" s="181">
        <f>INDEX('Списки данных'!$D$2:$D$1048576,MATCH(База_КР_КК[[#This Row],[Структурное подразделение]],'Списки данных'!$C$2:$C$1048576,0))</f>
        <v>7</v>
      </c>
      <c r="I2784" s="80" t="s">
        <v>137</v>
      </c>
      <c r="J2784" s="80" t="s">
        <v>248</v>
      </c>
      <c r="K2784" s="80" t="s">
        <v>21</v>
      </c>
      <c r="L2784" s="30" t="s">
        <v>183</v>
      </c>
      <c r="M2784" s="68">
        <v>4</v>
      </c>
      <c r="N2784" s="181" t="str">
        <f t="shared" si="44"/>
        <v>нет</v>
      </c>
      <c r="O2784" s="23"/>
      <c r="P2784" s="23"/>
      <c r="Q2784" s="106"/>
      <c r="R2784" s="37">
        <v>672</v>
      </c>
      <c r="S2784" s="38" t="s">
        <v>1081</v>
      </c>
      <c r="T2784" s="37">
        <v>1763</v>
      </c>
      <c r="U2784" s="39" t="s">
        <v>2030</v>
      </c>
      <c r="V2784" s="89" t="s">
        <v>183</v>
      </c>
      <c r="W2784" s="90" t="s">
        <v>129</v>
      </c>
      <c r="X2784" s="106" t="s">
        <v>295</v>
      </c>
      <c r="Y2784" s="107" t="s">
        <v>14</v>
      </c>
      <c r="Z2784" s="67">
        <f>IF(База_КР_КК[[#This Row],[Таб.номер резервиста]]="-","-",IF(OR(База_КР_КК[[#This Row],[Уровень КК]]=2,База_КР_КК[[#This Row],[Уровень КК]]=3),IF(COUNTIFS($U$2:$U2784,$U2784,$F$2:$F2784,$F2784)=1,1,0),IF(COUNTIFS($U$2:$U2784,$U2784,$L$2:$L2784,$L2784)=1,1,0)))</f>
        <v>1</v>
      </c>
      <c r="AA27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4" s="106" t="s">
        <v>24</v>
      </c>
      <c r="AC2784" s="51">
        <v>43774</v>
      </c>
      <c r="AD2784" s="106" t="s">
        <v>13</v>
      </c>
      <c r="AE2784" s="38" t="s">
        <v>305</v>
      </c>
    </row>
    <row r="2785" spans="1:31" ht="18" customHeight="1" x14ac:dyDescent="0.25">
      <c r="A27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5" s="79">
        <v>3</v>
      </c>
      <c r="C2785" s="23">
        <v>44340</v>
      </c>
      <c r="D2785" s="67">
        <f>IF(COUNTIF($G$2:$G2785,$G2785)=1,1,0)</f>
        <v>0</v>
      </c>
      <c r="E2785" s="67" t="str">
        <f>IFERROR(VLOOKUP(База_КР_КК[[#This Row],[ИД штатной должности (S)]],'уровень защищенности'!$B$7:$F$1095,5,0),"не защищена")</f>
        <v>высокий</v>
      </c>
      <c r="F2785" s="68">
        <v>500018</v>
      </c>
      <c r="G2785" s="74" t="s">
        <v>2849</v>
      </c>
      <c r="H2785" s="181">
        <f>INDEX('Списки данных'!$D$2:$D$1048576,MATCH(База_КР_КК[[#This Row],[Структурное подразделение]],'Списки данных'!$C$2:$C$1048576,0))</f>
        <v>7</v>
      </c>
      <c r="I2785" s="80" t="s">
        <v>137</v>
      </c>
      <c r="J2785" s="80" t="s">
        <v>248</v>
      </c>
      <c r="K2785" s="80" t="s">
        <v>21</v>
      </c>
      <c r="L2785" s="30" t="s">
        <v>183</v>
      </c>
      <c r="M2785" s="68">
        <v>4</v>
      </c>
      <c r="N2785" s="181" t="str">
        <f t="shared" si="44"/>
        <v>нет</v>
      </c>
      <c r="O2785" s="23"/>
      <c r="P2785" s="23"/>
      <c r="Q2785" s="106"/>
      <c r="R2785" s="37">
        <v>672</v>
      </c>
      <c r="S2785" s="38" t="s">
        <v>1081</v>
      </c>
      <c r="T2785" s="37">
        <v>1764</v>
      </c>
      <c r="U2785" s="39" t="s">
        <v>1457</v>
      </c>
      <c r="V2785" s="69" t="s">
        <v>187</v>
      </c>
      <c r="W2785" s="89" t="s">
        <v>137</v>
      </c>
      <c r="X2785" s="106" t="s">
        <v>296</v>
      </c>
      <c r="Y2785" s="107" t="s">
        <v>18</v>
      </c>
      <c r="Z2785" s="67">
        <f>IF(База_КР_КК[[#This Row],[Таб.номер резервиста]]="-","-",IF(OR(База_КР_КК[[#This Row],[Уровень КК]]=2,База_КР_КК[[#This Row],[Уровень КК]]=3),IF(COUNTIFS($U$2:$U2785,$U2785,$F$2:$F2785,$F2785)=1,1,0),IF(COUNTIFS($U$2:$U2785,$U2785,$L$2:$L2785,$L2785)=1,1,0)))</f>
        <v>1</v>
      </c>
      <c r="AA27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5" s="106" t="s">
        <v>19</v>
      </c>
      <c r="AC2785" s="51">
        <v>44845</v>
      </c>
      <c r="AD2785" s="106" t="s">
        <v>15</v>
      </c>
      <c r="AE2785" s="38" t="s">
        <v>303</v>
      </c>
    </row>
    <row r="2786" spans="1:31" ht="18" customHeight="1" x14ac:dyDescent="0.25">
      <c r="A27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6" s="79">
        <v>3</v>
      </c>
      <c r="C2786" s="23">
        <v>43769</v>
      </c>
      <c r="D2786" s="67">
        <f>IF(COUNTIF($G$2:$G2786,$G2786)=1,1,0)</f>
        <v>1</v>
      </c>
      <c r="E2786" s="67" t="str">
        <f>IFERROR(VLOOKUP(База_КР_КК[[#This Row],[ИД штатной должности (S)]],'уровень защищенности'!$B$7:$F$1095,5,0),"не защищена")</f>
        <v>высокий</v>
      </c>
      <c r="F2786" s="68">
        <v>500019</v>
      </c>
      <c r="G2786" s="74" t="s">
        <v>2850</v>
      </c>
      <c r="H2786" s="181">
        <f>INDEX('Списки данных'!$D$2:$D$1048576,MATCH(База_КР_КК[[#This Row],[Структурное подразделение]],'Списки данных'!$C$2:$C$1048576,0))</f>
        <v>7</v>
      </c>
      <c r="I2786" s="80" t="s">
        <v>137</v>
      </c>
      <c r="J2786" s="80" t="s">
        <v>248</v>
      </c>
      <c r="K2786" s="80" t="s">
        <v>249</v>
      </c>
      <c r="L2786" s="30" t="s">
        <v>198</v>
      </c>
      <c r="M2786" s="68">
        <v>5</v>
      </c>
      <c r="N2786" s="181" t="str">
        <f t="shared" si="44"/>
        <v>да</v>
      </c>
      <c r="O2786" s="23">
        <v>44230</v>
      </c>
      <c r="P2786" s="23">
        <v>44230</v>
      </c>
      <c r="Q2786" s="106" t="s">
        <v>66</v>
      </c>
      <c r="R2786" s="37">
        <v>673</v>
      </c>
      <c r="S2786" s="38" t="s">
        <v>1082</v>
      </c>
      <c r="T2786" s="37">
        <v>784</v>
      </c>
      <c r="U2786" s="39" t="s">
        <v>1193</v>
      </c>
      <c r="V2786" s="89" t="s">
        <v>192</v>
      </c>
      <c r="W2786" s="89" t="s">
        <v>137</v>
      </c>
      <c r="X2786" s="106" t="s">
        <v>295</v>
      </c>
      <c r="Y2786" s="107" t="s">
        <v>12</v>
      </c>
      <c r="Z2786" s="67">
        <f>IF(База_КР_КК[[#This Row],[Таб.номер резервиста]]="-","-",IF(OR(База_КР_КК[[#This Row],[Уровень КК]]=2,База_КР_КК[[#This Row],[Уровень КК]]=3),IF(COUNTIFS($U$2:$U2786,$U2786,$F$2:$F2786,$F2786)=1,1,0),IF(COUNTIFS($U$2:$U2786,$U2786,$L$2:$L2786,$L2786)=1,1,0)))</f>
        <v>1</v>
      </c>
      <c r="AA27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6" s="106"/>
      <c r="AC2786" s="51"/>
      <c r="AD2786" s="106" t="s">
        <v>13</v>
      </c>
      <c r="AE2786" s="38" t="s">
        <v>370</v>
      </c>
    </row>
    <row r="2787" spans="1:31" ht="18" customHeight="1" x14ac:dyDescent="0.25">
      <c r="A27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7" s="79">
        <v>3</v>
      </c>
      <c r="C2787" s="23">
        <v>43769</v>
      </c>
      <c r="D2787" s="67">
        <f>IF(COUNTIF($G$2:$G2787,$G2787)=1,1,0)</f>
        <v>0</v>
      </c>
      <c r="E2787" s="67" t="str">
        <f>IFERROR(VLOOKUP(База_КР_КК[[#This Row],[ИД штатной должности (S)]],'уровень защищенности'!$B$7:$F$1095,5,0),"не защищена")</f>
        <v>высокий</v>
      </c>
      <c r="F2787" s="68">
        <v>500019</v>
      </c>
      <c r="G2787" s="74" t="s">
        <v>2850</v>
      </c>
      <c r="H2787" s="181">
        <f>INDEX('Списки данных'!$D$2:$D$1048576,MATCH(База_КР_КК[[#This Row],[Структурное подразделение]],'Списки данных'!$C$2:$C$1048576,0))</f>
        <v>7</v>
      </c>
      <c r="I2787" s="80" t="s">
        <v>137</v>
      </c>
      <c r="J2787" s="80" t="s">
        <v>248</v>
      </c>
      <c r="K2787" s="80" t="s">
        <v>249</v>
      </c>
      <c r="L2787" s="30" t="s">
        <v>198</v>
      </c>
      <c r="M2787" s="68">
        <v>5</v>
      </c>
      <c r="N2787" s="181" t="str">
        <f t="shared" si="44"/>
        <v>да</v>
      </c>
      <c r="O2787" s="23">
        <v>44230</v>
      </c>
      <c r="P2787" s="23">
        <v>44230</v>
      </c>
      <c r="Q2787" s="106" t="s">
        <v>66</v>
      </c>
      <c r="R2787" s="37">
        <v>673</v>
      </c>
      <c r="S2787" s="39" t="s">
        <v>1082</v>
      </c>
      <c r="T2787" s="37">
        <v>786</v>
      </c>
      <c r="U2787" s="38" t="s">
        <v>1195</v>
      </c>
      <c r="V2787" s="89" t="s">
        <v>192</v>
      </c>
      <c r="W2787" s="89" t="s">
        <v>137</v>
      </c>
      <c r="X2787" s="106" t="s">
        <v>296</v>
      </c>
      <c r="Y2787" s="107" t="s">
        <v>12</v>
      </c>
      <c r="Z2787" s="67">
        <f>IF(База_КР_КК[[#This Row],[Таб.номер резервиста]]="-","-",IF(OR(База_КР_КК[[#This Row],[Уровень КК]]=2,База_КР_КК[[#This Row],[Уровень КК]]=3),IF(COUNTIFS($U$2:$U2787,$U2787,$F$2:$F2787,$F2787)=1,1,0),IF(COUNTIFS($U$2:$U2787,$U2787,$L$2:$L2787,$L2787)=1,1,0)))</f>
        <v>1</v>
      </c>
      <c r="AA27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7" s="106"/>
      <c r="AC2787" s="51"/>
      <c r="AD2787" s="106" t="s">
        <v>13</v>
      </c>
      <c r="AE2787" s="38" t="s">
        <v>370</v>
      </c>
    </row>
    <row r="2788" spans="1:31" ht="18" customHeight="1" x14ac:dyDescent="0.25">
      <c r="A27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8" s="79">
        <v>3</v>
      </c>
      <c r="C2788" s="23">
        <v>43458</v>
      </c>
      <c r="D2788" s="67">
        <f>IF(COUNTIF($G$2:$G2788,$G2788)=1,1,0)</f>
        <v>0</v>
      </c>
      <c r="E2788" s="67" t="str">
        <f>IFERROR(VLOOKUP(База_КР_КК[[#This Row],[ИД штатной должности (S)]],'уровень защищенности'!$B$7:$F$1095,5,0),"не защищена")</f>
        <v>высокий</v>
      </c>
      <c r="F2788" s="68">
        <v>500019</v>
      </c>
      <c r="G2788" s="74" t="s">
        <v>2850</v>
      </c>
      <c r="H2788" s="181">
        <f>INDEX('Списки данных'!$D$2:$D$1048576,MATCH(База_КР_КК[[#This Row],[Структурное подразделение]],'Списки данных'!$C$2:$C$1048576,0))</f>
        <v>7</v>
      </c>
      <c r="I2788" s="80" t="s">
        <v>137</v>
      </c>
      <c r="J2788" s="80" t="s">
        <v>248</v>
      </c>
      <c r="K2788" s="80" t="s">
        <v>249</v>
      </c>
      <c r="L2788" s="30" t="s">
        <v>198</v>
      </c>
      <c r="M2788" s="68">
        <v>5</v>
      </c>
      <c r="N2788" s="181" t="str">
        <f t="shared" si="44"/>
        <v>да</v>
      </c>
      <c r="O2788" s="23">
        <v>44230</v>
      </c>
      <c r="P2788" s="23">
        <v>44230</v>
      </c>
      <c r="Q2788" s="106" t="s">
        <v>66</v>
      </c>
      <c r="R2788" s="37">
        <v>673</v>
      </c>
      <c r="S2788" s="38" t="s">
        <v>1082</v>
      </c>
      <c r="T2788" s="37">
        <v>673</v>
      </c>
      <c r="U2788" s="39" t="s">
        <v>1082</v>
      </c>
      <c r="V2788" s="89" t="s">
        <v>192</v>
      </c>
      <c r="W2788" s="89" t="s">
        <v>137</v>
      </c>
      <c r="X2788" s="106" t="s">
        <v>295</v>
      </c>
      <c r="Y2788" s="107" t="s">
        <v>14</v>
      </c>
      <c r="Z2788" s="67">
        <f>IF(База_КР_КК[[#This Row],[Таб.номер резервиста]]="-","-",IF(OR(База_КР_КК[[#This Row],[Уровень КК]]=2,База_КР_КК[[#This Row],[Уровень КК]]=3),IF(COUNTIFS($U$2:$U2788,$U2788,$F$2:$F2788,$F2788)=1,1,0),IF(COUNTIFS($U$2:$U2788,$U2788,$L$2:$L2788,$L2788)=1,1,0)))</f>
        <v>1</v>
      </c>
      <c r="AA27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788" s="106" t="s">
        <v>24</v>
      </c>
      <c r="AC2788" s="51">
        <v>44230</v>
      </c>
      <c r="AD2788" s="106" t="s">
        <v>13</v>
      </c>
      <c r="AE2788" s="38" t="s">
        <v>332</v>
      </c>
    </row>
    <row r="2789" spans="1:31" ht="18" customHeight="1" x14ac:dyDescent="0.25">
      <c r="A27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89" s="79">
        <v>4</v>
      </c>
      <c r="C2789" s="23">
        <v>44109</v>
      </c>
      <c r="D2789" s="67">
        <f>IF(COUNTIF($G$2:$G2789,$G2789)=1,1,0)</f>
        <v>1</v>
      </c>
      <c r="E2789" s="67" t="str">
        <f>IFERROR(VLOOKUP(База_КР_КК[[#This Row],[ИД штатной должности (S)]],'уровень защищенности'!$B$7:$F$1095,5,0),"не защищена")</f>
        <v>высокий</v>
      </c>
      <c r="F2789" s="68">
        <v>500311</v>
      </c>
      <c r="G2789" s="74" t="s">
        <v>2851</v>
      </c>
      <c r="H2789" s="181">
        <f>INDEX('Списки данных'!$D$2:$D$1048576,MATCH(База_КР_КК[[#This Row],[Структурное подразделение]],'Списки данных'!$C$2:$C$1048576,0))</f>
        <v>6</v>
      </c>
      <c r="I2789" s="80" t="s">
        <v>136</v>
      </c>
      <c r="J2789" s="80" t="s">
        <v>246</v>
      </c>
      <c r="K2789" s="80" t="s">
        <v>247</v>
      </c>
      <c r="L2789" s="30" t="s">
        <v>191</v>
      </c>
      <c r="M2789" s="68">
        <v>6</v>
      </c>
      <c r="N2789" s="181" t="str">
        <f t="shared" si="44"/>
        <v>да</v>
      </c>
      <c r="O2789" s="23">
        <v>44136</v>
      </c>
      <c r="P2789" s="23">
        <v>44136</v>
      </c>
      <c r="Q2789" s="106" t="s">
        <v>66</v>
      </c>
      <c r="R2789" s="37">
        <v>674</v>
      </c>
      <c r="S2789" s="38" t="s">
        <v>1083</v>
      </c>
      <c r="T2789" s="37">
        <v>1765</v>
      </c>
      <c r="U2789" s="39" t="s">
        <v>2031</v>
      </c>
      <c r="V2789" s="89" t="s">
        <v>272</v>
      </c>
      <c r="W2789" s="89" t="s">
        <v>136</v>
      </c>
      <c r="X2789" s="106" t="s">
        <v>295</v>
      </c>
      <c r="Y2789" s="107" t="s">
        <v>12</v>
      </c>
      <c r="Z2789" s="67">
        <f>IF(База_КР_КК[[#This Row],[Таб.номер резервиста]]="-","-",IF(OR(База_КР_КК[[#This Row],[Уровень КК]]=2,База_КР_КК[[#This Row],[Уровень КК]]=3),IF(COUNTIFS($U$2:$U2789,$U2789,$F$2:$F2789,$F2789)=1,1,0),IF(COUNTIFS($U$2:$U2789,$U2789,$L$2:$L2789,$L2789)=1,1,0)))</f>
        <v>1</v>
      </c>
      <c r="AA27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89" s="106"/>
      <c r="AC2789" s="51"/>
      <c r="AD2789" s="106" t="s">
        <v>13</v>
      </c>
      <c r="AE2789" s="38" t="s">
        <v>376</v>
      </c>
    </row>
    <row r="2790" spans="1:31" ht="18" customHeight="1" x14ac:dyDescent="0.25">
      <c r="A27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0" s="79">
        <v>4</v>
      </c>
      <c r="C2790" s="23">
        <v>44109</v>
      </c>
      <c r="D2790" s="67">
        <f>IF(COUNTIF($G$2:$G2790,$G2790)=1,1,0)</f>
        <v>0</v>
      </c>
      <c r="E2790" s="67" t="str">
        <f>IFERROR(VLOOKUP(База_КР_КК[[#This Row],[ИД штатной должности (S)]],'уровень защищенности'!$B$7:$F$1095,5,0),"не защищена")</f>
        <v>высокий</v>
      </c>
      <c r="F2790" s="68">
        <v>500311</v>
      </c>
      <c r="G2790" s="74" t="s">
        <v>2851</v>
      </c>
      <c r="H2790" s="181">
        <f>INDEX('Списки данных'!$D$2:$D$1048576,MATCH(База_КР_КК[[#This Row],[Структурное подразделение]],'Списки данных'!$C$2:$C$1048576,0))</f>
        <v>6</v>
      </c>
      <c r="I2790" s="80" t="s">
        <v>136</v>
      </c>
      <c r="J2790" s="80" t="s">
        <v>246</v>
      </c>
      <c r="K2790" s="80" t="s">
        <v>247</v>
      </c>
      <c r="L2790" s="30" t="s">
        <v>191</v>
      </c>
      <c r="M2790" s="68">
        <v>6</v>
      </c>
      <c r="N2790" s="181" t="str">
        <f t="shared" si="44"/>
        <v>да</v>
      </c>
      <c r="O2790" s="23">
        <v>44136</v>
      </c>
      <c r="P2790" s="23">
        <v>44136</v>
      </c>
      <c r="Q2790" s="106" t="s">
        <v>66</v>
      </c>
      <c r="R2790" s="37">
        <v>674</v>
      </c>
      <c r="S2790" s="38" t="s">
        <v>1083</v>
      </c>
      <c r="T2790" s="37">
        <v>1766</v>
      </c>
      <c r="U2790" s="39" t="s">
        <v>2032</v>
      </c>
      <c r="V2790" s="89" t="s">
        <v>272</v>
      </c>
      <c r="W2790" s="89" t="s">
        <v>136</v>
      </c>
      <c r="X2790" s="106" t="s">
        <v>297</v>
      </c>
      <c r="Y2790" s="107" t="s">
        <v>12</v>
      </c>
      <c r="Z2790" s="67">
        <f>IF(База_КР_КК[[#This Row],[Таб.номер резервиста]]="-","-",IF(OR(База_КР_КК[[#This Row],[Уровень КК]]=2,База_КР_КК[[#This Row],[Уровень КК]]=3),IF(COUNTIFS($U$2:$U2790,$U2790,$F$2:$F2790,$F2790)=1,1,0),IF(COUNTIFS($U$2:$U2790,$U2790,$L$2:$L2790,$L2790)=1,1,0)))</f>
        <v>1</v>
      </c>
      <c r="AA27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0" s="106"/>
      <c r="AC2790" s="51"/>
      <c r="AD2790" s="106" t="s">
        <v>17</v>
      </c>
      <c r="AE2790" s="38" t="s">
        <v>376</v>
      </c>
    </row>
    <row r="2791" spans="1:31" ht="18" customHeight="1" x14ac:dyDescent="0.25">
      <c r="A27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1" s="79">
        <v>4</v>
      </c>
      <c r="C2791" s="23">
        <v>44859</v>
      </c>
      <c r="D2791" s="67">
        <f>IF(COUNTIF($G$2:$G2791,$G2791)=1,1,0)</f>
        <v>0</v>
      </c>
      <c r="E2791" s="67" t="str">
        <f>IFERROR(VLOOKUP(База_КР_КК[[#This Row],[ИД штатной должности (S)]],'уровень защищенности'!$B$7:$F$1095,5,0),"не защищена")</f>
        <v>высокий</v>
      </c>
      <c r="F2791" s="68">
        <v>500311</v>
      </c>
      <c r="G2791" s="74" t="s">
        <v>2851</v>
      </c>
      <c r="H2791" s="181">
        <f>INDEX('Списки данных'!$D$2:$D$1048576,MATCH(База_КР_КК[[#This Row],[Структурное подразделение]],'Списки данных'!$C$2:$C$1048576,0))</f>
        <v>6</v>
      </c>
      <c r="I2791" s="80" t="s">
        <v>136</v>
      </c>
      <c r="J2791" s="80" t="s">
        <v>246</v>
      </c>
      <c r="K2791" s="80" t="s">
        <v>247</v>
      </c>
      <c r="L2791" s="30" t="s">
        <v>191</v>
      </c>
      <c r="M2791" s="68">
        <v>6</v>
      </c>
      <c r="N2791" s="181" t="str">
        <f t="shared" si="44"/>
        <v>да</v>
      </c>
      <c r="O2791" s="23">
        <v>44136</v>
      </c>
      <c r="P2791" s="23">
        <v>44136</v>
      </c>
      <c r="Q2791" s="106" t="s">
        <v>66</v>
      </c>
      <c r="R2791" s="37">
        <v>674</v>
      </c>
      <c r="S2791" s="39" t="s">
        <v>1083</v>
      </c>
      <c r="T2791" s="37">
        <v>1767</v>
      </c>
      <c r="U2791" s="38" t="s">
        <v>2033</v>
      </c>
      <c r="V2791" s="89" t="s">
        <v>272</v>
      </c>
      <c r="W2791" s="89" t="s">
        <v>136</v>
      </c>
      <c r="X2791" s="106" t="s">
        <v>296</v>
      </c>
      <c r="Y2791" s="107" t="s">
        <v>12</v>
      </c>
      <c r="Z2791" s="67">
        <f>IF(База_КР_КК[[#This Row],[Таб.номер резервиста]]="-","-",IF(OR(База_КР_КК[[#This Row],[Уровень КК]]=2,База_КР_КК[[#This Row],[Уровень КК]]=3),IF(COUNTIFS($U$2:$U2791,$U2791,$F$2:$F2791,$F2791)=1,1,0),IF(COUNTIFS($U$2:$U2791,$U2791,$L$2:$L2791,$L2791)=1,1,0)))</f>
        <v>1</v>
      </c>
      <c r="AA27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1" s="106"/>
      <c r="AC2791" s="51"/>
      <c r="AD2791" s="106" t="s">
        <v>13</v>
      </c>
      <c r="AE2791" s="38" t="s">
        <v>376</v>
      </c>
    </row>
    <row r="2792" spans="1:31" ht="18" customHeight="1" x14ac:dyDescent="0.25">
      <c r="A27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2" s="79">
        <v>4</v>
      </c>
      <c r="C2792" s="23">
        <v>44859</v>
      </c>
      <c r="D2792" s="67">
        <f>IF(COUNTIF($G$2:$G2792,$G2792)=1,1,0)</f>
        <v>0</v>
      </c>
      <c r="E2792" s="67" t="str">
        <f>IFERROR(VLOOKUP(База_КР_КК[[#This Row],[ИД штатной должности (S)]],'уровень защищенности'!$B$7:$F$1095,5,0),"не защищена")</f>
        <v>высокий</v>
      </c>
      <c r="F2792" s="68">
        <v>500311</v>
      </c>
      <c r="G2792" s="74" t="s">
        <v>2851</v>
      </c>
      <c r="H2792" s="181">
        <f>INDEX('Списки данных'!$D$2:$D$1048576,MATCH(База_КР_КК[[#This Row],[Структурное подразделение]],'Списки данных'!$C$2:$C$1048576,0))</f>
        <v>6</v>
      </c>
      <c r="I2792" s="80" t="s">
        <v>136</v>
      </c>
      <c r="J2792" s="80" t="s">
        <v>246</v>
      </c>
      <c r="K2792" s="80" t="s">
        <v>247</v>
      </c>
      <c r="L2792" s="30" t="s">
        <v>191</v>
      </c>
      <c r="M2792" s="68">
        <v>6</v>
      </c>
      <c r="N2792" s="181" t="str">
        <f t="shared" si="44"/>
        <v>да</v>
      </c>
      <c r="O2792" s="23">
        <v>44136</v>
      </c>
      <c r="P2792" s="23">
        <v>44136</v>
      </c>
      <c r="Q2792" s="106" t="s">
        <v>66</v>
      </c>
      <c r="R2792" s="37">
        <v>674</v>
      </c>
      <c r="S2792" s="39" t="s">
        <v>1083</v>
      </c>
      <c r="T2792" s="37">
        <v>1768</v>
      </c>
      <c r="U2792" s="38" t="s">
        <v>2034</v>
      </c>
      <c r="V2792" s="89" t="s">
        <v>272</v>
      </c>
      <c r="W2792" s="89" t="s">
        <v>136</v>
      </c>
      <c r="X2792" s="106" t="s">
        <v>296</v>
      </c>
      <c r="Y2792" s="107" t="s">
        <v>12</v>
      </c>
      <c r="Z2792" s="67">
        <f>IF(База_КР_КК[[#This Row],[Таб.номер резервиста]]="-","-",IF(OR(База_КР_КК[[#This Row],[Уровень КК]]=2,База_КР_КК[[#This Row],[Уровень КК]]=3),IF(COUNTIFS($U$2:$U2792,$U2792,$F$2:$F2792,$F2792)=1,1,0),IF(COUNTIFS($U$2:$U2792,$U2792,$L$2:$L2792,$L2792)=1,1,0)))</f>
        <v>1</v>
      </c>
      <c r="AA27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2" s="106"/>
      <c r="AC2792" s="51"/>
      <c r="AD2792" s="106" t="s">
        <v>13</v>
      </c>
      <c r="AE2792" s="38" t="s">
        <v>376</v>
      </c>
    </row>
    <row r="2793" spans="1:31" ht="18" customHeight="1" x14ac:dyDescent="0.25">
      <c r="A27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3" s="79">
        <v>4</v>
      </c>
      <c r="C2793" s="23">
        <v>44109</v>
      </c>
      <c r="D2793" s="67">
        <f>IF(COUNTIF($G$2:$G2793,$G2793)=1,1,0)</f>
        <v>0</v>
      </c>
      <c r="E2793" s="67" t="str">
        <f>IFERROR(VLOOKUP(База_КР_КК[[#This Row],[ИД штатной должности (S)]],'уровень защищенности'!$B$7:$F$1095,5,0),"не защищена")</f>
        <v>высокий</v>
      </c>
      <c r="F2793" s="68">
        <v>500311</v>
      </c>
      <c r="G2793" s="74" t="s">
        <v>2851</v>
      </c>
      <c r="H2793" s="181">
        <f>INDEX('Списки данных'!$D$2:$D$1048576,MATCH(База_КР_КК[[#This Row],[Структурное подразделение]],'Списки данных'!$C$2:$C$1048576,0))</f>
        <v>6</v>
      </c>
      <c r="I2793" s="80" t="s">
        <v>136</v>
      </c>
      <c r="J2793" s="80" t="s">
        <v>246</v>
      </c>
      <c r="K2793" s="80" t="s">
        <v>247</v>
      </c>
      <c r="L2793" s="30" t="s">
        <v>192</v>
      </c>
      <c r="M2793" s="68">
        <v>6</v>
      </c>
      <c r="N2793" s="181" t="str">
        <f t="shared" si="44"/>
        <v>да</v>
      </c>
      <c r="O2793" s="23">
        <v>44136</v>
      </c>
      <c r="P2793" s="23">
        <v>44136</v>
      </c>
      <c r="Q2793" s="106" t="s">
        <v>66</v>
      </c>
      <c r="R2793" s="37">
        <v>674</v>
      </c>
      <c r="S2793" s="38" t="s">
        <v>1083</v>
      </c>
      <c r="T2793" s="37">
        <v>674</v>
      </c>
      <c r="U2793" s="39" t="s">
        <v>1083</v>
      </c>
      <c r="V2793" s="89" t="s">
        <v>192</v>
      </c>
      <c r="W2793" s="89" t="s">
        <v>136</v>
      </c>
      <c r="X2793" s="106" t="s">
        <v>295</v>
      </c>
      <c r="Y2793" s="107" t="s">
        <v>14</v>
      </c>
      <c r="Z2793" s="67">
        <f>IF(База_КР_КК[[#This Row],[Таб.номер резервиста]]="-","-",IF(OR(База_КР_КК[[#This Row],[Уровень КК]]=2,База_КР_КК[[#This Row],[Уровень КК]]=3),IF(COUNTIFS($U$2:$U2793,$U2793,$F$2:$F2793,$F2793)=1,1,0),IF(COUNTIFS($U$2:$U2793,$U2793,$L$2:$L2793,$L2793)=1,1,0)))</f>
        <v>1</v>
      </c>
      <c r="AA27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793" s="106" t="s">
        <v>24</v>
      </c>
      <c r="AC2793" s="51">
        <v>44136</v>
      </c>
      <c r="AD2793" s="106" t="s">
        <v>15</v>
      </c>
      <c r="AE2793" s="38" t="s">
        <v>377</v>
      </c>
    </row>
    <row r="2794" spans="1:31" ht="18" customHeight="1" x14ac:dyDescent="0.25">
      <c r="A27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4" s="79">
        <v>4</v>
      </c>
      <c r="C2794" s="23">
        <v>44109</v>
      </c>
      <c r="D2794" s="67">
        <f>IF(COUNTIF($G$2:$G2794,$G2794)=1,1,0)</f>
        <v>1</v>
      </c>
      <c r="E2794" s="67" t="str">
        <f>IFERROR(VLOOKUP(База_КР_КК[[#This Row],[ИД штатной должности (S)]],'уровень защищенности'!$B$7:$F$1095,5,0),"не защищена")</f>
        <v>высокий</v>
      </c>
      <c r="F2794" s="68">
        <v>500311</v>
      </c>
      <c r="G2794" s="74" t="s">
        <v>2852</v>
      </c>
      <c r="H2794" s="181">
        <f>INDEX('Списки данных'!$D$2:$D$1048576,MATCH(База_КР_КК[[#This Row],[Структурное подразделение]],'Списки данных'!$C$2:$C$1048576,0))</f>
        <v>6</v>
      </c>
      <c r="I2794" s="80" t="s">
        <v>136</v>
      </c>
      <c r="J2794" s="80" t="s">
        <v>246</v>
      </c>
      <c r="K2794" s="80" t="s">
        <v>247</v>
      </c>
      <c r="L2794" s="30" t="s">
        <v>191</v>
      </c>
      <c r="M2794" s="68">
        <v>6</v>
      </c>
      <c r="N2794" s="181" t="str">
        <f t="shared" si="44"/>
        <v>нет</v>
      </c>
      <c r="O2794" s="23"/>
      <c r="P2794" s="23"/>
      <c r="Q2794" s="106"/>
      <c r="R2794" s="37">
        <v>675</v>
      </c>
      <c r="S2794" s="38" t="s">
        <v>1084</v>
      </c>
      <c r="T2794" s="37">
        <v>1765</v>
      </c>
      <c r="U2794" s="39" t="s">
        <v>2031</v>
      </c>
      <c r="V2794" s="89" t="s">
        <v>272</v>
      </c>
      <c r="W2794" s="89" t="s">
        <v>136</v>
      </c>
      <c r="X2794" s="106" t="s">
        <v>295</v>
      </c>
      <c r="Y2794" s="107" t="s">
        <v>12</v>
      </c>
      <c r="Z2794" s="67">
        <f>IF(База_КР_КК[[#This Row],[Таб.номер резервиста]]="-","-",IF(OR(База_КР_КК[[#This Row],[Уровень КК]]=2,База_КР_КК[[#This Row],[Уровень КК]]=3),IF(COUNTIFS($U$2:$U2794,$U2794,$F$2:$F2794,$F2794)=1,1,0),IF(COUNTIFS($U$2:$U2794,$U2794,$L$2:$L2794,$L2794)=1,1,0)))</f>
        <v>0</v>
      </c>
      <c r="AA27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4" s="106"/>
      <c r="AC2794" s="51"/>
      <c r="AD2794" s="106" t="s">
        <v>13</v>
      </c>
      <c r="AE2794" s="38" t="s">
        <v>376</v>
      </c>
    </row>
    <row r="2795" spans="1:31" ht="18" customHeight="1" x14ac:dyDescent="0.25">
      <c r="A27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5" s="79">
        <v>4</v>
      </c>
      <c r="C2795" s="23">
        <v>44109</v>
      </c>
      <c r="D2795" s="67">
        <f>IF(COUNTIF($G$2:$G2795,$G2795)=1,1,0)</f>
        <v>0</v>
      </c>
      <c r="E2795" s="67" t="str">
        <f>IFERROR(VLOOKUP(База_КР_КК[[#This Row],[ИД штатной должности (S)]],'уровень защищенности'!$B$7:$F$1095,5,0),"не защищена")</f>
        <v>высокий</v>
      </c>
      <c r="F2795" s="68">
        <v>500311</v>
      </c>
      <c r="G2795" s="74" t="s">
        <v>2852</v>
      </c>
      <c r="H2795" s="181">
        <f>INDEX('Списки данных'!$D$2:$D$1048576,MATCH(База_КР_КК[[#This Row],[Структурное подразделение]],'Списки данных'!$C$2:$C$1048576,0))</f>
        <v>6</v>
      </c>
      <c r="I2795" s="80" t="s">
        <v>136</v>
      </c>
      <c r="J2795" s="80" t="s">
        <v>246</v>
      </c>
      <c r="K2795" s="80" t="s">
        <v>247</v>
      </c>
      <c r="L2795" s="30" t="s">
        <v>191</v>
      </c>
      <c r="M2795" s="68">
        <v>6</v>
      </c>
      <c r="N2795" s="181" t="str">
        <f t="shared" si="44"/>
        <v>нет</v>
      </c>
      <c r="O2795" s="23"/>
      <c r="P2795" s="23"/>
      <c r="Q2795" s="106"/>
      <c r="R2795" s="37">
        <v>675</v>
      </c>
      <c r="S2795" s="38" t="s">
        <v>1084</v>
      </c>
      <c r="T2795" s="37">
        <v>1766</v>
      </c>
      <c r="U2795" s="39" t="s">
        <v>2032</v>
      </c>
      <c r="V2795" s="89" t="s">
        <v>272</v>
      </c>
      <c r="W2795" s="89" t="s">
        <v>136</v>
      </c>
      <c r="X2795" s="106" t="s">
        <v>297</v>
      </c>
      <c r="Y2795" s="107" t="s">
        <v>12</v>
      </c>
      <c r="Z2795" s="67">
        <f>IF(База_КР_КК[[#This Row],[Таб.номер резервиста]]="-","-",IF(OR(База_КР_КК[[#This Row],[Уровень КК]]=2,База_КР_КК[[#This Row],[Уровень КК]]=3),IF(COUNTIFS($U$2:$U2795,$U2795,$F$2:$F2795,$F2795)=1,1,0),IF(COUNTIFS($U$2:$U2795,$U2795,$L$2:$L2795,$L2795)=1,1,0)))</f>
        <v>0</v>
      </c>
      <c r="AA27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5" s="106"/>
      <c r="AC2795" s="51"/>
      <c r="AD2795" s="106" t="s">
        <v>17</v>
      </c>
      <c r="AE2795" s="38" t="s">
        <v>376</v>
      </c>
    </row>
    <row r="2796" spans="1:31" ht="18" customHeight="1" x14ac:dyDescent="0.25">
      <c r="A27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6" s="79">
        <v>4</v>
      </c>
      <c r="C2796" s="23">
        <v>44859</v>
      </c>
      <c r="D2796" s="67">
        <f>IF(COUNTIF($G$2:$G2796,$G2796)=1,1,0)</f>
        <v>0</v>
      </c>
      <c r="E2796" s="67" t="str">
        <f>IFERROR(VLOOKUP(База_КР_КК[[#This Row],[ИД штатной должности (S)]],'уровень защищенности'!$B$7:$F$1095,5,0),"не защищена")</f>
        <v>высокий</v>
      </c>
      <c r="F2796" s="68">
        <v>500311</v>
      </c>
      <c r="G2796" s="74" t="s">
        <v>2852</v>
      </c>
      <c r="H2796" s="181">
        <f>INDEX('Списки данных'!$D$2:$D$1048576,MATCH(База_КР_КК[[#This Row],[Структурное подразделение]],'Списки данных'!$C$2:$C$1048576,0))</f>
        <v>6</v>
      </c>
      <c r="I2796" s="80" t="s">
        <v>136</v>
      </c>
      <c r="J2796" s="80" t="s">
        <v>246</v>
      </c>
      <c r="K2796" s="80" t="s">
        <v>247</v>
      </c>
      <c r="L2796" s="30" t="s">
        <v>191</v>
      </c>
      <c r="M2796" s="68">
        <v>6</v>
      </c>
      <c r="N2796" s="181" t="str">
        <f t="shared" si="44"/>
        <v>нет</v>
      </c>
      <c r="O2796" s="23"/>
      <c r="P2796" s="23"/>
      <c r="Q2796" s="106"/>
      <c r="R2796" s="37">
        <v>675</v>
      </c>
      <c r="S2796" s="39" t="s">
        <v>1084</v>
      </c>
      <c r="T2796" s="37">
        <v>1767</v>
      </c>
      <c r="U2796" s="38" t="s">
        <v>2033</v>
      </c>
      <c r="V2796" s="89" t="s">
        <v>272</v>
      </c>
      <c r="W2796" s="89" t="s">
        <v>136</v>
      </c>
      <c r="X2796" s="106" t="s">
        <v>296</v>
      </c>
      <c r="Y2796" s="107" t="s">
        <v>12</v>
      </c>
      <c r="Z2796" s="67">
        <f>IF(База_КР_КК[[#This Row],[Таб.номер резервиста]]="-","-",IF(OR(База_КР_КК[[#This Row],[Уровень КК]]=2,База_КР_КК[[#This Row],[Уровень КК]]=3),IF(COUNTIFS($U$2:$U2796,$U2796,$F$2:$F2796,$F2796)=1,1,0),IF(COUNTIFS($U$2:$U2796,$U2796,$L$2:$L2796,$L2796)=1,1,0)))</f>
        <v>0</v>
      </c>
      <c r="AA27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6" s="106"/>
      <c r="AC2796" s="51"/>
      <c r="AD2796" s="106" t="s">
        <v>13</v>
      </c>
      <c r="AE2796" s="38" t="s">
        <v>376</v>
      </c>
    </row>
    <row r="2797" spans="1:31" ht="18" customHeight="1" x14ac:dyDescent="0.25">
      <c r="A27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7" s="79">
        <v>4</v>
      </c>
      <c r="C2797" s="23">
        <v>44859</v>
      </c>
      <c r="D2797" s="67">
        <f>IF(COUNTIF($G$2:$G2797,$G2797)=1,1,0)</f>
        <v>0</v>
      </c>
      <c r="E2797" s="67" t="str">
        <f>IFERROR(VLOOKUP(База_КР_КК[[#This Row],[ИД штатной должности (S)]],'уровень защищенности'!$B$7:$F$1095,5,0),"не защищена")</f>
        <v>высокий</v>
      </c>
      <c r="F2797" s="68">
        <v>500311</v>
      </c>
      <c r="G2797" s="74" t="s">
        <v>2852</v>
      </c>
      <c r="H2797" s="181">
        <f>INDEX('Списки данных'!$D$2:$D$1048576,MATCH(База_КР_КК[[#This Row],[Структурное подразделение]],'Списки данных'!$C$2:$C$1048576,0))</f>
        <v>6</v>
      </c>
      <c r="I2797" s="80" t="s">
        <v>136</v>
      </c>
      <c r="J2797" s="80" t="s">
        <v>246</v>
      </c>
      <c r="K2797" s="80" t="s">
        <v>247</v>
      </c>
      <c r="L2797" s="30" t="s">
        <v>191</v>
      </c>
      <c r="M2797" s="68">
        <v>6</v>
      </c>
      <c r="N2797" s="181" t="str">
        <f t="shared" si="44"/>
        <v>нет</v>
      </c>
      <c r="O2797" s="23"/>
      <c r="P2797" s="23"/>
      <c r="Q2797" s="106"/>
      <c r="R2797" s="37">
        <v>675</v>
      </c>
      <c r="S2797" s="39" t="s">
        <v>1084</v>
      </c>
      <c r="T2797" s="37">
        <v>1768</v>
      </c>
      <c r="U2797" s="38" t="s">
        <v>2034</v>
      </c>
      <c r="V2797" s="89" t="s">
        <v>272</v>
      </c>
      <c r="W2797" s="89" t="s">
        <v>136</v>
      </c>
      <c r="X2797" s="106" t="s">
        <v>296</v>
      </c>
      <c r="Y2797" s="107" t="s">
        <v>12</v>
      </c>
      <c r="Z2797" s="67">
        <f>IF(База_КР_КК[[#This Row],[Таб.номер резервиста]]="-","-",IF(OR(База_КР_КК[[#This Row],[Уровень КК]]=2,База_КР_КК[[#This Row],[Уровень КК]]=3),IF(COUNTIFS($U$2:$U2797,$U2797,$F$2:$F2797,$F2797)=1,1,0),IF(COUNTIFS($U$2:$U2797,$U2797,$L$2:$L2797,$L2797)=1,1,0)))</f>
        <v>0</v>
      </c>
      <c r="AA27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7" s="106"/>
      <c r="AC2797" s="51"/>
      <c r="AD2797" s="106" t="s">
        <v>13</v>
      </c>
      <c r="AE2797" s="38" t="s">
        <v>376</v>
      </c>
    </row>
    <row r="2798" spans="1:31" ht="18" customHeight="1" x14ac:dyDescent="0.25">
      <c r="A27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8" s="79">
        <v>4</v>
      </c>
      <c r="C2798" s="23">
        <v>44109</v>
      </c>
      <c r="D2798" s="67">
        <f>IF(COUNTIF($G$2:$G2798,$G2798)=1,1,0)</f>
        <v>1</v>
      </c>
      <c r="E2798" s="67" t="str">
        <f>IFERROR(VLOOKUP(База_КР_КК[[#This Row],[ИД штатной должности (S)]],'уровень защищенности'!$B$7:$F$1095,5,0),"не защищена")</f>
        <v>высокий</v>
      </c>
      <c r="F2798" s="68">
        <v>500311</v>
      </c>
      <c r="G2798" s="74" t="s">
        <v>2853</v>
      </c>
      <c r="H2798" s="181">
        <f>INDEX('Списки данных'!$D$2:$D$1048576,MATCH(База_КР_КК[[#This Row],[Структурное подразделение]],'Списки данных'!$C$2:$C$1048576,0))</f>
        <v>6</v>
      </c>
      <c r="I2798" s="80" t="s">
        <v>136</v>
      </c>
      <c r="J2798" s="80" t="s">
        <v>246</v>
      </c>
      <c r="K2798" s="80" t="s">
        <v>247</v>
      </c>
      <c r="L2798" s="30" t="s">
        <v>191</v>
      </c>
      <c r="M2798" s="68">
        <v>6</v>
      </c>
      <c r="N2798" s="181" t="str">
        <f t="shared" si="44"/>
        <v>нет</v>
      </c>
      <c r="O2798" s="23"/>
      <c r="P2798" s="23"/>
      <c r="Q2798" s="106"/>
      <c r="R2798" s="37">
        <v>676</v>
      </c>
      <c r="S2798" s="38" t="s">
        <v>1085</v>
      </c>
      <c r="T2798" s="37">
        <v>1765</v>
      </c>
      <c r="U2798" s="39" t="s">
        <v>2031</v>
      </c>
      <c r="V2798" s="89" t="s">
        <v>272</v>
      </c>
      <c r="W2798" s="89" t="s">
        <v>136</v>
      </c>
      <c r="X2798" s="106" t="s">
        <v>295</v>
      </c>
      <c r="Y2798" s="107" t="s">
        <v>12</v>
      </c>
      <c r="Z2798" s="67">
        <f>IF(База_КР_КК[[#This Row],[Таб.номер резервиста]]="-","-",IF(OR(База_КР_КК[[#This Row],[Уровень КК]]=2,База_КР_КК[[#This Row],[Уровень КК]]=3),IF(COUNTIFS($U$2:$U2798,$U2798,$F$2:$F2798,$F2798)=1,1,0),IF(COUNTIFS($U$2:$U2798,$U2798,$L$2:$L2798,$L2798)=1,1,0)))</f>
        <v>0</v>
      </c>
      <c r="AA27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8" s="106"/>
      <c r="AC2798" s="51"/>
      <c r="AD2798" s="106" t="s">
        <v>13</v>
      </c>
      <c r="AE2798" s="38" t="s">
        <v>376</v>
      </c>
    </row>
    <row r="2799" spans="1:31" ht="18" customHeight="1" x14ac:dyDescent="0.25">
      <c r="A27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799" s="79">
        <v>4</v>
      </c>
      <c r="C2799" s="23">
        <v>44109</v>
      </c>
      <c r="D2799" s="67">
        <f>IF(COUNTIF($G$2:$G2799,$G2799)=1,1,0)</f>
        <v>0</v>
      </c>
      <c r="E2799" s="67" t="str">
        <f>IFERROR(VLOOKUP(База_КР_КК[[#This Row],[ИД штатной должности (S)]],'уровень защищенности'!$B$7:$F$1095,5,0),"не защищена")</f>
        <v>высокий</v>
      </c>
      <c r="F2799" s="68">
        <v>500311</v>
      </c>
      <c r="G2799" s="74" t="s">
        <v>2853</v>
      </c>
      <c r="H2799" s="181">
        <f>INDEX('Списки данных'!$D$2:$D$1048576,MATCH(База_КР_КК[[#This Row],[Структурное подразделение]],'Списки данных'!$C$2:$C$1048576,0))</f>
        <v>6</v>
      </c>
      <c r="I2799" s="80" t="s">
        <v>136</v>
      </c>
      <c r="J2799" s="80" t="s">
        <v>246</v>
      </c>
      <c r="K2799" s="80" t="s">
        <v>247</v>
      </c>
      <c r="L2799" s="30" t="s">
        <v>191</v>
      </c>
      <c r="M2799" s="68">
        <v>6</v>
      </c>
      <c r="N2799" s="181" t="str">
        <f t="shared" si="44"/>
        <v>нет</v>
      </c>
      <c r="O2799" s="23"/>
      <c r="P2799" s="23"/>
      <c r="Q2799" s="106"/>
      <c r="R2799" s="37">
        <v>676</v>
      </c>
      <c r="S2799" s="38" t="s">
        <v>1085</v>
      </c>
      <c r="T2799" s="37">
        <v>1766</v>
      </c>
      <c r="U2799" s="39" t="s">
        <v>2032</v>
      </c>
      <c r="V2799" s="89" t="s">
        <v>272</v>
      </c>
      <c r="W2799" s="89" t="s">
        <v>136</v>
      </c>
      <c r="X2799" s="106" t="s">
        <v>297</v>
      </c>
      <c r="Y2799" s="107" t="s">
        <v>12</v>
      </c>
      <c r="Z2799" s="67">
        <f>IF(База_КР_КК[[#This Row],[Таб.номер резервиста]]="-","-",IF(OR(База_КР_КК[[#This Row],[Уровень КК]]=2,База_КР_КК[[#This Row],[Уровень КК]]=3),IF(COUNTIFS($U$2:$U2799,$U2799,$F$2:$F2799,$F2799)=1,1,0),IF(COUNTIFS($U$2:$U2799,$U2799,$L$2:$L2799,$L2799)=1,1,0)))</f>
        <v>0</v>
      </c>
      <c r="AA27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799" s="106"/>
      <c r="AC2799" s="51"/>
      <c r="AD2799" s="106" t="s">
        <v>17</v>
      </c>
      <c r="AE2799" s="38" t="s">
        <v>376</v>
      </c>
    </row>
    <row r="2800" spans="1:31" ht="18" customHeight="1" x14ac:dyDescent="0.25">
      <c r="A28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0" s="79">
        <v>4</v>
      </c>
      <c r="C2800" s="23">
        <v>44859</v>
      </c>
      <c r="D2800" s="67">
        <f>IF(COUNTIF($G$2:$G2800,$G2800)=1,1,0)</f>
        <v>0</v>
      </c>
      <c r="E2800" s="67" t="str">
        <f>IFERROR(VLOOKUP(База_КР_КК[[#This Row],[ИД штатной должности (S)]],'уровень защищенности'!$B$7:$F$1095,5,0),"не защищена")</f>
        <v>высокий</v>
      </c>
      <c r="F2800" s="68">
        <v>500311</v>
      </c>
      <c r="G2800" s="74" t="s">
        <v>2853</v>
      </c>
      <c r="H2800" s="181">
        <f>INDEX('Списки данных'!$D$2:$D$1048576,MATCH(База_КР_КК[[#This Row],[Структурное подразделение]],'Списки данных'!$C$2:$C$1048576,0))</f>
        <v>6</v>
      </c>
      <c r="I2800" s="80" t="s">
        <v>136</v>
      </c>
      <c r="J2800" s="80" t="s">
        <v>246</v>
      </c>
      <c r="K2800" s="80" t="s">
        <v>247</v>
      </c>
      <c r="L2800" s="30" t="s">
        <v>191</v>
      </c>
      <c r="M2800" s="68">
        <v>6</v>
      </c>
      <c r="N2800" s="181" t="str">
        <f t="shared" si="44"/>
        <v>нет</v>
      </c>
      <c r="O2800" s="23"/>
      <c r="P2800" s="23"/>
      <c r="Q2800" s="106"/>
      <c r="R2800" s="37">
        <v>676</v>
      </c>
      <c r="S2800" s="39" t="s">
        <v>1085</v>
      </c>
      <c r="T2800" s="37">
        <v>1767</v>
      </c>
      <c r="U2800" s="38" t="s">
        <v>2033</v>
      </c>
      <c r="V2800" s="89" t="s">
        <v>272</v>
      </c>
      <c r="W2800" s="89" t="s">
        <v>136</v>
      </c>
      <c r="X2800" s="106" t="s">
        <v>296</v>
      </c>
      <c r="Y2800" s="107" t="s">
        <v>12</v>
      </c>
      <c r="Z2800" s="67">
        <f>IF(База_КР_КК[[#This Row],[Таб.номер резервиста]]="-","-",IF(OR(База_КР_КК[[#This Row],[Уровень КК]]=2,База_КР_КК[[#This Row],[Уровень КК]]=3),IF(COUNTIFS($U$2:$U2800,$U2800,$F$2:$F2800,$F2800)=1,1,0),IF(COUNTIFS($U$2:$U2800,$U2800,$L$2:$L2800,$L2800)=1,1,0)))</f>
        <v>0</v>
      </c>
      <c r="AA28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0" s="106"/>
      <c r="AC2800" s="51"/>
      <c r="AD2800" s="106" t="s">
        <v>13</v>
      </c>
      <c r="AE2800" s="38" t="s">
        <v>376</v>
      </c>
    </row>
    <row r="2801" spans="1:31" ht="18" customHeight="1" x14ac:dyDescent="0.25">
      <c r="A28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1" s="79">
        <v>4</v>
      </c>
      <c r="C2801" s="23">
        <v>44859</v>
      </c>
      <c r="D2801" s="67">
        <f>IF(COUNTIF($G$2:$G2801,$G2801)=1,1,0)</f>
        <v>0</v>
      </c>
      <c r="E2801" s="67" t="str">
        <f>IFERROR(VLOOKUP(База_КР_КК[[#This Row],[ИД штатной должности (S)]],'уровень защищенности'!$B$7:$F$1095,5,0),"не защищена")</f>
        <v>высокий</v>
      </c>
      <c r="F2801" s="68">
        <v>500311</v>
      </c>
      <c r="G2801" s="74" t="s">
        <v>2853</v>
      </c>
      <c r="H2801" s="181">
        <f>INDEX('Списки данных'!$D$2:$D$1048576,MATCH(База_КР_КК[[#This Row],[Структурное подразделение]],'Списки данных'!$C$2:$C$1048576,0))</f>
        <v>6</v>
      </c>
      <c r="I2801" s="80" t="s">
        <v>136</v>
      </c>
      <c r="J2801" s="80" t="s">
        <v>246</v>
      </c>
      <c r="K2801" s="80" t="s">
        <v>247</v>
      </c>
      <c r="L2801" s="30" t="s">
        <v>191</v>
      </c>
      <c r="M2801" s="68">
        <v>6</v>
      </c>
      <c r="N2801" s="181" t="str">
        <f t="shared" si="44"/>
        <v>нет</v>
      </c>
      <c r="O2801" s="23"/>
      <c r="P2801" s="23"/>
      <c r="Q2801" s="106"/>
      <c r="R2801" s="37">
        <v>676</v>
      </c>
      <c r="S2801" s="39" t="s">
        <v>1085</v>
      </c>
      <c r="T2801" s="37">
        <v>1768</v>
      </c>
      <c r="U2801" s="38" t="s">
        <v>2034</v>
      </c>
      <c r="V2801" s="89" t="s">
        <v>272</v>
      </c>
      <c r="W2801" s="89" t="s">
        <v>136</v>
      </c>
      <c r="X2801" s="106" t="s">
        <v>296</v>
      </c>
      <c r="Y2801" s="107" t="s">
        <v>12</v>
      </c>
      <c r="Z2801" s="67">
        <f>IF(База_КР_КК[[#This Row],[Таб.номер резервиста]]="-","-",IF(OR(База_КР_КК[[#This Row],[Уровень КК]]=2,База_КР_КК[[#This Row],[Уровень КК]]=3),IF(COUNTIFS($U$2:$U2801,$U2801,$F$2:$F2801,$F2801)=1,1,0),IF(COUNTIFS($U$2:$U2801,$U2801,$L$2:$L2801,$L2801)=1,1,0)))</f>
        <v>0</v>
      </c>
      <c r="AA28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1" s="106"/>
      <c r="AC2801" s="51"/>
      <c r="AD2801" s="106" t="s">
        <v>13</v>
      </c>
      <c r="AE2801" s="38" t="s">
        <v>376</v>
      </c>
    </row>
    <row r="2802" spans="1:31" ht="18" customHeight="1" x14ac:dyDescent="0.25">
      <c r="A28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2" s="79">
        <v>4</v>
      </c>
      <c r="C2802" s="23">
        <v>44109</v>
      </c>
      <c r="D2802" s="67">
        <f>IF(COUNTIF($G$2:$G2802,$G2802)=1,1,0)</f>
        <v>1</v>
      </c>
      <c r="E2802" s="67" t="str">
        <f>IFERROR(VLOOKUP(База_КР_КК[[#This Row],[ИД штатной должности (S)]],'уровень защищенности'!$B$7:$F$1095,5,0),"не защищена")</f>
        <v>высокий</v>
      </c>
      <c r="F2802" s="68">
        <v>500311</v>
      </c>
      <c r="G2802" s="74" t="s">
        <v>2854</v>
      </c>
      <c r="H2802" s="181">
        <f>INDEX('Списки данных'!$D$2:$D$1048576,MATCH(База_КР_КК[[#This Row],[Структурное подразделение]],'Списки данных'!$C$2:$C$1048576,0))</f>
        <v>6</v>
      </c>
      <c r="I2802" s="80" t="s">
        <v>136</v>
      </c>
      <c r="J2802" s="80" t="s">
        <v>246</v>
      </c>
      <c r="K2802" s="80" t="s">
        <v>247</v>
      </c>
      <c r="L2802" s="30" t="s">
        <v>191</v>
      </c>
      <c r="M2802" s="68">
        <v>6</v>
      </c>
      <c r="N2802" s="181" t="str">
        <f t="shared" si="44"/>
        <v>нет</v>
      </c>
      <c r="O2802" s="23"/>
      <c r="P2802" s="23"/>
      <c r="Q2802" s="106"/>
      <c r="R2802" s="37">
        <v>677</v>
      </c>
      <c r="S2802" s="38" t="s">
        <v>1086</v>
      </c>
      <c r="T2802" s="37">
        <v>1765</v>
      </c>
      <c r="U2802" s="39" t="s">
        <v>2031</v>
      </c>
      <c r="V2802" s="89" t="s">
        <v>272</v>
      </c>
      <c r="W2802" s="89" t="s">
        <v>136</v>
      </c>
      <c r="X2802" s="106" t="s">
        <v>295</v>
      </c>
      <c r="Y2802" s="107" t="s">
        <v>12</v>
      </c>
      <c r="Z2802" s="67">
        <f>IF(База_КР_КК[[#This Row],[Таб.номер резервиста]]="-","-",IF(OR(База_КР_КК[[#This Row],[Уровень КК]]=2,База_КР_КК[[#This Row],[Уровень КК]]=3),IF(COUNTIFS($U$2:$U2802,$U2802,$F$2:$F2802,$F2802)=1,1,0),IF(COUNTIFS($U$2:$U2802,$U2802,$L$2:$L2802,$L2802)=1,1,0)))</f>
        <v>0</v>
      </c>
      <c r="AA28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2" s="106"/>
      <c r="AC2802" s="51"/>
      <c r="AD2802" s="106" t="s">
        <v>13</v>
      </c>
      <c r="AE2802" s="38" t="s">
        <v>376</v>
      </c>
    </row>
    <row r="2803" spans="1:31" ht="18" customHeight="1" x14ac:dyDescent="0.25">
      <c r="A28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3" s="79">
        <v>4</v>
      </c>
      <c r="C2803" s="23">
        <v>44109</v>
      </c>
      <c r="D2803" s="67">
        <f>IF(COUNTIF($G$2:$G2803,$G2803)=1,1,0)</f>
        <v>0</v>
      </c>
      <c r="E2803" s="67" t="str">
        <f>IFERROR(VLOOKUP(База_КР_КК[[#This Row],[ИД штатной должности (S)]],'уровень защищенности'!$B$7:$F$1095,5,0),"не защищена")</f>
        <v>высокий</v>
      </c>
      <c r="F2803" s="68">
        <v>500311</v>
      </c>
      <c r="G2803" s="74" t="s">
        <v>2854</v>
      </c>
      <c r="H2803" s="181">
        <f>INDEX('Списки данных'!$D$2:$D$1048576,MATCH(База_КР_КК[[#This Row],[Структурное подразделение]],'Списки данных'!$C$2:$C$1048576,0))</f>
        <v>6</v>
      </c>
      <c r="I2803" s="80" t="s">
        <v>136</v>
      </c>
      <c r="J2803" s="80" t="s">
        <v>246</v>
      </c>
      <c r="K2803" s="80" t="s">
        <v>247</v>
      </c>
      <c r="L2803" s="30" t="s">
        <v>191</v>
      </c>
      <c r="M2803" s="68">
        <v>6</v>
      </c>
      <c r="N2803" s="181" t="str">
        <f t="shared" si="44"/>
        <v>нет</v>
      </c>
      <c r="O2803" s="23"/>
      <c r="P2803" s="23"/>
      <c r="Q2803" s="106"/>
      <c r="R2803" s="37">
        <v>677</v>
      </c>
      <c r="S2803" s="38" t="s">
        <v>1086</v>
      </c>
      <c r="T2803" s="37">
        <v>1766</v>
      </c>
      <c r="U2803" s="39" t="s">
        <v>2032</v>
      </c>
      <c r="V2803" s="89" t="s">
        <v>272</v>
      </c>
      <c r="W2803" s="89" t="s">
        <v>136</v>
      </c>
      <c r="X2803" s="106" t="s">
        <v>297</v>
      </c>
      <c r="Y2803" s="107" t="s">
        <v>12</v>
      </c>
      <c r="Z2803" s="67">
        <f>IF(База_КР_КК[[#This Row],[Таб.номер резервиста]]="-","-",IF(OR(База_КР_КК[[#This Row],[Уровень КК]]=2,База_КР_КК[[#This Row],[Уровень КК]]=3),IF(COUNTIFS($U$2:$U2803,$U2803,$F$2:$F2803,$F2803)=1,1,0),IF(COUNTIFS($U$2:$U2803,$U2803,$L$2:$L2803,$L2803)=1,1,0)))</f>
        <v>0</v>
      </c>
      <c r="AA28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3" s="106"/>
      <c r="AC2803" s="51"/>
      <c r="AD2803" s="106" t="s">
        <v>17</v>
      </c>
      <c r="AE2803" s="38" t="s">
        <v>376</v>
      </c>
    </row>
    <row r="2804" spans="1:31" ht="18" customHeight="1" x14ac:dyDescent="0.25">
      <c r="A28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4" s="79">
        <v>4</v>
      </c>
      <c r="C2804" s="23">
        <v>44859</v>
      </c>
      <c r="D2804" s="67">
        <f>IF(COUNTIF($G$2:$G2804,$G2804)=1,1,0)</f>
        <v>0</v>
      </c>
      <c r="E2804" s="67" t="str">
        <f>IFERROR(VLOOKUP(База_КР_КК[[#This Row],[ИД штатной должности (S)]],'уровень защищенности'!$B$7:$F$1095,5,0),"не защищена")</f>
        <v>высокий</v>
      </c>
      <c r="F2804" s="68">
        <v>500311</v>
      </c>
      <c r="G2804" s="74" t="s">
        <v>2854</v>
      </c>
      <c r="H2804" s="181">
        <f>INDEX('Списки данных'!$D$2:$D$1048576,MATCH(База_КР_КК[[#This Row],[Структурное подразделение]],'Списки данных'!$C$2:$C$1048576,0))</f>
        <v>6</v>
      </c>
      <c r="I2804" s="80" t="s">
        <v>136</v>
      </c>
      <c r="J2804" s="80" t="s">
        <v>246</v>
      </c>
      <c r="K2804" s="80" t="s">
        <v>247</v>
      </c>
      <c r="L2804" s="30" t="s">
        <v>191</v>
      </c>
      <c r="M2804" s="68">
        <v>6</v>
      </c>
      <c r="N2804" s="181" t="str">
        <f t="shared" si="44"/>
        <v>нет</v>
      </c>
      <c r="O2804" s="23"/>
      <c r="P2804" s="23"/>
      <c r="Q2804" s="106"/>
      <c r="R2804" s="37">
        <v>677</v>
      </c>
      <c r="S2804" s="39" t="s">
        <v>1086</v>
      </c>
      <c r="T2804" s="37">
        <v>1767</v>
      </c>
      <c r="U2804" s="38" t="s">
        <v>2033</v>
      </c>
      <c r="V2804" s="89" t="s">
        <v>272</v>
      </c>
      <c r="W2804" s="89" t="s">
        <v>136</v>
      </c>
      <c r="X2804" s="106" t="s">
        <v>296</v>
      </c>
      <c r="Y2804" s="107" t="s">
        <v>12</v>
      </c>
      <c r="Z2804" s="67">
        <f>IF(База_КР_КК[[#This Row],[Таб.номер резервиста]]="-","-",IF(OR(База_КР_КК[[#This Row],[Уровень КК]]=2,База_КР_КК[[#This Row],[Уровень КК]]=3),IF(COUNTIFS($U$2:$U2804,$U2804,$F$2:$F2804,$F2804)=1,1,0),IF(COUNTIFS($U$2:$U2804,$U2804,$L$2:$L2804,$L2804)=1,1,0)))</f>
        <v>0</v>
      </c>
      <c r="AA28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4" s="106"/>
      <c r="AC2804" s="51"/>
      <c r="AD2804" s="106" t="s">
        <v>13</v>
      </c>
      <c r="AE2804" s="38" t="s">
        <v>376</v>
      </c>
    </row>
    <row r="2805" spans="1:31" ht="18" customHeight="1" x14ac:dyDescent="0.25">
      <c r="A28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5" s="79">
        <v>4</v>
      </c>
      <c r="C2805" s="23">
        <v>44859</v>
      </c>
      <c r="D2805" s="67">
        <f>IF(COUNTIF($G$2:$G2805,$G2805)=1,1,0)</f>
        <v>0</v>
      </c>
      <c r="E2805" s="67" t="str">
        <f>IFERROR(VLOOKUP(База_КР_КК[[#This Row],[ИД штатной должности (S)]],'уровень защищенности'!$B$7:$F$1095,5,0),"не защищена")</f>
        <v>высокий</v>
      </c>
      <c r="F2805" s="68">
        <v>500311</v>
      </c>
      <c r="G2805" s="74" t="s">
        <v>2854</v>
      </c>
      <c r="H2805" s="181">
        <f>INDEX('Списки данных'!$D$2:$D$1048576,MATCH(База_КР_КК[[#This Row],[Структурное подразделение]],'Списки данных'!$C$2:$C$1048576,0))</f>
        <v>6</v>
      </c>
      <c r="I2805" s="80" t="s">
        <v>136</v>
      </c>
      <c r="J2805" s="80" t="s">
        <v>246</v>
      </c>
      <c r="K2805" s="80" t="s">
        <v>247</v>
      </c>
      <c r="L2805" s="30" t="s">
        <v>191</v>
      </c>
      <c r="M2805" s="68">
        <v>6</v>
      </c>
      <c r="N2805" s="181" t="str">
        <f t="shared" si="44"/>
        <v>нет</v>
      </c>
      <c r="O2805" s="23"/>
      <c r="P2805" s="23"/>
      <c r="Q2805" s="106"/>
      <c r="R2805" s="37">
        <v>677</v>
      </c>
      <c r="S2805" s="39" t="s">
        <v>1086</v>
      </c>
      <c r="T2805" s="37">
        <v>1768</v>
      </c>
      <c r="U2805" s="38" t="s">
        <v>2034</v>
      </c>
      <c r="V2805" s="89" t="s">
        <v>272</v>
      </c>
      <c r="W2805" s="89" t="s">
        <v>136</v>
      </c>
      <c r="X2805" s="106" t="s">
        <v>296</v>
      </c>
      <c r="Y2805" s="107" t="s">
        <v>12</v>
      </c>
      <c r="Z2805" s="67">
        <f>IF(База_КР_КК[[#This Row],[Таб.номер резервиста]]="-","-",IF(OR(База_КР_КК[[#This Row],[Уровень КК]]=2,База_КР_КК[[#This Row],[Уровень КК]]=3),IF(COUNTIFS($U$2:$U2805,$U2805,$F$2:$F2805,$F2805)=1,1,0),IF(COUNTIFS($U$2:$U2805,$U2805,$L$2:$L2805,$L2805)=1,1,0)))</f>
        <v>0</v>
      </c>
      <c r="AA28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5" s="106"/>
      <c r="AC2805" s="51"/>
      <c r="AD2805" s="106" t="s">
        <v>13</v>
      </c>
      <c r="AE2805" s="38" t="s">
        <v>376</v>
      </c>
    </row>
    <row r="2806" spans="1:31" ht="18" customHeight="1" x14ac:dyDescent="0.25">
      <c r="A28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6" s="79">
        <v>4</v>
      </c>
      <c r="C2806" s="23">
        <v>44109</v>
      </c>
      <c r="D2806" s="67">
        <f>IF(COUNTIF($G$2:$G2806,$G2806)=1,1,0)</f>
        <v>1</v>
      </c>
      <c r="E2806" s="67" t="str">
        <f>IFERROR(VLOOKUP(База_КР_КК[[#This Row],[ИД штатной должности (S)]],'уровень защищенности'!$B$7:$F$1095,5,0),"не защищена")</f>
        <v>высокий</v>
      </c>
      <c r="F2806" s="68">
        <v>500312</v>
      </c>
      <c r="G2806" s="74" t="s">
        <v>2855</v>
      </c>
      <c r="H2806" s="181">
        <f>INDEX('Списки данных'!$D$2:$D$1048576,MATCH(База_КР_КК[[#This Row],[Структурное подразделение]],'Списки данных'!$C$2:$C$1048576,0))</f>
        <v>6</v>
      </c>
      <c r="I2806" s="80" t="s">
        <v>136</v>
      </c>
      <c r="J2806" s="80" t="s">
        <v>246</v>
      </c>
      <c r="K2806" s="80" t="s">
        <v>247</v>
      </c>
      <c r="L2806" s="30" t="s">
        <v>192</v>
      </c>
      <c r="M2806" s="68">
        <v>6</v>
      </c>
      <c r="N2806" s="181" t="str">
        <f t="shared" si="44"/>
        <v>нет</v>
      </c>
      <c r="O2806" s="23"/>
      <c r="P2806" s="23"/>
      <c r="Q2806" s="106"/>
      <c r="R2806" s="37">
        <v>678</v>
      </c>
      <c r="S2806" s="38" t="s">
        <v>1087</v>
      </c>
      <c r="T2806" s="37">
        <v>1769</v>
      </c>
      <c r="U2806" s="39" t="s">
        <v>2035</v>
      </c>
      <c r="V2806" s="89" t="s">
        <v>272</v>
      </c>
      <c r="W2806" s="89" t="s">
        <v>136</v>
      </c>
      <c r="X2806" s="106" t="s">
        <v>295</v>
      </c>
      <c r="Y2806" s="107" t="s">
        <v>12</v>
      </c>
      <c r="Z2806" s="67">
        <f>IF(База_КР_КК[[#This Row],[Таб.номер резервиста]]="-","-",IF(OR(База_КР_КК[[#This Row],[Уровень КК]]=2,База_КР_КК[[#This Row],[Уровень КК]]=3),IF(COUNTIFS($U$2:$U2806,$U2806,$F$2:$F2806,$F2806)=1,1,0),IF(COUNTIFS($U$2:$U2806,$U2806,$L$2:$L2806,$L2806)=1,1,0)))</f>
        <v>1</v>
      </c>
      <c r="AA28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6" s="106"/>
      <c r="AC2806" s="51"/>
      <c r="AD2806" s="106" t="s">
        <v>17</v>
      </c>
      <c r="AE2806" s="38" t="s">
        <v>376</v>
      </c>
    </row>
    <row r="2807" spans="1:31" ht="18" customHeight="1" x14ac:dyDescent="0.25">
      <c r="A28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7" s="79">
        <v>4</v>
      </c>
      <c r="C2807" s="23">
        <v>44109</v>
      </c>
      <c r="D2807" s="67">
        <f>IF(COUNTIF($G$2:$G2807,$G2807)=1,1,0)</f>
        <v>1</v>
      </c>
      <c r="E2807" s="67" t="str">
        <f>IFERROR(VLOOKUP(База_КР_КК[[#This Row],[ИД штатной должности (S)]],'уровень защищенности'!$B$7:$F$1095,5,0),"не защищена")</f>
        <v>высокий</v>
      </c>
      <c r="F2807" s="68">
        <v>500313</v>
      </c>
      <c r="G2807" s="74" t="s">
        <v>2856</v>
      </c>
      <c r="H2807" s="181">
        <f>INDEX('Списки данных'!$D$2:$D$1048576,MATCH(База_КР_КК[[#This Row],[Структурное подразделение]],'Списки данных'!$C$2:$C$1048576,0))</f>
        <v>6</v>
      </c>
      <c r="I2807" s="80" t="s">
        <v>136</v>
      </c>
      <c r="J2807" s="80" t="s">
        <v>246</v>
      </c>
      <c r="K2807" s="80" t="s">
        <v>247</v>
      </c>
      <c r="L2807" s="30" t="s">
        <v>192</v>
      </c>
      <c r="M2807" s="68">
        <v>6</v>
      </c>
      <c r="N2807" s="181" t="str">
        <f t="shared" si="44"/>
        <v>да</v>
      </c>
      <c r="O2807" s="23">
        <v>44136</v>
      </c>
      <c r="P2807" s="23">
        <v>44136</v>
      </c>
      <c r="Q2807" s="106" t="s">
        <v>57</v>
      </c>
      <c r="R2807" s="37">
        <v>679</v>
      </c>
      <c r="S2807" s="38" t="s">
        <v>1088</v>
      </c>
      <c r="T2807" s="37">
        <v>1770</v>
      </c>
      <c r="U2807" s="39" t="s">
        <v>2036</v>
      </c>
      <c r="V2807" s="89" t="s">
        <v>272</v>
      </c>
      <c r="W2807" s="89" t="s">
        <v>136</v>
      </c>
      <c r="X2807" s="106" t="s">
        <v>295</v>
      </c>
      <c r="Y2807" s="107" t="s">
        <v>12</v>
      </c>
      <c r="Z2807" s="67">
        <f>IF(База_КР_КК[[#This Row],[Таб.номер резервиста]]="-","-",IF(OR(База_КР_КК[[#This Row],[Уровень КК]]=2,База_КР_КК[[#This Row],[Уровень КК]]=3),IF(COUNTIFS($U$2:$U2807,$U2807,$F$2:$F2807,$F2807)=1,1,0),IF(COUNTIFS($U$2:$U2807,$U2807,$L$2:$L2807,$L2807)=1,1,0)))</f>
        <v>1</v>
      </c>
      <c r="AA28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7" s="106"/>
      <c r="AC2807" s="51"/>
      <c r="AD2807" s="106" t="s">
        <v>13</v>
      </c>
      <c r="AE2807" s="38" t="s">
        <v>376</v>
      </c>
    </row>
    <row r="2808" spans="1:31" ht="18" customHeight="1" x14ac:dyDescent="0.25">
      <c r="A28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8" s="79">
        <v>4</v>
      </c>
      <c r="C2808" s="23">
        <v>44109</v>
      </c>
      <c r="D2808" s="67">
        <f>IF(COUNTIF($G$2:$G2808,$G2808)=1,1,0)</f>
        <v>0</v>
      </c>
      <c r="E2808" s="67" t="str">
        <f>IFERROR(VLOOKUP(База_КР_КК[[#This Row],[ИД штатной должности (S)]],'уровень защищенности'!$B$7:$F$1095,5,0),"не защищена")</f>
        <v>высокий</v>
      </c>
      <c r="F2808" s="68">
        <v>500313</v>
      </c>
      <c r="G2808" s="74" t="s">
        <v>2856</v>
      </c>
      <c r="H2808" s="181">
        <f>INDEX('Списки данных'!$D$2:$D$1048576,MATCH(База_КР_КК[[#This Row],[Структурное подразделение]],'Списки данных'!$C$2:$C$1048576,0))</f>
        <v>6</v>
      </c>
      <c r="I2808" s="80" t="s">
        <v>136</v>
      </c>
      <c r="J2808" s="80" t="s">
        <v>246</v>
      </c>
      <c r="K2808" s="80" t="s">
        <v>247</v>
      </c>
      <c r="L2808" s="30" t="s">
        <v>192</v>
      </c>
      <c r="M2808" s="68">
        <v>6</v>
      </c>
      <c r="N2808" s="181" t="str">
        <f t="shared" si="44"/>
        <v>да</v>
      </c>
      <c r="O2808" s="23">
        <v>44136</v>
      </c>
      <c r="P2808" s="23">
        <v>44136</v>
      </c>
      <c r="Q2808" s="106" t="s">
        <v>57</v>
      </c>
      <c r="R2808" s="37">
        <v>679</v>
      </c>
      <c r="S2808" s="38" t="s">
        <v>1088</v>
      </c>
      <c r="T2808" s="37">
        <v>681</v>
      </c>
      <c r="U2808" s="39" t="s">
        <v>1090</v>
      </c>
      <c r="V2808" s="89" t="s">
        <v>192</v>
      </c>
      <c r="W2808" s="89" t="s">
        <v>136</v>
      </c>
      <c r="X2808" s="106" t="s">
        <v>297</v>
      </c>
      <c r="Y2808" s="107" t="s">
        <v>12</v>
      </c>
      <c r="Z2808" s="67">
        <f>IF(База_КР_КК[[#This Row],[Таб.номер резервиста]]="-","-",IF(OR(База_КР_КК[[#This Row],[Уровень КК]]=2,База_КР_КК[[#This Row],[Уровень КК]]=3),IF(COUNTIFS($U$2:$U2808,$U2808,$F$2:$F2808,$F2808)=1,1,0),IF(COUNTIFS($U$2:$U2808,$U2808,$L$2:$L2808,$L2808)=1,1,0)))</f>
        <v>1</v>
      </c>
      <c r="AA28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8" s="106"/>
      <c r="AC2808" s="51"/>
      <c r="AD2808" s="106" t="s">
        <v>13</v>
      </c>
      <c r="AE2808" s="38" t="s">
        <v>376</v>
      </c>
    </row>
    <row r="2809" spans="1:31" ht="18" customHeight="1" x14ac:dyDescent="0.25">
      <c r="A28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09" s="79">
        <v>4</v>
      </c>
      <c r="C2809" s="23">
        <v>44109</v>
      </c>
      <c r="D2809" s="67">
        <f>IF(COUNTIF($G$2:$G2809,$G2809)=1,1,0)</f>
        <v>1</v>
      </c>
      <c r="E2809" s="67" t="str">
        <f>IFERROR(VLOOKUP(База_КР_КК[[#This Row],[ИД штатной должности (S)]],'уровень защищенности'!$B$7:$F$1095,5,0),"не защищена")</f>
        <v>высокий</v>
      </c>
      <c r="F2809" s="68">
        <v>500314</v>
      </c>
      <c r="G2809" s="74" t="s">
        <v>2857</v>
      </c>
      <c r="H2809" s="181">
        <f>INDEX('Списки данных'!$D$2:$D$1048576,MATCH(База_КР_КК[[#This Row],[Структурное подразделение]],'Списки данных'!$C$2:$C$1048576,0))</f>
        <v>6</v>
      </c>
      <c r="I2809" s="80" t="s">
        <v>136</v>
      </c>
      <c r="J2809" s="80" t="s">
        <v>246</v>
      </c>
      <c r="K2809" s="80" t="s">
        <v>247</v>
      </c>
      <c r="L2809" s="30" t="s">
        <v>191</v>
      </c>
      <c r="M2809" s="68">
        <v>6</v>
      </c>
      <c r="N2809" s="181" t="str">
        <f t="shared" si="44"/>
        <v>да</v>
      </c>
      <c r="O2809" s="23">
        <v>44908</v>
      </c>
      <c r="P2809" s="23">
        <v>45017</v>
      </c>
      <c r="Q2809" s="106" t="s">
        <v>66</v>
      </c>
      <c r="R2809" s="37">
        <v>680</v>
      </c>
      <c r="S2809" s="39" t="s">
        <v>1089</v>
      </c>
      <c r="T2809" s="37">
        <v>1771</v>
      </c>
      <c r="U2809" s="39" t="s">
        <v>2037</v>
      </c>
      <c r="V2809" s="89" t="s">
        <v>272</v>
      </c>
      <c r="W2809" s="89" t="s">
        <v>136</v>
      </c>
      <c r="X2809" s="106" t="s">
        <v>296</v>
      </c>
      <c r="Y2809" s="107" t="s">
        <v>12</v>
      </c>
      <c r="Z2809" s="67">
        <f>IF(База_КР_КК[[#This Row],[Таб.номер резервиста]]="-","-",IF(OR(База_КР_КК[[#This Row],[Уровень КК]]=2,База_КР_КК[[#This Row],[Уровень КК]]=3),IF(COUNTIFS($U$2:$U2809,$U2809,$F$2:$F2809,$F2809)=1,1,0),IF(COUNTIFS($U$2:$U2809,$U2809,$L$2:$L2809,$L2809)=1,1,0)))</f>
        <v>1</v>
      </c>
      <c r="AA28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09" s="106"/>
      <c r="AC2809" s="51"/>
      <c r="AD2809" s="106" t="s">
        <v>13</v>
      </c>
      <c r="AE2809" s="38" t="s">
        <v>376</v>
      </c>
    </row>
    <row r="2810" spans="1:31" ht="18" customHeight="1" x14ac:dyDescent="0.25">
      <c r="A28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0" s="79">
        <v>4</v>
      </c>
      <c r="C2810" s="23">
        <v>44109</v>
      </c>
      <c r="D2810" s="67">
        <f>IF(COUNTIF($G$2:$G2810,$G2810)=1,1,0)</f>
        <v>0</v>
      </c>
      <c r="E2810" s="67" t="str">
        <f>IFERROR(VLOOKUP(База_КР_КК[[#This Row],[ИД штатной должности (S)]],'уровень защищенности'!$B$7:$F$1095,5,0),"не защищена")</f>
        <v>высокий</v>
      </c>
      <c r="F2810" s="68">
        <v>500314</v>
      </c>
      <c r="G2810" s="74" t="s">
        <v>2857</v>
      </c>
      <c r="H2810" s="181">
        <f>INDEX('Списки данных'!$D$2:$D$1048576,MATCH(База_КР_КК[[#This Row],[Структурное подразделение]],'Списки данных'!$C$2:$C$1048576,0))</f>
        <v>6</v>
      </c>
      <c r="I2810" s="80" t="s">
        <v>136</v>
      </c>
      <c r="J2810" s="80" t="s">
        <v>246</v>
      </c>
      <c r="K2810" s="80" t="s">
        <v>247</v>
      </c>
      <c r="L2810" s="30" t="s">
        <v>191</v>
      </c>
      <c r="M2810" s="68">
        <v>6</v>
      </c>
      <c r="N2810" s="181" t="str">
        <f t="shared" si="44"/>
        <v>да</v>
      </c>
      <c r="O2810" s="23">
        <v>44908</v>
      </c>
      <c r="P2810" s="23">
        <v>45017</v>
      </c>
      <c r="Q2810" s="106" t="s">
        <v>66</v>
      </c>
      <c r="R2810" s="37">
        <v>680</v>
      </c>
      <c r="S2810" s="39" t="s">
        <v>1089</v>
      </c>
      <c r="T2810" s="37">
        <v>1772</v>
      </c>
      <c r="U2810" s="39" t="s">
        <v>2038</v>
      </c>
      <c r="V2810" s="89" t="s">
        <v>272</v>
      </c>
      <c r="W2810" s="89" t="s">
        <v>136</v>
      </c>
      <c r="X2810" s="106" t="s">
        <v>295</v>
      </c>
      <c r="Y2810" s="107" t="s">
        <v>12</v>
      </c>
      <c r="Z2810" s="67">
        <f>IF(База_КР_КК[[#This Row],[Таб.номер резервиста]]="-","-",IF(OR(База_КР_КК[[#This Row],[Уровень КК]]=2,База_КР_КК[[#This Row],[Уровень КК]]=3),IF(COUNTIFS($U$2:$U2810,$U2810,$F$2:$F2810,$F2810)=1,1,0),IF(COUNTIFS($U$2:$U2810,$U2810,$L$2:$L2810,$L2810)=1,1,0)))</f>
        <v>1</v>
      </c>
      <c r="AA28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10" s="106"/>
      <c r="AC2810" s="51"/>
      <c r="AD2810" s="106" t="s">
        <v>13</v>
      </c>
      <c r="AE2810" s="38" t="s">
        <v>376</v>
      </c>
    </row>
    <row r="2811" spans="1:31" ht="18" customHeight="1" x14ac:dyDescent="0.25">
      <c r="A28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1" s="79">
        <v>4</v>
      </c>
      <c r="C2811" s="23">
        <v>44859</v>
      </c>
      <c r="D2811" s="67">
        <f>IF(COUNTIF($G$2:$G2811,$G2811)=1,1,0)</f>
        <v>0</v>
      </c>
      <c r="E2811" s="67" t="str">
        <f>IFERROR(VLOOKUP(База_КР_КК[[#This Row],[ИД штатной должности (S)]],'уровень защищенности'!$B$7:$F$1095,5,0),"не защищена")</f>
        <v>высокий</v>
      </c>
      <c r="F2811" s="68">
        <v>500314</v>
      </c>
      <c r="G2811" s="74" t="s">
        <v>2857</v>
      </c>
      <c r="H2811" s="181">
        <f>INDEX('Списки данных'!$D$2:$D$1048576,MATCH(База_КР_КК[[#This Row],[Структурное подразделение]],'Списки данных'!$C$2:$C$1048576,0))</f>
        <v>6</v>
      </c>
      <c r="I2811" s="80" t="s">
        <v>136</v>
      </c>
      <c r="J2811" s="80" t="s">
        <v>246</v>
      </c>
      <c r="K2811" s="80" t="s">
        <v>247</v>
      </c>
      <c r="L2811" s="30" t="s">
        <v>191</v>
      </c>
      <c r="M2811" s="68">
        <v>6</v>
      </c>
      <c r="N2811" s="181" t="str">
        <f t="shared" si="44"/>
        <v>да</v>
      </c>
      <c r="O2811" s="23">
        <v>44908</v>
      </c>
      <c r="P2811" s="23">
        <v>45017</v>
      </c>
      <c r="Q2811" s="106" t="s">
        <v>66</v>
      </c>
      <c r="R2811" s="37">
        <v>680</v>
      </c>
      <c r="S2811" s="39" t="s">
        <v>1089</v>
      </c>
      <c r="T2811" s="37">
        <v>1773</v>
      </c>
      <c r="U2811" s="38" t="s">
        <v>1679</v>
      </c>
      <c r="V2811" s="89" t="s">
        <v>272</v>
      </c>
      <c r="W2811" s="89" t="s">
        <v>136</v>
      </c>
      <c r="X2811" s="106" t="s">
        <v>296</v>
      </c>
      <c r="Y2811" s="107" t="s">
        <v>12</v>
      </c>
      <c r="Z2811" s="67">
        <f>IF(База_КР_КК[[#This Row],[Таб.номер резервиста]]="-","-",IF(OR(База_КР_КК[[#This Row],[Уровень КК]]=2,База_КР_КК[[#This Row],[Уровень КК]]=3),IF(COUNTIFS($U$2:$U2811,$U2811,$F$2:$F2811,$F2811)=1,1,0),IF(COUNTIFS($U$2:$U2811,$U2811,$L$2:$L2811,$L2811)=1,1,0)))</f>
        <v>0</v>
      </c>
      <c r="AA28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11" s="106"/>
      <c r="AC2811" s="51"/>
      <c r="AD2811" s="106" t="s">
        <v>13</v>
      </c>
      <c r="AE2811" s="38" t="s">
        <v>376</v>
      </c>
    </row>
    <row r="2812" spans="1:31" ht="18" customHeight="1" x14ac:dyDescent="0.25">
      <c r="A28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2" s="79">
        <v>4</v>
      </c>
      <c r="C2812" s="23">
        <v>44859</v>
      </c>
      <c r="D2812" s="67">
        <f>IF(COUNTIF($G$2:$G2812,$G2812)=1,1,0)</f>
        <v>0</v>
      </c>
      <c r="E2812" s="67" t="str">
        <f>IFERROR(VLOOKUP(База_КР_КК[[#This Row],[ИД штатной должности (S)]],'уровень защищенности'!$B$7:$F$1095,5,0),"не защищена")</f>
        <v>высокий</v>
      </c>
      <c r="F2812" s="68">
        <v>500314</v>
      </c>
      <c r="G2812" s="74" t="s">
        <v>2857</v>
      </c>
      <c r="H2812" s="181">
        <f>INDEX('Списки данных'!$D$2:$D$1048576,MATCH(База_КР_КК[[#This Row],[Структурное подразделение]],'Списки данных'!$C$2:$C$1048576,0))</f>
        <v>6</v>
      </c>
      <c r="I2812" s="80" t="s">
        <v>136</v>
      </c>
      <c r="J2812" s="80" t="s">
        <v>246</v>
      </c>
      <c r="K2812" s="80" t="s">
        <v>247</v>
      </c>
      <c r="L2812" s="30" t="s">
        <v>191</v>
      </c>
      <c r="M2812" s="68">
        <v>6</v>
      </c>
      <c r="N2812" s="181" t="str">
        <f t="shared" si="44"/>
        <v>да</v>
      </c>
      <c r="O2812" s="23">
        <v>44908</v>
      </c>
      <c r="P2812" s="23">
        <v>45017</v>
      </c>
      <c r="Q2812" s="106" t="s">
        <v>66</v>
      </c>
      <c r="R2812" s="37">
        <v>680</v>
      </c>
      <c r="S2812" s="39" t="s">
        <v>1089</v>
      </c>
      <c r="T2812" s="37">
        <v>1774</v>
      </c>
      <c r="U2812" s="38" t="s">
        <v>2039</v>
      </c>
      <c r="V2812" s="69" t="s">
        <v>272</v>
      </c>
      <c r="W2812" s="89" t="s">
        <v>136</v>
      </c>
      <c r="X2812" s="106" t="s">
        <v>296</v>
      </c>
      <c r="Y2812" s="107" t="s">
        <v>12</v>
      </c>
      <c r="Z2812" s="67">
        <f>IF(База_КР_КК[[#This Row],[Таб.номер резервиста]]="-","-",IF(OR(База_КР_КК[[#This Row],[Уровень КК]]=2,База_КР_КК[[#This Row],[Уровень КК]]=3),IF(COUNTIFS($U$2:$U2812,$U2812,$F$2:$F2812,$F2812)=1,1,0),IF(COUNTIFS($U$2:$U2812,$U2812,$L$2:$L2812,$L2812)=1,1,0)))</f>
        <v>1</v>
      </c>
      <c r="AA28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12" s="106"/>
      <c r="AC2812" s="51"/>
      <c r="AD2812" s="106" t="s">
        <v>13</v>
      </c>
      <c r="AE2812" s="38" t="s">
        <v>376</v>
      </c>
    </row>
    <row r="2813" spans="1:31" ht="18" customHeight="1" x14ac:dyDescent="0.25">
      <c r="A28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3" s="79">
        <v>4</v>
      </c>
      <c r="C2813" s="23">
        <v>44109</v>
      </c>
      <c r="D2813" s="67">
        <f>IF(COUNTIF($G$2:$G2813,$G2813)=1,1,0)</f>
        <v>0</v>
      </c>
      <c r="E2813" s="67" t="str">
        <f>IFERROR(VLOOKUP(База_КР_КК[[#This Row],[ИД штатной должности (S)]],'уровень защищенности'!$B$7:$F$1095,5,0),"не защищена")</f>
        <v>высокий</v>
      </c>
      <c r="F2813" s="68">
        <v>500314</v>
      </c>
      <c r="G2813" s="74" t="s">
        <v>2857</v>
      </c>
      <c r="H2813" s="181">
        <f>INDEX('Списки данных'!$D$2:$D$1048576,MATCH(База_КР_КК[[#This Row],[Структурное подразделение]],'Списки данных'!$C$2:$C$1048576,0))</f>
        <v>6</v>
      </c>
      <c r="I2813" s="80" t="s">
        <v>136</v>
      </c>
      <c r="J2813" s="80" t="s">
        <v>246</v>
      </c>
      <c r="K2813" s="80" t="s">
        <v>247</v>
      </c>
      <c r="L2813" s="30" t="s">
        <v>191</v>
      </c>
      <c r="M2813" s="68">
        <v>6</v>
      </c>
      <c r="N2813" s="181" t="str">
        <f t="shared" si="44"/>
        <v>да</v>
      </c>
      <c r="O2813" s="23">
        <v>44908</v>
      </c>
      <c r="P2813" s="23">
        <v>45017</v>
      </c>
      <c r="Q2813" s="106" t="s">
        <v>66</v>
      </c>
      <c r="R2813" s="37">
        <v>680</v>
      </c>
      <c r="S2813" s="39" t="s">
        <v>1089</v>
      </c>
      <c r="T2813" s="37">
        <v>680</v>
      </c>
      <c r="U2813" s="39" t="s">
        <v>1089</v>
      </c>
      <c r="V2813" s="89" t="s">
        <v>192</v>
      </c>
      <c r="W2813" s="89" t="s">
        <v>136</v>
      </c>
      <c r="X2813" s="106" t="s">
        <v>295</v>
      </c>
      <c r="Y2813" s="107" t="s">
        <v>14</v>
      </c>
      <c r="Z2813" s="67">
        <f>IF(База_КР_КК[[#This Row],[Таб.номер резервиста]]="-","-",IF(OR(База_КР_КК[[#This Row],[Уровень КК]]=2,База_КР_КК[[#This Row],[Уровень КК]]=3),IF(COUNTIFS($U$2:$U2813,$U2813,$F$2:$F2813,$F2813)=1,1,0),IF(COUNTIFS($U$2:$U2813,$U2813,$L$2:$L2813,$L2813)=1,1,0)))</f>
        <v>1</v>
      </c>
      <c r="AA28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813" s="106" t="s">
        <v>24</v>
      </c>
      <c r="AC2813" s="51">
        <v>45017</v>
      </c>
      <c r="AD2813" s="106" t="s">
        <v>13</v>
      </c>
      <c r="AE2813" s="38" t="s">
        <v>376</v>
      </c>
    </row>
    <row r="2814" spans="1:31" ht="18" customHeight="1" x14ac:dyDescent="0.25">
      <c r="A28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4" s="79">
        <v>4</v>
      </c>
      <c r="C2814" s="23">
        <v>44109</v>
      </c>
      <c r="D2814" s="67">
        <f>IF(COUNTIF($G$2:$G2814,$G2814)=1,1,0)</f>
        <v>0</v>
      </c>
      <c r="E2814" s="67" t="str">
        <f>IFERROR(VLOOKUP(База_КР_КК[[#This Row],[ИД штатной должности (S)]],'уровень защищенности'!$B$7:$F$1095,5,0),"не защищена")</f>
        <v>высокий</v>
      </c>
      <c r="F2814" s="68">
        <v>500314</v>
      </c>
      <c r="G2814" s="74" t="s">
        <v>2857</v>
      </c>
      <c r="H2814" s="181">
        <f>INDEX('Списки данных'!$D$2:$D$1048576,MATCH(База_КР_КК[[#This Row],[Структурное подразделение]],'Списки данных'!$C$2:$C$1048576,0))</f>
        <v>6</v>
      </c>
      <c r="I2814" s="80" t="s">
        <v>136</v>
      </c>
      <c r="J2814" s="80" t="s">
        <v>246</v>
      </c>
      <c r="K2814" s="80" t="s">
        <v>247</v>
      </c>
      <c r="L2814" s="30" t="s">
        <v>191</v>
      </c>
      <c r="M2814" s="68">
        <v>6</v>
      </c>
      <c r="N2814" s="181" t="str">
        <f t="shared" si="44"/>
        <v>да</v>
      </c>
      <c r="O2814" s="23">
        <v>44908</v>
      </c>
      <c r="P2814" s="23">
        <v>45017</v>
      </c>
      <c r="Q2814" s="106" t="s">
        <v>66</v>
      </c>
      <c r="R2814" s="37">
        <v>680</v>
      </c>
      <c r="S2814" s="39" t="s">
        <v>1089</v>
      </c>
      <c r="T2814" s="37">
        <v>1775</v>
      </c>
      <c r="U2814" s="39" t="s">
        <v>2040</v>
      </c>
      <c r="V2814" s="89" t="s">
        <v>272</v>
      </c>
      <c r="W2814" s="89" t="s">
        <v>136</v>
      </c>
      <c r="X2814" s="106" t="s">
        <v>295</v>
      </c>
      <c r="Y2814" s="107" t="s">
        <v>18</v>
      </c>
      <c r="Z2814" s="67">
        <f>IF(База_КР_КК[[#This Row],[Таб.номер резервиста]]="-","-",IF(OR(База_КР_КК[[#This Row],[Уровень КК]]=2,База_КР_КК[[#This Row],[Уровень КК]]=3),IF(COUNTIFS($U$2:$U2814,$U2814,$F$2:$F2814,$F2814)=1,1,0),IF(COUNTIFS($U$2:$U2814,$U2814,$L$2:$L2814,$L2814)=1,1,0)))</f>
        <v>1</v>
      </c>
      <c r="AA28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14" s="106" t="s">
        <v>38</v>
      </c>
      <c r="AC2814" s="51">
        <v>44859</v>
      </c>
      <c r="AD2814" s="106" t="s">
        <v>31</v>
      </c>
      <c r="AE2814" s="38" t="s">
        <v>376</v>
      </c>
    </row>
    <row r="2815" spans="1:31" ht="18" customHeight="1" x14ac:dyDescent="0.25">
      <c r="A28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5" s="79">
        <v>4</v>
      </c>
      <c r="C2815" s="23">
        <v>44109</v>
      </c>
      <c r="D2815" s="67">
        <f>IF(COUNTIF($G$2:$G2815,$G2815)=1,1,0)</f>
        <v>1</v>
      </c>
      <c r="E2815" s="67" t="str">
        <f>IFERROR(VLOOKUP(База_КР_КК[[#This Row],[ИД штатной должности (S)]],'уровень защищенности'!$B$7:$F$1095,5,0),"не защищена")</f>
        <v>высокий</v>
      </c>
      <c r="F2815" s="68">
        <v>500314</v>
      </c>
      <c r="G2815" s="74" t="s">
        <v>2858</v>
      </c>
      <c r="H2815" s="181">
        <f>INDEX('Списки данных'!$D$2:$D$1048576,MATCH(База_КР_КК[[#This Row],[Структурное подразделение]],'Списки данных'!$C$2:$C$1048576,0))</f>
        <v>6</v>
      </c>
      <c r="I2815" s="80" t="s">
        <v>136</v>
      </c>
      <c r="J2815" s="80" t="s">
        <v>246</v>
      </c>
      <c r="K2815" s="80" t="s">
        <v>247</v>
      </c>
      <c r="L2815" s="30" t="s">
        <v>191</v>
      </c>
      <c r="M2815" s="68">
        <v>6</v>
      </c>
      <c r="N2815" s="181" t="str">
        <f t="shared" ref="N2815:N2878" si="45">IF(ISBLANK(O2815),"нет","да")</f>
        <v>да</v>
      </c>
      <c r="O2815" s="23">
        <v>44136</v>
      </c>
      <c r="P2815" s="23">
        <v>44136</v>
      </c>
      <c r="Q2815" s="106" t="s">
        <v>66</v>
      </c>
      <c r="R2815" s="37">
        <v>681</v>
      </c>
      <c r="S2815" s="38" t="s">
        <v>1090</v>
      </c>
      <c r="T2815" s="37">
        <v>1771</v>
      </c>
      <c r="U2815" s="39" t="s">
        <v>2037</v>
      </c>
      <c r="V2815" s="89" t="s">
        <v>272</v>
      </c>
      <c r="W2815" s="89" t="s">
        <v>136</v>
      </c>
      <c r="X2815" s="106" t="s">
        <v>296</v>
      </c>
      <c r="Y2815" s="107" t="s">
        <v>12</v>
      </c>
      <c r="Z2815" s="67">
        <f>IF(База_КР_КК[[#This Row],[Таб.номер резервиста]]="-","-",IF(OR(База_КР_КК[[#This Row],[Уровень КК]]=2,База_КР_КК[[#This Row],[Уровень КК]]=3),IF(COUNTIFS($U$2:$U2815,$U2815,$F$2:$F2815,$F2815)=1,1,0),IF(COUNTIFS($U$2:$U2815,$U2815,$L$2:$L2815,$L2815)=1,1,0)))</f>
        <v>0</v>
      </c>
      <c r="AA28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15" s="106"/>
      <c r="AC2815" s="51"/>
      <c r="AD2815" s="106" t="s">
        <v>13</v>
      </c>
      <c r="AE2815" s="38" t="s">
        <v>376</v>
      </c>
    </row>
    <row r="2816" spans="1:31" ht="18" customHeight="1" x14ac:dyDescent="0.25">
      <c r="A28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6" s="79">
        <v>4</v>
      </c>
      <c r="C2816" s="23">
        <v>44109</v>
      </c>
      <c r="D2816" s="67">
        <f>IF(COUNTIF($G$2:$G2816,$G2816)=1,1,0)</f>
        <v>0</v>
      </c>
      <c r="E2816" s="67" t="str">
        <f>IFERROR(VLOOKUP(База_КР_КК[[#This Row],[ИД штатной должности (S)]],'уровень защищенности'!$B$7:$F$1095,5,0),"не защищена")</f>
        <v>высокий</v>
      </c>
      <c r="F2816" s="68">
        <v>500314</v>
      </c>
      <c r="G2816" s="74" t="s">
        <v>2858</v>
      </c>
      <c r="H2816" s="181">
        <f>INDEX('Списки данных'!$D$2:$D$1048576,MATCH(База_КР_КК[[#This Row],[Структурное подразделение]],'Списки данных'!$C$2:$C$1048576,0))</f>
        <v>6</v>
      </c>
      <c r="I2816" s="80" t="s">
        <v>136</v>
      </c>
      <c r="J2816" s="80" t="s">
        <v>246</v>
      </c>
      <c r="K2816" s="80" t="s">
        <v>247</v>
      </c>
      <c r="L2816" s="30" t="s">
        <v>191</v>
      </c>
      <c r="M2816" s="68">
        <v>6</v>
      </c>
      <c r="N2816" s="181" t="str">
        <f t="shared" si="45"/>
        <v>да</v>
      </c>
      <c r="O2816" s="23">
        <v>44136</v>
      </c>
      <c r="P2816" s="23">
        <v>44136</v>
      </c>
      <c r="Q2816" s="106" t="s">
        <v>66</v>
      </c>
      <c r="R2816" s="37">
        <v>681</v>
      </c>
      <c r="S2816" s="38" t="s">
        <v>1090</v>
      </c>
      <c r="T2816" s="37">
        <v>1772</v>
      </c>
      <c r="U2816" s="39" t="s">
        <v>2038</v>
      </c>
      <c r="V2816" s="89" t="s">
        <v>272</v>
      </c>
      <c r="W2816" s="89" t="s">
        <v>136</v>
      </c>
      <c r="X2816" s="106" t="s">
        <v>295</v>
      </c>
      <c r="Y2816" s="107" t="s">
        <v>12</v>
      </c>
      <c r="Z2816" s="67">
        <f>IF(База_КР_КК[[#This Row],[Таб.номер резервиста]]="-","-",IF(OR(База_КР_КК[[#This Row],[Уровень КК]]=2,База_КР_КК[[#This Row],[Уровень КК]]=3),IF(COUNTIFS($U$2:$U2816,$U2816,$F$2:$F2816,$F2816)=1,1,0),IF(COUNTIFS($U$2:$U2816,$U2816,$L$2:$L2816,$L2816)=1,1,0)))</f>
        <v>0</v>
      </c>
      <c r="AA28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16" s="106"/>
      <c r="AC2816" s="51"/>
      <c r="AD2816" s="106" t="s">
        <v>13</v>
      </c>
      <c r="AE2816" s="38" t="s">
        <v>376</v>
      </c>
    </row>
    <row r="2817" spans="1:31" ht="18" customHeight="1" x14ac:dyDescent="0.25">
      <c r="A28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7" s="79">
        <v>4</v>
      </c>
      <c r="C2817" s="23">
        <v>44859</v>
      </c>
      <c r="D2817" s="67">
        <f>IF(COUNTIF($G$2:$G2817,$G2817)=1,1,0)</f>
        <v>0</v>
      </c>
      <c r="E2817" s="67" t="str">
        <f>IFERROR(VLOOKUP(База_КР_КК[[#This Row],[ИД штатной должности (S)]],'уровень защищенности'!$B$7:$F$1095,5,0),"не защищена")</f>
        <v>высокий</v>
      </c>
      <c r="F2817" s="68">
        <v>500314</v>
      </c>
      <c r="G2817" s="74" t="s">
        <v>2858</v>
      </c>
      <c r="H2817" s="181">
        <f>INDEX('Списки данных'!$D$2:$D$1048576,MATCH(База_КР_КК[[#This Row],[Структурное подразделение]],'Списки данных'!$C$2:$C$1048576,0))</f>
        <v>6</v>
      </c>
      <c r="I2817" s="80" t="s">
        <v>136</v>
      </c>
      <c r="J2817" s="80" t="s">
        <v>246</v>
      </c>
      <c r="K2817" s="80" t="s">
        <v>247</v>
      </c>
      <c r="L2817" s="30" t="s">
        <v>191</v>
      </c>
      <c r="M2817" s="68">
        <v>6</v>
      </c>
      <c r="N2817" s="181" t="str">
        <f t="shared" si="45"/>
        <v>да</v>
      </c>
      <c r="O2817" s="23">
        <v>44136</v>
      </c>
      <c r="P2817" s="23">
        <v>44136</v>
      </c>
      <c r="Q2817" s="106" t="s">
        <v>66</v>
      </c>
      <c r="R2817" s="37">
        <v>681</v>
      </c>
      <c r="S2817" s="39" t="s">
        <v>1090</v>
      </c>
      <c r="T2817" s="37">
        <v>1773</v>
      </c>
      <c r="U2817" s="38" t="s">
        <v>1679</v>
      </c>
      <c r="V2817" s="89" t="s">
        <v>272</v>
      </c>
      <c r="W2817" s="89" t="s">
        <v>136</v>
      </c>
      <c r="X2817" s="106" t="s">
        <v>296</v>
      </c>
      <c r="Y2817" s="107" t="s">
        <v>12</v>
      </c>
      <c r="Z2817" s="67">
        <f>IF(База_КР_КК[[#This Row],[Таб.номер резервиста]]="-","-",IF(OR(База_КР_КК[[#This Row],[Уровень КК]]=2,База_КР_КК[[#This Row],[Уровень КК]]=3),IF(COUNTIFS($U$2:$U2817,$U2817,$F$2:$F2817,$F2817)=1,1,0),IF(COUNTIFS($U$2:$U2817,$U2817,$L$2:$L2817,$L2817)=1,1,0)))</f>
        <v>0</v>
      </c>
      <c r="AA28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17" s="106"/>
      <c r="AC2817" s="51"/>
      <c r="AD2817" s="106" t="s">
        <v>13</v>
      </c>
      <c r="AE2817" s="38" t="s">
        <v>376</v>
      </c>
    </row>
    <row r="2818" spans="1:31" ht="18" customHeight="1" x14ac:dyDescent="0.25">
      <c r="A28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8" s="79">
        <v>4</v>
      </c>
      <c r="C2818" s="23">
        <v>44859</v>
      </c>
      <c r="D2818" s="67">
        <f>IF(COUNTIF($G$2:$G2818,$G2818)=1,1,0)</f>
        <v>0</v>
      </c>
      <c r="E2818" s="67" t="str">
        <f>IFERROR(VLOOKUP(База_КР_КК[[#This Row],[ИД штатной должности (S)]],'уровень защищенности'!$B$7:$F$1095,5,0),"не защищена")</f>
        <v>высокий</v>
      </c>
      <c r="F2818" s="68">
        <v>500314</v>
      </c>
      <c r="G2818" s="74" t="s">
        <v>2858</v>
      </c>
      <c r="H2818" s="181">
        <f>INDEX('Списки данных'!$D$2:$D$1048576,MATCH(База_КР_КК[[#This Row],[Структурное подразделение]],'Списки данных'!$C$2:$C$1048576,0))</f>
        <v>6</v>
      </c>
      <c r="I2818" s="80" t="s">
        <v>136</v>
      </c>
      <c r="J2818" s="80" t="s">
        <v>246</v>
      </c>
      <c r="K2818" s="80" t="s">
        <v>247</v>
      </c>
      <c r="L2818" s="30" t="s">
        <v>191</v>
      </c>
      <c r="M2818" s="68">
        <v>6</v>
      </c>
      <c r="N2818" s="181" t="str">
        <f t="shared" si="45"/>
        <v>да</v>
      </c>
      <c r="O2818" s="23">
        <v>44136</v>
      </c>
      <c r="P2818" s="23">
        <v>44136</v>
      </c>
      <c r="Q2818" s="106" t="s">
        <v>66</v>
      </c>
      <c r="R2818" s="37">
        <v>681</v>
      </c>
      <c r="S2818" s="39" t="s">
        <v>1090</v>
      </c>
      <c r="T2818" s="37">
        <v>1774</v>
      </c>
      <c r="U2818" s="38" t="s">
        <v>2039</v>
      </c>
      <c r="V2818" s="69" t="s">
        <v>272</v>
      </c>
      <c r="W2818" s="89" t="s">
        <v>136</v>
      </c>
      <c r="X2818" s="106" t="s">
        <v>296</v>
      </c>
      <c r="Y2818" s="107" t="s">
        <v>12</v>
      </c>
      <c r="Z2818" s="67">
        <f>IF(База_КР_КК[[#This Row],[Таб.номер резервиста]]="-","-",IF(OR(База_КР_КК[[#This Row],[Уровень КК]]=2,База_КР_КК[[#This Row],[Уровень КК]]=3),IF(COUNTIFS($U$2:$U2818,$U2818,$F$2:$F2818,$F2818)=1,1,0),IF(COUNTIFS($U$2:$U2818,$U2818,$L$2:$L2818,$L2818)=1,1,0)))</f>
        <v>0</v>
      </c>
      <c r="AA28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18" s="106"/>
      <c r="AC2818" s="51"/>
      <c r="AD2818" s="106" t="s">
        <v>13</v>
      </c>
      <c r="AE2818" s="38" t="s">
        <v>376</v>
      </c>
    </row>
    <row r="2819" spans="1:31" ht="18" customHeight="1" x14ac:dyDescent="0.25">
      <c r="A28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19" s="79">
        <v>4</v>
      </c>
      <c r="C2819" s="23">
        <v>44109</v>
      </c>
      <c r="D2819" s="67">
        <f>IF(COUNTIF($G$2:$G2819,$G2819)=1,1,0)</f>
        <v>0</v>
      </c>
      <c r="E2819" s="67" t="str">
        <f>IFERROR(VLOOKUP(База_КР_КК[[#This Row],[ИД штатной должности (S)]],'уровень защищенности'!$B$7:$F$1095,5,0),"не защищена")</f>
        <v>высокий</v>
      </c>
      <c r="F2819" s="68">
        <v>500314</v>
      </c>
      <c r="G2819" s="74" t="s">
        <v>2858</v>
      </c>
      <c r="H2819" s="181">
        <f>INDEX('Списки данных'!$D$2:$D$1048576,MATCH(База_КР_КК[[#This Row],[Структурное подразделение]],'Списки данных'!$C$2:$C$1048576,0))</f>
        <v>6</v>
      </c>
      <c r="I2819" s="80" t="s">
        <v>136</v>
      </c>
      <c r="J2819" s="80" t="s">
        <v>246</v>
      </c>
      <c r="K2819" s="80" t="s">
        <v>247</v>
      </c>
      <c r="L2819" s="30" t="s">
        <v>191</v>
      </c>
      <c r="M2819" s="68">
        <v>6</v>
      </c>
      <c r="N2819" s="181" t="str">
        <f t="shared" si="45"/>
        <v>да</v>
      </c>
      <c r="O2819" s="23">
        <v>44136</v>
      </c>
      <c r="P2819" s="23">
        <v>44136</v>
      </c>
      <c r="Q2819" s="106" t="s">
        <v>66</v>
      </c>
      <c r="R2819" s="37">
        <v>681</v>
      </c>
      <c r="S2819" s="38" t="s">
        <v>1090</v>
      </c>
      <c r="T2819" s="37">
        <v>681</v>
      </c>
      <c r="U2819" s="39" t="s">
        <v>1090</v>
      </c>
      <c r="V2819" s="89" t="s">
        <v>192</v>
      </c>
      <c r="W2819" s="89" t="s">
        <v>136</v>
      </c>
      <c r="X2819" s="106" t="s">
        <v>295</v>
      </c>
      <c r="Y2819" s="107" t="s">
        <v>14</v>
      </c>
      <c r="Z2819" s="67">
        <f>IF(База_КР_КК[[#This Row],[Таб.номер резервиста]]="-","-",IF(OR(База_КР_КК[[#This Row],[Уровень КК]]=2,База_КР_КК[[#This Row],[Уровень КК]]=3),IF(COUNTIFS($U$2:$U2819,$U2819,$F$2:$F2819,$F2819)=1,1,0),IF(COUNTIFS($U$2:$U2819,$U2819,$L$2:$L2819,$L2819)=1,1,0)))</f>
        <v>1</v>
      </c>
      <c r="AA28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819" s="106" t="s">
        <v>24</v>
      </c>
      <c r="AC2819" s="51">
        <v>44136</v>
      </c>
      <c r="AD2819" s="106" t="s">
        <v>15</v>
      </c>
      <c r="AE2819" s="38" t="s">
        <v>377</v>
      </c>
    </row>
    <row r="2820" spans="1:31" ht="18" customHeight="1" x14ac:dyDescent="0.25">
      <c r="A28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0" s="79">
        <v>4</v>
      </c>
      <c r="C2820" s="23">
        <v>44109</v>
      </c>
      <c r="D2820" s="67">
        <f>IF(COUNTIF($G$2:$G2820,$G2820)=1,1,0)</f>
        <v>0</v>
      </c>
      <c r="E2820" s="67" t="str">
        <f>IFERROR(VLOOKUP(База_КР_КК[[#This Row],[ИД штатной должности (S)]],'уровень защищенности'!$B$7:$F$1095,5,0),"не защищена")</f>
        <v>высокий</v>
      </c>
      <c r="F2820" s="68">
        <v>500314</v>
      </c>
      <c r="G2820" s="74" t="s">
        <v>2858</v>
      </c>
      <c r="H2820" s="181">
        <f>INDEX('Списки данных'!$D$2:$D$1048576,MATCH(База_КР_КК[[#This Row],[Структурное подразделение]],'Списки данных'!$C$2:$C$1048576,0))</f>
        <v>6</v>
      </c>
      <c r="I2820" s="80" t="s">
        <v>136</v>
      </c>
      <c r="J2820" s="80" t="s">
        <v>246</v>
      </c>
      <c r="K2820" s="80" t="s">
        <v>247</v>
      </c>
      <c r="L2820" s="30" t="s">
        <v>191</v>
      </c>
      <c r="M2820" s="68">
        <v>6</v>
      </c>
      <c r="N2820" s="181" t="str">
        <f t="shared" si="45"/>
        <v>да</v>
      </c>
      <c r="O2820" s="23">
        <v>44136</v>
      </c>
      <c r="P2820" s="23">
        <v>44136</v>
      </c>
      <c r="Q2820" s="106" t="s">
        <v>66</v>
      </c>
      <c r="R2820" s="37">
        <v>681</v>
      </c>
      <c r="S2820" s="38" t="s">
        <v>1090</v>
      </c>
      <c r="T2820" s="37">
        <v>680</v>
      </c>
      <c r="U2820" s="39" t="s">
        <v>1089</v>
      </c>
      <c r="V2820" s="89" t="s">
        <v>192</v>
      </c>
      <c r="W2820" s="89" t="s">
        <v>136</v>
      </c>
      <c r="X2820" s="106" t="s">
        <v>295</v>
      </c>
      <c r="Y2820" s="107" t="s">
        <v>14</v>
      </c>
      <c r="Z2820" s="67">
        <f>IF(База_КР_КК[[#This Row],[Таб.номер резервиста]]="-","-",IF(OR(База_КР_КК[[#This Row],[Уровень КК]]=2,База_КР_КК[[#This Row],[Уровень КК]]=3),IF(COUNTIFS($U$2:$U2820,$U2820,$F$2:$F2820,$F2820)=1,1,0),IF(COUNTIFS($U$2:$U2820,$U2820,$L$2:$L2820,$L2820)=1,1,0)))</f>
        <v>0</v>
      </c>
      <c r="AA28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0" s="106" t="s">
        <v>24</v>
      </c>
      <c r="AC2820" s="51">
        <v>45017</v>
      </c>
      <c r="AD2820" s="106" t="s">
        <v>13</v>
      </c>
      <c r="AE2820" s="38" t="s">
        <v>376</v>
      </c>
    </row>
    <row r="2821" spans="1:31" ht="18" customHeight="1" x14ac:dyDescent="0.25">
      <c r="A28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1" s="79">
        <v>4</v>
      </c>
      <c r="C2821" s="23">
        <v>44109</v>
      </c>
      <c r="D2821" s="67">
        <f>IF(COUNTIF($G$2:$G2821,$G2821)=1,1,0)</f>
        <v>0</v>
      </c>
      <c r="E2821" s="67" t="str">
        <f>IFERROR(VLOOKUP(База_КР_КК[[#This Row],[ИД штатной должности (S)]],'уровень защищенности'!$B$7:$F$1095,5,0),"не защищена")</f>
        <v>высокий</v>
      </c>
      <c r="F2821" s="68">
        <v>500314</v>
      </c>
      <c r="G2821" s="74" t="s">
        <v>2858</v>
      </c>
      <c r="H2821" s="181">
        <f>INDEX('Списки данных'!$D$2:$D$1048576,MATCH(База_КР_КК[[#This Row],[Структурное подразделение]],'Списки данных'!$C$2:$C$1048576,0))</f>
        <v>6</v>
      </c>
      <c r="I2821" s="80" t="s">
        <v>136</v>
      </c>
      <c r="J2821" s="80" t="s">
        <v>246</v>
      </c>
      <c r="K2821" s="80" t="s">
        <v>247</v>
      </c>
      <c r="L2821" s="30" t="s">
        <v>191</v>
      </c>
      <c r="M2821" s="68">
        <v>6</v>
      </c>
      <c r="N2821" s="181" t="str">
        <f t="shared" si="45"/>
        <v>да</v>
      </c>
      <c r="O2821" s="23">
        <v>44136</v>
      </c>
      <c r="P2821" s="23">
        <v>44136</v>
      </c>
      <c r="Q2821" s="106" t="s">
        <v>66</v>
      </c>
      <c r="R2821" s="37">
        <v>681</v>
      </c>
      <c r="S2821" s="38" t="s">
        <v>1090</v>
      </c>
      <c r="T2821" s="37">
        <v>1775</v>
      </c>
      <c r="U2821" s="39" t="s">
        <v>2040</v>
      </c>
      <c r="V2821" s="89" t="s">
        <v>272</v>
      </c>
      <c r="W2821" s="89" t="s">
        <v>136</v>
      </c>
      <c r="X2821" s="106" t="s">
        <v>295</v>
      </c>
      <c r="Y2821" s="107" t="s">
        <v>18</v>
      </c>
      <c r="Z2821" s="67">
        <f>IF(База_КР_КК[[#This Row],[Таб.номер резервиста]]="-","-",IF(OR(База_КР_КК[[#This Row],[Уровень КК]]=2,База_КР_КК[[#This Row],[Уровень КК]]=3),IF(COUNTIFS($U$2:$U2821,$U2821,$F$2:$F2821,$F2821)=1,1,0),IF(COUNTIFS($U$2:$U2821,$U2821,$L$2:$L2821,$L2821)=1,1,0)))</f>
        <v>0</v>
      </c>
      <c r="AA28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1" s="106" t="s">
        <v>38</v>
      </c>
      <c r="AC2821" s="51">
        <v>44859</v>
      </c>
      <c r="AD2821" s="106" t="s">
        <v>31</v>
      </c>
      <c r="AE2821" s="38" t="s">
        <v>376</v>
      </c>
    </row>
    <row r="2822" spans="1:31" ht="18" customHeight="1" x14ac:dyDescent="0.25">
      <c r="A28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2" s="79">
        <v>4</v>
      </c>
      <c r="C2822" s="23">
        <v>44109</v>
      </c>
      <c r="D2822" s="67">
        <f>IF(COUNTIF($G$2:$G2822,$G2822)=1,1,0)</f>
        <v>1</v>
      </c>
      <c r="E2822" s="67" t="str">
        <f>IFERROR(VLOOKUP(База_КР_КК[[#This Row],[ИД штатной должности (S)]],'уровень защищенности'!$B$7:$F$1095,5,0),"не защищена")</f>
        <v>высокий</v>
      </c>
      <c r="F2822" s="68">
        <v>500314</v>
      </c>
      <c r="G2822" s="74" t="s">
        <v>2859</v>
      </c>
      <c r="H2822" s="181">
        <f>INDEX('Списки данных'!$D$2:$D$1048576,MATCH(База_КР_КК[[#This Row],[Структурное подразделение]],'Списки данных'!$C$2:$C$1048576,0))</f>
        <v>6</v>
      </c>
      <c r="I2822" s="80" t="s">
        <v>136</v>
      </c>
      <c r="J2822" s="80" t="s">
        <v>246</v>
      </c>
      <c r="K2822" s="80" t="s">
        <v>247</v>
      </c>
      <c r="L2822" s="30" t="s">
        <v>191</v>
      </c>
      <c r="M2822" s="68">
        <v>6</v>
      </c>
      <c r="N2822" s="181" t="str">
        <f t="shared" si="45"/>
        <v>нет</v>
      </c>
      <c r="O2822" s="23"/>
      <c r="P2822" s="23"/>
      <c r="Q2822" s="106"/>
      <c r="R2822" s="37">
        <v>682</v>
      </c>
      <c r="S2822" s="38" t="s">
        <v>1091</v>
      </c>
      <c r="T2822" s="37">
        <v>1771</v>
      </c>
      <c r="U2822" s="39" t="s">
        <v>2037</v>
      </c>
      <c r="V2822" s="89" t="s">
        <v>272</v>
      </c>
      <c r="W2822" s="89" t="s">
        <v>136</v>
      </c>
      <c r="X2822" s="106" t="s">
        <v>296</v>
      </c>
      <c r="Y2822" s="107" t="s">
        <v>12</v>
      </c>
      <c r="Z2822" s="67">
        <f>IF(База_КР_КК[[#This Row],[Таб.номер резервиста]]="-","-",IF(OR(База_КР_КК[[#This Row],[Уровень КК]]=2,База_КР_КК[[#This Row],[Уровень КК]]=3),IF(COUNTIFS($U$2:$U2822,$U2822,$F$2:$F2822,$F2822)=1,1,0),IF(COUNTIFS($U$2:$U2822,$U2822,$L$2:$L2822,$L2822)=1,1,0)))</f>
        <v>0</v>
      </c>
      <c r="AA28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2" s="106"/>
      <c r="AC2822" s="51"/>
      <c r="AD2822" s="106" t="s">
        <v>13</v>
      </c>
      <c r="AE2822" s="38" t="s">
        <v>376</v>
      </c>
    </row>
    <row r="2823" spans="1:31" ht="18" customHeight="1" x14ac:dyDescent="0.25">
      <c r="A28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3" s="79">
        <v>4</v>
      </c>
      <c r="C2823" s="23">
        <v>44109</v>
      </c>
      <c r="D2823" s="67">
        <f>IF(COUNTIF($G$2:$G2823,$G2823)=1,1,0)</f>
        <v>0</v>
      </c>
      <c r="E2823" s="67" t="str">
        <f>IFERROR(VLOOKUP(База_КР_КК[[#This Row],[ИД штатной должности (S)]],'уровень защищенности'!$B$7:$F$1095,5,0),"не защищена")</f>
        <v>высокий</v>
      </c>
      <c r="F2823" s="68">
        <v>500314</v>
      </c>
      <c r="G2823" s="74" t="s">
        <v>2859</v>
      </c>
      <c r="H2823" s="181">
        <f>INDEX('Списки данных'!$D$2:$D$1048576,MATCH(База_КР_КК[[#This Row],[Структурное подразделение]],'Списки данных'!$C$2:$C$1048576,0))</f>
        <v>6</v>
      </c>
      <c r="I2823" s="80" t="s">
        <v>136</v>
      </c>
      <c r="J2823" s="80" t="s">
        <v>246</v>
      </c>
      <c r="K2823" s="80" t="s">
        <v>247</v>
      </c>
      <c r="L2823" s="30" t="s">
        <v>191</v>
      </c>
      <c r="M2823" s="68">
        <v>6</v>
      </c>
      <c r="N2823" s="181" t="str">
        <f t="shared" si="45"/>
        <v>нет</v>
      </c>
      <c r="O2823" s="23"/>
      <c r="P2823" s="23"/>
      <c r="Q2823" s="106"/>
      <c r="R2823" s="37">
        <v>682</v>
      </c>
      <c r="S2823" s="38" t="s">
        <v>1091</v>
      </c>
      <c r="T2823" s="37">
        <v>1772</v>
      </c>
      <c r="U2823" s="39" t="s">
        <v>2038</v>
      </c>
      <c r="V2823" s="89" t="s">
        <v>272</v>
      </c>
      <c r="W2823" s="89" t="s">
        <v>136</v>
      </c>
      <c r="X2823" s="106" t="s">
        <v>295</v>
      </c>
      <c r="Y2823" s="107" t="s">
        <v>12</v>
      </c>
      <c r="Z2823" s="67">
        <f>IF(База_КР_КК[[#This Row],[Таб.номер резервиста]]="-","-",IF(OR(База_КР_КК[[#This Row],[Уровень КК]]=2,База_КР_КК[[#This Row],[Уровень КК]]=3),IF(COUNTIFS($U$2:$U2823,$U2823,$F$2:$F2823,$F2823)=1,1,0),IF(COUNTIFS($U$2:$U2823,$U2823,$L$2:$L2823,$L2823)=1,1,0)))</f>
        <v>0</v>
      </c>
      <c r="AA28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3" s="106"/>
      <c r="AC2823" s="51"/>
      <c r="AD2823" s="106" t="s">
        <v>13</v>
      </c>
      <c r="AE2823" s="38" t="s">
        <v>376</v>
      </c>
    </row>
    <row r="2824" spans="1:31" ht="18" customHeight="1" x14ac:dyDescent="0.25">
      <c r="A28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4" s="79">
        <v>4</v>
      </c>
      <c r="C2824" s="23">
        <v>44859</v>
      </c>
      <c r="D2824" s="67">
        <f>IF(COUNTIF($G$2:$G2824,$G2824)=1,1,0)</f>
        <v>0</v>
      </c>
      <c r="E2824" s="67" t="str">
        <f>IFERROR(VLOOKUP(База_КР_КК[[#This Row],[ИД штатной должности (S)]],'уровень защищенности'!$B$7:$F$1095,5,0),"не защищена")</f>
        <v>высокий</v>
      </c>
      <c r="F2824" s="68">
        <v>500314</v>
      </c>
      <c r="G2824" s="74" t="s">
        <v>2859</v>
      </c>
      <c r="H2824" s="181">
        <f>INDEX('Списки данных'!$D$2:$D$1048576,MATCH(База_КР_КК[[#This Row],[Структурное подразделение]],'Списки данных'!$C$2:$C$1048576,0))</f>
        <v>6</v>
      </c>
      <c r="I2824" s="80" t="s">
        <v>136</v>
      </c>
      <c r="J2824" s="80" t="s">
        <v>246</v>
      </c>
      <c r="K2824" s="80" t="s">
        <v>247</v>
      </c>
      <c r="L2824" s="30" t="s">
        <v>191</v>
      </c>
      <c r="M2824" s="68">
        <v>6</v>
      </c>
      <c r="N2824" s="181" t="str">
        <f t="shared" si="45"/>
        <v>нет</v>
      </c>
      <c r="O2824" s="23"/>
      <c r="P2824" s="23"/>
      <c r="Q2824" s="106"/>
      <c r="R2824" s="37">
        <v>682</v>
      </c>
      <c r="S2824" s="39" t="s">
        <v>1091</v>
      </c>
      <c r="T2824" s="37">
        <v>1773</v>
      </c>
      <c r="U2824" s="38" t="s">
        <v>1679</v>
      </c>
      <c r="V2824" s="89" t="s">
        <v>272</v>
      </c>
      <c r="W2824" s="89" t="s">
        <v>136</v>
      </c>
      <c r="X2824" s="106" t="s">
        <v>296</v>
      </c>
      <c r="Y2824" s="107" t="s">
        <v>12</v>
      </c>
      <c r="Z2824" s="67">
        <f>IF(База_КР_КК[[#This Row],[Таб.номер резервиста]]="-","-",IF(OR(База_КР_КК[[#This Row],[Уровень КК]]=2,База_КР_КК[[#This Row],[Уровень КК]]=3),IF(COUNTIFS($U$2:$U2824,$U2824,$F$2:$F2824,$F2824)=1,1,0),IF(COUNTIFS($U$2:$U2824,$U2824,$L$2:$L2824,$L2824)=1,1,0)))</f>
        <v>0</v>
      </c>
      <c r="AA28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4" s="106"/>
      <c r="AC2824" s="51"/>
      <c r="AD2824" s="106" t="s">
        <v>13</v>
      </c>
      <c r="AE2824" s="38" t="s">
        <v>376</v>
      </c>
    </row>
    <row r="2825" spans="1:31" ht="18" customHeight="1" x14ac:dyDescent="0.25">
      <c r="A28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5" s="79">
        <v>4</v>
      </c>
      <c r="C2825" s="23">
        <v>44859</v>
      </c>
      <c r="D2825" s="67">
        <f>IF(COUNTIF($G$2:$G2825,$G2825)=1,1,0)</f>
        <v>0</v>
      </c>
      <c r="E2825" s="67" t="str">
        <f>IFERROR(VLOOKUP(База_КР_КК[[#This Row],[ИД штатной должности (S)]],'уровень защищенности'!$B$7:$F$1095,5,0),"не защищена")</f>
        <v>высокий</v>
      </c>
      <c r="F2825" s="68">
        <v>500314</v>
      </c>
      <c r="G2825" s="74" t="s">
        <v>2859</v>
      </c>
      <c r="H2825" s="181">
        <f>INDEX('Списки данных'!$D$2:$D$1048576,MATCH(База_КР_КК[[#This Row],[Структурное подразделение]],'Списки данных'!$C$2:$C$1048576,0))</f>
        <v>6</v>
      </c>
      <c r="I2825" s="80" t="s">
        <v>136</v>
      </c>
      <c r="J2825" s="80" t="s">
        <v>246</v>
      </c>
      <c r="K2825" s="80" t="s">
        <v>247</v>
      </c>
      <c r="L2825" s="30" t="s">
        <v>191</v>
      </c>
      <c r="M2825" s="68">
        <v>6</v>
      </c>
      <c r="N2825" s="181" t="str">
        <f t="shared" si="45"/>
        <v>нет</v>
      </c>
      <c r="O2825" s="23"/>
      <c r="P2825" s="23"/>
      <c r="Q2825" s="106"/>
      <c r="R2825" s="37">
        <v>682</v>
      </c>
      <c r="S2825" s="39" t="s">
        <v>1091</v>
      </c>
      <c r="T2825" s="37">
        <v>1774</v>
      </c>
      <c r="U2825" s="38" t="s">
        <v>2039</v>
      </c>
      <c r="V2825" s="69" t="s">
        <v>272</v>
      </c>
      <c r="W2825" s="89" t="s">
        <v>136</v>
      </c>
      <c r="X2825" s="106" t="s">
        <v>296</v>
      </c>
      <c r="Y2825" s="107" t="s">
        <v>12</v>
      </c>
      <c r="Z2825" s="67">
        <f>IF(База_КР_КК[[#This Row],[Таб.номер резервиста]]="-","-",IF(OR(База_КР_КК[[#This Row],[Уровень КК]]=2,База_КР_КК[[#This Row],[Уровень КК]]=3),IF(COUNTIFS($U$2:$U2825,$U2825,$F$2:$F2825,$F2825)=1,1,0),IF(COUNTIFS($U$2:$U2825,$U2825,$L$2:$L2825,$L2825)=1,1,0)))</f>
        <v>0</v>
      </c>
      <c r="AA28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5" s="106"/>
      <c r="AC2825" s="51"/>
      <c r="AD2825" s="106" t="s">
        <v>13</v>
      </c>
      <c r="AE2825" s="38" t="s">
        <v>376</v>
      </c>
    </row>
    <row r="2826" spans="1:31" ht="18" customHeight="1" x14ac:dyDescent="0.25">
      <c r="A28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6" s="79">
        <v>4</v>
      </c>
      <c r="C2826" s="23">
        <v>44109</v>
      </c>
      <c r="D2826" s="67">
        <f>IF(COUNTIF($G$2:$G2826,$G2826)=1,1,0)</f>
        <v>0</v>
      </c>
      <c r="E2826" s="67" t="str">
        <f>IFERROR(VLOOKUP(База_КР_КК[[#This Row],[ИД штатной должности (S)]],'уровень защищенности'!$B$7:$F$1095,5,0),"не защищена")</f>
        <v>высокий</v>
      </c>
      <c r="F2826" s="68">
        <v>500314</v>
      </c>
      <c r="G2826" s="74" t="s">
        <v>2859</v>
      </c>
      <c r="H2826" s="181">
        <f>INDEX('Списки данных'!$D$2:$D$1048576,MATCH(База_КР_КК[[#This Row],[Структурное подразделение]],'Списки данных'!$C$2:$C$1048576,0))</f>
        <v>6</v>
      </c>
      <c r="I2826" s="80" t="s">
        <v>136</v>
      </c>
      <c r="J2826" s="80" t="s">
        <v>246</v>
      </c>
      <c r="K2826" s="80" t="s">
        <v>247</v>
      </c>
      <c r="L2826" s="30" t="s">
        <v>191</v>
      </c>
      <c r="M2826" s="68">
        <v>6</v>
      </c>
      <c r="N2826" s="181" t="str">
        <f t="shared" si="45"/>
        <v>нет</v>
      </c>
      <c r="O2826" s="23"/>
      <c r="P2826" s="23"/>
      <c r="Q2826" s="106"/>
      <c r="R2826" s="37">
        <v>682</v>
      </c>
      <c r="S2826" s="38" t="s">
        <v>1091</v>
      </c>
      <c r="T2826" s="37">
        <v>680</v>
      </c>
      <c r="U2826" s="39" t="s">
        <v>1089</v>
      </c>
      <c r="V2826" s="89" t="s">
        <v>192</v>
      </c>
      <c r="W2826" s="89" t="s">
        <v>136</v>
      </c>
      <c r="X2826" s="106" t="s">
        <v>295</v>
      </c>
      <c r="Y2826" s="107" t="s">
        <v>14</v>
      </c>
      <c r="Z2826" s="67">
        <f>IF(База_КР_КК[[#This Row],[Таб.номер резервиста]]="-","-",IF(OR(База_КР_КК[[#This Row],[Уровень КК]]=2,База_КР_КК[[#This Row],[Уровень КК]]=3),IF(COUNTIFS($U$2:$U2826,$U2826,$F$2:$F2826,$F2826)=1,1,0),IF(COUNTIFS($U$2:$U2826,$U2826,$L$2:$L2826,$L2826)=1,1,0)))</f>
        <v>0</v>
      </c>
      <c r="AA28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6" s="106" t="s">
        <v>24</v>
      </c>
      <c r="AC2826" s="51">
        <v>45017</v>
      </c>
      <c r="AD2826" s="106" t="s">
        <v>13</v>
      </c>
      <c r="AE2826" s="38" t="s">
        <v>376</v>
      </c>
    </row>
    <row r="2827" spans="1:31" ht="18" customHeight="1" x14ac:dyDescent="0.25">
      <c r="A28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7" s="79">
        <v>4</v>
      </c>
      <c r="C2827" s="23">
        <v>44109</v>
      </c>
      <c r="D2827" s="67">
        <f>IF(COUNTIF($G$2:$G2827,$G2827)=1,1,0)</f>
        <v>0</v>
      </c>
      <c r="E2827" s="67" t="str">
        <f>IFERROR(VLOOKUP(База_КР_КК[[#This Row],[ИД штатной должности (S)]],'уровень защищенности'!$B$7:$F$1095,5,0),"не защищена")</f>
        <v>высокий</v>
      </c>
      <c r="F2827" s="68">
        <v>500314</v>
      </c>
      <c r="G2827" s="74" t="s">
        <v>2859</v>
      </c>
      <c r="H2827" s="181">
        <f>INDEX('Списки данных'!$D$2:$D$1048576,MATCH(База_КР_КК[[#This Row],[Структурное подразделение]],'Списки данных'!$C$2:$C$1048576,0))</f>
        <v>6</v>
      </c>
      <c r="I2827" s="80" t="s">
        <v>136</v>
      </c>
      <c r="J2827" s="80" t="s">
        <v>246</v>
      </c>
      <c r="K2827" s="80" t="s">
        <v>247</v>
      </c>
      <c r="L2827" s="30" t="s">
        <v>191</v>
      </c>
      <c r="M2827" s="68">
        <v>6</v>
      </c>
      <c r="N2827" s="181" t="str">
        <f t="shared" si="45"/>
        <v>нет</v>
      </c>
      <c r="O2827" s="23"/>
      <c r="P2827" s="23"/>
      <c r="Q2827" s="106"/>
      <c r="R2827" s="37">
        <v>682</v>
      </c>
      <c r="S2827" s="38" t="s">
        <v>1091</v>
      </c>
      <c r="T2827" s="37">
        <v>1775</v>
      </c>
      <c r="U2827" s="39" t="s">
        <v>2040</v>
      </c>
      <c r="V2827" s="89" t="s">
        <v>272</v>
      </c>
      <c r="W2827" s="89" t="s">
        <v>136</v>
      </c>
      <c r="X2827" s="106" t="s">
        <v>295</v>
      </c>
      <c r="Y2827" s="107" t="s">
        <v>18</v>
      </c>
      <c r="Z2827" s="67">
        <f>IF(База_КР_КК[[#This Row],[Таб.номер резервиста]]="-","-",IF(OR(База_КР_КК[[#This Row],[Уровень КК]]=2,База_КР_КК[[#This Row],[Уровень КК]]=3),IF(COUNTIFS($U$2:$U2827,$U2827,$F$2:$F2827,$F2827)=1,1,0),IF(COUNTIFS($U$2:$U2827,$U2827,$L$2:$L2827,$L2827)=1,1,0)))</f>
        <v>0</v>
      </c>
      <c r="AA28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7" s="106" t="s">
        <v>38</v>
      </c>
      <c r="AC2827" s="51">
        <v>44859</v>
      </c>
      <c r="AD2827" s="106" t="s">
        <v>31</v>
      </c>
      <c r="AE2827" s="38" t="s">
        <v>376</v>
      </c>
    </row>
    <row r="2828" spans="1:31" ht="18" customHeight="1" x14ac:dyDescent="0.25">
      <c r="A28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8" s="79">
        <v>4</v>
      </c>
      <c r="C2828" s="23">
        <v>44109</v>
      </c>
      <c r="D2828" s="67">
        <f>IF(COUNTIF($G$2:$G2828,$G2828)=1,1,0)</f>
        <v>1</v>
      </c>
      <c r="E2828" s="67" t="str">
        <f>IFERROR(VLOOKUP(База_КР_КК[[#This Row],[ИД штатной должности (S)]],'уровень защищенности'!$B$7:$F$1095,5,0),"не защищена")</f>
        <v>высокий</v>
      </c>
      <c r="F2828" s="68">
        <v>500314</v>
      </c>
      <c r="G2828" s="74" t="s">
        <v>2860</v>
      </c>
      <c r="H2828" s="181">
        <f>INDEX('Списки данных'!$D$2:$D$1048576,MATCH(База_КР_КК[[#This Row],[Структурное подразделение]],'Списки данных'!$C$2:$C$1048576,0))</f>
        <v>6</v>
      </c>
      <c r="I2828" s="80" t="s">
        <v>136</v>
      </c>
      <c r="J2828" s="80" t="s">
        <v>246</v>
      </c>
      <c r="K2828" s="80" t="s">
        <v>247</v>
      </c>
      <c r="L2828" s="30" t="s">
        <v>191</v>
      </c>
      <c r="M2828" s="68">
        <v>6</v>
      </c>
      <c r="N2828" s="181" t="str">
        <f t="shared" si="45"/>
        <v>нет</v>
      </c>
      <c r="O2828" s="23"/>
      <c r="P2828" s="23"/>
      <c r="Q2828" s="106"/>
      <c r="R2828" s="37">
        <v>683</v>
      </c>
      <c r="S2828" s="38" t="s">
        <v>1092</v>
      </c>
      <c r="T2828" s="37">
        <v>1771</v>
      </c>
      <c r="U2828" s="39" t="s">
        <v>2037</v>
      </c>
      <c r="V2828" s="89" t="s">
        <v>272</v>
      </c>
      <c r="W2828" s="89" t="s">
        <v>136</v>
      </c>
      <c r="X2828" s="106" t="s">
        <v>296</v>
      </c>
      <c r="Y2828" s="107" t="s">
        <v>12</v>
      </c>
      <c r="Z2828" s="67">
        <f>IF(База_КР_КК[[#This Row],[Таб.номер резервиста]]="-","-",IF(OR(База_КР_КК[[#This Row],[Уровень КК]]=2,База_КР_КК[[#This Row],[Уровень КК]]=3),IF(COUNTIFS($U$2:$U2828,$U2828,$F$2:$F2828,$F2828)=1,1,0),IF(COUNTIFS($U$2:$U2828,$U2828,$L$2:$L2828,$L2828)=1,1,0)))</f>
        <v>0</v>
      </c>
      <c r="AA28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8" s="106"/>
      <c r="AC2828" s="51"/>
      <c r="AD2828" s="106" t="s">
        <v>13</v>
      </c>
      <c r="AE2828" s="38" t="s">
        <v>376</v>
      </c>
    </row>
    <row r="2829" spans="1:31" ht="18" customHeight="1" x14ac:dyDescent="0.25">
      <c r="A28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29" s="79">
        <v>4</v>
      </c>
      <c r="C2829" s="23">
        <v>44109</v>
      </c>
      <c r="D2829" s="67">
        <f>IF(COUNTIF($G$2:$G2829,$G2829)=1,1,0)</f>
        <v>0</v>
      </c>
      <c r="E2829" s="67" t="str">
        <f>IFERROR(VLOOKUP(База_КР_КК[[#This Row],[ИД штатной должности (S)]],'уровень защищенности'!$B$7:$F$1095,5,0),"не защищена")</f>
        <v>высокий</v>
      </c>
      <c r="F2829" s="68">
        <v>500314</v>
      </c>
      <c r="G2829" s="74" t="s">
        <v>2860</v>
      </c>
      <c r="H2829" s="181">
        <f>INDEX('Списки данных'!$D$2:$D$1048576,MATCH(База_КР_КК[[#This Row],[Структурное подразделение]],'Списки данных'!$C$2:$C$1048576,0))</f>
        <v>6</v>
      </c>
      <c r="I2829" s="80" t="s">
        <v>136</v>
      </c>
      <c r="J2829" s="80" t="s">
        <v>246</v>
      </c>
      <c r="K2829" s="80" t="s">
        <v>247</v>
      </c>
      <c r="L2829" s="30" t="s">
        <v>191</v>
      </c>
      <c r="M2829" s="68">
        <v>6</v>
      </c>
      <c r="N2829" s="181" t="str">
        <f t="shared" si="45"/>
        <v>нет</v>
      </c>
      <c r="O2829" s="23"/>
      <c r="P2829" s="23"/>
      <c r="Q2829" s="106"/>
      <c r="R2829" s="37">
        <v>683</v>
      </c>
      <c r="S2829" s="38" t="s">
        <v>1092</v>
      </c>
      <c r="T2829" s="37">
        <v>1772</v>
      </c>
      <c r="U2829" s="39" t="s">
        <v>2038</v>
      </c>
      <c r="V2829" s="89" t="s">
        <v>272</v>
      </c>
      <c r="W2829" s="89" t="s">
        <v>136</v>
      </c>
      <c r="X2829" s="106" t="s">
        <v>295</v>
      </c>
      <c r="Y2829" s="107" t="s">
        <v>12</v>
      </c>
      <c r="Z2829" s="67">
        <f>IF(База_КР_КК[[#This Row],[Таб.номер резервиста]]="-","-",IF(OR(База_КР_КК[[#This Row],[Уровень КК]]=2,База_КР_КК[[#This Row],[Уровень КК]]=3),IF(COUNTIFS($U$2:$U2829,$U2829,$F$2:$F2829,$F2829)=1,1,0),IF(COUNTIFS($U$2:$U2829,$U2829,$L$2:$L2829,$L2829)=1,1,0)))</f>
        <v>0</v>
      </c>
      <c r="AA28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29" s="106"/>
      <c r="AC2829" s="51"/>
      <c r="AD2829" s="106" t="s">
        <v>13</v>
      </c>
      <c r="AE2829" s="38" t="s">
        <v>376</v>
      </c>
    </row>
    <row r="2830" spans="1:31" ht="18" customHeight="1" x14ac:dyDescent="0.25">
      <c r="A28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0" s="79">
        <v>4</v>
      </c>
      <c r="C2830" s="23">
        <v>44859</v>
      </c>
      <c r="D2830" s="67">
        <f>IF(COUNTIF($G$2:$G2830,$G2830)=1,1,0)</f>
        <v>0</v>
      </c>
      <c r="E2830" s="67" t="str">
        <f>IFERROR(VLOOKUP(База_КР_КК[[#This Row],[ИД штатной должности (S)]],'уровень защищенности'!$B$7:$F$1095,5,0),"не защищена")</f>
        <v>высокий</v>
      </c>
      <c r="F2830" s="68">
        <v>500314</v>
      </c>
      <c r="G2830" s="74" t="s">
        <v>2860</v>
      </c>
      <c r="H2830" s="181">
        <f>INDEX('Списки данных'!$D$2:$D$1048576,MATCH(База_КР_КК[[#This Row],[Структурное подразделение]],'Списки данных'!$C$2:$C$1048576,0))</f>
        <v>6</v>
      </c>
      <c r="I2830" s="80" t="s">
        <v>136</v>
      </c>
      <c r="J2830" s="80" t="s">
        <v>246</v>
      </c>
      <c r="K2830" s="80" t="s">
        <v>247</v>
      </c>
      <c r="L2830" s="30" t="s">
        <v>191</v>
      </c>
      <c r="M2830" s="68">
        <v>6</v>
      </c>
      <c r="N2830" s="181" t="str">
        <f t="shared" si="45"/>
        <v>нет</v>
      </c>
      <c r="O2830" s="23"/>
      <c r="P2830" s="23"/>
      <c r="Q2830" s="106"/>
      <c r="R2830" s="37">
        <v>683</v>
      </c>
      <c r="S2830" s="39" t="s">
        <v>1092</v>
      </c>
      <c r="T2830" s="37">
        <v>1773</v>
      </c>
      <c r="U2830" s="38" t="s">
        <v>1679</v>
      </c>
      <c r="V2830" s="89" t="s">
        <v>272</v>
      </c>
      <c r="W2830" s="89" t="s">
        <v>136</v>
      </c>
      <c r="X2830" s="106" t="s">
        <v>296</v>
      </c>
      <c r="Y2830" s="107" t="s">
        <v>12</v>
      </c>
      <c r="Z2830" s="67">
        <f>IF(База_КР_КК[[#This Row],[Таб.номер резервиста]]="-","-",IF(OR(База_КР_КК[[#This Row],[Уровень КК]]=2,База_КР_КК[[#This Row],[Уровень КК]]=3),IF(COUNTIFS($U$2:$U2830,$U2830,$F$2:$F2830,$F2830)=1,1,0),IF(COUNTIFS($U$2:$U2830,$U2830,$L$2:$L2830,$L2830)=1,1,0)))</f>
        <v>0</v>
      </c>
      <c r="AA28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0" s="106"/>
      <c r="AC2830" s="51"/>
      <c r="AD2830" s="106" t="s">
        <v>13</v>
      </c>
      <c r="AE2830" s="38" t="s">
        <v>376</v>
      </c>
    </row>
    <row r="2831" spans="1:31" ht="18" customHeight="1" x14ac:dyDescent="0.25">
      <c r="A28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1" s="79">
        <v>4</v>
      </c>
      <c r="C2831" s="23">
        <v>44859</v>
      </c>
      <c r="D2831" s="67">
        <f>IF(COUNTIF($G$2:$G2831,$G2831)=1,1,0)</f>
        <v>0</v>
      </c>
      <c r="E2831" s="67" t="str">
        <f>IFERROR(VLOOKUP(База_КР_КК[[#This Row],[ИД штатной должности (S)]],'уровень защищенности'!$B$7:$F$1095,5,0),"не защищена")</f>
        <v>высокий</v>
      </c>
      <c r="F2831" s="68">
        <v>500314</v>
      </c>
      <c r="G2831" s="74" t="s">
        <v>2860</v>
      </c>
      <c r="H2831" s="181">
        <f>INDEX('Списки данных'!$D$2:$D$1048576,MATCH(База_КР_КК[[#This Row],[Структурное подразделение]],'Списки данных'!$C$2:$C$1048576,0))</f>
        <v>6</v>
      </c>
      <c r="I2831" s="80" t="s">
        <v>136</v>
      </c>
      <c r="J2831" s="80" t="s">
        <v>246</v>
      </c>
      <c r="K2831" s="80" t="s">
        <v>247</v>
      </c>
      <c r="L2831" s="30" t="s">
        <v>191</v>
      </c>
      <c r="M2831" s="68">
        <v>6</v>
      </c>
      <c r="N2831" s="181" t="str">
        <f t="shared" si="45"/>
        <v>нет</v>
      </c>
      <c r="O2831" s="23"/>
      <c r="P2831" s="23"/>
      <c r="Q2831" s="106"/>
      <c r="R2831" s="37">
        <v>683</v>
      </c>
      <c r="S2831" s="39" t="s">
        <v>1092</v>
      </c>
      <c r="T2831" s="37">
        <v>1774</v>
      </c>
      <c r="U2831" s="38" t="s">
        <v>2039</v>
      </c>
      <c r="V2831" s="69" t="s">
        <v>272</v>
      </c>
      <c r="W2831" s="89" t="s">
        <v>136</v>
      </c>
      <c r="X2831" s="106" t="s">
        <v>296</v>
      </c>
      <c r="Y2831" s="107" t="s">
        <v>12</v>
      </c>
      <c r="Z2831" s="67">
        <f>IF(База_КР_КК[[#This Row],[Таб.номер резервиста]]="-","-",IF(OR(База_КР_КК[[#This Row],[Уровень КК]]=2,База_КР_КК[[#This Row],[Уровень КК]]=3),IF(COUNTIFS($U$2:$U2831,$U2831,$F$2:$F2831,$F2831)=1,1,0),IF(COUNTIFS($U$2:$U2831,$U2831,$L$2:$L2831,$L2831)=1,1,0)))</f>
        <v>0</v>
      </c>
      <c r="AA28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1" s="106"/>
      <c r="AC2831" s="51"/>
      <c r="AD2831" s="106" t="s">
        <v>13</v>
      </c>
      <c r="AE2831" s="38" t="s">
        <v>376</v>
      </c>
    </row>
    <row r="2832" spans="1:31" ht="18" customHeight="1" x14ac:dyDescent="0.25">
      <c r="A28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2" s="79">
        <v>4</v>
      </c>
      <c r="C2832" s="23">
        <v>44109</v>
      </c>
      <c r="D2832" s="67">
        <f>IF(COUNTIF($G$2:$G2832,$G2832)=1,1,0)</f>
        <v>0</v>
      </c>
      <c r="E2832" s="67" t="str">
        <f>IFERROR(VLOOKUP(База_КР_КК[[#This Row],[ИД штатной должности (S)]],'уровень защищенности'!$B$7:$F$1095,5,0),"не защищена")</f>
        <v>высокий</v>
      </c>
      <c r="F2832" s="68">
        <v>500314</v>
      </c>
      <c r="G2832" s="74" t="s">
        <v>2860</v>
      </c>
      <c r="H2832" s="181">
        <f>INDEX('Списки данных'!$D$2:$D$1048576,MATCH(База_КР_КК[[#This Row],[Структурное подразделение]],'Списки данных'!$C$2:$C$1048576,0))</f>
        <v>6</v>
      </c>
      <c r="I2832" s="80" t="s">
        <v>136</v>
      </c>
      <c r="J2832" s="80" t="s">
        <v>246</v>
      </c>
      <c r="K2832" s="80" t="s">
        <v>247</v>
      </c>
      <c r="L2832" s="30" t="s">
        <v>191</v>
      </c>
      <c r="M2832" s="68">
        <v>6</v>
      </c>
      <c r="N2832" s="181" t="str">
        <f t="shared" si="45"/>
        <v>нет</v>
      </c>
      <c r="O2832" s="23"/>
      <c r="P2832" s="23"/>
      <c r="Q2832" s="106"/>
      <c r="R2832" s="37">
        <v>683</v>
      </c>
      <c r="S2832" s="38" t="s">
        <v>1092</v>
      </c>
      <c r="T2832" s="37">
        <v>680</v>
      </c>
      <c r="U2832" s="39" t="s">
        <v>1089</v>
      </c>
      <c r="V2832" s="89" t="s">
        <v>192</v>
      </c>
      <c r="W2832" s="89" t="s">
        <v>136</v>
      </c>
      <c r="X2832" s="106" t="s">
        <v>295</v>
      </c>
      <c r="Y2832" s="107" t="s">
        <v>14</v>
      </c>
      <c r="Z2832" s="67">
        <f>IF(База_КР_КК[[#This Row],[Таб.номер резервиста]]="-","-",IF(OR(База_КР_КК[[#This Row],[Уровень КК]]=2,База_КР_КК[[#This Row],[Уровень КК]]=3),IF(COUNTIFS($U$2:$U2832,$U2832,$F$2:$F2832,$F2832)=1,1,0),IF(COUNTIFS($U$2:$U2832,$U2832,$L$2:$L2832,$L2832)=1,1,0)))</f>
        <v>0</v>
      </c>
      <c r="AA28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2" s="106" t="s">
        <v>24</v>
      </c>
      <c r="AC2832" s="51">
        <v>45017</v>
      </c>
      <c r="AD2832" s="106" t="s">
        <v>13</v>
      </c>
      <c r="AE2832" s="38" t="s">
        <v>376</v>
      </c>
    </row>
    <row r="2833" spans="1:31" ht="18" customHeight="1" x14ac:dyDescent="0.25">
      <c r="A28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3" s="79">
        <v>4</v>
      </c>
      <c r="C2833" s="23">
        <v>44109</v>
      </c>
      <c r="D2833" s="67">
        <f>IF(COUNTIF($G$2:$G2833,$G2833)=1,1,0)</f>
        <v>0</v>
      </c>
      <c r="E2833" s="67" t="str">
        <f>IFERROR(VLOOKUP(База_КР_КК[[#This Row],[ИД штатной должности (S)]],'уровень защищенности'!$B$7:$F$1095,5,0),"не защищена")</f>
        <v>высокий</v>
      </c>
      <c r="F2833" s="68">
        <v>500314</v>
      </c>
      <c r="G2833" s="74" t="s">
        <v>2860</v>
      </c>
      <c r="H2833" s="181">
        <f>INDEX('Списки данных'!$D$2:$D$1048576,MATCH(База_КР_КК[[#This Row],[Структурное подразделение]],'Списки данных'!$C$2:$C$1048576,0))</f>
        <v>6</v>
      </c>
      <c r="I2833" s="80" t="s">
        <v>136</v>
      </c>
      <c r="J2833" s="80" t="s">
        <v>246</v>
      </c>
      <c r="K2833" s="80" t="s">
        <v>247</v>
      </c>
      <c r="L2833" s="30" t="s">
        <v>191</v>
      </c>
      <c r="M2833" s="68">
        <v>6</v>
      </c>
      <c r="N2833" s="181" t="str">
        <f t="shared" si="45"/>
        <v>нет</v>
      </c>
      <c r="O2833" s="23"/>
      <c r="P2833" s="23"/>
      <c r="Q2833" s="106"/>
      <c r="R2833" s="37">
        <v>683</v>
      </c>
      <c r="S2833" s="38" t="s">
        <v>1092</v>
      </c>
      <c r="T2833" s="37">
        <v>1775</v>
      </c>
      <c r="U2833" s="39" t="s">
        <v>2040</v>
      </c>
      <c r="V2833" s="89" t="s">
        <v>272</v>
      </c>
      <c r="W2833" s="89" t="s">
        <v>136</v>
      </c>
      <c r="X2833" s="106" t="s">
        <v>295</v>
      </c>
      <c r="Y2833" s="107" t="s">
        <v>18</v>
      </c>
      <c r="Z2833" s="67">
        <f>IF(База_КР_КК[[#This Row],[Таб.номер резервиста]]="-","-",IF(OR(База_КР_КК[[#This Row],[Уровень КК]]=2,База_КР_КК[[#This Row],[Уровень КК]]=3),IF(COUNTIFS($U$2:$U2833,$U2833,$F$2:$F2833,$F2833)=1,1,0),IF(COUNTIFS($U$2:$U2833,$U2833,$L$2:$L2833,$L2833)=1,1,0)))</f>
        <v>0</v>
      </c>
      <c r="AA28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3" s="106" t="s">
        <v>38</v>
      </c>
      <c r="AC2833" s="51">
        <v>44859</v>
      </c>
      <c r="AD2833" s="106" t="s">
        <v>31</v>
      </c>
      <c r="AE2833" s="38" t="s">
        <v>376</v>
      </c>
    </row>
    <row r="2834" spans="1:31" ht="18" customHeight="1" x14ac:dyDescent="0.25">
      <c r="A28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4" s="79">
        <v>4</v>
      </c>
      <c r="C2834" s="23">
        <v>44109</v>
      </c>
      <c r="D2834" s="67">
        <f>IF(COUNTIF($G$2:$G2834,$G2834)=1,1,0)</f>
        <v>1</v>
      </c>
      <c r="E2834" s="67" t="str">
        <f>IFERROR(VLOOKUP(База_КР_КК[[#This Row],[ИД штатной должности (S)]],'уровень защищенности'!$B$7:$F$1095,5,0),"не защищена")</f>
        <v>высокий</v>
      </c>
      <c r="F2834" s="68">
        <v>500315</v>
      </c>
      <c r="G2834" s="74" t="s">
        <v>2861</v>
      </c>
      <c r="H2834" s="181">
        <f>INDEX('Списки данных'!$D$2:$D$1048576,MATCH(База_КР_КК[[#This Row],[Структурное подразделение]],'Списки данных'!$C$2:$C$1048576,0))</f>
        <v>6</v>
      </c>
      <c r="I2834" s="80" t="s">
        <v>136</v>
      </c>
      <c r="J2834" s="80" t="s">
        <v>246</v>
      </c>
      <c r="K2834" s="80" t="s">
        <v>247</v>
      </c>
      <c r="L2834" s="30" t="s">
        <v>191</v>
      </c>
      <c r="M2834" s="68">
        <v>6</v>
      </c>
      <c r="N2834" s="181" t="str">
        <f t="shared" si="45"/>
        <v>нет</v>
      </c>
      <c r="O2834" s="23"/>
      <c r="P2834" s="23"/>
      <c r="Q2834" s="106"/>
      <c r="R2834" s="37">
        <v>684</v>
      </c>
      <c r="S2834" s="38" t="s">
        <v>1093</v>
      </c>
      <c r="T2834" s="37">
        <v>1776</v>
      </c>
      <c r="U2834" s="39" t="s">
        <v>1770</v>
      </c>
      <c r="V2834" s="89" t="s">
        <v>272</v>
      </c>
      <c r="W2834" s="89" t="s">
        <v>136</v>
      </c>
      <c r="X2834" s="106" t="s">
        <v>295</v>
      </c>
      <c r="Y2834" s="107" t="s">
        <v>12</v>
      </c>
      <c r="Z2834" s="67">
        <f>IF(База_КР_КК[[#This Row],[Таб.номер резервиста]]="-","-",IF(OR(База_КР_КК[[#This Row],[Уровень КК]]=2,База_КР_КК[[#This Row],[Уровень КК]]=3),IF(COUNTIFS($U$2:$U2834,$U2834,$F$2:$F2834,$F2834)=1,1,0),IF(COUNTIFS($U$2:$U2834,$U2834,$L$2:$L2834,$L2834)=1,1,0)))</f>
        <v>0</v>
      </c>
      <c r="AA28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4" s="106"/>
      <c r="AC2834" s="51"/>
      <c r="AD2834" s="106" t="s">
        <v>13</v>
      </c>
      <c r="AE2834" s="38" t="s">
        <v>376</v>
      </c>
    </row>
    <row r="2835" spans="1:31" ht="18" customHeight="1" x14ac:dyDescent="0.25">
      <c r="A28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5" s="79">
        <v>4</v>
      </c>
      <c r="C2835" s="23">
        <v>44109</v>
      </c>
      <c r="D2835" s="67">
        <f>IF(COUNTIF($G$2:$G2835,$G2835)=1,1,0)</f>
        <v>0</v>
      </c>
      <c r="E2835" s="67" t="str">
        <f>IFERROR(VLOOKUP(База_КР_КК[[#This Row],[ИД штатной должности (S)]],'уровень защищенности'!$B$7:$F$1095,5,0),"не защищена")</f>
        <v>высокий</v>
      </c>
      <c r="F2835" s="68">
        <v>500315</v>
      </c>
      <c r="G2835" s="74" t="s">
        <v>2861</v>
      </c>
      <c r="H2835" s="181">
        <f>INDEX('Списки данных'!$D$2:$D$1048576,MATCH(База_КР_КК[[#This Row],[Структурное подразделение]],'Списки данных'!$C$2:$C$1048576,0))</f>
        <v>6</v>
      </c>
      <c r="I2835" s="80" t="s">
        <v>136</v>
      </c>
      <c r="J2835" s="80" t="s">
        <v>246</v>
      </c>
      <c r="K2835" s="80" t="s">
        <v>247</v>
      </c>
      <c r="L2835" s="30" t="s">
        <v>191</v>
      </c>
      <c r="M2835" s="68">
        <v>6</v>
      </c>
      <c r="N2835" s="181" t="str">
        <f t="shared" si="45"/>
        <v>нет</v>
      </c>
      <c r="O2835" s="23"/>
      <c r="P2835" s="23"/>
      <c r="Q2835" s="106"/>
      <c r="R2835" s="37">
        <v>684</v>
      </c>
      <c r="S2835" s="38" t="s">
        <v>1093</v>
      </c>
      <c r="T2835" s="37">
        <v>1762</v>
      </c>
      <c r="U2835" s="39" t="s">
        <v>1994</v>
      </c>
      <c r="V2835" s="89" t="s">
        <v>272</v>
      </c>
      <c r="W2835" s="89" t="s">
        <v>136</v>
      </c>
      <c r="X2835" s="106" t="s">
        <v>295</v>
      </c>
      <c r="Y2835" s="107" t="s">
        <v>12</v>
      </c>
      <c r="Z2835" s="67">
        <f>IF(База_КР_КК[[#This Row],[Таб.номер резервиста]]="-","-",IF(OR(База_КР_КК[[#This Row],[Уровень КК]]=2,База_КР_КК[[#This Row],[Уровень КК]]=3),IF(COUNTIFS($U$2:$U2835,$U2835,$F$2:$F2835,$F2835)=1,1,0),IF(COUNTIFS($U$2:$U2835,$U2835,$L$2:$L2835,$L2835)=1,1,0)))</f>
        <v>1</v>
      </c>
      <c r="AA28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5" s="106"/>
      <c r="AC2835" s="51"/>
      <c r="AD2835" s="106" t="s">
        <v>13</v>
      </c>
      <c r="AE2835" s="38" t="s">
        <v>376</v>
      </c>
    </row>
    <row r="2836" spans="1:31" ht="18" customHeight="1" x14ac:dyDescent="0.25">
      <c r="A28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6" s="79">
        <v>4</v>
      </c>
      <c r="C2836" s="23">
        <v>44109</v>
      </c>
      <c r="D2836" s="67">
        <f>IF(COUNTIF($G$2:$G2836,$G2836)=1,1,0)</f>
        <v>0</v>
      </c>
      <c r="E2836" s="67" t="str">
        <f>IFERROR(VLOOKUP(База_КР_КК[[#This Row],[ИД штатной должности (S)]],'уровень защищенности'!$B$7:$F$1095,5,0),"не защищена")</f>
        <v>высокий</v>
      </c>
      <c r="F2836" s="68">
        <v>500315</v>
      </c>
      <c r="G2836" s="74" t="s">
        <v>2861</v>
      </c>
      <c r="H2836" s="181">
        <f>INDEX('Списки данных'!$D$2:$D$1048576,MATCH(База_КР_КК[[#This Row],[Структурное подразделение]],'Списки данных'!$C$2:$C$1048576,0))</f>
        <v>6</v>
      </c>
      <c r="I2836" s="80" t="s">
        <v>136</v>
      </c>
      <c r="J2836" s="80" t="s">
        <v>246</v>
      </c>
      <c r="K2836" s="80" t="s">
        <v>247</v>
      </c>
      <c r="L2836" s="30" t="s">
        <v>191</v>
      </c>
      <c r="M2836" s="68">
        <v>6</v>
      </c>
      <c r="N2836" s="181" t="str">
        <f t="shared" si="45"/>
        <v>нет</v>
      </c>
      <c r="O2836" s="23"/>
      <c r="P2836" s="23"/>
      <c r="Q2836" s="106"/>
      <c r="R2836" s="37">
        <v>684</v>
      </c>
      <c r="S2836" s="38" t="s">
        <v>1093</v>
      </c>
      <c r="T2836" s="37">
        <v>1777</v>
      </c>
      <c r="U2836" s="39" t="s">
        <v>1739</v>
      </c>
      <c r="V2836" s="89" t="s">
        <v>272</v>
      </c>
      <c r="W2836" s="89" t="s">
        <v>136</v>
      </c>
      <c r="X2836" s="106" t="s">
        <v>296</v>
      </c>
      <c r="Y2836" s="107" t="s">
        <v>12</v>
      </c>
      <c r="Z2836" s="67">
        <f>IF(База_КР_КК[[#This Row],[Таб.номер резервиста]]="-","-",IF(OR(База_КР_КК[[#This Row],[Уровень КК]]=2,База_КР_КК[[#This Row],[Уровень КК]]=3),IF(COUNTIFS($U$2:$U2836,$U2836,$F$2:$F2836,$F2836)=1,1,0),IF(COUNTIFS($U$2:$U2836,$U2836,$L$2:$L2836,$L2836)=1,1,0)))</f>
        <v>1</v>
      </c>
      <c r="AA28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6" s="106"/>
      <c r="AC2836" s="51"/>
      <c r="AD2836" s="106" t="s">
        <v>17</v>
      </c>
      <c r="AE2836" s="38" t="s">
        <v>376</v>
      </c>
    </row>
    <row r="2837" spans="1:31" ht="18" customHeight="1" x14ac:dyDescent="0.25">
      <c r="A28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7" s="79">
        <v>4</v>
      </c>
      <c r="C2837" s="23">
        <v>44859</v>
      </c>
      <c r="D2837" s="67">
        <f>IF(COUNTIF($G$2:$G2837,$G2837)=1,1,0)</f>
        <v>0</v>
      </c>
      <c r="E2837" s="67" t="str">
        <f>IFERROR(VLOOKUP(База_КР_КК[[#This Row],[ИД штатной должности (S)]],'уровень защищенности'!$B$7:$F$1095,5,0),"не защищена")</f>
        <v>высокий</v>
      </c>
      <c r="F2837" s="68">
        <v>500315</v>
      </c>
      <c r="G2837" s="74" t="s">
        <v>2861</v>
      </c>
      <c r="H2837" s="181">
        <f>INDEX('Списки данных'!$D$2:$D$1048576,MATCH(База_КР_КК[[#This Row],[Структурное подразделение]],'Списки данных'!$C$2:$C$1048576,0))</f>
        <v>6</v>
      </c>
      <c r="I2837" s="80" t="s">
        <v>136</v>
      </c>
      <c r="J2837" s="80" t="s">
        <v>246</v>
      </c>
      <c r="K2837" s="80" t="s">
        <v>247</v>
      </c>
      <c r="L2837" s="30" t="s">
        <v>191</v>
      </c>
      <c r="M2837" s="68">
        <v>6</v>
      </c>
      <c r="N2837" s="181" t="str">
        <f t="shared" si="45"/>
        <v>нет</v>
      </c>
      <c r="O2837" s="23"/>
      <c r="P2837" s="23"/>
      <c r="Q2837" s="106"/>
      <c r="R2837" s="37">
        <v>684</v>
      </c>
      <c r="S2837" s="39" t="s">
        <v>1093</v>
      </c>
      <c r="T2837" s="37">
        <v>1778</v>
      </c>
      <c r="U2837" s="38" t="s">
        <v>1949</v>
      </c>
      <c r="V2837" s="89" t="s">
        <v>272</v>
      </c>
      <c r="W2837" s="89" t="s">
        <v>136</v>
      </c>
      <c r="X2837" s="106" t="s">
        <v>296</v>
      </c>
      <c r="Y2837" s="107" t="s">
        <v>12</v>
      </c>
      <c r="Z2837" s="67">
        <f>IF(База_КР_КК[[#This Row],[Таб.номер резервиста]]="-","-",IF(OR(База_КР_КК[[#This Row],[Уровень КК]]=2,База_КР_КК[[#This Row],[Уровень КК]]=3),IF(COUNTIFS($U$2:$U2837,$U2837,$F$2:$F2837,$F2837)=1,1,0),IF(COUNTIFS($U$2:$U2837,$U2837,$L$2:$L2837,$L2837)=1,1,0)))</f>
        <v>1</v>
      </c>
      <c r="AA28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7" s="106"/>
      <c r="AC2837" s="51"/>
      <c r="AD2837" s="106" t="s">
        <v>15</v>
      </c>
      <c r="AE2837" s="38" t="s">
        <v>376</v>
      </c>
    </row>
    <row r="2838" spans="1:31" ht="18" customHeight="1" x14ac:dyDescent="0.25">
      <c r="A28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8" s="79">
        <v>4</v>
      </c>
      <c r="C2838" s="23">
        <v>44859</v>
      </c>
      <c r="D2838" s="67">
        <f>IF(COUNTIF($G$2:$G2838,$G2838)=1,1,0)</f>
        <v>0</v>
      </c>
      <c r="E2838" s="67" t="str">
        <f>IFERROR(VLOOKUP(База_КР_КК[[#This Row],[ИД штатной должности (S)]],'уровень защищенности'!$B$7:$F$1095,5,0),"не защищена")</f>
        <v>высокий</v>
      </c>
      <c r="F2838" s="68">
        <v>500315</v>
      </c>
      <c r="G2838" s="74" t="s">
        <v>2861</v>
      </c>
      <c r="H2838" s="181">
        <f>INDEX('Списки данных'!$D$2:$D$1048576,MATCH(База_КР_КК[[#This Row],[Структурное подразделение]],'Списки данных'!$C$2:$C$1048576,0))</f>
        <v>6</v>
      </c>
      <c r="I2838" s="80" t="s">
        <v>136</v>
      </c>
      <c r="J2838" s="80" t="s">
        <v>246</v>
      </c>
      <c r="K2838" s="80" t="s">
        <v>247</v>
      </c>
      <c r="L2838" s="30" t="s">
        <v>191</v>
      </c>
      <c r="M2838" s="68">
        <v>6</v>
      </c>
      <c r="N2838" s="181" t="str">
        <f t="shared" si="45"/>
        <v>нет</v>
      </c>
      <c r="O2838" s="23"/>
      <c r="P2838" s="23"/>
      <c r="Q2838" s="106"/>
      <c r="R2838" s="37">
        <v>684</v>
      </c>
      <c r="S2838" s="39" t="s">
        <v>1093</v>
      </c>
      <c r="T2838" s="37">
        <v>1779</v>
      </c>
      <c r="U2838" s="38" t="s">
        <v>2041</v>
      </c>
      <c r="V2838" s="89" t="s">
        <v>272</v>
      </c>
      <c r="W2838" s="89" t="s">
        <v>136</v>
      </c>
      <c r="X2838" s="106" t="s">
        <v>297</v>
      </c>
      <c r="Y2838" s="107" t="s">
        <v>12</v>
      </c>
      <c r="Z2838" s="67">
        <f>IF(База_КР_КК[[#This Row],[Таб.номер резервиста]]="-","-",IF(OR(База_КР_КК[[#This Row],[Уровень КК]]=2,База_КР_КК[[#This Row],[Уровень КК]]=3),IF(COUNTIFS($U$2:$U2838,$U2838,$F$2:$F2838,$F2838)=1,1,0),IF(COUNTIFS($U$2:$U2838,$U2838,$L$2:$L2838,$L2838)=1,1,0)))</f>
        <v>1</v>
      </c>
      <c r="AA28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8" s="106"/>
      <c r="AC2838" s="51"/>
      <c r="AD2838" s="106" t="s">
        <v>15</v>
      </c>
      <c r="AE2838" s="38" t="s">
        <v>376</v>
      </c>
    </row>
    <row r="2839" spans="1:31" ht="18" customHeight="1" x14ac:dyDescent="0.25">
      <c r="A28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39" s="79">
        <v>4</v>
      </c>
      <c r="C2839" s="23">
        <v>44859</v>
      </c>
      <c r="D2839" s="67">
        <f>IF(COUNTIF($G$2:$G2839,$G2839)=1,1,0)</f>
        <v>0</v>
      </c>
      <c r="E2839" s="67" t="str">
        <f>IFERROR(VLOOKUP(База_КР_КК[[#This Row],[ИД штатной должности (S)]],'уровень защищенности'!$B$7:$F$1095,5,0),"не защищена")</f>
        <v>высокий</v>
      </c>
      <c r="F2839" s="68">
        <v>500315</v>
      </c>
      <c r="G2839" s="74" t="s">
        <v>2861</v>
      </c>
      <c r="H2839" s="181">
        <f>INDEX('Списки данных'!$D$2:$D$1048576,MATCH(База_КР_КК[[#This Row],[Структурное подразделение]],'Списки данных'!$C$2:$C$1048576,0))</f>
        <v>6</v>
      </c>
      <c r="I2839" s="80" t="s">
        <v>136</v>
      </c>
      <c r="J2839" s="80" t="s">
        <v>246</v>
      </c>
      <c r="K2839" s="80" t="s">
        <v>247</v>
      </c>
      <c r="L2839" s="30" t="s">
        <v>191</v>
      </c>
      <c r="M2839" s="68">
        <v>6</v>
      </c>
      <c r="N2839" s="181" t="str">
        <f t="shared" si="45"/>
        <v>нет</v>
      </c>
      <c r="O2839" s="23"/>
      <c r="P2839" s="23"/>
      <c r="Q2839" s="106"/>
      <c r="R2839" s="37">
        <v>684</v>
      </c>
      <c r="S2839" s="39" t="s">
        <v>1093</v>
      </c>
      <c r="T2839" s="37">
        <v>1780</v>
      </c>
      <c r="U2839" s="38" t="s">
        <v>2042</v>
      </c>
      <c r="V2839" s="89" t="s">
        <v>272</v>
      </c>
      <c r="W2839" s="89" t="s">
        <v>136</v>
      </c>
      <c r="X2839" s="106" t="s">
        <v>296</v>
      </c>
      <c r="Y2839" s="107" t="s">
        <v>12</v>
      </c>
      <c r="Z2839" s="67">
        <f>IF(База_КР_КК[[#This Row],[Таб.номер резервиста]]="-","-",IF(OR(База_КР_КК[[#This Row],[Уровень КК]]=2,База_КР_КК[[#This Row],[Уровень КК]]=3),IF(COUNTIFS($U$2:$U2839,$U2839,$F$2:$F2839,$F2839)=1,1,0),IF(COUNTIFS($U$2:$U2839,$U2839,$L$2:$L2839,$L2839)=1,1,0)))</f>
        <v>1</v>
      </c>
      <c r="AA28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39" s="106"/>
      <c r="AC2839" s="51"/>
      <c r="AD2839" s="106" t="s">
        <v>15</v>
      </c>
      <c r="AE2839" s="38" t="s">
        <v>376</v>
      </c>
    </row>
    <row r="2840" spans="1:31" ht="18" customHeight="1" x14ac:dyDescent="0.25">
      <c r="A28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0" s="79">
        <v>4</v>
      </c>
      <c r="C2840" s="23">
        <v>44859</v>
      </c>
      <c r="D2840" s="67">
        <f>IF(COUNTIF($G$2:$G2840,$G2840)=1,1,0)</f>
        <v>0</v>
      </c>
      <c r="E2840" s="67" t="str">
        <f>IFERROR(VLOOKUP(База_КР_КК[[#This Row],[ИД штатной должности (S)]],'уровень защищенности'!$B$7:$F$1095,5,0),"не защищена")</f>
        <v>высокий</v>
      </c>
      <c r="F2840" s="68">
        <v>500315</v>
      </c>
      <c r="G2840" s="74" t="s">
        <v>2861</v>
      </c>
      <c r="H2840" s="181">
        <f>INDEX('Списки данных'!$D$2:$D$1048576,MATCH(База_КР_КК[[#This Row],[Структурное подразделение]],'Списки данных'!$C$2:$C$1048576,0))</f>
        <v>6</v>
      </c>
      <c r="I2840" s="80" t="s">
        <v>136</v>
      </c>
      <c r="J2840" s="80" t="s">
        <v>246</v>
      </c>
      <c r="K2840" s="80" t="s">
        <v>247</v>
      </c>
      <c r="L2840" s="30" t="s">
        <v>191</v>
      </c>
      <c r="M2840" s="68">
        <v>6</v>
      </c>
      <c r="N2840" s="181" t="str">
        <f t="shared" si="45"/>
        <v>нет</v>
      </c>
      <c r="O2840" s="23"/>
      <c r="P2840" s="23"/>
      <c r="Q2840" s="106"/>
      <c r="R2840" s="37">
        <v>684</v>
      </c>
      <c r="S2840" s="39" t="s">
        <v>1093</v>
      </c>
      <c r="T2840" s="37">
        <v>1781</v>
      </c>
      <c r="U2840" s="38" t="s">
        <v>1980</v>
      </c>
      <c r="V2840" s="89" t="s">
        <v>272</v>
      </c>
      <c r="W2840" s="89" t="s">
        <v>136</v>
      </c>
      <c r="X2840" s="106" t="s">
        <v>296</v>
      </c>
      <c r="Y2840" s="107" t="s">
        <v>12</v>
      </c>
      <c r="Z2840" s="67">
        <f>IF(База_КР_КК[[#This Row],[Таб.номер резервиста]]="-","-",IF(OR(База_КР_КК[[#This Row],[Уровень КК]]=2,База_КР_КК[[#This Row],[Уровень КК]]=3),IF(COUNTIFS($U$2:$U2840,$U2840,$F$2:$F2840,$F2840)=1,1,0),IF(COUNTIFS($U$2:$U2840,$U2840,$L$2:$L2840,$L2840)=1,1,0)))</f>
        <v>1</v>
      </c>
      <c r="AA28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0" s="106"/>
      <c r="AC2840" s="51"/>
      <c r="AD2840" s="106" t="s">
        <v>15</v>
      </c>
      <c r="AE2840" s="38" t="s">
        <v>376</v>
      </c>
    </row>
    <row r="2841" spans="1:31" ht="18" customHeight="1" x14ac:dyDescent="0.25">
      <c r="A28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1" s="79">
        <v>4</v>
      </c>
      <c r="C2841" s="23">
        <v>44109</v>
      </c>
      <c r="D2841" s="67">
        <f>IF(COUNTIF($G$2:$G2841,$G2841)=1,1,0)</f>
        <v>0</v>
      </c>
      <c r="E2841" s="67" t="str">
        <f>IFERROR(VLOOKUP(База_КР_КК[[#This Row],[ИД штатной должности (S)]],'уровень защищенности'!$B$7:$F$1095,5,0),"не защищена")</f>
        <v>высокий</v>
      </c>
      <c r="F2841" s="68">
        <v>500315</v>
      </c>
      <c r="G2841" s="74" t="s">
        <v>2861</v>
      </c>
      <c r="H2841" s="181">
        <f>INDEX('Списки данных'!$D$2:$D$1048576,MATCH(База_КР_КК[[#This Row],[Структурное подразделение]],'Списки данных'!$C$2:$C$1048576,0))</f>
        <v>6</v>
      </c>
      <c r="I2841" s="80" t="s">
        <v>136</v>
      </c>
      <c r="J2841" s="80" t="s">
        <v>246</v>
      </c>
      <c r="K2841" s="80" t="s">
        <v>247</v>
      </c>
      <c r="L2841" s="30" t="s">
        <v>191</v>
      </c>
      <c r="M2841" s="68">
        <v>6</v>
      </c>
      <c r="N2841" s="181" t="str">
        <f t="shared" si="45"/>
        <v>нет</v>
      </c>
      <c r="O2841" s="23"/>
      <c r="P2841" s="23"/>
      <c r="Q2841" s="106"/>
      <c r="R2841" s="37">
        <v>684</v>
      </c>
      <c r="S2841" s="38" t="s">
        <v>1093</v>
      </c>
      <c r="T2841" s="37">
        <v>1782</v>
      </c>
      <c r="U2841" s="39" t="s">
        <v>2043</v>
      </c>
      <c r="V2841" s="89" t="s">
        <v>272</v>
      </c>
      <c r="W2841" s="89" t="s">
        <v>136</v>
      </c>
      <c r="X2841" s="106" t="s">
        <v>296</v>
      </c>
      <c r="Y2841" s="107" t="s">
        <v>18</v>
      </c>
      <c r="Z2841" s="67">
        <f>IF(База_КР_КК[[#This Row],[Таб.номер резервиста]]="-","-",IF(OR(База_КР_КК[[#This Row],[Уровень КК]]=2,База_КР_КК[[#This Row],[Уровень КК]]=3),IF(COUNTIFS($U$2:$U2841,$U2841,$F$2:$F2841,$F2841)=1,1,0),IF(COUNTIFS($U$2:$U2841,$U2841,$L$2:$L2841,$L2841)=1,1,0)))</f>
        <v>1</v>
      </c>
      <c r="AA28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1" s="106" t="s">
        <v>38</v>
      </c>
      <c r="AC2841" s="51">
        <v>44859</v>
      </c>
      <c r="AD2841" s="106" t="s">
        <v>31</v>
      </c>
      <c r="AE2841" s="38" t="s">
        <v>376</v>
      </c>
    </row>
    <row r="2842" spans="1:31" ht="18" customHeight="1" x14ac:dyDescent="0.25">
      <c r="A28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2" s="79">
        <v>4</v>
      </c>
      <c r="C2842" s="23">
        <v>44109</v>
      </c>
      <c r="D2842" s="67">
        <f>IF(COUNTIF($G$2:$G2842,$G2842)=1,1,0)</f>
        <v>0</v>
      </c>
      <c r="E2842" s="67" t="str">
        <f>IFERROR(VLOOKUP(База_КР_КК[[#This Row],[ИД штатной должности (S)]],'уровень защищенности'!$B$7:$F$1095,5,0),"не защищена")</f>
        <v>высокий</v>
      </c>
      <c r="F2842" s="68">
        <v>500315</v>
      </c>
      <c r="G2842" s="74" t="s">
        <v>2861</v>
      </c>
      <c r="H2842" s="181">
        <f>INDEX('Списки данных'!$D$2:$D$1048576,MATCH(База_КР_КК[[#This Row],[Структурное подразделение]],'Списки данных'!$C$2:$C$1048576,0))</f>
        <v>6</v>
      </c>
      <c r="I2842" s="80" t="s">
        <v>136</v>
      </c>
      <c r="J2842" s="80" t="s">
        <v>246</v>
      </c>
      <c r="K2842" s="80" t="s">
        <v>247</v>
      </c>
      <c r="L2842" s="30" t="s">
        <v>191</v>
      </c>
      <c r="M2842" s="68">
        <v>6</v>
      </c>
      <c r="N2842" s="181" t="str">
        <f t="shared" si="45"/>
        <v>нет</v>
      </c>
      <c r="O2842" s="23"/>
      <c r="P2842" s="23"/>
      <c r="Q2842" s="106"/>
      <c r="R2842" s="37">
        <v>684</v>
      </c>
      <c r="S2842" s="38" t="s">
        <v>1093</v>
      </c>
      <c r="T2842" s="37">
        <v>1783</v>
      </c>
      <c r="U2842" s="39" t="s">
        <v>2044</v>
      </c>
      <c r="V2842" s="89" t="s">
        <v>272</v>
      </c>
      <c r="W2842" s="89" t="s">
        <v>136</v>
      </c>
      <c r="X2842" s="106" t="s">
        <v>295</v>
      </c>
      <c r="Y2842" s="107" t="s">
        <v>18</v>
      </c>
      <c r="Z2842" s="67">
        <f>IF(База_КР_КК[[#This Row],[Таб.номер резервиста]]="-","-",IF(OR(База_КР_КК[[#This Row],[Уровень КК]]=2,База_КР_КК[[#This Row],[Уровень КК]]=3),IF(COUNTIFS($U$2:$U2842,$U2842,$F$2:$F2842,$F2842)=1,1,0),IF(COUNTIFS($U$2:$U2842,$U2842,$L$2:$L2842,$L2842)=1,1,0)))</f>
        <v>1</v>
      </c>
      <c r="AA28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2" s="106" t="s">
        <v>19</v>
      </c>
      <c r="AC2842" s="51">
        <v>44467</v>
      </c>
      <c r="AD2842" s="106" t="s">
        <v>15</v>
      </c>
      <c r="AE2842" s="38" t="s">
        <v>377</v>
      </c>
    </row>
    <row r="2843" spans="1:31" ht="18" customHeight="1" x14ac:dyDescent="0.25">
      <c r="A28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3" s="79">
        <v>4</v>
      </c>
      <c r="C2843" s="23">
        <v>44109</v>
      </c>
      <c r="D2843" s="67">
        <f>IF(COUNTIF($G$2:$G2843,$G2843)=1,1,0)</f>
        <v>0</v>
      </c>
      <c r="E2843" s="67" t="str">
        <f>IFERROR(VLOOKUP(База_КР_КК[[#This Row],[ИД штатной должности (S)]],'уровень защищенности'!$B$7:$F$1095,5,0),"не защищена")</f>
        <v>высокий</v>
      </c>
      <c r="F2843" s="68">
        <v>500315</v>
      </c>
      <c r="G2843" s="74" t="s">
        <v>2861</v>
      </c>
      <c r="H2843" s="181">
        <f>INDEX('Списки данных'!$D$2:$D$1048576,MATCH(База_КР_КК[[#This Row],[Структурное подразделение]],'Списки данных'!$C$2:$C$1048576,0))</f>
        <v>6</v>
      </c>
      <c r="I2843" s="80" t="s">
        <v>136</v>
      </c>
      <c r="J2843" s="80" t="s">
        <v>246</v>
      </c>
      <c r="K2843" s="80" t="s">
        <v>247</v>
      </c>
      <c r="L2843" s="30" t="s">
        <v>191</v>
      </c>
      <c r="M2843" s="68">
        <v>6</v>
      </c>
      <c r="N2843" s="181" t="str">
        <f t="shared" si="45"/>
        <v>нет</v>
      </c>
      <c r="O2843" s="23"/>
      <c r="P2843" s="23"/>
      <c r="Q2843" s="106"/>
      <c r="R2843" s="37">
        <v>684</v>
      </c>
      <c r="S2843" s="38" t="s">
        <v>1093</v>
      </c>
      <c r="T2843" s="37">
        <v>688</v>
      </c>
      <c r="U2843" s="39" t="s">
        <v>1097</v>
      </c>
      <c r="V2843" s="89" t="s">
        <v>192</v>
      </c>
      <c r="W2843" s="89" t="s">
        <v>136</v>
      </c>
      <c r="X2843" s="106" t="s">
        <v>295</v>
      </c>
      <c r="Y2843" s="107" t="s">
        <v>18</v>
      </c>
      <c r="Z2843" s="67">
        <f>IF(База_КР_КК[[#This Row],[Таб.номер резервиста]]="-","-",IF(OR(База_КР_КК[[#This Row],[Уровень КК]]=2,База_КР_КК[[#This Row],[Уровень КК]]=3),IF(COUNTIFS($U$2:$U2843,$U2843,$F$2:$F2843,$F2843)=1,1,0),IF(COUNTIFS($U$2:$U2843,$U2843,$L$2:$L2843,$L2843)=1,1,0)))</f>
        <v>1</v>
      </c>
      <c r="AA28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3" s="106" t="s">
        <v>37</v>
      </c>
      <c r="AC2843" s="51">
        <v>44682</v>
      </c>
      <c r="AD2843" s="106" t="s">
        <v>15</v>
      </c>
      <c r="AE2843" s="38" t="s">
        <v>377</v>
      </c>
    </row>
    <row r="2844" spans="1:31" ht="18" customHeight="1" x14ac:dyDescent="0.25">
      <c r="A28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4" s="79">
        <v>4</v>
      </c>
      <c r="C2844" s="23">
        <v>44109</v>
      </c>
      <c r="D2844" s="67">
        <f>IF(COUNTIF($G$2:$G2844,$G2844)=1,1,0)</f>
        <v>1</v>
      </c>
      <c r="E2844" s="67" t="str">
        <f>IFERROR(VLOOKUP(База_КР_КК[[#This Row],[ИД штатной должности (S)]],'уровень защищенности'!$B$7:$F$1095,5,0),"не защищена")</f>
        <v>высокий</v>
      </c>
      <c r="F2844" s="68">
        <v>500315</v>
      </c>
      <c r="G2844" s="74" t="s">
        <v>2862</v>
      </c>
      <c r="H2844" s="181">
        <f>INDEX('Списки данных'!$D$2:$D$1048576,MATCH(База_КР_КК[[#This Row],[Структурное подразделение]],'Списки данных'!$C$2:$C$1048576,0))</f>
        <v>6</v>
      </c>
      <c r="I2844" s="80" t="s">
        <v>136</v>
      </c>
      <c r="J2844" s="80" t="s">
        <v>246</v>
      </c>
      <c r="K2844" s="80" t="s">
        <v>247</v>
      </c>
      <c r="L2844" s="30" t="s">
        <v>191</v>
      </c>
      <c r="M2844" s="68">
        <v>6</v>
      </c>
      <c r="N2844" s="181" t="str">
        <f t="shared" si="45"/>
        <v>нет</v>
      </c>
      <c r="O2844" s="23"/>
      <c r="P2844" s="23"/>
      <c r="Q2844" s="106"/>
      <c r="R2844" s="37">
        <v>685</v>
      </c>
      <c r="S2844" s="38" t="s">
        <v>1094</v>
      </c>
      <c r="T2844" s="37">
        <v>1776</v>
      </c>
      <c r="U2844" s="39" t="s">
        <v>1770</v>
      </c>
      <c r="V2844" s="89" t="s">
        <v>272</v>
      </c>
      <c r="W2844" s="89" t="s">
        <v>136</v>
      </c>
      <c r="X2844" s="106" t="s">
        <v>295</v>
      </c>
      <c r="Y2844" s="107" t="s">
        <v>12</v>
      </c>
      <c r="Z2844" s="67">
        <f>IF(База_КР_КК[[#This Row],[Таб.номер резервиста]]="-","-",IF(OR(База_КР_КК[[#This Row],[Уровень КК]]=2,База_КР_КК[[#This Row],[Уровень КК]]=3),IF(COUNTIFS($U$2:$U2844,$U2844,$F$2:$F2844,$F2844)=1,1,0),IF(COUNTIFS($U$2:$U2844,$U2844,$L$2:$L2844,$L2844)=1,1,0)))</f>
        <v>0</v>
      </c>
      <c r="AA28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4" s="106"/>
      <c r="AC2844" s="51"/>
      <c r="AD2844" s="106" t="s">
        <v>13</v>
      </c>
      <c r="AE2844" s="38" t="s">
        <v>376</v>
      </c>
    </row>
    <row r="2845" spans="1:31" ht="18" customHeight="1" x14ac:dyDescent="0.25">
      <c r="A28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5" s="79">
        <v>4</v>
      </c>
      <c r="C2845" s="23">
        <v>44109</v>
      </c>
      <c r="D2845" s="67">
        <f>IF(COUNTIF($G$2:$G2845,$G2845)=1,1,0)</f>
        <v>0</v>
      </c>
      <c r="E2845" s="67" t="str">
        <f>IFERROR(VLOOKUP(База_КР_КК[[#This Row],[ИД штатной должности (S)]],'уровень защищенности'!$B$7:$F$1095,5,0),"не защищена")</f>
        <v>высокий</v>
      </c>
      <c r="F2845" s="68">
        <v>500315</v>
      </c>
      <c r="G2845" s="74" t="s">
        <v>2862</v>
      </c>
      <c r="H2845" s="181">
        <f>INDEX('Списки данных'!$D$2:$D$1048576,MATCH(База_КР_КК[[#This Row],[Структурное подразделение]],'Списки данных'!$C$2:$C$1048576,0))</f>
        <v>6</v>
      </c>
      <c r="I2845" s="80" t="s">
        <v>136</v>
      </c>
      <c r="J2845" s="80" t="s">
        <v>246</v>
      </c>
      <c r="K2845" s="80" t="s">
        <v>247</v>
      </c>
      <c r="L2845" s="30" t="s">
        <v>191</v>
      </c>
      <c r="M2845" s="68">
        <v>6</v>
      </c>
      <c r="N2845" s="181" t="str">
        <f t="shared" si="45"/>
        <v>нет</v>
      </c>
      <c r="O2845" s="23"/>
      <c r="P2845" s="23"/>
      <c r="Q2845" s="106"/>
      <c r="R2845" s="37">
        <v>685</v>
      </c>
      <c r="S2845" s="38" t="s">
        <v>1094</v>
      </c>
      <c r="T2845" s="37">
        <v>1762</v>
      </c>
      <c r="U2845" s="39" t="s">
        <v>1994</v>
      </c>
      <c r="V2845" s="89" t="s">
        <v>272</v>
      </c>
      <c r="W2845" s="89" t="s">
        <v>136</v>
      </c>
      <c r="X2845" s="106" t="s">
        <v>295</v>
      </c>
      <c r="Y2845" s="107" t="s">
        <v>12</v>
      </c>
      <c r="Z2845" s="67">
        <f>IF(База_КР_КК[[#This Row],[Таб.номер резервиста]]="-","-",IF(OR(База_КР_КК[[#This Row],[Уровень КК]]=2,База_КР_КК[[#This Row],[Уровень КК]]=3),IF(COUNTIFS($U$2:$U2845,$U2845,$F$2:$F2845,$F2845)=1,1,0),IF(COUNTIFS($U$2:$U2845,$U2845,$L$2:$L2845,$L2845)=1,1,0)))</f>
        <v>0</v>
      </c>
      <c r="AA28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5" s="106"/>
      <c r="AC2845" s="51"/>
      <c r="AD2845" s="106" t="s">
        <v>13</v>
      </c>
      <c r="AE2845" s="38" t="s">
        <v>376</v>
      </c>
    </row>
    <row r="2846" spans="1:31" ht="18" customHeight="1" x14ac:dyDescent="0.25">
      <c r="A28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6" s="79">
        <v>4</v>
      </c>
      <c r="C2846" s="23">
        <v>44109</v>
      </c>
      <c r="D2846" s="67">
        <f>IF(COUNTIF($G$2:$G2846,$G2846)=1,1,0)</f>
        <v>0</v>
      </c>
      <c r="E2846" s="67" t="str">
        <f>IFERROR(VLOOKUP(База_КР_КК[[#This Row],[ИД штатной должности (S)]],'уровень защищенности'!$B$7:$F$1095,5,0),"не защищена")</f>
        <v>высокий</v>
      </c>
      <c r="F2846" s="68">
        <v>500315</v>
      </c>
      <c r="G2846" s="74" t="s">
        <v>2862</v>
      </c>
      <c r="H2846" s="181">
        <f>INDEX('Списки данных'!$D$2:$D$1048576,MATCH(База_КР_КК[[#This Row],[Структурное подразделение]],'Списки данных'!$C$2:$C$1048576,0))</f>
        <v>6</v>
      </c>
      <c r="I2846" s="80" t="s">
        <v>136</v>
      </c>
      <c r="J2846" s="80" t="s">
        <v>246</v>
      </c>
      <c r="K2846" s="80" t="s">
        <v>247</v>
      </c>
      <c r="L2846" s="30" t="s">
        <v>191</v>
      </c>
      <c r="M2846" s="68">
        <v>6</v>
      </c>
      <c r="N2846" s="181" t="str">
        <f t="shared" si="45"/>
        <v>нет</v>
      </c>
      <c r="O2846" s="23"/>
      <c r="P2846" s="23"/>
      <c r="Q2846" s="106"/>
      <c r="R2846" s="37">
        <v>685</v>
      </c>
      <c r="S2846" s="38" t="s">
        <v>1094</v>
      </c>
      <c r="T2846" s="37">
        <v>1777</v>
      </c>
      <c r="U2846" s="39" t="s">
        <v>1739</v>
      </c>
      <c r="V2846" s="89" t="s">
        <v>272</v>
      </c>
      <c r="W2846" s="89" t="s">
        <v>136</v>
      </c>
      <c r="X2846" s="106" t="s">
        <v>297</v>
      </c>
      <c r="Y2846" s="107" t="s">
        <v>12</v>
      </c>
      <c r="Z2846" s="67">
        <f>IF(База_КР_КК[[#This Row],[Таб.номер резервиста]]="-","-",IF(OR(База_КР_КК[[#This Row],[Уровень КК]]=2,База_КР_КК[[#This Row],[Уровень КК]]=3),IF(COUNTIFS($U$2:$U2846,$U2846,$F$2:$F2846,$F2846)=1,1,0),IF(COUNTIFS($U$2:$U2846,$U2846,$L$2:$L2846,$L2846)=1,1,0)))</f>
        <v>0</v>
      </c>
      <c r="AA28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6" s="106"/>
      <c r="AC2846" s="51"/>
      <c r="AD2846" s="106" t="s">
        <v>17</v>
      </c>
      <c r="AE2846" s="38" t="s">
        <v>376</v>
      </c>
    </row>
    <row r="2847" spans="1:31" ht="18" customHeight="1" x14ac:dyDescent="0.25">
      <c r="A28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7" s="79">
        <v>4</v>
      </c>
      <c r="C2847" s="23">
        <v>44859</v>
      </c>
      <c r="D2847" s="67">
        <f>IF(COUNTIF($G$2:$G2847,$G2847)=1,1,0)</f>
        <v>0</v>
      </c>
      <c r="E2847" s="67" t="str">
        <f>IFERROR(VLOOKUP(База_КР_КК[[#This Row],[ИД штатной должности (S)]],'уровень защищенности'!$B$7:$F$1095,5,0),"не защищена")</f>
        <v>высокий</v>
      </c>
      <c r="F2847" s="68">
        <v>500315</v>
      </c>
      <c r="G2847" s="74" t="s">
        <v>2862</v>
      </c>
      <c r="H2847" s="181">
        <f>INDEX('Списки данных'!$D$2:$D$1048576,MATCH(База_КР_КК[[#This Row],[Структурное подразделение]],'Списки данных'!$C$2:$C$1048576,0))</f>
        <v>6</v>
      </c>
      <c r="I2847" s="80" t="s">
        <v>136</v>
      </c>
      <c r="J2847" s="80" t="s">
        <v>246</v>
      </c>
      <c r="K2847" s="80" t="s">
        <v>247</v>
      </c>
      <c r="L2847" s="30" t="s">
        <v>191</v>
      </c>
      <c r="M2847" s="68">
        <v>6</v>
      </c>
      <c r="N2847" s="181" t="str">
        <f t="shared" si="45"/>
        <v>нет</v>
      </c>
      <c r="O2847" s="23"/>
      <c r="P2847" s="23"/>
      <c r="Q2847" s="106"/>
      <c r="R2847" s="37">
        <v>685</v>
      </c>
      <c r="S2847" s="39" t="s">
        <v>1094</v>
      </c>
      <c r="T2847" s="37">
        <v>1778</v>
      </c>
      <c r="U2847" s="38" t="s">
        <v>1949</v>
      </c>
      <c r="V2847" s="89" t="s">
        <v>272</v>
      </c>
      <c r="W2847" s="89" t="s">
        <v>136</v>
      </c>
      <c r="X2847" s="106" t="s">
        <v>296</v>
      </c>
      <c r="Y2847" s="107" t="s">
        <v>12</v>
      </c>
      <c r="Z2847" s="67">
        <f>IF(База_КР_КК[[#This Row],[Таб.номер резервиста]]="-","-",IF(OR(База_КР_КК[[#This Row],[Уровень КК]]=2,База_КР_КК[[#This Row],[Уровень КК]]=3),IF(COUNTIFS($U$2:$U2847,$U2847,$F$2:$F2847,$F2847)=1,1,0),IF(COUNTIFS($U$2:$U2847,$U2847,$L$2:$L2847,$L2847)=1,1,0)))</f>
        <v>0</v>
      </c>
      <c r="AA28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7" s="106"/>
      <c r="AC2847" s="51"/>
      <c r="AD2847" s="106" t="s">
        <v>15</v>
      </c>
      <c r="AE2847" s="38" t="s">
        <v>376</v>
      </c>
    </row>
    <row r="2848" spans="1:31" ht="18" customHeight="1" x14ac:dyDescent="0.25">
      <c r="A28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8" s="79">
        <v>4</v>
      </c>
      <c r="C2848" s="23">
        <v>44859</v>
      </c>
      <c r="D2848" s="67">
        <f>IF(COUNTIF($G$2:$G2848,$G2848)=1,1,0)</f>
        <v>0</v>
      </c>
      <c r="E2848" s="67" t="str">
        <f>IFERROR(VLOOKUP(База_КР_КК[[#This Row],[ИД штатной должности (S)]],'уровень защищенности'!$B$7:$F$1095,5,0),"не защищена")</f>
        <v>высокий</v>
      </c>
      <c r="F2848" s="68">
        <v>500315</v>
      </c>
      <c r="G2848" s="74" t="s">
        <v>2862</v>
      </c>
      <c r="H2848" s="181">
        <f>INDEX('Списки данных'!$D$2:$D$1048576,MATCH(База_КР_КК[[#This Row],[Структурное подразделение]],'Списки данных'!$C$2:$C$1048576,0))</f>
        <v>6</v>
      </c>
      <c r="I2848" s="80" t="s">
        <v>136</v>
      </c>
      <c r="J2848" s="80" t="s">
        <v>246</v>
      </c>
      <c r="K2848" s="80" t="s">
        <v>247</v>
      </c>
      <c r="L2848" s="30" t="s">
        <v>191</v>
      </c>
      <c r="M2848" s="68">
        <v>6</v>
      </c>
      <c r="N2848" s="181" t="str">
        <f t="shared" si="45"/>
        <v>нет</v>
      </c>
      <c r="O2848" s="23"/>
      <c r="P2848" s="23"/>
      <c r="Q2848" s="106"/>
      <c r="R2848" s="37">
        <v>685</v>
      </c>
      <c r="S2848" s="39" t="s">
        <v>1094</v>
      </c>
      <c r="T2848" s="37">
        <v>1779</v>
      </c>
      <c r="U2848" s="38" t="s">
        <v>2041</v>
      </c>
      <c r="V2848" s="89" t="s">
        <v>272</v>
      </c>
      <c r="W2848" s="89" t="s">
        <v>136</v>
      </c>
      <c r="X2848" s="106" t="s">
        <v>297</v>
      </c>
      <c r="Y2848" s="107" t="s">
        <v>12</v>
      </c>
      <c r="Z2848" s="67">
        <f>IF(База_КР_КК[[#This Row],[Таб.номер резервиста]]="-","-",IF(OR(База_КР_КК[[#This Row],[Уровень КК]]=2,База_КР_КК[[#This Row],[Уровень КК]]=3),IF(COUNTIFS($U$2:$U2848,$U2848,$F$2:$F2848,$F2848)=1,1,0),IF(COUNTIFS($U$2:$U2848,$U2848,$L$2:$L2848,$L2848)=1,1,0)))</f>
        <v>0</v>
      </c>
      <c r="AA28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8" s="106"/>
      <c r="AC2848" s="51"/>
      <c r="AD2848" s="106" t="s">
        <v>15</v>
      </c>
      <c r="AE2848" s="38" t="s">
        <v>376</v>
      </c>
    </row>
    <row r="2849" spans="1:31" ht="18" customHeight="1" x14ac:dyDescent="0.25">
      <c r="A28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49" s="79">
        <v>4</v>
      </c>
      <c r="C2849" s="23">
        <v>44859</v>
      </c>
      <c r="D2849" s="67">
        <f>IF(COUNTIF($G$2:$G2849,$G2849)=1,1,0)</f>
        <v>0</v>
      </c>
      <c r="E2849" s="67" t="str">
        <f>IFERROR(VLOOKUP(База_КР_КК[[#This Row],[ИД штатной должности (S)]],'уровень защищенности'!$B$7:$F$1095,5,0),"не защищена")</f>
        <v>высокий</v>
      </c>
      <c r="F2849" s="68">
        <v>500315</v>
      </c>
      <c r="G2849" s="74" t="s">
        <v>2862</v>
      </c>
      <c r="H2849" s="181">
        <f>INDEX('Списки данных'!$D$2:$D$1048576,MATCH(База_КР_КК[[#This Row],[Структурное подразделение]],'Списки данных'!$C$2:$C$1048576,0))</f>
        <v>6</v>
      </c>
      <c r="I2849" s="80" t="s">
        <v>136</v>
      </c>
      <c r="J2849" s="80" t="s">
        <v>246</v>
      </c>
      <c r="K2849" s="80" t="s">
        <v>247</v>
      </c>
      <c r="L2849" s="30" t="s">
        <v>191</v>
      </c>
      <c r="M2849" s="68">
        <v>6</v>
      </c>
      <c r="N2849" s="181" t="str">
        <f t="shared" si="45"/>
        <v>нет</v>
      </c>
      <c r="O2849" s="23"/>
      <c r="P2849" s="23"/>
      <c r="Q2849" s="106"/>
      <c r="R2849" s="37">
        <v>685</v>
      </c>
      <c r="S2849" s="39" t="s">
        <v>1094</v>
      </c>
      <c r="T2849" s="37">
        <v>1780</v>
      </c>
      <c r="U2849" s="38" t="s">
        <v>2042</v>
      </c>
      <c r="V2849" s="89" t="s">
        <v>272</v>
      </c>
      <c r="W2849" s="89" t="s">
        <v>136</v>
      </c>
      <c r="X2849" s="106" t="s">
        <v>296</v>
      </c>
      <c r="Y2849" s="107" t="s">
        <v>12</v>
      </c>
      <c r="Z2849" s="67">
        <f>IF(База_КР_КК[[#This Row],[Таб.номер резервиста]]="-","-",IF(OR(База_КР_КК[[#This Row],[Уровень КК]]=2,База_КР_КК[[#This Row],[Уровень КК]]=3),IF(COUNTIFS($U$2:$U2849,$U2849,$F$2:$F2849,$F2849)=1,1,0),IF(COUNTIFS($U$2:$U2849,$U2849,$L$2:$L2849,$L2849)=1,1,0)))</f>
        <v>0</v>
      </c>
      <c r="AA28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49" s="106"/>
      <c r="AC2849" s="51"/>
      <c r="AD2849" s="106" t="s">
        <v>15</v>
      </c>
      <c r="AE2849" s="38" t="s">
        <v>376</v>
      </c>
    </row>
    <row r="2850" spans="1:31" ht="18" customHeight="1" x14ac:dyDescent="0.25">
      <c r="A28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0" s="79">
        <v>4</v>
      </c>
      <c r="C2850" s="23">
        <v>44859</v>
      </c>
      <c r="D2850" s="67">
        <f>IF(COUNTIF($G$2:$G2850,$G2850)=1,1,0)</f>
        <v>0</v>
      </c>
      <c r="E2850" s="67" t="str">
        <f>IFERROR(VLOOKUP(База_КР_КК[[#This Row],[ИД штатной должности (S)]],'уровень защищенности'!$B$7:$F$1095,5,0),"не защищена")</f>
        <v>высокий</v>
      </c>
      <c r="F2850" s="68">
        <v>500315</v>
      </c>
      <c r="G2850" s="74" t="s">
        <v>2862</v>
      </c>
      <c r="H2850" s="181">
        <f>INDEX('Списки данных'!$D$2:$D$1048576,MATCH(База_КР_КК[[#This Row],[Структурное подразделение]],'Списки данных'!$C$2:$C$1048576,0))</f>
        <v>6</v>
      </c>
      <c r="I2850" s="80" t="s">
        <v>136</v>
      </c>
      <c r="J2850" s="80" t="s">
        <v>246</v>
      </c>
      <c r="K2850" s="80" t="s">
        <v>247</v>
      </c>
      <c r="L2850" s="30" t="s">
        <v>191</v>
      </c>
      <c r="M2850" s="68">
        <v>6</v>
      </c>
      <c r="N2850" s="181" t="str">
        <f t="shared" si="45"/>
        <v>нет</v>
      </c>
      <c r="O2850" s="23"/>
      <c r="P2850" s="23"/>
      <c r="Q2850" s="106"/>
      <c r="R2850" s="37">
        <v>685</v>
      </c>
      <c r="S2850" s="39" t="s">
        <v>1094</v>
      </c>
      <c r="T2850" s="37">
        <v>1781</v>
      </c>
      <c r="U2850" s="38" t="s">
        <v>1980</v>
      </c>
      <c r="V2850" s="89" t="s">
        <v>272</v>
      </c>
      <c r="W2850" s="89" t="s">
        <v>136</v>
      </c>
      <c r="X2850" s="106" t="s">
        <v>296</v>
      </c>
      <c r="Y2850" s="107" t="s">
        <v>12</v>
      </c>
      <c r="Z2850" s="67">
        <f>IF(База_КР_КК[[#This Row],[Таб.номер резервиста]]="-","-",IF(OR(База_КР_КК[[#This Row],[Уровень КК]]=2,База_КР_КК[[#This Row],[Уровень КК]]=3),IF(COUNTIFS($U$2:$U2850,$U2850,$F$2:$F2850,$F2850)=1,1,0),IF(COUNTIFS($U$2:$U2850,$U2850,$L$2:$L2850,$L2850)=1,1,0)))</f>
        <v>0</v>
      </c>
      <c r="AA28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0" s="106"/>
      <c r="AC2850" s="51"/>
      <c r="AD2850" s="106" t="s">
        <v>15</v>
      </c>
      <c r="AE2850" s="38" t="s">
        <v>376</v>
      </c>
    </row>
    <row r="2851" spans="1:31" ht="18" customHeight="1" x14ac:dyDescent="0.25">
      <c r="A28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1" s="79">
        <v>4</v>
      </c>
      <c r="C2851" s="23">
        <v>44109</v>
      </c>
      <c r="D2851" s="67">
        <f>IF(COUNTIF($G$2:$G2851,$G2851)=1,1,0)</f>
        <v>0</v>
      </c>
      <c r="E2851" s="67" t="str">
        <f>IFERROR(VLOOKUP(База_КР_КК[[#This Row],[ИД штатной должности (S)]],'уровень защищенности'!$B$7:$F$1095,5,0),"не защищена")</f>
        <v>высокий</v>
      </c>
      <c r="F2851" s="68">
        <v>500315</v>
      </c>
      <c r="G2851" s="74" t="s">
        <v>2862</v>
      </c>
      <c r="H2851" s="181">
        <f>INDEX('Списки данных'!$D$2:$D$1048576,MATCH(База_КР_КК[[#This Row],[Структурное подразделение]],'Списки данных'!$C$2:$C$1048576,0))</f>
        <v>6</v>
      </c>
      <c r="I2851" s="80" t="s">
        <v>136</v>
      </c>
      <c r="J2851" s="80" t="s">
        <v>246</v>
      </c>
      <c r="K2851" s="80" t="s">
        <v>247</v>
      </c>
      <c r="L2851" s="30" t="s">
        <v>191</v>
      </c>
      <c r="M2851" s="68">
        <v>6</v>
      </c>
      <c r="N2851" s="181" t="str">
        <f t="shared" si="45"/>
        <v>нет</v>
      </c>
      <c r="O2851" s="23"/>
      <c r="P2851" s="23"/>
      <c r="Q2851" s="106"/>
      <c r="R2851" s="37">
        <v>685</v>
      </c>
      <c r="S2851" s="38" t="s">
        <v>1094</v>
      </c>
      <c r="T2851" s="37">
        <v>1782</v>
      </c>
      <c r="U2851" s="39" t="s">
        <v>2043</v>
      </c>
      <c r="V2851" s="89" t="s">
        <v>272</v>
      </c>
      <c r="W2851" s="89" t="s">
        <v>136</v>
      </c>
      <c r="X2851" s="106" t="s">
        <v>296</v>
      </c>
      <c r="Y2851" s="107" t="s">
        <v>18</v>
      </c>
      <c r="Z2851" s="67">
        <f>IF(База_КР_КК[[#This Row],[Таб.номер резервиста]]="-","-",IF(OR(База_КР_КК[[#This Row],[Уровень КК]]=2,База_КР_КК[[#This Row],[Уровень КК]]=3),IF(COUNTIFS($U$2:$U2851,$U2851,$F$2:$F2851,$F2851)=1,1,0),IF(COUNTIFS($U$2:$U2851,$U2851,$L$2:$L2851,$L2851)=1,1,0)))</f>
        <v>0</v>
      </c>
      <c r="AA28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1" s="106" t="s">
        <v>38</v>
      </c>
      <c r="AC2851" s="51">
        <v>44859</v>
      </c>
      <c r="AD2851" s="106" t="s">
        <v>31</v>
      </c>
      <c r="AE2851" s="38" t="s">
        <v>376</v>
      </c>
    </row>
    <row r="2852" spans="1:31" ht="18" customHeight="1" x14ac:dyDescent="0.25">
      <c r="A28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2" s="79">
        <v>4</v>
      </c>
      <c r="C2852" s="23">
        <v>44109</v>
      </c>
      <c r="D2852" s="67">
        <f>IF(COUNTIF($G$2:$G2852,$G2852)=1,1,0)</f>
        <v>0</v>
      </c>
      <c r="E2852" s="67" t="str">
        <f>IFERROR(VLOOKUP(База_КР_КК[[#This Row],[ИД штатной должности (S)]],'уровень защищенности'!$B$7:$F$1095,5,0),"не защищена")</f>
        <v>высокий</v>
      </c>
      <c r="F2852" s="68">
        <v>500315</v>
      </c>
      <c r="G2852" s="74" t="s">
        <v>2862</v>
      </c>
      <c r="H2852" s="181">
        <f>INDEX('Списки данных'!$D$2:$D$1048576,MATCH(База_КР_КК[[#This Row],[Структурное подразделение]],'Списки данных'!$C$2:$C$1048576,0))</f>
        <v>6</v>
      </c>
      <c r="I2852" s="80" t="s">
        <v>136</v>
      </c>
      <c r="J2852" s="80" t="s">
        <v>246</v>
      </c>
      <c r="K2852" s="80" t="s">
        <v>247</v>
      </c>
      <c r="L2852" s="30" t="s">
        <v>191</v>
      </c>
      <c r="M2852" s="68">
        <v>6</v>
      </c>
      <c r="N2852" s="181" t="str">
        <f t="shared" si="45"/>
        <v>нет</v>
      </c>
      <c r="O2852" s="23"/>
      <c r="P2852" s="23"/>
      <c r="Q2852" s="106"/>
      <c r="R2852" s="37">
        <v>685</v>
      </c>
      <c r="S2852" s="38" t="s">
        <v>1094</v>
      </c>
      <c r="T2852" s="37">
        <v>1783</v>
      </c>
      <c r="U2852" s="39" t="s">
        <v>2044</v>
      </c>
      <c r="V2852" s="89" t="s">
        <v>272</v>
      </c>
      <c r="W2852" s="89" t="s">
        <v>136</v>
      </c>
      <c r="X2852" s="106" t="s">
        <v>295</v>
      </c>
      <c r="Y2852" s="107" t="s">
        <v>18</v>
      </c>
      <c r="Z2852" s="67">
        <f>IF(База_КР_КК[[#This Row],[Таб.номер резервиста]]="-","-",IF(OR(База_КР_КК[[#This Row],[Уровень КК]]=2,База_КР_КК[[#This Row],[Уровень КК]]=3),IF(COUNTIFS($U$2:$U2852,$U2852,$F$2:$F2852,$F2852)=1,1,0),IF(COUNTIFS($U$2:$U2852,$U2852,$L$2:$L2852,$L2852)=1,1,0)))</f>
        <v>0</v>
      </c>
      <c r="AA28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2" s="106" t="s">
        <v>19</v>
      </c>
      <c r="AC2852" s="51">
        <v>44467</v>
      </c>
      <c r="AD2852" s="106" t="s">
        <v>15</v>
      </c>
      <c r="AE2852" s="38" t="s">
        <v>377</v>
      </c>
    </row>
    <row r="2853" spans="1:31" ht="18" customHeight="1" x14ac:dyDescent="0.25">
      <c r="A28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3" s="79">
        <v>4</v>
      </c>
      <c r="C2853" s="23">
        <v>44109</v>
      </c>
      <c r="D2853" s="67">
        <f>IF(COUNTIF($G$2:$G2853,$G2853)=1,1,0)</f>
        <v>0</v>
      </c>
      <c r="E2853" s="67" t="str">
        <f>IFERROR(VLOOKUP(База_КР_КК[[#This Row],[ИД штатной должности (S)]],'уровень защищенности'!$B$7:$F$1095,5,0),"не защищена")</f>
        <v>высокий</v>
      </c>
      <c r="F2853" s="68">
        <v>500315</v>
      </c>
      <c r="G2853" s="74" t="s">
        <v>2862</v>
      </c>
      <c r="H2853" s="181">
        <f>INDEX('Списки данных'!$D$2:$D$1048576,MATCH(База_КР_КК[[#This Row],[Структурное подразделение]],'Списки данных'!$C$2:$C$1048576,0))</f>
        <v>6</v>
      </c>
      <c r="I2853" s="80" t="s">
        <v>136</v>
      </c>
      <c r="J2853" s="80" t="s">
        <v>246</v>
      </c>
      <c r="K2853" s="80" t="s">
        <v>247</v>
      </c>
      <c r="L2853" s="30" t="s">
        <v>191</v>
      </c>
      <c r="M2853" s="68">
        <v>6</v>
      </c>
      <c r="N2853" s="181" t="str">
        <f t="shared" si="45"/>
        <v>нет</v>
      </c>
      <c r="O2853" s="23"/>
      <c r="P2853" s="23"/>
      <c r="Q2853" s="106"/>
      <c r="R2853" s="37">
        <v>685</v>
      </c>
      <c r="S2853" s="38" t="s">
        <v>1094</v>
      </c>
      <c r="T2853" s="37">
        <v>688</v>
      </c>
      <c r="U2853" s="39" t="s">
        <v>1097</v>
      </c>
      <c r="V2853" s="89" t="s">
        <v>192</v>
      </c>
      <c r="W2853" s="89" t="s">
        <v>136</v>
      </c>
      <c r="X2853" s="106" t="s">
        <v>295</v>
      </c>
      <c r="Y2853" s="107" t="s">
        <v>18</v>
      </c>
      <c r="Z2853" s="67">
        <f>IF(База_КР_КК[[#This Row],[Таб.номер резервиста]]="-","-",IF(OR(База_КР_КК[[#This Row],[Уровень КК]]=2,База_КР_КК[[#This Row],[Уровень КК]]=3),IF(COUNTIFS($U$2:$U2853,$U2853,$F$2:$F2853,$F2853)=1,1,0),IF(COUNTIFS($U$2:$U2853,$U2853,$L$2:$L2853,$L2853)=1,1,0)))</f>
        <v>0</v>
      </c>
      <c r="AA28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3" s="106" t="s">
        <v>37</v>
      </c>
      <c r="AC2853" s="51">
        <v>44682</v>
      </c>
      <c r="AD2853" s="106" t="s">
        <v>15</v>
      </c>
      <c r="AE2853" s="38" t="s">
        <v>377</v>
      </c>
    </row>
    <row r="2854" spans="1:31" ht="18" customHeight="1" x14ac:dyDescent="0.25">
      <c r="A28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4" s="79">
        <v>4</v>
      </c>
      <c r="C2854" s="23">
        <v>44109</v>
      </c>
      <c r="D2854" s="67">
        <f>IF(COUNTIF($G$2:$G2854,$G2854)=1,1,0)</f>
        <v>1</v>
      </c>
      <c r="E2854" s="67" t="str">
        <f>IFERROR(VLOOKUP(База_КР_КК[[#This Row],[ИД штатной должности (S)]],'уровень защищенности'!$B$7:$F$1095,5,0),"не защищена")</f>
        <v>высокий</v>
      </c>
      <c r="F2854" s="68">
        <v>500315</v>
      </c>
      <c r="G2854" s="74" t="s">
        <v>2863</v>
      </c>
      <c r="H2854" s="181">
        <f>INDEX('Списки данных'!$D$2:$D$1048576,MATCH(База_КР_КК[[#This Row],[Структурное подразделение]],'Списки данных'!$C$2:$C$1048576,0))</f>
        <v>6</v>
      </c>
      <c r="I2854" s="80" t="s">
        <v>136</v>
      </c>
      <c r="J2854" s="80" t="s">
        <v>246</v>
      </c>
      <c r="K2854" s="80" t="s">
        <v>247</v>
      </c>
      <c r="L2854" s="30" t="s">
        <v>191</v>
      </c>
      <c r="M2854" s="68">
        <v>6</v>
      </c>
      <c r="N2854" s="181" t="str">
        <f t="shared" si="45"/>
        <v>нет</v>
      </c>
      <c r="O2854" s="23"/>
      <c r="P2854" s="23"/>
      <c r="Q2854" s="106"/>
      <c r="R2854" s="37">
        <v>686</v>
      </c>
      <c r="S2854" s="38" t="s">
        <v>1095</v>
      </c>
      <c r="T2854" s="37">
        <v>1776</v>
      </c>
      <c r="U2854" s="39" t="s">
        <v>1770</v>
      </c>
      <c r="V2854" s="89" t="s">
        <v>272</v>
      </c>
      <c r="W2854" s="89" t="s">
        <v>136</v>
      </c>
      <c r="X2854" s="106" t="s">
        <v>295</v>
      </c>
      <c r="Y2854" s="107" t="s">
        <v>12</v>
      </c>
      <c r="Z2854" s="67">
        <f>IF(База_КР_КК[[#This Row],[Таб.номер резервиста]]="-","-",IF(OR(База_КР_КК[[#This Row],[Уровень КК]]=2,База_КР_КК[[#This Row],[Уровень КК]]=3),IF(COUNTIFS($U$2:$U2854,$U2854,$F$2:$F2854,$F2854)=1,1,0),IF(COUNTIFS($U$2:$U2854,$U2854,$L$2:$L2854,$L2854)=1,1,0)))</f>
        <v>0</v>
      </c>
      <c r="AA28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4" s="106"/>
      <c r="AC2854" s="51"/>
      <c r="AD2854" s="106" t="s">
        <v>13</v>
      </c>
      <c r="AE2854" s="38" t="s">
        <v>376</v>
      </c>
    </row>
    <row r="2855" spans="1:31" ht="18" customHeight="1" x14ac:dyDescent="0.25">
      <c r="A28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5" s="79">
        <v>4</v>
      </c>
      <c r="C2855" s="23">
        <v>44109</v>
      </c>
      <c r="D2855" s="67">
        <f>IF(COUNTIF($G$2:$G2855,$G2855)=1,1,0)</f>
        <v>0</v>
      </c>
      <c r="E2855" s="67" t="str">
        <f>IFERROR(VLOOKUP(База_КР_КК[[#This Row],[ИД штатной должности (S)]],'уровень защищенности'!$B$7:$F$1095,5,0),"не защищена")</f>
        <v>высокий</v>
      </c>
      <c r="F2855" s="68">
        <v>500315</v>
      </c>
      <c r="G2855" s="74" t="s">
        <v>2863</v>
      </c>
      <c r="H2855" s="181">
        <f>INDEX('Списки данных'!$D$2:$D$1048576,MATCH(База_КР_КК[[#This Row],[Структурное подразделение]],'Списки данных'!$C$2:$C$1048576,0))</f>
        <v>6</v>
      </c>
      <c r="I2855" s="80" t="s">
        <v>136</v>
      </c>
      <c r="J2855" s="80" t="s">
        <v>246</v>
      </c>
      <c r="K2855" s="80" t="s">
        <v>247</v>
      </c>
      <c r="L2855" s="30" t="s">
        <v>191</v>
      </c>
      <c r="M2855" s="68">
        <v>6</v>
      </c>
      <c r="N2855" s="181" t="str">
        <f t="shared" si="45"/>
        <v>нет</v>
      </c>
      <c r="O2855" s="23"/>
      <c r="P2855" s="23"/>
      <c r="Q2855" s="106"/>
      <c r="R2855" s="37">
        <v>686</v>
      </c>
      <c r="S2855" s="38" t="s">
        <v>1095</v>
      </c>
      <c r="T2855" s="37">
        <v>1762</v>
      </c>
      <c r="U2855" s="39" t="s">
        <v>1994</v>
      </c>
      <c r="V2855" s="89" t="s">
        <v>272</v>
      </c>
      <c r="W2855" s="89" t="s">
        <v>136</v>
      </c>
      <c r="X2855" s="106" t="s">
        <v>295</v>
      </c>
      <c r="Y2855" s="107" t="s">
        <v>12</v>
      </c>
      <c r="Z2855" s="67">
        <f>IF(База_КР_КК[[#This Row],[Таб.номер резервиста]]="-","-",IF(OR(База_КР_КК[[#This Row],[Уровень КК]]=2,База_КР_КК[[#This Row],[Уровень КК]]=3),IF(COUNTIFS($U$2:$U2855,$U2855,$F$2:$F2855,$F2855)=1,1,0),IF(COUNTIFS($U$2:$U2855,$U2855,$L$2:$L2855,$L2855)=1,1,0)))</f>
        <v>0</v>
      </c>
      <c r="AA28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5" s="106"/>
      <c r="AC2855" s="51"/>
      <c r="AD2855" s="106" t="s">
        <v>13</v>
      </c>
      <c r="AE2855" s="38" t="s">
        <v>376</v>
      </c>
    </row>
    <row r="2856" spans="1:31" ht="18" customHeight="1" x14ac:dyDescent="0.25">
      <c r="A28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6" s="79">
        <v>4</v>
      </c>
      <c r="C2856" s="23">
        <v>44109</v>
      </c>
      <c r="D2856" s="67">
        <f>IF(COUNTIF($G$2:$G2856,$G2856)=1,1,0)</f>
        <v>0</v>
      </c>
      <c r="E2856" s="67" t="str">
        <f>IFERROR(VLOOKUP(База_КР_КК[[#This Row],[ИД штатной должности (S)]],'уровень защищенности'!$B$7:$F$1095,5,0),"не защищена")</f>
        <v>высокий</v>
      </c>
      <c r="F2856" s="68">
        <v>500315</v>
      </c>
      <c r="G2856" s="74" t="s">
        <v>2863</v>
      </c>
      <c r="H2856" s="181">
        <f>INDEX('Списки данных'!$D$2:$D$1048576,MATCH(База_КР_КК[[#This Row],[Структурное подразделение]],'Списки данных'!$C$2:$C$1048576,0))</f>
        <v>6</v>
      </c>
      <c r="I2856" s="80" t="s">
        <v>136</v>
      </c>
      <c r="J2856" s="80" t="s">
        <v>246</v>
      </c>
      <c r="K2856" s="80" t="s">
        <v>247</v>
      </c>
      <c r="L2856" s="30" t="s">
        <v>191</v>
      </c>
      <c r="M2856" s="68">
        <v>6</v>
      </c>
      <c r="N2856" s="181" t="str">
        <f t="shared" si="45"/>
        <v>нет</v>
      </c>
      <c r="O2856" s="23"/>
      <c r="P2856" s="23"/>
      <c r="Q2856" s="106"/>
      <c r="R2856" s="37">
        <v>686</v>
      </c>
      <c r="S2856" s="38" t="s">
        <v>1095</v>
      </c>
      <c r="T2856" s="37">
        <v>1777</v>
      </c>
      <c r="U2856" s="39" t="s">
        <v>1739</v>
      </c>
      <c r="V2856" s="89" t="s">
        <v>272</v>
      </c>
      <c r="W2856" s="89" t="s">
        <v>136</v>
      </c>
      <c r="X2856" s="106" t="s">
        <v>296</v>
      </c>
      <c r="Y2856" s="107" t="s">
        <v>12</v>
      </c>
      <c r="Z2856" s="67">
        <f>IF(База_КР_КК[[#This Row],[Таб.номер резервиста]]="-","-",IF(OR(База_КР_КК[[#This Row],[Уровень КК]]=2,База_КР_КК[[#This Row],[Уровень КК]]=3),IF(COUNTIFS($U$2:$U2856,$U2856,$F$2:$F2856,$F2856)=1,1,0),IF(COUNTIFS($U$2:$U2856,$U2856,$L$2:$L2856,$L2856)=1,1,0)))</f>
        <v>0</v>
      </c>
      <c r="AA28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6" s="106"/>
      <c r="AC2856" s="51"/>
      <c r="AD2856" s="106" t="s">
        <v>17</v>
      </c>
      <c r="AE2856" s="38" t="s">
        <v>376</v>
      </c>
    </row>
    <row r="2857" spans="1:31" ht="18" customHeight="1" x14ac:dyDescent="0.25">
      <c r="A28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7" s="79">
        <v>4</v>
      </c>
      <c r="C2857" s="23">
        <v>44859</v>
      </c>
      <c r="D2857" s="67">
        <f>IF(COUNTIF($G$2:$G2857,$G2857)=1,1,0)</f>
        <v>0</v>
      </c>
      <c r="E2857" s="67" t="str">
        <f>IFERROR(VLOOKUP(База_КР_КК[[#This Row],[ИД штатной должности (S)]],'уровень защищенности'!$B$7:$F$1095,5,0),"не защищена")</f>
        <v>высокий</v>
      </c>
      <c r="F2857" s="68">
        <v>500315</v>
      </c>
      <c r="G2857" s="74" t="s">
        <v>2863</v>
      </c>
      <c r="H2857" s="181">
        <f>INDEX('Списки данных'!$D$2:$D$1048576,MATCH(База_КР_КК[[#This Row],[Структурное подразделение]],'Списки данных'!$C$2:$C$1048576,0))</f>
        <v>6</v>
      </c>
      <c r="I2857" s="80" t="s">
        <v>136</v>
      </c>
      <c r="J2857" s="80" t="s">
        <v>246</v>
      </c>
      <c r="K2857" s="80" t="s">
        <v>247</v>
      </c>
      <c r="L2857" s="30" t="s">
        <v>191</v>
      </c>
      <c r="M2857" s="68">
        <v>6</v>
      </c>
      <c r="N2857" s="181" t="str">
        <f t="shared" si="45"/>
        <v>нет</v>
      </c>
      <c r="O2857" s="23"/>
      <c r="P2857" s="23"/>
      <c r="Q2857" s="106"/>
      <c r="R2857" s="37">
        <v>686</v>
      </c>
      <c r="S2857" s="39" t="s">
        <v>1095</v>
      </c>
      <c r="T2857" s="37">
        <v>1778</v>
      </c>
      <c r="U2857" s="38" t="s">
        <v>1949</v>
      </c>
      <c r="V2857" s="89" t="s">
        <v>272</v>
      </c>
      <c r="W2857" s="89" t="s">
        <v>136</v>
      </c>
      <c r="X2857" s="106" t="s">
        <v>296</v>
      </c>
      <c r="Y2857" s="107" t="s">
        <v>12</v>
      </c>
      <c r="Z2857" s="67">
        <f>IF(База_КР_КК[[#This Row],[Таб.номер резервиста]]="-","-",IF(OR(База_КР_КК[[#This Row],[Уровень КК]]=2,База_КР_КК[[#This Row],[Уровень КК]]=3),IF(COUNTIFS($U$2:$U2857,$U2857,$F$2:$F2857,$F2857)=1,1,0),IF(COUNTIFS($U$2:$U2857,$U2857,$L$2:$L2857,$L2857)=1,1,0)))</f>
        <v>0</v>
      </c>
      <c r="AA28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7" s="106"/>
      <c r="AC2857" s="51"/>
      <c r="AD2857" s="106" t="s">
        <v>15</v>
      </c>
      <c r="AE2857" s="38" t="s">
        <v>376</v>
      </c>
    </row>
    <row r="2858" spans="1:31" ht="18" customHeight="1" x14ac:dyDescent="0.25">
      <c r="A28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8" s="79">
        <v>4</v>
      </c>
      <c r="C2858" s="23">
        <v>44859</v>
      </c>
      <c r="D2858" s="67">
        <f>IF(COUNTIF($G$2:$G2858,$G2858)=1,1,0)</f>
        <v>0</v>
      </c>
      <c r="E2858" s="67" t="str">
        <f>IFERROR(VLOOKUP(База_КР_КК[[#This Row],[ИД штатной должности (S)]],'уровень защищенности'!$B$7:$F$1095,5,0),"не защищена")</f>
        <v>высокий</v>
      </c>
      <c r="F2858" s="68">
        <v>500315</v>
      </c>
      <c r="G2858" s="74" t="s">
        <v>2863</v>
      </c>
      <c r="H2858" s="181">
        <f>INDEX('Списки данных'!$D$2:$D$1048576,MATCH(База_КР_КК[[#This Row],[Структурное подразделение]],'Списки данных'!$C$2:$C$1048576,0))</f>
        <v>6</v>
      </c>
      <c r="I2858" s="80" t="s">
        <v>136</v>
      </c>
      <c r="J2858" s="80" t="s">
        <v>246</v>
      </c>
      <c r="K2858" s="80" t="s">
        <v>247</v>
      </c>
      <c r="L2858" s="30" t="s">
        <v>191</v>
      </c>
      <c r="M2858" s="68">
        <v>6</v>
      </c>
      <c r="N2858" s="181" t="str">
        <f t="shared" si="45"/>
        <v>нет</v>
      </c>
      <c r="O2858" s="23"/>
      <c r="P2858" s="23"/>
      <c r="Q2858" s="106"/>
      <c r="R2858" s="37">
        <v>686</v>
      </c>
      <c r="S2858" s="39" t="s">
        <v>1095</v>
      </c>
      <c r="T2858" s="37">
        <v>1779</v>
      </c>
      <c r="U2858" s="38" t="s">
        <v>2041</v>
      </c>
      <c r="V2858" s="89" t="s">
        <v>272</v>
      </c>
      <c r="W2858" s="89" t="s">
        <v>136</v>
      </c>
      <c r="X2858" s="106" t="s">
        <v>297</v>
      </c>
      <c r="Y2858" s="107" t="s">
        <v>12</v>
      </c>
      <c r="Z2858" s="67">
        <f>IF(База_КР_КК[[#This Row],[Таб.номер резервиста]]="-","-",IF(OR(База_КР_КК[[#This Row],[Уровень КК]]=2,База_КР_КК[[#This Row],[Уровень КК]]=3),IF(COUNTIFS($U$2:$U2858,$U2858,$F$2:$F2858,$F2858)=1,1,0),IF(COUNTIFS($U$2:$U2858,$U2858,$L$2:$L2858,$L2858)=1,1,0)))</f>
        <v>0</v>
      </c>
      <c r="AA28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8" s="106"/>
      <c r="AC2858" s="51"/>
      <c r="AD2858" s="106" t="s">
        <v>15</v>
      </c>
      <c r="AE2858" s="38" t="s">
        <v>376</v>
      </c>
    </row>
    <row r="2859" spans="1:31" ht="18" customHeight="1" x14ac:dyDescent="0.25">
      <c r="A28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59" s="79">
        <v>4</v>
      </c>
      <c r="C2859" s="23">
        <v>44859</v>
      </c>
      <c r="D2859" s="67">
        <f>IF(COUNTIF($G$2:$G2859,$G2859)=1,1,0)</f>
        <v>0</v>
      </c>
      <c r="E2859" s="67" t="str">
        <f>IFERROR(VLOOKUP(База_КР_КК[[#This Row],[ИД штатной должности (S)]],'уровень защищенности'!$B$7:$F$1095,5,0),"не защищена")</f>
        <v>высокий</v>
      </c>
      <c r="F2859" s="68">
        <v>500315</v>
      </c>
      <c r="G2859" s="74" t="s">
        <v>2863</v>
      </c>
      <c r="H2859" s="181">
        <f>INDEX('Списки данных'!$D$2:$D$1048576,MATCH(База_КР_КК[[#This Row],[Структурное подразделение]],'Списки данных'!$C$2:$C$1048576,0))</f>
        <v>6</v>
      </c>
      <c r="I2859" s="80" t="s">
        <v>136</v>
      </c>
      <c r="J2859" s="80" t="s">
        <v>246</v>
      </c>
      <c r="K2859" s="80" t="s">
        <v>247</v>
      </c>
      <c r="L2859" s="30" t="s">
        <v>191</v>
      </c>
      <c r="M2859" s="68">
        <v>6</v>
      </c>
      <c r="N2859" s="181" t="str">
        <f t="shared" si="45"/>
        <v>нет</v>
      </c>
      <c r="O2859" s="23"/>
      <c r="P2859" s="23"/>
      <c r="Q2859" s="106"/>
      <c r="R2859" s="37">
        <v>686</v>
      </c>
      <c r="S2859" s="39" t="s">
        <v>1095</v>
      </c>
      <c r="T2859" s="37">
        <v>1780</v>
      </c>
      <c r="U2859" s="38" t="s">
        <v>2042</v>
      </c>
      <c r="V2859" s="89" t="s">
        <v>272</v>
      </c>
      <c r="W2859" s="89" t="s">
        <v>136</v>
      </c>
      <c r="X2859" s="106" t="s">
        <v>296</v>
      </c>
      <c r="Y2859" s="107" t="s">
        <v>12</v>
      </c>
      <c r="Z2859" s="67">
        <f>IF(База_КР_КК[[#This Row],[Таб.номер резервиста]]="-","-",IF(OR(База_КР_КК[[#This Row],[Уровень КК]]=2,База_КР_КК[[#This Row],[Уровень КК]]=3),IF(COUNTIFS($U$2:$U2859,$U2859,$F$2:$F2859,$F2859)=1,1,0),IF(COUNTIFS($U$2:$U2859,$U2859,$L$2:$L2859,$L2859)=1,1,0)))</f>
        <v>0</v>
      </c>
      <c r="AA28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59" s="106"/>
      <c r="AC2859" s="51"/>
      <c r="AD2859" s="106" t="s">
        <v>15</v>
      </c>
      <c r="AE2859" s="38" t="s">
        <v>376</v>
      </c>
    </row>
    <row r="2860" spans="1:31" ht="18" customHeight="1" x14ac:dyDescent="0.25">
      <c r="A28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0" s="79">
        <v>4</v>
      </c>
      <c r="C2860" s="23">
        <v>44859</v>
      </c>
      <c r="D2860" s="67">
        <f>IF(COUNTIF($G$2:$G2860,$G2860)=1,1,0)</f>
        <v>0</v>
      </c>
      <c r="E2860" s="67" t="str">
        <f>IFERROR(VLOOKUP(База_КР_КК[[#This Row],[ИД штатной должности (S)]],'уровень защищенности'!$B$7:$F$1095,5,0),"не защищена")</f>
        <v>высокий</v>
      </c>
      <c r="F2860" s="68">
        <v>500315</v>
      </c>
      <c r="G2860" s="74" t="s">
        <v>2863</v>
      </c>
      <c r="H2860" s="181">
        <f>INDEX('Списки данных'!$D$2:$D$1048576,MATCH(База_КР_КК[[#This Row],[Структурное подразделение]],'Списки данных'!$C$2:$C$1048576,0))</f>
        <v>6</v>
      </c>
      <c r="I2860" s="80" t="s">
        <v>136</v>
      </c>
      <c r="J2860" s="80" t="s">
        <v>246</v>
      </c>
      <c r="K2860" s="80" t="s">
        <v>247</v>
      </c>
      <c r="L2860" s="30" t="s">
        <v>191</v>
      </c>
      <c r="M2860" s="68">
        <v>6</v>
      </c>
      <c r="N2860" s="181" t="str">
        <f t="shared" si="45"/>
        <v>нет</v>
      </c>
      <c r="O2860" s="23"/>
      <c r="P2860" s="23"/>
      <c r="Q2860" s="106"/>
      <c r="R2860" s="37">
        <v>686</v>
      </c>
      <c r="S2860" s="39" t="s">
        <v>1095</v>
      </c>
      <c r="T2860" s="37">
        <v>1781</v>
      </c>
      <c r="U2860" s="38" t="s">
        <v>1980</v>
      </c>
      <c r="V2860" s="89" t="s">
        <v>272</v>
      </c>
      <c r="W2860" s="89" t="s">
        <v>136</v>
      </c>
      <c r="X2860" s="106" t="s">
        <v>296</v>
      </c>
      <c r="Y2860" s="107" t="s">
        <v>12</v>
      </c>
      <c r="Z2860" s="67">
        <f>IF(База_КР_КК[[#This Row],[Таб.номер резервиста]]="-","-",IF(OR(База_КР_КК[[#This Row],[Уровень КК]]=2,База_КР_КК[[#This Row],[Уровень КК]]=3),IF(COUNTIFS($U$2:$U2860,$U2860,$F$2:$F2860,$F2860)=1,1,0),IF(COUNTIFS($U$2:$U2860,$U2860,$L$2:$L2860,$L2860)=1,1,0)))</f>
        <v>0</v>
      </c>
      <c r="AA28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0" s="106"/>
      <c r="AC2860" s="51"/>
      <c r="AD2860" s="106" t="s">
        <v>15</v>
      </c>
      <c r="AE2860" s="38" t="s">
        <v>376</v>
      </c>
    </row>
    <row r="2861" spans="1:31" ht="18" customHeight="1" x14ac:dyDescent="0.25">
      <c r="A28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1" s="79">
        <v>4</v>
      </c>
      <c r="C2861" s="23">
        <v>44109</v>
      </c>
      <c r="D2861" s="67">
        <f>IF(COUNTIF($G$2:$G2861,$G2861)=1,1,0)</f>
        <v>0</v>
      </c>
      <c r="E2861" s="67" t="str">
        <f>IFERROR(VLOOKUP(База_КР_КК[[#This Row],[ИД штатной должности (S)]],'уровень защищенности'!$B$7:$F$1095,5,0),"не защищена")</f>
        <v>высокий</v>
      </c>
      <c r="F2861" s="68">
        <v>500315</v>
      </c>
      <c r="G2861" s="74" t="s">
        <v>2863</v>
      </c>
      <c r="H2861" s="181">
        <f>INDEX('Списки данных'!$D$2:$D$1048576,MATCH(База_КР_КК[[#This Row],[Структурное подразделение]],'Списки данных'!$C$2:$C$1048576,0))</f>
        <v>6</v>
      </c>
      <c r="I2861" s="80" t="s">
        <v>136</v>
      </c>
      <c r="J2861" s="80" t="s">
        <v>246</v>
      </c>
      <c r="K2861" s="80" t="s">
        <v>247</v>
      </c>
      <c r="L2861" s="30" t="s">
        <v>191</v>
      </c>
      <c r="M2861" s="68">
        <v>6</v>
      </c>
      <c r="N2861" s="181" t="str">
        <f t="shared" si="45"/>
        <v>нет</v>
      </c>
      <c r="O2861" s="23"/>
      <c r="P2861" s="23"/>
      <c r="Q2861" s="106"/>
      <c r="R2861" s="37">
        <v>686</v>
      </c>
      <c r="S2861" s="38" t="s">
        <v>1095</v>
      </c>
      <c r="T2861" s="37">
        <v>1782</v>
      </c>
      <c r="U2861" s="39" t="s">
        <v>2043</v>
      </c>
      <c r="V2861" s="89" t="s">
        <v>272</v>
      </c>
      <c r="W2861" s="89" t="s">
        <v>136</v>
      </c>
      <c r="X2861" s="106" t="s">
        <v>296</v>
      </c>
      <c r="Y2861" s="107" t="s">
        <v>18</v>
      </c>
      <c r="Z2861" s="67">
        <f>IF(База_КР_КК[[#This Row],[Таб.номер резервиста]]="-","-",IF(OR(База_КР_КК[[#This Row],[Уровень КК]]=2,База_КР_КК[[#This Row],[Уровень КК]]=3),IF(COUNTIFS($U$2:$U2861,$U2861,$F$2:$F2861,$F2861)=1,1,0),IF(COUNTIFS($U$2:$U2861,$U2861,$L$2:$L2861,$L2861)=1,1,0)))</f>
        <v>0</v>
      </c>
      <c r="AA28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1" s="106" t="s">
        <v>38</v>
      </c>
      <c r="AC2861" s="51">
        <v>44859</v>
      </c>
      <c r="AD2861" s="106" t="s">
        <v>31</v>
      </c>
      <c r="AE2861" s="38" t="s">
        <v>376</v>
      </c>
    </row>
    <row r="2862" spans="1:31" ht="18" customHeight="1" x14ac:dyDescent="0.25">
      <c r="A28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2" s="79">
        <v>4</v>
      </c>
      <c r="C2862" s="23">
        <v>44109</v>
      </c>
      <c r="D2862" s="67">
        <f>IF(COUNTIF($G$2:$G2862,$G2862)=1,1,0)</f>
        <v>0</v>
      </c>
      <c r="E2862" s="67" t="str">
        <f>IFERROR(VLOOKUP(База_КР_КК[[#This Row],[ИД штатной должности (S)]],'уровень защищенности'!$B$7:$F$1095,5,0),"не защищена")</f>
        <v>высокий</v>
      </c>
      <c r="F2862" s="68">
        <v>500315</v>
      </c>
      <c r="G2862" s="74" t="s">
        <v>2863</v>
      </c>
      <c r="H2862" s="181">
        <f>INDEX('Списки данных'!$D$2:$D$1048576,MATCH(База_КР_КК[[#This Row],[Структурное подразделение]],'Списки данных'!$C$2:$C$1048576,0))</f>
        <v>6</v>
      </c>
      <c r="I2862" s="80" t="s">
        <v>136</v>
      </c>
      <c r="J2862" s="80" t="s">
        <v>246</v>
      </c>
      <c r="K2862" s="80" t="s">
        <v>247</v>
      </c>
      <c r="L2862" s="30" t="s">
        <v>191</v>
      </c>
      <c r="M2862" s="68">
        <v>6</v>
      </c>
      <c r="N2862" s="181" t="str">
        <f t="shared" si="45"/>
        <v>нет</v>
      </c>
      <c r="O2862" s="23"/>
      <c r="P2862" s="23"/>
      <c r="Q2862" s="106"/>
      <c r="R2862" s="37">
        <v>686</v>
      </c>
      <c r="S2862" s="38" t="s">
        <v>1095</v>
      </c>
      <c r="T2862" s="37">
        <v>1783</v>
      </c>
      <c r="U2862" s="39" t="s">
        <v>2044</v>
      </c>
      <c r="V2862" s="89" t="s">
        <v>272</v>
      </c>
      <c r="W2862" s="89" t="s">
        <v>136</v>
      </c>
      <c r="X2862" s="106" t="s">
        <v>295</v>
      </c>
      <c r="Y2862" s="107" t="s">
        <v>18</v>
      </c>
      <c r="Z2862" s="67">
        <f>IF(База_КР_КК[[#This Row],[Таб.номер резервиста]]="-","-",IF(OR(База_КР_КК[[#This Row],[Уровень КК]]=2,База_КР_КК[[#This Row],[Уровень КК]]=3),IF(COUNTIFS($U$2:$U2862,$U2862,$F$2:$F2862,$F2862)=1,1,0),IF(COUNTIFS($U$2:$U2862,$U2862,$L$2:$L2862,$L2862)=1,1,0)))</f>
        <v>0</v>
      </c>
      <c r="AA28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2" s="106" t="s">
        <v>19</v>
      </c>
      <c r="AC2862" s="51">
        <v>44467</v>
      </c>
      <c r="AD2862" s="106" t="s">
        <v>15</v>
      </c>
      <c r="AE2862" s="38" t="s">
        <v>377</v>
      </c>
    </row>
    <row r="2863" spans="1:31" ht="18" customHeight="1" x14ac:dyDescent="0.25">
      <c r="A28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3" s="79">
        <v>4</v>
      </c>
      <c r="C2863" s="23">
        <v>44109</v>
      </c>
      <c r="D2863" s="67">
        <f>IF(COUNTIF($G$2:$G2863,$G2863)=1,1,0)</f>
        <v>0</v>
      </c>
      <c r="E2863" s="67" t="str">
        <f>IFERROR(VLOOKUP(База_КР_КК[[#This Row],[ИД штатной должности (S)]],'уровень защищенности'!$B$7:$F$1095,5,0),"не защищена")</f>
        <v>высокий</v>
      </c>
      <c r="F2863" s="68">
        <v>500315</v>
      </c>
      <c r="G2863" s="74" t="s">
        <v>2863</v>
      </c>
      <c r="H2863" s="181">
        <f>INDEX('Списки данных'!$D$2:$D$1048576,MATCH(База_КР_КК[[#This Row],[Структурное подразделение]],'Списки данных'!$C$2:$C$1048576,0))</f>
        <v>6</v>
      </c>
      <c r="I2863" s="80" t="s">
        <v>136</v>
      </c>
      <c r="J2863" s="80" t="s">
        <v>246</v>
      </c>
      <c r="K2863" s="80" t="s">
        <v>247</v>
      </c>
      <c r="L2863" s="30" t="s">
        <v>191</v>
      </c>
      <c r="M2863" s="68">
        <v>6</v>
      </c>
      <c r="N2863" s="181" t="str">
        <f t="shared" si="45"/>
        <v>нет</v>
      </c>
      <c r="O2863" s="23"/>
      <c r="P2863" s="23"/>
      <c r="Q2863" s="106"/>
      <c r="R2863" s="37">
        <v>686</v>
      </c>
      <c r="S2863" s="38" t="s">
        <v>1095</v>
      </c>
      <c r="T2863" s="37">
        <v>688</v>
      </c>
      <c r="U2863" s="39" t="s">
        <v>1097</v>
      </c>
      <c r="V2863" s="89" t="s">
        <v>192</v>
      </c>
      <c r="W2863" s="89" t="s">
        <v>136</v>
      </c>
      <c r="X2863" s="106" t="s">
        <v>295</v>
      </c>
      <c r="Y2863" s="107" t="s">
        <v>18</v>
      </c>
      <c r="Z2863" s="67">
        <f>IF(База_КР_КК[[#This Row],[Таб.номер резервиста]]="-","-",IF(OR(База_КР_КК[[#This Row],[Уровень КК]]=2,База_КР_КК[[#This Row],[Уровень КК]]=3),IF(COUNTIFS($U$2:$U2863,$U2863,$F$2:$F2863,$F2863)=1,1,0),IF(COUNTIFS($U$2:$U2863,$U2863,$L$2:$L2863,$L2863)=1,1,0)))</f>
        <v>0</v>
      </c>
      <c r="AA28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3" s="106" t="s">
        <v>37</v>
      </c>
      <c r="AC2863" s="51">
        <v>44682</v>
      </c>
      <c r="AD2863" s="106" t="s">
        <v>15</v>
      </c>
      <c r="AE2863" s="38" t="s">
        <v>377</v>
      </c>
    </row>
    <row r="2864" spans="1:31" ht="18" customHeight="1" x14ac:dyDescent="0.25">
      <c r="A28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4" s="79">
        <v>4</v>
      </c>
      <c r="C2864" s="23">
        <v>44109</v>
      </c>
      <c r="D2864" s="67">
        <f>IF(COUNTIF($G$2:$G2864,$G2864)=1,1,0)</f>
        <v>1</v>
      </c>
      <c r="E2864" s="67" t="str">
        <f>IFERROR(VLOOKUP(База_КР_КК[[#This Row],[ИД штатной должности (S)]],'уровень защищенности'!$B$7:$F$1095,5,0),"не защищена")</f>
        <v>высокий</v>
      </c>
      <c r="F2864" s="68">
        <v>500315</v>
      </c>
      <c r="G2864" s="74" t="s">
        <v>2864</v>
      </c>
      <c r="H2864" s="181">
        <f>INDEX('Списки данных'!$D$2:$D$1048576,MATCH(База_КР_КК[[#This Row],[Структурное подразделение]],'Списки данных'!$C$2:$C$1048576,0))</f>
        <v>6</v>
      </c>
      <c r="I2864" s="80" t="s">
        <v>136</v>
      </c>
      <c r="J2864" s="80" t="s">
        <v>246</v>
      </c>
      <c r="K2864" s="80" t="s">
        <v>247</v>
      </c>
      <c r="L2864" s="30" t="s">
        <v>191</v>
      </c>
      <c r="M2864" s="68">
        <v>6</v>
      </c>
      <c r="N2864" s="181" t="str">
        <f t="shared" si="45"/>
        <v>нет</v>
      </c>
      <c r="O2864" s="23"/>
      <c r="P2864" s="23"/>
      <c r="Q2864" s="106"/>
      <c r="R2864" s="37">
        <v>687</v>
      </c>
      <c r="S2864" s="38" t="s">
        <v>1096</v>
      </c>
      <c r="T2864" s="37">
        <v>1776</v>
      </c>
      <c r="U2864" s="39" t="s">
        <v>1770</v>
      </c>
      <c r="V2864" s="89" t="s">
        <v>272</v>
      </c>
      <c r="W2864" s="89" t="s">
        <v>136</v>
      </c>
      <c r="X2864" s="106" t="s">
        <v>295</v>
      </c>
      <c r="Y2864" s="107" t="s">
        <v>12</v>
      </c>
      <c r="Z2864" s="67">
        <f>IF(База_КР_КК[[#This Row],[Таб.номер резервиста]]="-","-",IF(OR(База_КР_КК[[#This Row],[Уровень КК]]=2,База_КР_КК[[#This Row],[Уровень КК]]=3),IF(COUNTIFS($U$2:$U2864,$U2864,$F$2:$F2864,$F2864)=1,1,0),IF(COUNTIFS($U$2:$U2864,$U2864,$L$2:$L2864,$L2864)=1,1,0)))</f>
        <v>0</v>
      </c>
      <c r="AA28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4" s="106"/>
      <c r="AC2864" s="51"/>
      <c r="AD2864" s="106" t="s">
        <v>13</v>
      </c>
      <c r="AE2864" s="38" t="s">
        <v>376</v>
      </c>
    </row>
    <row r="2865" spans="1:31" ht="18" customHeight="1" x14ac:dyDescent="0.25">
      <c r="A28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5" s="79">
        <v>4</v>
      </c>
      <c r="C2865" s="23">
        <v>44109</v>
      </c>
      <c r="D2865" s="67">
        <f>IF(COUNTIF($G$2:$G2865,$G2865)=1,1,0)</f>
        <v>0</v>
      </c>
      <c r="E2865" s="67" t="str">
        <f>IFERROR(VLOOKUP(База_КР_КК[[#This Row],[ИД штатной должности (S)]],'уровень защищенности'!$B$7:$F$1095,5,0),"не защищена")</f>
        <v>высокий</v>
      </c>
      <c r="F2865" s="68">
        <v>500315</v>
      </c>
      <c r="G2865" s="74" t="s">
        <v>2864</v>
      </c>
      <c r="H2865" s="181">
        <f>INDEX('Списки данных'!$D$2:$D$1048576,MATCH(База_КР_КК[[#This Row],[Структурное подразделение]],'Списки данных'!$C$2:$C$1048576,0))</f>
        <v>6</v>
      </c>
      <c r="I2865" s="80" t="s">
        <v>136</v>
      </c>
      <c r="J2865" s="80" t="s">
        <v>246</v>
      </c>
      <c r="K2865" s="80" t="s">
        <v>247</v>
      </c>
      <c r="L2865" s="30" t="s">
        <v>191</v>
      </c>
      <c r="M2865" s="68">
        <v>6</v>
      </c>
      <c r="N2865" s="181" t="str">
        <f t="shared" si="45"/>
        <v>нет</v>
      </c>
      <c r="O2865" s="23"/>
      <c r="P2865" s="23"/>
      <c r="Q2865" s="106"/>
      <c r="R2865" s="37">
        <v>687</v>
      </c>
      <c r="S2865" s="38" t="s">
        <v>1096</v>
      </c>
      <c r="T2865" s="37">
        <v>1762</v>
      </c>
      <c r="U2865" s="39" t="s">
        <v>1994</v>
      </c>
      <c r="V2865" s="89" t="s">
        <v>272</v>
      </c>
      <c r="W2865" s="89" t="s">
        <v>136</v>
      </c>
      <c r="X2865" s="106" t="s">
        <v>295</v>
      </c>
      <c r="Y2865" s="107" t="s">
        <v>12</v>
      </c>
      <c r="Z2865" s="67">
        <f>IF(База_КР_КК[[#This Row],[Таб.номер резервиста]]="-","-",IF(OR(База_КР_КК[[#This Row],[Уровень КК]]=2,База_КР_КК[[#This Row],[Уровень КК]]=3),IF(COUNTIFS($U$2:$U2865,$U2865,$F$2:$F2865,$F2865)=1,1,0),IF(COUNTIFS($U$2:$U2865,$U2865,$L$2:$L2865,$L2865)=1,1,0)))</f>
        <v>0</v>
      </c>
      <c r="AA28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5" s="106"/>
      <c r="AC2865" s="51"/>
      <c r="AD2865" s="106" t="s">
        <v>13</v>
      </c>
      <c r="AE2865" s="38" t="s">
        <v>376</v>
      </c>
    </row>
    <row r="2866" spans="1:31" ht="18" customHeight="1" x14ac:dyDescent="0.25">
      <c r="A28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6" s="79">
        <v>4</v>
      </c>
      <c r="C2866" s="23">
        <v>44109</v>
      </c>
      <c r="D2866" s="67">
        <f>IF(COUNTIF($G$2:$G2866,$G2866)=1,1,0)</f>
        <v>0</v>
      </c>
      <c r="E2866" s="67" t="str">
        <f>IFERROR(VLOOKUP(База_КР_КК[[#This Row],[ИД штатной должности (S)]],'уровень защищенности'!$B$7:$F$1095,5,0),"не защищена")</f>
        <v>высокий</v>
      </c>
      <c r="F2866" s="68">
        <v>500315</v>
      </c>
      <c r="G2866" s="74" t="s">
        <v>2864</v>
      </c>
      <c r="H2866" s="181">
        <f>INDEX('Списки данных'!$D$2:$D$1048576,MATCH(База_КР_КК[[#This Row],[Структурное подразделение]],'Списки данных'!$C$2:$C$1048576,0))</f>
        <v>6</v>
      </c>
      <c r="I2866" s="80" t="s">
        <v>136</v>
      </c>
      <c r="J2866" s="80" t="s">
        <v>246</v>
      </c>
      <c r="K2866" s="80" t="s">
        <v>247</v>
      </c>
      <c r="L2866" s="30" t="s">
        <v>191</v>
      </c>
      <c r="M2866" s="68">
        <v>6</v>
      </c>
      <c r="N2866" s="181" t="str">
        <f t="shared" si="45"/>
        <v>нет</v>
      </c>
      <c r="O2866" s="23"/>
      <c r="P2866" s="23"/>
      <c r="Q2866" s="106"/>
      <c r="R2866" s="37">
        <v>687</v>
      </c>
      <c r="S2866" s="38" t="s">
        <v>1096</v>
      </c>
      <c r="T2866" s="37">
        <v>1777</v>
      </c>
      <c r="U2866" s="39" t="s">
        <v>1739</v>
      </c>
      <c r="V2866" s="89" t="s">
        <v>272</v>
      </c>
      <c r="W2866" s="89" t="s">
        <v>136</v>
      </c>
      <c r="X2866" s="106" t="s">
        <v>296</v>
      </c>
      <c r="Y2866" s="107" t="s">
        <v>12</v>
      </c>
      <c r="Z2866" s="67">
        <f>IF(База_КР_КК[[#This Row],[Таб.номер резервиста]]="-","-",IF(OR(База_КР_КК[[#This Row],[Уровень КК]]=2,База_КР_КК[[#This Row],[Уровень КК]]=3),IF(COUNTIFS($U$2:$U2866,$U2866,$F$2:$F2866,$F2866)=1,1,0),IF(COUNTIFS($U$2:$U2866,$U2866,$L$2:$L2866,$L2866)=1,1,0)))</f>
        <v>0</v>
      </c>
      <c r="AA28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6" s="106"/>
      <c r="AC2866" s="51"/>
      <c r="AD2866" s="106" t="s">
        <v>17</v>
      </c>
      <c r="AE2866" s="38" t="s">
        <v>376</v>
      </c>
    </row>
    <row r="2867" spans="1:31" ht="18" customHeight="1" x14ac:dyDescent="0.25">
      <c r="A28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7" s="79">
        <v>4</v>
      </c>
      <c r="C2867" s="23">
        <v>44859</v>
      </c>
      <c r="D2867" s="67">
        <f>IF(COUNTIF($G$2:$G2867,$G2867)=1,1,0)</f>
        <v>0</v>
      </c>
      <c r="E2867" s="67" t="str">
        <f>IFERROR(VLOOKUP(База_КР_КК[[#This Row],[ИД штатной должности (S)]],'уровень защищенности'!$B$7:$F$1095,5,0),"не защищена")</f>
        <v>высокий</v>
      </c>
      <c r="F2867" s="68">
        <v>500315</v>
      </c>
      <c r="G2867" s="74" t="s">
        <v>2864</v>
      </c>
      <c r="H2867" s="181">
        <f>INDEX('Списки данных'!$D$2:$D$1048576,MATCH(База_КР_КК[[#This Row],[Структурное подразделение]],'Списки данных'!$C$2:$C$1048576,0))</f>
        <v>6</v>
      </c>
      <c r="I2867" s="80" t="s">
        <v>136</v>
      </c>
      <c r="J2867" s="80" t="s">
        <v>246</v>
      </c>
      <c r="K2867" s="80" t="s">
        <v>247</v>
      </c>
      <c r="L2867" s="30" t="s">
        <v>191</v>
      </c>
      <c r="M2867" s="68">
        <v>6</v>
      </c>
      <c r="N2867" s="181" t="str">
        <f t="shared" si="45"/>
        <v>нет</v>
      </c>
      <c r="O2867" s="23"/>
      <c r="P2867" s="23"/>
      <c r="Q2867" s="106"/>
      <c r="R2867" s="37">
        <v>687</v>
      </c>
      <c r="S2867" s="39" t="s">
        <v>1096</v>
      </c>
      <c r="T2867" s="37">
        <v>1778</v>
      </c>
      <c r="U2867" s="38" t="s">
        <v>1949</v>
      </c>
      <c r="V2867" s="89" t="s">
        <v>272</v>
      </c>
      <c r="W2867" s="89" t="s">
        <v>136</v>
      </c>
      <c r="X2867" s="106" t="s">
        <v>296</v>
      </c>
      <c r="Y2867" s="107" t="s">
        <v>12</v>
      </c>
      <c r="Z2867" s="67">
        <f>IF(База_КР_КК[[#This Row],[Таб.номер резервиста]]="-","-",IF(OR(База_КР_КК[[#This Row],[Уровень КК]]=2,База_КР_КК[[#This Row],[Уровень КК]]=3),IF(COUNTIFS($U$2:$U2867,$U2867,$F$2:$F2867,$F2867)=1,1,0),IF(COUNTIFS($U$2:$U2867,$U2867,$L$2:$L2867,$L2867)=1,1,0)))</f>
        <v>0</v>
      </c>
      <c r="AA28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7" s="106"/>
      <c r="AC2867" s="51"/>
      <c r="AD2867" s="106" t="s">
        <v>15</v>
      </c>
      <c r="AE2867" s="38" t="s">
        <v>376</v>
      </c>
    </row>
    <row r="2868" spans="1:31" ht="18" customHeight="1" x14ac:dyDescent="0.25">
      <c r="A28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8" s="79">
        <v>4</v>
      </c>
      <c r="C2868" s="23">
        <v>44859</v>
      </c>
      <c r="D2868" s="67">
        <f>IF(COUNTIF($G$2:$G2868,$G2868)=1,1,0)</f>
        <v>0</v>
      </c>
      <c r="E2868" s="67" t="str">
        <f>IFERROR(VLOOKUP(База_КР_КК[[#This Row],[ИД штатной должности (S)]],'уровень защищенности'!$B$7:$F$1095,5,0),"не защищена")</f>
        <v>высокий</v>
      </c>
      <c r="F2868" s="68">
        <v>500315</v>
      </c>
      <c r="G2868" s="74" t="s">
        <v>2864</v>
      </c>
      <c r="H2868" s="181">
        <f>INDEX('Списки данных'!$D$2:$D$1048576,MATCH(База_КР_КК[[#This Row],[Структурное подразделение]],'Списки данных'!$C$2:$C$1048576,0))</f>
        <v>6</v>
      </c>
      <c r="I2868" s="80" t="s">
        <v>136</v>
      </c>
      <c r="J2868" s="80" t="s">
        <v>246</v>
      </c>
      <c r="K2868" s="80" t="s">
        <v>247</v>
      </c>
      <c r="L2868" s="30" t="s">
        <v>191</v>
      </c>
      <c r="M2868" s="68">
        <v>6</v>
      </c>
      <c r="N2868" s="181" t="str">
        <f t="shared" si="45"/>
        <v>нет</v>
      </c>
      <c r="O2868" s="23"/>
      <c r="P2868" s="23"/>
      <c r="Q2868" s="106"/>
      <c r="R2868" s="37">
        <v>687</v>
      </c>
      <c r="S2868" s="39" t="s">
        <v>1096</v>
      </c>
      <c r="T2868" s="37">
        <v>1779</v>
      </c>
      <c r="U2868" s="38" t="s">
        <v>2041</v>
      </c>
      <c r="V2868" s="89" t="s">
        <v>272</v>
      </c>
      <c r="W2868" s="89" t="s">
        <v>136</v>
      </c>
      <c r="X2868" s="106" t="s">
        <v>297</v>
      </c>
      <c r="Y2868" s="107" t="s">
        <v>12</v>
      </c>
      <c r="Z2868" s="67">
        <f>IF(База_КР_КК[[#This Row],[Таб.номер резервиста]]="-","-",IF(OR(База_КР_КК[[#This Row],[Уровень КК]]=2,База_КР_КК[[#This Row],[Уровень КК]]=3),IF(COUNTIFS($U$2:$U2868,$U2868,$F$2:$F2868,$F2868)=1,1,0),IF(COUNTIFS($U$2:$U2868,$U2868,$L$2:$L2868,$L2868)=1,1,0)))</f>
        <v>0</v>
      </c>
      <c r="AA28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8" s="106"/>
      <c r="AC2868" s="51"/>
      <c r="AD2868" s="106" t="s">
        <v>15</v>
      </c>
      <c r="AE2868" s="38" t="s">
        <v>376</v>
      </c>
    </row>
    <row r="2869" spans="1:31" ht="18" customHeight="1" x14ac:dyDescent="0.25">
      <c r="A28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69" s="79">
        <v>4</v>
      </c>
      <c r="C2869" s="23">
        <v>44859</v>
      </c>
      <c r="D2869" s="67">
        <f>IF(COUNTIF($G$2:$G2869,$G2869)=1,1,0)</f>
        <v>0</v>
      </c>
      <c r="E2869" s="67" t="str">
        <f>IFERROR(VLOOKUP(База_КР_КК[[#This Row],[ИД штатной должности (S)]],'уровень защищенности'!$B$7:$F$1095,5,0),"не защищена")</f>
        <v>высокий</v>
      </c>
      <c r="F2869" s="68">
        <v>500315</v>
      </c>
      <c r="G2869" s="74" t="s">
        <v>2864</v>
      </c>
      <c r="H2869" s="181">
        <f>INDEX('Списки данных'!$D$2:$D$1048576,MATCH(База_КР_КК[[#This Row],[Структурное подразделение]],'Списки данных'!$C$2:$C$1048576,0))</f>
        <v>6</v>
      </c>
      <c r="I2869" s="80" t="s">
        <v>136</v>
      </c>
      <c r="J2869" s="80" t="s">
        <v>246</v>
      </c>
      <c r="K2869" s="80" t="s">
        <v>247</v>
      </c>
      <c r="L2869" s="30" t="s">
        <v>191</v>
      </c>
      <c r="M2869" s="68">
        <v>6</v>
      </c>
      <c r="N2869" s="181" t="str">
        <f t="shared" si="45"/>
        <v>нет</v>
      </c>
      <c r="O2869" s="23"/>
      <c r="P2869" s="23"/>
      <c r="Q2869" s="106"/>
      <c r="R2869" s="37">
        <v>687</v>
      </c>
      <c r="S2869" s="39" t="s">
        <v>1096</v>
      </c>
      <c r="T2869" s="37">
        <v>1780</v>
      </c>
      <c r="U2869" s="38" t="s">
        <v>2042</v>
      </c>
      <c r="V2869" s="89" t="s">
        <v>272</v>
      </c>
      <c r="W2869" s="89" t="s">
        <v>136</v>
      </c>
      <c r="X2869" s="106" t="s">
        <v>296</v>
      </c>
      <c r="Y2869" s="107" t="s">
        <v>12</v>
      </c>
      <c r="Z2869" s="67">
        <f>IF(База_КР_КК[[#This Row],[Таб.номер резервиста]]="-","-",IF(OR(База_КР_КК[[#This Row],[Уровень КК]]=2,База_КР_КК[[#This Row],[Уровень КК]]=3),IF(COUNTIFS($U$2:$U2869,$U2869,$F$2:$F2869,$F2869)=1,1,0),IF(COUNTIFS($U$2:$U2869,$U2869,$L$2:$L2869,$L2869)=1,1,0)))</f>
        <v>0</v>
      </c>
      <c r="AA28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69" s="106"/>
      <c r="AC2869" s="51"/>
      <c r="AD2869" s="106" t="s">
        <v>15</v>
      </c>
      <c r="AE2869" s="38" t="s">
        <v>376</v>
      </c>
    </row>
    <row r="2870" spans="1:31" ht="18" customHeight="1" x14ac:dyDescent="0.25">
      <c r="A28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0" s="79">
        <v>4</v>
      </c>
      <c r="C2870" s="23">
        <v>44859</v>
      </c>
      <c r="D2870" s="67">
        <f>IF(COUNTIF($G$2:$G2870,$G2870)=1,1,0)</f>
        <v>0</v>
      </c>
      <c r="E2870" s="67" t="str">
        <f>IFERROR(VLOOKUP(База_КР_КК[[#This Row],[ИД штатной должности (S)]],'уровень защищенности'!$B$7:$F$1095,5,0),"не защищена")</f>
        <v>высокий</v>
      </c>
      <c r="F2870" s="68">
        <v>500315</v>
      </c>
      <c r="G2870" s="74" t="s">
        <v>2864</v>
      </c>
      <c r="H2870" s="181">
        <f>INDEX('Списки данных'!$D$2:$D$1048576,MATCH(База_КР_КК[[#This Row],[Структурное подразделение]],'Списки данных'!$C$2:$C$1048576,0))</f>
        <v>6</v>
      </c>
      <c r="I2870" s="80" t="s">
        <v>136</v>
      </c>
      <c r="J2870" s="80" t="s">
        <v>246</v>
      </c>
      <c r="K2870" s="80" t="s">
        <v>247</v>
      </c>
      <c r="L2870" s="30" t="s">
        <v>191</v>
      </c>
      <c r="M2870" s="68">
        <v>6</v>
      </c>
      <c r="N2870" s="181" t="str">
        <f t="shared" si="45"/>
        <v>нет</v>
      </c>
      <c r="O2870" s="23"/>
      <c r="P2870" s="23"/>
      <c r="Q2870" s="106"/>
      <c r="R2870" s="37">
        <v>687</v>
      </c>
      <c r="S2870" s="39" t="s">
        <v>1096</v>
      </c>
      <c r="T2870" s="37">
        <v>1781</v>
      </c>
      <c r="U2870" s="38" t="s">
        <v>1980</v>
      </c>
      <c r="V2870" s="89" t="s">
        <v>272</v>
      </c>
      <c r="W2870" s="89" t="s">
        <v>136</v>
      </c>
      <c r="X2870" s="106" t="s">
        <v>296</v>
      </c>
      <c r="Y2870" s="107" t="s">
        <v>12</v>
      </c>
      <c r="Z2870" s="67">
        <f>IF(База_КР_КК[[#This Row],[Таб.номер резервиста]]="-","-",IF(OR(База_КР_КК[[#This Row],[Уровень КК]]=2,База_КР_КК[[#This Row],[Уровень КК]]=3),IF(COUNTIFS($U$2:$U2870,$U2870,$F$2:$F2870,$F2870)=1,1,0),IF(COUNTIFS($U$2:$U2870,$U2870,$L$2:$L2870,$L2870)=1,1,0)))</f>
        <v>0</v>
      </c>
      <c r="AA28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0" s="106"/>
      <c r="AC2870" s="51"/>
      <c r="AD2870" s="106" t="s">
        <v>15</v>
      </c>
      <c r="AE2870" s="38" t="s">
        <v>376</v>
      </c>
    </row>
    <row r="2871" spans="1:31" ht="18" customHeight="1" x14ac:dyDescent="0.25">
      <c r="A28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1" s="79">
        <v>4</v>
      </c>
      <c r="C2871" s="23">
        <v>44109</v>
      </c>
      <c r="D2871" s="67">
        <f>IF(COUNTIF($G$2:$G2871,$G2871)=1,1,0)</f>
        <v>0</v>
      </c>
      <c r="E2871" s="67" t="str">
        <f>IFERROR(VLOOKUP(База_КР_КК[[#This Row],[ИД штатной должности (S)]],'уровень защищенности'!$B$7:$F$1095,5,0),"не защищена")</f>
        <v>высокий</v>
      </c>
      <c r="F2871" s="68">
        <v>500315</v>
      </c>
      <c r="G2871" s="74" t="s">
        <v>2864</v>
      </c>
      <c r="H2871" s="181">
        <f>INDEX('Списки данных'!$D$2:$D$1048576,MATCH(База_КР_КК[[#This Row],[Структурное подразделение]],'Списки данных'!$C$2:$C$1048576,0))</f>
        <v>6</v>
      </c>
      <c r="I2871" s="80" t="s">
        <v>136</v>
      </c>
      <c r="J2871" s="80" t="s">
        <v>246</v>
      </c>
      <c r="K2871" s="80" t="s">
        <v>247</v>
      </c>
      <c r="L2871" s="30" t="s">
        <v>191</v>
      </c>
      <c r="M2871" s="68">
        <v>6</v>
      </c>
      <c r="N2871" s="181" t="str">
        <f t="shared" si="45"/>
        <v>нет</v>
      </c>
      <c r="O2871" s="23"/>
      <c r="P2871" s="23"/>
      <c r="Q2871" s="106"/>
      <c r="R2871" s="37">
        <v>687</v>
      </c>
      <c r="S2871" s="38" t="s">
        <v>1096</v>
      </c>
      <c r="T2871" s="37">
        <v>1782</v>
      </c>
      <c r="U2871" s="39" t="s">
        <v>2043</v>
      </c>
      <c r="V2871" s="89" t="s">
        <v>272</v>
      </c>
      <c r="W2871" s="89" t="s">
        <v>136</v>
      </c>
      <c r="X2871" s="106" t="s">
        <v>296</v>
      </c>
      <c r="Y2871" s="107" t="s">
        <v>18</v>
      </c>
      <c r="Z2871" s="67">
        <f>IF(База_КР_КК[[#This Row],[Таб.номер резервиста]]="-","-",IF(OR(База_КР_КК[[#This Row],[Уровень КК]]=2,База_КР_КК[[#This Row],[Уровень КК]]=3),IF(COUNTIFS($U$2:$U2871,$U2871,$F$2:$F2871,$F2871)=1,1,0),IF(COUNTIFS($U$2:$U2871,$U2871,$L$2:$L2871,$L2871)=1,1,0)))</f>
        <v>0</v>
      </c>
      <c r="AA28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1" s="106" t="s">
        <v>38</v>
      </c>
      <c r="AC2871" s="51">
        <v>44859</v>
      </c>
      <c r="AD2871" s="106" t="s">
        <v>31</v>
      </c>
      <c r="AE2871" s="38" t="s">
        <v>376</v>
      </c>
    </row>
    <row r="2872" spans="1:31" ht="18" customHeight="1" x14ac:dyDescent="0.25">
      <c r="A28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2" s="79">
        <v>4</v>
      </c>
      <c r="C2872" s="23">
        <v>44109</v>
      </c>
      <c r="D2872" s="67">
        <f>IF(COUNTIF($G$2:$G2872,$G2872)=1,1,0)</f>
        <v>0</v>
      </c>
      <c r="E2872" s="67" t="str">
        <f>IFERROR(VLOOKUP(База_КР_КК[[#This Row],[ИД штатной должности (S)]],'уровень защищенности'!$B$7:$F$1095,5,0),"не защищена")</f>
        <v>высокий</v>
      </c>
      <c r="F2872" s="68">
        <v>500315</v>
      </c>
      <c r="G2872" s="74" t="s">
        <v>2864</v>
      </c>
      <c r="H2872" s="181">
        <f>INDEX('Списки данных'!$D$2:$D$1048576,MATCH(База_КР_КК[[#This Row],[Структурное подразделение]],'Списки данных'!$C$2:$C$1048576,0))</f>
        <v>6</v>
      </c>
      <c r="I2872" s="80" t="s">
        <v>136</v>
      </c>
      <c r="J2872" s="80" t="s">
        <v>246</v>
      </c>
      <c r="K2872" s="80" t="s">
        <v>247</v>
      </c>
      <c r="L2872" s="30" t="s">
        <v>191</v>
      </c>
      <c r="M2872" s="68">
        <v>6</v>
      </c>
      <c r="N2872" s="181" t="str">
        <f t="shared" si="45"/>
        <v>нет</v>
      </c>
      <c r="O2872" s="23"/>
      <c r="P2872" s="23"/>
      <c r="Q2872" s="106"/>
      <c r="R2872" s="37">
        <v>687</v>
      </c>
      <c r="S2872" s="38" t="s">
        <v>1096</v>
      </c>
      <c r="T2872" s="37">
        <v>1783</v>
      </c>
      <c r="U2872" s="39" t="s">
        <v>2044</v>
      </c>
      <c r="V2872" s="89" t="s">
        <v>272</v>
      </c>
      <c r="W2872" s="89" t="s">
        <v>136</v>
      </c>
      <c r="X2872" s="106" t="s">
        <v>295</v>
      </c>
      <c r="Y2872" s="107" t="s">
        <v>18</v>
      </c>
      <c r="Z2872" s="67">
        <f>IF(База_КР_КК[[#This Row],[Таб.номер резервиста]]="-","-",IF(OR(База_КР_КК[[#This Row],[Уровень КК]]=2,База_КР_КК[[#This Row],[Уровень КК]]=3),IF(COUNTIFS($U$2:$U2872,$U2872,$F$2:$F2872,$F2872)=1,1,0),IF(COUNTIFS($U$2:$U2872,$U2872,$L$2:$L2872,$L2872)=1,1,0)))</f>
        <v>0</v>
      </c>
      <c r="AA28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2" s="106" t="s">
        <v>19</v>
      </c>
      <c r="AC2872" s="51">
        <v>44467</v>
      </c>
      <c r="AD2872" s="106" t="s">
        <v>15</v>
      </c>
      <c r="AE2872" s="38" t="s">
        <v>377</v>
      </c>
    </row>
    <row r="2873" spans="1:31" ht="18" customHeight="1" x14ac:dyDescent="0.25">
      <c r="A28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3" s="79">
        <v>4</v>
      </c>
      <c r="C2873" s="23">
        <v>44109</v>
      </c>
      <c r="D2873" s="67">
        <f>IF(COUNTIF($G$2:$G2873,$G2873)=1,1,0)</f>
        <v>0</v>
      </c>
      <c r="E2873" s="67" t="str">
        <f>IFERROR(VLOOKUP(База_КР_КК[[#This Row],[ИД штатной должности (S)]],'уровень защищенности'!$B$7:$F$1095,5,0),"не защищена")</f>
        <v>высокий</v>
      </c>
      <c r="F2873" s="68">
        <v>500315</v>
      </c>
      <c r="G2873" s="74" t="s">
        <v>2864</v>
      </c>
      <c r="H2873" s="181">
        <f>INDEX('Списки данных'!$D$2:$D$1048576,MATCH(База_КР_КК[[#This Row],[Структурное подразделение]],'Списки данных'!$C$2:$C$1048576,0))</f>
        <v>6</v>
      </c>
      <c r="I2873" s="80" t="s">
        <v>136</v>
      </c>
      <c r="J2873" s="80" t="s">
        <v>246</v>
      </c>
      <c r="K2873" s="80" t="s">
        <v>247</v>
      </c>
      <c r="L2873" s="30" t="s">
        <v>191</v>
      </c>
      <c r="M2873" s="68">
        <v>6</v>
      </c>
      <c r="N2873" s="181" t="str">
        <f t="shared" si="45"/>
        <v>нет</v>
      </c>
      <c r="O2873" s="23"/>
      <c r="P2873" s="23"/>
      <c r="Q2873" s="106"/>
      <c r="R2873" s="37">
        <v>687</v>
      </c>
      <c r="S2873" s="38" t="s">
        <v>1096</v>
      </c>
      <c r="T2873" s="37">
        <v>688</v>
      </c>
      <c r="U2873" s="39" t="s">
        <v>1097</v>
      </c>
      <c r="V2873" s="89" t="s">
        <v>192</v>
      </c>
      <c r="W2873" s="89" t="s">
        <v>136</v>
      </c>
      <c r="X2873" s="106" t="s">
        <v>295</v>
      </c>
      <c r="Y2873" s="107" t="s">
        <v>18</v>
      </c>
      <c r="Z2873" s="67">
        <f>IF(База_КР_КК[[#This Row],[Таб.номер резервиста]]="-","-",IF(OR(База_КР_КК[[#This Row],[Уровень КК]]=2,База_КР_КК[[#This Row],[Уровень КК]]=3),IF(COUNTIFS($U$2:$U2873,$U2873,$F$2:$F2873,$F2873)=1,1,0),IF(COUNTIFS($U$2:$U2873,$U2873,$L$2:$L2873,$L2873)=1,1,0)))</f>
        <v>0</v>
      </c>
      <c r="AA28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3" s="106" t="s">
        <v>37</v>
      </c>
      <c r="AC2873" s="51">
        <v>44682</v>
      </c>
      <c r="AD2873" s="106" t="s">
        <v>15</v>
      </c>
      <c r="AE2873" s="38" t="s">
        <v>377</v>
      </c>
    </row>
    <row r="2874" spans="1:31" ht="18" customHeight="1" x14ac:dyDescent="0.25">
      <c r="A28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4" s="79">
        <v>4</v>
      </c>
      <c r="C2874" s="23">
        <v>44109</v>
      </c>
      <c r="D2874" s="67">
        <f>IF(COUNTIF($G$2:$G2874,$G2874)=1,1,0)</f>
        <v>1</v>
      </c>
      <c r="E2874" s="67" t="str">
        <f>IFERROR(VLOOKUP(База_КР_КК[[#This Row],[ИД штатной должности (S)]],'уровень защищенности'!$B$7:$F$1095,5,0),"не защищена")</f>
        <v>средний</v>
      </c>
      <c r="F2874" s="68">
        <v>500316</v>
      </c>
      <c r="G2874" s="74" t="s">
        <v>2865</v>
      </c>
      <c r="H2874" s="181">
        <f>INDEX('Списки данных'!$D$2:$D$1048576,MATCH(База_КР_КК[[#This Row],[Структурное подразделение]],'Списки данных'!$C$2:$C$1048576,0))</f>
        <v>6</v>
      </c>
      <c r="I2874" s="80" t="s">
        <v>136</v>
      </c>
      <c r="J2874" s="80" t="s">
        <v>246</v>
      </c>
      <c r="K2874" s="80" t="s">
        <v>247</v>
      </c>
      <c r="L2874" s="30" t="s">
        <v>192</v>
      </c>
      <c r="M2874" s="68">
        <v>6</v>
      </c>
      <c r="N2874" s="181" t="str">
        <f t="shared" si="45"/>
        <v>да</v>
      </c>
      <c r="O2874" s="23">
        <v>44682</v>
      </c>
      <c r="P2874" s="23">
        <v>44682</v>
      </c>
      <c r="Q2874" s="106" t="s">
        <v>57</v>
      </c>
      <c r="R2874" s="37">
        <v>688</v>
      </c>
      <c r="S2874" s="39" t="s">
        <v>1097</v>
      </c>
      <c r="T2874" s="37">
        <v>1762</v>
      </c>
      <c r="U2874" s="39" t="s">
        <v>1994</v>
      </c>
      <c r="V2874" s="89" t="s">
        <v>272</v>
      </c>
      <c r="W2874" s="89" t="s">
        <v>136</v>
      </c>
      <c r="X2874" s="106" t="s">
        <v>297</v>
      </c>
      <c r="Y2874" s="107" t="s">
        <v>12</v>
      </c>
      <c r="Z2874" s="67">
        <f>IF(База_КР_КК[[#This Row],[Таб.номер резервиста]]="-","-",IF(OR(База_КР_КК[[#This Row],[Уровень КК]]=2,База_КР_КК[[#This Row],[Уровень КК]]=3),IF(COUNTIFS($U$2:$U2874,$U2874,$F$2:$F2874,$F2874)=1,1,0),IF(COUNTIFS($U$2:$U2874,$U2874,$L$2:$L2874,$L2874)=1,1,0)))</f>
        <v>1</v>
      </c>
      <c r="AA28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4" s="106"/>
      <c r="AC2874" s="51"/>
      <c r="AD2874" s="106" t="s">
        <v>13</v>
      </c>
      <c r="AE2874" s="38" t="s">
        <v>376</v>
      </c>
    </row>
    <row r="2875" spans="1:31" ht="18" customHeight="1" x14ac:dyDescent="0.25">
      <c r="A28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5" s="79">
        <v>4</v>
      </c>
      <c r="C2875" s="23">
        <v>44859</v>
      </c>
      <c r="D2875" s="67">
        <f>IF(COUNTIF($G$2:$G2875,$G2875)=1,1,0)</f>
        <v>1</v>
      </c>
      <c r="E2875" s="67" t="str">
        <f>IFERROR(VLOOKUP(База_КР_КК[[#This Row],[ИД штатной должности (S)]],'уровень защищенности'!$B$7:$F$1095,5,0),"не защищена")</f>
        <v>низкий</v>
      </c>
      <c r="F2875" s="68">
        <v>500317</v>
      </c>
      <c r="G2875" s="74" t="s">
        <v>2866</v>
      </c>
      <c r="H2875" s="181">
        <f>INDEX('Списки данных'!$D$2:$D$1048576,MATCH(База_КР_КК[[#This Row],[Структурное подразделение]],'Списки данных'!$C$2:$C$1048576,0))</f>
        <v>6</v>
      </c>
      <c r="I2875" s="80" t="s">
        <v>136</v>
      </c>
      <c r="J2875" s="80" t="s">
        <v>246</v>
      </c>
      <c r="K2875" s="80" t="s">
        <v>247</v>
      </c>
      <c r="L2875" s="30" t="s">
        <v>192</v>
      </c>
      <c r="M2875" s="68">
        <v>6</v>
      </c>
      <c r="N2875" s="181" t="str">
        <f t="shared" si="45"/>
        <v>нет</v>
      </c>
      <c r="O2875" s="23"/>
      <c r="P2875" s="23"/>
      <c r="Q2875" s="106"/>
      <c r="R2875" s="37">
        <v>689</v>
      </c>
      <c r="S2875" s="39" t="s">
        <v>1098</v>
      </c>
      <c r="T2875" s="37">
        <v>1784</v>
      </c>
      <c r="U2875" s="38" t="s">
        <v>2045</v>
      </c>
      <c r="V2875" s="89" t="s">
        <v>272</v>
      </c>
      <c r="W2875" s="89" t="s">
        <v>136</v>
      </c>
      <c r="X2875" s="106" t="s">
        <v>296</v>
      </c>
      <c r="Y2875" s="107" t="s">
        <v>12</v>
      </c>
      <c r="Z2875" s="67">
        <f>IF(База_КР_КК[[#This Row],[Таб.номер резервиста]]="-","-",IF(OR(База_КР_КК[[#This Row],[Уровень КК]]=2,База_КР_КК[[#This Row],[Уровень КК]]=3),IF(COUNTIFS($U$2:$U2875,$U2875,$F$2:$F2875,$F2875)=1,1,0),IF(COUNTIFS($U$2:$U2875,$U2875,$L$2:$L2875,$L2875)=1,1,0)))</f>
        <v>1</v>
      </c>
      <c r="AA28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5" s="106"/>
      <c r="AC2875" s="51"/>
      <c r="AD2875" s="106" t="s">
        <v>15</v>
      </c>
      <c r="AE2875" s="38" t="s">
        <v>376</v>
      </c>
    </row>
    <row r="2876" spans="1:31" ht="18" customHeight="1" x14ac:dyDescent="0.25">
      <c r="A28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6" s="79">
        <v>4</v>
      </c>
      <c r="C2876" s="23">
        <v>44109</v>
      </c>
      <c r="D2876" s="67">
        <f>IF(COUNTIF($G$2:$G2876,$G2876)=1,1,0)</f>
        <v>0</v>
      </c>
      <c r="E2876" s="67" t="str">
        <f>IFERROR(VLOOKUP(База_КР_КК[[#This Row],[ИД штатной должности (S)]],'уровень защищенности'!$B$7:$F$1095,5,0),"не защищена")</f>
        <v>низкий</v>
      </c>
      <c r="F2876" s="68">
        <v>500317</v>
      </c>
      <c r="G2876" s="74" t="s">
        <v>2866</v>
      </c>
      <c r="H2876" s="181">
        <f>INDEX('Списки данных'!$D$2:$D$1048576,MATCH(База_КР_КК[[#This Row],[Структурное подразделение]],'Списки данных'!$C$2:$C$1048576,0))</f>
        <v>6</v>
      </c>
      <c r="I2876" s="80" t="s">
        <v>136</v>
      </c>
      <c r="J2876" s="80" t="s">
        <v>246</v>
      </c>
      <c r="K2876" s="80" t="s">
        <v>247</v>
      </c>
      <c r="L2876" s="30" t="s">
        <v>192</v>
      </c>
      <c r="M2876" s="68">
        <v>6</v>
      </c>
      <c r="N2876" s="181" t="str">
        <f t="shared" si="45"/>
        <v>нет</v>
      </c>
      <c r="O2876" s="23"/>
      <c r="P2876" s="23"/>
      <c r="Q2876" s="106"/>
      <c r="R2876" s="37">
        <v>689</v>
      </c>
      <c r="S2876" s="38" t="s">
        <v>1098</v>
      </c>
      <c r="T2876" s="37">
        <v>1785</v>
      </c>
      <c r="U2876" s="39" t="s">
        <v>2046</v>
      </c>
      <c r="V2876" s="89" t="s">
        <v>272</v>
      </c>
      <c r="W2876" s="89" t="s">
        <v>136</v>
      </c>
      <c r="X2876" s="106" t="s">
        <v>296</v>
      </c>
      <c r="Y2876" s="107" t="s">
        <v>18</v>
      </c>
      <c r="Z2876" s="67">
        <f>IF(База_КР_КК[[#This Row],[Таб.номер резервиста]]="-","-",IF(OR(База_КР_КК[[#This Row],[Уровень КК]]=2,База_КР_КК[[#This Row],[Уровень КК]]=3),IF(COUNTIFS($U$2:$U2876,$U2876,$F$2:$F2876,$F2876)=1,1,0),IF(COUNTIFS($U$2:$U2876,$U2876,$L$2:$L2876,$L2876)=1,1,0)))</f>
        <v>1</v>
      </c>
      <c r="AA28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6" s="106" t="s">
        <v>38</v>
      </c>
      <c r="AC2876" s="51">
        <v>44859</v>
      </c>
      <c r="AD2876" s="106" t="s">
        <v>31</v>
      </c>
      <c r="AE2876" s="38" t="s">
        <v>376</v>
      </c>
    </row>
    <row r="2877" spans="1:31" ht="18" customHeight="1" x14ac:dyDescent="0.25">
      <c r="A28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7" s="79">
        <v>4</v>
      </c>
      <c r="C2877" s="23">
        <v>44859</v>
      </c>
      <c r="D2877" s="67">
        <f>IF(COUNTIF($G$2:$G2877,$G2877)=1,1,0)</f>
        <v>1</v>
      </c>
      <c r="E2877" s="67" t="str">
        <f>IFERROR(VLOOKUP(База_КР_КК[[#This Row],[ИД штатной должности (S)]],'уровень защищенности'!$B$7:$F$1095,5,0),"не защищена")</f>
        <v>низкий</v>
      </c>
      <c r="F2877" s="68">
        <v>500318</v>
      </c>
      <c r="G2877" s="74" t="s">
        <v>2867</v>
      </c>
      <c r="H2877" s="181">
        <f>INDEX('Списки данных'!$D$2:$D$1048576,MATCH(База_КР_КК[[#This Row],[Структурное подразделение]],'Списки данных'!$C$2:$C$1048576,0))</f>
        <v>6</v>
      </c>
      <c r="I2877" s="80" t="s">
        <v>136</v>
      </c>
      <c r="J2877" s="80" t="s">
        <v>246</v>
      </c>
      <c r="K2877" s="80" t="s">
        <v>247</v>
      </c>
      <c r="L2877" s="30" t="s">
        <v>192</v>
      </c>
      <c r="M2877" s="68">
        <v>6</v>
      </c>
      <c r="N2877" s="181" t="str">
        <f t="shared" si="45"/>
        <v>нет</v>
      </c>
      <c r="O2877" s="23"/>
      <c r="P2877" s="23"/>
      <c r="Q2877" s="106"/>
      <c r="R2877" s="37">
        <v>690</v>
      </c>
      <c r="S2877" s="39" t="s">
        <v>1099</v>
      </c>
      <c r="T2877" s="37">
        <v>1784</v>
      </c>
      <c r="U2877" s="38" t="s">
        <v>2045</v>
      </c>
      <c r="V2877" s="89" t="s">
        <v>272</v>
      </c>
      <c r="W2877" s="89" t="s">
        <v>136</v>
      </c>
      <c r="X2877" s="106" t="s">
        <v>296</v>
      </c>
      <c r="Y2877" s="107" t="s">
        <v>12</v>
      </c>
      <c r="Z2877" s="67">
        <f>IF(База_КР_КК[[#This Row],[Таб.номер резервиста]]="-","-",IF(OR(База_КР_КК[[#This Row],[Уровень КК]]=2,База_КР_КК[[#This Row],[Уровень КК]]=3),IF(COUNTIFS($U$2:$U2877,$U2877,$F$2:$F2877,$F2877)=1,1,0),IF(COUNTIFS($U$2:$U2877,$U2877,$L$2:$L2877,$L2877)=1,1,0)))</f>
        <v>0</v>
      </c>
      <c r="AA28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7" s="106"/>
      <c r="AC2877" s="51"/>
      <c r="AD2877" s="106" t="s">
        <v>15</v>
      </c>
      <c r="AE2877" s="38" t="s">
        <v>376</v>
      </c>
    </row>
    <row r="2878" spans="1:31" ht="18" customHeight="1" x14ac:dyDescent="0.25">
      <c r="A28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8" s="79">
        <v>4</v>
      </c>
      <c r="C2878" s="23">
        <v>44109</v>
      </c>
      <c r="D2878" s="67">
        <f>IF(COUNTIF($G$2:$G2878,$G2878)=1,1,0)</f>
        <v>0</v>
      </c>
      <c r="E2878" s="67" t="str">
        <f>IFERROR(VLOOKUP(База_КР_КК[[#This Row],[ИД штатной должности (S)]],'уровень защищенности'!$B$7:$F$1095,5,0),"не защищена")</f>
        <v>низкий</v>
      </c>
      <c r="F2878" s="68">
        <v>500318</v>
      </c>
      <c r="G2878" s="74" t="s">
        <v>2867</v>
      </c>
      <c r="H2878" s="181">
        <f>INDEX('Списки данных'!$D$2:$D$1048576,MATCH(База_КР_КК[[#This Row],[Структурное подразделение]],'Списки данных'!$C$2:$C$1048576,0))</f>
        <v>6</v>
      </c>
      <c r="I2878" s="80" t="s">
        <v>136</v>
      </c>
      <c r="J2878" s="80" t="s">
        <v>246</v>
      </c>
      <c r="K2878" s="80" t="s">
        <v>247</v>
      </c>
      <c r="L2878" s="30" t="s">
        <v>192</v>
      </c>
      <c r="M2878" s="68">
        <v>6</v>
      </c>
      <c r="N2878" s="181" t="str">
        <f t="shared" si="45"/>
        <v>нет</v>
      </c>
      <c r="O2878" s="23"/>
      <c r="P2878" s="23"/>
      <c r="Q2878" s="106"/>
      <c r="R2878" s="37">
        <v>690</v>
      </c>
      <c r="S2878" s="38" t="s">
        <v>1099</v>
      </c>
      <c r="T2878" s="37">
        <v>688</v>
      </c>
      <c r="U2878" s="39" t="s">
        <v>1097</v>
      </c>
      <c r="V2878" s="89" t="s">
        <v>192</v>
      </c>
      <c r="W2878" s="89" t="s">
        <v>136</v>
      </c>
      <c r="X2878" s="106" t="s">
        <v>297</v>
      </c>
      <c r="Y2878" s="107" t="s">
        <v>18</v>
      </c>
      <c r="Z2878" s="67">
        <f>IF(База_КР_КК[[#This Row],[Таб.номер резервиста]]="-","-",IF(OR(База_КР_КК[[#This Row],[Уровень КК]]=2,База_КР_КК[[#This Row],[Уровень КК]]=3),IF(COUNTIFS($U$2:$U2878,$U2878,$F$2:$F2878,$F2878)=1,1,0),IF(COUNTIFS($U$2:$U2878,$U2878,$L$2:$L2878,$L2878)=1,1,0)))</f>
        <v>1</v>
      </c>
      <c r="AA28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8" s="106" t="s">
        <v>37</v>
      </c>
      <c r="AC2878" s="51">
        <v>44682</v>
      </c>
      <c r="AD2878" s="106" t="s">
        <v>15</v>
      </c>
      <c r="AE2878" s="38" t="s">
        <v>377</v>
      </c>
    </row>
    <row r="2879" spans="1:31" ht="18" customHeight="1" x14ac:dyDescent="0.25">
      <c r="A28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79" s="79">
        <v>4</v>
      </c>
      <c r="C2879" s="23">
        <v>44109</v>
      </c>
      <c r="D2879" s="67">
        <f>IF(COUNTIF($G$2:$G2879,$G2879)=1,1,0)</f>
        <v>1</v>
      </c>
      <c r="E2879" s="67" t="str">
        <f>IFERROR(VLOOKUP(База_КР_КК[[#This Row],[ИД штатной должности (S)]],'уровень защищенности'!$B$7:$F$1095,5,0),"не защищена")</f>
        <v>высокий</v>
      </c>
      <c r="F2879" s="68">
        <v>500319</v>
      </c>
      <c r="G2879" s="74" t="s">
        <v>2868</v>
      </c>
      <c r="H2879" s="181">
        <f>INDEX('Списки данных'!$D$2:$D$1048576,MATCH(База_КР_КК[[#This Row],[Структурное подразделение]],'Списки данных'!$C$2:$C$1048576,0))</f>
        <v>6</v>
      </c>
      <c r="I2879" s="80" t="s">
        <v>136</v>
      </c>
      <c r="J2879" s="80" t="s">
        <v>246</v>
      </c>
      <c r="K2879" s="80" t="s">
        <v>247</v>
      </c>
      <c r="L2879" s="30" t="s">
        <v>191</v>
      </c>
      <c r="M2879" s="68">
        <v>6</v>
      </c>
      <c r="N2879" s="181" t="str">
        <f t="shared" ref="N2879:N2942" si="46">IF(ISBLANK(O2879),"нет","да")</f>
        <v>нет</v>
      </c>
      <c r="O2879" s="23"/>
      <c r="P2879" s="23"/>
      <c r="Q2879" s="106"/>
      <c r="R2879" s="37">
        <v>691</v>
      </c>
      <c r="S2879" s="38" t="s">
        <v>1100</v>
      </c>
      <c r="T2879" s="37">
        <v>1786</v>
      </c>
      <c r="U2879" s="39" t="s">
        <v>2047</v>
      </c>
      <c r="V2879" s="89" t="s">
        <v>272</v>
      </c>
      <c r="W2879" s="89" t="s">
        <v>136</v>
      </c>
      <c r="X2879" s="106" t="s">
        <v>295</v>
      </c>
      <c r="Y2879" s="107" t="s">
        <v>12</v>
      </c>
      <c r="Z2879" s="67">
        <f>IF(База_КР_КК[[#This Row],[Таб.номер резервиста]]="-","-",IF(OR(База_КР_КК[[#This Row],[Уровень КК]]=2,База_КР_КК[[#This Row],[Уровень КК]]=3),IF(COUNTIFS($U$2:$U2879,$U2879,$F$2:$F2879,$F2879)=1,1,0),IF(COUNTIFS($U$2:$U2879,$U2879,$L$2:$L2879,$L2879)=1,1,0)))</f>
        <v>1</v>
      </c>
      <c r="AA28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79" s="106"/>
      <c r="AC2879" s="51"/>
      <c r="AD2879" s="106" t="s">
        <v>13</v>
      </c>
      <c r="AE2879" s="38" t="s">
        <v>376</v>
      </c>
    </row>
    <row r="2880" spans="1:31" ht="18" customHeight="1" x14ac:dyDescent="0.25">
      <c r="A28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0" s="79">
        <v>4</v>
      </c>
      <c r="C2880" s="23">
        <v>44109</v>
      </c>
      <c r="D2880" s="67">
        <f>IF(COUNTIF($G$2:$G2880,$G2880)=1,1,0)</f>
        <v>0</v>
      </c>
      <c r="E2880" s="67" t="str">
        <f>IFERROR(VLOOKUP(База_КР_КК[[#This Row],[ИД штатной должности (S)]],'уровень защищенности'!$B$7:$F$1095,5,0),"не защищена")</f>
        <v>высокий</v>
      </c>
      <c r="F2880" s="68">
        <v>500319</v>
      </c>
      <c r="G2880" s="74" t="s">
        <v>2868</v>
      </c>
      <c r="H2880" s="181">
        <f>INDEX('Списки данных'!$D$2:$D$1048576,MATCH(База_КР_КК[[#This Row],[Структурное подразделение]],'Списки данных'!$C$2:$C$1048576,0))</f>
        <v>6</v>
      </c>
      <c r="I2880" s="80" t="s">
        <v>136</v>
      </c>
      <c r="J2880" s="80" t="s">
        <v>246</v>
      </c>
      <c r="K2880" s="80" t="s">
        <v>247</v>
      </c>
      <c r="L2880" s="30" t="s">
        <v>191</v>
      </c>
      <c r="M2880" s="68">
        <v>6</v>
      </c>
      <c r="N2880" s="181" t="str">
        <f t="shared" si="46"/>
        <v>нет</v>
      </c>
      <c r="O2880" s="23"/>
      <c r="P2880" s="23"/>
      <c r="Q2880" s="106"/>
      <c r="R2880" s="37">
        <v>691</v>
      </c>
      <c r="S2880" s="38" t="s">
        <v>1100</v>
      </c>
      <c r="T2880" s="37">
        <v>1787</v>
      </c>
      <c r="U2880" s="39" t="s">
        <v>2030</v>
      </c>
      <c r="V2880" s="89" t="s">
        <v>272</v>
      </c>
      <c r="W2880" s="89" t="s">
        <v>136</v>
      </c>
      <c r="X2880" s="106" t="s">
        <v>296</v>
      </c>
      <c r="Y2880" s="107" t="s">
        <v>12</v>
      </c>
      <c r="Z2880" s="67">
        <f>IF(База_КР_КК[[#This Row],[Таб.номер резервиста]]="-","-",IF(OR(База_КР_КК[[#This Row],[Уровень КК]]=2,База_КР_КК[[#This Row],[Уровень КК]]=3),IF(COUNTIFS($U$2:$U2880,$U2880,$F$2:$F2880,$F2880)=1,1,0),IF(COUNTIFS($U$2:$U2880,$U2880,$L$2:$L2880,$L2880)=1,1,0)))</f>
        <v>1</v>
      </c>
      <c r="AA28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0" s="106"/>
      <c r="AC2880" s="51"/>
      <c r="AD2880" s="106" t="s">
        <v>13</v>
      </c>
      <c r="AE2880" s="38" t="s">
        <v>376</v>
      </c>
    </row>
    <row r="2881" spans="1:31" ht="18" customHeight="1" x14ac:dyDescent="0.25">
      <c r="A28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1" s="79">
        <v>4</v>
      </c>
      <c r="C2881" s="23">
        <v>44109</v>
      </c>
      <c r="D2881" s="67">
        <f>IF(COUNTIF($G$2:$G2881,$G2881)=1,1,0)</f>
        <v>0</v>
      </c>
      <c r="E2881" s="67" t="str">
        <f>IFERROR(VLOOKUP(База_КР_КК[[#This Row],[ИД штатной должности (S)]],'уровень защищенности'!$B$7:$F$1095,5,0),"не защищена")</f>
        <v>высокий</v>
      </c>
      <c r="F2881" s="68">
        <v>500319</v>
      </c>
      <c r="G2881" s="74" t="s">
        <v>2868</v>
      </c>
      <c r="H2881" s="181">
        <f>INDEX('Списки данных'!$D$2:$D$1048576,MATCH(База_КР_КК[[#This Row],[Структурное подразделение]],'Списки данных'!$C$2:$C$1048576,0))</f>
        <v>6</v>
      </c>
      <c r="I2881" s="80" t="s">
        <v>136</v>
      </c>
      <c r="J2881" s="80" t="s">
        <v>246</v>
      </c>
      <c r="K2881" s="80" t="s">
        <v>247</v>
      </c>
      <c r="L2881" s="30" t="s">
        <v>191</v>
      </c>
      <c r="M2881" s="68">
        <v>6</v>
      </c>
      <c r="N2881" s="181" t="str">
        <f t="shared" si="46"/>
        <v>нет</v>
      </c>
      <c r="O2881" s="23"/>
      <c r="P2881" s="23"/>
      <c r="Q2881" s="106"/>
      <c r="R2881" s="37">
        <v>691</v>
      </c>
      <c r="S2881" s="38" t="s">
        <v>1100</v>
      </c>
      <c r="T2881" s="37">
        <v>1788</v>
      </c>
      <c r="U2881" s="39" t="s">
        <v>2048</v>
      </c>
      <c r="V2881" s="89" t="s">
        <v>272</v>
      </c>
      <c r="W2881" s="89" t="s">
        <v>136</v>
      </c>
      <c r="X2881" s="106" t="s">
        <v>295</v>
      </c>
      <c r="Y2881" s="107" t="s">
        <v>12</v>
      </c>
      <c r="Z2881" s="67">
        <f>IF(База_КР_КК[[#This Row],[Таб.номер резервиста]]="-","-",IF(OR(База_КР_КК[[#This Row],[Уровень КК]]=2,База_КР_КК[[#This Row],[Уровень КК]]=3),IF(COUNTIFS($U$2:$U2881,$U2881,$F$2:$F2881,$F2881)=1,1,0),IF(COUNTIFS($U$2:$U2881,$U2881,$L$2:$L2881,$L2881)=1,1,0)))</f>
        <v>1</v>
      </c>
      <c r="AA28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1" s="106"/>
      <c r="AC2881" s="51"/>
      <c r="AD2881" s="106" t="s">
        <v>13</v>
      </c>
      <c r="AE2881" s="38" t="s">
        <v>376</v>
      </c>
    </row>
    <row r="2882" spans="1:31" ht="18" customHeight="1" x14ac:dyDescent="0.25">
      <c r="A28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2" s="79">
        <v>4</v>
      </c>
      <c r="C2882" s="23">
        <v>44466</v>
      </c>
      <c r="D2882" s="67">
        <f>IF(COUNTIF($G$2:$G2882,$G2882)=1,1,0)</f>
        <v>1</v>
      </c>
      <c r="E2882" s="67" t="str">
        <f>IFERROR(VLOOKUP(База_КР_КК[[#This Row],[ИД штатной должности (S)]],'уровень защищенности'!$B$7:$F$1095,5,0),"не защищена")</f>
        <v>высокий</v>
      </c>
      <c r="F2882" s="68">
        <v>500319</v>
      </c>
      <c r="G2882" s="74" t="s">
        <v>2869</v>
      </c>
      <c r="H2882" s="181">
        <f>INDEX('Списки данных'!$D$2:$D$1048576,MATCH(База_КР_КК[[#This Row],[Структурное подразделение]],'Списки данных'!$C$2:$C$1048576,0))</f>
        <v>6</v>
      </c>
      <c r="I2882" s="80" t="s">
        <v>136</v>
      </c>
      <c r="J2882" s="80" t="s">
        <v>246</v>
      </c>
      <c r="K2882" s="80" t="s">
        <v>247</v>
      </c>
      <c r="L2882" s="30" t="s">
        <v>191</v>
      </c>
      <c r="M2882" s="68">
        <v>6</v>
      </c>
      <c r="N2882" s="181" t="str">
        <f t="shared" si="46"/>
        <v>нет</v>
      </c>
      <c r="O2882" s="23"/>
      <c r="P2882" s="23"/>
      <c r="Q2882" s="106"/>
      <c r="R2882" s="37">
        <v>692</v>
      </c>
      <c r="S2882" s="38" t="s">
        <v>1101</v>
      </c>
      <c r="T2882" s="37">
        <v>1789</v>
      </c>
      <c r="U2882" s="39" t="s">
        <v>2049</v>
      </c>
      <c r="V2882" s="89" t="s">
        <v>272</v>
      </c>
      <c r="W2882" s="89" t="s">
        <v>136</v>
      </c>
      <c r="X2882" s="106" t="s">
        <v>296</v>
      </c>
      <c r="Y2882" s="107" t="s">
        <v>12</v>
      </c>
      <c r="Z2882" s="67">
        <f>IF(База_КР_КК[[#This Row],[Таб.номер резервиста]]="-","-",IF(OR(База_КР_КК[[#This Row],[Уровень КК]]=2,База_КР_КК[[#This Row],[Уровень КК]]=3),IF(COUNTIFS($U$2:$U2882,$U2882,$F$2:$F2882,$F2882)=1,1,0),IF(COUNTIFS($U$2:$U2882,$U2882,$L$2:$L2882,$L2882)=1,1,0)))</f>
        <v>1</v>
      </c>
      <c r="AA28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2" s="106"/>
      <c r="AC2882" s="51"/>
      <c r="AD2882" s="106" t="s">
        <v>13</v>
      </c>
      <c r="AE2882" s="38" t="s">
        <v>376</v>
      </c>
    </row>
    <row r="2883" spans="1:31" ht="18" customHeight="1" x14ac:dyDescent="0.25">
      <c r="A28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3" s="79">
        <v>4</v>
      </c>
      <c r="C2883" s="23">
        <v>44859</v>
      </c>
      <c r="D2883" s="67">
        <f>IF(COUNTIF($G$2:$G2883,$G2883)=1,1,0)</f>
        <v>0</v>
      </c>
      <c r="E2883" s="67" t="str">
        <f>IFERROR(VLOOKUP(База_КР_КК[[#This Row],[ИД штатной должности (S)]],'уровень защищенности'!$B$7:$F$1095,5,0),"не защищена")</f>
        <v>высокий</v>
      </c>
      <c r="F2883" s="68">
        <v>500319</v>
      </c>
      <c r="G2883" s="74" t="s">
        <v>2869</v>
      </c>
      <c r="H2883" s="181">
        <f>INDEX('Списки данных'!$D$2:$D$1048576,MATCH(База_КР_КК[[#This Row],[Структурное подразделение]],'Списки данных'!$C$2:$C$1048576,0))</f>
        <v>6</v>
      </c>
      <c r="I2883" s="80" t="s">
        <v>136</v>
      </c>
      <c r="J2883" s="80" t="s">
        <v>246</v>
      </c>
      <c r="K2883" s="80" t="s">
        <v>247</v>
      </c>
      <c r="L2883" s="30" t="s">
        <v>191</v>
      </c>
      <c r="M2883" s="68">
        <v>6</v>
      </c>
      <c r="N2883" s="181" t="str">
        <f t="shared" si="46"/>
        <v>нет</v>
      </c>
      <c r="O2883" s="23"/>
      <c r="P2883" s="23"/>
      <c r="Q2883" s="106"/>
      <c r="R2883" s="37">
        <v>692</v>
      </c>
      <c r="S2883" s="39" t="s">
        <v>1101</v>
      </c>
      <c r="T2883" s="37">
        <v>1790</v>
      </c>
      <c r="U2883" s="38" t="s">
        <v>1925</v>
      </c>
      <c r="V2883" s="89" t="s">
        <v>272</v>
      </c>
      <c r="W2883" s="89" t="s">
        <v>136</v>
      </c>
      <c r="X2883" s="106" t="s">
        <v>296</v>
      </c>
      <c r="Y2883" s="107" t="s">
        <v>12</v>
      </c>
      <c r="Z2883" s="67">
        <f>IF(База_КР_КК[[#This Row],[Таб.номер резервиста]]="-","-",IF(OR(База_КР_КК[[#This Row],[Уровень КК]]=2,База_КР_КК[[#This Row],[Уровень КК]]=3),IF(COUNTIFS($U$2:$U2883,$U2883,$F$2:$F2883,$F2883)=1,1,0),IF(COUNTIFS($U$2:$U2883,$U2883,$L$2:$L2883,$L2883)=1,1,0)))</f>
        <v>1</v>
      </c>
      <c r="AA28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3" s="106"/>
      <c r="AC2883" s="51"/>
      <c r="AD2883" s="106" t="s">
        <v>13</v>
      </c>
      <c r="AE2883" s="38" t="s">
        <v>376</v>
      </c>
    </row>
    <row r="2884" spans="1:31" ht="18" customHeight="1" x14ac:dyDescent="0.25">
      <c r="A28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4" s="79">
        <v>4</v>
      </c>
      <c r="C2884" s="23">
        <v>44859</v>
      </c>
      <c r="D2884" s="67">
        <f>IF(COUNTIF($G$2:$G2884,$G2884)=1,1,0)</f>
        <v>0</v>
      </c>
      <c r="E2884" s="67" t="str">
        <f>IFERROR(VLOOKUP(База_КР_КК[[#This Row],[ИД штатной должности (S)]],'уровень защищенности'!$B$7:$F$1095,5,0),"не защищена")</f>
        <v>высокий</v>
      </c>
      <c r="F2884" s="68">
        <v>500319</v>
      </c>
      <c r="G2884" s="74" t="s">
        <v>2869</v>
      </c>
      <c r="H2884" s="181">
        <f>INDEX('Списки данных'!$D$2:$D$1048576,MATCH(База_КР_КК[[#This Row],[Структурное подразделение]],'Списки данных'!$C$2:$C$1048576,0))</f>
        <v>6</v>
      </c>
      <c r="I2884" s="80" t="s">
        <v>136</v>
      </c>
      <c r="J2884" s="80" t="s">
        <v>246</v>
      </c>
      <c r="K2884" s="80" t="s">
        <v>247</v>
      </c>
      <c r="L2884" s="30" t="s">
        <v>191</v>
      </c>
      <c r="M2884" s="68">
        <v>6</v>
      </c>
      <c r="N2884" s="181" t="str">
        <f t="shared" si="46"/>
        <v>нет</v>
      </c>
      <c r="O2884" s="23"/>
      <c r="P2884" s="23"/>
      <c r="Q2884" s="106"/>
      <c r="R2884" s="37">
        <v>692</v>
      </c>
      <c r="S2884" s="39" t="s">
        <v>1101</v>
      </c>
      <c r="T2884" s="37">
        <v>1791</v>
      </c>
      <c r="U2884" s="38" t="s">
        <v>1983</v>
      </c>
      <c r="V2884" s="89" t="s">
        <v>272</v>
      </c>
      <c r="W2884" s="89" t="s">
        <v>136</v>
      </c>
      <c r="X2884" s="106" t="s">
        <v>296</v>
      </c>
      <c r="Y2884" s="107" t="s">
        <v>12</v>
      </c>
      <c r="Z2884" s="67">
        <f>IF(База_КР_КК[[#This Row],[Таб.номер резервиста]]="-","-",IF(OR(База_КР_КК[[#This Row],[Уровень КК]]=2,База_КР_КК[[#This Row],[Уровень КК]]=3),IF(COUNTIFS($U$2:$U2884,$U2884,$F$2:$F2884,$F2884)=1,1,0),IF(COUNTIFS($U$2:$U2884,$U2884,$L$2:$L2884,$L2884)=1,1,0)))</f>
        <v>1</v>
      </c>
      <c r="AA28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4" s="106"/>
      <c r="AC2884" s="51"/>
      <c r="AD2884" s="106" t="s">
        <v>13</v>
      </c>
      <c r="AE2884" s="38" t="s">
        <v>376</v>
      </c>
    </row>
    <row r="2885" spans="1:31" ht="18" customHeight="1" x14ac:dyDescent="0.25">
      <c r="A28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5" s="79">
        <v>4</v>
      </c>
      <c r="C2885" s="23">
        <v>44109</v>
      </c>
      <c r="D2885" s="67">
        <f>IF(COUNTIF($G$2:$G2885,$G2885)=1,1,0)</f>
        <v>0</v>
      </c>
      <c r="E2885" s="67" t="str">
        <f>IFERROR(VLOOKUP(База_КР_КК[[#This Row],[ИД штатной должности (S)]],'уровень защищенности'!$B$7:$F$1095,5,0),"не защищена")</f>
        <v>высокий</v>
      </c>
      <c r="F2885" s="68">
        <v>500319</v>
      </c>
      <c r="G2885" s="74" t="s">
        <v>2868</v>
      </c>
      <c r="H2885" s="181">
        <f>INDEX('Списки данных'!$D$2:$D$1048576,MATCH(База_КР_КК[[#This Row],[Структурное подразделение]],'Списки данных'!$C$2:$C$1048576,0))</f>
        <v>6</v>
      </c>
      <c r="I2885" s="80" t="s">
        <v>136</v>
      </c>
      <c r="J2885" s="80" t="s">
        <v>246</v>
      </c>
      <c r="K2885" s="80" t="s">
        <v>247</v>
      </c>
      <c r="L2885" s="30" t="s">
        <v>191</v>
      </c>
      <c r="M2885" s="68">
        <v>6</v>
      </c>
      <c r="N2885" s="181" t="str">
        <f t="shared" si="46"/>
        <v>нет</v>
      </c>
      <c r="O2885" s="23"/>
      <c r="P2885" s="23"/>
      <c r="Q2885" s="106"/>
      <c r="R2885" s="37">
        <v>691</v>
      </c>
      <c r="S2885" s="38" t="s">
        <v>1100</v>
      </c>
      <c r="T2885" s="37">
        <v>1792</v>
      </c>
      <c r="U2885" s="39" t="s">
        <v>2050</v>
      </c>
      <c r="V2885" s="89" t="s">
        <v>272</v>
      </c>
      <c r="W2885" s="89" t="s">
        <v>133</v>
      </c>
      <c r="X2885" s="106" t="s">
        <v>296</v>
      </c>
      <c r="Y2885" s="107" t="s">
        <v>18</v>
      </c>
      <c r="Z2885" s="67">
        <f>IF(База_КР_КК[[#This Row],[Таб.номер резервиста]]="-","-",IF(OR(База_КР_КК[[#This Row],[Уровень КК]]=2,База_КР_КК[[#This Row],[Уровень КК]]=3),IF(COUNTIFS($U$2:$U2885,$U2885,$F$2:$F2885,$F2885)=1,1,0),IF(COUNTIFS($U$2:$U2885,$U2885,$L$2:$L2885,$L2885)=1,1,0)))</f>
        <v>1</v>
      </c>
      <c r="AA28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5" s="106" t="s">
        <v>19</v>
      </c>
      <c r="AC2885" s="51">
        <v>44827</v>
      </c>
      <c r="AD2885" s="106" t="s">
        <v>15</v>
      </c>
      <c r="AE2885" s="38" t="s">
        <v>377</v>
      </c>
    </row>
    <row r="2886" spans="1:31" ht="18" customHeight="1" x14ac:dyDescent="0.25">
      <c r="A28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6" s="79">
        <v>4</v>
      </c>
      <c r="C2886" s="23">
        <v>44109</v>
      </c>
      <c r="D2886" s="67">
        <f>IF(COUNTIF($G$2:$G2886,$G2886)=1,1,0)</f>
        <v>0</v>
      </c>
      <c r="E2886" s="67" t="str">
        <f>IFERROR(VLOOKUP(База_КР_КК[[#This Row],[ИД штатной должности (S)]],'уровень защищенности'!$B$7:$F$1095,5,0),"не защищена")</f>
        <v>высокий</v>
      </c>
      <c r="F2886" s="68">
        <v>500319</v>
      </c>
      <c r="G2886" s="74" t="s">
        <v>2869</v>
      </c>
      <c r="H2886" s="181">
        <f>INDEX('Списки данных'!$D$2:$D$1048576,MATCH(База_КР_КК[[#This Row],[Структурное подразделение]],'Списки данных'!$C$2:$C$1048576,0))</f>
        <v>6</v>
      </c>
      <c r="I2886" s="80" t="s">
        <v>136</v>
      </c>
      <c r="J2886" s="80" t="s">
        <v>246</v>
      </c>
      <c r="K2886" s="80" t="s">
        <v>247</v>
      </c>
      <c r="L2886" s="30" t="s">
        <v>191</v>
      </c>
      <c r="M2886" s="68">
        <v>6</v>
      </c>
      <c r="N2886" s="181" t="str">
        <f t="shared" si="46"/>
        <v>да</v>
      </c>
      <c r="O2886" s="23">
        <v>44461</v>
      </c>
      <c r="P2886" s="23">
        <v>44459</v>
      </c>
      <c r="Q2886" s="106" t="s">
        <v>66</v>
      </c>
      <c r="R2886" s="37">
        <v>692</v>
      </c>
      <c r="S2886" s="39" t="s">
        <v>1101</v>
      </c>
      <c r="T2886" s="37">
        <v>1786</v>
      </c>
      <c r="U2886" s="39" t="s">
        <v>2047</v>
      </c>
      <c r="V2886" s="89" t="s">
        <v>272</v>
      </c>
      <c r="W2886" s="89" t="s">
        <v>136</v>
      </c>
      <c r="X2886" s="106" t="s">
        <v>295</v>
      </c>
      <c r="Y2886" s="107" t="s">
        <v>12</v>
      </c>
      <c r="Z2886" s="67">
        <f>IF(База_КР_КК[[#This Row],[Таб.номер резервиста]]="-","-",IF(OR(База_КР_КК[[#This Row],[Уровень КК]]=2,База_КР_КК[[#This Row],[Уровень КК]]=3),IF(COUNTIFS($U$2:$U2886,$U2886,$F$2:$F2886,$F2886)=1,1,0),IF(COUNTIFS($U$2:$U2886,$U2886,$L$2:$L2886,$L2886)=1,1,0)))</f>
        <v>0</v>
      </c>
      <c r="AA28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6" s="106"/>
      <c r="AC2886" s="51"/>
      <c r="AD2886" s="106" t="s">
        <v>13</v>
      </c>
      <c r="AE2886" s="38" t="s">
        <v>376</v>
      </c>
    </row>
    <row r="2887" spans="1:31" ht="18" customHeight="1" x14ac:dyDescent="0.25">
      <c r="A28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7" s="79">
        <v>4</v>
      </c>
      <c r="C2887" s="23">
        <v>44109</v>
      </c>
      <c r="D2887" s="67">
        <f>IF(COUNTIF($G$2:$G2887,$G2887)=1,1,0)</f>
        <v>0</v>
      </c>
      <c r="E2887" s="67" t="str">
        <f>IFERROR(VLOOKUP(База_КР_КК[[#This Row],[ИД штатной должности (S)]],'уровень защищенности'!$B$7:$F$1095,5,0),"не защищена")</f>
        <v>высокий</v>
      </c>
      <c r="F2887" s="68">
        <v>500319</v>
      </c>
      <c r="G2887" s="74" t="s">
        <v>2869</v>
      </c>
      <c r="H2887" s="181">
        <f>INDEX('Списки данных'!$D$2:$D$1048576,MATCH(База_КР_КК[[#This Row],[Структурное подразделение]],'Списки данных'!$C$2:$C$1048576,0))</f>
        <v>6</v>
      </c>
      <c r="I2887" s="80" t="s">
        <v>136</v>
      </c>
      <c r="J2887" s="80" t="s">
        <v>246</v>
      </c>
      <c r="K2887" s="80" t="s">
        <v>247</v>
      </c>
      <c r="L2887" s="30" t="s">
        <v>191</v>
      </c>
      <c r="M2887" s="68">
        <v>6</v>
      </c>
      <c r="N2887" s="181" t="str">
        <f t="shared" si="46"/>
        <v>да</v>
      </c>
      <c r="O2887" s="23">
        <v>44461</v>
      </c>
      <c r="P2887" s="23">
        <v>44459</v>
      </c>
      <c r="Q2887" s="106" t="s">
        <v>66</v>
      </c>
      <c r="R2887" s="37">
        <v>692</v>
      </c>
      <c r="S2887" s="39" t="s">
        <v>1101</v>
      </c>
      <c r="T2887" s="37">
        <v>1787</v>
      </c>
      <c r="U2887" s="39" t="s">
        <v>2030</v>
      </c>
      <c r="V2887" s="89" t="s">
        <v>272</v>
      </c>
      <c r="W2887" s="89" t="s">
        <v>136</v>
      </c>
      <c r="X2887" s="106" t="s">
        <v>296</v>
      </c>
      <c r="Y2887" s="107" t="s">
        <v>12</v>
      </c>
      <c r="Z2887" s="67">
        <f>IF(База_КР_КК[[#This Row],[Таб.номер резервиста]]="-","-",IF(OR(База_КР_КК[[#This Row],[Уровень КК]]=2,База_КР_КК[[#This Row],[Уровень КК]]=3),IF(COUNTIFS($U$2:$U2887,$U2887,$F$2:$F2887,$F2887)=1,1,0),IF(COUNTIFS($U$2:$U2887,$U2887,$L$2:$L2887,$L2887)=1,1,0)))</f>
        <v>0</v>
      </c>
      <c r="AA28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7" s="106"/>
      <c r="AC2887" s="51"/>
      <c r="AD2887" s="106" t="s">
        <v>13</v>
      </c>
      <c r="AE2887" s="38" t="s">
        <v>376</v>
      </c>
    </row>
    <row r="2888" spans="1:31" ht="18" customHeight="1" x14ac:dyDescent="0.25">
      <c r="A28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8" s="79">
        <v>4</v>
      </c>
      <c r="C2888" s="23">
        <v>44109</v>
      </c>
      <c r="D2888" s="67">
        <f>IF(COUNTIF($G$2:$G2888,$G2888)=1,1,0)</f>
        <v>0</v>
      </c>
      <c r="E2888" s="67" t="str">
        <f>IFERROR(VLOOKUP(База_КР_КК[[#This Row],[ИД штатной должности (S)]],'уровень защищенности'!$B$7:$F$1095,5,0),"не защищена")</f>
        <v>высокий</v>
      </c>
      <c r="F2888" s="68">
        <v>500319</v>
      </c>
      <c r="G2888" s="74" t="s">
        <v>2869</v>
      </c>
      <c r="H2888" s="181">
        <f>INDEX('Списки данных'!$D$2:$D$1048576,MATCH(База_КР_КК[[#This Row],[Структурное подразделение]],'Списки данных'!$C$2:$C$1048576,0))</f>
        <v>6</v>
      </c>
      <c r="I2888" s="80" t="s">
        <v>136</v>
      </c>
      <c r="J2888" s="80" t="s">
        <v>246</v>
      </c>
      <c r="K2888" s="80" t="s">
        <v>247</v>
      </c>
      <c r="L2888" s="30" t="s">
        <v>191</v>
      </c>
      <c r="M2888" s="68">
        <v>6</v>
      </c>
      <c r="N2888" s="181" t="str">
        <f t="shared" si="46"/>
        <v>да</v>
      </c>
      <c r="O2888" s="23">
        <v>44461</v>
      </c>
      <c r="P2888" s="23">
        <v>44459</v>
      </c>
      <c r="Q2888" s="106" t="s">
        <v>66</v>
      </c>
      <c r="R2888" s="37">
        <v>692</v>
      </c>
      <c r="S2888" s="39" t="s">
        <v>1101</v>
      </c>
      <c r="T2888" s="37">
        <v>1788</v>
      </c>
      <c r="U2888" s="39" t="s">
        <v>2048</v>
      </c>
      <c r="V2888" s="89" t="s">
        <v>272</v>
      </c>
      <c r="W2888" s="89" t="s">
        <v>136</v>
      </c>
      <c r="X2888" s="106" t="s">
        <v>295</v>
      </c>
      <c r="Y2888" s="107" t="s">
        <v>12</v>
      </c>
      <c r="Z2888" s="67">
        <f>IF(База_КР_КК[[#This Row],[Таб.номер резервиста]]="-","-",IF(OR(База_КР_КК[[#This Row],[Уровень КК]]=2,База_КР_КК[[#This Row],[Уровень КК]]=3),IF(COUNTIFS($U$2:$U2888,$U2888,$F$2:$F2888,$F2888)=1,1,0),IF(COUNTIFS($U$2:$U2888,$U2888,$L$2:$L2888,$L2888)=1,1,0)))</f>
        <v>0</v>
      </c>
      <c r="AA28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8" s="106"/>
      <c r="AC2888" s="51"/>
      <c r="AD2888" s="106" t="s">
        <v>13</v>
      </c>
      <c r="AE2888" s="38" t="s">
        <v>376</v>
      </c>
    </row>
    <row r="2889" spans="1:31" ht="18" customHeight="1" x14ac:dyDescent="0.25">
      <c r="A28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89" s="79">
        <v>4</v>
      </c>
      <c r="C2889" s="23">
        <v>44466</v>
      </c>
      <c r="D2889" s="67">
        <f>IF(COUNTIF($G$2:$G2889,$G2889)=1,1,0)</f>
        <v>1</v>
      </c>
      <c r="E2889" s="67" t="str">
        <f>IFERROR(VLOOKUP(База_КР_КК[[#This Row],[ИД штатной должности (S)]],'уровень защищенности'!$B$7:$F$1095,5,0),"не защищена")</f>
        <v>высокий</v>
      </c>
      <c r="F2889" s="68">
        <v>500319</v>
      </c>
      <c r="G2889" s="74" t="s">
        <v>2870</v>
      </c>
      <c r="H2889" s="181">
        <f>INDEX('Списки данных'!$D$2:$D$1048576,MATCH(База_КР_КК[[#This Row],[Структурное подразделение]],'Списки данных'!$C$2:$C$1048576,0))</f>
        <v>6</v>
      </c>
      <c r="I2889" s="80" t="s">
        <v>136</v>
      </c>
      <c r="J2889" s="80" t="s">
        <v>246</v>
      </c>
      <c r="K2889" s="80" t="s">
        <v>247</v>
      </c>
      <c r="L2889" s="30" t="s">
        <v>191</v>
      </c>
      <c r="M2889" s="68">
        <v>6</v>
      </c>
      <c r="N2889" s="181" t="str">
        <f t="shared" si="46"/>
        <v>да</v>
      </c>
      <c r="O2889" s="23">
        <v>44461</v>
      </c>
      <c r="P2889" s="23">
        <v>44459</v>
      </c>
      <c r="Q2889" s="106" t="s">
        <v>57</v>
      </c>
      <c r="R2889" s="37">
        <v>693</v>
      </c>
      <c r="S2889" s="38" t="s">
        <v>1102</v>
      </c>
      <c r="T2889" s="37">
        <v>1789</v>
      </c>
      <c r="U2889" s="39" t="s">
        <v>2049</v>
      </c>
      <c r="V2889" s="89" t="s">
        <v>272</v>
      </c>
      <c r="W2889" s="89" t="s">
        <v>136</v>
      </c>
      <c r="X2889" s="106" t="s">
        <v>296</v>
      </c>
      <c r="Y2889" s="107" t="s">
        <v>12</v>
      </c>
      <c r="Z2889" s="67">
        <f>IF(База_КР_КК[[#This Row],[Таб.номер резервиста]]="-","-",IF(OR(База_КР_КК[[#This Row],[Уровень КК]]=2,База_КР_КК[[#This Row],[Уровень КК]]=3),IF(COUNTIFS($U$2:$U2889,$U2889,$F$2:$F2889,$F2889)=1,1,0),IF(COUNTIFS($U$2:$U2889,$U2889,$L$2:$L2889,$L2889)=1,1,0)))</f>
        <v>0</v>
      </c>
      <c r="AA28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89" s="106"/>
      <c r="AC2889" s="51"/>
      <c r="AD2889" s="106" t="s">
        <v>13</v>
      </c>
      <c r="AE2889" s="38" t="s">
        <v>376</v>
      </c>
    </row>
    <row r="2890" spans="1:31" ht="18" customHeight="1" x14ac:dyDescent="0.25">
      <c r="A28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0" s="79">
        <v>4</v>
      </c>
      <c r="C2890" s="23">
        <v>44859</v>
      </c>
      <c r="D2890" s="67">
        <f>IF(COUNTIF($G$2:$G2890,$G2890)=1,1,0)</f>
        <v>0</v>
      </c>
      <c r="E2890" s="67" t="str">
        <f>IFERROR(VLOOKUP(База_КР_КК[[#This Row],[ИД штатной должности (S)]],'уровень защищенности'!$B$7:$F$1095,5,0),"не защищена")</f>
        <v>высокий</v>
      </c>
      <c r="F2890" s="68">
        <v>500319</v>
      </c>
      <c r="G2890" s="74" t="s">
        <v>2870</v>
      </c>
      <c r="H2890" s="181">
        <f>INDEX('Списки данных'!$D$2:$D$1048576,MATCH(База_КР_КК[[#This Row],[Структурное подразделение]],'Списки данных'!$C$2:$C$1048576,0))</f>
        <v>6</v>
      </c>
      <c r="I2890" s="80" t="s">
        <v>136</v>
      </c>
      <c r="J2890" s="80" t="s">
        <v>246</v>
      </c>
      <c r="K2890" s="80" t="s">
        <v>247</v>
      </c>
      <c r="L2890" s="30" t="s">
        <v>191</v>
      </c>
      <c r="M2890" s="68">
        <v>6</v>
      </c>
      <c r="N2890" s="181" t="str">
        <f t="shared" si="46"/>
        <v>да</v>
      </c>
      <c r="O2890" s="23">
        <v>44461</v>
      </c>
      <c r="P2890" s="23">
        <v>44459</v>
      </c>
      <c r="Q2890" s="106" t="s">
        <v>57</v>
      </c>
      <c r="R2890" s="37">
        <v>693</v>
      </c>
      <c r="S2890" s="39" t="s">
        <v>1102</v>
      </c>
      <c r="T2890" s="37">
        <v>1790</v>
      </c>
      <c r="U2890" s="38" t="s">
        <v>1925</v>
      </c>
      <c r="V2890" s="89" t="s">
        <v>272</v>
      </c>
      <c r="W2890" s="89" t="s">
        <v>136</v>
      </c>
      <c r="X2890" s="106" t="s">
        <v>296</v>
      </c>
      <c r="Y2890" s="107" t="s">
        <v>12</v>
      </c>
      <c r="Z2890" s="67">
        <f>IF(База_КР_КК[[#This Row],[Таб.номер резервиста]]="-","-",IF(OR(База_КР_КК[[#This Row],[Уровень КК]]=2,База_КР_КК[[#This Row],[Уровень КК]]=3),IF(COUNTIFS($U$2:$U2890,$U2890,$F$2:$F2890,$F2890)=1,1,0),IF(COUNTIFS($U$2:$U2890,$U2890,$L$2:$L2890,$L2890)=1,1,0)))</f>
        <v>0</v>
      </c>
      <c r="AA28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0" s="106"/>
      <c r="AC2890" s="51"/>
      <c r="AD2890" s="106" t="s">
        <v>13</v>
      </c>
      <c r="AE2890" s="38" t="s">
        <v>376</v>
      </c>
    </row>
    <row r="2891" spans="1:31" ht="18" customHeight="1" x14ac:dyDescent="0.25">
      <c r="A28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1" s="79">
        <v>4</v>
      </c>
      <c r="C2891" s="23">
        <v>44859</v>
      </c>
      <c r="D2891" s="67">
        <f>IF(COUNTIF($G$2:$G2891,$G2891)=1,1,0)</f>
        <v>0</v>
      </c>
      <c r="E2891" s="67" t="str">
        <f>IFERROR(VLOOKUP(База_КР_КК[[#This Row],[ИД штатной должности (S)]],'уровень защищенности'!$B$7:$F$1095,5,0),"не защищена")</f>
        <v>высокий</v>
      </c>
      <c r="F2891" s="68">
        <v>500319</v>
      </c>
      <c r="G2891" s="74" t="s">
        <v>2870</v>
      </c>
      <c r="H2891" s="181">
        <f>INDEX('Списки данных'!$D$2:$D$1048576,MATCH(База_КР_КК[[#This Row],[Структурное подразделение]],'Списки данных'!$C$2:$C$1048576,0))</f>
        <v>6</v>
      </c>
      <c r="I2891" s="80" t="s">
        <v>136</v>
      </c>
      <c r="J2891" s="80" t="s">
        <v>246</v>
      </c>
      <c r="K2891" s="80" t="s">
        <v>247</v>
      </c>
      <c r="L2891" s="30" t="s">
        <v>191</v>
      </c>
      <c r="M2891" s="68">
        <v>6</v>
      </c>
      <c r="N2891" s="181" t="str">
        <f t="shared" si="46"/>
        <v>да</v>
      </c>
      <c r="O2891" s="23">
        <v>44461</v>
      </c>
      <c r="P2891" s="23">
        <v>44459</v>
      </c>
      <c r="Q2891" s="106" t="s">
        <v>57</v>
      </c>
      <c r="R2891" s="37">
        <v>693</v>
      </c>
      <c r="S2891" s="39" t="s">
        <v>1102</v>
      </c>
      <c r="T2891" s="37">
        <v>1791</v>
      </c>
      <c r="U2891" s="38" t="s">
        <v>1983</v>
      </c>
      <c r="V2891" s="89" t="s">
        <v>272</v>
      </c>
      <c r="W2891" s="89" t="s">
        <v>136</v>
      </c>
      <c r="X2891" s="106" t="s">
        <v>296</v>
      </c>
      <c r="Y2891" s="107" t="s">
        <v>12</v>
      </c>
      <c r="Z2891" s="67">
        <f>IF(База_КР_КК[[#This Row],[Таб.номер резервиста]]="-","-",IF(OR(База_КР_КК[[#This Row],[Уровень КК]]=2,База_КР_КК[[#This Row],[Уровень КК]]=3),IF(COUNTIFS($U$2:$U2891,$U2891,$F$2:$F2891,$F2891)=1,1,0),IF(COUNTIFS($U$2:$U2891,$U2891,$L$2:$L2891,$L2891)=1,1,0)))</f>
        <v>0</v>
      </c>
      <c r="AA28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1" s="106"/>
      <c r="AC2891" s="51"/>
      <c r="AD2891" s="106" t="s">
        <v>13</v>
      </c>
      <c r="AE2891" s="38" t="s">
        <v>376</v>
      </c>
    </row>
    <row r="2892" spans="1:31" ht="18" customHeight="1" x14ac:dyDescent="0.25">
      <c r="A28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2" s="79">
        <v>4</v>
      </c>
      <c r="C2892" s="23">
        <v>44109</v>
      </c>
      <c r="D2892" s="67">
        <f>IF(COUNTIF($G$2:$G2892,$G2892)=1,1,0)</f>
        <v>0</v>
      </c>
      <c r="E2892" s="67" t="str">
        <f>IFERROR(VLOOKUP(База_КР_КК[[#This Row],[ИД штатной должности (S)]],'уровень защищенности'!$B$7:$F$1095,5,0),"не защищена")</f>
        <v>высокий</v>
      </c>
      <c r="F2892" s="68">
        <v>500319</v>
      </c>
      <c r="G2892" s="74" t="s">
        <v>2869</v>
      </c>
      <c r="H2892" s="181">
        <f>INDEX('Списки данных'!$D$2:$D$1048576,MATCH(База_КР_КК[[#This Row],[Структурное подразделение]],'Списки данных'!$C$2:$C$1048576,0))</f>
        <v>6</v>
      </c>
      <c r="I2892" s="80" t="s">
        <v>136</v>
      </c>
      <c r="J2892" s="80" t="s">
        <v>246</v>
      </c>
      <c r="K2892" s="80" t="s">
        <v>247</v>
      </c>
      <c r="L2892" s="30" t="s">
        <v>191</v>
      </c>
      <c r="M2892" s="68">
        <v>6</v>
      </c>
      <c r="N2892" s="181" t="str">
        <f t="shared" si="46"/>
        <v>да</v>
      </c>
      <c r="O2892" s="23">
        <v>44461</v>
      </c>
      <c r="P2892" s="23">
        <v>44459</v>
      </c>
      <c r="Q2892" s="106" t="s">
        <v>66</v>
      </c>
      <c r="R2892" s="37">
        <v>692</v>
      </c>
      <c r="S2892" s="39" t="s">
        <v>1101</v>
      </c>
      <c r="T2892" s="37">
        <v>692</v>
      </c>
      <c r="U2892" s="39" t="s">
        <v>1101</v>
      </c>
      <c r="V2892" s="89" t="s">
        <v>272</v>
      </c>
      <c r="W2892" s="89" t="s">
        <v>136</v>
      </c>
      <c r="X2892" s="106" t="s">
        <v>297</v>
      </c>
      <c r="Y2892" s="107" t="s">
        <v>14</v>
      </c>
      <c r="Z2892" s="67">
        <f>IF(База_КР_КК[[#This Row],[Таб.номер резервиста]]="-","-",IF(OR(База_КР_КК[[#This Row],[Уровень КК]]=2,База_КР_КК[[#This Row],[Уровень КК]]=3),IF(COUNTIFS($U$2:$U2892,$U2892,$F$2:$F2892,$F2892)=1,1,0),IF(COUNTIFS($U$2:$U2892,$U2892,$L$2:$L2892,$L2892)=1,1,0)))</f>
        <v>1</v>
      </c>
      <c r="AA28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892" s="106" t="s">
        <v>24</v>
      </c>
      <c r="AC2892" s="51">
        <v>44459</v>
      </c>
      <c r="AD2892" s="106" t="s">
        <v>15</v>
      </c>
      <c r="AE2892" s="38" t="s">
        <v>377</v>
      </c>
    </row>
    <row r="2893" spans="1:31" ht="18" customHeight="1" x14ac:dyDescent="0.25">
      <c r="A28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3" s="79">
        <v>4</v>
      </c>
      <c r="C2893" s="23">
        <v>44109</v>
      </c>
      <c r="D2893" s="67">
        <f>IF(COUNTIF($G$2:$G2893,$G2893)=1,1,0)</f>
        <v>0</v>
      </c>
      <c r="E2893" s="67" t="str">
        <f>IFERROR(VLOOKUP(База_КР_КК[[#This Row],[ИД штатной должности (S)]],'уровень защищенности'!$B$7:$F$1095,5,0),"не защищена")</f>
        <v>высокий</v>
      </c>
      <c r="F2893" s="68">
        <v>500319</v>
      </c>
      <c r="G2893" s="74" t="s">
        <v>2869</v>
      </c>
      <c r="H2893" s="181">
        <f>INDEX('Списки данных'!$D$2:$D$1048576,MATCH(База_КР_КК[[#This Row],[Структурное подразделение]],'Списки данных'!$C$2:$C$1048576,0))</f>
        <v>6</v>
      </c>
      <c r="I2893" s="80" t="s">
        <v>136</v>
      </c>
      <c r="J2893" s="80" t="s">
        <v>246</v>
      </c>
      <c r="K2893" s="80" t="s">
        <v>247</v>
      </c>
      <c r="L2893" s="30" t="s">
        <v>191</v>
      </c>
      <c r="M2893" s="68">
        <v>6</v>
      </c>
      <c r="N2893" s="181" t="str">
        <f t="shared" si="46"/>
        <v>да</v>
      </c>
      <c r="O2893" s="23">
        <v>44461</v>
      </c>
      <c r="P2893" s="23">
        <v>44459</v>
      </c>
      <c r="Q2893" s="106" t="s">
        <v>66</v>
      </c>
      <c r="R2893" s="37">
        <v>692</v>
      </c>
      <c r="S2893" s="39" t="s">
        <v>1101</v>
      </c>
      <c r="T2893" s="37">
        <v>1792</v>
      </c>
      <c r="U2893" s="39" t="s">
        <v>2050</v>
      </c>
      <c r="V2893" s="89" t="s">
        <v>272</v>
      </c>
      <c r="W2893" s="89" t="s">
        <v>133</v>
      </c>
      <c r="X2893" s="106" t="s">
        <v>296</v>
      </c>
      <c r="Y2893" s="107" t="s">
        <v>18</v>
      </c>
      <c r="Z2893" s="67">
        <f>IF(База_КР_КК[[#This Row],[Таб.номер резервиста]]="-","-",IF(OR(База_КР_КК[[#This Row],[Уровень КК]]=2,База_КР_КК[[#This Row],[Уровень КК]]=3),IF(COUNTIFS($U$2:$U2893,$U2893,$F$2:$F2893,$F2893)=1,1,0),IF(COUNTIFS($U$2:$U2893,$U2893,$L$2:$L2893,$L2893)=1,1,0)))</f>
        <v>0</v>
      </c>
      <c r="AA28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3" s="106" t="s">
        <v>19</v>
      </c>
      <c r="AC2893" s="51">
        <v>44827</v>
      </c>
      <c r="AD2893" s="106" t="s">
        <v>15</v>
      </c>
      <c r="AE2893" s="38" t="s">
        <v>377</v>
      </c>
    </row>
    <row r="2894" spans="1:31" ht="18" customHeight="1" x14ac:dyDescent="0.25">
      <c r="A28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4" s="79">
        <v>4</v>
      </c>
      <c r="C2894" s="23">
        <v>44109</v>
      </c>
      <c r="D2894" s="67">
        <f>IF(COUNTIF($G$2:$G2894,$G2894)=1,1,0)</f>
        <v>0</v>
      </c>
      <c r="E2894" s="67" t="str">
        <f>IFERROR(VLOOKUP(База_КР_КК[[#This Row],[ИД штатной должности (S)]],'уровень защищенности'!$B$7:$F$1095,5,0),"не защищена")</f>
        <v>высокий</v>
      </c>
      <c r="F2894" s="68">
        <v>500319</v>
      </c>
      <c r="G2894" s="74" t="s">
        <v>2870</v>
      </c>
      <c r="H2894" s="181">
        <f>INDEX('Списки данных'!$D$2:$D$1048576,MATCH(База_КР_КК[[#This Row],[Структурное подразделение]],'Списки данных'!$C$2:$C$1048576,0))</f>
        <v>6</v>
      </c>
      <c r="I2894" s="80" t="s">
        <v>136</v>
      </c>
      <c r="J2894" s="80" t="s">
        <v>246</v>
      </c>
      <c r="K2894" s="80" t="s">
        <v>247</v>
      </c>
      <c r="L2894" s="30" t="s">
        <v>191</v>
      </c>
      <c r="M2894" s="68">
        <v>6</v>
      </c>
      <c r="N2894" s="181" t="str">
        <f t="shared" si="46"/>
        <v>нет</v>
      </c>
      <c r="O2894" s="23"/>
      <c r="P2894" s="23"/>
      <c r="Q2894" s="106"/>
      <c r="R2894" s="37">
        <v>693</v>
      </c>
      <c r="S2894" s="38" t="s">
        <v>1102</v>
      </c>
      <c r="T2894" s="37">
        <v>1786</v>
      </c>
      <c r="U2894" s="39" t="s">
        <v>2047</v>
      </c>
      <c r="V2894" s="89" t="s">
        <v>272</v>
      </c>
      <c r="W2894" s="89" t="s">
        <v>136</v>
      </c>
      <c r="X2894" s="106" t="s">
        <v>295</v>
      </c>
      <c r="Y2894" s="107" t="s">
        <v>12</v>
      </c>
      <c r="Z2894" s="67">
        <f>IF(База_КР_КК[[#This Row],[Таб.номер резервиста]]="-","-",IF(OR(База_КР_КК[[#This Row],[Уровень КК]]=2,База_КР_КК[[#This Row],[Уровень КК]]=3),IF(COUNTIFS($U$2:$U2894,$U2894,$F$2:$F2894,$F2894)=1,1,0),IF(COUNTIFS($U$2:$U2894,$U2894,$L$2:$L2894,$L2894)=1,1,0)))</f>
        <v>0</v>
      </c>
      <c r="AA28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4" s="106"/>
      <c r="AC2894" s="51"/>
      <c r="AD2894" s="106" t="s">
        <v>13</v>
      </c>
      <c r="AE2894" s="38" t="s">
        <v>376</v>
      </c>
    </row>
    <row r="2895" spans="1:31" ht="18" customHeight="1" x14ac:dyDescent="0.25">
      <c r="A28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5" s="79">
        <v>4</v>
      </c>
      <c r="C2895" s="23">
        <v>44109</v>
      </c>
      <c r="D2895" s="67">
        <f>IF(COUNTIF($G$2:$G2895,$G2895)=1,1,0)</f>
        <v>0</v>
      </c>
      <c r="E2895" s="67" t="str">
        <f>IFERROR(VLOOKUP(База_КР_КК[[#This Row],[ИД штатной должности (S)]],'уровень защищенности'!$B$7:$F$1095,5,0),"не защищена")</f>
        <v>высокий</v>
      </c>
      <c r="F2895" s="68">
        <v>500319</v>
      </c>
      <c r="G2895" s="74" t="s">
        <v>2870</v>
      </c>
      <c r="H2895" s="181">
        <f>INDEX('Списки данных'!$D$2:$D$1048576,MATCH(База_КР_КК[[#This Row],[Структурное подразделение]],'Списки данных'!$C$2:$C$1048576,0))</f>
        <v>6</v>
      </c>
      <c r="I2895" s="80" t="s">
        <v>136</v>
      </c>
      <c r="J2895" s="80" t="s">
        <v>246</v>
      </c>
      <c r="K2895" s="80" t="s">
        <v>247</v>
      </c>
      <c r="L2895" s="30" t="s">
        <v>191</v>
      </c>
      <c r="M2895" s="68">
        <v>6</v>
      </c>
      <c r="N2895" s="181" t="str">
        <f t="shared" si="46"/>
        <v>нет</v>
      </c>
      <c r="O2895" s="23"/>
      <c r="P2895" s="23"/>
      <c r="Q2895" s="106"/>
      <c r="R2895" s="37">
        <v>693</v>
      </c>
      <c r="S2895" s="38" t="s">
        <v>1102</v>
      </c>
      <c r="T2895" s="37">
        <v>1787</v>
      </c>
      <c r="U2895" s="39" t="s">
        <v>2030</v>
      </c>
      <c r="V2895" s="89" t="s">
        <v>272</v>
      </c>
      <c r="W2895" s="89" t="s">
        <v>136</v>
      </c>
      <c r="X2895" s="106" t="s">
        <v>296</v>
      </c>
      <c r="Y2895" s="107" t="s">
        <v>12</v>
      </c>
      <c r="Z2895" s="67">
        <f>IF(База_КР_КК[[#This Row],[Таб.номер резервиста]]="-","-",IF(OR(База_КР_КК[[#This Row],[Уровень КК]]=2,База_КР_КК[[#This Row],[Уровень КК]]=3),IF(COUNTIFS($U$2:$U2895,$U2895,$F$2:$F2895,$F2895)=1,1,0),IF(COUNTIFS($U$2:$U2895,$U2895,$L$2:$L2895,$L2895)=1,1,0)))</f>
        <v>0</v>
      </c>
      <c r="AA28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5" s="106"/>
      <c r="AC2895" s="51"/>
      <c r="AD2895" s="106" t="s">
        <v>13</v>
      </c>
      <c r="AE2895" s="38" t="s">
        <v>376</v>
      </c>
    </row>
    <row r="2896" spans="1:31" ht="18" customHeight="1" x14ac:dyDescent="0.25">
      <c r="A28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6" s="79">
        <v>4</v>
      </c>
      <c r="C2896" s="23">
        <v>44109</v>
      </c>
      <c r="D2896" s="67">
        <f>IF(COUNTIF($G$2:$G2896,$G2896)=1,1,0)</f>
        <v>0</v>
      </c>
      <c r="E2896" s="67" t="str">
        <f>IFERROR(VLOOKUP(База_КР_КК[[#This Row],[ИД штатной должности (S)]],'уровень защищенности'!$B$7:$F$1095,5,0),"не защищена")</f>
        <v>высокий</v>
      </c>
      <c r="F2896" s="68">
        <v>500319</v>
      </c>
      <c r="G2896" s="74" t="s">
        <v>2870</v>
      </c>
      <c r="H2896" s="181">
        <f>INDEX('Списки данных'!$D$2:$D$1048576,MATCH(База_КР_КК[[#This Row],[Структурное подразделение]],'Списки данных'!$C$2:$C$1048576,0))</f>
        <v>6</v>
      </c>
      <c r="I2896" s="80" t="s">
        <v>136</v>
      </c>
      <c r="J2896" s="80" t="s">
        <v>246</v>
      </c>
      <c r="K2896" s="80" t="s">
        <v>247</v>
      </c>
      <c r="L2896" s="30" t="s">
        <v>191</v>
      </c>
      <c r="M2896" s="68">
        <v>6</v>
      </c>
      <c r="N2896" s="181" t="str">
        <f t="shared" si="46"/>
        <v>нет</v>
      </c>
      <c r="O2896" s="23"/>
      <c r="P2896" s="23"/>
      <c r="Q2896" s="106"/>
      <c r="R2896" s="37">
        <v>693</v>
      </c>
      <c r="S2896" s="38" t="s">
        <v>1102</v>
      </c>
      <c r="T2896" s="37">
        <v>1788</v>
      </c>
      <c r="U2896" s="39" t="s">
        <v>2048</v>
      </c>
      <c r="V2896" s="89" t="s">
        <v>272</v>
      </c>
      <c r="W2896" s="89" t="s">
        <v>136</v>
      </c>
      <c r="X2896" s="106" t="s">
        <v>295</v>
      </c>
      <c r="Y2896" s="107" t="s">
        <v>12</v>
      </c>
      <c r="Z2896" s="67">
        <f>IF(База_КР_КК[[#This Row],[Таб.номер резервиста]]="-","-",IF(OR(База_КР_КК[[#This Row],[Уровень КК]]=2,База_КР_КК[[#This Row],[Уровень КК]]=3),IF(COUNTIFS($U$2:$U2896,$U2896,$F$2:$F2896,$F2896)=1,1,0),IF(COUNTIFS($U$2:$U2896,$U2896,$L$2:$L2896,$L2896)=1,1,0)))</f>
        <v>0</v>
      </c>
      <c r="AA28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6" s="106"/>
      <c r="AC2896" s="51"/>
      <c r="AD2896" s="106" t="s">
        <v>13</v>
      </c>
      <c r="AE2896" s="38" t="s">
        <v>376</v>
      </c>
    </row>
    <row r="2897" spans="1:31" ht="18" customHeight="1" x14ac:dyDescent="0.25">
      <c r="A28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7" s="79">
        <v>4</v>
      </c>
      <c r="C2897" s="23">
        <v>44466</v>
      </c>
      <c r="D2897" s="67">
        <f>IF(COUNTIF($G$2:$G2897,$G2897)=1,1,0)</f>
        <v>0</v>
      </c>
      <c r="E2897" s="67" t="str">
        <f>IFERROR(VLOOKUP(База_КР_КК[[#This Row],[ИД штатной должности (S)]],'уровень защищенности'!$B$7:$F$1095,5,0),"не защищена")</f>
        <v>высокий</v>
      </c>
      <c r="F2897" s="68">
        <v>500319</v>
      </c>
      <c r="G2897" s="74" t="s">
        <v>2868</v>
      </c>
      <c r="H2897" s="181">
        <f>INDEX('Списки данных'!$D$2:$D$1048576,MATCH(База_КР_КК[[#This Row],[Структурное подразделение]],'Списки данных'!$C$2:$C$1048576,0))</f>
        <v>6</v>
      </c>
      <c r="I2897" s="80" t="s">
        <v>136</v>
      </c>
      <c r="J2897" s="80" t="s">
        <v>246</v>
      </c>
      <c r="K2897" s="80" t="s">
        <v>247</v>
      </c>
      <c r="L2897" s="30" t="s">
        <v>191</v>
      </c>
      <c r="M2897" s="68">
        <v>6</v>
      </c>
      <c r="N2897" s="181" t="str">
        <f t="shared" si="46"/>
        <v>нет</v>
      </c>
      <c r="O2897" s="23"/>
      <c r="P2897" s="23"/>
      <c r="Q2897" s="106"/>
      <c r="R2897" s="37">
        <v>691</v>
      </c>
      <c r="S2897" s="38" t="s">
        <v>1100</v>
      </c>
      <c r="T2897" s="37">
        <v>1789</v>
      </c>
      <c r="U2897" s="39" t="s">
        <v>2049</v>
      </c>
      <c r="V2897" s="89" t="s">
        <v>272</v>
      </c>
      <c r="W2897" s="89" t="s">
        <v>136</v>
      </c>
      <c r="X2897" s="106" t="s">
        <v>296</v>
      </c>
      <c r="Y2897" s="107" t="s">
        <v>12</v>
      </c>
      <c r="Z2897" s="67">
        <f>IF(База_КР_КК[[#This Row],[Таб.номер резервиста]]="-","-",IF(OR(База_КР_КК[[#This Row],[Уровень КК]]=2,База_КР_КК[[#This Row],[Уровень КК]]=3),IF(COUNTIFS($U$2:$U2897,$U2897,$F$2:$F2897,$F2897)=1,1,0),IF(COUNTIFS($U$2:$U2897,$U2897,$L$2:$L2897,$L2897)=1,1,0)))</f>
        <v>0</v>
      </c>
      <c r="AA28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7" s="106"/>
      <c r="AC2897" s="51"/>
      <c r="AD2897" s="106" t="s">
        <v>13</v>
      </c>
      <c r="AE2897" s="38" t="s">
        <v>376</v>
      </c>
    </row>
    <row r="2898" spans="1:31" ht="18" customHeight="1" x14ac:dyDescent="0.25">
      <c r="A28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8" s="79">
        <v>4</v>
      </c>
      <c r="C2898" s="23">
        <v>44859</v>
      </c>
      <c r="D2898" s="67">
        <f>IF(COUNTIF($G$2:$G2898,$G2898)=1,1,0)</f>
        <v>0</v>
      </c>
      <c r="E2898" s="67" t="str">
        <f>IFERROR(VLOOKUP(База_КР_КК[[#This Row],[ИД штатной должности (S)]],'уровень защищенности'!$B$7:$F$1095,5,0),"не защищена")</f>
        <v>высокий</v>
      </c>
      <c r="F2898" s="68">
        <v>500319</v>
      </c>
      <c r="G2898" s="74" t="s">
        <v>2868</v>
      </c>
      <c r="H2898" s="181">
        <f>INDEX('Списки данных'!$D$2:$D$1048576,MATCH(База_КР_КК[[#This Row],[Структурное подразделение]],'Списки данных'!$C$2:$C$1048576,0))</f>
        <v>6</v>
      </c>
      <c r="I2898" s="80" t="s">
        <v>136</v>
      </c>
      <c r="J2898" s="80" t="s">
        <v>246</v>
      </c>
      <c r="K2898" s="80" t="s">
        <v>247</v>
      </c>
      <c r="L2898" s="30" t="s">
        <v>191</v>
      </c>
      <c r="M2898" s="68">
        <v>6</v>
      </c>
      <c r="N2898" s="181" t="str">
        <f t="shared" si="46"/>
        <v>нет</v>
      </c>
      <c r="O2898" s="23"/>
      <c r="P2898" s="23"/>
      <c r="Q2898" s="106"/>
      <c r="R2898" s="37">
        <v>691</v>
      </c>
      <c r="S2898" s="39" t="s">
        <v>1100</v>
      </c>
      <c r="T2898" s="37">
        <v>1790</v>
      </c>
      <c r="U2898" s="38" t="s">
        <v>1925</v>
      </c>
      <c r="V2898" s="89" t="s">
        <v>272</v>
      </c>
      <c r="W2898" s="89" t="s">
        <v>136</v>
      </c>
      <c r="X2898" s="106" t="s">
        <v>296</v>
      </c>
      <c r="Y2898" s="107" t="s">
        <v>12</v>
      </c>
      <c r="Z2898" s="67">
        <f>IF(База_КР_КК[[#This Row],[Таб.номер резервиста]]="-","-",IF(OR(База_КР_КК[[#This Row],[Уровень КК]]=2,База_КР_КК[[#This Row],[Уровень КК]]=3),IF(COUNTIFS($U$2:$U2898,$U2898,$F$2:$F2898,$F2898)=1,1,0),IF(COUNTIFS($U$2:$U2898,$U2898,$L$2:$L2898,$L2898)=1,1,0)))</f>
        <v>0</v>
      </c>
      <c r="AA28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8" s="106"/>
      <c r="AC2898" s="51"/>
      <c r="AD2898" s="106" t="s">
        <v>13</v>
      </c>
      <c r="AE2898" s="38" t="s">
        <v>376</v>
      </c>
    </row>
    <row r="2899" spans="1:31" ht="18" customHeight="1" x14ac:dyDescent="0.25">
      <c r="A28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899" s="79">
        <v>4</v>
      </c>
      <c r="C2899" s="23">
        <v>44859</v>
      </c>
      <c r="D2899" s="67">
        <f>IF(COUNTIF($G$2:$G2899,$G2899)=1,1,0)</f>
        <v>0</v>
      </c>
      <c r="E2899" s="67" t="str">
        <f>IFERROR(VLOOKUP(База_КР_КК[[#This Row],[ИД штатной должности (S)]],'уровень защищенности'!$B$7:$F$1095,5,0),"не защищена")</f>
        <v>высокий</v>
      </c>
      <c r="F2899" s="68">
        <v>500319</v>
      </c>
      <c r="G2899" s="74" t="s">
        <v>2868</v>
      </c>
      <c r="H2899" s="181">
        <f>INDEX('Списки данных'!$D$2:$D$1048576,MATCH(База_КР_КК[[#This Row],[Структурное подразделение]],'Списки данных'!$C$2:$C$1048576,0))</f>
        <v>6</v>
      </c>
      <c r="I2899" s="80" t="s">
        <v>136</v>
      </c>
      <c r="J2899" s="80" t="s">
        <v>246</v>
      </c>
      <c r="K2899" s="80" t="s">
        <v>247</v>
      </c>
      <c r="L2899" s="30" t="s">
        <v>191</v>
      </c>
      <c r="M2899" s="68">
        <v>6</v>
      </c>
      <c r="N2899" s="181" t="str">
        <f t="shared" si="46"/>
        <v>нет</v>
      </c>
      <c r="O2899" s="23"/>
      <c r="P2899" s="23"/>
      <c r="Q2899" s="106"/>
      <c r="R2899" s="37">
        <v>691</v>
      </c>
      <c r="S2899" s="39" t="s">
        <v>1100</v>
      </c>
      <c r="T2899" s="37">
        <v>1791</v>
      </c>
      <c r="U2899" s="38" t="s">
        <v>1983</v>
      </c>
      <c r="V2899" s="89" t="s">
        <v>272</v>
      </c>
      <c r="W2899" s="89" t="s">
        <v>136</v>
      </c>
      <c r="X2899" s="106" t="s">
        <v>296</v>
      </c>
      <c r="Y2899" s="107" t="s">
        <v>12</v>
      </c>
      <c r="Z2899" s="67">
        <f>IF(База_КР_КК[[#This Row],[Таб.номер резервиста]]="-","-",IF(OR(База_КР_КК[[#This Row],[Уровень КК]]=2,База_КР_КК[[#This Row],[Уровень КК]]=3),IF(COUNTIFS($U$2:$U2899,$U2899,$F$2:$F2899,$F2899)=1,1,0),IF(COUNTIFS($U$2:$U2899,$U2899,$L$2:$L2899,$L2899)=1,1,0)))</f>
        <v>0</v>
      </c>
      <c r="AA28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899" s="106"/>
      <c r="AC2899" s="51"/>
      <c r="AD2899" s="106" t="s">
        <v>13</v>
      </c>
      <c r="AE2899" s="38" t="s">
        <v>376</v>
      </c>
    </row>
    <row r="2900" spans="1:31" ht="18" customHeight="1" x14ac:dyDescent="0.25">
      <c r="A29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0" s="79">
        <v>4</v>
      </c>
      <c r="C2900" s="23">
        <v>44109</v>
      </c>
      <c r="D2900" s="67">
        <f>IF(COUNTIF($G$2:$G2900,$G2900)=1,1,0)</f>
        <v>0</v>
      </c>
      <c r="E2900" s="67" t="str">
        <f>IFERROR(VLOOKUP(База_КР_КК[[#This Row],[ИД штатной должности (S)]],'уровень защищенности'!$B$7:$F$1095,5,0),"не защищена")</f>
        <v>высокий</v>
      </c>
      <c r="F2900" s="68">
        <v>500319</v>
      </c>
      <c r="G2900" s="74" t="s">
        <v>2870</v>
      </c>
      <c r="H2900" s="181">
        <f>INDEX('Списки данных'!$D$2:$D$1048576,MATCH(База_КР_КК[[#This Row],[Структурное подразделение]],'Списки данных'!$C$2:$C$1048576,0))</f>
        <v>6</v>
      </c>
      <c r="I2900" s="80" t="s">
        <v>136</v>
      </c>
      <c r="J2900" s="80" t="s">
        <v>246</v>
      </c>
      <c r="K2900" s="80" t="s">
        <v>247</v>
      </c>
      <c r="L2900" s="30" t="s">
        <v>191</v>
      </c>
      <c r="M2900" s="68">
        <v>6</v>
      </c>
      <c r="N2900" s="181" t="str">
        <f t="shared" si="46"/>
        <v>нет</v>
      </c>
      <c r="O2900" s="23"/>
      <c r="P2900" s="23"/>
      <c r="Q2900" s="106"/>
      <c r="R2900" s="37">
        <v>693</v>
      </c>
      <c r="S2900" s="38" t="s">
        <v>1102</v>
      </c>
      <c r="T2900" s="37">
        <v>1792</v>
      </c>
      <c r="U2900" s="39" t="s">
        <v>2050</v>
      </c>
      <c r="V2900" s="89" t="s">
        <v>272</v>
      </c>
      <c r="W2900" s="89" t="s">
        <v>133</v>
      </c>
      <c r="X2900" s="106" t="s">
        <v>296</v>
      </c>
      <c r="Y2900" s="107" t="s">
        <v>18</v>
      </c>
      <c r="Z2900" s="67">
        <f>IF(База_КР_КК[[#This Row],[Таб.номер резервиста]]="-","-",IF(OR(База_КР_КК[[#This Row],[Уровень КК]]=2,База_КР_КК[[#This Row],[Уровень КК]]=3),IF(COUNTIFS($U$2:$U2900,$U2900,$F$2:$F2900,$F2900)=1,1,0),IF(COUNTIFS($U$2:$U2900,$U2900,$L$2:$L2900,$L2900)=1,1,0)))</f>
        <v>0</v>
      </c>
      <c r="AA29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0" s="106" t="s">
        <v>19</v>
      </c>
      <c r="AC2900" s="51">
        <v>44827</v>
      </c>
      <c r="AD2900" s="106" t="s">
        <v>15</v>
      </c>
      <c r="AE2900" s="38" t="s">
        <v>377</v>
      </c>
    </row>
    <row r="2901" spans="1:31" ht="18" customHeight="1" x14ac:dyDescent="0.25">
      <c r="A29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1" s="79">
        <v>4</v>
      </c>
      <c r="C2901" s="23">
        <v>44109</v>
      </c>
      <c r="D2901" s="67">
        <f>IF(COUNTIF($G$2:$G2901,$G2901)=1,1,0)</f>
        <v>1</v>
      </c>
      <c r="E2901" s="67" t="str">
        <f>IFERROR(VLOOKUP(База_КР_КК[[#This Row],[ИД штатной должности (S)]],'уровень защищенности'!$B$7:$F$1095,5,0),"не защищена")</f>
        <v>высокий</v>
      </c>
      <c r="F2901" s="68">
        <v>500319</v>
      </c>
      <c r="G2901" s="74" t="s">
        <v>2871</v>
      </c>
      <c r="H2901" s="181">
        <f>INDEX('Списки данных'!$D$2:$D$1048576,MATCH(База_КР_КК[[#This Row],[Структурное подразделение]],'Списки данных'!$C$2:$C$1048576,0))</f>
        <v>6</v>
      </c>
      <c r="I2901" s="80" t="s">
        <v>136</v>
      </c>
      <c r="J2901" s="80" t="s">
        <v>246</v>
      </c>
      <c r="K2901" s="80" t="s">
        <v>247</v>
      </c>
      <c r="L2901" s="30" t="s">
        <v>191</v>
      </c>
      <c r="M2901" s="68">
        <v>6</v>
      </c>
      <c r="N2901" s="181" t="str">
        <f t="shared" si="46"/>
        <v>нет</v>
      </c>
      <c r="O2901" s="23"/>
      <c r="P2901" s="23"/>
      <c r="Q2901" s="106"/>
      <c r="R2901" s="37">
        <v>694</v>
      </c>
      <c r="S2901" s="38" t="s">
        <v>1103</v>
      </c>
      <c r="T2901" s="37">
        <v>1786</v>
      </c>
      <c r="U2901" s="39" t="s">
        <v>2047</v>
      </c>
      <c r="V2901" s="89" t="s">
        <v>272</v>
      </c>
      <c r="W2901" s="89" t="s">
        <v>136</v>
      </c>
      <c r="X2901" s="106" t="s">
        <v>295</v>
      </c>
      <c r="Y2901" s="107" t="s">
        <v>12</v>
      </c>
      <c r="Z2901" s="67">
        <f>IF(База_КР_КК[[#This Row],[Таб.номер резервиста]]="-","-",IF(OR(База_КР_КК[[#This Row],[Уровень КК]]=2,База_КР_КК[[#This Row],[Уровень КК]]=3),IF(COUNTIFS($U$2:$U2901,$U2901,$F$2:$F2901,$F2901)=1,1,0),IF(COUNTIFS($U$2:$U2901,$U2901,$L$2:$L2901,$L2901)=1,1,0)))</f>
        <v>0</v>
      </c>
      <c r="AA29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1" s="106"/>
      <c r="AC2901" s="51"/>
      <c r="AD2901" s="106" t="s">
        <v>13</v>
      </c>
      <c r="AE2901" s="38" t="s">
        <v>376</v>
      </c>
    </row>
    <row r="2902" spans="1:31" ht="18" customHeight="1" x14ac:dyDescent="0.25">
      <c r="A29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2" s="79">
        <v>4</v>
      </c>
      <c r="C2902" s="23">
        <v>44109</v>
      </c>
      <c r="D2902" s="67">
        <f>IF(COUNTIF($G$2:$G2902,$G2902)=1,1,0)</f>
        <v>0</v>
      </c>
      <c r="E2902" s="67" t="str">
        <f>IFERROR(VLOOKUP(База_КР_КК[[#This Row],[ИД штатной должности (S)]],'уровень защищенности'!$B$7:$F$1095,5,0),"не защищена")</f>
        <v>высокий</v>
      </c>
      <c r="F2902" s="68">
        <v>500319</v>
      </c>
      <c r="G2902" s="74" t="s">
        <v>2871</v>
      </c>
      <c r="H2902" s="181">
        <f>INDEX('Списки данных'!$D$2:$D$1048576,MATCH(База_КР_КК[[#This Row],[Структурное подразделение]],'Списки данных'!$C$2:$C$1048576,0))</f>
        <v>6</v>
      </c>
      <c r="I2902" s="80" t="s">
        <v>136</v>
      </c>
      <c r="J2902" s="80" t="s">
        <v>246</v>
      </c>
      <c r="K2902" s="80" t="s">
        <v>247</v>
      </c>
      <c r="L2902" s="30" t="s">
        <v>191</v>
      </c>
      <c r="M2902" s="68">
        <v>6</v>
      </c>
      <c r="N2902" s="181" t="str">
        <f t="shared" si="46"/>
        <v>нет</v>
      </c>
      <c r="O2902" s="23"/>
      <c r="P2902" s="23"/>
      <c r="Q2902" s="106"/>
      <c r="R2902" s="37">
        <v>694</v>
      </c>
      <c r="S2902" s="38" t="s">
        <v>1103</v>
      </c>
      <c r="T2902" s="37">
        <v>1787</v>
      </c>
      <c r="U2902" s="39" t="s">
        <v>2030</v>
      </c>
      <c r="V2902" s="89" t="s">
        <v>272</v>
      </c>
      <c r="W2902" s="89" t="s">
        <v>136</v>
      </c>
      <c r="X2902" s="106" t="s">
        <v>296</v>
      </c>
      <c r="Y2902" s="107" t="s">
        <v>12</v>
      </c>
      <c r="Z2902" s="67">
        <f>IF(База_КР_КК[[#This Row],[Таб.номер резервиста]]="-","-",IF(OR(База_КР_КК[[#This Row],[Уровень КК]]=2,База_КР_КК[[#This Row],[Уровень КК]]=3),IF(COUNTIFS($U$2:$U2902,$U2902,$F$2:$F2902,$F2902)=1,1,0),IF(COUNTIFS($U$2:$U2902,$U2902,$L$2:$L2902,$L2902)=1,1,0)))</f>
        <v>0</v>
      </c>
      <c r="AA29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2" s="106"/>
      <c r="AC2902" s="51"/>
      <c r="AD2902" s="106" t="s">
        <v>13</v>
      </c>
      <c r="AE2902" s="38" t="s">
        <v>376</v>
      </c>
    </row>
    <row r="2903" spans="1:31" ht="18" customHeight="1" x14ac:dyDescent="0.25">
      <c r="A29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3" s="79">
        <v>4</v>
      </c>
      <c r="C2903" s="23">
        <v>44109</v>
      </c>
      <c r="D2903" s="67">
        <f>IF(COUNTIF($G$2:$G2903,$G2903)=1,1,0)</f>
        <v>0</v>
      </c>
      <c r="E2903" s="67" t="str">
        <f>IFERROR(VLOOKUP(База_КР_КК[[#This Row],[ИД штатной должности (S)]],'уровень защищенности'!$B$7:$F$1095,5,0),"не защищена")</f>
        <v>высокий</v>
      </c>
      <c r="F2903" s="68">
        <v>500319</v>
      </c>
      <c r="G2903" s="74" t="s">
        <v>2871</v>
      </c>
      <c r="H2903" s="181">
        <f>INDEX('Списки данных'!$D$2:$D$1048576,MATCH(База_КР_КК[[#This Row],[Структурное подразделение]],'Списки данных'!$C$2:$C$1048576,0))</f>
        <v>6</v>
      </c>
      <c r="I2903" s="80" t="s">
        <v>136</v>
      </c>
      <c r="J2903" s="80" t="s">
        <v>246</v>
      </c>
      <c r="K2903" s="80" t="s">
        <v>247</v>
      </c>
      <c r="L2903" s="30" t="s">
        <v>191</v>
      </c>
      <c r="M2903" s="68">
        <v>6</v>
      </c>
      <c r="N2903" s="181" t="str">
        <f t="shared" si="46"/>
        <v>нет</v>
      </c>
      <c r="O2903" s="23"/>
      <c r="P2903" s="23"/>
      <c r="Q2903" s="106"/>
      <c r="R2903" s="37">
        <v>694</v>
      </c>
      <c r="S2903" s="38" t="s">
        <v>1103</v>
      </c>
      <c r="T2903" s="37">
        <v>1788</v>
      </c>
      <c r="U2903" s="39" t="s">
        <v>2048</v>
      </c>
      <c r="V2903" s="89" t="s">
        <v>272</v>
      </c>
      <c r="W2903" s="89" t="s">
        <v>136</v>
      </c>
      <c r="X2903" s="106" t="s">
        <v>295</v>
      </c>
      <c r="Y2903" s="107" t="s">
        <v>12</v>
      </c>
      <c r="Z2903" s="67">
        <f>IF(База_КР_КК[[#This Row],[Таб.номер резервиста]]="-","-",IF(OR(База_КР_КК[[#This Row],[Уровень КК]]=2,База_КР_КК[[#This Row],[Уровень КК]]=3),IF(COUNTIFS($U$2:$U2903,$U2903,$F$2:$F2903,$F2903)=1,1,0),IF(COUNTIFS($U$2:$U2903,$U2903,$L$2:$L2903,$L2903)=1,1,0)))</f>
        <v>0</v>
      </c>
      <c r="AA29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3" s="106"/>
      <c r="AC2903" s="51"/>
      <c r="AD2903" s="106" t="s">
        <v>13</v>
      </c>
      <c r="AE2903" s="38" t="s">
        <v>376</v>
      </c>
    </row>
    <row r="2904" spans="1:31" ht="18" customHeight="1" x14ac:dyDescent="0.25">
      <c r="A29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4" s="79">
        <v>4</v>
      </c>
      <c r="C2904" s="23">
        <v>44466</v>
      </c>
      <c r="D2904" s="67">
        <f>IF(COUNTIF($G$2:$G2904,$G2904)=1,1,0)</f>
        <v>0</v>
      </c>
      <c r="E2904" s="67" t="str">
        <f>IFERROR(VLOOKUP(База_КР_КК[[#This Row],[ИД штатной должности (S)]],'уровень защищенности'!$B$7:$F$1095,5,0),"не защищена")</f>
        <v>высокий</v>
      </c>
      <c r="F2904" s="68">
        <v>500319</v>
      </c>
      <c r="G2904" s="74" t="s">
        <v>2871</v>
      </c>
      <c r="H2904" s="181">
        <f>INDEX('Списки данных'!$D$2:$D$1048576,MATCH(База_КР_КК[[#This Row],[Структурное подразделение]],'Списки данных'!$C$2:$C$1048576,0))</f>
        <v>6</v>
      </c>
      <c r="I2904" s="80" t="s">
        <v>136</v>
      </c>
      <c r="J2904" s="80" t="s">
        <v>246</v>
      </c>
      <c r="K2904" s="80" t="s">
        <v>247</v>
      </c>
      <c r="L2904" s="30" t="s">
        <v>191</v>
      </c>
      <c r="M2904" s="68">
        <v>6</v>
      </c>
      <c r="N2904" s="181" t="str">
        <f t="shared" si="46"/>
        <v>нет</v>
      </c>
      <c r="O2904" s="23"/>
      <c r="P2904" s="23"/>
      <c r="Q2904" s="106"/>
      <c r="R2904" s="37">
        <v>694</v>
      </c>
      <c r="S2904" s="38" t="s">
        <v>1103</v>
      </c>
      <c r="T2904" s="37">
        <v>1789</v>
      </c>
      <c r="U2904" s="39" t="s">
        <v>2049</v>
      </c>
      <c r="V2904" s="89" t="s">
        <v>272</v>
      </c>
      <c r="W2904" s="89" t="s">
        <v>136</v>
      </c>
      <c r="X2904" s="106" t="s">
        <v>296</v>
      </c>
      <c r="Y2904" s="107" t="s">
        <v>12</v>
      </c>
      <c r="Z2904" s="67">
        <f>IF(База_КР_КК[[#This Row],[Таб.номер резервиста]]="-","-",IF(OR(База_КР_КК[[#This Row],[Уровень КК]]=2,База_КР_КК[[#This Row],[Уровень КК]]=3),IF(COUNTIFS($U$2:$U2904,$U2904,$F$2:$F2904,$F2904)=1,1,0),IF(COUNTIFS($U$2:$U2904,$U2904,$L$2:$L2904,$L2904)=1,1,0)))</f>
        <v>0</v>
      </c>
      <c r="AA29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4" s="106"/>
      <c r="AC2904" s="51"/>
      <c r="AD2904" s="106" t="s">
        <v>13</v>
      </c>
      <c r="AE2904" s="38" t="s">
        <v>376</v>
      </c>
    </row>
    <row r="2905" spans="1:31" ht="18" customHeight="1" x14ac:dyDescent="0.25">
      <c r="A29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5" s="79">
        <v>4</v>
      </c>
      <c r="C2905" s="23">
        <v>44859</v>
      </c>
      <c r="D2905" s="67">
        <f>IF(COUNTIF($G$2:$G2905,$G2905)=1,1,0)</f>
        <v>0</v>
      </c>
      <c r="E2905" s="67" t="str">
        <f>IFERROR(VLOOKUP(База_КР_КК[[#This Row],[ИД штатной должности (S)]],'уровень защищенности'!$B$7:$F$1095,5,0),"не защищена")</f>
        <v>высокий</v>
      </c>
      <c r="F2905" s="68">
        <v>500319</v>
      </c>
      <c r="G2905" s="74" t="s">
        <v>2871</v>
      </c>
      <c r="H2905" s="181">
        <f>INDEX('Списки данных'!$D$2:$D$1048576,MATCH(База_КР_КК[[#This Row],[Структурное подразделение]],'Списки данных'!$C$2:$C$1048576,0))</f>
        <v>6</v>
      </c>
      <c r="I2905" s="80" t="s">
        <v>136</v>
      </c>
      <c r="J2905" s="80" t="s">
        <v>246</v>
      </c>
      <c r="K2905" s="80" t="s">
        <v>247</v>
      </c>
      <c r="L2905" s="30" t="s">
        <v>191</v>
      </c>
      <c r="M2905" s="68">
        <v>6</v>
      </c>
      <c r="N2905" s="181" t="str">
        <f t="shared" si="46"/>
        <v>нет</v>
      </c>
      <c r="O2905" s="23"/>
      <c r="P2905" s="23"/>
      <c r="Q2905" s="106"/>
      <c r="R2905" s="37">
        <v>694</v>
      </c>
      <c r="S2905" s="39" t="s">
        <v>1103</v>
      </c>
      <c r="T2905" s="37">
        <v>1790</v>
      </c>
      <c r="U2905" s="38" t="s">
        <v>1925</v>
      </c>
      <c r="V2905" s="89" t="s">
        <v>272</v>
      </c>
      <c r="W2905" s="89" t="s">
        <v>136</v>
      </c>
      <c r="X2905" s="106" t="s">
        <v>296</v>
      </c>
      <c r="Y2905" s="107" t="s">
        <v>12</v>
      </c>
      <c r="Z2905" s="67">
        <f>IF(База_КР_КК[[#This Row],[Таб.номер резервиста]]="-","-",IF(OR(База_КР_КК[[#This Row],[Уровень КК]]=2,База_КР_КК[[#This Row],[Уровень КК]]=3),IF(COUNTIFS($U$2:$U2905,$U2905,$F$2:$F2905,$F2905)=1,1,0),IF(COUNTIFS($U$2:$U2905,$U2905,$L$2:$L2905,$L2905)=1,1,0)))</f>
        <v>0</v>
      </c>
      <c r="AA29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5" s="106"/>
      <c r="AC2905" s="51"/>
      <c r="AD2905" s="106" t="s">
        <v>13</v>
      </c>
      <c r="AE2905" s="38" t="s">
        <v>376</v>
      </c>
    </row>
    <row r="2906" spans="1:31" ht="18" customHeight="1" x14ac:dyDescent="0.25">
      <c r="A29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6" s="79">
        <v>4</v>
      </c>
      <c r="C2906" s="23">
        <v>44859</v>
      </c>
      <c r="D2906" s="67">
        <f>IF(COUNTIF($G$2:$G2906,$G2906)=1,1,0)</f>
        <v>0</v>
      </c>
      <c r="E2906" s="67" t="str">
        <f>IFERROR(VLOOKUP(База_КР_КК[[#This Row],[ИД штатной должности (S)]],'уровень защищенности'!$B$7:$F$1095,5,0),"не защищена")</f>
        <v>высокий</v>
      </c>
      <c r="F2906" s="68">
        <v>500319</v>
      </c>
      <c r="G2906" s="74" t="s">
        <v>2871</v>
      </c>
      <c r="H2906" s="181">
        <f>INDEX('Списки данных'!$D$2:$D$1048576,MATCH(База_КР_КК[[#This Row],[Структурное подразделение]],'Списки данных'!$C$2:$C$1048576,0))</f>
        <v>6</v>
      </c>
      <c r="I2906" s="80" t="s">
        <v>136</v>
      </c>
      <c r="J2906" s="80" t="s">
        <v>246</v>
      </c>
      <c r="K2906" s="80" t="s">
        <v>247</v>
      </c>
      <c r="L2906" s="30" t="s">
        <v>191</v>
      </c>
      <c r="M2906" s="68">
        <v>6</v>
      </c>
      <c r="N2906" s="181" t="str">
        <f t="shared" si="46"/>
        <v>нет</v>
      </c>
      <c r="O2906" s="23"/>
      <c r="P2906" s="23"/>
      <c r="Q2906" s="106"/>
      <c r="R2906" s="37">
        <v>694</v>
      </c>
      <c r="S2906" s="39" t="s">
        <v>1103</v>
      </c>
      <c r="T2906" s="37">
        <v>1791</v>
      </c>
      <c r="U2906" s="38" t="s">
        <v>1983</v>
      </c>
      <c r="V2906" s="89" t="s">
        <v>272</v>
      </c>
      <c r="W2906" s="89" t="s">
        <v>136</v>
      </c>
      <c r="X2906" s="106" t="s">
        <v>296</v>
      </c>
      <c r="Y2906" s="107" t="s">
        <v>12</v>
      </c>
      <c r="Z2906" s="67">
        <f>IF(База_КР_КК[[#This Row],[Таб.номер резервиста]]="-","-",IF(OR(База_КР_КК[[#This Row],[Уровень КК]]=2,База_КР_КК[[#This Row],[Уровень КК]]=3),IF(COUNTIFS($U$2:$U2906,$U2906,$F$2:$F2906,$F2906)=1,1,0),IF(COUNTIFS($U$2:$U2906,$U2906,$L$2:$L2906,$L2906)=1,1,0)))</f>
        <v>0</v>
      </c>
      <c r="AA29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6" s="106"/>
      <c r="AC2906" s="51"/>
      <c r="AD2906" s="106" t="s">
        <v>13</v>
      </c>
      <c r="AE2906" s="38" t="s">
        <v>376</v>
      </c>
    </row>
    <row r="2907" spans="1:31" ht="18" customHeight="1" x14ac:dyDescent="0.25">
      <c r="A29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7" s="79">
        <v>4</v>
      </c>
      <c r="C2907" s="23">
        <v>44109</v>
      </c>
      <c r="D2907" s="67">
        <f>IF(COUNTIF($G$2:$G2907,$G2907)=1,1,0)</f>
        <v>0</v>
      </c>
      <c r="E2907" s="67" t="str">
        <f>IFERROR(VLOOKUP(База_КР_КК[[#This Row],[ИД штатной должности (S)]],'уровень защищенности'!$B$7:$F$1095,5,0),"не защищена")</f>
        <v>высокий</v>
      </c>
      <c r="F2907" s="68">
        <v>500319</v>
      </c>
      <c r="G2907" s="74" t="s">
        <v>2871</v>
      </c>
      <c r="H2907" s="181">
        <f>INDEX('Списки данных'!$D$2:$D$1048576,MATCH(База_КР_КК[[#This Row],[Структурное подразделение]],'Списки данных'!$C$2:$C$1048576,0))</f>
        <v>6</v>
      </c>
      <c r="I2907" s="80" t="s">
        <v>136</v>
      </c>
      <c r="J2907" s="80" t="s">
        <v>246</v>
      </c>
      <c r="K2907" s="80" t="s">
        <v>247</v>
      </c>
      <c r="L2907" s="30" t="s">
        <v>191</v>
      </c>
      <c r="M2907" s="68">
        <v>6</v>
      </c>
      <c r="N2907" s="181" t="str">
        <f t="shared" si="46"/>
        <v>нет</v>
      </c>
      <c r="O2907" s="23"/>
      <c r="P2907" s="23"/>
      <c r="Q2907" s="106"/>
      <c r="R2907" s="37">
        <v>694</v>
      </c>
      <c r="S2907" s="38" t="s">
        <v>1103</v>
      </c>
      <c r="T2907" s="37">
        <v>1792</v>
      </c>
      <c r="U2907" s="39" t="s">
        <v>2050</v>
      </c>
      <c r="V2907" s="89" t="s">
        <v>272</v>
      </c>
      <c r="W2907" s="89" t="s">
        <v>133</v>
      </c>
      <c r="X2907" s="106" t="s">
        <v>296</v>
      </c>
      <c r="Y2907" s="107" t="s">
        <v>18</v>
      </c>
      <c r="Z2907" s="67">
        <f>IF(База_КР_КК[[#This Row],[Таб.номер резервиста]]="-","-",IF(OR(База_КР_КК[[#This Row],[Уровень КК]]=2,База_КР_КК[[#This Row],[Уровень КК]]=3),IF(COUNTIFS($U$2:$U2907,$U2907,$F$2:$F2907,$F2907)=1,1,0),IF(COUNTIFS($U$2:$U2907,$U2907,$L$2:$L2907,$L2907)=1,1,0)))</f>
        <v>0</v>
      </c>
      <c r="AA29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7" s="106" t="s">
        <v>19</v>
      </c>
      <c r="AC2907" s="51">
        <v>44827</v>
      </c>
      <c r="AD2907" s="106" t="s">
        <v>15</v>
      </c>
      <c r="AE2907" s="38" t="s">
        <v>377</v>
      </c>
    </row>
    <row r="2908" spans="1:31" ht="18" customHeight="1" x14ac:dyDescent="0.25">
      <c r="A29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8" s="79">
        <v>4</v>
      </c>
      <c r="C2908" s="23">
        <v>44109</v>
      </c>
      <c r="D2908" s="67">
        <f>IF(COUNTIF($G$2:$G2908,$G2908)=1,1,0)</f>
        <v>1</v>
      </c>
      <c r="E2908" s="67" t="str">
        <f>IFERROR(VLOOKUP(База_КР_КК[[#This Row],[ИД штатной должности (S)]],'уровень защищенности'!$B$7:$F$1095,5,0),"не защищена")</f>
        <v>высокий</v>
      </c>
      <c r="F2908" s="68">
        <v>500320</v>
      </c>
      <c r="G2908" s="74" t="s">
        <v>2872</v>
      </c>
      <c r="H2908" s="181">
        <f>INDEX('Списки данных'!$D$2:$D$1048576,MATCH(База_КР_КК[[#This Row],[Структурное подразделение]],'Списки данных'!$C$2:$C$1048576,0))</f>
        <v>6</v>
      </c>
      <c r="I2908" s="80" t="s">
        <v>136</v>
      </c>
      <c r="J2908" s="80" t="s">
        <v>246</v>
      </c>
      <c r="K2908" s="80" t="s">
        <v>247</v>
      </c>
      <c r="L2908" s="30" t="s">
        <v>192</v>
      </c>
      <c r="M2908" s="68">
        <v>6</v>
      </c>
      <c r="N2908" s="181" t="str">
        <f t="shared" si="46"/>
        <v>нет</v>
      </c>
      <c r="O2908" s="23"/>
      <c r="P2908" s="23"/>
      <c r="Q2908" s="106"/>
      <c r="R2908" s="37">
        <v>695</v>
      </c>
      <c r="S2908" s="38" t="s">
        <v>1104</v>
      </c>
      <c r="T2908" s="37">
        <v>699</v>
      </c>
      <c r="U2908" s="39" t="s">
        <v>1108</v>
      </c>
      <c r="V2908" s="89" t="s">
        <v>192</v>
      </c>
      <c r="W2908" s="89" t="s">
        <v>136</v>
      </c>
      <c r="X2908" s="106" t="s">
        <v>295</v>
      </c>
      <c r="Y2908" s="107" t="s">
        <v>12</v>
      </c>
      <c r="Z2908" s="67">
        <f>IF(База_КР_КК[[#This Row],[Таб.номер резервиста]]="-","-",IF(OR(База_КР_КК[[#This Row],[Уровень КК]]=2,База_КР_КК[[#This Row],[Уровень КК]]=3),IF(COUNTIFS($U$2:$U2908,$U2908,$F$2:$F2908,$F2908)=1,1,0),IF(COUNTIFS($U$2:$U2908,$U2908,$L$2:$L2908,$L2908)=1,1,0)))</f>
        <v>1</v>
      </c>
      <c r="AA29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8" s="106"/>
      <c r="AC2908" s="51"/>
      <c r="AD2908" s="106" t="s">
        <v>13</v>
      </c>
      <c r="AE2908" s="38" t="s">
        <v>376</v>
      </c>
    </row>
    <row r="2909" spans="1:31" ht="18" customHeight="1" x14ac:dyDescent="0.25">
      <c r="A29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09" s="79">
        <v>4</v>
      </c>
      <c r="C2909" s="23">
        <v>44109</v>
      </c>
      <c r="D2909" s="67">
        <f>IF(COUNTIF($G$2:$G2909,$G2909)=1,1,0)</f>
        <v>0</v>
      </c>
      <c r="E2909" s="67" t="str">
        <f>IFERROR(VLOOKUP(База_КР_КК[[#This Row],[ИД штатной должности (S)]],'уровень защищенности'!$B$7:$F$1095,5,0),"не защищена")</f>
        <v>высокий</v>
      </c>
      <c r="F2909" s="68">
        <v>500320</v>
      </c>
      <c r="G2909" s="74" t="s">
        <v>2872</v>
      </c>
      <c r="H2909" s="181">
        <f>INDEX('Списки данных'!$D$2:$D$1048576,MATCH(База_КР_КК[[#This Row],[Структурное подразделение]],'Списки данных'!$C$2:$C$1048576,0))</f>
        <v>6</v>
      </c>
      <c r="I2909" s="80" t="s">
        <v>136</v>
      </c>
      <c r="J2909" s="80" t="s">
        <v>246</v>
      </c>
      <c r="K2909" s="80" t="s">
        <v>247</v>
      </c>
      <c r="L2909" s="30" t="s">
        <v>192</v>
      </c>
      <c r="M2909" s="68">
        <v>6</v>
      </c>
      <c r="N2909" s="181" t="str">
        <f t="shared" si="46"/>
        <v>нет</v>
      </c>
      <c r="O2909" s="23"/>
      <c r="P2909" s="23"/>
      <c r="Q2909" s="106"/>
      <c r="R2909" s="37">
        <v>695</v>
      </c>
      <c r="S2909" s="38" t="s">
        <v>1104</v>
      </c>
      <c r="T2909" s="37">
        <v>1793</v>
      </c>
      <c r="U2909" s="39" t="s">
        <v>2051</v>
      </c>
      <c r="V2909" s="89" t="s">
        <v>272</v>
      </c>
      <c r="W2909" s="89" t="s">
        <v>136</v>
      </c>
      <c r="X2909" s="106" t="s">
        <v>297</v>
      </c>
      <c r="Y2909" s="107" t="s">
        <v>12</v>
      </c>
      <c r="Z2909" s="67">
        <f>IF(База_КР_КК[[#This Row],[Таб.номер резервиста]]="-","-",IF(OR(База_КР_КК[[#This Row],[Уровень КК]]=2,База_КР_КК[[#This Row],[Уровень КК]]=3),IF(COUNTIFS($U$2:$U2909,$U2909,$F$2:$F2909,$F2909)=1,1,0),IF(COUNTIFS($U$2:$U2909,$U2909,$L$2:$L2909,$L2909)=1,1,0)))</f>
        <v>1</v>
      </c>
      <c r="AA29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09" s="106"/>
      <c r="AC2909" s="51"/>
      <c r="AD2909" s="106" t="s">
        <v>13</v>
      </c>
      <c r="AE2909" s="38" t="s">
        <v>376</v>
      </c>
    </row>
    <row r="2910" spans="1:31" ht="18" customHeight="1" x14ac:dyDescent="0.25">
      <c r="A29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0" s="79">
        <v>4</v>
      </c>
      <c r="C2910" s="23">
        <v>44109</v>
      </c>
      <c r="D2910" s="67">
        <f>IF(COUNTIF($G$2:$G2910,$G2910)=1,1,0)</f>
        <v>1</v>
      </c>
      <c r="E2910" s="67" t="str">
        <f>IFERROR(VLOOKUP(База_КР_КК[[#This Row],[ИД штатной должности (S)]],'уровень защищенности'!$B$7:$F$1095,5,0),"не защищена")</f>
        <v>высокий</v>
      </c>
      <c r="F2910" s="68">
        <v>500321</v>
      </c>
      <c r="G2910" s="74" t="s">
        <v>2873</v>
      </c>
      <c r="H2910" s="181">
        <f>INDEX('Списки данных'!$D$2:$D$1048576,MATCH(База_КР_КК[[#This Row],[Структурное подразделение]],'Списки данных'!$C$2:$C$1048576,0))</f>
        <v>6</v>
      </c>
      <c r="I2910" s="80" t="s">
        <v>136</v>
      </c>
      <c r="J2910" s="80" t="s">
        <v>246</v>
      </c>
      <c r="K2910" s="80" t="s">
        <v>247</v>
      </c>
      <c r="L2910" s="30" t="s">
        <v>191</v>
      </c>
      <c r="M2910" s="68">
        <v>6</v>
      </c>
      <c r="N2910" s="181" t="str">
        <f t="shared" si="46"/>
        <v>нет</v>
      </c>
      <c r="O2910" s="23"/>
      <c r="P2910" s="23"/>
      <c r="Q2910" s="106"/>
      <c r="R2910" s="37">
        <v>696</v>
      </c>
      <c r="S2910" s="38" t="s">
        <v>1105</v>
      </c>
      <c r="T2910" s="37">
        <v>1794</v>
      </c>
      <c r="U2910" s="39" t="s">
        <v>1868</v>
      </c>
      <c r="V2910" s="89" t="s">
        <v>272</v>
      </c>
      <c r="W2910" s="89" t="s">
        <v>136</v>
      </c>
      <c r="X2910" s="106" t="s">
        <v>295</v>
      </c>
      <c r="Y2910" s="107" t="s">
        <v>12</v>
      </c>
      <c r="Z2910" s="67">
        <f>IF(База_КР_КК[[#This Row],[Таб.номер резервиста]]="-","-",IF(OR(База_КР_КК[[#This Row],[Уровень КК]]=2,База_КР_КК[[#This Row],[Уровень КК]]=3),IF(COUNTIFS($U$2:$U2910,$U2910,$F$2:$F2910,$F2910)=1,1,0),IF(COUNTIFS($U$2:$U2910,$U2910,$L$2:$L2910,$L2910)=1,1,0)))</f>
        <v>1</v>
      </c>
      <c r="AA29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0" s="106"/>
      <c r="AC2910" s="51"/>
      <c r="AD2910" s="106" t="s">
        <v>13</v>
      </c>
      <c r="AE2910" s="38" t="s">
        <v>376</v>
      </c>
    </row>
    <row r="2911" spans="1:31" ht="18" customHeight="1" x14ac:dyDescent="0.25">
      <c r="A29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1" s="79">
        <v>4</v>
      </c>
      <c r="C2911" s="23">
        <v>44109</v>
      </c>
      <c r="D2911" s="67">
        <f>IF(COUNTIF($G$2:$G2911,$G2911)=1,1,0)</f>
        <v>0</v>
      </c>
      <c r="E2911" s="67" t="str">
        <f>IFERROR(VLOOKUP(База_КР_КК[[#This Row],[ИД штатной должности (S)]],'уровень защищенности'!$B$7:$F$1095,5,0),"не защищена")</f>
        <v>высокий</v>
      </c>
      <c r="F2911" s="68">
        <v>500321</v>
      </c>
      <c r="G2911" s="74" t="s">
        <v>2873</v>
      </c>
      <c r="H2911" s="181">
        <f>INDEX('Списки данных'!$D$2:$D$1048576,MATCH(База_КР_КК[[#This Row],[Структурное подразделение]],'Списки данных'!$C$2:$C$1048576,0))</f>
        <v>6</v>
      </c>
      <c r="I2911" s="80" t="s">
        <v>136</v>
      </c>
      <c r="J2911" s="80" t="s">
        <v>246</v>
      </c>
      <c r="K2911" s="80" t="s">
        <v>247</v>
      </c>
      <c r="L2911" s="30" t="s">
        <v>191</v>
      </c>
      <c r="M2911" s="68">
        <v>6</v>
      </c>
      <c r="N2911" s="181" t="str">
        <f t="shared" si="46"/>
        <v>нет</v>
      </c>
      <c r="O2911" s="23"/>
      <c r="P2911" s="23"/>
      <c r="Q2911" s="106"/>
      <c r="R2911" s="37">
        <v>696</v>
      </c>
      <c r="S2911" s="38" t="s">
        <v>1105</v>
      </c>
      <c r="T2911" s="37">
        <v>1795</v>
      </c>
      <c r="U2911" s="39" t="s">
        <v>2052</v>
      </c>
      <c r="V2911" s="89" t="s">
        <v>272</v>
      </c>
      <c r="W2911" s="89" t="s">
        <v>136</v>
      </c>
      <c r="X2911" s="106" t="s">
        <v>296</v>
      </c>
      <c r="Y2911" s="107" t="s">
        <v>12</v>
      </c>
      <c r="Z2911" s="67">
        <f>IF(База_КР_КК[[#This Row],[Таб.номер резервиста]]="-","-",IF(OR(База_КР_КК[[#This Row],[Уровень КК]]=2,База_КР_КК[[#This Row],[Уровень КК]]=3),IF(COUNTIFS($U$2:$U2911,$U2911,$F$2:$F2911,$F2911)=1,1,0),IF(COUNTIFS($U$2:$U2911,$U2911,$L$2:$L2911,$L2911)=1,1,0)))</f>
        <v>1</v>
      </c>
      <c r="AA29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1" s="106"/>
      <c r="AC2911" s="51"/>
      <c r="AD2911" s="106" t="s">
        <v>15</v>
      </c>
      <c r="AE2911" s="38" t="s">
        <v>377</v>
      </c>
    </row>
    <row r="2912" spans="1:31" ht="18" customHeight="1" x14ac:dyDescent="0.25">
      <c r="A29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2" s="79">
        <v>4</v>
      </c>
      <c r="C2912" s="23">
        <v>44109</v>
      </c>
      <c r="D2912" s="67">
        <f>IF(COUNTIF($G$2:$G2912,$G2912)=1,1,0)</f>
        <v>0</v>
      </c>
      <c r="E2912" s="67" t="str">
        <f>IFERROR(VLOOKUP(База_КР_КК[[#This Row],[ИД штатной должности (S)]],'уровень защищенности'!$B$7:$F$1095,5,0),"не защищена")</f>
        <v>высокий</v>
      </c>
      <c r="F2912" s="68">
        <v>500321</v>
      </c>
      <c r="G2912" s="74" t="s">
        <v>2873</v>
      </c>
      <c r="H2912" s="181">
        <f>INDEX('Списки данных'!$D$2:$D$1048576,MATCH(База_КР_КК[[#This Row],[Структурное подразделение]],'Списки данных'!$C$2:$C$1048576,0))</f>
        <v>6</v>
      </c>
      <c r="I2912" s="80" t="s">
        <v>136</v>
      </c>
      <c r="J2912" s="80" t="s">
        <v>246</v>
      </c>
      <c r="K2912" s="80" t="s">
        <v>247</v>
      </c>
      <c r="L2912" s="30" t="s">
        <v>191</v>
      </c>
      <c r="M2912" s="68">
        <v>6</v>
      </c>
      <c r="N2912" s="181" t="str">
        <f t="shared" si="46"/>
        <v>нет</v>
      </c>
      <c r="O2912" s="23"/>
      <c r="P2912" s="23"/>
      <c r="Q2912" s="106"/>
      <c r="R2912" s="37">
        <v>696</v>
      </c>
      <c r="S2912" s="38" t="s">
        <v>1105</v>
      </c>
      <c r="T2912" s="37">
        <v>1796</v>
      </c>
      <c r="U2912" s="39" t="s">
        <v>1833</v>
      </c>
      <c r="V2912" s="89" t="s">
        <v>272</v>
      </c>
      <c r="W2912" s="89" t="s">
        <v>136</v>
      </c>
      <c r="X2912" s="106" t="s">
        <v>295</v>
      </c>
      <c r="Y2912" s="107" t="s">
        <v>12</v>
      </c>
      <c r="Z2912" s="67">
        <f>IF(База_КР_КК[[#This Row],[Таб.номер резервиста]]="-","-",IF(OR(База_КР_КК[[#This Row],[Уровень КК]]=2,База_КР_КК[[#This Row],[Уровень КК]]=3),IF(COUNTIFS($U$2:$U2912,$U2912,$F$2:$F2912,$F2912)=1,1,0),IF(COUNTIFS($U$2:$U2912,$U2912,$L$2:$L2912,$L2912)=1,1,0)))</f>
        <v>1</v>
      </c>
      <c r="AA29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2" s="106"/>
      <c r="AC2912" s="51"/>
      <c r="AD2912" s="106" t="s">
        <v>13</v>
      </c>
      <c r="AE2912" s="38" t="s">
        <v>376</v>
      </c>
    </row>
    <row r="2913" spans="1:31" ht="18" customHeight="1" x14ac:dyDescent="0.25">
      <c r="A29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3" s="79">
        <v>4</v>
      </c>
      <c r="C2913" s="23">
        <v>44859</v>
      </c>
      <c r="D2913" s="67">
        <f>IF(COUNTIF($G$2:$G2913,$G2913)=1,1,0)</f>
        <v>0</v>
      </c>
      <c r="E2913" s="67" t="str">
        <f>IFERROR(VLOOKUP(База_КР_КК[[#This Row],[ИД штатной должности (S)]],'уровень защищенности'!$B$7:$F$1095,5,0),"не защищена")</f>
        <v>высокий</v>
      </c>
      <c r="F2913" s="68">
        <v>500321</v>
      </c>
      <c r="G2913" s="74" t="s">
        <v>2873</v>
      </c>
      <c r="H2913" s="181">
        <f>INDEX('Списки данных'!$D$2:$D$1048576,MATCH(База_КР_КК[[#This Row],[Структурное подразделение]],'Списки данных'!$C$2:$C$1048576,0))</f>
        <v>6</v>
      </c>
      <c r="I2913" s="80" t="s">
        <v>136</v>
      </c>
      <c r="J2913" s="80" t="s">
        <v>246</v>
      </c>
      <c r="K2913" s="80" t="s">
        <v>247</v>
      </c>
      <c r="L2913" s="30" t="s">
        <v>191</v>
      </c>
      <c r="M2913" s="68">
        <v>6</v>
      </c>
      <c r="N2913" s="181" t="str">
        <f t="shared" si="46"/>
        <v>нет</v>
      </c>
      <c r="O2913" s="23"/>
      <c r="P2913" s="23"/>
      <c r="Q2913" s="106"/>
      <c r="R2913" s="37">
        <v>696</v>
      </c>
      <c r="S2913" s="39" t="s">
        <v>1105</v>
      </c>
      <c r="T2913" s="37">
        <v>1797</v>
      </c>
      <c r="U2913" s="38" t="s">
        <v>2053</v>
      </c>
      <c r="V2913" s="89" t="s">
        <v>272</v>
      </c>
      <c r="W2913" s="89" t="s">
        <v>136</v>
      </c>
      <c r="X2913" s="106" t="s">
        <v>296</v>
      </c>
      <c r="Y2913" s="107" t="s">
        <v>12</v>
      </c>
      <c r="Z2913" s="67">
        <f>IF(База_КР_КК[[#This Row],[Таб.номер резервиста]]="-","-",IF(OR(База_КР_КК[[#This Row],[Уровень КК]]=2,База_КР_КК[[#This Row],[Уровень КК]]=3),IF(COUNTIFS($U$2:$U2913,$U2913,$F$2:$F2913,$F2913)=1,1,0),IF(COUNTIFS($U$2:$U2913,$U2913,$L$2:$L2913,$L2913)=1,1,0)))</f>
        <v>1</v>
      </c>
      <c r="AA29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3" s="106"/>
      <c r="AC2913" s="51"/>
      <c r="AD2913" s="106" t="s">
        <v>15</v>
      </c>
      <c r="AE2913" s="38" t="s">
        <v>376</v>
      </c>
    </row>
    <row r="2914" spans="1:31" ht="18" customHeight="1" x14ac:dyDescent="0.25">
      <c r="A29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4" s="79">
        <v>4</v>
      </c>
      <c r="C2914" s="23">
        <v>44859</v>
      </c>
      <c r="D2914" s="67">
        <f>IF(COUNTIF($G$2:$G2914,$G2914)=1,1,0)</f>
        <v>0</v>
      </c>
      <c r="E2914" s="67" t="str">
        <f>IFERROR(VLOOKUP(База_КР_КК[[#This Row],[ИД штатной должности (S)]],'уровень защищенности'!$B$7:$F$1095,5,0),"не защищена")</f>
        <v>высокий</v>
      </c>
      <c r="F2914" s="68">
        <v>500321</v>
      </c>
      <c r="G2914" s="74" t="s">
        <v>2873</v>
      </c>
      <c r="H2914" s="181">
        <f>INDEX('Списки данных'!$D$2:$D$1048576,MATCH(База_КР_КК[[#This Row],[Структурное подразделение]],'Списки данных'!$C$2:$C$1048576,0))</f>
        <v>6</v>
      </c>
      <c r="I2914" s="80" t="s">
        <v>136</v>
      </c>
      <c r="J2914" s="80" t="s">
        <v>246</v>
      </c>
      <c r="K2914" s="80" t="s">
        <v>247</v>
      </c>
      <c r="L2914" s="30" t="s">
        <v>191</v>
      </c>
      <c r="M2914" s="68">
        <v>6</v>
      </c>
      <c r="N2914" s="181" t="str">
        <f t="shared" si="46"/>
        <v>нет</v>
      </c>
      <c r="O2914" s="23"/>
      <c r="P2914" s="23"/>
      <c r="Q2914" s="106"/>
      <c r="R2914" s="37">
        <v>696</v>
      </c>
      <c r="S2914" s="39" t="s">
        <v>1105</v>
      </c>
      <c r="T2914" s="37">
        <v>1798</v>
      </c>
      <c r="U2914" s="38" t="s">
        <v>2054</v>
      </c>
      <c r="V2914" s="89" t="s">
        <v>272</v>
      </c>
      <c r="W2914" s="89" t="s">
        <v>136</v>
      </c>
      <c r="X2914" s="106" t="s">
        <v>296</v>
      </c>
      <c r="Y2914" s="107" t="s">
        <v>12</v>
      </c>
      <c r="Z2914" s="67">
        <f>IF(База_КР_КК[[#This Row],[Таб.номер резервиста]]="-","-",IF(OR(База_КР_КК[[#This Row],[Уровень КК]]=2,База_КР_КК[[#This Row],[Уровень КК]]=3),IF(COUNTIFS($U$2:$U2914,$U2914,$F$2:$F2914,$F2914)=1,1,0),IF(COUNTIFS($U$2:$U2914,$U2914,$L$2:$L2914,$L2914)=1,1,0)))</f>
        <v>1</v>
      </c>
      <c r="AA29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4" s="106"/>
      <c r="AC2914" s="51"/>
      <c r="AD2914" s="106" t="s">
        <v>15</v>
      </c>
      <c r="AE2914" s="38" t="s">
        <v>376</v>
      </c>
    </row>
    <row r="2915" spans="1:31" ht="18" customHeight="1" x14ac:dyDescent="0.25">
      <c r="A29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5" s="79">
        <v>4</v>
      </c>
      <c r="C2915" s="23">
        <v>44109</v>
      </c>
      <c r="D2915" s="67">
        <f>IF(COUNTIF($G$2:$G2915,$G2915)=1,1,0)</f>
        <v>1</v>
      </c>
      <c r="E2915" s="67" t="str">
        <f>IFERROR(VLOOKUP(База_КР_КК[[#This Row],[ИД штатной должности (S)]],'уровень защищенности'!$B$7:$F$1095,5,0),"не защищена")</f>
        <v>высокий</v>
      </c>
      <c r="F2915" s="68">
        <v>500321</v>
      </c>
      <c r="G2915" s="74" t="s">
        <v>2874</v>
      </c>
      <c r="H2915" s="181">
        <f>INDEX('Списки данных'!$D$2:$D$1048576,MATCH(База_КР_КК[[#This Row],[Структурное подразделение]],'Списки данных'!$C$2:$C$1048576,0))</f>
        <v>6</v>
      </c>
      <c r="I2915" s="80" t="s">
        <v>136</v>
      </c>
      <c r="J2915" s="80" t="s">
        <v>246</v>
      </c>
      <c r="K2915" s="80" t="s">
        <v>247</v>
      </c>
      <c r="L2915" s="30" t="s">
        <v>191</v>
      </c>
      <c r="M2915" s="68">
        <v>6</v>
      </c>
      <c r="N2915" s="181" t="str">
        <f t="shared" si="46"/>
        <v>нет</v>
      </c>
      <c r="O2915" s="23"/>
      <c r="P2915" s="23"/>
      <c r="Q2915" s="106"/>
      <c r="R2915" s="37">
        <v>697</v>
      </c>
      <c r="S2915" s="38" t="s">
        <v>1106</v>
      </c>
      <c r="T2915" s="37">
        <v>1794</v>
      </c>
      <c r="U2915" s="39" t="s">
        <v>1868</v>
      </c>
      <c r="V2915" s="89" t="s">
        <v>272</v>
      </c>
      <c r="W2915" s="89" t="s">
        <v>136</v>
      </c>
      <c r="X2915" s="106" t="s">
        <v>295</v>
      </c>
      <c r="Y2915" s="107" t="s">
        <v>12</v>
      </c>
      <c r="Z2915" s="67">
        <f>IF(База_КР_КК[[#This Row],[Таб.номер резервиста]]="-","-",IF(OR(База_КР_КК[[#This Row],[Уровень КК]]=2,База_КР_КК[[#This Row],[Уровень КК]]=3),IF(COUNTIFS($U$2:$U2915,$U2915,$F$2:$F2915,$F2915)=1,1,0),IF(COUNTIFS($U$2:$U2915,$U2915,$L$2:$L2915,$L2915)=1,1,0)))</f>
        <v>0</v>
      </c>
      <c r="AA29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5" s="106"/>
      <c r="AC2915" s="51"/>
      <c r="AD2915" s="106" t="s">
        <v>13</v>
      </c>
      <c r="AE2915" s="38" t="s">
        <v>376</v>
      </c>
    </row>
    <row r="2916" spans="1:31" ht="18" customHeight="1" x14ac:dyDescent="0.25">
      <c r="A29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6" s="79">
        <v>4</v>
      </c>
      <c r="C2916" s="23">
        <v>44109</v>
      </c>
      <c r="D2916" s="67">
        <f>IF(COUNTIF($G$2:$G2916,$G2916)=1,1,0)</f>
        <v>0</v>
      </c>
      <c r="E2916" s="67" t="str">
        <f>IFERROR(VLOOKUP(База_КР_КК[[#This Row],[ИД штатной должности (S)]],'уровень защищенности'!$B$7:$F$1095,5,0),"не защищена")</f>
        <v>высокий</v>
      </c>
      <c r="F2916" s="68">
        <v>500321</v>
      </c>
      <c r="G2916" s="74" t="s">
        <v>2874</v>
      </c>
      <c r="H2916" s="181">
        <f>INDEX('Списки данных'!$D$2:$D$1048576,MATCH(База_КР_КК[[#This Row],[Структурное подразделение]],'Списки данных'!$C$2:$C$1048576,0))</f>
        <v>6</v>
      </c>
      <c r="I2916" s="80" t="s">
        <v>136</v>
      </c>
      <c r="J2916" s="80" t="s">
        <v>246</v>
      </c>
      <c r="K2916" s="80" t="s">
        <v>247</v>
      </c>
      <c r="L2916" s="30" t="s">
        <v>191</v>
      </c>
      <c r="M2916" s="68">
        <v>6</v>
      </c>
      <c r="N2916" s="181" t="str">
        <f t="shared" si="46"/>
        <v>нет</v>
      </c>
      <c r="O2916" s="23"/>
      <c r="P2916" s="23"/>
      <c r="Q2916" s="106"/>
      <c r="R2916" s="37">
        <v>697</v>
      </c>
      <c r="S2916" s="38" t="s">
        <v>1106</v>
      </c>
      <c r="T2916" s="37">
        <v>1795</v>
      </c>
      <c r="U2916" s="39" t="s">
        <v>2052</v>
      </c>
      <c r="V2916" s="89" t="s">
        <v>272</v>
      </c>
      <c r="W2916" s="89" t="s">
        <v>136</v>
      </c>
      <c r="X2916" s="106" t="s">
        <v>296</v>
      </c>
      <c r="Y2916" s="107" t="s">
        <v>12</v>
      </c>
      <c r="Z2916" s="67">
        <f>IF(База_КР_КК[[#This Row],[Таб.номер резервиста]]="-","-",IF(OR(База_КР_КК[[#This Row],[Уровень КК]]=2,База_КР_КК[[#This Row],[Уровень КК]]=3),IF(COUNTIFS($U$2:$U2916,$U2916,$F$2:$F2916,$F2916)=1,1,0),IF(COUNTIFS($U$2:$U2916,$U2916,$L$2:$L2916,$L2916)=1,1,0)))</f>
        <v>0</v>
      </c>
      <c r="AA29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6" s="106"/>
      <c r="AC2916" s="51"/>
      <c r="AD2916" s="106" t="s">
        <v>15</v>
      </c>
      <c r="AE2916" s="38" t="s">
        <v>377</v>
      </c>
    </row>
    <row r="2917" spans="1:31" ht="18" customHeight="1" x14ac:dyDescent="0.25">
      <c r="A29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7" s="79">
        <v>4</v>
      </c>
      <c r="C2917" s="23">
        <v>44109</v>
      </c>
      <c r="D2917" s="67">
        <f>IF(COUNTIF($G$2:$G2917,$G2917)=1,1,0)</f>
        <v>0</v>
      </c>
      <c r="E2917" s="67" t="str">
        <f>IFERROR(VLOOKUP(База_КР_КК[[#This Row],[ИД штатной должности (S)]],'уровень защищенности'!$B$7:$F$1095,5,0),"не защищена")</f>
        <v>высокий</v>
      </c>
      <c r="F2917" s="68">
        <v>500321</v>
      </c>
      <c r="G2917" s="74" t="s">
        <v>2874</v>
      </c>
      <c r="H2917" s="181">
        <f>INDEX('Списки данных'!$D$2:$D$1048576,MATCH(База_КР_КК[[#This Row],[Структурное подразделение]],'Списки данных'!$C$2:$C$1048576,0))</f>
        <v>6</v>
      </c>
      <c r="I2917" s="80" t="s">
        <v>136</v>
      </c>
      <c r="J2917" s="80" t="s">
        <v>246</v>
      </c>
      <c r="K2917" s="80" t="s">
        <v>247</v>
      </c>
      <c r="L2917" s="30" t="s">
        <v>191</v>
      </c>
      <c r="M2917" s="68">
        <v>6</v>
      </c>
      <c r="N2917" s="181" t="str">
        <f t="shared" si="46"/>
        <v>нет</v>
      </c>
      <c r="O2917" s="23"/>
      <c r="P2917" s="23"/>
      <c r="Q2917" s="106"/>
      <c r="R2917" s="37">
        <v>697</v>
      </c>
      <c r="S2917" s="38" t="s">
        <v>1106</v>
      </c>
      <c r="T2917" s="37">
        <v>1796</v>
      </c>
      <c r="U2917" s="39" t="s">
        <v>1833</v>
      </c>
      <c r="V2917" s="89" t="s">
        <v>272</v>
      </c>
      <c r="W2917" s="89" t="s">
        <v>136</v>
      </c>
      <c r="X2917" s="106" t="s">
        <v>295</v>
      </c>
      <c r="Y2917" s="107" t="s">
        <v>12</v>
      </c>
      <c r="Z2917" s="67">
        <f>IF(База_КР_КК[[#This Row],[Таб.номер резервиста]]="-","-",IF(OR(База_КР_КК[[#This Row],[Уровень КК]]=2,База_КР_КК[[#This Row],[Уровень КК]]=3),IF(COUNTIFS($U$2:$U2917,$U2917,$F$2:$F2917,$F2917)=1,1,0),IF(COUNTIFS($U$2:$U2917,$U2917,$L$2:$L2917,$L2917)=1,1,0)))</f>
        <v>0</v>
      </c>
      <c r="AA29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7" s="106"/>
      <c r="AC2917" s="51"/>
      <c r="AD2917" s="106" t="s">
        <v>13</v>
      </c>
      <c r="AE2917" s="38" t="s">
        <v>376</v>
      </c>
    </row>
    <row r="2918" spans="1:31" ht="18" customHeight="1" x14ac:dyDescent="0.25">
      <c r="A29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8" s="79">
        <v>4</v>
      </c>
      <c r="C2918" s="23">
        <v>44859</v>
      </c>
      <c r="D2918" s="67">
        <f>IF(COUNTIF($G$2:$G2918,$G2918)=1,1,0)</f>
        <v>0</v>
      </c>
      <c r="E2918" s="67" t="str">
        <f>IFERROR(VLOOKUP(База_КР_КК[[#This Row],[ИД штатной должности (S)]],'уровень защищенности'!$B$7:$F$1095,5,0),"не защищена")</f>
        <v>высокий</v>
      </c>
      <c r="F2918" s="68">
        <v>500321</v>
      </c>
      <c r="G2918" s="74" t="s">
        <v>2874</v>
      </c>
      <c r="H2918" s="181">
        <f>INDEX('Списки данных'!$D$2:$D$1048576,MATCH(База_КР_КК[[#This Row],[Структурное подразделение]],'Списки данных'!$C$2:$C$1048576,0))</f>
        <v>6</v>
      </c>
      <c r="I2918" s="80" t="s">
        <v>136</v>
      </c>
      <c r="J2918" s="80" t="s">
        <v>246</v>
      </c>
      <c r="K2918" s="80" t="s">
        <v>247</v>
      </c>
      <c r="L2918" s="30" t="s">
        <v>191</v>
      </c>
      <c r="M2918" s="68">
        <v>6</v>
      </c>
      <c r="N2918" s="181" t="str">
        <f t="shared" si="46"/>
        <v>нет</v>
      </c>
      <c r="O2918" s="23"/>
      <c r="P2918" s="23"/>
      <c r="Q2918" s="106"/>
      <c r="R2918" s="37">
        <v>697</v>
      </c>
      <c r="S2918" s="39" t="s">
        <v>1106</v>
      </c>
      <c r="T2918" s="37">
        <v>1797</v>
      </c>
      <c r="U2918" s="38" t="s">
        <v>2053</v>
      </c>
      <c r="V2918" s="89" t="s">
        <v>272</v>
      </c>
      <c r="W2918" s="89" t="s">
        <v>136</v>
      </c>
      <c r="X2918" s="106" t="s">
        <v>296</v>
      </c>
      <c r="Y2918" s="107" t="s">
        <v>12</v>
      </c>
      <c r="Z2918" s="67">
        <f>IF(База_КР_КК[[#This Row],[Таб.номер резервиста]]="-","-",IF(OR(База_КР_КК[[#This Row],[Уровень КК]]=2,База_КР_КК[[#This Row],[Уровень КК]]=3),IF(COUNTIFS($U$2:$U2918,$U2918,$F$2:$F2918,$F2918)=1,1,0),IF(COUNTIFS($U$2:$U2918,$U2918,$L$2:$L2918,$L2918)=1,1,0)))</f>
        <v>0</v>
      </c>
      <c r="AA29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8" s="106"/>
      <c r="AC2918" s="51"/>
      <c r="AD2918" s="106" t="s">
        <v>15</v>
      </c>
      <c r="AE2918" s="38" t="s">
        <v>376</v>
      </c>
    </row>
    <row r="2919" spans="1:31" ht="18" customHeight="1" x14ac:dyDescent="0.25">
      <c r="A29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19" s="79">
        <v>4</v>
      </c>
      <c r="C2919" s="23">
        <v>44859</v>
      </c>
      <c r="D2919" s="67">
        <f>IF(COUNTIF($G$2:$G2919,$G2919)=1,1,0)</f>
        <v>0</v>
      </c>
      <c r="E2919" s="67" t="str">
        <f>IFERROR(VLOOKUP(База_КР_КК[[#This Row],[ИД штатной должности (S)]],'уровень защищенности'!$B$7:$F$1095,5,0),"не защищена")</f>
        <v>высокий</v>
      </c>
      <c r="F2919" s="68">
        <v>500321</v>
      </c>
      <c r="G2919" s="74" t="s">
        <v>2874</v>
      </c>
      <c r="H2919" s="181">
        <f>INDEX('Списки данных'!$D$2:$D$1048576,MATCH(База_КР_КК[[#This Row],[Структурное подразделение]],'Списки данных'!$C$2:$C$1048576,0))</f>
        <v>6</v>
      </c>
      <c r="I2919" s="80" t="s">
        <v>136</v>
      </c>
      <c r="J2919" s="80" t="s">
        <v>246</v>
      </c>
      <c r="K2919" s="80" t="s">
        <v>247</v>
      </c>
      <c r="L2919" s="30" t="s">
        <v>191</v>
      </c>
      <c r="M2919" s="68">
        <v>6</v>
      </c>
      <c r="N2919" s="181" t="str">
        <f t="shared" si="46"/>
        <v>нет</v>
      </c>
      <c r="O2919" s="23"/>
      <c r="P2919" s="23"/>
      <c r="Q2919" s="106"/>
      <c r="R2919" s="37">
        <v>697</v>
      </c>
      <c r="S2919" s="39" t="s">
        <v>1106</v>
      </c>
      <c r="T2919" s="37">
        <v>1798</v>
      </c>
      <c r="U2919" s="38" t="s">
        <v>2054</v>
      </c>
      <c r="V2919" s="89" t="s">
        <v>272</v>
      </c>
      <c r="W2919" s="89" t="s">
        <v>136</v>
      </c>
      <c r="X2919" s="106" t="s">
        <v>296</v>
      </c>
      <c r="Y2919" s="107" t="s">
        <v>12</v>
      </c>
      <c r="Z2919" s="67">
        <f>IF(База_КР_КК[[#This Row],[Таб.номер резервиста]]="-","-",IF(OR(База_КР_КК[[#This Row],[Уровень КК]]=2,База_КР_КК[[#This Row],[Уровень КК]]=3),IF(COUNTIFS($U$2:$U2919,$U2919,$F$2:$F2919,$F2919)=1,1,0),IF(COUNTIFS($U$2:$U2919,$U2919,$L$2:$L2919,$L2919)=1,1,0)))</f>
        <v>0</v>
      </c>
      <c r="AA29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19" s="106"/>
      <c r="AC2919" s="51"/>
      <c r="AD2919" s="106" t="s">
        <v>15</v>
      </c>
      <c r="AE2919" s="38" t="s">
        <v>376</v>
      </c>
    </row>
    <row r="2920" spans="1:31" ht="18" customHeight="1" x14ac:dyDescent="0.25">
      <c r="A29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0" s="79">
        <v>4</v>
      </c>
      <c r="C2920" s="23">
        <v>44109</v>
      </c>
      <c r="D2920" s="67">
        <f>IF(COUNTIF($G$2:$G2920,$G2920)=1,1,0)</f>
        <v>1</v>
      </c>
      <c r="E2920" s="67" t="str">
        <f>IFERROR(VLOOKUP(База_КР_КК[[#This Row],[ИД штатной должности (S)]],'уровень защищенности'!$B$7:$F$1095,5,0),"не защищена")</f>
        <v>высокий</v>
      </c>
      <c r="F2920" s="68">
        <v>500321</v>
      </c>
      <c r="G2920" s="74" t="s">
        <v>2875</v>
      </c>
      <c r="H2920" s="181">
        <f>INDEX('Списки данных'!$D$2:$D$1048576,MATCH(База_КР_КК[[#This Row],[Структурное подразделение]],'Списки данных'!$C$2:$C$1048576,0))</f>
        <v>6</v>
      </c>
      <c r="I2920" s="80" t="s">
        <v>136</v>
      </c>
      <c r="J2920" s="80" t="s">
        <v>246</v>
      </c>
      <c r="K2920" s="80" t="s">
        <v>247</v>
      </c>
      <c r="L2920" s="30" t="s">
        <v>191</v>
      </c>
      <c r="M2920" s="68">
        <v>6</v>
      </c>
      <c r="N2920" s="181" t="str">
        <f t="shared" si="46"/>
        <v>нет</v>
      </c>
      <c r="O2920" s="23"/>
      <c r="P2920" s="23"/>
      <c r="Q2920" s="106"/>
      <c r="R2920" s="37">
        <v>698</v>
      </c>
      <c r="S2920" s="38" t="s">
        <v>1107</v>
      </c>
      <c r="T2920" s="37">
        <v>1794</v>
      </c>
      <c r="U2920" s="39" t="s">
        <v>1868</v>
      </c>
      <c r="V2920" s="89" t="s">
        <v>272</v>
      </c>
      <c r="W2920" s="89" t="s">
        <v>136</v>
      </c>
      <c r="X2920" s="106" t="s">
        <v>295</v>
      </c>
      <c r="Y2920" s="107" t="s">
        <v>12</v>
      </c>
      <c r="Z2920" s="67">
        <f>IF(База_КР_КК[[#This Row],[Таб.номер резервиста]]="-","-",IF(OR(База_КР_КК[[#This Row],[Уровень КК]]=2,База_КР_КК[[#This Row],[Уровень КК]]=3),IF(COUNTIFS($U$2:$U2920,$U2920,$F$2:$F2920,$F2920)=1,1,0),IF(COUNTIFS($U$2:$U2920,$U2920,$L$2:$L2920,$L2920)=1,1,0)))</f>
        <v>0</v>
      </c>
      <c r="AA29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0" s="106"/>
      <c r="AC2920" s="51"/>
      <c r="AD2920" s="106" t="s">
        <v>13</v>
      </c>
      <c r="AE2920" s="38" t="s">
        <v>376</v>
      </c>
    </row>
    <row r="2921" spans="1:31" ht="18" customHeight="1" x14ac:dyDescent="0.25">
      <c r="A29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1" s="79">
        <v>4</v>
      </c>
      <c r="C2921" s="23">
        <v>44109</v>
      </c>
      <c r="D2921" s="67">
        <f>IF(COUNTIF($G$2:$G2921,$G2921)=1,1,0)</f>
        <v>0</v>
      </c>
      <c r="E2921" s="67" t="str">
        <f>IFERROR(VLOOKUP(База_КР_КК[[#This Row],[ИД штатной должности (S)]],'уровень защищенности'!$B$7:$F$1095,5,0),"не защищена")</f>
        <v>высокий</v>
      </c>
      <c r="F2921" s="68">
        <v>500321</v>
      </c>
      <c r="G2921" s="74" t="s">
        <v>2875</v>
      </c>
      <c r="H2921" s="181">
        <f>INDEX('Списки данных'!$D$2:$D$1048576,MATCH(База_КР_КК[[#This Row],[Структурное подразделение]],'Списки данных'!$C$2:$C$1048576,0))</f>
        <v>6</v>
      </c>
      <c r="I2921" s="80" t="s">
        <v>136</v>
      </c>
      <c r="J2921" s="80" t="s">
        <v>246</v>
      </c>
      <c r="K2921" s="80" t="s">
        <v>247</v>
      </c>
      <c r="L2921" s="30" t="s">
        <v>191</v>
      </c>
      <c r="M2921" s="68">
        <v>6</v>
      </c>
      <c r="N2921" s="181" t="str">
        <f t="shared" si="46"/>
        <v>нет</v>
      </c>
      <c r="O2921" s="23"/>
      <c r="P2921" s="23"/>
      <c r="Q2921" s="106"/>
      <c r="R2921" s="37">
        <v>698</v>
      </c>
      <c r="S2921" s="38" t="s">
        <v>1107</v>
      </c>
      <c r="T2921" s="37">
        <v>1795</v>
      </c>
      <c r="U2921" s="39" t="s">
        <v>2052</v>
      </c>
      <c r="V2921" s="89" t="s">
        <v>272</v>
      </c>
      <c r="W2921" s="89" t="s">
        <v>136</v>
      </c>
      <c r="X2921" s="106" t="s">
        <v>296</v>
      </c>
      <c r="Y2921" s="107" t="s">
        <v>12</v>
      </c>
      <c r="Z2921" s="67">
        <f>IF(База_КР_КК[[#This Row],[Таб.номер резервиста]]="-","-",IF(OR(База_КР_КК[[#This Row],[Уровень КК]]=2,База_КР_КК[[#This Row],[Уровень КК]]=3),IF(COUNTIFS($U$2:$U2921,$U2921,$F$2:$F2921,$F2921)=1,1,0),IF(COUNTIFS($U$2:$U2921,$U2921,$L$2:$L2921,$L2921)=1,1,0)))</f>
        <v>0</v>
      </c>
      <c r="AA29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1" s="106"/>
      <c r="AC2921" s="51"/>
      <c r="AD2921" s="106" t="s">
        <v>15</v>
      </c>
      <c r="AE2921" s="38" t="s">
        <v>377</v>
      </c>
    </row>
    <row r="2922" spans="1:31" ht="18" customHeight="1" x14ac:dyDescent="0.25">
      <c r="A29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2" s="79">
        <v>4</v>
      </c>
      <c r="C2922" s="23">
        <v>44109</v>
      </c>
      <c r="D2922" s="67">
        <f>IF(COUNTIF($G$2:$G2922,$G2922)=1,1,0)</f>
        <v>0</v>
      </c>
      <c r="E2922" s="67" t="str">
        <f>IFERROR(VLOOKUP(База_КР_КК[[#This Row],[ИД штатной должности (S)]],'уровень защищенности'!$B$7:$F$1095,5,0),"не защищена")</f>
        <v>высокий</v>
      </c>
      <c r="F2922" s="68">
        <v>500321</v>
      </c>
      <c r="G2922" s="74" t="s">
        <v>2875</v>
      </c>
      <c r="H2922" s="181">
        <f>INDEX('Списки данных'!$D$2:$D$1048576,MATCH(База_КР_КК[[#This Row],[Структурное подразделение]],'Списки данных'!$C$2:$C$1048576,0))</f>
        <v>6</v>
      </c>
      <c r="I2922" s="80" t="s">
        <v>136</v>
      </c>
      <c r="J2922" s="80" t="s">
        <v>246</v>
      </c>
      <c r="K2922" s="80" t="s">
        <v>247</v>
      </c>
      <c r="L2922" s="30" t="s">
        <v>191</v>
      </c>
      <c r="M2922" s="68">
        <v>6</v>
      </c>
      <c r="N2922" s="181" t="str">
        <f t="shared" si="46"/>
        <v>нет</v>
      </c>
      <c r="O2922" s="23"/>
      <c r="P2922" s="23"/>
      <c r="Q2922" s="106"/>
      <c r="R2922" s="37">
        <v>698</v>
      </c>
      <c r="S2922" s="38" t="s">
        <v>1107</v>
      </c>
      <c r="T2922" s="37">
        <v>1796</v>
      </c>
      <c r="U2922" s="39" t="s">
        <v>1833</v>
      </c>
      <c r="V2922" s="89" t="s">
        <v>272</v>
      </c>
      <c r="W2922" s="89" t="s">
        <v>136</v>
      </c>
      <c r="X2922" s="106" t="s">
        <v>295</v>
      </c>
      <c r="Y2922" s="107" t="s">
        <v>12</v>
      </c>
      <c r="Z2922" s="67">
        <f>IF(База_КР_КК[[#This Row],[Таб.номер резервиста]]="-","-",IF(OR(База_КР_КК[[#This Row],[Уровень КК]]=2,База_КР_КК[[#This Row],[Уровень КК]]=3),IF(COUNTIFS($U$2:$U2922,$U2922,$F$2:$F2922,$F2922)=1,1,0),IF(COUNTIFS($U$2:$U2922,$U2922,$L$2:$L2922,$L2922)=1,1,0)))</f>
        <v>0</v>
      </c>
      <c r="AA29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2" s="106"/>
      <c r="AC2922" s="51"/>
      <c r="AD2922" s="106" t="s">
        <v>13</v>
      </c>
      <c r="AE2922" s="38" t="s">
        <v>376</v>
      </c>
    </row>
    <row r="2923" spans="1:31" ht="18" customHeight="1" x14ac:dyDescent="0.25">
      <c r="A29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3" s="79">
        <v>4</v>
      </c>
      <c r="C2923" s="23">
        <v>44859</v>
      </c>
      <c r="D2923" s="67">
        <f>IF(COUNTIF($G$2:$G2923,$G2923)=1,1,0)</f>
        <v>0</v>
      </c>
      <c r="E2923" s="67" t="str">
        <f>IFERROR(VLOOKUP(База_КР_КК[[#This Row],[ИД штатной должности (S)]],'уровень защищенности'!$B$7:$F$1095,5,0),"не защищена")</f>
        <v>высокий</v>
      </c>
      <c r="F2923" s="68">
        <v>500321</v>
      </c>
      <c r="G2923" s="74" t="s">
        <v>2875</v>
      </c>
      <c r="H2923" s="181">
        <f>INDEX('Списки данных'!$D$2:$D$1048576,MATCH(База_КР_КК[[#This Row],[Структурное подразделение]],'Списки данных'!$C$2:$C$1048576,0))</f>
        <v>6</v>
      </c>
      <c r="I2923" s="80" t="s">
        <v>136</v>
      </c>
      <c r="J2923" s="80" t="s">
        <v>246</v>
      </c>
      <c r="K2923" s="80" t="s">
        <v>247</v>
      </c>
      <c r="L2923" s="30" t="s">
        <v>191</v>
      </c>
      <c r="M2923" s="68">
        <v>6</v>
      </c>
      <c r="N2923" s="181" t="str">
        <f t="shared" si="46"/>
        <v>нет</v>
      </c>
      <c r="O2923" s="23"/>
      <c r="P2923" s="23"/>
      <c r="Q2923" s="106"/>
      <c r="R2923" s="37">
        <v>698</v>
      </c>
      <c r="S2923" s="39" t="s">
        <v>1107</v>
      </c>
      <c r="T2923" s="37">
        <v>1797</v>
      </c>
      <c r="U2923" s="38" t="s">
        <v>2053</v>
      </c>
      <c r="V2923" s="89" t="s">
        <v>272</v>
      </c>
      <c r="W2923" s="89" t="s">
        <v>136</v>
      </c>
      <c r="X2923" s="106" t="s">
        <v>296</v>
      </c>
      <c r="Y2923" s="107" t="s">
        <v>12</v>
      </c>
      <c r="Z2923" s="67">
        <f>IF(База_КР_КК[[#This Row],[Таб.номер резервиста]]="-","-",IF(OR(База_КР_КК[[#This Row],[Уровень КК]]=2,База_КР_КК[[#This Row],[Уровень КК]]=3),IF(COUNTIFS($U$2:$U2923,$U2923,$F$2:$F2923,$F2923)=1,1,0),IF(COUNTIFS($U$2:$U2923,$U2923,$L$2:$L2923,$L2923)=1,1,0)))</f>
        <v>0</v>
      </c>
      <c r="AA29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3" s="106"/>
      <c r="AC2923" s="51"/>
      <c r="AD2923" s="106" t="s">
        <v>15</v>
      </c>
      <c r="AE2923" s="38" t="s">
        <v>376</v>
      </c>
    </row>
    <row r="2924" spans="1:31" ht="18" customHeight="1" x14ac:dyDescent="0.25">
      <c r="A29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4" s="79">
        <v>4</v>
      </c>
      <c r="C2924" s="23">
        <v>44859</v>
      </c>
      <c r="D2924" s="67">
        <f>IF(COUNTIF($G$2:$G2924,$G2924)=1,1,0)</f>
        <v>0</v>
      </c>
      <c r="E2924" s="67" t="str">
        <f>IFERROR(VLOOKUP(База_КР_КК[[#This Row],[ИД штатной должности (S)]],'уровень защищенности'!$B$7:$F$1095,5,0),"не защищена")</f>
        <v>высокий</v>
      </c>
      <c r="F2924" s="68">
        <v>500321</v>
      </c>
      <c r="G2924" s="74" t="s">
        <v>2875</v>
      </c>
      <c r="H2924" s="181">
        <f>INDEX('Списки данных'!$D$2:$D$1048576,MATCH(База_КР_КК[[#This Row],[Структурное подразделение]],'Списки данных'!$C$2:$C$1048576,0))</f>
        <v>6</v>
      </c>
      <c r="I2924" s="80" t="s">
        <v>136</v>
      </c>
      <c r="J2924" s="80" t="s">
        <v>246</v>
      </c>
      <c r="K2924" s="80" t="s">
        <v>247</v>
      </c>
      <c r="L2924" s="30" t="s">
        <v>191</v>
      </c>
      <c r="M2924" s="68">
        <v>6</v>
      </c>
      <c r="N2924" s="181" t="str">
        <f t="shared" si="46"/>
        <v>нет</v>
      </c>
      <c r="O2924" s="23"/>
      <c r="P2924" s="23"/>
      <c r="Q2924" s="106"/>
      <c r="R2924" s="37">
        <v>698</v>
      </c>
      <c r="S2924" s="39" t="s">
        <v>1107</v>
      </c>
      <c r="T2924" s="37">
        <v>1798</v>
      </c>
      <c r="U2924" s="38" t="s">
        <v>2054</v>
      </c>
      <c r="V2924" s="89" t="s">
        <v>272</v>
      </c>
      <c r="W2924" s="89" t="s">
        <v>136</v>
      </c>
      <c r="X2924" s="106" t="s">
        <v>296</v>
      </c>
      <c r="Y2924" s="107" t="s">
        <v>12</v>
      </c>
      <c r="Z2924" s="67">
        <f>IF(База_КР_КК[[#This Row],[Таб.номер резервиста]]="-","-",IF(OR(База_КР_КК[[#This Row],[Уровень КК]]=2,База_КР_КК[[#This Row],[Уровень КК]]=3),IF(COUNTIFS($U$2:$U2924,$U2924,$F$2:$F2924,$F2924)=1,1,0),IF(COUNTIFS($U$2:$U2924,$U2924,$L$2:$L2924,$L2924)=1,1,0)))</f>
        <v>0</v>
      </c>
      <c r="AA29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4" s="106"/>
      <c r="AC2924" s="51"/>
      <c r="AD2924" s="106" t="s">
        <v>15</v>
      </c>
      <c r="AE2924" s="38" t="s">
        <v>376</v>
      </c>
    </row>
    <row r="2925" spans="1:31" ht="18" customHeight="1" x14ac:dyDescent="0.25">
      <c r="A29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5" s="79">
        <v>4</v>
      </c>
      <c r="C2925" s="23">
        <v>44109</v>
      </c>
      <c r="D2925" s="67">
        <f>IF(COUNTIF($G$2:$G2925,$G2925)=1,1,0)</f>
        <v>1</v>
      </c>
      <c r="E2925" s="67" t="str">
        <f>IFERROR(VLOOKUP(База_КР_КК[[#This Row],[ИД штатной должности (S)]],'уровень защищенности'!$B$7:$F$1095,5,0),"не защищена")</f>
        <v>высокий</v>
      </c>
      <c r="F2925" s="68">
        <v>500321</v>
      </c>
      <c r="G2925" s="74" t="s">
        <v>2876</v>
      </c>
      <c r="H2925" s="181">
        <f>INDEX('Списки данных'!$D$2:$D$1048576,MATCH(База_КР_КК[[#This Row],[Структурное подразделение]],'Списки данных'!$C$2:$C$1048576,0))</f>
        <v>6</v>
      </c>
      <c r="I2925" s="80" t="s">
        <v>136</v>
      </c>
      <c r="J2925" s="80" t="s">
        <v>246</v>
      </c>
      <c r="K2925" s="80" t="s">
        <v>247</v>
      </c>
      <c r="L2925" s="30" t="s">
        <v>191</v>
      </c>
      <c r="M2925" s="68">
        <v>6</v>
      </c>
      <c r="N2925" s="181" t="str">
        <f t="shared" si="46"/>
        <v>нет</v>
      </c>
      <c r="O2925" s="23"/>
      <c r="P2925" s="23"/>
      <c r="Q2925" s="106"/>
      <c r="R2925" s="37">
        <v>699</v>
      </c>
      <c r="S2925" s="38" t="s">
        <v>1108</v>
      </c>
      <c r="T2925" s="37">
        <v>1794</v>
      </c>
      <c r="U2925" s="39" t="s">
        <v>1868</v>
      </c>
      <c r="V2925" s="89" t="s">
        <v>272</v>
      </c>
      <c r="W2925" s="89" t="s">
        <v>136</v>
      </c>
      <c r="X2925" s="106" t="s">
        <v>295</v>
      </c>
      <c r="Y2925" s="107" t="s">
        <v>12</v>
      </c>
      <c r="Z2925" s="67">
        <f>IF(База_КР_КК[[#This Row],[Таб.номер резервиста]]="-","-",IF(OR(База_КР_КК[[#This Row],[Уровень КК]]=2,База_КР_КК[[#This Row],[Уровень КК]]=3),IF(COUNTIFS($U$2:$U2925,$U2925,$F$2:$F2925,$F2925)=1,1,0),IF(COUNTIFS($U$2:$U2925,$U2925,$L$2:$L2925,$L2925)=1,1,0)))</f>
        <v>0</v>
      </c>
      <c r="AA29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5" s="106"/>
      <c r="AC2925" s="51"/>
      <c r="AD2925" s="106" t="s">
        <v>13</v>
      </c>
      <c r="AE2925" s="38" t="s">
        <v>376</v>
      </c>
    </row>
    <row r="2926" spans="1:31" ht="18" customHeight="1" x14ac:dyDescent="0.25">
      <c r="A29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6" s="79">
        <v>4</v>
      </c>
      <c r="C2926" s="23">
        <v>44109</v>
      </c>
      <c r="D2926" s="67">
        <f>IF(COUNTIF($G$2:$G2926,$G2926)=1,1,0)</f>
        <v>0</v>
      </c>
      <c r="E2926" s="67" t="str">
        <f>IFERROR(VLOOKUP(База_КР_КК[[#This Row],[ИД штатной должности (S)]],'уровень защищенности'!$B$7:$F$1095,5,0),"не защищена")</f>
        <v>высокий</v>
      </c>
      <c r="F2926" s="68">
        <v>500321</v>
      </c>
      <c r="G2926" s="74" t="s">
        <v>2876</v>
      </c>
      <c r="H2926" s="181">
        <f>INDEX('Списки данных'!$D$2:$D$1048576,MATCH(База_КР_КК[[#This Row],[Структурное подразделение]],'Списки данных'!$C$2:$C$1048576,0))</f>
        <v>6</v>
      </c>
      <c r="I2926" s="80" t="s">
        <v>136</v>
      </c>
      <c r="J2926" s="80" t="s">
        <v>246</v>
      </c>
      <c r="K2926" s="80" t="s">
        <v>247</v>
      </c>
      <c r="L2926" s="30" t="s">
        <v>191</v>
      </c>
      <c r="M2926" s="68">
        <v>6</v>
      </c>
      <c r="N2926" s="181" t="str">
        <f t="shared" si="46"/>
        <v>нет</v>
      </c>
      <c r="O2926" s="23"/>
      <c r="P2926" s="23"/>
      <c r="Q2926" s="106"/>
      <c r="R2926" s="37">
        <v>699</v>
      </c>
      <c r="S2926" s="38" t="s">
        <v>1108</v>
      </c>
      <c r="T2926" s="37">
        <v>1795</v>
      </c>
      <c r="U2926" s="39" t="s">
        <v>2052</v>
      </c>
      <c r="V2926" s="89" t="s">
        <v>272</v>
      </c>
      <c r="W2926" s="89" t="s">
        <v>136</v>
      </c>
      <c r="X2926" s="106" t="s">
        <v>296</v>
      </c>
      <c r="Y2926" s="107" t="s">
        <v>12</v>
      </c>
      <c r="Z2926" s="67">
        <f>IF(База_КР_КК[[#This Row],[Таб.номер резервиста]]="-","-",IF(OR(База_КР_КК[[#This Row],[Уровень КК]]=2,База_КР_КК[[#This Row],[Уровень КК]]=3),IF(COUNTIFS($U$2:$U2926,$U2926,$F$2:$F2926,$F2926)=1,1,0),IF(COUNTIFS($U$2:$U2926,$U2926,$L$2:$L2926,$L2926)=1,1,0)))</f>
        <v>0</v>
      </c>
      <c r="AA29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6" s="106"/>
      <c r="AC2926" s="51"/>
      <c r="AD2926" s="106" t="s">
        <v>15</v>
      </c>
      <c r="AE2926" s="38" t="s">
        <v>377</v>
      </c>
    </row>
    <row r="2927" spans="1:31" ht="18" customHeight="1" x14ac:dyDescent="0.25">
      <c r="A29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7" s="79">
        <v>4</v>
      </c>
      <c r="C2927" s="23">
        <v>44109</v>
      </c>
      <c r="D2927" s="67">
        <f>IF(COUNTIF($G$2:$G2927,$G2927)=1,1,0)</f>
        <v>0</v>
      </c>
      <c r="E2927" s="67" t="str">
        <f>IFERROR(VLOOKUP(База_КР_КК[[#This Row],[ИД штатной должности (S)]],'уровень защищенности'!$B$7:$F$1095,5,0),"не защищена")</f>
        <v>высокий</v>
      </c>
      <c r="F2927" s="68">
        <v>500321</v>
      </c>
      <c r="G2927" s="74" t="s">
        <v>2876</v>
      </c>
      <c r="H2927" s="181">
        <f>INDEX('Списки данных'!$D$2:$D$1048576,MATCH(База_КР_КК[[#This Row],[Структурное подразделение]],'Списки данных'!$C$2:$C$1048576,0))</f>
        <v>6</v>
      </c>
      <c r="I2927" s="80" t="s">
        <v>136</v>
      </c>
      <c r="J2927" s="80" t="s">
        <v>246</v>
      </c>
      <c r="K2927" s="80" t="s">
        <v>247</v>
      </c>
      <c r="L2927" s="30" t="s">
        <v>191</v>
      </c>
      <c r="M2927" s="68">
        <v>6</v>
      </c>
      <c r="N2927" s="181" t="str">
        <f t="shared" si="46"/>
        <v>нет</v>
      </c>
      <c r="O2927" s="23"/>
      <c r="P2927" s="23"/>
      <c r="Q2927" s="106"/>
      <c r="R2927" s="37">
        <v>699</v>
      </c>
      <c r="S2927" s="38" t="s">
        <v>1108</v>
      </c>
      <c r="T2927" s="37">
        <v>1796</v>
      </c>
      <c r="U2927" s="39" t="s">
        <v>1833</v>
      </c>
      <c r="V2927" s="89" t="s">
        <v>272</v>
      </c>
      <c r="W2927" s="89" t="s">
        <v>136</v>
      </c>
      <c r="X2927" s="106" t="s">
        <v>295</v>
      </c>
      <c r="Y2927" s="107" t="s">
        <v>12</v>
      </c>
      <c r="Z2927" s="67">
        <f>IF(База_КР_КК[[#This Row],[Таб.номер резервиста]]="-","-",IF(OR(База_КР_КК[[#This Row],[Уровень КК]]=2,База_КР_КК[[#This Row],[Уровень КК]]=3),IF(COUNTIFS($U$2:$U2927,$U2927,$F$2:$F2927,$F2927)=1,1,0),IF(COUNTIFS($U$2:$U2927,$U2927,$L$2:$L2927,$L2927)=1,1,0)))</f>
        <v>0</v>
      </c>
      <c r="AA29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7" s="106"/>
      <c r="AC2927" s="51"/>
      <c r="AD2927" s="106" t="s">
        <v>13</v>
      </c>
      <c r="AE2927" s="38" t="s">
        <v>376</v>
      </c>
    </row>
    <row r="2928" spans="1:31" ht="18" customHeight="1" x14ac:dyDescent="0.25">
      <c r="A29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8" s="79">
        <v>4</v>
      </c>
      <c r="C2928" s="23">
        <v>44859</v>
      </c>
      <c r="D2928" s="67">
        <f>IF(COUNTIF($G$2:$G2928,$G2928)=1,1,0)</f>
        <v>0</v>
      </c>
      <c r="E2928" s="67" t="str">
        <f>IFERROR(VLOOKUP(База_КР_КК[[#This Row],[ИД штатной должности (S)]],'уровень защищенности'!$B$7:$F$1095,5,0),"не защищена")</f>
        <v>высокий</v>
      </c>
      <c r="F2928" s="68">
        <v>500321</v>
      </c>
      <c r="G2928" s="74" t="s">
        <v>2876</v>
      </c>
      <c r="H2928" s="181">
        <f>INDEX('Списки данных'!$D$2:$D$1048576,MATCH(База_КР_КК[[#This Row],[Структурное подразделение]],'Списки данных'!$C$2:$C$1048576,0))</f>
        <v>6</v>
      </c>
      <c r="I2928" s="80" t="s">
        <v>136</v>
      </c>
      <c r="J2928" s="80" t="s">
        <v>246</v>
      </c>
      <c r="K2928" s="80" t="s">
        <v>247</v>
      </c>
      <c r="L2928" s="30" t="s">
        <v>191</v>
      </c>
      <c r="M2928" s="68">
        <v>6</v>
      </c>
      <c r="N2928" s="181" t="str">
        <f t="shared" si="46"/>
        <v>нет</v>
      </c>
      <c r="O2928" s="23"/>
      <c r="P2928" s="23"/>
      <c r="Q2928" s="106"/>
      <c r="R2928" s="37">
        <v>699</v>
      </c>
      <c r="S2928" s="39" t="s">
        <v>1108</v>
      </c>
      <c r="T2928" s="37">
        <v>1797</v>
      </c>
      <c r="U2928" s="38" t="s">
        <v>2053</v>
      </c>
      <c r="V2928" s="89" t="s">
        <v>272</v>
      </c>
      <c r="W2928" s="89" t="s">
        <v>136</v>
      </c>
      <c r="X2928" s="106" t="s">
        <v>296</v>
      </c>
      <c r="Y2928" s="107" t="s">
        <v>12</v>
      </c>
      <c r="Z2928" s="67">
        <f>IF(База_КР_КК[[#This Row],[Таб.номер резервиста]]="-","-",IF(OR(База_КР_КК[[#This Row],[Уровень КК]]=2,База_КР_КК[[#This Row],[Уровень КК]]=3),IF(COUNTIFS($U$2:$U2928,$U2928,$F$2:$F2928,$F2928)=1,1,0),IF(COUNTIFS($U$2:$U2928,$U2928,$L$2:$L2928,$L2928)=1,1,0)))</f>
        <v>0</v>
      </c>
      <c r="AA29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8" s="106"/>
      <c r="AC2928" s="51"/>
      <c r="AD2928" s="106" t="s">
        <v>15</v>
      </c>
      <c r="AE2928" s="38" t="s">
        <v>376</v>
      </c>
    </row>
    <row r="2929" spans="1:31" ht="18" customHeight="1" x14ac:dyDescent="0.25">
      <c r="A29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29" s="79">
        <v>4</v>
      </c>
      <c r="C2929" s="23">
        <v>44859</v>
      </c>
      <c r="D2929" s="67">
        <f>IF(COUNTIF($G$2:$G2929,$G2929)=1,1,0)</f>
        <v>0</v>
      </c>
      <c r="E2929" s="67" t="str">
        <f>IFERROR(VLOOKUP(База_КР_КК[[#This Row],[ИД штатной должности (S)]],'уровень защищенности'!$B$7:$F$1095,5,0),"не защищена")</f>
        <v>высокий</v>
      </c>
      <c r="F2929" s="68">
        <v>500321</v>
      </c>
      <c r="G2929" s="74" t="s">
        <v>2876</v>
      </c>
      <c r="H2929" s="181">
        <f>INDEX('Списки данных'!$D$2:$D$1048576,MATCH(База_КР_КК[[#This Row],[Структурное подразделение]],'Списки данных'!$C$2:$C$1048576,0))</f>
        <v>6</v>
      </c>
      <c r="I2929" s="80" t="s">
        <v>136</v>
      </c>
      <c r="J2929" s="80" t="s">
        <v>246</v>
      </c>
      <c r="K2929" s="80" t="s">
        <v>247</v>
      </c>
      <c r="L2929" s="30" t="s">
        <v>191</v>
      </c>
      <c r="M2929" s="68">
        <v>6</v>
      </c>
      <c r="N2929" s="181" t="str">
        <f t="shared" si="46"/>
        <v>нет</v>
      </c>
      <c r="O2929" s="23"/>
      <c r="P2929" s="23"/>
      <c r="Q2929" s="106"/>
      <c r="R2929" s="37">
        <v>699</v>
      </c>
      <c r="S2929" s="39" t="s">
        <v>1108</v>
      </c>
      <c r="T2929" s="37">
        <v>1798</v>
      </c>
      <c r="U2929" s="38" t="s">
        <v>2054</v>
      </c>
      <c r="V2929" s="89" t="s">
        <v>272</v>
      </c>
      <c r="W2929" s="89" t="s">
        <v>136</v>
      </c>
      <c r="X2929" s="106" t="s">
        <v>296</v>
      </c>
      <c r="Y2929" s="107" t="s">
        <v>12</v>
      </c>
      <c r="Z2929" s="67">
        <f>IF(База_КР_КК[[#This Row],[Таб.номер резервиста]]="-","-",IF(OR(База_КР_КК[[#This Row],[Уровень КК]]=2,База_КР_КК[[#This Row],[Уровень КК]]=3),IF(COUNTIFS($U$2:$U2929,$U2929,$F$2:$F2929,$F2929)=1,1,0),IF(COUNTIFS($U$2:$U2929,$U2929,$L$2:$L2929,$L2929)=1,1,0)))</f>
        <v>0</v>
      </c>
      <c r="AA29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29" s="106"/>
      <c r="AC2929" s="51"/>
      <c r="AD2929" s="106" t="s">
        <v>15</v>
      </c>
      <c r="AE2929" s="38" t="s">
        <v>376</v>
      </c>
    </row>
    <row r="2930" spans="1:31" ht="18" customHeight="1" x14ac:dyDescent="0.25">
      <c r="A29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0" s="79">
        <v>4</v>
      </c>
      <c r="C2930" s="23">
        <v>44109</v>
      </c>
      <c r="D2930" s="67">
        <f>IF(COUNTIF($G$2:$G2930,$G2930)=1,1,0)</f>
        <v>1</v>
      </c>
      <c r="E2930" s="67" t="str">
        <f>IFERROR(VLOOKUP(База_КР_КК[[#This Row],[ИД штатной должности (S)]],'уровень защищенности'!$B$7:$F$1095,5,0),"не защищена")</f>
        <v>высокий</v>
      </c>
      <c r="F2930" s="68">
        <v>500322</v>
      </c>
      <c r="G2930" s="74" t="s">
        <v>2877</v>
      </c>
      <c r="H2930" s="181">
        <f>INDEX('Списки данных'!$D$2:$D$1048576,MATCH(База_КР_КК[[#This Row],[Структурное подразделение]],'Списки данных'!$C$2:$C$1048576,0))</f>
        <v>6</v>
      </c>
      <c r="I2930" s="80" t="s">
        <v>136</v>
      </c>
      <c r="J2930" s="80" t="s">
        <v>246</v>
      </c>
      <c r="K2930" s="80" t="s">
        <v>247</v>
      </c>
      <c r="L2930" s="30" t="s">
        <v>192</v>
      </c>
      <c r="M2930" s="68">
        <v>6</v>
      </c>
      <c r="N2930" s="181" t="str">
        <f t="shared" si="46"/>
        <v>нет</v>
      </c>
      <c r="O2930" s="23"/>
      <c r="P2930" s="23"/>
      <c r="Q2930" s="106"/>
      <c r="R2930" s="37">
        <v>700</v>
      </c>
      <c r="S2930" s="38" t="s">
        <v>1109</v>
      </c>
      <c r="T2930" s="37">
        <v>703</v>
      </c>
      <c r="U2930" s="39" t="s">
        <v>1112</v>
      </c>
      <c r="V2930" s="89" t="s">
        <v>192</v>
      </c>
      <c r="W2930" s="89" t="s">
        <v>136</v>
      </c>
      <c r="X2930" s="106" t="s">
        <v>295</v>
      </c>
      <c r="Y2930" s="107" t="s">
        <v>12</v>
      </c>
      <c r="Z2930" s="67">
        <f>IF(База_КР_КК[[#This Row],[Таб.номер резервиста]]="-","-",IF(OR(База_КР_КК[[#This Row],[Уровень КК]]=2,База_КР_КК[[#This Row],[Уровень КК]]=3),IF(COUNTIFS($U$2:$U2930,$U2930,$F$2:$F2930,$F2930)=1,1,0),IF(COUNTIFS($U$2:$U2930,$U2930,$L$2:$L2930,$L2930)=1,1,0)))</f>
        <v>1</v>
      </c>
      <c r="AA29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0" s="106"/>
      <c r="AC2930" s="51"/>
      <c r="AD2930" s="106" t="s">
        <v>13</v>
      </c>
      <c r="AE2930" s="38" t="s">
        <v>376</v>
      </c>
    </row>
    <row r="2931" spans="1:31" ht="18" customHeight="1" x14ac:dyDescent="0.25">
      <c r="A29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1" s="79">
        <v>4</v>
      </c>
      <c r="C2931" s="23">
        <v>44109</v>
      </c>
      <c r="D2931" s="67">
        <f>IF(COUNTIF($G$2:$G2931,$G2931)=1,1,0)</f>
        <v>0</v>
      </c>
      <c r="E2931" s="67" t="str">
        <f>IFERROR(VLOOKUP(База_КР_КК[[#This Row],[ИД штатной должности (S)]],'уровень защищенности'!$B$7:$F$1095,5,0),"не защищена")</f>
        <v>высокий</v>
      </c>
      <c r="F2931" s="68">
        <v>500322</v>
      </c>
      <c r="G2931" s="74" t="s">
        <v>2877</v>
      </c>
      <c r="H2931" s="181">
        <f>INDEX('Списки данных'!$D$2:$D$1048576,MATCH(База_КР_КК[[#This Row],[Структурное подразделение]],'Списки данных'!$C$2:$C$1048576,0))</f>
        <v>6</v>
      </c>
      <c r="I2931" s="80" t="s">
        <v>136</v>
      </c>
      <c r="J2931" s="80" t="s">
        <v>246</v>
      </c>
      <c r="K2931" s="80" t="s">
        <v>247</v>
      </c>
      <c r="L2931" s="30" t="s">
        <v>192</v>
      </c>
      <c r="M2931" s="68">
        <v>6</v>
      </c>
      <c r="N2931" s="181" t="str">
        <f t="shared" si="46"/>
        <v>нет</v>
      </c>
      <c r="O2931" s="23"/>
      <c r="P2931" s="23"/>
      <c r="Q2931" s="106"/>
      <c r="R2931" s="37">
        <v>700</v>
      </c>
      <c r="S2931" s="38" t="s">
        <v>1109</v>
      </c>
      <c r="T2931" s="37">
        <v>1799</v>
      </c>
      <c r="U2931" s="39" t="s">
        <v>2055</v>
      </c>
      <c r="V2931" s="89" t="s">
        <v>16</v>
      </c>
      <c r="W2931" s="89" t="s">
        <v>136</v>
      </c>
      <c r="X2931" s="106" t="s">
        <v>297</v>
      </c>
      <c r="Y2931" s="107" t="s">
        <v>12</v>
      </c>
      <c r="Z2931" s="67">
        <f>IF(База_КР_КК[[#This Row],[Таб.номер резервиста]]="-","-",IF(OR(База_КР_КК[[#This Row],[Уровень КК]]=2,База_КР_КК[[#This Row],[Уровень КК]]=3),IF(COUNTIFS($U$2:$U2931,$U2931,$F$2:$F2931,$F2931)=1,1,0),IF(COUNTIFS($U$2:$U2931,$U2931,$L$2:$L2931,$L2931)=1,1,0)))</f>
        <v>1</v>
      </c>
      <c r="AA29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1" s="106"/>
      <c r="AC2931" s="51"/>
      <c r="AD2931" s="106" t="s">
        <v>17</v>
      </c>
      <c r="AE2931" s="38" t="s">
        <v>376</v>
      </c>
    </row>
    <row r="2932" spans="1:31" ht="18" customHeight="1" x14ac:dyDescent="0.25">
      <c r="A29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2" s="79">
        <v>4</v>
      </c>
      <c r="C2932" s="23">
        <v>44109</v>
      </c>
      <c r="D2932" s="67">
        <f>IF(COUNTIF($G$2:$G2932,$G2932)=1,1,0)</f>
        <v>0</v>
      </c>
      <c r="E2932" s="67" t="str">
        <f>IFERROR(VLOOKUP(База_КР_КК[[#This Row],[ИД штатной должности (S)]],'уровень защищенности'!$B$7:$F$1095,5,0),"не защищена")</f>
        <v>высокий</v>
      </c>
      <c r="F2932" s="68">
        <v>500322</v>
      </c>
      <c r="G2932" s="74" t="s">
        <v>2877</v>
      </c>
      <c r="H2932" s="181">
        <f>INDEX('Списки данных'!$D$2:$D$1048576,MATCH(База_КР_КК[[#This Row],[Структурное подразделение]],'Списки данных'!$C$2:$C$1048576,0))</f>
        <v>6</v>
      </c>
      <c r="I2932" s="80" t="s">
        <v>136</v>
      </c>
      <c r="J2932" s="80" t="s">
        <v>246</v>
      </c>
      <c r="K2932" s="80" t="s">
        <v>247</v>
      </c>
      <c r="L2932" s="30" t="s">
        <v>192</v>
      </c>
      <c r="M2932" s="68">
        <v>6</v>
      </c>
      <c r="N2932" s="181" t="str">
        <f t="shared" si="46"/>
        <v>нет</v>
      </c>
      <c r="O2932" s="23"/>
      <c r="P2932" s="23"/>
      <c r="Q2932" s="106"/>
      <c r="R2932" s="37">
        <v>700</v>
      </c>
      <c r="S2932" s="38" t="s">
        <v>1109</v>
      </c>
      <c r="T2932" s="37">
        <v>1800</v>
      </c>
      <c r="U2932" s="39" t="s">
        <v>1753</v>
      </c>
      <c r="V2932" s="89" t="s">
        <v>272</v>
      </c>
      <c r="W2932" s="89" t="s">
        <v>136</v>
      </c>
      <c r="X2932" s="106" t="s">
        <v>297</v>
      </c>
      <c r="Y2932" s="107" t="s">
        <v>12</v>
      </c>
      <c r="Z2932" s="67">
        <f>IF(База_КР_КК[[#This Row],[Таб.номер резервиста]]="-","-",IF(OR(База_КР_КК[[#This Row],[Уровень КК]]=2,База_КР_КК[[#This Row],[Уровень КК]]=3),IF(COUNTIFS($U$2:$U2932,$U2932,$F$2:$F2932,$F2932)=1,1,0),IF(COUNTIFS($U$2:$U2932,$U2932,$L$2:$L2932,$L2932)=1,1,0)))</f>
        <v>1</v>
      </c>
      <c r="AA29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2" s="106"/>
      <c r="AC2932" s="51"/>
      <c r="AD2932" s="106" t="s">
        <v>17</v>
      </c>
      <c r="AE2932" s="38" t="s">
        <v>376</v>
      </c>
    </row>
    <row r="2933" spans="1:31" ht="18" customHeight="1" x14ac:dyDescent="0.25">
      <c r="A29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3" s="79">
        <v>4</v>
      </c>
      <c r="C2933" s="23">
        <v>44109</v>
      </c>
      <c r="D2933" s="67">
        <f>IF(COUNTIF($G$2:$G2933,$G2933)=1,1,0)</f>
        <v>0</v>
      </c>
      <c r="E2933" s="67" t="str">
        <f>IFERROR(VLOOKUP(База_КР_КК[[#This Row],[ИД штатной должности (S)]],'уровень защищенности'!$B$7:$F$1095,5,0),"не защищена")</f>
        <v>высокий</v>
      </c>
      <c r="F2933" s="68">
        <v>500322</v>
      </c>
      <c r="G2933" s="74" t="s">
        <v>2877</v>
      </c>
      <c r="H2933" s="181">
        <f>INDEX('Списки данных'!$D$2:$D$1048576,MATCH(База_КР_КК[[#This Row],[Структурное подразделение]],'Списки данных'!$C$2:$C$1048576,0))</f>
        <v>6</v>
      </c>
      <c r="I2933" s="80" t="s">
        <v>136</v>
      </c>
      <c r="J2933" s="80" t="s">
        <v>246</v>
      </c>
      <c r="K2933" s="80" t="s">
        <v>247</v>
      </c>
      <c r="L2933" s="30" t="s">
        <v>192</v>
      </c>
      <c r="M2933" s="68">
        <v>6</v>
      </c>
      <c r="N2933" s="181" t="str">
        <f t="shared" si="46"/>
        <v>нет</v>
      </c>
      <c r="O2933" s="23"/>
      <c r="P2933" s="23"/>
      <c r="Q2933" s="106"/>
      <c r="R2933" s="37">
        <v>700</v>
      </c>
      <c r="S2933" s="38" t="s">
        <v>1109</v>
      </c>
      <c r="T2933" s="37">
        <v>1801</v>
      </c>
      <c r="U2933" s="39" t="s">
        <v>1913</v>
      </c>
      <c r="V2933" s="89" t="s">
        <v>272</v>
      </c>
      <c r="W2933" s="89" t="s">
        <v>136</v>
      </c>
      <c r="X2933" s="106" t="s">
        <v>297</v>
      </c>
      <c r="Y2933" s="107" t="s">
        <v>18</v>
      </c>
      <c r="Z2933" s="67">
        <f>IF(База_КР_КК[[#This Row],[Таб.номер резервиста]]="-","-",IF(OR(База_КР_КК[[#This Row],[Уровень КК]]=2,База_КР_КК[[#This Row],[Уровень КК]]=3),IF(COUNTIFS($U$2:$U2933,$U2933,$F$2:$F2933,$F2933)=1,1,0),IF(COUNTIFS($U$2:$U2933,$U2933,$L$2:$L2933,$L2933)=1,1,0)))</f>
        <v>1</v>
      </c>
      <c r="AA29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3" s="106" t="s">
        <v>38</v>
      </c>
      <c r="AC2933" s="51">
        <v>44859</v>
      </c>
      <c r="AD2933" s="106" t="s">
        <v>31</v>
      </c>
      <c r="AE2933" s="38" t="s">
        <v>376</v>
      </c>
    </row>
    <row r="2934" spans="1:31" ht="18" customHeight="1" x14ac:dyDescent="0.25">
      <c r="A29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4" s="79">
        <v>4</v>
      </c>
      <c r="C2934" s="23">
        <v>44109</v>
      </c>
      <c r="D2934" s="67">
        <f>IF(COUNTIF($G$2:$G2934,$G2934)=1,1,0)</f>
        <v>1</v>
      </c>
      <c r="E2934" s="67" t="str">
        <f>IFERROR(VLOOKUP(База_КР_КК[[#This Row],[ИД штатной должности (S)]],'уровень защищенности'!$B$7:$F$1095,5,0),"не защищена")</f>
        <v>высокий</v>
      </c>
      <c r="F2934" s="68">
        <v>500323</v>
      </c>
      <c r="G2934" s="74" t="s">
        <v>2878</v>
      </c>
      <c r="H2934" s="181">
        <f>INDEX('Списки данных'!$D$2:$D$1048576,MATCH(База_КР_КК[[#This Row],[Структурное подразделение]],'Списки данных'!$C$2:$C$1048576,0))</f>
        <v>6</v>
      </c>
      <c r="I2934" s="80" t="s">
        <v>136</v>
      </c>
      <c r="J2934" s="80" t="s">
        <v>246</v>
      </c>
      <c r="K2934" s="80" t="s">
        <v>247</v>
      </c>
      <c r="L2934" s="30" t="s">
        <v>191</v>
      </c>
      <c r="M2934" s="68">
        <v>6</v>
      </c>
      <c r="N2934" s="181" t="str">
        <f t="shared" si="46"/>
        <v>нет</v>
      </c>
      <c r="O2934" s="23"/>
      <c r="P2934" s="23"/>
      <c r="Q2934" s="106"/>
      <c r="R2934" s="37">
        <v>701</v>
      </c>
      <c r="S2934" s="38" t="s">
        <v>1110</v>
      </c>
      <c r="T2934" s="37">
        <v>1801</v>
      </c>
      <c r="U2934" s="39" t="s">
        <v>1913</v>
      </c>
      <c r="V2934" s="89" t="s">
        <v>272</v>
      </c>
      <c r="W2934" s="89" t="s">
        <v>136</v>
      </c>
      <c r="X2934" s="106" t="s">
        <v>295</v>
      </c>
      <c r="Y2934" s="107" t="s">
        <v>12</v>
      </c>
      <c r="Z2934" s="67">
        <f>IF(База_КР_КК[[#This Row],[Таб.номер резервиста]]="-","-",IF(OR(База_КР_КК[[#This Row],[Уровень КК]]=2,База_КР_КК[[#This Row],[Уровень КК]]=3),IF(COUNTIFS($U$2:$U2934,$U2934,$F$2:$F2934,$F2934)=1,1,0),IF(COUNTIFS($U$2:$U2934,$U2934,$L$2:$L2934,$L2934)=1,1,0)))</f>
        <v>1</v>
      </c>
      <c r="AA29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4" s="106"/>
      <c r="AC2934" s="51"/>
      <c r="AD2934" s="106" t="s">
        <v>13</v>
      </c>
      <c r="AE2934" s="38" t="s">
        <v>376</v>
      </c>
    </row>
    <row r="2935" spans="1:31" ht="18" customHeight="1" x14ac:dyDescent="0.25">
      <c r="A29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5" s="79">
        <v>4</v>
      </c>
      <c r="C2935" s="23">
        <v>44109</v>
      </c>
      <c r="D2935" s="67">
        <f>IF(COUNTIF($G$2:$G2935,$G2935)=1,1,0)</f>
        <v>0</v>
      </c>
      <c r="E2935" s="67" t="str">
        <f>IFERROR(VLOOKUP(База_КР_КК[[#This Row],[ИД штатной должности (S)]],'уровень защищенности'!$B$7:$F$1095,5,0),"не защищена")</f>
        <v>высокий</v>
      </c>
      <c r="F2935" s="68">
        <v>500323</v>
      </c>
      <c r="G2935" s="74" t="s">
        <v>2878</v>
      </c>
      <c r="H2935" s="181">
        <f>INDEX('Списки данных'!$D$2:$D$1048576,MATCH(База_КР_КК[[#This Row],[Структурное подразделение]],'Списки данных'!$C$2:$C$1048576,0))</f>
        <v>6</v>
      </c>
      <c r="I2935" s="80" t="s">
        <v>136</v>
      </c>
      <c r="J2935" s="80" t="s">
        <v>246</v>
      </c>
      <c r="K2935" s="80" t="s">
        <v>247</v>
      </c>
      <c r="L2935" s="30" t="s">
        <v>191</v>
      </c>
      <c r="M2935" s="68">
        <v>6</v>
      </c>
      <c r="N2935" s="181" t="str">
        <f t="shared" si="46"/>
        <v>нет</v>
      </c>
      <c r="O2935" s="23"/>
      <c r="P2935" s="23"/>
      <c r="Q2935" s="106"/>
      <c r="R2935" s="37">
        <v>701</v>
      </c>
      <c r="S2935" s="38" t="s">
        <v>1110</v>
      </c>
      <c r="T2935" s="37">
        <v>1800</v>
      </c>
      <c r="U2935" s="39" t="s">
        <v>1753</v>
      </c>
      <c r="V2935" s="89" t="s">
        <v>272</v>
      </c>
      <c r="W2935" s="89" t="s">
        <v>136</v>
      </c>
      <c r="X2935" s="106" t="s">
        <v>295</v>
      </c>
      <c r="Y2935" s="107" t="s">
        <v>12</v>
      </c>
      <c r="Z2935" s="67">
        <f>IF(База_КР_КК[[#This Row],[Таб.номер резервиста]]="-","-",IF(OR(База_КР_КК[[#This Row],[Уровень КК]]=2,База_КР_КК[[#This Row],[Уровень КК]]=3),IF(COUNTIFS($U$2:$U2935,$U2935,$F$2:$F2935,$F2935)=1,1,0),IF(COUNTIFS($U$2:$U2935,$U2935,$L$2:$L2935,$L2935)=1,1,0)))</f>
        <v>0</v>
      </c>
      <c r="AA29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5" s="106"/>
      <c r="AC2935" s="51"/>
      <c r="AD2935" s="106" t="s">
        <v>13</v>
      </c>
      <c r="AE2935" s="38" t="s">
        <v>376</v>
      </c>
    </row>
    <row r="2936" spans="1:31" ht="18" customHeight="1" x14ac:dyDescent="0.25">
      <c r="A29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6" s="79">
        <v>4</v>
      </c>
      <c r="C2936" s="23">
        <v>44466</v>
      </c>
      <c r="D2936" s="67">
        <f>IF(COUNTIF($G$2:$G2936,$G2936)=1,1,0)</f>
        <v>1</v>
      </c>
      <c r="E2936" s="67" t="str">
        <f>IFERROR(VLOOKUP(База_КР_КК[[#This Row],[ИД штатной должности (S)]],'уровень защищенности'!$B$7:$F$1095,5,0),"не защищена")</f>
        <v>высокий</v>
      </c>
      <c r="F2936" s="68">
        <v>500323</v>
      </c>
      <c r="G2936" s="74" t="s">
        <v>2879</v>
      </c>
      <c r="H2936" s="181">
        <f>INDEX('Списки данных'!$D$2:$D$1048576,MATCH(База_КР_КК[[#This Row],[Структурное подразделение]],'Списки данных'!$C$2:$C$1048576,0))</f>
        <v>6</v>
      </c>
      <c r="I2936" s="80" t="s">
        <v>136</v>
      </c>
      <c r="J2936" s="80" t="s">
        <v>246</v>
      </c>
      <c r="K2936" s="80" t="s">
        <v>247</v>
      </c>
      <c r="L2936" s="30" t="s">
        <v>191</v>
      </c>
      <c r="M2936" s="68">
        <v>6</v>
      </c>
      <c r="N2936" s="181" t="str">
        <f t="shared" si="46"/>
        <v>нет</v>
      </c>
      <c r="O2936" s="23"/>
      <c r="P2936" s="23"/>
      <c r="Q2936" s="106"/>
      <c r="R2936" s="37">
        <v>702</v>
      </c>
      <c r="S2936" s="38" t="s">
        <v>1111</v>
      </c>
      <c r="T2936" s="37">
        <v>1802</v>
      </c>
      <c r="U2936" s="39" t="s">
        <v>2056</v>
      </c>
      <c r="V2936" s="89" t="s">
        <v>272</v>
      </c>
      <c r="W2936" s="89" t="s">
        <v>136</v>
      </c>
      <c r="X2936" s="106" t="s">
        <v>297</v>
      </c>
      <c r="Y2936" s="107" t="s">
        <v>12</v>
      </c>
      <c r="Z2936" s="67">
        <f>IF(База_КР_КК[[#This Row],[Таб.номер резервиста]]="-","-",IF(OR(База_КР_КК[[#This Row],[Уровень КК]]=2,База_КР_КК[[#This Row],[Уровень КК]]=3),IF(COUNTIFS($U$2:$U2936,$U2936,$F$2:$F2936,$F2936)=1,1,0),IF(COUNTIFS($U$2:$U2936,$U2936,$L$2:$L2936,$L2936)=1,1,0)))</f>
        <v>1</v>
      </c>
      <c r="AA29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6" s="106"/>
      <c r="AC2936" s="51"/>
      <c r="AD2936" s="106" t="s">
        <v>17</v>
      </c>
      <c r="AE2936" s="38" t="s">
        <v>376</v>
      </c>
    </row>
    <row r="2937" spans="1:31" ht="18" customHeight="1" x14ac:dyDescent="0.25">
      <c r="A29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7" s="79">
        <v>4</v>
      </c>
      <c r="C2937" s="23">
        <v>44109</v>
      </c>
      <c r="D2937" s="67">
        <f>IF(COUNTIF($G$2:$G2937,$G2937)=1,1,0)</f>
        <v>0</v>
      </c>
      <c r="E2937" s="67" t="str">
        <f>IFERROR(VLOOKUP(База_КР_КК[[#This Row],[ИД штатной должности (S)]],'уровень защищенности'!$B$7:$F$1095,5,0),"не защищена")</f>
        <v>высокий</v>
      </c>
      <c r="F2937" s="68">
        <v>500323</v>
      </c>
      <c r="G2937" s="74" t="s">
        <v>2878</v>
      </c>
      <c r="H2937" s="181">
        <f>INDEX('Списки данных'!$D$2:$D$1048576,MATCH(База_КР_КК[[#This Row],[Структурное подразделение]],'Списки данных'!$C$2:$C$1048576,0))</f>
        <v>6</v>
      </c>
      <c r="I2937" s="80" t="s">
        <v>136</v>
      </c>
      <c r="J2937" s="80" t="s">
        <v>246</v>
      </c>
      <c r="K2937" s="80" t="s">
        <v>247</v>
      </c>
      <c r="L2937" s="30" t="s">
        <v>191</v>
      </c>
      <c r="M2937" s="68">
        <v>6</v>
      </c>
      <c r="N2937" s="181" t="str">
        <f t="shared" si="46"/>
        <v>нет</v>
      </c>
      <c r="O2937" s="23"/>
      <c r="P2937" s="23"/>
      <c r="Q2937" s="106"/>
      <c r="R2937" s="37">
        <v>701</v>
      </c>
      <c r="S2937" s="39" t="s">
        <v>1110</v>
      </c>
      <c r="T2937" s="37">
        <v>1803</v>
      </c>
      <c r="U2937" s="38" t="s">
        <v>2057</v>
      </c>
      <c r="V2937" s="89" t="s">
        <v>272</v>
      </c>
      <c r="W2937" s="89" t="s">
        <v>136</v>
      </c>
      <c r="X2937" s="106" t="s">
        <v>296</v>
      </c>
      <c r="Y2937" s="107" t="s">
        <v>12</v>
      </c>
      <c r="Z2937" s="67">
        <f>IF(База_КР_КК[[#This Row],[Таб.номер резервиста]]="-","-",IF(OR(База_КР_КК[[#This Row],[Уровень КК]]=2,База_КР_КК[[#This Row],[Уровень КК]]=3),IF(COUNTIFS($U$2:$U2937,$U2937,$F$2:$F2937,$F2937)=1,1,0),IF(COUNTIFS($U$2:$U2937,$U2937,$L$2:$L2937,$L2937)=1,1,0)))</f>
        <v>1</v>
      </c>
      <c r="AA29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7" s="106"/>
      <c r="AC2937" s="51"/>
      <c r="AD2937" s="106" t="s">
        <v>15</v>
      </c>
      <c r="AE2937" s="38" t="s">
        <v>376</v>
      </c>
    </row>
    <row r="2938" spans="1:31" ht="18" customHeight="1" x14ac:dyDescent="0.25">
      <c r="A29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8" s="79">
        <v>4</v>
      </c>
      <c r="C2938" s="23">
        <v>44466</v>
      </c>
      <c r="D2938" s="67">
        <f>IF(COUNTIF($G$2:$G2938,$G2938)=1,1,0)</f>
        <v>0</v>
      </c>
      <c r="E2938" s="67" t="str">
        <f>IFERROR(VLOOKUP(База_КР_КК[[#This Row],[ИД штатной должности (S)]],'уровень защищенности'!$B$7:$F$1095,5,0),"не защищена")</f>
        <v>высокий</v>
      </c>
      <c r="F2938" s="68">
        <v>500323</v>
      </c>
      <c r="G2938" s="74" t="s">
        <v>2879</v>
      </c>
      <c r="H2938" s="181">
        <f>INDEX('Списки данных'!$D$2:$D$1048576,MATCH(База_КР_КК[[#This Row],[Структурное подразделение]],'Списки данных'!$C$2:$C$1048576,0))</f>
        <v>6</v>
      </c>
      <c r="I2938" s="80" t="s">
        <v>136</v>
      </c>
      <c r="J2938" s="80" t="s">
        <v>246</v>
      </c>
      <c r="K2938" s="80" t="s">
        <v>247</v>
      </c>
      <c r="L2938" s="30" t="s">
        <v>191</v>
      </c>
      <c r="M2938" s="68">
        <v>6</v>
      </c>
      <c r="N2938" s="181" t="str">
        <f t="shared" si="46"/>
        <v>нет</v>
      </c>
      <c r="O2938" s="23"/>
      <c r="P2938" s="23"/>
      <c r="Q2938" s="106"/>
      <c r="R2938" s="37">
        <v>702</v>
      </c>
      <c r="S2938" s="38" t="s">
        <v>1111</v>
      </c>
      <c r="T2938" s="37">
        <v>1804</v>
      </c>
      <c r="U2938" s="39" t="s">
        <v>2058</v>
      </c>
      <c r="V2938" s="69" t="s">
        <v>272</v>
      </c>
      <c r="W2938" s="89" t="s">
        <v>136</v>
      </c>
      <c r="X2938" s="106" t="s">
        <v>296</v>
      </c>
      <c r="Y2938" s="107" t="s">
        <v>18</v>
      </c>
      <c r="Z2938" s="67">
        <f>IF(База_КР_КК[[#This Row],[Таб.номер резервиста]]="-","-",IF(OR(База_КР_КК[[#This Row],[Уровень КК]]=2,База_КР_КК[[#This Row],[Уровень КК]]=3),IF(COUNTIFS($U$2:$U2938,$U2938,$F$2:$F2938,$F2938)=1,1,0),IF(COUNTIFS($U$2:$U2938,$U2938,$L$2:$L2938,$L2938)=1,1,0)))</f>
        <v>1</v>
      </c>
      <c r="AA29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8" s="106" t="s">
        <v>38</v>
      </c>
      <c r="AC2938" s="51">
        <v>44859</v>
      </c>
      <c r="AD2938" s="106" t="s">
        <v>31</v>
      </c>
      <c r="AE2938" s="38" t="s">
        <v>376</v>
      </c>
    </row>
    <row r="2939" spans="1:31" ht="18" customHeight="1" x14ac:dyDescent="0.25">
      <c r="A29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39" s="79">
        <v>4</v>
      </c>
      <c r="C2939" s="23">
        <v>44109</v>
      </c>
      <c r="D2939" s="67">
        <f>IF(COUNTIF($G$2:$G2939,$G2939)=1,1,0)</f>
        <v>1</v>
      </c>
      <c r="E2939" s="67" t="str">
        <f>IFERROR(VLOOKUP(База_КР_КК[[#This Row],[ИД штатной должности (S)]],'уровень защищенности'!$B$7:$F$1095,5,0),"не защищена")</f>
        <v>высокий</v>
      </c>
      <c r="F2939" s="68">
        <v>500323</v>
      </c>
      <c r="G2939" s="74" t="s">
        <v>2880</v>
      </c>
      <c r="H2939" s="181">
        <f>INDEX('Списки данных'!$D$2:$D$1048576,MATCH(База_КР_КК[[#This Row],[Структурное подразделение]],'Списки данных'!$C$2:$C$1048576,0))</f>
        <v>6</v>
      </c>
      <c r="I2939" s="80" t="s">
        <v>136</v>
      </c>
      <c r="J2939" s="80" t="s">
        <v>246</v>
      </c>
      <c r="K2939" s="80" t="s">
        <v>247</v>
      </c>
      <c r="L2939" s="30" t="s">
        <v>191</v>
      </c>
      <c r="M2939" s="68">
        <v>6</v>
      </c>
      <c r="N2939" s="181" t="str">
        <f t="shared" si="46"/>
        <v>да</v>
      </c>
      <c r="O2939" s="23">
        <v>44679</v>
      </c>
      <c r="P2939" s="23">
        <v>44788</v>
      </c>
      <c r="Q2939" s="106" t="s">
        <v>57</v>
      </c>
      <c r="R2939" s="37">
        <v>703</v>
      </c>
      <c r="S2939" s="38" t="s">
        <v>1112</v>
      </c>
      <c r="T2939" s="37">
        <v>1801</v>
      </c>
      <c r="U2939" s="39" t="s">
        <v>1913</v>
      </c>
      <c r="V2939" s="89" t="s">
        <v>272</v>
      </c>
      <c r="W2939" s="89" t="s">
        <v>136</v>
      </c>
      <c r="X2939" s="106" t="s">
        <v>295</v>
      </c>
      <c r="Y2939" s="107" t="s">
        <v>12</v>
      </c>
      <c r="Z2939" s="67">
        <f>IF(База_КР_КК[[#This Row],[Таб.номер резервиста]]="-","-",IF(OR(База_КР_КК[[#This Row],[Уровень КК]]=2,База_КР_КК[[#This Row],[Уровень КК]]=3),IF(COUNTIFS($U$2:$U2939,$U2939,$F$2:$F2939,$F2939)=1,1,0),IF(COUNTIFS($U$2:$U2939,$U2939,$L$2:$L2939,$L2939)=1,1,0)))</f>
        <v>0</v>
      </c>
      <c r="AA29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39" s="106"/>
      <c r="AC2939" s="51"/>
      <c r="AD2939" s="106" t="s">
        <v>13</v>
      </c>
      <c r="AE2939" s="38" t="s">
        <v>376</v>
      </c>
    </row>
    <row r="2940" spans="1:31" ht="18" customHeight="1" x14ac:dyDescent="0.25">
      <c r="A29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0" s="79">
        <v>4</v>
      </c>
      <c r="C2940" s="23">
        <v>44109</v>
      </c>
      <c r="D2940" s="67">
        <f>IF(COUNTIF($G$2:$G2940,$G2940)=1,1,0)</f>
        <v>0</v>
      </c>
      <c r="E2940" s="67" t="str">
        <f>IFERROR(VLOOKUP(База_КР_КК[[#This Row],[ИД штатной должности (S)]],'уровень защищенности'!$B$7:$F$1095,5,0),"не защищена")</f>
        <v>высокий</v>
      </c>
      <c r="F2940" s="68">
        <v>500323</v>
      </c>
      <c r="G2940" s="74" t="s">
        <v>2880</v>
      </c>
      <c r="H2940" s="181">
        <f>INDEX('Списки данных'!$D$2:$D$1048576,MATCH(База_КР_КК[[#This Row],[Структурное подразделение]],'Списки данных'!$C$2:$C$1048576,0))</f>
        <v>6</v>
      </c>
      <c r="I2940" s="80" t="s">
        <v>136</v>
      </c>
      <c r="J2940" s="80" t="s">
        <v>246</v>
      </c>
      <c r="K2940" s="80" t="s">
        <v>247</v>
      </c>
      <c r="L2940" s="30" t="s">
        <v>191</v>
      </c>
      <c r="M2940" s="68">
        <v>6</v>
      </c>
      <c r="N2940" s="181" t="str">
        <f t="shared" si="46"/>
        <v>да</v>
      </c>
      <c r="O2940" s="23">
        <v>44679</v>
      </c>
      <c r="P2940" s="23">
        <v>44788</v>
      </c>
      <c r="Q2940" s="106" t="s">
        <v>57</v>
      </c>
      <c r="R2940" s="37">
        <v>703</v>
      </c>
      <c r="S2940" s="38" t="s">
        <v>1112</v>
      </c>
      <c r="T2940" s="37">
        <v>1800</v>
      </c>
      <c r="U2940" s="39" t="s">
        <v>1753</v>
      </c>
      <c r="V2940" s="89" t="s">
        <v>272</v>
      </c>
      <c r="W2940" s="89" t="s">
        <v>136</v>
      </c>
      <c r="X2940" s="106" t="s">
        <v>295</v>
      </c>
      <c r="Y2940" s="107" t="s">
        <v>12</v>
      </c>
      <c r="Z2940" s="67">
        <f>IF(База_КР_КК[[#This Row],[Таб.номер резервиста]]="-","-",IF(OR(База_КР_КК[[#This Row],[Уровень КК]]=2,База_КР_КК[[#This Row],[Уровень КК]]=3),IF(COUNTIFS($U$2:$U2940,$U2940,$F$2:$F2940,$F2940)=1,1,0),IF(COUNTIFS($U$2:$U2940,$U2940,$L$2:$L2940,$L2940)=1,1,0)))</f>
        <v>0</v>
      </c>
      <c r="AA29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0" s="106"/>
      <c r="AC2940" s="51"/>
      <c r="AD2940" s="106" t="s">
        <v>13</v>
      </c>
      <c r="AE2940" s="38" t="s">
        <v>376</v>
      </c>
    </row>
    <row r="2941" spans="1:31" ht="18" customHeight="1" x14ac:dyDescent="0.25">
      <c r="A29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1" s="79">
        <v>4</v>
      </c>
      <c r="C2941" s="23">
        <v>44466</v>
      </c>
      <c r="D2941" s="67">
        <f>IF(COUNTIF($G$2:$G2941,$G2941)=1,1,0)</f>
        <v>0</v>
      </c>
      <c r="E2941" s="67" t="str">
        <f>IFERROR(VLOOKUP(База_КР_КК[[#This Row],[ИД штатной должности (S)]],'уровень защищенности'!$B$7:$F$1095,5,0),"не защищена")</f>
        <v>высокий</v>
      </c>
      <c r="F2941" s="68">
        <v>500323</v>
      </c>
      <c r="G2941" s="74" t="s">
        <v>2880</v>
      </c>
      <c r="H2941" s="181">
        <f>INDEX('Списки данных'!$D$2:$D$1048576,MATCH(База_КР_КК[[#This Row],[Структурное подразделение]],'Списки данных'!$C$2:$C$1048576,0))</f>
        <v>6</v>
      </c>
      <c r="I2941" s="80" t="s">
        <v>136</v>
      </c>
      <c r="J2941" s="80" t="s">
        <v>246</v>
      </c>
      <c r="K2941" s="80" t="s">
        <v>247</v>
      </c>
      <c r="L2941" s="30" t="s">
        <v>191</v>
      </c>
      <c r="M2941" s="68">
        <v>6</v>
      </c>
      <c r="N2941" s="181" t="str">
        <f t="shared" si="46"/>
        <v>да</v>
      </c>
      <c r="O2941" s="23">
        <v>44679</v>
      </c>
      <c r="P2941" s="23">
        <v>44788</v>
      </c>
      <c r="Q2941" s="106" t="s">
        <v>57</v>
      </c>
      <c r="R2941" s="37">
        <v>703</v>
      </c>
      <c r="S2941" s="38" t="s">
        <v>1112</v>
      </c>
      <c r="T2941" s="37">
        <v>1802</v>
      </c>
      <c r="U2941" s="39" t="s">
        <v>2056</v>
      </c>
      <c r="V2941" s="89" t="s">
        <v>272</v>
      </c>
      <c r="W2941" s="89" t="s">
        <v>136</v>
      </c>
      <c r="X2941" s="106" t="s">
        <v>297</v>
      </c>
      <c r="Y2941" s="107" t="s">
        <v>12</v>
      </c>
      <c r="Z2941" s="67">
        <f>IF(База_КР_КК[[#This Row],[Таб.номер резервиста]]="-","-",IF(OR(База_КР_КК[[#This Row],[Уровень КК]]=2,База_КР_КК[[#This Row],[Уровень КК]]=3),IF(COUNTIFS($U$2:$U2941,$U2941,$F$2:$F2941,$F2941)=1,1,0),IF(COUNTIFS($U$2:$U2941,$U2941,$L$2:$L2941,$L2941)=1,1,0)))</f>
        <v>0</v>
      </c>
      <c r="AA29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1" s="106"/>
      <c r="AC2941" s="51"/>
      <c r="AD2941" s="106" t="s">
        <v>17</v>
      </c>
      <c r="AE2941" s="38" t="s">
        <v>376</v>
      </c>
    </row>
    <row r="2942" spans="1:31" ht="18" customHeight="1" x14ac:dyDescent="0.25">
      <c r="A29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2" s="79">
        <v>4</v>
      </c>
      <c r="C2942" s="23">
        <v>44109</v>
      </c>
      <c r="D2942" s="67">
        <f>IF(COUNTIF($G$2:$G2942,$G2942)=1,1,0)</f>
        <v>0</v>
      </c>
      <c r="E2942" s="67" t="str">
        <f>IFERROR(VLOOKUP(База_КР_КК[[#This Row],[ИД штатной должности (S)]],'уровень защищенности'!$B$7:$F$1095,5,0),"не защищена")</f>
        <v>высокий</v>
      </c>
      <c r="F2942" s="68">
        <v>500323</v>
      </c>
      <c r="G2942" s="74" t="s">
        <v>2880</v>
      </c>
      <c r="H2942" s="181">
        <f>INDEX('Списки данных'!$D$2:$D$1048576,MATCH(База_КР_КК[[#This Row],[Структурное подразделение]],'Списки данных'!$C$2:$C$1048576,0))</f>
        <v>6</v>
      </c>
      <c r="I2942" s="80" t="s">
        <v>136</v>
      </c>
      <c r="J2942" s="80" t="s">
        <v>246</v>
      </c>
      <c r="K2942" s="80" t="s">
        <v>247</v>
      </c>
      <c r="L2942" s="30" t="s">
        <v>191</v>
      </c>
      <c r="M2942" s="68">
        <v>6</v>
      </c>
      <c r="N2942" s="181" t="str">
        <f t="shared" si="46"/>
        <v>да</v>
      </c>
      <c r="O2942" s="23">
        <v>44679</v>
      </c>
      <c r="P2942" s="23">
        <v>44788</v>
      </c>
      <c r="Q2942" s="106" t="s">
        <v>57</v>
      </c>
      <c r="R2942" s="37">
        <v>703</v>
      </c>
      <c r="S2942" s="39" t="s">
        <v>1112</v>
      </c>
      <c r="T2942" s="37">
        <v>1803</v>
      </c>
      <c r="U2942" s="38" t="s">
        <v>2057</v>
      </c>
      <c r="V2942" s="89" t="s">
        <v>272</v>
      </c>
      <c r="W2942" s="89" t="s">
        <v>136</v>
      </c>
      <c r="X2942" s="106" t="s">
        <v>296</v>
      </c>
      <c r="Y2942" s="107" t="s">
        <v>12</v>
      </c>
      <c r="Z2942" s="67">
        <f>IF(База_КР_КК[[#This Row],[Таб.номер резервиста]]="-","-",IF(OR(База_КР_КК[[#This Row],[Уровень КК]]=2,База_КР_КК[[#This Row],[Уровень КК]]=3),IF(COUNTIFS($U$2:$U2942,$U2942,$F$2:$F2942,$F2942)=1,1,0),IF(COUNTIFS($U$2:$U2942,$U2942,$L$2:$L2942,$L2942)=1,1,0)))</f>
        <v>0</v>
      </c>
      <c r="AA29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2" s="106"/>
      <c r="AC2942" s="51"/>
      <c r="AD2942" s="106" t="s">
        <v>15</v>
      </c>
      <c r="AE2942" s="38" t="s">
        <v>376</v>
      </c>
    </row>
    <row r="2943" spans="1:31" ht="18" customHeight="1" x14ac:dyDescent="0.25">
      <c r="A29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3" s="79">
        <v>4</v>
      </c>
      <c r="C2943" s="23">
        <v>44466</v>
      </c>
      <c r="D2943" s="67">
        <f>IF(COUNTIF($G$2:$G2943,$G2943)=1,1,0)</f>
        <v>0</v>
      </c>
      <c r="E2943" s="67" t="str">
        <f>IFERROR(VLOOKUP(База_КР_КК[[#This Row],[ИД штатной должности (S)]],'уровень защищенности'!$B$7:$F$1095,5,0),"не защищена")</f>
        <v>высокий</v>
      </c>
      <c r="F2943" s="68">
        <v>500323</v>
      </c>
      <c r="G2943" s="74" t="s">
        <v>2880</v>
      </c>
      <c r="H2943" s="181">
        <f>INDEX('Списки данных'!$D$2:$D$1048576,MATCH(База_КР_КК[[#This Row],[Структурное подразделение]],'Списки данных'!$C$2:$C$1048576,0))</f>
        <v>6</v>
      </c>
      <c r="I2943" s="80" t="s">
        <v>136</v>
      </c>
      <c r="J2943" s="80" t="s">
        <v>246</v>
      </c>
      <c r="K2943" s="80" t="s">
        <v>247</v>
      </c>
      <c r="L2943" s="30" t="s">
        <v>191</v>
      </c>
      <c r="M2943" s="68">
        <v>6</v>
      </c>
      <c r="N2943" s="181" t="str">
        <f t="shared" ref="N2943:N3006" si="47">IF(ISBLANK(O2943),"нет","да")</f>
        <v>да</v>
      </c>
      <c r="O2943" s="23">
        <v>44679</v>
      </c>
      <c r="P2943" s="23">
        <v>44788</v>
      </c>
      <c r="Q2943" s="106" t="s">
        <v>57</v>
      </c>
      <c r="R2943" s="37">
        <v>703</v>
      </c>
      <c r="S2943" s="38" t="s">
        <v>1112</v>
      </c>
      <c r="T2943" s="37">
        <v>1804</v>
      </c>
      <c r="U2943" s="39" t="s">
        <v>2058</v>
      </c>
      <c r="V2943" s="69" t="s">
        <v>272</v>
      </c>
      <c r="W2943" s="89" t="s">
        <v>136</v>
      </c>
      <c r="X2943" s="106" t="s">
        <v>296</v>
      </c>
      <c r="Y2943" s="107" t="s">
        <v>18</v>
      </c>
      <c r="Z2943" s="67">
        <f>IF(База_КР_КК[[#This Row],[Таб.номер резервиста]]="-","-",IF(OR(База_КР_КК[[#This Row],[Уровень КК]]=2,База_КР_КК[[#This Row],[Уровень КК]]=3),IF(COUNTIFS($U$2:$U2943,$U2943,$F$2:$F2943,$F2943)=1,1,0),IF(COUNTIFS($U$2:$U2943,$U2943,$L$2:$L2943,$L2943)=1,1,0)))</f>
        <v>0</v>
      </c>
      <c r="AA29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3" s="106" t="s">
        <v>38</v>
      </c>
      <c r="AC2943" s="51">
        <v>44859</v>
      </c>
      <c r="AD2943" s="106" t="s">
        <v>31</v>
      </c>
      <c r="AE2943" s="38" t="s">
        <v>376</v>
      </c>
    </row>
    <row r="2944" spans="1:31" ht="18" customHeight="1" x14ac:dyDescent="0.25">
      <c r="A29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4" s="79">
        <v>4</v>
      </c>
      <c r="C2944" s="23">
        <v>44109</v>
      </c>
      <c r="D2944" s="67">
        <f>IF(COUNTIF($G$2:$G2944,$G2944)=1,1,0)</f>
        <v>0</v>
      </c>
      <c r="E2944" s="67" t="str">
        <f>IFERROR(VLOOKUP(База_КР_КК[[#This Row],[ИД штатной должности (S)]],'уровень защищенности'!$B$7:$F$1095,5,0),"не защищена")</f>
        <v>высокий</v>
      </c>
      <c r="F2944" s="68">
        <v>500323</v>
      </c>
      <c r="G2944" s="74" t="s">
        <v>2879</v>
      </c>
      <c r="H2944" s="181">
        <f>INDEX('Списки данных'!$D$2:$D$1048576,MATCH(База_КР_КК[[#This Row],[Структурное подразделение]],'Списки данных'!$C$2:$C$1048576,0))</f>
        <v>6</v>
      </c>
      <c r="I2944" s="80" t="s">
        <v>136</v>
      </c>
      <c r="J2944" s="80" t="s">
        <v>246</v>
      </c>
      <c r="K2944" s="80" t="s">
        <v>247</v>
      </c>
      <c r="L2944" s="30" t="s">
        <v>191</v>
      </c>
      <c r="M2944" s="68">
        <v>6</v>
      </c>
      <c r="N2944" s="181" t="str">
        <f t="shared" si="47"/>
        <v>нет</v>
      </c>
      <c r="O2944" s="23"/>
      <c r="P2944" s="23"/>
      <c r="Q2944" s="106"/>
      <c r="R2944" s="37">
        <v>702</v>
      </c>
      <c r="S2944" s="38" t="s">
        <v>1111</v>
      </c>
      <c r="T2944" s="37">
        <v>1801</v>
      </c>
      <c r="U2944" s="39" t="s">
        <v>1913</v>
      </c>
      <c r="V2944" s="89" t="s">
        <v>272</v>
      </c>
      <c r="W2944" s="89" t="s">
        <v>136</v>
      </c>
      <c r="X2944" s="106" t="s">
        <v>295</v>
      </c>
      <c r="Y2944" s="107" t="s">
        <v>12</v>
      </c>
      <c r="Z2944" s="67">
        <f>IF(База_КР_КК[[#This Row],[Таб.номер резервиста]]="-","-",IF(OR(База_КР_КК[[#This Row],[Уровень КК]]=2,База_КР_КК[[#This Row],[Уровень КК]]=3),IF(COUNTIFS($U$2:$U2944,$U2944,$F$2:$F2944,$F2944)=1,1,0),IF(COUNTIFS($U$2:$U2944,$U2944,$L$2:$L2944,$L2944)=1,1,0)))</f>
        <v>0</v>
      </c>
      <c r="AA29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4" s="106"/>
      <c r="AC2944" s="51"/>
      <c r="AD2944" s="106" t="s">
        <v>13</v>
      </c>
      <c r="AE2944" s="38" t="s">
        <v>376</v>
      </c>
    </row>
    <row r="2945" spans="1:31" ht="18" customHeight="1" x14ac:dyDescent="0.25">
      <c r="A29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5" s="79">
        <v>4</v>
      </c>
      <c r="C2945" s="23">
        <v>44109</v>
      </c>
      <c r="D2945" s="67">
        <f>IF(COUNTIF($G$2:$G2945,$G2945)=1,1,0)</f>
        <v>0</v>
      </c>
      <c r="E2945" s="67" t="str">
        <f>IFERROR(VLOOKUP(База_КР_КК[[#This Row],[ИД штатной должности (S)]],'уровень защищенности'!$B$7:$F$1095,5,0),"не защищена")</f>
        <v>высокий</v>
      </c>
      <c r="F2945" s="68">
        <v>500323</v>
      </c>
      <c r="G2945" s="74" t="s">
        <v>2879</v>
      </c>
      <c r="H2945" s="181">
        <f>INDEX('Списки данных'!$D$2:$D$1048576,MATCH(База_КР_КК[[#This Row],[Структурное подразделение]],'Списки данных'!$C$2:$C$1048576,0))</f>
        <v>6</v>
      </c>
      <c r="I2945" s="80" t="s">
        <v>136</v>
      </c>
      <c r="J2945" s="80" t="s">
        <v>246</v>
      </c>
      <c r="K2945" s="80" t="s">
        <v>247</v>
      </c>
      <c r="L2945" s="30" t="s">
        <v>191</v>
      </c>
      <c r="M2945" s="68">
        <v>6</v>
      </c>
      <c r="N2945" s="181" t="str">
        <f t="shared" si="47"/>
        <v>нет</v>
      </c>
      <c r="O2945" s="23"/>
      <c r="P2945" s="23"/>
      <c r="Q2945" s="106"/>
      <c r="R2945" s="37">
        <v>702</v>
      </c>
      <c r="S2945" s="38" t="s">
        <v>1111</v>
      </c>
      <c r="T2945" s="37">
        <v>1800</v>
      </c>
      <c r="U2945" s="39" t="s">
        <v>1753</v>
      </c>
      <c r="V2945" s="89" t="s">
        <v>272</v>
      </c>
      <c r="W2945" s="89" t="s">
        <v>136</v>
      </c>
      <c r="X2945" s="106" t="s">
        <v>295</v>
      </c>
      <c r="Y2945" s="107" t="s">
        <v>12</v>
      </c>
      <c r="Z2945" s="67">
        <f>IF(База_КР_КК[[#This Row],[Таб.номер резервиста]]="-","-",IF(OR(База_КР_КК[[#This Row],[Уровень КК]]=2,База_КР_КК[[#This Row],[Уровень КК]]=3),IF(COUNTIFS($U$2:$U2945,$U2945,$F$2:$F2945,$F2945)=1,1,0),IF(COUNTIFS($U$2:$U2945,$U2945,$L$2:$L2945,$L2945)=1,1,0)))</f>
        <v>0</v>
      </c>
      <c r="AA29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5" s="106"/>
      <c r="AC2945" s="51"/>
      <c r="AD2945" s="106" t="s">
        <v>13</v>
      </c>
      <c r="AE2945" s="38" t="s">
        <v>376</v>
      </c>
    </row>
    <row r="2946" spans="1:31" ht="18" customHeight="1" x14ac:dyDescent="0.25">
      <c r="A29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6" s="79">
        <v>4</v>
      </c>
      <c r="C2946" s="23">
        <v>44466</v>
      </c>
      <c r="D2946" s="67">
        <f>IF(COUNTIF($G$2:$G2946,$G2946)=1,1,0)</f>
        <v>0</v>
      </c>
      <c r="E2946" s="67" t="str">
        <f>IFERROR(VLOOKUP(База_КР_КК[[#This Row],[ИД штатной должности (S)]],'уровень защищенности'!$B$7:$F$1095,5,0),"не защищена")</f>
        <v>высокий</v>
      </c>
      <c r="F2946" s="68">
        <v>500323</v>
      </c>
      <c r="G2946" s="74" t="s">
        <v>2878</v>
      </c>
      <c r="H2946" s="181">
        <f>INDEX('Списки данных'!$D$2:$D$1048576,MATCH(База_КР_КК[[#This Row],[Структурное подразделение]],'Списки данных'!$C$2:$C$1048576,0))</f>
        <v>6</v>
      </c>
      <c r="I2946" s="80" t="s">
        <v>136</v>
      </c>
      <c r="J2946" s="80" t="s">
        <v>246</v>
      </c>
      <c r="K2946" s="80" t="s">
        <v>247</v>
      </c>
      <c r="L2946" s="30" t="s">
        <v>191</v>
      </c>
      <c r="M2946" s="68">
        <v>6</v>
      </c>
      <c r="N2946" s="181" t="str">
        <f t="shared" si="47"/>
        <v>нет</v>
      </c>
      <c r="O2946" s="23"/>
      <c r="P2946" s="23"/>
      <c r="Q2946" s="106"/>
      <c r="R2946" s="37">
        <v>701</v>
      </c>
      <c r="S2946" s="38" t="s">
        <v>1110</v>
      </c>
      <c r="T2946" s="37">
        <v>1802</v>
      </c>
      <c r="U2946" s="39" t="s">
        <v>2056</v>
      </c>
      <c r="V2946" s="89" t="s">
        <v>272</v>
      </c>
      <c r="W2946" s="89" t="s">
        <v>136</v>
      </c>
      <c r="X2946" s="106" t="s">
        <v>297</v>
      </c>
      <c r="Y2946" s="107" t="s">
        <v>12</v>
      </c>
      <c r="Z2946" s="67">
        <f>IF(База_КР_КК[[#This Row],[Таб.номер резервиста]]="-","-",IF(OR(База_КР_КК[[#This Row],[Уровень КК]]=2,База_КР_КК[[#This Row],[Уровень КК]]=3),IF(COUNTIFS($U$2:$U2946,$U2946,$F$2:$F2946,$F2946)=1,1,0),IF(COUNTIFS($U$2:$U2946,$U2946,$L$2:$L2946,$L2946)=1,1,0)))</f>
        <v>0</v>
      </c>
      <c r="AA29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6" s="106"/>
      <c r="AC2946" s="51"/>
      <c r="AD2946" s="106" t="s">
        <v>17</v>
      </c>
      <c r="AE2946" s="38" t="s">
        <v>376</v>
      </c>
    </row>
    <row r="2947" spans="1:31" ht="18" customHeight="1" x14ac:dyDescent="0.25">
      <c r="A29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7" s="79">
        <v>4</v>
      </c>
      <c r="C2947" s="23">
        <v>44109</v>
      </c>
      <c r="D2947" s="67">
        <f>IF(COUNTIF($G$2:$G2947,$G2947)=1,1,0)</f>
        <v>0</v>
      </c>
      <c r="E2947" s="67" t="str">
        <f>IFERROR(VLOOKUP(База_КР_КК[[#This Row],[ИД штатной должности (S)]],'уровень защищенности'!$B$7:$F$1095,5,0),"не защищена")</f>
        <v>высокий</v>
      </c>
      <c r="F2947" s="68">
        <v>500323</v>
      </c>
      <c r="G2947" s="74" t="s">
        <v>2879</v>
      </c>
      <c r="H2947" s="181">
        <f>INDEX('Списки данных'!$D$2:$D$1048576,MATCH(База_КР_КК[[#This Row],[Структурное подразделение]],'Списки данных'!$C$2:$C$1048576,0))</f>
        <v>6</v>
      </c>
      <c r="I2947" s="80" t="s">
        <v>136</v>
      </c>
      <c r="J2947" s="80" t="s">
        <v>246</v>
      </c>
      <c r="K2947" s="80" t="s">
        <v>247</v>
      </c>
      <c r="L2947" s="30" t="s">
        <v>191</v>
      </c>
      <c r="M2947" s="68">
        <v>6</v>
      </c>
      <c r="N2947" s="181" t="str">
        <f t="shared" si="47"/>
        <v>нет</v>
      </c>
      <c r="O2947" s="23"/>
      <c r="P2947" s="23"/>
      <c r="Q2947" s="106"/>
      <c r="R2947" s="37">
        <v>702</v>
      </c>
      <c r="S2947" s="39" t="s">
        <v>1111</v>
      </c>
      <c r="T2947" s="37">
        <v>1803</v>
      </c>
      <c r="U2947" s="38" t="s">
        <v>2057</v>
      </c>
      <c r="V2947" s="89" t="s">
        <v>272</v>
      </c>
      <c r="W2947" s="89" t="s">
        <v>136</v>
      </c>
      <c r="X2947" s="106" t="s">
        <v>296</v>
      </c>
      <c r="Y2947" s="107" t="s">
        <v>12</v>
      </c>
      <c r="Z2947" s="67">
        <f>IF(База_КР_КК[[#This Row],[Таб.номер резервиста]]="-","-",IF(OR(База_КР_КК[[#This Row],[Уровень КК]]=2,База_КР_КК[[#This Row],[Уровень КК]]=3),IF(COUNTIFS($U$2:$U2947,$U2947,$F$2:$F2947,$F2947)=1,1,0),IF(COUNTIFS($U$2:$U2947,$U2947,$L$2:$L2947,$L2947)=1,1,0)))</f>
        <v>0</v>
      </c>
      <c r="AA29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7" s="106"/>
      <c r="AC2947" s="51"/>
      <c r="AD2947" s="106" t="s">
        <v>15</v>
      </c>
      <c r="AE2947" s="38" t="s">
        <v>376</v>
      </c>
    </row>
    <row r="2948" spans="1:31" ht="18" customHeight="1" x14ac:dyDescent="0.25">
      <c r="A29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8" s="79">
        <v>4</v>
      </c>
      <c r="C2948" s="23">
        <v>44466</v>
      </c>
      <c r="D2948" s="67">
        <f>IF(COUNTIF($G$2:$G2948,$G2948)=1,1,0)</f>
        <v>0</v>
      </c>
      <c r="E2948" s="67" t="str">
        <f>IFERROR(VLOOKUP(База_КР_КК[[#This Row],[ИД штатной должности (S)]],'уровень защищенности'!$B$7:$F$1095,5,0),"не защищена")</f>
        <v>высокий</v>
      </c>
      <c r="F2948" s="68">
        <v>500323</v>
      </c>
      <c r="G2948" s="74" t="s">
        <v>2878</v>
      </c>
      <c r="H2948" s="181">
        <f>INDEX('Списки данных'!$D$2:$D$1048576,MATCH(База_КР_КК[[#This Row],[Структурное подразделение]],'Списки данных'!$C$2:$C$1048576,0))</f>
        <v>6</v>
      </c>
      <c r="I2948" s="80" t="s">
        <v>136</v>
      </c>
      <c r="J2948" s="80" t="s">
        <v>246</v>
      </c>
      <c r="K2948" s="80" t="s">
        <v>247</v>
      </c>
      <c r="L2948" s="30" t="s">
        <v>191</v>
      </c>
      <c r="M2948" s="68">
        <v>6</v>
      </c>
      <c r="N2948" s="181" t="str">
        <f t="shared" si="47"/>
        <v>нет</v>
      </c>
      <c r="O2948" s="23"/>
      <c r="P2948" s="23"/>
      <c r="Q2948" s="106"/>
      <c r="R2948" s="37">
        <v>701</v>
      </c>
      <c r="S2948" s="38" t="s">
        <v>1110</v>
      </c>
      <c r="T2948" s="37">
        <v>1804</v>
      </c>
      <c r="U2948" s="39" t="s">
        <v>2058</v>
      </c>
      <c r="V2948" s="69" t="s">
        <v>272</v>
      </c>
      <c r="W2948" s="89" t="s">
        <v>136</v>
      </c>
      <c r="X2948" s="106" t="s">
        <v>296</v>
      </c>
      <c r="Y2948" s="107" t="s">
        <v>18</v>
      </c>
      <c r="Z2948" s="67">
        <f>IF(База_КР_КК[[#This Row],[Таб.номер резервиста]]="-","-",IF(OR(База_КР_КК[[#This Row],[Уровень КК]]=2,База_КР_КК[[#This Row],[Уровень КК]]=3),IF(COUNTIFS($U$2:$U2948,$U2948,$F$2:$F2948,$F2948)=1,1,0),IF(COUNTIFS($U$2:$U2948,$U2948,$L$2:$L2948,$L2948)=1,1,0)))</f>
        <v>0</v>
      </c>
      <c r="AA29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8" s="106" t="s">
        <v>38</v>
      </c>
      <c r="AC2948" s="51">
        <v>44859</v>
      </c>
      <c r="AD2948" s="106" t="s">
        <v>31</v>
      </c>
      <c r="AE2948" s="38" t="s">
        <v>376</v>
      </c>
    </row>
    <row r="2949" spans="1:31" ht="18" customHeight="1" x14ac:dyDescent="0.25">
      <c r="A29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49" s="79">
        <v>4</v>
      </c>
      <c r="C2949" s="23">
        <v>44109</v>
      </c>
      <c r="D2949" s="67">
        <f>IF(COUNTIF($G$2:$G2949,$G2949)=1,1,0)</f>
        <v>1</v>
      </c>
      <c r="E2949" s="67" t="str">
        <f>IFERROR(VLOOKUP(База_КР_КК[[#This Row],[ИД штатной должности (S)]],'уровень защищенности'!$B$7:$F$1095,5,0),"не защищена")</f>
        <v>высокий</v>
      </c>
      <c r="F2949" s="68">
        <v>500324</v>
      </c>
      <c r="G2949" s="74" t="s">
        <v>2881</v>
      </c>
      <c r="H2949" s="181">
        <f>INDEX('Списки данных'!$D$2:$D$1048576,MATCH(База_КР_КК[[#This Row],[Структурное подразделение]],'Списки данных'!$C$2:$C$1048576,0))</f>
        <v>6</v>
      </c>
      <c r="I2949" s="80" t="s">
        <v>136</v>
      </c>
      <c r="J2949" s="80" t="s">
        <v>246</v>
      </c>
      <c r="K2949" s="80" t="s">
        <v>247</v>
      </c>
      <c r="L2949" s="30" t="s">
        <v>192</v>
      </c>
      <c r="M2949" s="68">
        <v>6</v>
      </c>
      <c r="N2949" s="181" t="str">
        <f t="shared" si="47"/>
        <v>нет</v>
      </c>
      <c r="O2949" s="23"/>
      <c r="P2949" s="23"/>
      <c r="Q2949" s="106"/>
      <c r="R2949" s="37">
        <v>704</v>
      </c>
      <c r="S2949" s="38" t="s">
        <v>1113</v>
      </c>
      <c r="T2949" s="37">
        <v>1805</v>
      </c>
      <c r="U2949" s="39" t="s">
        <v>1967</v>
      </c>
      <c r="V2949" s="89" t="s">
        <v>272</v>
      </c>
      <c r="W2949" s="89" t="s">
        <v>136</v>
      </c>
      <c r="X2949" s="106" t="s">
        <v>295</v>
      </c>
      <c r="Y2949" s="107" t="s">
        <v>12</v>
      </c>
      <c r="Z2949" s="67">
        <f>IF(База_КР_КК[[#This Row],[Таб.номер резервиста]]="-","-",IF(OR(База_КР_КК[[#This Row],[Уровень КК]]=2,База_КР_КК[[#This Row],[Уровень КК]]=3),IF(COUNTIFS($U$2:$U2949,$U2949,$F$2:$F2949,$F2949)=1,1,0),IF(COUNTIFS($U$2:$U2949,$U2949,$L$2:$L2949,$L2949)=1,1,0)))</f>
        <v>0</v>
      </c>
      <c r="AA29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49" s="106"/>
      <c r="AC2949" s="51"/>
      <c r="AD2949" s="106" t="s">
        <v>13</v>
      </c>
      <c r="AE2949" s="38" t="s">
        <v>376</v>
      </c>
    </row>
    <row r="2950" spans="1:31" ht="18" customHeight="1" x14ac:dyDescent="0.25">
      <c r="A29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0" s="79">
        <v>4</v>
      </c>
      <c r="C2950" s="23">
        <v>44859</v>
      </c>
      <c r="D2950" s="67">
        <f>IF(COUNTIF($G$2:$G2950,$G2950)=1,1,0)</f>
        <v>0</v>
      </c>
      <c r="E2950" s="67" t="str">
        <f>IFERROR(VLOOKUP(База_КР_КК[[#This Row],[ИД штатной должности (S)]],'уровень защищенности'!$B$7:$F$1095,5,0),"не защищена")</f>
        <v>высокий</v>
      </c>
      <c r="F2950" s="68">
        <v>500324</v>
      </c>
      <c r="G2950" s="74" t="s">
        <v>2881</v>
      </c>
      <c r="H2950" s="181">
        <f>INDEX('Списки данных'!$D$2:$D$1048576,MATCH(База_КР_КК[[#This Row],[Структурное подразделение]],'Списки данных'!$C$2:$C$1048576,0))</f>
        <v>6</v>
      </c>
      <c r="I2950" s="80" t="s">
        <v>136</v>
      </c>
      <c r="J2950" s="80" t="s">
        <v>246</v>
      </c>
      <c r="K2950" s="80" t="s">
        <v>247</v>
      </c>
      <c r="L2950" s="30" t="s">
        <v>192</v>
      </c>
      <c r="M2950" s="68">
        <v>6</v>
      </c>
      <c r="N2950" s="181" t="str">
        <f t="shared" si="47"/>
        <v>нет</v>
      </c>
      <c r="O2950" s="23"/>
      <c r="P2950" s="23"/>
      <c r="Q2950" s="106"/>
      <c r="R2950" s="37">
        <v>704</v>
      </c>
      <c r="S2950" s="39" t="s">
        <v>1113</v>
      </c>
      <c r="T2950" s="37">
        <v>1806</v>
      </c>
      <c r="U2950" s="38" t="s">
        <v>2059</v>
      </c>
      <c r="V2950" s="69" t="s">
        <v>272</v>
      </c>
      <c r="W2950" s="89" t="s">
        <v>136</v>
      </c>
      <c r="X2950" s="106" t="s">
        <v>296</v>
      </c>
      <c r="Y2950" s="107" t="s">
        <v>12</v>
      </c>
      <c r="Z2950" s="67">
        <f>IF(База_КР_КК[[#This Row],[Таб.номер резервиста]]="-","-",IF(OR(База_КР_КК[[#This Row],[Уровень КК]]=2,База_КР_КК[[#This Row],[Уровень КК]]=3),IF(COUNTIFS($U$2:$U2950,$U2950,$F$2:$F2950,$F2950)=1,1,0),IF(COUNTIFS($U$2:$U2950,$U2950,$L$2:$L2950,$L2950)=1,1,0)))</f>
        <v>1</v>
      </c>
      <c r="AA29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0" s="106"/>
      <c r="AC2950" s="51"/>
      <c r="AD2950" s="106" t="s">
        <v>15</v>
      </c>
      <c r="AE2950" s="38" t="s">
        <v>376</v>
      </c>
    </row>
    <row r="2951" spans="1:31" ht="18" customHeight="1" x14ac:dyDescent="0.25">
      <c r="A29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1" s="79">
        <v>3</v>
      </c>
      <c r="C2951" s="23">
        <v>43458</v>
      </c>
      <c r="D2951" s="67">
        <f>IF(COUNTIF($G$2:$G2951,$G2951)=1,1,0)</f>
        <v>1</v>
      </c>
      <c r="E2951" s="67" t="str">
        <f>IFERROR(VLOOKUP(База_КР_КК[[#This Row],[ИД штатной должности (S)]],'уровень защищенности'!$B$7:$F$1095,5,0),"не защищена")</f>
        <v>высокий</v>
      </c>
      <c r="F2951" s="68">
        <v>500020</v>
      </c>
      <c r="G2951" s="74" t="s">
        <v>2882</v>
      </c>
      <c r="H2951" s="181">
        <f>INDEX('Списки данных'!$D$2:$D$1048576,MATCH(База_КР_КК[[#This Row],[Структурное подразделение]],'Списки данных'!$C$2:$C$1048576,0))</f>
        <v>7</v>
      </c>
      <c r="I2951" s="80" t="s">
        <v>137</v>
      </c>
      <c r="J2951" s="80" t="s">
        <v>248</v>
      </c>
      <c r="K2951" s="80" t="s">
        <v>249</v>
      </c>
      <c r="L2951" s="30" t="s">
        <v>198</v>
      </c>
      <c r="M2951" s="68">
        <v>5</v>
      </c>
      <c r="N2951" s="181" t="str">
        <f t="shared" si="47"/>
        <v>нет</v>
      </c>
      <c r="O2951" s="23"/>
      <c r="P2951" s="23"/>
      <c r="Q2951" s="106"/>
      <c r="R2951" s="37">
        <v>705</v>
      </c>
      <c r="S2951" s="38" t="s">
        <v>1114</v>
      </c>
      <c r="T2951" s="37">
        <v>777</v>
      </c>
      <c r="U2951" s="39" t="s">
        <v>1186</v>
      </c>
      <c r="V2951" s="89" t="s">
        <v>192</v>
      </c>
      <c r="W2951" s="90" t="s">
        <v>137</v>
      </c>
      <c r="X2951" s="106" t="s">
        <v>295</v>
      </c>
      <c r="Y2951" s="107" t="s">
        <v>12</v>
      </c>
      <c r="Z2951" s="67">
        <f>IF(База_КР_КК[[#This Row],[Таб.номер резервиста]]="-","-",IF(OR(База_КР_КК[[#This Row],[Уровень КК]]=2,База_КР_КК[[#This Row],[Уровень КК]]=3),IF(COUNTIFS($U$2:$U2951,$U2951,$F$2:$F2951,$F2951)=1,1,0),IF(COUNTIFS($U$2:$U2951,$U2951,$L$2:$L2951,$L2951)=1,1,0)))</f>
        <v>1</v>
      </c>
      <c r="AA29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1" s="106"/>
      <c r="AC2951" s="51"/>
      <c r="AD2951" s="106" t="s">
        <v>17</v>
      </c>
      <c r="AE2951" s="38" t="s">
        <v>370</v>
      </c>
    </row>
    <row r="2952" spans="1:31" ht="18" customHeight="1" x14ac:dyDescent="0.25">
      <c r="A29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2" s="79">
        <v>3</v>
      </c>
      <c r="C2952" s="23">
        <v>43458</v>
      </c>
      <c r="D2952" s="67">
        <f>IF(COUNTIF($G$2:$G2952,$G2952)=1,1,0)</f>
        <v>0</v>
      </c>
      <c r="E2952" s="67" t="str">
        <f>IFERROR(VLOOKUP(База_КР_КК[[#This Row],[ИД штатной должности (S)]],'уровень защищенности'!$B$7:$F$1095,5,0),"не защищена")</f>
        <v>высокий</v>
      </c>
      <c r="F2952" s="68">
        <v>500020</v>
      </c>
      <c r="G2952" s="74" t="s">
        <v>2882</v>
      </c>
      <c r="H2952" s="181">
        <f>INDEX('Списки данных'!$D$2:$D$1048576,MATCH(База_КР_КК[[#This Row],[Структурное подразделение]],'Списки данных'!$C$2:$C$1048576,0))</f>
        <v>7</v>
      </c>
      <c r="I2952" s="80" t="s">
        <v>137</v>
      </c>
      <c r="J2952" s="80" t="s">
        <v>248</v>
      </c>
      <c r="K2952" s="80" t="s">
        <v>249</v>
      </c>
      <c r="L2952" s="30" t="s">
        <v>198</v>
      </c>
      <c r="M2952" s="68">
        <v>5</v>
      </c>
      <c r="N2952" s="181" t="str">
        <f t="shared" si="47"/>
        <v>нет</v>
      </c>
      <c r="O2952" s="23"/>
      <c r="P2952" s="23"/>
      <c r="Q2952" s="106"/>
      <c r="R2952" s="37">
        <v>705</v>
      </c>
      <c r="S2952" s="38" t="s">
        <v>1114</v>
      </c>
      <c r="T2952" s="37">
        <v>775</v>
      </c>
      <c r="U2952" s="39" t="s">
        <v>1184</v>
      </c>
      <c r="V2952" s="89" t="s">
        <v>192</v>
      </c>
      <c r="W2952" s="90" t="s">
        <v>137</v>
      </c>
      <c r="X2952" s="106" t="s">
        <v>295</v>
      </c>
      <c r="Y2952" s="107" t="s">
        <v>12</v>
      </c>
      <c r="Z2952" s="67">
        <f>IF(База_КР_КК[[#This Row],[Таб.номер резервиста]]="-","-",IF(OR(База_КР_КК[[#This Row],[Уровень КК]]=2,База_КР_КК[[#This Row],[Уровень КК]]=3),IF(COUNTIFS($U$2:$U2952,$U2952,$F$2:$F2952,$F2952)=1,1,0),IF(COUNTIFS($U$2:$U2952,$U2952,$L$2:$L2952,$L2952)=1,1,0)))</f>
        <v>1</v>
      </c>
      <c r="AA29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2" s="106"/>
      <c r="AC2952" s="51"/>
      <c r="AD2952" s="106" t="s">
        <v>17</v>
      </c>
      <c r="AE2952" s="38" t="s">
        <v>370</v>
      </c>
    </row>
    <row r="2953" spans="1:31" ht="18" customHeight="1" x14ac:dyDescent="0.25">
      <c r="A29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3" s="79">
        <v>4</v>
      </c>
      <c r="C2953" s="23">
        <v>44109</v>
      </c>
      <c r="D2953" s="67">
        <f>IF(COUNTIF($G$2:$G2953,$G2953)=1,1,0)</f>
        <v>1</v>
      </c>
      <c r="E2953" s="67" t="str">
        <f>IFERROR(VLOOKUP(База_КР_КК[[#This Row],[ИД штатной должности (S)]],'уровень защищенности'!$B$7:$F$1095,5,0),"не защищена")</f>
        <v>высокий</v>
      </c>
      <c r="F2953" s="68">
        <v>500325</v>
      </c>
      <c r="G2953" s="74" t="s">
        <v>2883</v>
      </c>
      <c r="H2953" s="181">
        <f>INDEX('Списки данных'!$D$2:$D$1048576,MATCH(База_КР_КК[[#This Row],[Структурное подразделение]],'Списки данных'!$C$2:$C$1048576,0))</f>
        <v>6</v>
      </c>
      <c r="I2953" s="80" t="s">
        <v>136</v>
      </c>
      <c r="J2953" s="80" t="s">
        <v>246</v>
      </c>
      <c r="K2953" s="80" t="s">
        <v>247</v>
      </c>
      <c r="L2953" s="30" t="s">
        <v>191</v>
      </c>
      <c r="M2953" s="68">
        <v>6</v>
      </c>
      <c r="N2953" s="181" t="str">
        <f t="shared" si="47"/>
        <v>нет</v>
      </c>
      <c r="O2953" s="23"/>
      <c r="P2953" s="23"/>
      <c r="Q2953" s="106"/>
      <c r="R2953" s="37">
        <v>706</v>
      </c>
      <c r="S2953" s="38" t="s">
        <v>1115</v>
      </c>
      <c r="T2953" s="37">
        <v>1808</v>
      </c>
      <c r="U2953" s="39" t="s">
        <v>2060</v>
      </c>
      <c r="V2953" s="89" t="s">
        <v>272</v>
      </c>
      <c r="W2953" s="89" t="s">
        <v>136</v>
      </c>
      <c r="X2953" s="106" t="s">
        <v>295</v>
      </c>
      <c r="Y2953" s="107" t="s">
        <v>12</v>
      </c>
      <c r="Z2953" s="67">
        <f>IF(База_КР_КК[[#This Row],[Таб.номер резервиста]]="-","-",IF(OR(База_КР_КК[[#This Row],[Уровень КК]]=2,База_КР_КК[[#This Row],[Уровень КК]]=3),IF(COUNTIFS($U$2:$U2953,$U2953,$F$2:$F2953,$F2953)=1,1,0),IF(COUNTIFS($U$2:$U2953,$U2953,$L$2:$L2953,$L2953)=1,1,0)))</f>
        <v>1</v>
      </c>
      <c r="AA29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3" s="106"/>
      <c r="AC2953" s="51"/>
      <c r="AD2953" s="106" t="s">
        <v>17</v>
      </c>
      <c r="AE2953" s="38" t="s">
        <v>376</v>
      </c>
    </row>
    <row r="2954" spans="1:31" ht="18" customHeight="1" x14ac:dyDescent="0.25">
      <c r="A29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4" s="79">
        <v>4</v>
      </c>
      <c r="C2954" s="23">
        <v>44109</v>
      </c>
      <c r="D2954" s="67">
        <f>IF(COUNTIF($G$2:$G2954,$G2954)=1,1,0)</f>
        <v>1</v>
      </c>
      <c r="E2954" s="67" t="str">
        <f>IFERROR(VLOOKUP(База_КР_КК[[#This Row],[ИД штатной должности (S)]],'уровень защищенности'!$B$7:$F$1095,5,0),"не защищена")</f>
        <v>высокий</v>
      </c>
      <c r="F2954" s="68">
        <v>500325</v>
      </c>
      <c r="G2954" s="74" t="s">
        <v>2884</v>
      </c>
      <c r="H2954" s="181">
        <f>INDEX('Списки данных'!$D$2:$D$1048576,MATCH(База_КР_КК[[#This Row],[Структурное подразделение]],'Списки данных'!$C$2:$C$1048576,0))</f>
        <v>6</v>
      </c>
      <c r="I2954" s="80" t="s">
        <v>136</v>
      </c>
      <c r="J2954" s="80" t="s">
        <v>246</v>
      </c>
      <c r="K2954" s="80" t="s">
        <v>247</v>
      </c>
      <c r="L2954" s="30" t="s">
        <v>191</v>
      </c>
      <c r="M2954" s="68">
        <v>6</v>
      </c>
      <c r="N2954" s="181" t="str">
        <f t="shared" si="47"/>
        <v>да</v>
      </c>
      <c r="O2954" s="23">
        <v>45020</v>
      </c>
      <c r="P2954" s="23"/>
      <c r="Q2954" s="106"/>
      <c r="R2954" s="37" t="s">
        <v>23</v>
      </c>
      <c r="S2954" s="37" t="s">
        <v>23</v>
      </c>
      <c r="T2954" s="37">
        <v>1808</v>
      </c>
      <c r="U2954" s="39" t="s">
        <v>2060</v>
      </c>
      <c r="V2954" s="89" t="s">
        <v>272</v>
      </c>
      <c r="W2954" s="89" t="s">
        <v>136</v>
      </c>
      <c r="X2954" s="106" t="s">
        <v>295</v>
      </c>
      <c r="Y2954" s="107" t="s">
        <v>12</v>
      </c>
      <c r="Z2954" s="67">
        <f>IF(База_КР_КК[[#This Row],[Таб.номер резервиста]]="-","-",IF(OR(База_КР_КК[[#This Row],[Уровень КК]]=2,База_КР_КК[[#This Row],[Уровень КК]]=3),IF(COUNTIFS($U$2:$U2954,$U2954,$F$2:$F2954,$F2954)=1,1,0),IF(COUNTIFS($U$2:$U2954,$U2954,$L$2:$L2954,$L2954)=1,1,0)))</f>
        <v>0</v>
      </c>
      <c r="AA29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4" s="106"/>
      <c r="AC2954" s="51"/>
      <c r="AD2954" s="106" t="s">
        <v>17</v>
      </c>
      <c r="AE2954" s="38" t="s">
        <v>376</v>
      </c>
    </row>
    <row r="2955" spans="1:31" ht="18" customHeight="1" x14ac:dyDescent="0.25">
      <c r="A29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5" s="79">
        <v>4</v>
      </c>
      <c r="C2955" s="23">
        <v>44109</v>
      </c>
      <c r="D2955" s="67">
        <f>IF(COUNTIF($G$2:$G2955,$G2955)=1,1,0)</f>
        <v>1</v>
      </c>
      <c r="E2955" s="67" t="str">
        <f>IFERROR(VLOOKUP(База_КР_КК[[#This Row],[ИД штатной должности (S)]],'уровень защищенности'!$B$7:$F$1095,5,0),"не защищена")</f>
        <v>высокий</v>
      </c>
      <c r="F2955" s="68">
        <v>500325</v>
      </c>
      <c r="G2955" s="74" t="s">
        <v>2885</v>
      </c>
      <c r="H2955" s="181">
        <f>INDEX('Списки данных'!$D$2:$D$1048576,MATCH(База_КР_КК[[#This Row],[Структурное подразделение]],'Списки данных'!$C$2:$C$1048576,0))</f>
        <v>6</v>
      </c>
      <c r="I2955" s="80" t="s">
        <v>136</v>
      </c>
      <c r="J2955" s="80" t="s">
        <v>246</v>
      </c>
      <c r="K2955" s="80" t="s">
        <v>247</v>
      </c>
      <c r="L2955" s="30" t="s">
        <v>191</v>
      </c>
      <c r="M2955" s="68">
        <v>6</v>
      </c>
      <c r="N2955" s="181" t="str">
        <f t="shared" si="47"/>
        <v>нет</v>
      </c>
      <c r="O2955" s="23"/>
      <c r="P2955" s="23"/>
      <c r="Q2955" s="106"/>
      <c r="R2955" s="37">
        <v>707</v>
      </c>
      <c r="S2955" s="38" t="s">
        <v>1116</v>
      </c>
      <c r="T2955" s="37">
        <v>1808</v>
      </c>
      <c r="U2955" s="39" t="s">
        <v>2060</v>
      </c>
      <c r="V2955" s="89" t="s">
        <v>272</v>
      </c>
      <c r="W2955" s="89" t="s">
        <v>136</v>
      </c>
      <c r="X2955" s="106" t="s">
        <v>295</v>
      </c>
      <c r="Y2955" s="107" t="s">
        <v>12</v>
      </c>
      <c r="Z2955" s="67">
        <f>IF(База_КР_КК[[#This Row],[Таб.номер резервиста]]="-","-",IF(OR(База_КР_КК[[#This Row],[Уровень КК]]=2,База_КР_КК[[#This Row],[Уровень КК]]=3),IF(COUNTIFS($U$2:$U2955,$U2955,$F$2:$F2955,$F2955)=1,1,0),IF(COUNTIFS($U$2:$U2955,$U2955,$L$2:$L2955,$L2955)=1,1,0)))</f>
        <v>0</v>
      </c>
      <c r="AA29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5" s="106"/>
      <c r="AC2955" s="51"/>
      <c r="AD2955" s="106" t="s">
        <v>17</v>
      </c>
      <c r="AE2955" s="38" t="s">
        <v>376</v>
      </c>
    </row>
    <row r="2956" spans="1:31" ht="18" customHeight="1" x14ac:dyDescent="0.25">
      <c r="A29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6" s="79">
        <v>4</v>
      </c>
      <c r="C2956" s="23">
        <v>44109</v>
      </c>
      <c r="D2956" s="67">
        <f>IF(COUNTIF($G$2:$G2956,$G2956)=1,1,0)</f>
        <v>1</v>
      </c>
      <c r="E2956" s="67" t="str">
        <f>IFERROR(VLOOKUP(База_КР_КК[[#This Row],[ИД штатной должности (S)]],'уровень защищенности'!$B$7:$F$1095,5,0),"не защищена")</f>
        <v>высокий</v>
      </c>
      <c r="F2956" s="68">
        <v>500325</v>
      </c>
      <c r="G2956" s="74" t="s">
        <v>2886</v>
      </c>
      <c r="H2956" s="181">
        <f>INDEX('Списки данных'!$D$2:$D$1048576,MATCH(База_КР_КК[[#This Row],[Структурное подразделение]],'Списки данных'!$C$2:$C$1048576,0))</f>
        <v>6</v>
      </c>
      <c r="I2956" s="80" t="s">
        <v>136</v>
      </c>
      <c r="J2956" s="80" t="s">
        <v>246</v>
      </c>
      <c r="K2956" s="80" t="s">
        <v>247</v>
      </c>
      <c r="L2956" s="30" t="s">
        <v>191</v>
      </c>
      <c r="M2956" s="68">
        <v>6</v>
      </c>
      <c r="N2956" s="181" t="str">
        <f t="shared" si="47"/>
        <v>нет</v>
      </c>
      <c r="O2956" s="23"/>
      <c r="P2956" s="23"/>
      <c r="Q2956" s="106"/>
      <c r="R2956" s="37">
        <v>708</v>
      </c>
      <c r="S2956" s="38" t="s">
        <v>1117</v>
      </c>
      <c r="T2956" s="37">
        <v>1808</v>
      </c>
      <c r="U2956" s="39" t="s">
        <v>2060</v>
      </c>
      <c r="V2956" s="89" t="s">
        <v>272</v>
      </c>
      <c r="W2956" s="89" t="s">
        <v>136</v>
      </c>
      <c r="X2956" s="106" t="s">
        <v>295</v>
      </c>
      <c r="Y2956" s="107" t="s">
        <v>12</v>
      </c>
      <c r="Z2956" s="67">
        <f>IF(База_КР_КК[[#This Row],[Таб.номер резервиста]]="-","-",IF(OR(База_КР_КК[[#This Row],[Уровень КК]]=2,База_КР_КК[[#This Row],[Уровень КК]]=3),IF(COUNTIFS($U$2:$U2956,$U2956,$F$2:$F2956,$F2956)=1,1,0),IF(COUNTIFS($U$2:$U2956,$U2956,$L$2:$L2956,$L2956)=1,1,0)))</f>
        <v>0</v>
      </c>
      <c r="AA29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6" s="106"/>
      <c r="AC2956" s="51"/>
      <c r="AD2956" s="106" t="s">
        <v>17</v>
      </c>
      <c r="AE2956" s="38" t="s">
        <v>376</v>
      </c>
    </row>
    <row r="2957" spans="1:31" ht="18" customHeight="1" x14ac:dyDescent="0.25">
      <c r="A29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7" s="79">
        <v>4</v>
      </c>
      <c r="C2957" s="23">
        <v>44109</v>
      </c>
      <c r="D2957" s="67">
        <f>IF(COUNTIF($G$2:$G2957,$G2957)=1,1,0)</f>
        <v>1</v>
      </c>
      <c r="E2957" s="67" t="str">
        <f>IFERROR(VLOOKUP(База_КР_КК[[#This Row],[ИД штатной должности (S)]],'уровень защищенности'!$B$7:$F$1095,5,0),"не защищена")</f>
        <v>высокий</v>
      </c>
      <c r="F2957" s="68">
        <v>500326</v>
      </c>
      <c r="G2957" s="74" t="s">
        <v>2887</v>
      </c>
      <c r="H2957" s="181">
        <f>INDEX('Списки данных'!$D$2:$D$1048576,MATCH(База_КР_КК[[#This Row],[Структурное подразделение]],'Списки данных'!$C$2:$C$1048576,0))</f>
        <v>6</v>
      </c>
      <c r="I2957" s="80" t="s">
        <v>136</v>
      </c>
      <c r="J2957" s="80" t="s">
        <v>246</v>
      </c>
      <c r="K2957" s="80" t="s">
        <v>247</v>
      </c>
      <c r="L2957" s="30" t="s">
        <v>191</v>
      </c>
      <c r="M2957" s="68">
        <v>6</v>
      </c>
      <c r="N2957" s="181" t="str">
        <f t="shared" si="47"/>
        <v>нет</v>
      </c>
      <c r="O2957" s="23"/>
      <c r="P2957" s="23"/>
      <c r="Q2957" s="106"/>
      <c r="R2957" s="37">
        <v>709</v>
      </c>
      <c r="S2957" s="38" t="s">
        <v>1118</v>
      </c>
      <c r="T2957" s="37">
        <v>1809</v>
      </c>
      <c r="U2957" s="39" t="s">
        <v>2061</v>
      </c>
      <c r="V2957" s="89" t="s">
        <v>272</v>
      </c>
      <c r="W2957" s="89" t="s">
        <v>136</v>
      </c>
      <c r="X2957" s="106" t="s">
        <v>295</v>
      </c>
      <c r="Y2957" s="107" t="s">
        <v>12</v>
      </c>
      <c r="Z2957" s="67">
        <f>IF(База_КР_КК[[#This Row],[Таб.номер резервиста]]="-","-",IF(OR(База_КР_КК[[#This Row],[Уровень КК]]=2,База_КР_КК[[#This Row],[Уровень КК]]=3),IF(COUNTIFS($U$2:$U2957,$U2957,$F$2:$F2957,$F2957)=1,1,0),IF(COUNTIFS($U$2:$U2957,$U2957,$L$2:$L2957,$L2957)=1,1,0)))</f>
        <v>1</v>
      </c>
      <c r="AA29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7" s="106"/>
      <c r="AC2957" s="51"/>
      <c r="AD2957" s="106" t="s">
        <v>13</v>
      </c>
      <c r="AE2957" s="38" t="s">
        <v>376</v>
      </c>
    </row>
    <row r="2958" spans="1:31" ht="18" customHeight="1" x14ac:dyDescent="0.25">
      <c r="A29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8" s="79">
        <v>4</v>
      </c>
      <c r="C2958" s="23">
        <v>44109</v>
      </c>
      <c r="D2958" s="67">
        <f>IF(COUNTIF($G$2:$G2958,$G2958)=1,1,0)</f>
        <v>0</v>
      </c>
      <c r="E2958" s="67" t="str">
        <f>IFERROR(VLOOKUP(База_КР_КК[[#This Row],[ИД штатной должности (S)]],'уровень защищенности'!$B$7:$F$1095,5,0),"не защищена")</f>
        <v>высокий</v>
      </c>
      <c r="F2958" s="68">
        <v>500326</v>
      </c>
      <c r="G2958" s="74" t="s">
        <v>2887</v>
      </c>
      <c r="H2958" s="181">
        <f>INDEX('Списки данных'!$D$2:$D$1048576,MATCH(База_КР_КК[[#This Row],[Структурное подразделение]],'Списки данных'!$C$2:$C$1048576,0))</f>
        <v>6</v>
      </c>
      <c r="I2958" s="80" t="s">
        <v>136</v>
      </c>
      <c r="J2958" s="80" t="s">
        <v>246</v>
      </c>
      <c r="K2958" s="80" t="s">
        <v>247</v>
      </c>
      <c r="L2958" s="30" t="s">
        <v>191</v>
      </c>
      <c r="M2958" s="68">
        <v>6</v>
      </c>
      <c r="N2958" s="181" t="str">
        <f t="shared" si="47"/>
        <v>нет</v>
      </c>
      <c r="O2958" s="23"/>
      <c r="P2958" s="23"/>
      <c r="Q2958" s="106"/>
      <c r="R2958" s="37">
        <v>709</v>
      </c>
      <c r="S2958" s="38" t="s">
        <v>1118</v>
      </c>
      <c r="T2958" s="37">
        <v>1810</v>
      </c>
      <c r="U2958" s="39" t="s">
        <v>2062</v>
      </c>
      <c r="V2958" s="89" t="s">
        <v>272</v>
      </c>
      <c r="W2958" s="89" t="s">
        <v>136</v>
      </c>
      <c r="X2958" s="106" t="s">
        <v>295</v>
      </c>
      <c r="Y2958" s="107" t="s">
        <v>12</v>
      </c>
      <c r="Z2958" s="67">
        <f>IF(База_КР_КК[[#This Row],[Таб.номер резервиста]]="-","-",IF(OR(База_КР_КК[[#This Row],[Уровень КК]]=2,База_КР_КК[[#This Row],[Уровень КК]]=3),IF(COUNTIFS($U$2:$U2958,$U2958,$F$2:$F2958,$F2958)=1,1,0),IF(COUNTIFS($U$2:$U2958,$U2958,$L$2:$L2958,$L2958)=1,1,0)))</f>
        <v>1</v>
      </c>
      <c r="AA29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8" s="106"/>
      <c r="AC2958" s="51"/>
      <c r="AD2958" s="106" t="s">
        <v>13</v>
      </c>
      <c r="AE2958" s="38" t="s">
        <v>376</v>
      </c>
    </row>
    <row r="2959" spans="1:31" ht="18" customHeight="1" x14ac:dyDescent="0.25">
      <c r="A29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59" s="79">
        <v>4</v>
      </c>
      <c r="C2959" s="23">
        <v>44859</v>
      </c>
      <c r="D2959" s="67">
        <f>IF(COUNTIF($G$2:$G2959,$G2959)=1,1,0)</f>
        <v>0</v>
      </c>
      <c r="E2959" s="67" t="str">
        <f>IFERROR(VLOOKUP(База_КР_КК[[#This Row],[ИД штатной должности (S)]],'уровень защищенности'!$B$7:$F$1095,5,0),"не защищена")</f>
        <v>высокий</v>
      </c>
      <c r="F2959" s="68">
        <v>500326</v>
      </c>
      <c r="G2959" s="74" t="s">
        <v>2887</v>
      </c>
      <c r="H2959" s="181">
        <f>INDEX('Списки данных'!$D$2:$D$1048576,MATCH(База_КР_КК[[#This Row],[Структурное подразделение]],'Списки данных'!$C$2:$C$1048576,0))</f>
        <v>6</v>
      </c>
      <c r="I2959" s="80" t="s">
        <v>136</v>
      </c>
      <c r="J2959" s="80" t="s">
        <v>246</v>
      </c>
      <c r="K2959" s="80" t="s">
        <v>247</v>
      </c>
      <c r="L2959" s="30" t="s">
        <v>191</v>
      </c>
      <c r="M2959" s="68">
        <v>6</v>
      </c>
      <c r="N2959" s="181" t="str">
        <f t="shared" si="47"/>
        <v>нет</v>
      </c>
      <c r="O2959" s="23"/>
      <c r="P2959" s="23"/>
      <c r="Q2959" s="106"/>
      <c r="R2959" s="37">
        <v>709</v>
      </c>
      <c r="S2959" s="39" t="s">
        <v>1118</v>
      </c>
      <c r="T2959" s="37">
        <v>1759</v>
      </c>
      <c r="U2959" s="38" t="s">
        <v>1925</v>
      </c>
      <c r="V2959" s="89" t="s">
        <v>272</v>
      </c>
      <c r="W2959" s="89" t="s">
        <v>136</v>
      </c>
      <c r="X2959" s="106" t="s">
        <v>295</v>
      </c>
      <c r="Y2959" s="107" t="s">
        <v>12</v>
      </c>
      <c r="Z2959" s="67">
        <f>IF(База_КР_КК[[#This Row],[Таб.номер резервиста]]="-","-",IF(OR(База_КР_КК[[#This Row],[Уровень КК]]=2,База_КР_КК[[#This Row],[Уровень КК]]=3),IF(COUNTIFS($U$2:$U2959,$U2959,$F$2:$F2959,$F2959)=1,1,0),IF(COUNTIFS($U$2:$U2959,$U2959,$L$2:$L2959,$L2959)=1,1,0)))</f>
        <v>0</v>
      </c>
      <c r="AA29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59" s="106"/>
      <c r="AC2959" s="51"/>
      <c r="AD2959" s="106" t="s">
        <v>13</v>
      </c>
      <c r="AE2959" s="38" t="s">
        <v>376</v>
      </c>
    </row>
    <row r="2960" spans="1:31" ht="18" customHeight="1" x14ac:dyDescent="0.25">
      <c r="A29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0" s="79">
        <v>4</v>
      </c>
      <c r="C2960" s="23">
        <v>44109</v>
      </c>
      <c r="D2960" s="67">
        <f>IF(COUNTIF($G$2:$G2960,$G2960)=1,1,0)</f>
        <v>1</v>
      </c>
      <c r="E2960" s="67" t="str">
        <f>IFERROR(VLOOKUP(База_КР_КК[[#This Row],[ИД штатной должности (S)]],'уровень защищенности'!$B$7:$F$1095,5,0),"не защищена")</f>
        <v>высокий</v>
      </c>
      <c r="F2960" s="68">
        <v>500326</v>
      </c>
      <c r="G2960" s="74" t="s">
        <v>2888</v>
      </c>
      <c r="H2960" s="181">
        <f>INDEX('Списки данных'!$D$2:$D$1048576,MATCH(База_КР_КК[[#This Row],[Структурное подразделение]],'Списки данных'!$C$2:$C$1048576,0))</f>
        <v>6</v>
      </c>
      <c r="I2960" s="80" t="s">
        <v>136</v>
      </c>
      <c r="J2960" s="80" t="s">
        <v>246</v>
      </c>
      <c r="K2960" s="80" t="s">
        <v>247</v>
      </c>
      <c r="L2960" s="30" t="s">
        <v>191</v>
      </c>
      <c r="M2960" s="68">
        <v>6</v>
      </c>
      <c r="N2960" s="181" t="str">
        <f t="shared" si="47"/>
        <v>нет</v>
      </c>
      <c r="O2960" s="23"/>
      <c r="P2960" s="23"/>
      <c r="Q2960" s="106"/>
      <c r="R2960" s="37">
        <v>710</v>
      </c>
      <c r="S2960" s="38" t="s">
        <v>1119</v>
      </c>
      <c r="T2960" s="37">
        <v>1809</v>
      </c>
      <c r="U2960" s="39" t="s">
        <v>2061</v>
      </c>
      <c r="V2960" s="89" t="s">
        <v>272</v>
      </c>
      <c r="W2960" s="89" t="s">
        <v>136</v>
      </c>
      <c r="X2960" s="106" t="s">
        <v>295</v>
      </c>
      <c r="Y2960" s="107" t="s">
        <v>12</v>
      </c>
      <c r="Z2960" s="67">
        <f>IF(База_КР_КК[[#This Row],[Таб.номер резервиста]]="-","-",IF(OR(База_КР_КК[[#This Row],[Уровень КК]]=2,База_КР_КК[[#This Row],[Уровень КК]]=3),IF(COUNTIFS($U$2:$U2960,$U2960,$F$2:$F2960,$F2960)=1,1,0),IF(COUNTIFS($U$2:$U2960,$U2960,$L$2:$L2960,$L2960)=1,1,0)))</f>
        <v>0</v>
      </c>
      <c r="AA29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0" s="106"/>
      <c r="AC2960" s="51"/>
      <c r="AD2960" s="106" t="s">
        <v>13</v>
      </c>
      <c r="AE2960" s="38" t="s">
        <v>376</v>
      </c>
    </row>
    <row r="2961" spans="1:31" ht="18" customHeight="1" x14ac:dyDescent="0.25">
      <c r="A29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1" s="79">
        <v>4</v>
      </c>
      <c r="C2961" s="23">
        <v>44109</v>
      </c>
      <c r="D2961" s="67">
        <f>IF(COUNTIF($G$2:$G2961,$G2961)=1,1,0)</f>
        <v>0</v>
      </c>
      <c r="E2961" s="67" t="str">
        <f>IFERROR(VLOOKUP(База_КР_КК[[#This Row],[ИД штатной должности (S)]],'уровень защищенности'!$B$7:$F$1095,5,0),"не защищена")</f>
        <v>высокий</v>
      </c>
      <c r="F2961" s="68">
        <v>500326</v>
      </c>
      <c r="G2961" s="74" t="s">
        <v>2888</v>
      </c>
      <c r="H2961" s="181">
        <f>INDEX('Списки данных'!$D$2:$D$1048576,MATCH(База_КР_КК[[#This Row],[Структурное подразделение]],'Списки данных'!$C$2:$C$1048576,0))</f>
        <v>6</v>
      </c>
      <c r="I2961" s="80" t="s">
        <v>136</v>
      </c>
      <c r="J2961" s="80" t="s">
        <v>246</v>
      </c>
      <c r="K2961" s="80" t="s">
        <v>247</v>
      </c>
      <c r="L2961" s="30" t="s">
        <v>191</v>
      </c>
      <c r="M2961" s="68">
        <v>6</v>
      </c>
      <c r="N2961" s="181" t="str">
        <f t="shared" si="47"/>
        <v>нет</v>
      </c>
      <c r="O2961" s="23"/>
      <c r="P2961" s="23"/>
      <c r="Q2961" s="106"/>
      <c r="R2961" s="37">
        <v>710</v>
      </c>
      <c r="S2961" s="38" t="s">
        <v>1119</v>
      </c>
      <c r="T2961" s="37">
        <v>1810</v>
      </c>
      <c r="U2961" s="39" t="s">
        <v>2062</v>
      </c>
      <c r="V2961" s="89" t="s">
        <v>272</v>
      </c>
      <c r="W2961" s="89" t="s">
        <v>136</v>
      </c>
      <c r="X2961" s="106" t="s">
        <v>295</v>
      </c>
      <c r="Y2961" s="107" t="s">
        <v>12</v>
      </c>
      <c r="Z2961" s="67">
        <f>IF(База_КР_КК[[#This Row],[Таб.номер резервиста]]="-","-",IF(OR(База_КР_КК[[#This Row],[Уровень КК]]=2,База_КР_КК[[#This Row],[Уровень КК]]=3),IF(COUNTIFS($U$2:$U2961,$U2961,$F$2:$F2961,$F2961)=1,1,0),IF(COUNTIFS($U$2:$U2961,$U2961,$L$2:$L2961,$L2961)=1,1,0)))</f>
        <v>0</v>
      </c>
      <c r="AA29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1" s="106"/>
      <c r="AC2961" s="51"/>
      <c r="AD2961" s="106" t="s">
        <v>13</v>
      </c>
      <c r="AE2961" s="38" t="s">
        <v>376</v>
      </c>
    </row>
    <row r="2962" spans="1:31" ht="18" customHeight="1" x14ac:dyDescent="0.25">
      <c r="A29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2" s="79">
        <v>4</v>
      </c>
      <c r="C2962" s="23">
        <v>44859</v>
      </c>
      <c r="D2962" s="67">
        <f>IF(COUNTIF($G$2:$G2962,$G2962)=1,1,0)</f>
        <v>0</v>
      </c>
      <c r="E2962" s="67" t="str">
        <f>IFERROR(VLOOKUP(База_КР_КК[[#This Row],[ИД штатной должности (S)]],'уровень защищенности'!$B$7:$F$1095,5,0),"не защищена")</f>
        <v>высокий</v>
      </c>
      <c r="F2962" s="68">
        <v>500326</v>
      </c>
      <c r="G2962" s="74" t="s">
        <v>2888</v>
      </c>
      <c r="H2962" s="181">
        <f>INDEX('Списки данных'!$D$2:$D$1048576,MATCH(База_КР_КК[[#This Row],[Структурное подразделение]],'Списки данных'!$C$2:$C$1048576,0))</f>
        <v>6</v>
      </c>
      <c r="I2962" s="80" t="s">
        <v>136</v>
      </c>
      <c r="J2962" s="80" t="s">
        <v>246</v>
      </c>
      <c r="K2962" s="80" t="s">
        <v>247</v>
      </c>
      <c r="L2962" s="30" t="s">
        <v>191</v>
      </c>
      <c r="M2962" s="68">
        <v>6</v>
      </c>
      <c r="N2962" s="181" t="str">
        <f t="shared" si="47"/>
        <v>нет</v>
      </c>
      <c r="O2962" s="23"/>
      <c r="P2962" s="23"/>
      <c r="Q2962" s="106"/>
      <c r="R2962" s="37">
        <v>710</v>
      </c>
      <c r="S2962" s="39" t="s">
        <v>1119</v>
      </c>
      <c r="T2962" s="37">
        <v>1759</v>
      </c>
      <c r="U2962" s="38" t="s">
        <v>1925</v>
      </c>
      <c r="V2962" s="89" t="s">
        <v>272</v>
      </c>
      <c r="W2962" s="89" t="s">
        <v>136</v>
      </c>
      <c r="X2962" s="106" t="s">
        <v>295</v>
      </c>
      <c r="Y2962" s="107" t="s">
        <v>12</v>
      </c>
      <c r="Z2962" s="67">
        <f>IF(База_КР_КК[[#This Row],[Таб.номер резервиста]]="-","-",IF(OR(База_КР_КК[[#This Row],[Уровень КК]]=2,База_КР_КК[[#This Row],[Уровень КК]]=3),IF(COUNTIFS($U$2:$U2962,$U2962,$F$2:$F2962,$F2962)=1,1,0),IF(COUNTIFS($U$2:$U2962,$U2962,$L$2:$L2962,$L2962)=1,1,0)))</f>
        <v>0</v>
      </c>
      <c r="AA29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2" s="106"/>
      <c r="AC2962" s="51"/>
      <c r="AD2962" s="106" t="s">
        <v>13</v>
      </c>
      <c r="AE2962" s="38" t="s">
        <v>376</v>
      </c>
    </row>
    <row r="2963" spans="1:31" ht="18" customHeight="1" x14ac:dyDescent="0.25">
      <c r="A29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3" s="79">
        <v>4</v>
      </c>
      <c r="C2963" s="23">
        <v>44109</v>
      </c>
      <c r="D2963" s="67">
        <f>IF(COUNTIF($G$2:$G2963,$G2963)=1,1,0)</f>
        <v>1</v>
      </c>
      <c r="E2963" s="67" t="str">
        <f>IFERROR(VLOOKUP(База_КР_КК[[#This Row],[ИД штатной должности (S)]],'уровень защищенности'!$B$7:$F$1095,5,0),"не защищена")</f>
        <v>высокий</v>
      </c>
      <c r="F2963" s="68">
        <v>500326</v>
      </c>
      <c r="G2963" s="74" t="s">
        <v>2889</v>
      </c>
      <c r="H2963" s="181">
        <f>INDEX('Списки данных'!$D$2:$D$1048576,MATCH(База_КР_КК[[#This Row],[Структурное подразделение]],'Списки данных'!$C$2:$C$1048576,0))</f>
        <v>6</v>
      </c>
      <c r="I2963" s="80" t="s">
        <v>136</v>
      </c>
      <c r="J2963" s="80" t="s">
        <v>246</v>
      </c>
      <c r="K2963" s="80" t="s">
        <v>247</v>
      </c>
      <c r="L2963" s="30" t="s">
        <v>191</v>
      </c>
      <c r="M2963" s="68">
        <v>6</v>
      </c>
      <c r="N2963" s="181" t="str">
        <f t="shared" si="47"/>
        <v>нет</v>
      </c>
      <c r="O2963" s="23"/>
      <c r="P2963" s="23"/>
      <c r="Q2963" s="106"/>
      <c r="R2963" s="37">
        <v>711</v>
      </c>
      <c r="S2963" s="38" t="s">
        <v>1120</v>
      </c>
      <c r="T2963" s="37">
        <v>1809</v>
      </c>
      <c r="U2963" s="39" t="s">
        <v>2061</v>
      </c>
      <c r="V2963" s="89" t="s">
        <v>272</v>
      </c>
      <c r="W2963" s="89" t="s">
        <v>136</v>
      </c>
      <c r="X2963" s="106" t="s">
        <v>295</v>
      </c>
      <c r="Y2963" s="107" t="s">
        <v>12</v>
      </c>
      <c r="Z2963" s="67">
        <f>IF(База_КР_КК[[#This Row],[Таб.номер резервиста]]="-","-",IF(OR(База_КР_КК[[#This Row],[Уровень КК]]=2,База_КР_КК[[#This Row],[Уровень КК]]=3),IF(COUNTIFS($U$2:$U2963,$U2963,$F$2:$F2963,$F2963)=1,1,0),IF(COUNTIFS($U$2:$U2963,$U2963,$L$2:$L2963,$L2963)=1,1,0)))</f>
        <v>0</v>
      </c>
      <c r="AA29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3" s="106"/>
      <c r="AC2963" s="51"/>
      <c r="AD2963" s="106" t="s">
        <v>13</v>
      </c>
      <c r="AE2963" s="38" t="s">
        <v>376</v>
      </c>
    </row>
    <row r="2964" spans="1:31" ht="18" customHeight="1" x14ac:dyDescent="0.25">
      <c r="A29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4" s="79">
        <v>4</v>
      </c>
      <c r="C2964" s="23">
        <v>44109</v>
      </c>
      <c r="D2964" s="67">
        <f>IF(COUNTIF($G$2:$G2964,$G2964)=1,1,0)</f>
        <v>0</v>
      </c>
      <c r="E2964" s="67" t="str">
        <f>IFERROR(VLOOKUP(База_КР_КК[[#This Row],[ИД штатной должности (S)]],'уровень защищенности'!$B$7:$F$1095,5,0),"не защищена")</f>
        <v>высокий</v>
      </c>
      <c r="F2964" s="68">
        <v>500326</v>
      </c>
      <c r="G2964" s="74" t="s">
        <v>2889</v>
      </c>
      <c r="H2964" s="181">
        <f>INDEX('Списки данных'!$D$2:$D$1048576,MATCH(База_КР_КК[[#This Row],[Структурное подразделение]],'Списки данных'!$C$2:$C$1048576,0))</f>
        <v>6</v>
      </c>
      <c r="I2964" s="80" t="s">
        <v>136</v>
      </c>
      <c r="J2964" s="80" t="s">
        <v>246</v>
      </c>
      <c r="K2964" s="80" t="s">
        <v>247</v>
      </c>
      <c r="L2964" s="30" t="s">
        <v>191</v>
      </c>
      <c r="M2964" s="68">
        <v>6</v>
      </c>
      <c r="N2964" s="181" t="str">
        <f t="shared" si="47"/>
        <v>нет</v>
      </c>
      <c r="O2964" s="23"/>
      <c r="P2964" s="23"/>
      <c r="Q2964" s="106"/>
      <c r="R2964" s="37">
        <v>711</v>
      </c>
      <c r="S2964" s="38" t="s">
        <v>1120</v>
      </c>
      <c r="T2964" s="37">
        <v>1810</v>
      </c>
      <c r="U2964" s="39" t="s">
        <v>2062</v>
      </c>
      <c r="V2964" s="89" t="s">
        <v>272</v>
      </c>
      <c r="W2964" s="89" t="s">
        <v>136</v>
      </c>
      <c r="X2964" s="106" t="s">
        <v>295</v>
      </c>
      <c r="Y2964" s="107" t="s">
        <v>12</v>
      </c>
      <c r="Z2964" s="67">
        <f>IF(База_КР_КК[[#This Row],[Таб.номер резервиста]]="-","-",IF(OR(База_КР_КК[[#This Row],[Уровень КК]]=2,База_КР_КК[[#This Row],[Уровень КК]]=3),IF(COUNTIFS($U$2:$U2964,$U2964,$F$2:$F2964,$F2964)=1,1,0),IF(COUNTIFS($U$2:$U2964,$U2964,$L$2:$L2964,$L2964)=1,1,0)))</f>
        <v>0</v>
      </c>
      <c r="AA29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4" s="106"/>
      <c r="AC2964" s="51"/>
      <c r="AD2964" s="106" t="s">
        <v>13</v>
      </c>
      <c r="AE2964" s="38" t="s">
        <v>376</v>
      </c>
    </row>
    <row r="2965" spans="1:31" ht="18" customHeight="1" x14ac:dyDescent="0.25">
      <c r="A29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5" s="79">
        <v>4</v>
      </c>
      <c r="C2965" s="23">
        <v>44859</v>
      </c>
      <c r="D2965" s="67">
        <f>IF(COUNTIF($G$2:$G2965,$G2965)=1,1,0)</f>
        <v>0</v>
      </c>
      <c r="E2965" s="67" t="str">
        <f>IFERROR(VLOOKUP(База_КР_КК[[#This Row],[ИД штатной должности (S)]],'уровень защищенности'!$B$7:$F$1095,5,0),"не защищена")</f>
        <v>высокий</v>
      </c>
      <c r="F2965" s="68">
        <v>500326</v>
      </c>
      <c r="G2965" s="74" t="s">
        <v>2889</v>
      </c>
      <c r="H2965" s="181">
        <f>INDEX('Списки данных'!$D$2:$D$1048576,MATCH(База_КР_КК[[#This Row],[Структурное подразделение]],'Списки данных'!$C$2:$C$1048576,0))</f>
        <v>6</v>
      </c>
      <c r="I2965" s="80" t="s">
        <v>136</v>
      </c>
      <c r="J2965" s="80" t="s">
        <v>246</v>
      </c>
      <c r="K2965" s="80" t="s">
        <v>247</v>
      </c>
      <c r="L2965" s="30" t="s">
        <v>191</v>
      </c>
      <c r="M2965" s="68">
        <v>6</v>
      </c>
      <c r="N2965" s="181" t="str">
        <f t="shared" si="47"/>
        <v>нет</v>
      </c>
      <c r="O2965" s="23"/>
      <c r="P2965" s="23"/>
      <c r="Q2965" s="106"/>
      <c r="R2965" s="37">
        <v>711</v>
      </c>
      <c r="S2965" s="39" t="s">
        <v>1120</v>
      </c>
      <c r="T2965" s="37">
        <v>1759</v>
      </c>
      <c r="U2965" s="38" t="s">
        <v>1925</v>
      </c>
      <c r="V2965" s="89" t="s">
        <v>272</v>
      </c>
      <c r="W2965" s="89" t="s">
        <v>136</v>
      </c>
      <c r="X2965" s="106" t="s">
        <v>295</v>
      </c>
      <c r="Y2965" s="107" t="s">
        <v>12</v>
      </c>
      <c r="Z2965" s="67">
        <f>IF(База_КР_КК[[#This Row],[Таб.номер резервиста]]="-","-",IF(OR(База_КР_КК[[#This Row],[Уровень КК]]=2,База_КР_КК[[#This Row],[Уровень КК]]=3),IF(COUNTIFS($U$2:$U2965,$U2965,$F$2:$F2965,$F2965)=1,1,0),IF(COUNTIFS($U$2:$U2965,$U2965,$L$2:$L2965,$L2965)=1,1,0)))</f>
        <v>0</v>
      </c>
      <c r="AA29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5" s="106"/>
      <c r="AC2965" s="51"/>
      <c r="AD2965" s="106" t="s">
        <v>13</v>
      </c>
      <c r="AE2965" s="38" t="s">
        <v>376</v>
      </c>
    </row>
    <row r="2966" spans="1:31" ht="18" customHeight="1" x14ac:dyDescent="0.25">
      <c r="A29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6" s="79">
        <v>4</v>
      </c>
      <c r="C2966" s="23">
        <v>44109</v>
      </c>
      <c r="D2966" s="67">
        <f>IF(COUNTIF($G$2:$G2966,$G2966)=1,1,0)</f>
        <v>1</v>
      </c>
      <c r="E2966" s="67" t="str">
        <f>IFERROR(VLOOKUP(База_КР_КК[[#This Row],[ИД штатной должности (S)]],'уровень защищенности'!$B$7:$F$1095,5,0),"не защищена")</f>
        <v>высокий</v>
      </c>
      <c r="F2966" s="68">
        <v>500326</v>
      </c>
      <c r="G2966" s="74" t="s">
        <v>2890</v>
      </c>
      <c r="H2966" s="181">
        <f>INDEX('Списки данных'!$D$2:$D$1048576,MATCH(База_КР_КК[[#This Row],[Структурное подразделение]],'Списки данных'!$C$2:$C$1048576,0))</f>
        <v>6</v>
      </c>
      <c r="I2966" s="80" t="s">
        <v>136</v>
      </c>
      <c r="J2966" s="80" t="s">
        <v>246</v>
      </c>
      <c r="K2966" s="80" t="s">
        <v>247</v>
      </c>
      <c r="L2966" s="30" t="s">
        <v>191</v>
      </c>
      <c r="M2966" s="68">
        <v>6</v>
      </c>
      <c r="N2966" s="181" t="str">
        <f t="shared" si="47"/>
        <v>нет</v>
      </c>
      <c r="O2966" s="23"/>
      <c r="P2966" s="23"/>
      <c r="Q2966" s="106"/>
      <c r="R2966" s="37">
        <v>712</v>
      </c>
      <c r="S2966" s="38" t="s">
        <v>1121</v>
      </c>
      <c r="T2966" s="37">
        <v>1809</v>
      </c>
      <c r="U2966" s="39" t="s">
        <v>2061</v>
      </c>
      <c r="V2966" s="89" t="s">
        <v>272</v>
      </c>
      <c r="W2966" s="89" t="s">
        <v>136</v>
      </c>
      <c r="X2966" s="106" t="s">
        <v>295</v>
      </c>
      <c r="Y2966" s="107" t="s">
        <v>12</v>
      </c>
      <c r="Z2966" s="67">
        <f>IF(База_КР_КК[[#This Row],[Таб.номер резервиста]]="-","-",IF(OR(База_КР_КК[[#This Row],[Уровень КК]]=2,База_КР_КК[[#This Row],[Уровень КК]]=3),IF(COUNTIFS($U$2:$U2966,$U2966,$F$2:$F2966,$F2966)=1,1,0),IF(COUNTIFS($U$2:$U2966,$U2966,$L$2:$L2966,$L2966)=1,1,0)))</f>
        <v>0</v>
      </c>
      <c r="AA29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6" s="106"/>
      <c r="AC2966" s="51"/>
      <c r="AD2966" s="106" t="s">
        <v>13</v>
      </c>
      <c r="AE2966" s="38" t="s">
        <v>376</v>
      </c>
    </row>
    <row r="2967" spans="1:31" ht="18" customHeight="1" x14ac:dyDescent="0.25">
      <c r="A29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7" s="79">
        <v>4</v>
      </c>
      <c r="C2967" s="23">
        <v>44109</v>
      </c>
      <c r="D2967" s="67">
        <f>IF(COUNTIF($G$2:$G2967,$G2967)=1,1,0)</f>
        <v>0</v>
      </c>
      <c r="E2967" s="67" t="str">
        <f>IFERROR(VLOOKUP(База_КР_КК[[#This Row],[ИД штатной должности (S)]],'уровень защищенности'!$B$7:$F$1095,5,0),"не защищена")</f>
        <v>высокий</v>
      </c>
      <c r="F2967" s="68">
        <v>500326</v>
      </c>
      <c r="G2967" s="74" t="s">
        <v>2890</v>
      </c>
      <c r="H2967" s="181">
        <f>INDEX('Списки данных'!$D$2:$D$1048576,MATCH(База_КР_КК[[#This Row],[Структурное подразделение]],'Списки данных'!$C$2:$C$1048576,0))</f>
        <v>6</v>
      </c>
      <c r="I2967" s="80" t="s">
        <v>136</v>
      </c>
      <c r="J2967" s="80" t="s">
        <v>246</v>
      </c>
      <c r="K2967" s="80" t="s">
        <v>247</v>
      </c>
      <c r="L2967" s="30" t="s">
        <v>191</v>
      </c>
      <c r="M2967" s="68">
        <v>6</v>
      </c>
      <c r="N2967" s="181" t="str">
        <f t="shared" si="47"/>
        <v>нет</v>
      </c>
      <c r="O2967" s="23"/>
      <c r="P2967" s="23"/>
      <c r="Q2967" s="106"/>
      <c r="R2967" s="37">
        <v>712</v>
      </c>
      <c r="S2967" s="38" t="s">
        <v>1121</v>
      </c>
      <c r="T2967" s="37">
        <v>1810</v>
      </c>
      <c r="U2967" s="39" t="s">
        <v>2062</v>
      </c>
      <c r="V2967" s="89" t="s">
        <v>272</v>
      </c>
      <c r="W2967" s="89" t="s">
        <v>136</v>
      </c>
      <c r="X2967" s="106" t="s">
        <v>295</v>
      </c>
      <c r="Y2967" s="107" t="s">
        <v>12</v>
      </c>
      <c r="Z2967" s="67">
        <f>IF(База_КР_КК[[#This Row],[Таб.номер резервиста]]="-","-",IF(OR(База_КР_КК[[#This Row],[Уровень КК]]=2,База_КР_КК[[#This Row],[Уровень КК]]=3),IF(COUNTIFS($U$2:$U2967,$U2967,$F$2:$F2967,$F2967)=1,1,0),IF(COUNTIFS($U$2:$U2967,$U2967,$L$2:$L2967,$L2967)=1,1,0)))</f>
        <v>0</v>
      </c>
      <c r="AA29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7" s="106"/>
      <c r="AC2967" s="51"/>
      <c r="AD2967" s="106" t="s">
        <v>13</v>
      </c>
      <c r="AE2967" s="38" t="s">
        <v>376</v>
      </c>
    </row>
    <row r="2968" spans="1:31" ht="18" customHeight="1" x14ac:dyDescent="0.25">
      <c r="A29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8" s="79">
        <v>4</v>
      </c>
      <c r="C2968" s="23">
        <v>44859</v>
      </c>
      <c r="D2968" s="67">
        <f>IF(COUNTIF($G$2:$G2968,$G2968)=1,1,0)</f>
        <v>0</v>
      </c>
      <c r="E2968" s="67" t="str">
        <f>IFERROR(VLOOKUP(База_КР_КК[[#This Row],[ИД штатной должности (S)]],'уровень защищенности'!$B$7:$F$1095,5,0),"не защищена")</f>
        <v>высокий</v>
      </c>
      <c r="F2968" s="68">
        <v>500326</v>
      </c>
      <c r="G2968" s="74" t="s">
        <v>2890</v>
      </c>
      <c r="H2968" s="181">
        <f>INDEX('Списки данных'!$D$2:$D$1048576,MATCH(База_КР_КК[[#This Row],[Структурное подразделение]],'Списки данных'!$C$2:$C$1048576,0))</f>
        <v>6</v>
      </c>
      <c r="I2968" s="80" t="s">
        <v>136</v>
      </c>
      <c r="J2968" s="80" t="s">
        <v>246</v>
      </c>
      <c r="K2968" s="80" t="s">
        <v>247</v>
      </c>
      <c r="L2968" s="30" t="s">
        <v>191</v>
      </c>
      <c r="M2968" s="68">
        <v>6</v>
      </c>
      <c r="N2968" s="181" t="str">
        <f t="shared" si="47"/>
        <v>нет</v>
      </c>
      <c r="O2968" s="23"/>
      <c r="P2968" s="23"/>
      <c r="Q2968" s="106"/>
      <c r="R2968" s="37">
        <v>712</v>
      </c>
      <c r="S2968" s="39" t="s">
        <v>1121</v>
      </c>
      <c r="T2968" s="37">
        <v>1759</v>
      </c>
      <c r="U2968" s="38" t="s">
        <v>1925</v>
      </c>
      <c r="V2968" s="89" t="s">
        <v>272</v>
      </c>
      <c r="W2968" s="89" t="s">
        <v>136</v>
      </c>
      <c r="X2968" s="106" t="s">
        <v>295</v>
      </c>
      <c r="Y2968" s="107" t="s">
        <v>12</v>
      </c>
      <c r="Z2968" s="67">
        <f>IF(База_КР_КК[[#This Row],[Таб.номер резервиста]]="-","-",IF(OR(База_КР_КК[[#This Row],[Уровень КК]]=2,База_КР_КК[[#This Row],[Уровень КК]]=3),IF(COUNTIFS($U$2:$U2968,$U2968,$F$2:$F2968,$F2968)=1,1,0),IF(COUNTIFS($U$2:$U2968,$U2968,$L$2:$L2968,$L2968)=1,1,0)))</f>
        <v>0</v>
      </c>
      <c r="AA29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8" s="106"/>
      <c r="AC2968" s="51"/>
      <c r="AD2968" s="106" t="s">
        <v>13</v>
      </c>
      <c r="AE2968" s="38" t="s">
        <v>376</v>
      </c>
    </row>
    <row r="2969" spans="1:31" ht="18" customHeight="1" x14ac:dyDescent="0.25">
      <c r="A29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69" s="79">
        <v>3</v>
      </c>
      <c r="C2969" s="23">
        <v>44740</v>
      </c>
      <c r="D2969" s="67">
        <f>IF(COUNTIF($G$2:$G2969,$G2969)=1,1,0)</f>
        <v>1</v>
      </c>
      <c r="E2969" s="67" t="str">
        <f>IFERROR(VLOOKUP(База_КР_КК[[#This Row],[ИД штатной должности (S)]],'уровень защищенности'!$B$7:$F$1095,5,0),"не защищена")</f>
        <v>низкий</v>
      </c>
      <c r="F2969" s="68">
        <v>500021</v>
      </c>
      <c r="G2969" s="74" t="s">
        <v>2891</v>
      </c>
      <c r="H2969" s="181">
        <f>INDEX('Списки данных'!$D$2:$D$1048576,MATCH(База_КР_КК[[#This Row],[Структурное подразделение]],'Списки данных'!$C$2:$C$1048576,0))</f>
        <v>7</v>
      </c>
      <c r="I2969" s="80" t="s">
        <v>137</v>
      </c>
      <c r="J2969" s="80" t="s">
        <v>248</v>
      </c>
      <c r="K2969" s="80" t="s">
        <v>249</v>
      </c>
      <c r="L2969" s="30" t="s">
        <v>198</v>
      </c>
      <c r="M2969" s="68">
        <v>5</v>
      </c>
      <c r="N2969" s="181" t="str">
        <f t="shared" si="47"/>
        <v>да</v>
      </c>
      <c r="O2969" s="23">
        <v>44701</v>
      </c>
      <c r="P2969" s="23">
        <v>44701</v>
      </c>
      <c r="Q2969" s="106" t="s">
        <v>66</v>
      </c>
      <c r="R2969" s="37">
        <v>713</v>
      </c>
      <c r="S2969" s="39" t="s">
        <v>1122</v>
      </c>
      <c r="T2969" s="37">
        <v>757</v>
      </c>
      <c r="U2969" s="38" t="s">
        <v>1166</v>
      </c>
      <c r="V2969" s="89" t="s">
        <v>192</v>
      </c>
      <c r="W2969" s="90" t="s">
        <v>137</v>
      </c>
      <c r="X2969" s="106" t="s">
        <v>296</v>
      </c>
      <c r="Y2969" s="107" t="s">
        <v>12</v>
      </c>
      <c r="Z2969" s="67">
        <f>IF(База_КР_КК[[#This Row],[Таб.номер резервиста]]="-","-",IF(OR(База_КР_КК[[#This Row],[Уровень КК]]=2,База_КР_КК[[#This Row],[Уровень КК]]=3),IF(COUNTIFS($U$2:$U2969,$U2969,$F$2:$F2969,$F2969)=1,1,0),IF(COUNTIFS($U$2:$U2969,$U2969,$L$2:$L2969,$L2969)=1,1,0)))</f>
        <v>1</v>
      </c>
      <c r="AA29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69" s="106"/>
      <c r="AC2969" s="51"/>
      <c r="AD2969" s="106" t="s">
        <v>13</v>
      </c>
      <c r="AE2969" s="38" t="s">
        <v>370</v>
      </c>
    </row>
    <row r="2970" spans="1:31" ht="18" customHeight="1" x14ac:dyDescent="0.25">
      <c r="A29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0" s="79">
        <v>3</v>
      </c>
      <c r="C2970" s="23">
        <v>43458</v>
      </c>
      <c r="D2970" s="67">
        <f>IF(COUNTIF($G$2:$G2970,$G2970)=1,1,0)</f>
        <v>0</v>
      </c>
      <c r="E2970" s="67" t="str">
        <f>IFERROR(VLOOKUP(База_КР_КК[[#This Row],[ИД штатной должности (S)]],'уровень защищенности'!$B$7:$F$1095,5,0),"не защищена")</f>
        <v>низкий</v>
      </c>
      <c r="F2970" s="68">
        <v>500021</v>
      </c>
      <c r="G2970" s="74" t="s">
        <v>2891</v>
      </c>
      <c r="H2970" s="181">
        <f>INDEX('Списки данных'!$D$2:$D$1048576,MATCH(База_КР_КК[[#This Row],[Структурное подразделение]],'Списки данных'!$C$2:$C$1048576,0))</f>
        <v>7</v>
      </c>
      <c r="I2970" s="80" t="s">
        <v>137</v>
      </c>
      <c r="J2970" s="80" t="s">
        <v>248</v>
      </c>
      <c r="K2970" s="80" t="s">
        <v>249</v>
      </c>
      <c r="L2970" s="30" t="s">
        <v>198</v>
      </c>
      <c r="M2970" s="68">
        <v>5</v>
      </c>
      <c r="N2970" s="181" t="str">
        <f t="shared" si="47"/>
        <v>да</v>
      </c>
      <c r="O2970" s="23">
        <v>44701</v>
      </c>
      <c r="P2970" s="23">
        <v>44701</v>
      </c>
      <c r="Q2970" s="106" t="s">
        <v>66</v>
      </c>
      <c r="R2970" s="37">
        <v>713</v>
      </c>
      <c r="S2970" s="39" t="s">
        <v>1122</v>
      </c>
      <c r="T2970" s="37">
        <v>713</v>
      </c>
      <c r="U2970" s="39" t="s">
        <v>1122</v>
      </c>
      <c r="V2970" s="89" t="s">
        <v>192</v>
      </c>
      <c r="W2970" s="90" t="s">
        <v>137</v>
      </c>
      <c r="X2970" s="106" t="s">
        <v>295</v>
      </c>
      <c r="Y2970" s="107" t="s">
        <v>14</v>
      </c>
      <c r="Z2970" s="67">
        <f>IF(База_КР_КК[[#This Row],[Таб.номер резервиста]]="-","-",IF(OR(База_КР_КК[[#This Row],[Уровень КК]]=2,База_КР_КК[[#This Row],[Уровень КК]]=3),IF(COUNTIFS($U$2:$U2970,$U2970,$F$2:$F2970,$F2970)=1,1,0),IF(COUNTIFS($U$2:$U2970,$U2970,$L$2:$L2970,$L2970)=1,1,0)))</f>
        <v>1</v>
      </c>
      <c r="AA29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2970" s="106" t="s">
        <v>24</v>
      </c>
      <c r="AC2970" s="51">
        <v>44701</v>
      </c>
      <c r="AD2970" s="106" t="s">
        <v>17</v>
      </c>
      <c r="AE2970" s="38" t="s">
        <v>342</v>
      </c>
    </row>
    <row r="2971" spans="1:31" ht="18" customHeight="1" x14ac:dyDescent="0.25">
      <c r="A29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1" s="79">
        <v>3</v>
      </c>
      <c r="C2971" s="23">
        <v>44039</v>
      </c>
      <c r="D2971" s="67">
        <f>IF(COUNTIF($G$2:$G2971,$G2971)=1,1,0)</f>
        <v>1</v>
      </c>
      <c r="E2971" s="67" t="str">
        <f>IFERROR(VLOOKUP(База_КР_КК[[#This Row],[ИД штатной должности (S)]],'уровень защищенности'!$B$7:$F$1095,5,0),"не защищена")</f>
        <v>высокий</v>
      </c>
      <c r="F2971" s="68">
        <v>500022</v>
      </c>
      <c r="G2971" s="74" t="s">
        <v>2892</v>
      </c>
      <c r="H2971" s="181">
        <f>INDEX('Списки данных'!$D$2:$D$1048576,MATCH(База_КР_КК[[#This Row],[Структурное подразделение]],'Списки данных'!$C$2:$C$1048576,0))</f>
        <v>21</v>
      </c>
      <c r="I2971" s="80" t="s">
        <v>138</v>
      </c>
      <c r="J2971" s="80" t="s">
        <v>243</v>
      </c>
      <c r="K2971" s="80" t="s">
        <v>21</v>
      </c>
      <c r="L2971" s="30" t="s">
        <v>189</v>
      </c>
      <c r="M2971" s="68">
        <v>6</v>
      </c>
      <c r="N2971" s="181" t="str">
        <f t="shared" si="47"/>
        <v>нет</v>
      </c>
      <c r="O2971" s="23"/>
      <c r="P2971" s="23"/>
      <c r="Q2971" s="106"/>
      <c r="R2971" s="37">
        <v>714</v>
      </c>
      <c r="S2971" s="39" t="s">
        <v>1123</v>
      </c>
      <c r="T2971" s="37">
        <v>1811</v>
      </c>
      <c r="U2971" s="39" t="s">
        <v>1949</v>
      </c>
      <c r="V2971" s="89" t="s">
        <v>16</v>
      </c>
      <c r="W2971" s="89" t="s">
        <v>138</v>
      </c>
      <c r="X2971" s="106" t="s">
        <v>295</v>
      </c>
      <c r="Y2971" s="107" t="s">
        <v>12</v>
      </c>
      <c r="Z2971" s="67">
        <f>IF(База_КР_КК[[#This Row],[Таб.номер резервиста]]="-","-",IF(OR(База_КР_КК[[#This Row],[Уровень КК]]=2,База_КР_КК[[#This Row],[Уровень КК]]=3),IF(COUNTIFS($U$2:$U2971,$U2971,$F$2:$F2971,$F2971)=1,1,0),IF(COUNTIFS($U$2:$U2971,$U2971,$L$2:$L2971,$L2971)=1,1,0)))</f>
        <v>1</v>
      </c>
      <c r="AA29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1" s="106"/>
      <c r="AC2971" s="51"/>
      <c r="AD2971" s="106" t="s">
        <v>13</v>
      </c>
      <c r="AE2971" s="38" t="s">
        <v>370</v>
      </c>
    </row>
    <row r="2972" spans="1:31" ht="18" customHeight="1" x14ac:dyDescent="0.25">
      <c r="A29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2" s="79">
        <v>3</v>
      </c>
      <c r="C2972" s="23">
        <v>44740</v>
      </c>
      <c r="D2972" s="67">
        <f>IF(COUNTIF($G$2:$G2972,$G2972)=1,1,0)</f>
        <v>0</v>
      </c>
      <c r="E2972" s="67" t="str">
        <f>IFERROR(VLOOKUP(База_КР_КК[[#This Row],[ИД штатной должности (S)]],'уровень защищенности'!$B$7:$F$1095,5,0),"не защищена")</f>
        <v>высокий</v>
      </c>
      <c r="F2972" s="68">
        <v>500022</v>
      </c>
      <c r="G2972" s="74" t="s">
        <v>2892</v>
      </c>
      <c r="H2972" s="181">
        <f>INDEX('Списки данных'!$D$2:$D$1048576,MATCH(База_КР_КК[[#This Row],[Структурное подразделение]],'Списки данных'!$C$2:$C$1048576,0))</f>
        <v>21</v>
      </c>
      <c r="I2972" s="80" t="s">
        <v>138</v>
      </c>
      <c r="J2972" s="80" t="s">
        <v>243</v>
      </c>
      <c r="K2972" s="80" t="s">
        <v>21</v>
      </c>
      <c r="L2972" s="30" t="s">
        <v>189</v>
      </c>
      <c r="M2972" s="68">
        <v>6</v>
      </c>
      <c r="N2972" s="181" t="str">
        <f t="shared" si="47"/>
        <v>нет</v>
      </c>
      <c r="O2972" s="23"/>
      <c r="P2972" s="23"/>
      <c r="Q2972" s="106"/>
      <c r="R2972" s="37">
        <v>714</v>
      </c>
      <c r="S2972" s="39" t="s">
        <v>1123</v>
      </c>
      <c r="T2972" s="37">
        <v>729</v>
      </c>
      <c r="U2972" s="38" t="s">
        <v>1138</v>
      </c>
      <c r="V2972" s="89" t="s">
        <v>192</v>
      </c>
      <c r="W2972" s="89" t="s">
        <v>138</v>
      </c>
      <c r="X2972" s="106" t="s">
        <v>297</v>
      </c>
      <c r="Y2972" s="107" t="s">
        <v>12</v>
      </c>
      <c r="Z2972" s="67">
        <f>IF(База_КР_КК[[#This Row],[Таб.номер резервиста]]="-","-",IF(OR(База_КР_КК[[#This Row],[Уровень КК]]=2,База_КР_КК[[#This Row],[Уровень КК]]=3),IF(COUNTIFS($U$2:$U2972,$U2972,$F$2:$F2972,$F2972)=1,1,0),IF(COUNTIFS($U$2:$U2972,$U2972,$L$2:$L2972,$L2972)=1,1,0)))</f>
        <v>1</v>
      </c>
      <c r="AA29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2" s="106"/>
      <c r="AC2972" s="51"/>
      <c r="AD2972" s="106" t="s">
        <v>13</v>
      </c>
      <c r="AE2972" s="38" t="s">
        <v>370</v>
      </c>
    </row>
    <row r="2973" spans="1:31" ht="18" customHeight="1" x14ac:dyDescent="0.25">
      <c r="A29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3" s="79">
        <v>3</v>
      </c>
      <c r="C2973" s="23">
        <v>44039</v>
      </c>
      <c r="D2973" s="67">
        <f>IF(COUNTIF($G$2:$G2973,$G2973)=1,1,0)</f>
        <v>1</v>
      </c>
      <c r="E2973" s="67" t="str">
        <f>IFERROR(VLOOKUP(База_КР_КК[[#This Row],[ИД штатной должности (S)]],'уровень защищенности'!$B$7:$F$1095,5,0),"не защищена")</f>
        <v>высокий</v>
      </c>
      <c r="F2973" s="68">
        <v>500042</v>
      </c>
      <c r="G2973" s="74" t="s">
        <v>2893</v>
      </c>
      <c r="H2973" s="181">
        <f>INDEX('Списки данных'!$D$2:$D$1048576,MATCH(База_КР_КК[[#This Row],[Структурное подразделение]],'Списки данных'!$C$2:$C$1048576,0))</f>
        <v>21</v>
      </c>
      <c r="I2973" s="80" t="s">
        <v>138</v>
      </c>
      <c r="J2973" s="80" t="s">
        <v>243</v>
      </c>
      <c r="K2973" s="80" t="s">
        <v>21</v>
      </c>
      <c r="L2973" s="30" t="s">
        <v>198</v>
      </c>
      <c r="M2973" s="68">
        <v>6</v>
      </c>
      <c r="N2973" s="181" t="str">
        <f t="shared" si="47"/>
        <v>нет</v>
      </c>
      <c r="O2973" s="23"/>
      <c r="P2973" s="23"/>
      <c r="Q2973" s="106"/>
      <c r="R2973" s="37">
        <v>715</v>
      </c>
      <c r="S2973" s="39" t="s">
        <v>1124</v>
      </c>
      <c r="T2973" s="37">
        <v>724</v>
      </c>
      <c r="U2973" s="39" t="s">
        <v>1133</v>
      </c>
      <c r="V2973" s="89" t="s">
        <v>192</v>
      </c>
      <c r="W2973" s="89" t="s">
        <v>138</v>
      </c>
      <c r="X2973" s="106" t="s">
        <v>295</v>
      </c>
      <c r="Y2973" s="107" t="s">
        <v>12</v>
      </c>
      <c r="Z2973" s="67">
        <f>IF(База_КР_КК[[#This Row],[Таб.номер резервиста]]="-","-",IF(OR(База_КР_КК[[#This Row],[Уровень КК]]=2,База_КР_КК[[#This Row],[Уровень КК]]=3),IF(COUNTIFS($U$2:$U2973,$U2973,$F$2:$F2973,$F2973)=1,1,0),IF(COUNTIFS($U$2:$U2973,$U2973,$L$2:$L2973,$L2973)=1,1,0)))</f>
        <v>1</v>
      </c>
      <c r="AA29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3" s="106"/>
      <c r="AC2973" s="51"/>
      <c r="AD2973" s="106" t="s">
        <v>17</v>
      </c>
      <c r="AE2973" s="38" t="s">
        <v>370</v>
      </c>
    </row>
    <row r="2974" spans="1:31" ht="18" customHeight="1" x14ac:dyDescent="0.25">
      <c r="A29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4" s="79">
        <v>3</v>
      </c>
      <c r="C2974" s="23">
        <v>44039</v>
      </c>
      <c r="D2974" s="67">
        <f>IF(COUNTIF($G$2:$G2974,$G2974)=1,1,0)</f>
        <v>0</v>
      </c>
      <c r="E2974" s="67" t="str">
        <f>IFERROR(VLOOKUP(База_КР_КК[[#This Row],[ИД штатной должности (S)]],'уровень защищенности'!$B$7:$F$1095,5,0),"не защищена")</f>
        <v>высокий</v>
      </c>
      <c r="F2974" s="68">
        <v>500042</v>
      </c>
      <c r="G2974" s="74" t="s">
        <v>2893</v>
      </c>
      <c r="H2974" s="181">
        <f>INDEX('Списки данных'!$D$2:$D$1048576,MATCH(База_КР_КК[[#This Row],[Структурное подразделение]],'Списки данных'!$C$2:$C$1048576,0))</f>
        <v>21</v>
      </c>
      <c r="I2974" s="80" t="s">
        <v>138</v>
      </c>
      <c r="J2974" s="80" t="s">
        <v>243</v>
      </c>
      <c r="K2974" s="80" t="s">
        <v>21</v>
      </c>
      <c r="L2974" s="30" t="s">
        <v>198</v>
      </c>
      <c r="M2974" s="68">
        <v>6</v>
      </c>
      <c r="N2974" s="181" t="str">
        <f t="shared" si="47"/>
        <v>нет</v>
      </c>
      <c r="O2974" s="23"/>
      <c r="P2974" s="23"/>
      <c r="Q2974" s="106"/>
      <c r="R2974" s="37">
        <v>715</v>
      </c>
      <c r="S2974" s="39" t="s">
        <v>1124</v>
      </c>
      <c r="T2974" s="37">
        <v>722</v>
      </c>
      <c r="U2974" s="39" t="s">
        <v>1131</v>
      </c>
      <c r="V2974" s="89" t="s">
        <v>192</v>
      </c>
      <c r="W2974" s="89" t="s">
        <v>138</v>
      </c>
      <c r="X2974" s="106" t="s">
        <v>297</v>
      </c>
      <c r="Y2974" s="107" t="s">
        <v>12</v>
      </c>
      <c r="Z2974" s="67">
        <f>IF(База_КР_КК[[#This Row],[Таб.номер резервиста]]="-","-",IF(OR(База_КР_КК[[#This Row],[Уровень КК]]=2,База_КР_КК[[#This Row],[Уровень КК]]=3),IF(COUNTIFS($U$2:$U2974,$U2974,$F$2:$F2974,$F2974)=1,1,0),IF(COUNTIFS($U$2:$U2974,$U2974,$L$2:$L2974,$L2974)=1,1,0)))</f>
        <v>1</v>
      </c>
      <c r="AA29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4" s="106"/>
      <c r="AC2974" s="51"/>
      <c r="AD2974" s="106" t="s">
        <v>13</v>
      </c>
      <c r="AE2974" s="38" t="s">
        <v>370</v>
      </c>
    </row>
    <row r="2975" spans="1:31" ht="18" customHeight="1" x14ac:dyDescent="0.25">
      <c r="A29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5" s="79">
        <v>3</v>
      </c>
      <c r="C2975" s="23">
        <v>44740</v>
      </c>
      <c r="D2975" s="67">
        <f>IF(COUNTIF($G$2:$G2975,$G2975)=1,1,0)</f>
        <v>0</v>
      </c>
      <c r="E2975" s="67" t="str">
        <f>IFERROR(VLOOKUP(База_КР_КК[[#This Row],[ИД штатной должности (S)]],'уровень защищенности'!$B$7:$F$1095,5,0),"не защищена")</f>
        <v>высокий</v>
      </c>
      <c r="F2975" s="68">
        <v>500042</v>
      </c>
      <c r="G2975" s="74" t="s">
        <v>2893</v>
      </c>
      <c r="H2975" s="181">
        <f>INDEX('Списки данных'!$D$2:$D$1048576,MATCH(База_КР_КК[[#This Row],[Структурное подразделение]],'Списки данных'!$C$2:$C$1048576,0))</f>
        <v>21</v>
      </c>
      <c r="I2975" s="80" t="s">
        <v>138</v>
      </c>
      <c r="J2975" s="80" t="s">
        <v>243</v>
      </c>
      <c r="K2975" s="80" t="s">
        <v>21</v>
      </c>
      <c r="L2975" s="30" t="s">
        <v>198</v>
      </c>
      <c r="M2975" s="68">
        <v>6</v>
      </c>
      <c r="N2975" s="181" t="str">
        <f t="shared" si="47"/>
        <v>нет</v>
      </c>
      <c r="O2975" s="23"/>
      <c r="P2975" s="23"/>
      <c r="Q2975" s="106"/>
      <c r="R2975" s="37">
        <v>715</v>
      </c>
      <c r="S2975" s="39" t="s">
        <v>1124</v>
      </c>
      <c r="T2975" s="37">
        <v>725</v>
      </c>
      <c r="U2975" s="38" t="s">
        <v>1134</v>
      </c>
      <c r="V2975" s="89" t="s">
        <v>192</v>
      </c>
      <c r="W2975" s="89" t="s">
        <v>138</v>
      </c>
      <c r="X2975" s="106" t="s">
        <v>296</v>
      </c>
      <c r="Y2975" s="107" t="s">
        <v>12</v>
      </c>
      <c r="Z2975" s="67">
        <f>IF(База_КР_КК[[#This Row],[Таб.номер резервиста]]="-","-",IF(OR(База_КР_КК[[#This Row],[Уровень КК]]=2,База_КР_КК[[#This Row],[Уровень КК]]=3),IF(COUNTIFS($U$2:$U2975,$U2975,$F$2:$F2975,$F2975)=1,1,0),IF(COUNTIFS($U$2:$U2975,$U2975,$L$2:$L2975,$L2975)=1,1,0)))</f>
        <v>1</v>
      </c>
      <c r="AA29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5" s="106"/>
      <c r="AC2975" s="51"/>
      <c r="AD2975" s="106" t="s">
        <v>13</v>
      </c>
      <c r="AE2975" s="38" t="s">
        <v>370</v>
      </c>
    </row>
    <row r="2976" spans="1:31" ht="18" customHeight="1" x14ac:dyDescent="0.25">
      <c r="A29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6" s="79">
        <v>3</v>
      </c>
      <c r="C2976" s="23">
        <v>43458</v>
      </c>
      <c r="D2976" s="67">
        <f>IF(COUNTIF($G$2:$G2976,$G2976)=1,1,0)</f>
        <v>1</v>
      </c>
      <c r="E2976" s="67" t="str">
        <f>IFERROR(VLOOKUP(База_КР_КК[[#This Row],[ИД штатной должности (S)]],'уровень защищенности'!$B$7:$F$1095,5,0),"не защищена")</f>
        <v>высокий</v>
      </c>
      <c r="F2976" s="68">
        <v>500043</v>
      </c>
      <c r="G2976" s="74" t="s">
        <v>2894</v>
      </c>
      <c r="H2976" s="181">
        <f>INDEX('Списки данных'!$D$2:$D$1048576,MATCH(База_КР_КК[[#This Row],[Структурное подразделение]],'Списки данных'!$C$2:$C$1048576,0))</f>
        <v>6</v>
      </c>
      <c r="I2976" s="80" t="s">
        <v>136</v>
      </c>
      <c r="J2976" s="80" t="s">
        <v>246</v>
      </c>
      <c r="K2976" s="80" t="s">
        <v>247</v>
      </c>
      <c r="L2976" s="30" t="s">
        <v>198</v>
      </c>
      <c r="M2976" s="68">
        <v>5</v>
      </c>
      <c r="N2976" s="181" t="str">
        <f t="shared" si="47"/>
        <v>нет</v>
      </c>
      <c r="O2976" s="23"/>
      <c r="P2976" s="23"/>
      <c r="Q2976" s="107"/>
      <c r="R2976" s="37">
        <v>716</v>
      </c>
      <c r="S2976" s="38" t="s">
        <v>1125</v>
      </c>
      <c r="T2976" s="37">
        <v>686</v>
      </c>
      <c r="U2976" s="39" t="s">
        <v>1095</v>
      </c>
      <c r="V2976" s="89" t="s">
        <v>192</v>
      </c>
      <c r="W2976" s="90" t="s">
        <v>136</v>
      </c>
      <c r="X2976" s="106" t="s">
        <v>297</v>
      </c>
      <c r="Y2976" s="107" t="s">
        <v>12</v>
      </c>
      <c r="Z2976" s="67">
        <f>IF(База_КР_КК[[#This Row],[Таб.номер резервиста]]="-","-",IF(OR(База_КР_КК[[#This Row],[Уровень КК]]=2,База_КР_КК[[#This Row],[Уровень КК]]=3),IF(COUNTIFS($U$2:$U2976,$U2976,$F$2:$F2976,$F2976)=1,1,0),IF(COUNTIFS($U$2:$U2976,$U2976,$L$2:$L2976,$L2976)=1,1,0)))</f>
        <v>1</v>
      </c>
      <c r="AA29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6" s="106"/>
      <c r="AC2976" s="51"/>
      <c r="AD2976" s="106" t="s">
        <v>17</v>
      </c>
      <c r="AE2976" s="38" t="s">
        <v>370</v>
      </c>
    </row>
    <row r="2977" spans="1:31" ht="18" customHeight="1" x14ac:dyDescent="0.25">
      <c r="A29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7" s="79">
        <v>3</v>
      </c>
      <c r="C2977" s="23">
        <v>44538</v>
      </c>
      <c r="D2977" s="67">
        <f>IF(COUNTIF($G$2:$G2977,$G2977)=1,1,0)</f>
        <v>0</v>
      </c>
      <c r="E2977" s="67" t="str">
        <f>IFERROR(VLOOKUP(База_КР_КК[[#This Row],[ИД штатной должности (S)]],'уровень защищенности'!$B$7:$F$1095,5,0),"не защищена")</f>
        <v>высокий</v>
      </c>
      <c r="F2977" s="68">
        <v>500043</v>
      </c>
      <c r="G2977" s="74" t="s">
        <v>2894</v>
      </c>
      <c r="H2977" s="181">
        <f>INDEX('Списки данных'!$D$2:$D$1048576,MATCH(База_КР_КК[[#This Row],[Структурное подразделение]],'Списки данных'!$C$2:$C$1048576,0))</f>
        <v>6</v>
      </c>
      <c r="I2977" s="80" t="s">
        <v>136</v>
      </c>
      <c r="J2977" s="80" t="s">
        <v>246</v>
      </c>
      <c r="K2977" s="80" t="s">
        <v>247</v>
      </c>
      <c r="L2977" s="30" t="s">
        <v>198</v>
      </c>
      <c r="M2977" s="68">
        <v>5</v>
      </c>
      <c r="N2977" s="181" t="str">
        <f t="shared" si="47"/>
        <v>нет</v>
      </c>
      <c r="O2977" s="23"/>
      <c r="P2977" s="23"/>
      <c r="Q2977" s="107"/>
      <c r="R2977" s="37">
        <v>716</v>
      </c>
      <c r="S2977" s="39" t="s">
        <v>1125</v>
      </c>
      <c r="T2977" s="37">
        <v>688</v>
      </c>
      <c r="U2977" s="39" t="s">
        <v>1097</v>
      </c>
      <c r="V2977" s="89" t="s">
        <v>192</v>
      </c>
      <c r="W2977" s="89" t="s">
        <v>136</v>
      </c>
      <c r="X2977" s="106" t="s">
        <v>295</v>
      </c>
      <c r="Y2977" s="107" t="s">
        <v>12</v>
      </c>
      <c r="Z2977" s="67">
        <f>IF(База_КР_КК[[#This Row],[Таб.номер резервиста]]="-","-",IF(OR(База_КР_КК[[#This Row],[Уровень КК]]=2,База_КР_КК[[#This Row],[Уровень КК]]=3),IF(COUNTIFS($U$2:$U2977,$U2977,$F$2:$F2977,$F2977)=1,1,0),IF(COUNTIFS($U$2:$U2977,$U2977,$L$2:$L2977,$L2977)=1,1,0)))</f>
        <v>1</v>
      </c>
      <c r="AA29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7" s="106"/>
      <c r="AC2977" s="51"/>
      <c r="AD2977" s="106" t="s">
        <v>13</v>
      </c>
      <c r="AE2977" s="38" t="s">
        <v>370</v>
      </c>
    </row>
    <row r="2978" spans="1:31" ht="18" customHeight="1" x14ac:dyDescent="0.25">
      <c r="A29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8" s="79">
        <v>3</v>
      </c>
      <c r="C2978" s="23">
        <v>43458</v>
      </c>
      <c r="D2978" s="67">
        <f>IF(COUNTIF($G$2:$G2978,$G2978)=1,1,0)</f>
        <v>0</v>
      </c>
      <c r="E2978" s="67" t="str">
        <f>IFERROR(VLOOKUP(База_КР_КК[[#This Row],[ИД штатной должности (S)]],'уровень защищенности'!$B$7:$F$1095,5,0),"не защищена")</f>
        <v>высокий</v>
      </c>
      <c r="F2978" s="68">
        <v>500043</v>
      </c>
      <c r="G2978" s="74" t="s">
        <v>2894</v>
      </c>
      <c r="H2978" s="181">
        <f>INDEX('Списки данных'!$D$2:$D$1048576,MATCH(База_КР_КК[[#This Row],[Структурное подразделение]],'Списки данных'!$C$2:$C$1048576,0))</f>
        <v>6</v>
      </c>
      <c r="I2978" s="80" t="s">
        <v>136</v>
      </c>
      <c r="J2978" s="80" t="s">
        <v>246</v>
      </c>
      <c r="K2978" s="80" t="s">
        <v>247</v>
      </c>
      <c r="L2978" s="30" t="s">
        <v>198</v>
      </c>
      <c r="M2978" s="68">
        <v>5</v>
      </c>
      <c r="N2978" s="181" t="str">
        <f t="shared" si="47"/>
        <v>нет</v>
      </c>
      <c r="O2978" s="23"/>
      <c r="P2978" s="23"/>
      <c r="Q2978" s="107"/>
      <c r="R2978" s="37">
        <v>716</v>
      </c>
      <c r="S2978" s="38" t="s">
        <v>1125</v>
      </c>
      <c r="T2978" s="37">
        <v>684</v>
      </c>
      <c r="U2978" s="39" t="s">
        <v>1093</v>
      </c>
      <c r="V2978" s="89" t="s">
        <v>192</v>
      </c>
      <c r="W2978" s="90" t="s">
        <v>136</v>
      </c>
      <c r="X2978" s="106" t="s">
        <v>296</v>
      </c>
      <c r="Y2978" s="107" t="s">
        <v>18</v>
      </c>
      <c r="Z2978" s="67">
        <f>IF(База_КР_КК[[#This Row],[Таб.номер резервиста]]="-","-",IF(OR(База_КР_КК[[#This Row],[Уровень КК]]=2,База_КР_КК[[#This Row],[Уровень КК]]=3),IF(COUNTIFS($U$2:$U2978,$U2978,$F$2:$F2978,$F2978)=1,1,0),IF(COUNTIFS($U$2:$U2978,$U2978,$L$2:$L2978,$L2978)=1,1,0)))</f>
        <v>1</v>
      </c>
      <c r="AA29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8" s="106" t="s">
        <v>38</v>
      </c>
      <c r="AC2978" s="51">
        <v>44740</v>
      </c>
      <c r="AD2978" s="106" t="s">
        <v>31</v>
      </c>
      <c r="AE2978" s="38" t="s">
        <v>370</v>
      </c>
    </row>
    <row r="2979" spans="1:31" ht="18" customHeight="1" x14ac:dyDescent="0.25">
      <c r="A29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79" s="79">
        <v>3</v>
      </c>
      <c r="C2979" s="23">
        <v>44538</v>
      </c>
      <c r="D2979" s="67">
        <f>IF(COUNTIF($G$2:$G2979,$G2979)=1,1,0)</f>
        <v>0</v>
      </c>
      <c r="E2979" s="67" t="str">
        <f>IFERROR(VLOOKUP(База_КР_КК[[#This Row],[ИД штатной должности (S)]],'уровень защищенности'!$B$7:$F$1095,5,0),"не защищена")</f>
        <v>высокий</v>
      </c>
      <c r="F2979" s="68">
        <v>500043</v>
      </c>
      <c r="G2979" s="74" t="s">
        <v>2894</v>
      </c>
      <c r="H2979" s="181">
        <f>INDEX('Списки данных'!$D$2:$D$1048576,MATCH(База_КР_КК[[#This Row],[Структурное подразделение]],'Списки данных'!$C$2:$C$1048576,0))</f>
        <v>6</v>
      </c>
      <c r="I2979" s="80" t="s">
        <v>136</v>
      </c>
      <c r="J2979" s="80" t="s">
        <v>246</v>
      </c>
      <c r="K2979" s="80" t="s">
        <v>247</v>
      </c>
      <c r="L2979" s="30" t="s">
        <v>198</v>
      </c>
      <c r="M2979" s="68">
        <v>5</v>
      </c>
      <c r="N2979" s="181" t="str">
        <f t="shared" si="47"/>
        <v>нет</v>
      </c>
      <c r="O2979" s="23"/>
      <c r="P2979" s="23"/>
      <c r="Q2979" s="107"/>
      <c r="R2979" s="37">
        <v>716</v>
      </c>
      <c r="S2979" s="39" t="s">
        <v>1125</v>
      </c>
      <c r="T2979" s="37">
        <v>1779</v>
      </c>
      <c r="U2979" s="39" t="s">
        <v>2041</v>
      </c>
      <c r="V2979" s="89" t="s">
        <v>272</v>
      </c>
      <c r="W2979" s="89" t="s">
        <v>136</v>
      </c>
      <c r="X2979" s="106" t="s">
        <v>296</v>
      </c>
      <c r="Y2979" s="107" t="s">
        <v>18</v>
      </c>
      <c r="Z2979" s="67">
        <f>IF(База_КР_КК[[#This Row],[Таб.номер резервиста]]="-","-",IF(OR(База_КР_КК[[#This Row],[Уровень КК]]=2,База_КР_КК[[#This Row],[Уровень КК]]=3),IF(COUNTIFS($U$2:$U2979,$U2979,$F$2:$F2979,$F2979)=1,1,0),IF(COUNTIFS($U$2:$U2979,$U2979,$L$2:$L2979,$L2979)=1,1,0)))</f>
        <v>1</v>
      </c>
      <c r="AA29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79" s="106" t="s">
        <v>38</v>
      </c>
      <c r="AC2979" s="51">
        <v>44740</v>
      </c>
      <c r="AD2979" s="106" t="s">
        <v>31</v>
      </c>
      <c r="AE2979" s="38" t="s">
        <v>370</v>
      </c>
    </row>
    <row r="2980" spans="1:31" ht="18" customHeight="1" x14ac:dyDescent="0.25">
      <c r="A29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0" s="79">
        <v>4</v>
      </c>
      <c r="C2980" s="23">
        <v>44858</v>
      </c>
      <c r="D2980" s="67">
        <f>IF(COUNTIF($G$2:$G2980,$G2980)=1,1,0)</f>
        <v>1</v>
      </c>
      <c r="E2980" s="67" t="str">
        <f>IFERROR(VLOOKUP(База_КР_КК[[#This Row],[ИД штатной должности (S)]],'уровень защищенности'!$B$7:$F$1095,5,0),"не защищена")</f>
        <v>низкий</v>
      </c>
      <c r="F2980" s="68">
        <v>500151</v>
      </c>
      <c r="G2980" s="74" t="s">
        <v>2895</v>
      </c>
      <c r="H2980" s="181">
        <f>INDEX('Списки данных'!$D$2:$D$1048576,MATCH(База_КР_КК[[#This Row],[Структурное подразделение]],'Списки данных'!$C$2:$C$1048576,0))</f>
        <v>21</v>
      </c>
      <c r="I2980" s="80" t="s">
        <v>138</v>
      </c>
      <c r="J2980" s="80" t="s">
        <v>243</v>
      </c>
      <c r="K2980" s="80" t="s">
        <v>21</v>
      </c>
      <c r="L2980" s="30" t="s">
        <v>191</v>
      </c>
      <c r="M2980" s="68">
        <v>7</v>
      </c>
      <c r="N2980" s="181" t="str">
        <f t="shared" si="47"/>
        <v>нет</v>
      </c>
      <c r="O2980" s="23"/>
      <c r="P2980" s="23"/>
      <c r="Q2980" s="106"/>
      <c r="R2980" s="37">
        <v>717</v>
      </c>
      <c r="S2980" s="39" t="s">
        <v>1126</v>
      </c>
      <c r="T2980" s="37">
        <v>1815</v>
      </c>
      <c r="U2980" s="38" t="s">
        <v>1545</v>
      </c>
      <c r="V2980" s="69" t="s">
        <v>272</v>
      </c>
      <c r="W2980" s="89" t="s">
        <v>138</v>
      </c>
      <c r="X2980" s="106" t="s">
        <v>296</v>
      </c>
      <c r="Y2980" s="107" t="s">
        <v>12</v>
      </c>
      <c r="Z2980" s="67">
        <f>IF(База_КР_КК[[#This Row],[Таб.номер резервиста]]="-","-",IF(OR(База_КР_КК[[#This Row],[Уровень КК]]=2,База_КР_КК[[#This Row],[Уровень КК]]=3),IF(COUNTIFS($U$2:$U2980,$U2980,$F$2:$F2980,$F2980)=1,1,0),IF(COUNTIFS($U$2:$U2980,$U2980,$L$2:$L2980,$L2980)=1,1,0)))</f>
        <v>1</v>
      </c>
      <c r="AA29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0" s="106"/>
      <c r="AC2980" s="51"/>
      <c r="AD2980" s="106" t="s">
        <v>15</v>
      </c>
      <c r="AE2980" s="38" t="s">
        <v>378</v>
      </c>
    </row>
    <row r="2981" spans="1:31" ht="18" customHeight="1" x14ac:dyDescent="0.25">
      <c r="A29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1" s="79">
        <v>4</v>
      </c>
      <c r="C2981" s="23">
        <v>44858</v>
      </c>
      <c r="D2981" s="67">
        <f>IF(COUNTIF($G$2:$G2981,$G2981)=1,1,0)</f>
        <v>0</v>
      </c>
      <c r="E2981" s="67" t="str">
        <f>IFERROR(VLOOKUP(База_КР_КК[[#This Row],[ИД штатной должности (S)]],'уровень защищенности'!$B$7:$F$1095,5,0),"не защищена")</f>
        <v>низкий</v>
      </c>
      <c r="F2981" s="68">
        <v>500151</v>
      </c>
      <c r="G2981" s="74" t="s">
        <v>2895</v>
      </c>
      <c r="H2981" s="181">
        <f>INDEX('Списки данных'!$D$2:$D$1048576,MATCH(База_КР_КК[[#This Row],[Структурное подразделение]],'Списки данных'!$C$2:$C$1048576,0))</f>
        <v>21</v>
      </c>
      <c r="I2981" s="80" t="s">
        <v>138</v>
      </c>
      <c r="J2981" s="80" t="s">
        <v>243</v>
      </c>
      <c r="K2981" s="80" t="s">
        <v>21</v>
      </c>
      <c r="L2981" s="30" t="s">
        <v>191</v>
      </c>
      <c r="M2981" s="68">
        <v>7</v>
      </c>
      <c r="N2981" s="181" t="str">
        <f t="shared" si="47"/>
        <v>нет</v>
      </c>
      <c r="O2981" s="23"/>
      <c r="P2981" s="23"/>
      <c r="Q2981" s="106"/>
      <c r="R2981" s="37">
        <v>717</v>
      </c>
      <c r="S2981" s="39" t="s">
        <v>1126</v>
      </c>
      <c r="T2981" s="37">
        <v>1816</v>
      </c>
      <c r="U2981" s="38" t="s">
        <v>2034</v>
      </c>
      <c r="V2981" s="89" t="s">
        <v>272</v>
      </c>
      <c r="W2981" s="89" t="s">
        <v>138</v>
      </c>
      <c r="X2981" s="106" t="s">
        <v>296</v>
      </c>
      <c r="Y2981" s="107" t="s">
        <v>12</v>
      </c>
      <c r="Z2981" s="67">
        <f>IF(База_КР_КК[[#This Row],[Таб.номер резервиста]]="-","-",IF(OR(База_КР_КК[[#This Row],[Уровень КК]]=2,База_КР_КК[[#This Row],[Уровень КК]]=3),IF(COUNTIFS($U$2:$U2981,$U2981,$F$2:$F2981,$F2981)=1,1,0),IF(COUNTIFS($U$2:$U2981,$U2981,$L$2:$L2981,$L2981)=1,1,0)))</f>
        <v>0</v>
      </c>
      <c r="AA29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1" s="106"/>
      <c r="AC2981" s="51"/>
      <c r="AD2981" s="106" t="s">
        <v>15</v>
      </c>
      <c r="AE2981" s="38" t="s">
        <v>378</v>
      </c>
    </row>
    <row r="2982" spans="1:31" ht="18" customHeight="1" x14ac:dyDescent="0.25">
      <c r="A29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2" s="79">
        <v>4</v>
      </c>
      <c r="C2982" s="23">
        <v>44118</v>
      </c>
      <c r="D2982" s="67">
        <f>IF(COUNTIF($G$2:$G2982,$G2982)=1,1,0)</f>
        <v>0</v>
      </c>
      <c r="E2982" s="67" t="str">
        <f>IFERROR(VLOOKUP(База_КР_КК[[#This Row],[ИД штатной должности (S)]],'уровень защищенности'!$B$7:$F$1095,5,0),"не защищена")</f>
        <v>низкий</v>
      </c>
      <c r="F2982" s="68">
        <v>500151</v>
      </c>
      <c r="G2982" s="74" t="s">
        <v>2895</v>
      </c>
      <c r="H2982" s="181">
        <f>INDEX('Списки данных'!$D$2:$D$1048576,MATCH(База_КР_КК[[#This Row],[Структурное подразделение]],'Списки данных'!$C$2:$C$1048576,0))</f>
        <v>21</v>
      </c>
      <c r="I2982" s="80" t="s">
        <v>138</v>
      </c>
      <c r="J2982" s="80" t="s">
        <v>243</v>
      </c>
      <c r="K2982" s="80" t="s">
        <v>21</v>
      </c>
      <c r="L2982" s="30" t="s">
        <v>191</v>
      </c>
      <c r="M2982" s="68">
        <v>7</v>
      </c>
      <c r="N2982" s="181" t="str">
        <f t="shared" si="47"/>
        <v>нет</v>
      </c>
      <c r="O2982" s="23"/>
      <c r="P2982" s="23"/>
      <c r="Q2982" s="106"/>
      <c r="R2982" s="37">
        <v>717</v>
      </c>
      <c r="S2982" s="38" t="s">
        <v>1126</v>
      </c>
      <c r="T2982" s="37">
        <v>728</v>
      </c>
      <c r="U2982" s="39" t="s">
        <v>1137</v>
      </c>
      <c r="V2982" s="89" t="s">
        <v>272</v>
      </c>
      <c r="W2982" s="89" t="s">
        <v>138</v>
      </c>
      <c r="X2982" s="106" t="s">
        <v>296</v>
      </c>
      <c r="Y2982" s="107" t="s">
        <v>18</v>
      </c>
      <c r="Z2982" s="67">
        <f>IF(База_КР_КК[[#This Row],[Таб.номер резервиста]]="-","-",IF(OR(База_КР_КК[[#This Row],[Уровень КК]]=2,База_КР_КК[[#This Row],[Уровень КК]]=3),IF(COUNTIFS($U$2:$U2982,$U2982,$F$2:$F2982,$F2982)=1,1,0),IF(COUNTIFS($U$2:$U2982,$U2982,$L$2:$L2982,$L2982)=1,1,0)))</f>
        <v>1</v>
      </c>
      <c r="AA29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2" s="106" t="s">
        <v>37</v>
      </c>
      <c r="AC2982" s="51">
        <v>44631</v>
      </c>
      <c r="AD2982" s="106" t="s">
        <v>15</v>
      </c>
      <c r="AE2982" s="38" t="s">
        <v>379</v>
      </c>
    </row>
    <row r="2983" spans="1:31" ht="18" customHeight="1" x14ac:dyDescent="0.25">
      <c r="A29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3" s="79">
        <v>4</v>
      </c>
      <c r="C2983" s="23">
        <v>44858</v>
      </c>
      <c r="D2983" s="67">
        <f>IF(COUNTIF($G$2:$G2983,$G2983)=1,1,0)</f>
        <v>1</v>
      </c>
      <c r="E2983" s="67" t="str">
        <f>IFERROR(VLOOKUP(База_КР_КК[[#This Row],[ИД штатной должности (S)]],'уровень защищенности'!$B$7:$F$1095,5,0),"не защищена")</f>
        <v>низкий</v>
      </c>
      <c r="F2983" s="68">
        <v>500151</v>
      </c>
      <c r="G2983" s="74" t="s">
        <v>2896</v>
      </c>
      <c r="H2983" s="181">
        <f>INDEX('Списки данных'!$D$2:$D$1048576,MATCH(База_КР_КК[[#This Row],[Структурное подразделение]],'Списки данных'!$C$2:$C$1048576,0))</f>
        <v>21</v>
      </c>
      <c r="I2983" s="80" t="s">
        <v>138</v>
      </c>
      <c r="J2983" s="80" t="s">
        <v>243</v>
      </c>
      <c r="K2983" s="80" t="s">
        <v>21</v>
      </c>
      <c r="L2983" s="30" t="s">
        <v>191</v>
      </c>
      <c r="M2983" s="68">
        <v>7</v>
      </c>
      <c r="N2983" s="181" t="str">
        <f t="shared" si="47"/>
        <v>нет</v>
      </c>
      <c r="O2983" s="23"/>
      <c r="P2983" s="23"/>
      <c r="Q2983" s="106"/>
      <c r="R2983" s="37">
        <v>718</v>
      </c>
      <c r="S2983" s="39" t="s">
        <v>1127</v>
      </c>
      <c r="T2983" s="37">
        <v>1815</v>
      </c>
      <c r="U2983" s="38" t="s">
        <v>1545</v>
      </c>
      <c r="V2983" s="69" t="s">
        <v>272</v>
      </c>
      <c r="W2983" s="89" t="s">
        <v>138</v>
      </c>
      <c r="X2983" s="106" t="s">
        <v>296</v>
      </c>
      <c r="Y2983" s="107" t="s">
        <v>12</v>
      </c>
      <c r="Z2983" s="67">
        <f>IF(База_КР_КК[[#This Row],[Таб.номер резервиста]]="-","-",IF(OR(База_КР_КК[[#This Row],[Уровень КК]]=2,База_КР_КК[[#This Row],[Уровень КК]]=3),IF(COUNTIFS($U$2:$U2983,$U2983,$F$2:$F2983,$F2983)=1,1,0),IF(COUNTIFS($U$2:$U2983,$U2983,$L$2:$L2983,$L2983)=1,1,0)))</f>
        <v>0</v>
      </c>
      <c r="AA29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3" s="106"/>
      <c r="AC2983" s="51"/>
      <c r="AD2983" s="106" t="s">
        <v>15</v>
      </c>
      <c r="AE2983" s="38" t="s">
        <v>378</v>
      </c>
    </row>
    <row r="2984" spans="1:31" ht="18" customHeight="1" x14ac:dyDescent="0.25">
      <c r="A29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4" s="79">
        <v>4</v>
      </c>
      <c r="C2984" s="23">
        <v>44858</v>
      </c>
      <c r="D2984" s="67">
        <f>IF(COUNTIF($G$2:$G2984,$G2984)=1,1,0)</f>
        <v>0</v>
      </c>
      <c r="E2984" s="67" t="str">
        <f>IFERROR(VLOOKUP(База_КР_КК[[#This Row],[ИД штатной должности (S)]],'уровень защищенности'!$B$7:$F$1095,5,0),"не защищена")</f>
        <v>низкий</v>
      </c>
      <c r="F2984" s="68">
        <v>500151</v>
      </c>
      <c r="G2984" s="74" t="s">
        <v>2896</v>
      </c>
      <c r="H2984" s="181">
        <f>INDEX('Списки данных'!$D$2:$D$1048576,MATCH(База_КР_КК[[#This Row],[Структурное подразделение]],'Списки данных'!$C$2:$C$1048576,0))</f>
        <v>21</v>
      </c>
      <c r="I2984" s="80" t="s">
        <v>138</v>
      </c>
      <c r="J2984" s="80" t="s">
        <v>243</v>
      </c>
      <c r="K2984" s="80" t="s">
        <v>21</v>
      </c>
      <c r="L2984" s="30" t="s">
        <v>191</v>
      </c>
      <c r="M2984" s="68">
        <v>7</v>
      </c>
      <c r="N2984" s="181" t="str">
        <f t="shared" si="47"/>
        <v>нет</v>
      </c>
      <c r="O2984" s="23"/>
      <c r="P2984" s="23"/>
      <c r="Q2984" s="106"/>
      <c r="R2984" s="37">
        <v>718</v>
      </c>
      <c r="S2984" s="39" t="s">
        <v>1127</v>
      </c>
      <c r="T2984" s="37">
        <v>1816</v>
      </c>
      <c r="U2984" s="38" t="s">
        <v>2034</v>
      </c>
      <c r="V2984" s="89" t="s">
        <v>272</v>
      </c>
      <c r="W2984" s="89" t="s">
        <v>138</v>
      </c>
      <c r="X2984" s="106" t="s">
        <v>296</v>
      </c>
      <c r="Y2984" s="107" t="s">
        <v>12</v>
      </c>
      <c r="Z2984" s="67">
        <f>IF(База_КР_КК[[#This Row],[Таб.номер резервиста]]="-","-",IF(OR(База_КР_КК[[#This Row],[Уровень КК]]=2,База_КР_КК[[#This Row],[Уровень КК]]=3),IF(COUNTIFS($U$2:$U2984,$U2984,$F$2:$F2984,$F2984)=1,1,0),IF(COUNTIFS($U$2:$U2984,$U2984,$L$2:$L2984,$L2984)=1,1,0)))</f>
        <v>0</v>
      </c>
      <c r="AA29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4" s="106"/>
      <c r="AC2984" s="51"/>
      <c r="AD2984" s="106" t="s">
        <v>15</v>
      </c>
      <c r="AE2984" s="38" t="s">
        <v>378</v>
      </c>
    </row>
    <row r="2985" spans="1:31" ht="18" customHeight="1" x14ac:dyDescent="0.25">
      <c r="A29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5" s="79">
        <v>4</v>
      </c>
      <c r="C2985" s="23">
        <v>44118</v>
      </c>
      <c r="D2985" s="67">
        <f>IF(COUNTIF($G$2:$G2985,$G2985)=1,1,0)</f>
        <v>0</v>
      </c>
      <c r="E2985" s="67" t="str">
        <f>IFERROR(VLOOKUP(База_КР_КК[[#This Row],[ИД штатной должности (S)]],'уровень защищенности'!$B$7:$F$1095,5,0),"не защищена")</f>
        <v>низкий</v>
      </c>
      <c r="F2985" s="68">
        <v>500151</v>
      </c>
      <c r="G2985" s="74" t="s">
        <v>2896</v>
      </c>
      <c r="H2985" s="181">
        <f>INDEX('Списки данных'!$D$2:$D$1048576,MATCH(База_КР_КК[[#This Row],[Структурное подразделение]],'Списки данных'!$C$2:$C$1048576,0))</f>
        <v>21</v>
      </c>
      <c r="I2985" s="80" t="s">
        <v>138</v>
      </c>
      <c r="J2985" s="80" t="s">
        <v>243</v>
      </c>
      <c r="K2985" s="80" t="s">
        <v>21</v>
      </c>
      <c r="L2985" s="30" t="s">
        <v>191</v>
      </c>
      <c r="M2985" s="68">
        <v>7</v>
      </c>
      <c r="N2985" s="181" t="str">
        <f t="shared" si="47"/>
        <v>нет</v>
      </c>
      <c r="O2985" s="23"/>
      <c r="P2985" s="23"/>
      <c r="Q2985" s="106"/>
      <c r="R2985" s="37">
        <v>718</v>
      </c>
      <c r="S2985" s="38" t="s">
        <v>1127</v>
      </c>
      <c r="T2985" s="37">
        <v>728</v>
      </c>
      <c r="U2985" s="39" t="s">
        <v>1137</v>
      </c>
      <c r="V2985" s="89" t="s">
        <v>272</v>
      </c>
      <c r="W2985" s="89" t="s">
        <v>138</v>
      </c>
      <c r="X2985" s="106" t="s">
        <v>296</v>
      </c>
      <c r="Y2985" s="107" t="s">
        <v>18</v>
      </c>
      <c r="Z2985" s="67">
        <f>IF(База_КР_КК[[#This Row],[Таб.номер резервиста]]="-","-",IF(OR(База_КР_КК[[#This Row],[Уровень КК]]=2,База_КР_КК[[#This Row],[Уровень КК]]=3),IF(COUNTIFS($U$2:$U2985,$U2985,$F$2:$F2985,$F2985)=1,1,0),IF(COUNTIFS($U$2:$U2985,$U2985,$L$2:$L2985,$L2985)=1,1,0)))</f>
        <v>0</v>
      </c>
      <c r="AA29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5" s="106" t="s">
        <v>37</v>
      </c>
      <c r="AC2985" s="51">
        <v>44631</v>
      </c>
      <c r="AD2985" s="106" t="s">
        <v>15</v>
      </c>
      <c r="AE2985" s="38" t="s">
        <v>379</v>
      </c>
    </row>
    <row r="2986" spans="1:31" ht="18" customHeight="1" x14ac:dyDescent="0.25">
      <c r="A29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6" s="79">
        <v>4</v>
      </c>
      <c r="C2986" s="23">
        <v>44858</v>
      </c>
      <c r="D2986" s="67">
        <f>IF(COUNTIF($G$2:$G2986,$G2986)=1,1,0)</f>
        <v>1</v>
      </c>
      <c r="E2986" s="67" t="str">
        <f>IFERROR(VLOOKUP(База_КР_КК[[#This Row],[ИД штатной должности (S)]],'уровень защищенности'!$B$7:$F$1095,5,0),"не защищена")</f>
        <v>низкий</v>
      </c>
      <c r="F2986" s="68">
        <v>500151</v>
      </c>
      <c r="G2986" s="74" t="s">
        <v>2897</v>
      </c>
      <c r="H2986" s="181">
        <f>INDEX('Списки данных'!$D$2:$D$1048576,MATCH(База_КР_КК[[#This Row],[Структурное подразделение]],'Списки данных'!$C$2:$C$1048576,0))</f>
        <v>21</v>
      </c>
      <c r="I2986" s="80" t="s">
        <v>138</v>
      </c>
      <c r="J2986" s="80" t="s">
        <v>243</v>
      </c>
      <c r="K2986" s="80" t="s">
        <v>21</v>
      </c>
      <c r="L2986" s="30" t="s">
        <v>191</v>
      </c>
      <c r="M2986" s="68">
        <v>7</v>
      </c>
      <c r="N2986" s="181" t="str">
        <f t="shared" si="47"/>
        <v>нет</v>
      </c>
      <c r="O2986" s="23"/>
      <c r="P2986" s="23"/>
      <c r="Q2986" s="106"/>
      <c r="R2986" s="37">
        <v>719</v>
      </c>
      <c r="S2986" s="39" t="s">
        <v>1128</v>
      </c>
      <c r="T2986" s="37">
        <v>1815</v>
      </c>
      <c r="U2986" s="38" t="s">
        <v>1545</v>
      </c>
      <c r="V2986" s="69" t="s">
        <v>272</v>
      </c>
      <c r="W2986" s="89" t="s">
        <v>138</v>
      </c>
      <c r="X2986" s="106" t="s">
        <v>296</v>
      </c>
      <c r="Y2986" s="107" t="s">
        <v>12</v>
      </c>
      <c r="Z2986" s="67">
        <f>IF(База_КР_КК[[#This Row],[Таб.номер резервиста]]="-","-",IF(OR(База_КР_КК[[#This Row],[Уровень КК]]=2,База_КР_КК[[#This Row],[Уровень КК]]=3),IF(COUNTIFS($U$2:$U2986,$U2986,$F$2:$F2986,$F2986)=1,1,0),IF(COUNTIFS($U$2:$U2986,$U2986,$L$2:$L2986,$L2986)=1,1,0)))</f>
        <v>0</v>
      </c>
      <c r="AA29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6" s="106"/>
      <c r="AC2986" s="51"/>
      <c r="AD2986" s="106" t="s">
        <v>15</v>
      </c>
      <c r="AE2986" s="38" t="s">
        <v>378</v>
      </c>
    </row>
    <row r="2987" spans="1:31" ht="18" customHeight="1" x14ac:dyDescent="0.25">
      <c r="A29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7" s="79">
        <v>4</v>
      </c>
      <c r="C2987" s="23">
        <v>44858</v>
      </c>
      <c r="D2987" s="67">
        <f>IF(COUNTIF($G$2:$G2987,$G2987)=1,1,0)</f>
        <v>0</v>
      </c>
      <c r="E2987" s="67" t="str">
        <f>IFERROR(VLOOKUP(База_КР_КК[[#This Row],[ИД штатной должности (S)]],'уровень защищенности'!$B$7:$F$1095,5,0),"не защищена")</f>
        <v>низкий</v>
      </c>
      <c r="F2987" s="68">
        <v>500151</v>
      </c>
      <c r="G2987" s="74" t="s">
        <v>2897</v>
      </c>
      <c r="H2987" s="181">
        <f>INDEX('Списки данных'!$D$2:$D$1048576,MATCH(База_КР_КК[[#This Row],[Структурное подразделение]],'Списки данных'!$C$2:$C$1048576,0))</f>
        <v>21</v>
      </c>
      <c r="I2987" s="80" t="s">
        <v>138</v>
      </c>
      <c r="J2987" s="80" t="s">
        <v>243</v>
      </c>
      <c r="K2987" s="80" t="s">
        <v>21</v>
      </c>
      <c r="L2987" s="30" t="s">
        <v>191</v>
      </c>
      <c r="M2987" s="68">
        <v>7</v>
      </c>
      <c r="N2987" s="181" t="str">
        <f t="shared" si="47"/>
        <v>нет</v>
      </c>
      <c r="O2987" s="23"/>
      <c r="P2987" s="23"/>
      <c r="Q2987" s="106"/>
      <c r="R2987" s="37">
        <v>719</v>
      </c>
      <c r="S2987" s="39" t="s">
        <v>1128</v>
      </c>
      <c r="T2987" s="37">
        <v>1816</v>
      </c>
      <c r="U2987" s="38" t="s">
        <v>2034</v>
      </c>
      <c r="V2987" s="89" t="s">
        <v>272</v>
      </c>
      <c r="W2987" s="89" t="s">
        <v>138</v>
      </c>
      <c r="X2987" s="106" t="s">
        <v>296</v>
      </c>
      <c r="Y2987" s="107" t="s">
        <v>12</v>
      </c>
      <c r="Z2987" s="67">
        <f>IF(База_КР_КК[[#This Row],[Таб.номер резервиста]]="-","-",IF(OR(База_КР_КК[[#This Row],[Уровень КК]]=2,База_КР_КК[[#This Row],[Уровень КК]]=3),IF(COUNTIFS($U$2:$U2987,$U2987,$F$2:$F2987,$F2987)=1,1,0),IF(COUNTIFS($U$2:$U2987,$U2987,$L$2:$L2987,$L2987)=1,1,0)))</f>
        <v>0</v>
      </c>
      <c r="AA29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7" s="106"/>
      <c r="AC2987" s="51"/>
      <c r="AD2987" s="106" t="s">
        <v>15</v>
      </c>
      <c r="AE2987" s="38" t="s">
        <v>378</v>
      </c>
    </row>
    <row r="2988" spans="1:31" ht="18" customHeight="1" x14ac:dyDescent="0.25">
      <c r="A29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8" s="79">
        <v>4</v>
      </c>
      <c r="C2988" s="23">
        <v>44118</v>
      </c>
      <c r="D2988" s="67">
        <f>IF(COUNTIF($G$2:$G2988,$G2988)=1,1,0)</f>
        <v>0</v>
      </c>
      <c r="E2988" s="67" t="str">
        <f>IFERROR(VLOOKUP(База_КР_КК[[#This Row],[ИД штатной должности (S)]],'уровень защищенности'!$B$7:$F$1095,5,0),"не защищена")</f>
        <v>низкий</v>
      </c>
      <c r="F2988" s="68">
        <v>500151</v>
      </c>
      <c r="G2988" s="74" t="s">
        <v>2897</v>
      </c>
      <c r="H2988" s="181">
        <f>INDEX('Списки данных'!$D$2:$D$1048576,MATCH(База_КР_КК[[#This Row],[Структурное подразделение]],'Списки данных'!$C$2:$C$1048576,0))</f>
        <v>21</v>
      </c>
      <c r="I2988" s="80" t="s">
        <v>138</v>
      </c>
      <c r="J2988" s="80" t="s">
        <v>243</v>
      </c>
      <c r="K2988" s="80" t="s">
        <v>21</v>
      </c>
      <c r="L2988" s="30" t="s">
        <v>191</v>
      </c>
      <c r="M2988" s="68">
        <v>7</v>
      </c>
      <c r="N2988" s="181" t="str">
        <f t="shared" si="47"/>
        <v>нет</v>
      </c>
      <c r="O2988" s="23"/>
      <c r="P2988" s="23"/>
      <c r="Q2988" s="106"/>
      <c r="R2988" s="37">
        <v>719</v>
      </c>
      <c r="S2988" s="38" t="s">
        <v>1128</v>
      </c>
      <c r="T2988" s="37">
        <v>728</v>
      </c>
      <c r="U2988" s="39" t="s">
        <v>1137</v>
      </c>
      <c r="V2988" s="89" t="s">
        <v>272</v>
      </c>
      <c r="W2988" s="89" t="s">
        <v>138</v>
      </c>
      <c r="X2988" s="106" t="s">
        <v>296</v>
      </c>
      <c r="Y2988" s="107" t="s">
        <v>18</v>
      </c>
      <c r="Z2988" s="67">
        <f>IF(База_КР_КК[[#This Row],[Таб.номер резервиста]]="-","-",IF(OR(База_КР_КК[[#This Row],[Уровень КК]]=2,База_КР_КК[[#This Row],[Уровень КК]]=3),IF(COUNTIFS($U$2:$U2988,$U2988,$F$2:$F2988,$F2988)=1,1,0),IF(COUNTIFS($U$2:$U2988,$U2988,$L$2:$L2988,$L2988)=1,1,0)))</f>
        <v>0</v>
      </c>
      <c r="AA29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8" s="106" t="s">
        <v>37</v>
      </c>
      <c r="AC2988" s="51">
        <v>44631</v>
      </c>
      <c r="AD2988" s="106" t="s">
        <v>15</v>
      </c>
      <c r="AE2988" s="38" t="s">
        <v>379</v>
      </c>
    </row>
    <row r="2989" spans="1:31" ht="18" customHeight="1" x14ac:dyDescent="0.25">
      <c r="A29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89" s="79">
        <v>4</v>
      </c>
      <c r="C2989" s="23">
        <v>44858</v>
      </c>
      <c r="D2989" s="67">
        <f>IF(COUNTIF($G$2:$G2989,$G2989)=1,1,0)</f>
        <v>1</v>
      </c>
      <c r="E2989" s="67" t="str">
        <f>IFERROR(VLOOKUP(База_КР_КК[[#This Row],[ИД штатной должности (S)]],'уровень защищенности'!$B$7:$F$1095,5,0),"не защищена")</f>
        <v>низкий</v>
      </c>
      <c r="F2989" s="68">
        <v>500151</v>
      </c>
      <c r="G2989" s="74" t="s">
        <v>2898</v>
      </c>
      <c r="H2989" s="181">
        <f>INDEX('Списки данных'!$D$2:$D$1048576,MATCH(База_КР_КК[[#This Row],[Структурное подразделение]],'Списки данных'!$C$2:$C$1048576,0))</f>
        <v>21</v>
      </c>
      <c r="I2989" s="80" t="s">
        <v>138</v>
      </c>
      <c r="J2989" s="80" t="s">
        <v>243</v>
      </c>
      <c r="K2989" s="80" t="s">
        <v>21</v>
      </c>
      <c r="L2989" s="30" t="s">
        <v>191</v>
      </c>
      <c r="M2989" s="68">
        <v>7</v>
      </c>
      <c r="N2989" s="181" t="str">
        <f t="shared" si="47"/>
        <v>нет</v>
      </c>
      <c r="O2989" s="23"/>
      <c r="P2989" s="23"/>
      <c r="Q2989" s="106"/>
      <c r="R2989" s="37">
        <v>720</v>
      </c>
      <c r="S2989" s="39" t="s">
        <v>1129</v>
      </c>
      <c r="T2989" s="37">
        <v>1815</v>
      </c>
      <c r="U2989" s="38" t="s">
        <v>1545</v>
      </c>
      <c r="V2989" s="69" t="s">
        <v>272</v>
      </c>
      <c r="W2989" s="89" t="s">
        <v>138</v>
      </c>
      <c r="X2989" s="106" t="s">
        <v>296</v>
      </c>
      <c r="Y2989" s="107" t="s">
        <v>12</v>
      </c>
      <c r="Z2989" s="67">
        <f>IF(База_КР_КК[[#This Row],[Таб.номер резервиста]]="-","-",IF(OR(База_КР_КК[[#This Row],[Уровень КК]]=2,База_КР_КК[[#This Row],[Уровень КК]]=3),IF(COUNTIFS($U$2:$U2989,$U2989,$F$2:$F2989,$F2989)=1,1,0),IF(COUNTIFS($U$2:$U2989,$U2989,$L$2:$L2989,$L2989)=1,1,0)))</f>
        <v>0</v>
      </c>
      <c r="AA29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89" s="106"/>
      <c r="AC2989" s="51"/>
      <c r="AD2989" s="106" t="s">
        <v>15</v>
      </c>
      <c r="AE2989" s="38" t="s">
        <v>378</v>
      </c>
    </row>
    <row r="2990" spans="1:31" ht="18" customHeight="1" x14ac:dyDescent="0.25">
      <c r="A29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0" s="79">
        <v>4</v>
      </c>
      <c r="C2990" s="23">
        <v>44858</v>
      </c>
      <c r="D2990" s="67">
        <f>IF(COUNTIF($G$2:$G2990,$G2990)=1,1,0)</f>
        <v>0</v>
      </c>
      <c r="E2990" s="67" t="str">
        <f>IFERROR(VLOOKUP(База_КР_КК[[#This Row],[ИД штатной должности (S)]],'уровень защищенности'!$B$7:$F$1095,5,0),"не защищена")</f>
        <v>низкий</v>
      </c>
      <c r="F2990" s="68">
        <v>500151</v>
      </c>
      <c r="G2990" s="74" t="s">
        <v>2898</v>
      </c>
      <c r="H2990" s="181">
        <f>INDEX('Списки данных'!$D$2:$D$1048576,MATCH(База_КР_КК[[#This Row],[Структурное подразделение]],'Списки данных'!$C$2:$C$1048576,0))</f>
        <v>21</v>
      </c>
      <c r="I2990" s="80" t="s">
        <v>138</v>
      </c>
      <c r="J2990" s="80" t="s">
        <v>243</v>
      </c>
      <c r="K2990" s="80" t="s">
        <v>21</v>
      </c>
      <c r="L2990" s="30" t="s">
        <v>191</v>
      </c>
      <c r="M2990" s="68">
        <v>7</v>
      </c>
      <c r="N2990" s="181" t="str">
        <f t="shared" si="47"/>
        <v>нет</v>
      </c>
      <c r="O2990" s="23"/>
      <c r="P2990" s="23"/>
      <c r="Q2990" s="106"/>
      <c r="R2990" s="37">
        <v>720</v>
      </c>
      <c r="S2990" s="39" t="s">
        <v>1129</v>
      </c>
      <c r="T2990" s="37">
        <v>1816</v>
      </c>
      <c r="U2990" s="38" t="s">
        <v>2034</v>
      </c>
      <c r="V2990" s="89" t="s">
        <v>272</v>
      </c>
      <c r="W2990" s="89" t="s">
        <v>138</v>
      </c>
      <c r="X2990" s="106" t="s">
        <v>296</v>
      </c>
      <c r="Y2990" s="107" t="s">
        <v>12</v>
      </c>
      <c r="Z2990" s="67">
        <f>IF(База_КР_КК[[#This Row],[Таб.номер резервиста]]="-","-",IF(OR(База_КР_КК[[#This Row],[Уровень КК]]=2,База_КР_КК[[#This Row],[Уровень КК]]=3),IF(COUNTIFS($U$2:$U2990,$U2990,$F$2:$F2990,$F2990)=1,1,0),IF(COUNTIFS($U$2:$U2990,$U2990,$L$2:$L2990,$L2990)=1,1,0)))</f>
        <v>0</v>
      </c>
      <c r="AA29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0" s="106"/>
      <c r="AC2990" s="51"/>
      <c r="AD2990" s="106" t="s">
        <v>15</v>
      </c>
      <c r="AE2990" s="38" t="s">
        <v>378</v>
      </c>
    </row>
    <row r="2991" spans="1:31" ht="18" customHeight="1" x14ac:dyDescent="0.25">
      <c r="A29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1" s="79">
        <v>4</v>
      </c>
      <c r="C2991" s="23">
        <v>44118</v>
      </c>
      <c r="D2991" s="67">
        <f>IF(COUNTIF($G$2:$G2991,$G2991)=1,1,0)</f>
        <v>0</v>
      </c>
      <c r="E2991" s="67" t="str">
        <f>IFERROR(VLOOKUP(База_КР_КК[[#This Row],[ИД штатной должности (S)]],'уровень защищенности'!$B$7:$F$1095,5,0),"не защищена")</f>
        <v>низкий</v>
      </c>
      <c r="F2991" s="68">
        <v>500151</v>
      </c>
      <c r="G2991" s="74" t="s">
        <v>2898</v>
      </c>
      <c r="H2991" s="181">
        <f>INDEX('Списки данных'!$D$2:$D$1048576,MATCH(База_КР_КК[[#This Row],[Структурное подразделение]],'Списки данных'!$C$2:$C$1048576,0))</f>
        <v>21</v>
      </c>
      <c r="I2991" s="80" t="s">
        <v>138</v>
      </c>
      <c r="J2991" s="80" t="s">
        <v>243</v>
      </c>
      <c r="K2991" s="80" t="s">
        <v>21</v>
      </c>
      <c r="L2991" s="30" t="s">
        <v>191</v>
      </c>
      <c r="M2991" s="68">
        <v>7</v>
      </c>
      <c r="N2991" s="181" t="str">
        <f t="shared" si="47"/>
        <v>нет</v>
      </c>
      <c r="O2991" s="23"/>
      <c r="P2991" s="23"/>
      <c r="Q2991" s="106"/>
      <c r="R2991" s="37">
        <v>720</v>
      </c>
      <c r="S2991" s="38" t="s">
        <v>1129</v>
      </c>
      <c r="T2991" s="37">
        <v>728</v>
      </c>
      <c r="U2991" s="39" t="s">
        <v>1137</v>
      </c>
      <c r="V2991" s="89" t="s">
        <v>272</v>
      </c>
      <c r="W2991" s="89" t="s">
        <v>138</v>
      </c>
      <c r="X2991" s="106" t="s">
        <v>296</v>
      </c>
      <c r="Y2991" s="107" t="s">
        <v>18</v>
      </c>
      <c r="Z2991" s="67">
        <f>IF(База_КР_КК[[#This Row],[Таб.номер резервиста]]="-","-",IF(OR(База_КР_КК[[#This Row],[Уровень КК]]=2,База_КР_КК[[#This Row],[Уровень КК]]=3),IF(COUNTIFS($U$2:$U2991,$U2991,$F$2:$F2991,$F2991)=1,1,0),IF(COUNTIFS($U$2:$U2991,$U2991,$L$2:$L2991,$L2991)=1,1,0)))</f>
        <v>0</v>
      </c>
      <c r="AA29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1" s="106" t="s">
        <v>37</v>
      </c>
      <c r="AC2991" s="51">
        <v>44631</v>
      </c>
      <c r="AD2991" s="106" t="s">
        <v>15</v>
      </c>
      <c r="AE2991" s="38" t="s">
        <v>379</v>
      </c>
    </row>
    <row r="2992" spans="1:31" ht="18" customHeight="1" x14ac:dyDescent="0.25">
      <c r="A29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2" s="79">
        <v>4</v>
      </c>
      <c r="C2992" s="23">
        <v>44118</v>
      </c>
      <c r="D2992" s="67">
        <f>IF(COUNTIF($G$2:$G2992,$G2992)=1,1,0)</f>
        <v>1</v>
      </c>
      <c r="E2992" s="67" t="str">
        <f>IFERROR(VLOOKUP(База_КР_КК[[#This Row],[ИД штатной должности (S)]],'уровень защищенности'!$B$7:$F$1095,5,0),"не защищена")</f>
        <v>средний</v>
      </c>
      <c r="F2992" s="68">
        <v>500152</v>
      </c>
      <c r="G2992" s="74" t="s">
        <v>2899</v>
      </c>
      <c r="H2992" s="181">
        <f>INDEX('Списки данных'!$D$2:$D$1048576,MATCH(База_КР_КК[[#This Row],[Структурное подразделение]],'Списки данных'!$C$2:$C$1048576,0))</f>
        <v>21</v>
      </c>
      <c r="I2992" s="80" t="s">
        <v>138</v>
      </c>
      <c r="J2992" s="80" t="s">
        <v>243</v>
      </c>
      <c r="K2992" s="80" t="s">
        <v>21</v>
      </c>
      <c r="L2992" s="30" t="s">
        <v>191</v>
      </c>
      <c r="M2992" s="68">
        <v>7</v>
      </c>
      <c r="N2992" s="181" t="str">
        <f t="shared" si="47"/>
        <v>нет</v>
      </c>
      <c r="O2992" s="23"/>
      <c r="P2992" s="23"/>
      <c r="Q2992" s="106"/>
      <c r="R2992" s="37">
        <v>721</v>
      </c>
      <c r="S2992" s="38" t="s">
        <v>1130</v>
      </c>
      <c r="T2992" s="37">
        <v>1817</v>
      </c>
      <c r="U2992" s="39" t="s">
        <v>2063</v>
      </c>
      <c r="V2992" s="89" t="s">
        <v>272</v>
      </c>
      <c r="W2992" s="89" t="s">
        <v>138</v>
      </c>
      <c r="X2992" s="106" t="s">
        <v>297</v>
      </c>
      <c r="Y2992" s="107" t="s">
        <v>12</v>
      </c>
      <c r="Z2992" s="67">
        <f>IF(База_КР_КК[[#This Row],[Таб.номер резервиста]]="-","-",IF(OR(База_КР_КК[[#This Row],[Уровень КК]]=2,База_КР_КК[[#This Row],[Уровень КК]]=3),IF(COUNTIFS($U$2:$U2992,$U2992,$F$2:$F2992,$F2992)=1,1,0),IF(COUNTIFS($U$2:$U2992,$U2992,$L$2:$L2992,$L2992)=1,1,0)))</f>
        <v>1</v>
      </c>
      <c r="AA29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2" s="106"/>
      <c r="AC2992" s="51"/>
      <c r="AD2992" s="106" t="s">
        <v>17</v>
      </c>
      <c r="AE2992" s="38" t="s">
        <v>378</v>
      </c>
    </row>
    <row r="2993" spans="1:31" ht="18" customHeight="1" x14ac:dyDescent="0.25">
      <c r="A29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3" s="79">
        <v>4</v>
      </c>
      <c r="C2993" s="23">
        <v>44858</v>
      </c>
      <c r="D2993" s="67">
        <f>IF(COUNTIF($G$2:$G2993,$G2993)=1,1,0)</f>
        <v>0</v>
      </c>
      <c r="E2993" s="67" t="str">
        <f>IFERROR(VLOOKUP(База_КР_КК[[#This Row],[ИД штатной должности (S)]],'уровень защищенности'!$B$7:$F$1095,5,0),"не защищена")</f>
        <v>средний</v>
      </c>
      <c r="F2993" s="68">
        <v>500152</v>
      </c>
      <c r="G2993" s="74" t="s">
        <v>2899</v>
      </c>
      <c r="H2993" s="181">
        <f>INDEX('Списки данных'!$D$2:$D$1048576,MATCH(База_КР_КК[[#This Row],[Структурное подразделение]],'Списки данных'!$C$2:$C$1048576,0))</f>
        <v>21</v>
      </c>
      <c r="I2993" s="80" t="s">
        <v>138</v>
      </c>
      <c r="J2993" s="80" t="s">
        <v>243</v>
      </c>
      <c r="K2993" s="80" t="s">
        <v>21</v>
      </c>
      <c r="L2993" s="30" t="s">
        <v>191</v>
      </c>
      <c r="M2993" s="68">
        <v>7</v>
      </c>
      <c r="N2993" s="181" t="str">
        <f t="shared" si="47"/>
        <v>нет</v>
      </c>
      <c r="O2993" s="23"/>
      <c r="P2993" s="23"/>
      <c r="Q2993" s="106"/>
      <c r="R2993" s="37">
        <v>721</v>
      </c>
      <c r="S2993" s="39" t="s">
        <v>1130</v>
      </c>
      <c r="T2993" s="37">
        <v>1818</v>
      </c>
      <c r="U2993" s="38" t="s">
        <v>1731</v>
      </c>
      <c r="V2993" s="69" t="s">
        <v>272</v>
      </c>
      <c r="W2993" s="89" t="s">
        <v>138</v>
      </c>
      <c r="X2993" s="106" t="s">
        <v>296</v>
      </c>
      <c r="Y2993" s="107" t="s">
        <v>12</v>
      </c>
      <c r="Z2993" s="67">
        <f>IF(База_КР_КК[[#This Row],[Таб.номер резервиста]]="-","-",IF(OR(База_КР_КК[[#This Row],[Уровень КК]]=2,База_КР_КК[[#This Row],[Уровень КК]]=3),IF(COUNTIFS($U$2:$U2993,$U2993,$F$2:$F2993,$F2993)=1,1,0),IF(COUNTIFS($U$2:$U2993,$U2993,$L$2:$L2993,$L2993)=1,1,0)))</f>
        <v>0</v>
      </c>
      <c r="AA29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3" s="106"/>
      <c r="AC2993" s="51"/>
      <c r="AD2993" s="106" t="s">
        <v>15</v>
      </c>
      <c r="AE2993" s="38" t="s">
        <v>378</v>
      </c>
    </row>
    <row r="2994" spans="1:31" ht="18" customHeight="1" x14ac:dyDescent="0.25">
      <c r="A29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4" s="79">
        <v>4</v>
      </c>
      <c r="C2994" s="23">
        <v>44858</v>
      </c>
      <c r="D2994" s="67">
        <f>IF(COUNTIF($G$2:$G2994,$G2994)=1,1,0)</f>
        <v>0</v>
      </c>
      <c r="E2994" s="67" t="str">
        <f>IFERROR(VLOOKUP(База_КР_КК[[#This Row],[ИД штатной должности (S)]],'уровень защищенности'!$B$7:$F$1095,5,0),"не защищена")</f>
        <v>средний</v>
      </c>
      <c r="F2994" s="68">
        <v>500152</v>
      </c>
      <c r="G2994" s="74" t="s">
        <v>2899</v>
      </c>
      <c r="H2994" s="181">
        <f>INDEX('Списки данных'!$D$2:$D$1048576,MATCH(База_КР_КК[[#This Row],[Структурное подразделение]],'Списки данных'!$C$2:$C$1048576,0))</f>
        <v>21</v>
      </c>
      <c r="I2994" s="80" t="s">
        <v>138</v>
      </c>
      <c r="J2994" s="80" t="s">
        <v>243</v>
      </c>
      <c r="K2994" s="80" t="s">
        <v>21</v>
      </c>
      <c r="L2994" s="30" t="s">
        <v>191</v>
      </c>
      <c r="M2994" s="68">
        <v>7</v>
      </c>
      <c r="N2994" s="181" t="str">
        <f t="shared" si="47"/>
        <v>нет</v>
      </c>
      <c r="O2994" s="23"/>
      <c r="P2994" s="23"/>
      <c r="Q2994" s="106"/>
      <c r="R2994" s="37">
        <v>721</v>
      </c>
      <c r="S2994" s="39" t="s">
        <v>1130</v>
      </c>
      <c r="T2994" s="37">
        <v>1819</v>
      </c>
      <c r="U2994" s="38" t="s">
        <v>1971</v>
      </c>
      <c r="V2994" s="69" t="s">
        <v>272</v>
      </c>
      <c r="W2994" s="89" t="s">
        <v>138</v>
      </c>
      <c r="X2994" s="106" t="s">
        <v>297</v>
      </c>
      <c r="Y2994" s="107" t="s">
        <v>12</v>
      </c>
      <c r="Z2994" s="67">
        <f>IF(База_КР_КК[[#This Row],[Таб.номер резервиста]]="-","-",IF(OR(База_КР_КК[[#This Row],[Уровень КК]]=2,База_КР_КК[[#This Row],[Уровень КК]]=3),IF(COUNTIFS($U$2:$U2994,$U2994,$F$2:$F2994,$F2994)=1,1,0),IF(COUNTIFS($U$2:$U2994,$U2994,$L$2:$L2994,$L2994)=1,1,0)))</f>
        <v>1</v>
      </c>
      <c r="AA29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4" s="106"/>
      <c r="AC2994" s="51"/>
      <c r="AD2994" s="106" t="s">
        <v>15</v>
      </c>
      <c r="AE2994" s="38" t="s">
        <v>378</v>
      </c>
    </row>
    <row r="2995" spans="1:31" ht="18" customHeight="1" x14ac:dyDescent="0.25">
      <c r="A29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5" s="79">
        <v>4</v>
      </c>
      <c r="C2995" s="23">
        <v>44118</v>
      </c>
      <c r="D2995" s="67">
        <f>IF(COUNTIF($G$2:$G2995,$G2995)=1,1,0)</f>
        <v>0</v>
      </c>
      <c r="E2995" s="67" t="str">
        <f>IFERROR(VLOOKUP(База_КР_КК[[#This Row],[ИД штатной должности (S)]],'уровень защищенности'!$B$7:$F$1095,5,0),"не защищена")</f>
        <v>средний</v>
      </c>
      <c r="F2995" s="68">
        <v>500152</v>
      </c>
      <c r="G2995" s="74" t="s">
        <v>2899</v>
      </c>
      <c r="H2995" s="181">
        <f>INDEX('Списки данных'!$D$2:$D$1048576,MATCH(База_КР_КК[[#This Row],[Структурное подразделение]],'Списки данных'!$C$2:$C$1048576,0))</f>
        <v>21</v>
      </c>
      <c r="I2995" s="80" t="s">
        <v>138</v>
      </c>
      <c r="J2995" s="80" t="s">
        <v>243</v>
      </c>
      <c r="K2995" s="80" t="s">
        <v>21</v>
      </c>
      <c r="L2995" s="30" t="s">
        <v>191</v>
      </c>
      <c r="M2995" s="68">
        <v>7</v>
      </c>
      <c r="N2995" s="181" t="str">
        <f t="shared" si="47"/>
        <v>нет</v>
      </c>
      <c r="O2995" s="23"/>
      <c r="P2995" s="23"/>
      <c r="Q2995" s="106"/>
      <c r="R2995" s="37">
        <v>721</v>
      </c>
      <c r="S2995" s="38" t="s">
        <v>1130</v>
      </c>
      <c r="T2995" s="37">
        <v>1820</v>
      </c>
      <c r="U2995" s="39" t="s">
        <v>2064</v>
      </c>
      <c r="V2995" s="89" t="s">
        <v>272</v>
      </c>
      <c r="W2995" s="89" t="s">
        <v>138</v>
      </c>
      <c r="X2995" s="106" t="s">
        <v>296</v>
      </c>
      <c r="Y2995" s="107" t="s">
        <v>18</v>
      </c>
      <c r="Z2995" s="67">
        <f>IF(База_КР_КК[[#This Row],[Таб.номер резервиста]]="-","-",IF(OR(База_КР_КК[[#This Row],[Уровень КК]]=2,База_КР_КК[[#This Row],[Уровень КК]]=3),IF(COUNTIFS($U$2:$U2995,$U2995,$F$2:$F2995,$F2995)=1,1,0),IF(COUNTIFS($U$2:$U2995,$U2995,$L$2:$L2995,$L2995)=1,1,0)))</f>
        <v>1</v>
      </c>
      <c r="AA29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5" s="106" t="s">
        <v>19</v>
      </c>
      <c r="AC2995" s="51">
        <v>44455</v>
      </c>
      <c r="AD2995" s="106" t="s">
        <v>15</v>
      </c>
      <c r="AE2995" s="38" t="s">
        <v>379</v>
      </c>
    </row>
    <row r="2996" spans="1:31" ht="18" customHeight="1" x14ac:dyDescent="0.25">
      <c r="A29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6" s="79">
        <v>4</v>
      </c>
      <c r="C2996" s="23">
        <v>44118</v>
      </c>
      <c r="D2996" s="67">
        <f>IF(COUNTIF($G$2:$G2996,$G2996)=1,1,0)</f>
        <v>0</v>
      </c>
      <c r="E2996" s="67" t="str">
        <f>IFERROR(VLOOKUP(База_КР_КК[[#This Row],[ИД штатной должности (S)]],'уровень защищенности'!$B$7:$F$1095,5,0),"не защищена")</f>
        <v>средний</v>
      </c>
      <c r="F2996" s="68">
        <v>500152</v>
      </c>
      <c r="G2996" s="74" t="s">
        <v>2899</v>
      </c>
      <c r="H2996" s="181">
        <f>INDEX('Списки данных'!$D$2:$D$1048576,MATCH(База_КР_КК[[#This Row],[Структурное подразделение]],'Списки данных'!$C$2:$C$1048576,0))</f>
        <v>21</v>
      </c>
      <c r="I2996" s="80" t="s">
        <v>138</v>
      </c>
      <c r="J2996" s="80" t="s">
        <v>243</v>
      </c>
      <c r="K2996" s="80" t="s">
        <v>21</v>
      </c>
      <c r="L2996" s="30" t="s">
        <v>191</v>
      </c>
      <c r="M2996" s="68">
        <v>7</v>
      </c>
      <c r="N2996" s="181" t="str">
        <f t="shared" si="47"/>
        <v>нет</v>
      </c>
      <c r="O2996" s="23"/>
      <c r="P2996" s="23"/>
      <c r="Q2996" s="106"/>
      <c r="R2996" s="37">
        <v>721</v>
      </c>
      <c r="S2996" s="39" t="s">
        <v>1130</v>
      </c>
      <c r="T2996" s="37">
        <v>728</v>
      </c>
      <c r="U2996" s="38" t="s">
        <v>1137</v>
      </c>
      <c r="V2996" s="69" t="s">
        <v>272</v>
      </c>
      <c r="W2996" s="89" t="s">
        <v>138</v>
      </c>
      <c r="X2996" s="106" t="s">
        <v>297</v>
      </c>
      <c r="Y2996" s="107" t="s">
        <v>18</v>
      </c>
      <c r="Z2996" s="67">
        <f>IF(База_КР_КК[[#This Row],[Таб.номер резервиста]]="-","-",IF(OR(База_КР_КК[[#This Row],[Уровень КК]]=2,База_КР_КК[[#This Row],[Уровень КК]]=3),IF(COUNTIFS($U$2:$U2996,$U2996,$F$2:$F2996,$F2996)=1,1,0),IF(COUNTIFS($U$2:$U2996,$U2996,$L$2:$L2996,$L2996)=1,1,0)))</f>
        <v>0</v>
      </c>
      <c r="AA29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6" s="106" t="s">
        <v>24</v>
      </c>
      <c r="AC2996" s="51">
        <v>44631</v>
      </c>
      <c r="AD2996" s="106" t="s">
        <v>15</v>
      </c>
      <c r="AE2996" s="38" t="s">
        <v>379</v>
      </c>
    </row>
    <row r="2997" spans="1:31" ht="18" customHeight="1" x14ac:dyDescent="0.25">
      <c r="A29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7" s="79">
        <v>4</v>
      </c>
      <c r="C2997" s="23">
        <v>44118</v>
      </c>
      <c r="D2997" s="67">
        <f>IF(COUNTIF($G$2:$G2997,$G2997)=1,1,0)</f>
        <v>1</v>
      </c>
      <c r="E2997" s="67" t="str">
        <f>IFERROR(VLOOKUP(База_КР_КК[[#This Row],[ИД штатной должности (S)]],'уровень защищенности'!$B$7:$F$1095,5,0),"не защищена")</f>
        <v>средний</v>
      </c>
      <c r="F2997" s="68">
        <v>500152</v>
      </c>
      <c r="G2997" s="74" t="s">
        <v>2900</v>
      </c>
      <c r="H2997" s="181">
        <f>INDEX('Списки данных'!$D$2:$D$1048576,MATCH(База_КР_КК[[#This Row],[Структурное подразделение]],'Списки данных'!$C$2:$C$1048576,0))</f>
        <v>21</v>
      </c>
      <c r="I2997" s="80" t="s">
        <v>138</v>
      </c>
      <c r="J2997" s="80" t="s">
        <v>243</v>
      </c>
      <c r="K2997" s="80" t="s">
        <v>21</v>
      </c>
      <c r="L2997" s="30" t="s">
        <v>191</v>
      </c>
      <c r="M2997" s="68">
        <v>7</v>
      </c>
      <c r="N2997" s="181" t="str">
        <f t="shared" si="47"/>
        <v>нет</v>
      </c>
      <c r="O2997" s="23"/>
      <c r="P2997" s="23"/>
      <c r="Q2997" s="106"/>
      <c r="R2997" s="37">
        <v>722</v>
      </c>
      <c r="S2997" s="38" t="s">
        <v>1131</v>
      </c>
      <c r="T2997" s="37">
        <v>1817</v>
      </c>
      <c r="U2997" s="39" t="s">
        <v>2063</v>
      </c>
      <c r="V2997" s="89" t="s">
        <v>272</v>
      </c>
      <c r="W2997" s="89" t="s">
        <v>138</v>
      </c>
      <c r="X2997" s="106" t="s">
        <v>297</v>
      </c>
      <c r="Y2997" s="107" t="s">
        <v>12</v>
      </c>
      <c r="Z2997" s="67">
        <f>IF(База_КР_КК[[#This Row],[Таб.номер резервиста]]="-","-",IF(OR(База_КР_КК[[#This Row],[Уровень КК]]=2,База_КР_КК[[#This Row],[Уровень КК]]=3),IF(COUNTIFS($U$2:$U2997,$U2997,$F$2:$F2997,$F2997)=1,1,0),IF(COUNTIFS($U$2:$U2997,$U2997,$L$2:$L2997,$L2997)=1,1,0)))</f>
        <v>0</v>
      </c>
      <c r="AA29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7" s="106"/>
      <c r="AC2997" s="51"/>
      <c r="AD2997" s="106" t="s">
        <v>17</v>
      </c>
      <c r="AE2997" s="38" t="s">
        <v>378</v>
      </c>
    </row>
    <row r="2998" spans="1:31" ht="18" customHeight="1" x14ac:dyDescent="0.25">
      <c r="A29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8" s="79">
        <v>4</v>
      </c>
      <c r="C2998" s="23">
        <v>44858</v>
      </c>
      <c r="D2998" s="67">
        <f>IF(COUNTIF($G$2:$G2998,$G2998)=1,1,0)</f>
        <v>0</v>
      </c>
      <c r="E2998" s="67" t="str">
        <f>IFERROR(VLOOKUP(База_КР_КК[[#This Row],[ИД штатной должности (S)]],'уровень защищенности'!$B$7:$F$1095,5,0),"не защищена")</f>
        <v>средний</v>
      </c>
      <c r="F2998" s="68">
        <v>500152</v>
      </c>
      <c r="G2998" s="74" t="s">
        <v>2900</v>
      </c>
      <c r="H2998" s="181">
        <f>INDEX('Списки данных'!$D$2:$D$1048576,MATCH(База_КР_КК[[#This Row],[Структурное подразделение]],'Списки данных'!$C$2:$C$1048576,0))</f>
        <v>21</v>
      </c>
      <c r="I2998" s="80" t="s">
        <v>138</v>
      </c>
      <c r="J2998" s="80" t="s">
        <v>243</v>
      </c>
      <c r="K2998" s="80" t="s">
        <v>21</v>
      </c>
      <c r="L2998" s="30" t="s">
        <v>191</v>
      </c>
      <c r="M2998" s="68">
        <v>7</v>
      </c>
      <c r="N2998" s="181" t="str">
        <f t="shared" si="47"/>
        <v>нет</v>
      </c>
      <c r="O2998" s="23"/>
      <c r="P2998" s="23"/>
      <c r="Q2998" s="106"/>
      <c r="R2998" s="37">
        <v>722</v>
      </c>
      <c r="S2998" s="39" t="s">
        <v>1131</v>
      </c>
      <c r="T2998" s="37">
        <v>1818</v>
      </c>
      <c r="U2998" s="38" t="s">
        <v>1731</v>
      </c>
      <c r="V2998" s="69" t="s">
        <v>272</v>
      </c>
      <c r="W2998" s="89" t="s">
        <v>138</v>
      </c>
      <c r="X2998" s="106" t="s">
        <v>296</v>
      </c>
      <c r="Y2998" s="107" t="s">
        <v>12</v>
      </c>
      <c r="Z2998" s="67">
        <f>IF(База_КР_КК[[#This Row],[Таб.номер резервиста]]="-","-",IF(OR(База_КР_КК[[#This Row],[Уровень КК]]=2,База_КР_КК[[#This Row],[Уровень КК]]=3),IF(COUNTIFS($U$2:$U2998,$U2998,$F$2:$F2998,$F2998)=1,1,0),IF(COUNTIFS($U$2:$U2998,$U2998,$L$2:$L2998,$L2998)=1,1,0)))</f>
        <v>0</v>
      </c>
      <c r="AA29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8" s="106"/>
      <c r="AC2998" s="51"/>
      <c r="AD2998" s="106" t="s">
        <v>15</v>
      </c>
      <c r="AE2998" s="38" t="s">
        <v>378</v>
      </c>
    </row>
    <row r="2999" spans="1:31" ht="18" customHeight="1" x14ac:dyDescent="0.25">
      <c r="A29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2999" s="79">
        <v>4</v>
      </c>
      <c r="C2999" s="23">
        <v>44858</v>
      </c>
      <c r="D2999" s="67">
        <f>IF(COUNTIF($G$2:$G2999,$G2999)=1,1,0)</f>
        <v>0</v>
      </c>
      <c r="E2999" s="67" t="str">
        <f>IFERROR(VLOOKUP(База_КР_КК[[#This Row],[ИД штатной должности (S)]],'уровень защищенности'!$B$7:$F$1095,5,0),"не защищена")</f>
        <v>средний</v>
      </c>
      <c r="F2999" s="68">
        <v>500152</v>
      </c>
      <c r="G2999" s="74" t="s">
        <v>2900</v>
      </c>
      <c r="H2999" s="181">
        <f>INDEX('Списки данных'!$D$2:$D$1048576,MATCH(База_КР_КК[[#This Row],[Структурное подразделение]],'Списки данных'!$C$2:$C$1048576,0))</f>
        <v>21</v>
      </c>
      <c r="I2999" s="80" t="s">
        <v>138</v>
      </c>
      <c r="J2999" s="80" t="s">
        <v>243</v>
      </c>
      <c r="K2999" s="80" t="s">
        <v>21</v>
      </c>
      <c r="L2999" s="30" t="s">
        <v>191</v>
      </c>
      <c r="M2999" s="68">
        <v>7</v>
      </c>
      <c r="N2999" s="181" t="str">
        <f t="shared" si="47"/>
        <v>нет</v>
      </c>
      <c r="O2999" s="23"/>
      <c r="P2999" s="23"/>
      <c r="Q2999" s="106"/>
      <c r="R2999" s="37">
        <v>722</v>
      </c>
      <c r="S2999" s="39" t="s">
        <v>1131</v>
      </c>
      <c r="T2999" s="37">
        <v>1819</v>
      </c>
      <c r="U2999" s="38" t="s">
        <v>1971</v>
      </c>
      <c r="V2999" s="69" t="s">
        <v>272</v>
      </c>
      <c r="W2999" s="89" t="s">
        <v>138</v>
      </c>
      <c r="X2999" s="106" t="s">
        <v>297</v>
      </c>
      <c r="Y2999" s="107" t="s">
        <v>12</v>
      </c>
      <c r="Z2999" s="67">
        <f>IF(База_КР_КК[[#This Row],[Таб.номер резервиста]]="-","-",IF(OR(База_КР_КК[[#This Row],[Уровень КК]]=2,База_КР_КК[[#This Row],[Уровень КК]]=3),IF(COUNTIFS($U$2:$U2999,$U2999,$F$2:$F2999,$F2999)=1,1,0),IF(COUNTIFS($U$2:$U2999,$U2999,$L$2:$L2999,$L2999)=1,1,0)))</f>
        <v>0</v>
      </c>
      <c r="AA29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2999" s="106"/>
      <c r="AC2999" s="51"/>
      <c r="AD2999" s="106" t="s">
        <v>15</v>
      </c>
      <c r="AE2999" s="38" t="s">
        <v>378</v>
      </c>
    </row>
    <row r="3000" spans="1:31" ht="18" customHeight="1" x14ac:dyDescent="0.25">
      <c r="A30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0" s="79">
        <v>4</v>
      </c>
      <c r="C3000" s="23">
        <v>44118</v>
      </c>
      <c r="D3000" s="67">
        <f>IF(COUNTIF($G$2:$G3000,$G3000)=1,1,0)</f>
        <v>0</v>
      </c>
      <c r="E3000" s="67" t="str">
        <f>IFERROR(VLOOKUP(База_КР_КК[[#This Row],[ИД штатной должности (S)]],'уровень защищенности'!$B$7:$F$1095,5,0),"не защищена")</f>
        <v>средний</v>
      </c>
      <c r="F3000" s="68">
        <v>500152</v>
      </c>
      <c r="G3000" s="74" t="s">
        <v>2900</v>
      </c>
      <c r="H3000" s="181">
        <f>INDEX('Списки данных'!$D$2:$D$1048576,MATCH(База_КР_КК[[#This Row],[Структурное подразделение]],'Списки данных'!$C$2:$C$1048576,0))</f>
        <v>21</v>
      </c>
      <c r="I3000" s="80" t="s">
        <v>138</v>
      </c>
      <c r="J3000" s="80" t="s">
        <v>243</v>
      </c>
      <c r="K3000" s="80" t="s">
        <v>21</v>
      </c>
      <c r="L3000" s="30" t="s">
        <v>191</v>
      </c>
      <c r="M3000" s="68">
        <v>7</v>
      </c>
      <c r="N3000" s="181" t="str">
        <f t="shared" si="47"/>
        <v>нет</v>
      </c>
      <c r="O3000" s="23"/>
      <c r="P3000" s="23"/>
      <c r="Q3000" s="106"/>
      <c r="R3000" s="37">
        <v>722</v>
      </c>
      <c r="S3000" s="38" t="s">
        <v>1131</v>
      </c>
      <c r="T3000" s="37">
        <v>1820</v>
      </c>
      <c r="U3000" s="39" t="s">
        <v>2064</v>
      </c>
      <c r="V3000" s="89" t="s">
        <v>272</v>
      </c>
      <c r="W3000" s="89" t="s">
        <v>138</v>
      </c>
      <c r="X3000" s="106" t="s">
        <v>296</v>
      </c>
      <c r="Y3000" s="107" t="s">
        <v>18</v>
      </c>
      <c r="Z3000" s="67">
        <f>IF(База_КР_КК[[#This Row],[Таб.номер резервиста]]="-","-",IF(OR(База_КР_КК[[#This Row],[Уровень КК]]=2,База_КР_КК[[#This Row],[Уровень КК]]=3),IF(COUNTIFS($U$2:$U3000,$U3000,$F$2:$F3000,$F3000)=1,1,0),IF(COUNTIFS($U$2:$U3000,$U3000,$L$2:$L3000,$L3000)=1,1,0)))</f>
        <v>0</v>
      </c>
      <c r="AA30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0" s="106" t="s">
        <v>19</v>
      </c>
      <c r="AC3000" s="51">
        <v>44455</v>
      </c>
      <c r="AD3000" s="106" t="s">
        <v>15</v>
      </c>
      <c r="AE3000" s="38" t="s">
        <v>379</v>
      </c>
    </row>
    <row r="3001" spans="1:31" ht="18" customHeight="1" x14ac:dyDescent="0.25">
      <c r="A30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1" s="79">
        <v>4</v>
      </c>
      <c r="C3001" s="23">
        <v>44118</v>
      </c>
      <c r="D3001" s="67">
        <f>IF(COUNTIF($G$2:$G3001,$G3001)=1,1,0)</f>
        <v>0</v>
      </c>
      <c r="E3001" s="67" t="str">
        <f>IFERROR(VLOOKUP(База_КР_КК[[#This Row],[ИД штатной должности (S)]],'уровень защищенности'!$B$7:$F$1095,5,0),"не защищена")</f>
        <v>средний</v>
      </c>
      <c r="F3001" s="68">
        <v>500152</v>
      </c>
      <c r="G3001" s="74" t="s">
        <v>2900</v>
      </c>
      <c r="H3001" s="181">
        <f>INDEX('Списки данных'!$D$2:$D$1048576,MATCH(База_КР_КК[[#This Row],[Структурное подразделение]],'Списки данных'!$C$2:$C$1048576,0))</f>
        <v>21</v>
      </c>
      <c r="I3001" s="80" t="s">
        <v>138</v>
      </c>
      <c r="J3001" s="80" t="s">
        <v>243</v>
      </c>
      <c r="K3001" s="80" t="s">
        <v>21</v>
      </c>
      <c r="L3001" s="30" t="s">
        <v>191</v>
      </c>
      <c r="M3001" s="68">
        <v>7</v>
      </c>
      <c r="N3001" s="181" t="str">
        <f t="shared" si="47"/>
        <v>нет</v>
      </c>
      <c r="O3001" s="23"/>
      <c r="P3001" s="23"/>
      <c r="Q3001" s="106"/>
      <c r="R3001" s="37">
        <v>722</v>
      </c>
      <c r="S3001" s="39" t="s">
        <v>1131</v>
      </c>
      <c r="T3001" s="37">
        <v>728</v>
      </c>
      <c r="U3001" s="38" t="s">
        <v>1137</v>
      </c>
      <c r="V3001" s="69" t="s">
        <v>272</v>
      </c>
      <c r="W3001" s="89" t="s">
        <v>138</v>
      </c>
      <c r="X3001" s="106" t="s">
        <v>297</v>
      </c>
      <c r="Y3001" s="107" t="s">
        <v>18</v>
      </c>
      <c r="Z3001" s="67">
        <f>IF(База_КР_КК[[#This Row],[Таб.номер резервиста]]="-","-",IF(OR(База_КР_КК[[#This Row],[Уровень КК]]=2,База_КР_КК[[#This Row],[Уровень КК]]=3),IF(COUNTIFS($U$2:$U3001,$U3001,$F$2:$F3001,$F3001)=1,1,0),IF(COUNTIFS($U$2:$U3001,$U3001,$L$2:$L3001,$L3001)=1,1,0)))</f>
        <v>0</v>
      </c>
      <c r="AA30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1" s="106" t="s">
        <v>24</v>
      </c>
      <c r="AC3001" s="51">
        <v>44631</v>
      </c>
      <c r="AD3001" s="106" t="s">
        <v>15</v>
      </c>
      <c r="AE3001" s="38" t="s">
        <v>379</v>
      </c>
    </row>
    <row r="3002" spans="1:31" ht="18" customHeight="1" x14ac:dyDescent="0.25">
      <c r="A30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2" s="79">
        <v>4</v>
      </c>
      <c r="C3002" s="23">
        <v>44118</v>
      </c>
      <c r="D3002" s="67">
        <f>IF(COUNTIF($G$2:$G3002,$G3002)=1,1,0)</f>
        <v>1</v>
      </c>
      <c r="E3002" s="67" t="str">
        <f>IFERROR(VLOOKUP(База_КР_КК[[#This Row],[ИД штатной должности (S)]],'уровень защищенности'!$B$7:$F$1095,5,0),"не защищена")</f>
        <v>средний</v>
      </c>
      <c r="F3002" s="68">
        <v>500152</v>
      </c>
      <c r="G3002" s="74" t="s">
        <v>2901</v>
      </c>
      <c r="H3002" s="181">
        <f>INDEX('Списки данных'!$D$2:$D$1048576,MATCH(База_КР_КК[[#This Row],[Структурное подразделение]],'Списки данных'!$C$2:$C$1048576,0))</f>
        <v>21</v>
      </c>
      <c r="I3002" s="80" t="s">
        <v>138</v>
      </c>
      <c r="J3002" s="80" t="s">
        <v>243</v>
      </c>
      <c r="K3002" s="80" t="s">
        <v>21</v>
      </c>
      <c r="L3002" s="30" t="s">
        <v>191</v>
      </c>
      <c r="M3002" s="68">
        <v>7</v>
      </c>
      <c r="N3002" s="181" t="str">
        <f t="shared" si="47"/>
        <v>нет</v>
      </c>
      <c r="O3002" s="23"/>
      <c r="P3002" s="23"/>
      <c r="Q3002" s="106"/>
      <c r="R3002" s="37">
        <v>723</v>
      </c>
      <c r="S3002" s="38" t="s">
        <v>1132</v>
      </c>
      <c r="T3002" s="37">
        <v>1817</v>
      </c>
      <c r="U3002" s="39" t="s">
        <v>2063</v>
      </c>
      <c r="V3002" s="89" t="s">
        <v>272</v>
      </c>
      <c r="W3002" s="89" t="s">
        <v>138</v>
      </c>
      <c r="X3002" s="106" t="s">
        <v>297</v>
      </c>
      <c r="Y3002" s="107" t="s">
        <v>12</v>
      </c>
      <c r="Z3002" s="67">
        <f>IF(База_КР_КК[[#This Row],[Таб.номер резервиста]]="-","-",IF(OR(База_КР_КК[[#This Row],[Уровень КК]]=2,База_КР_КК[[#This Row],[Уровень КК]]=3),IF(COUNTIFS($U$2:$U3002,$U3002,$F$2:$F3002,$F3002)=1,1,0),IF(COUNTIFS($U$2:$U3002,$U3002,$L$2:$L3002,$L3002)=1,1,0)))</f>
        <v>0</v>
      </c>
      <c r="AA30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2" s="106"/>
      <c r="AC3002" s="51"/>
      <c r="AD3002" s="106" t="s">
        <v>17</v>
      </c>
      <c r="AE3002" s="38" t="s">
        <v>378</v>
      </c>
    </row>
    <row r="3003" spans="1:31" ht="18" customHeight="1" x14ac:dyDescent="0.25">
      <c r="A30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3" s="79">
        <v>4</v>
      </c>
      <c r="C3003" s="23">
        <v>44858</v>
      </c>
      <c r="D3003" s="67">
        <f>IF(COUNTIF($G$2:$G3003,$G3003)=1,1,0)</f>
        <v>0</v>
      </c>
      <c r="E3003" s="67" t="str">
        <f>IFERROR(VLOOKUP(База_КР_КК[[#This Row],[ИД штатной должности (S)]],'уровень защищенности'!$B$7:$F$1095,5,0),"не защищена")</f>
        <v>средний</v>
      </c>
      <c r="F3003" s="68">
        <v>500152</v>
      </c>
      <c r="G3003" s="74" t="s">
        <v>2901</v>
      </c>
      <c r="H3003" s="181">
        <f>INDEX('Списки данных'!$D$2:$D$1048576,MATCH(База_КР_КК[[#This Row],[Структурное подразделение]],'Списки данных'!$C$2:$C$1048576,0))</f>
        <v>21</v>
      </c>
      <c r="I3003" s="80" t="s">
        <v>138</v>
      </c>
      <c r="J3003" s="80" t="s">
        <v>243</v>
      </c>
      <c r="K3003" s="80" t="s">
        <v>21</v>
      </c>
      <c r="L3003" s="30" t="s">
        <v>191</v>
      </c>
      <c r="M3003" s="68">
        <v>7</v>
      </c>
      <c r="N3003" s="181" t="str">
        <f t="shared" si="47"/>
        <v>нет</v>
      </c>
      <c r="O3003" s="23"/>
      <c r="P3003" s="23"/>
      <c r="Q3003" s="106"/>
      <c r="R3003" s="37">
        <v>723</v>
      </c>
      <c r="S3003" s="39" t="s">
        <v>1132</v>
      </c>
      <c r="T3003" s="37">
        <v>1818</v>
      </c>
      <c r="U3003" s="38" t="s">
        <v>1731</v>
      </c>
      <c r="V3003" s="69" t="s">
        <v>272</v>
      </c>
      <c r="W3003" s="89" t="s">
        <v>138</v>
      </c>
      <c r="X3003" s="106" t="s">
        <v>296</v>
      </c>
      <c r="Y3003" s="107" t="s">
        <v>12</v>
      </c>
      <c r="Z3003" s="67">
        <f>IF(База_КР_КК[[#This Row],[Таб.номер резервиста]]="-","-",IF(OR(База_КР_КК[[#This Row],[Уровень КК]]=2,База_КР_КК[[#This Row],[Уровень КК]]=3),IF(COUNTIFS($U$2:$U3003,$U3003,$F$2:$F3003,$F3003)=1,1,0),IF(COUNTIFS($U$2:$U3003,$U3003,$L$2:$L3003,$L3003)=1,1,0)))</f>
        <v>0</v>
      </c>
      <c r="AA30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3" s="106"/>
      <c r="AC3003" s="51"/>
      <c r="AD3003" s="106" t="s">
        <v>15</v>
      </c>
      <c r="AE3003" s="38" t="s">
        <v>378</v>
      </c>
    </row>
    <row r="3004" spans="1:31" ht="18" customHeight="1" x14ac:dyDescent="0.25">
      <c r="A30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4" s="79">
        <v>4</v>
      </c>
      <c r="C3004" s="23">
        <v>44858</v>
      </c>
      <c r="D3004" s="67">
        <f>IF(COUNTIF($G$2:$G3004,$G3004)=1,1,0)</f>
        <v>0</v>
      </c>
      <c r="E3004" s="67" t="str">
        <f>IFERROR(VLOOKUP(База_КР_КК[[#This Row],[ИД штатной должности (S)]],'уровень защищенности'!$B$7:$F$1095,5,0),"не защищена")</f>
        <v>средний</v>
      </c>
      <c r="F3004" s="68">
        <v>500152</v>
      </c>
      <c r="G3004" s="74" t="s">
        <v>2901</v>
      </c>
      <c r="H3004" s="181">
        <f>INDEX('Списки данных'!$D$2:$D$1048576,MATCH(База_КР_КК[[#This Row],[Структурное подразделение]],'Списки данных'!$C$2:$C$1048576,0))</f>
        <v>21</v>
      </c>
      <c r="I3004" s="80" t="s">
        <v>138</v>
      </c>
      <c r="J3004" s="80" t="s">
        <v>243</v>
      </c>
      <c r="K3004" s="80" t="s">
        <v>21</v>
      </c>
      <c r="L3004" s="30" t="s">
        <v>191</v>
      </c>
      <c r="M3004" s="68">
        <v>7</v>
      </c>
      <c r="N3004" s="181" t="str">
        <f t="shared" si="47"/>
        <v>нет</v>
      </c>
      <c r="O3004" s="23"/>
      <c r="P3004" s="23"/>
      <c r="Q3004" s="106"/>
      <c r="R3004" s="37">
        <v>723</v>
      </c>
      <c r="S3004" s="39" t="s">
        <v>1132</v>
      </c>
      <c r="T3004" s="37">
        <v>1819</v>
      </c>
      <c r="U3004" s="38" t="s">
        <v>1971</v>
      </c>
      <c r="V3004" s="69" t="s">
        <v>272</v>
      </c>
      <c r="W3004" s="89" t="s">
        <v>138</v>
      </c>
      <c r="X3004" s="106" t="s">
        <v>297</v>
      </c>
      <c r="Y3004" s="107" t="s">
        <v>12</v>
      </c>
      <c r="Z3004" s="67">
        <f>IF(База_КР_КК[[#This Row],[Таб.номер резервиста]]="-","-",IF(OR(База_КР_КК[[#This Row],[Уровень КК]]=2,База_КР_КК[[#This Row],[Уровень КК]]=3),IF(COUNTIFS($U$2:$U3004,$U3004,$F$2:$F3004,$F3004)=1,1,0),IF(COUNTIFS($U$2:$U3004,$U3004,$L$2:$L3004,$L3004)=1,1,0)))</f>
        <v>0</v>
      </c>
      <c r="AA30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4" s="106"/>
      <c r="AC3004" s="51"/>
      <c r="AD3004" s="106" t="s">
        <v>15</v>
      </c>
      <c r="AE3004" s="38" t="s">
        <v>378</v>
      </c>
    </row>
    <row r="3005" spans="1:31" ht="18" customHeight="1" x14ac:dyDescent="0.25">
      <c r="A30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5" s="79">
        <v>4</v>
      </c>
      <c r="C3005" s="23">
        <v>44118</v>
      </c>
      <c r="D3005" s="67">
        <f>IF(COUNTIF($G$2:$G3005,$G3005)=1,1,0)</f>
        <v>0</v>
      </c>
      <c r="E3005" s="67" t="str">
        <f>IFERROR(VLOOKUP(База_КР_КК[[#This Row],[ИД штатной должности (S)]],'уровень защищенности'!$B$7:$F$1095,5,0),"не защищена")</f>
        <v>средний</v>
      </c>
      <c r="F3005" s="68">
        <v>500152</v>
      </c>
      <c r="G3005" s="74" t="s">
        <v>2901</v>
      </c>
      <c r="H3005" s="181">
        <f>INDEX('Списки данных'!$D$2:$D$1048576,MATCH(База_КР_КК[[#This Row],[Структурное подразделение]],'Списки данных'!$C$2:$C$1048576,0))</f>
        <v>21</v>
      </c>
      <c r="I3005" s="80" t="s">
        <v>138</v>
      </c>
      <c r="J3005" s="80" t="s">
        <v>243</v>
      </c>
      <c r="K3005" s="80" t="s">
        <v>21</v>
      </c>
      <c r="L3005" s="30" t="s">
        <v>191</v>
      </c>
      <c r="M3005" s="68">
        <v>7</v>
      </c>
      <c r="N3005" s="181" t="str">
        <f t="shared" si="47"/>
        <v>нет</v>
      </c>
      <c r="O3005" s="23"/>
      <c r="P3005" s="23"/>
      <c r="Q3005" s="106"/>
      <c r="R3005" s="37">
        <v>723</v>
      </c>
      <c r="S3005" s="38" t="s">
        <v>1132</v>
      </c>
      <c r="T3005" s="37">
        <v>1820</v>
      </c>
      <c r="U3005" s="39" t="s">
        <v>2064</v>
      </c>
      <c r="V3005" s="89" t="s">
        <v>272</v>
      </c>
      <c r="W3005" s="89" t="s">
        <v>138</v>
      </c>
      <c r="X3005" s="106" t="s">
        <v>296</v>
      </c>
      <c r="Y3005" s="107" t="s">
        <v>18</v>
      </c>
      <c r="Z3005" s="67">
        <f>IF(База_КР_КК[[#This Row],[Таб.номер резервиста]]="-","-",IF(OR(База_КР_КК[[#This Row],[Уровень КК]]=2,База_КР_КК[[#This Row],[Уровень КК]]=3),IF(COUNTIFS($U$2:$U3005,$U3005,$F$2:$F3005,$F3005)=1,1,0),IF(COUNTIFS($U$2:$U3005,$U3005,$L$2:$L3005,$L3005)=1,1,0)))</f>
        <v>0</v>
      </c>
      <c r="AA30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5" s="106" t="s">
        <v>19</v>
      </c>
      <c r="AC3005" s="51">
        <v>44455</v>
      </c>
      <c r="AD3005" s="106" t="s">
        <v>15</v>
      </c>
      <c r="AE3005" s="38" t="s">
        <v>379</v>
      </c>
    </row>
    <row r="3006" spans="1:31" ht="18" customHeight="1" x14ac:dyDescent="0.25">
      <c r="A30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6" s="79">
        <v>4</v>
      </c>
      <c r="C3006" s="23">
        <v>44118</v>
      </c>
      <c r="D3006" s="67">
        <f>IF(COUNTIF($G$2:$G3006,$G3006)=1,1,0)</f>
        <v>0</v>
      </c>
      <c r="E3006" s="67" t="str">
        <f>IFERROR(VLOOKUP(База_КР_КК[[#This Row],[ИД штатной должности (S)]],'уровень защищенности'!$B$7:$F$1095,5,0),"не защищена")</f>
        <v>средний</v>
      </c>
      <c r="F3006" s="68">
        <v>500152</v>
      </c>
      <c r="G3006" s="74" t="s">
        <v>2901</v>
      </c>
      <c r="H3006" s="181">
        <f>INDEX('Списки данных'!$D$2:$D$1048576,MATCH(База_КР_КК[[#This Row],[Структурное подразделение]],'Списки данных'!$C$2:$C$1048576,0))</f>
        <v>21</v>
      </c>
      <c r="I3006" s="80" t="s">
        <v>138</v>
      </c>
      <c r="J3006" s="80" t="s">
        <v>243</v>
      </c>
      <c r="K3006" s="80" t="s">
        <v>21</v>
      </c>
      <c r="L3006" s="30" t="s">
        <v>191</v>
      </c>
      <c r="M3006" s="68">
        <v>7</v>
      </c>
      <c r="N3006" s="181" t="str">
        <f t="shared" si="47"/>
        <v>нет</v>
      </c>
      <c r="O3006" s="23"/>
      <c r="P3006" s="23"/>
      <c r="Q3006" s="106"/>
      <c r="R3006" s="37">
        <v>723</v>
      </c>
      <c r="S3006" s="39" t="s">
        <v>1132</v>
      </c>
      <c r="T3006" s="37">
        <v>728</v>
      </c>
      <c r="U3006" s="38" t="s">
        <v>1137</v>
      </c>
      <c r="V3006" s="69" t="s">
        <v>272</v>
      </c>
      <c r="W3006" s="89" t="s">
        <v>138</v>
      </c>
      <c r="X3006" s="106" t="s">
        <v>297</v>
      </c>
      <c r="Y3006" s="107" t="s">
        <v>18</v>
      </c>
      <c r="Z3006" s="67">
        <f>IF(База_КР_КК[[#This Row],[Таб.номер резервиста]]="-","-",IF(OR(База_КР_КК[[#This Row],[Уровень КК]]=2,База_КР_КК[[#This Row],[Уровень КК]]=3),IF(COUNTIFS($U$2:$U3006,$U3006,$F$2:$F3006,$F3006)=1,1,0),IF(COUNTIFS($U$2:$U3006,$U3006,$L$2:$L3006,$L3006)=1,1,0)))</f>
        <v>0</v>
      </c>
      <c r="AA30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6" s="106" t="s">
        <v>24</v>
      </c>
      <c r="AC3006" s="51">
        <v>44631</v>
      </c>
      <c r="AD3006" s="106" t="s">
        <v>15</v>
      </c>
      <c r="AE3006" s="38" t="s">
        <v>379</v>
      </c>
    </row>
    <row r="3007" spans="1:31" ht="18" customHeight="1" x14ac:dyDescent="0.25">
      <c r="A30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7" s="79">
        <v>4</v>
      </c>
      <c r="C3007" s="23">
        <v>44118</v>
      </c>
      <c r="D3007" s="67">
        <f>IF(COUNTIF($G$2:$G3007,$G3007)=1,1,0)</f>
        <v>1</v>
      </c>
      <c r="E3007" s="67" t="str">
        <f>IFERROR(VLOOKUP(База_КР_КК[[#This Row],[ИД штатной должности (S)]],'уровень защищенности'!$B$7:$F$1095,5,0),"не защищена")</f>
        <v>средний</v>
      </c>
      <c r="F3007" s="68">
        <v>500152</v>
      </c>
      <c r="G3007" s="74" t="s">
        <v>2902</v>
      </c>
      <c r="H3007" s="181">
        <f>INDEX('Списки данных'!$D$2:$D$1048576,MATCH(База_КР_КК[[#This Row],[Структурное подразделение]],'Списки данных'!$C$2:$C$1048576,0))</f>
        <v>21</v>
      </c>
      <c r="I3007" s="80" t="s">
        <v>138</v>
      </c>
      <c r="J3007" s="80" t="s">
        <v>243</v>
      </c>
      <c r="K3007" s="80" t="s">
        <v>21</v>
      </c>
      <c r="L3007" s="30" t="s">
        <v>191</v>
      </c>
      <c r="M3007" s="68">
        <v>7</v>
      </c>
      <c r="N3007" s="181" t="str">
        <f t="shared" ref="N3007:N3070" si="48">IF(ISBLANK(O3007),"нет","да")</f>
        <v>нет</v>
      </c>
      <c r="O3007" s="23"/>
      <c r="P3007" s="23"/>
      <c r="Q3007" s="106"/>
      <c r="R3007" s="37">
        <v>724</v>
      </c>
      <c r="S3007" s="38" t="s">
        <v>1133</v>
      </c>
      <c r="T3007" s="37">
        <v>1817</v>
      </c>
      <c r="U3007" s="39" t="s">
        <v>2063</v>
      </c>
      <c r="V3007" s="89" t="s">
        <v>272</v>
      </c>
      <c r="W3007" s="89" t="s">
        <v>138</v>
      </c>
      <c r="X3007" s="106" t="s">
        <v>297</v>
      </c>
      <c r="Y3007" s="107" t="s">
        <v>12</v>
      </c>
      <c r="Z3007" s="67">
        <f>IF(База_КР_КК[[#This Row],[Таб.номер резервиста]]="-","-",IF(OR(База_КР_КК[[#This Row],[Уровень КК]]=2,База_КР_КК[[#This Row],[Уровень КК]]=3),IF(COUNTIFS($U$2:$U3007,$U3007,$F$2:$F3007,$F3007)=1,1,0),IF(COUNTIFS($U$2:$U3007,$U3007,$L$2:$L3007,$L3007)=1,1,0)))</f>
        <v>0</v>
      </c>
      <c r="AA30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7" s="106"/>
      <c r="AC3007" s="51"/>
      <c r="AD3007" s="106" t="s">
        <v>17</v>
      </c>
      <c r="AE3007" s="38" t="s">
        <v>378</v>
      </c>
    </row>
    <row r="3008" spans="1:31" ht="18" customHeight="1" x14ac:dyDescent="0.25">
      <c r="A30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8" s="79">
        <v>4</v>
      </c>
      <c r="C3008" s="23">
        <v>44858</v>
      </c>
      <c r="D3008" s="67">
        <f>IF(COUNTIF($G$2:$G3008,$G3008)=1,1,0)</f>
        <v>0</v>
      </c>
      <c r="E3008" s="67" t="str">
        <f>IFERROR(VLOOKUP(База_КР_КК[[#This Row],[ИД штатной должности (S)]],'уровень защищенности'!$B$7:$F$1095,5,0),"не защищена")</f>
        <v>средний</v>
      </c>
      <c r="F3008" s="68">
        <v>500152</v>
      </c>
      <c r="G3008" s="74" t="s">
        <v>2902</v>
      </c>
      <c r="H3008" s="181">
        <f>INDEX('Списки данных'!$D$2:$D$1048576,MATCH(База_КР_КК[[#This Row],[Структурное подразделение]],'Списки данных'!$C$2:$C$1048576,0))</f>
        <v>21</v>
      </c>
      <c r="I3008" s="80" t="s">
        <v>138</v>
      </c>
      <c r="J3008" s="80" t="s">
        <v>243</v>
      </c>
      <c r="K3008" s="80" t="s">
        <v>21</v>
      </c>
      <c r="L3008" s="30" t="s">
        <v>191</v>
      </c>
      <c r="M3008" s="68">
        <v>7</v>
      </c>
      <c r="N3008" s="181" t="str">
        <f t="shared" si="48"/>
        <v>нет</v>
      </c>
      <c r="O3008" s="23"/>
      <c r="P3008" s="23"/>
      <c r="Q3008" s="106"/>
      <c r="R3008" s="37">
        <v>724</v>
      </c>
      <c r="S3008" s="39" t="s">
        <v>1133</v>
      </c>
      <c r="T3008" s="37">
        <v>1818</v>
      </c>
      <c r="U3008" s="38" t="s">
        <v>1731</v>
      </c>
      <c r="V3008" s="69" t="s">
        <v>272</v>
      </c>
      <c r="W3008" s="89" t="s">
        <v>138</v>
      </c>
      <c r="X3008" s="106" t="s">
        <v>296</v>
      </c>
      <c r="Y3008" s="107" t="s">
        <v>12</v>
      </c>
      <c r="Z3008" s="67">
        <f>IF(База_КР_КК[[#This Row],[Таб.номер резервиста]]="-","-",IF(OR(База_КР_КК[[#This Row],[Уровень КК]]=2,База_КР_КК[[#This Row],[Уровень КК]]=3),IF(COUNTIFS($U$2:$U3008,$U3008,$F$2:$F3008,$F3008)=1,1,0),IF(COUNTIFS($U$2:$U3008,$U3008,$L$2:$L3008,$L3008)=1,1,0)))</f>
        <v>0</v>
      </c>
      <c r="AA30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8" s="106"/>
      <c r="AC3008" s="51"/>
      <c r="AD3008" s="106" t="s">
        <v>15</v>
      </c>
      <c r="AE3008" s="38" t="s">
        <v>378</v>
      </c>
    </row>
    <row r="3009" spans="1:31" ht="18" customHeight="1" x14ac:dyDescent="0.25">
      <c r="A30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09" s="79">
        <v>4</v>
      </c>
      <c r="C3009" s="23">
        <v>44858</v>
      </c>
      <c r="D3009" s="67">
        <f>IF(COUNTIF($G$2:$G3009,$G3009)=1,1,0)</f>
        <v>0</v>
      </c>
      <c r="E3009" s="67" t="str">
        <f>IFERROR(VLOOKUP(База_КР_КК[[#This Row],[ИД штатной должности (S)]],'уровень защищенности'!$B$7:$F$1095,5,0),"не защищена")</f>
        <v>средний</v>
      </c>
      <c r="F3009" s="68">
        <v>500152</v>
      </c>
      <c r="G3009" s="74" t="s">
        <v>2902</v>
      </c>
      <c r="H3009" s="181">
        <f>INDEX('Списки данных'!$D$2:$D$1048576,MATCH(База_КР_КК[[#This Row],[Структурное подразделение]],'Списки данных'!$C$2:$C$1048576,0))</f>
        <v>21</v>
      </c>
      <c r="I3009" s="80" t="s">
        <v>138</v>
      </c>
      <c r="J3009" s="80" t="s">
        <v>243</v>
      </c>
      <c r="K3009" s="80" t="s">
        <v>21</v>
      </c>
      <c r="L3009" s="30" t="s">
        <v>191</v>
      </c>
      <c r="M3009" s="68">
        <v>7</v>
      </c>
      <c r="N3009" s="181" t="str">
        <f t="shared" si="48"/>
        <v>нет</v>
      </c>
      <c r="O3009" s="23"/>
      <c r="P3009" s="23"/>
      <c r="Q3009" s="106"/>
      <c r="R3009" s="37">
        <v>724</v>
      </c>
      <c r="S3009" s="39" t="s">
        <v>1133</v>
      </c>
      <c r="T3009" s="37">
        <v>1819</v>
      </c>
      <c r="U3009" s="38" t="s">
        <v>1971</v>
      </c>
      <c r="V3009" s="69" t="s">
        <v>272</v>
      </c>
      <c r="W3009" s="89" t="s">
        <v>138</v>
      </c>
      <c r="X3009" s="106" t="s">
        <v>297</v>
      </c>
      <c r="Y3009" s="107" t="s">
        <v>12</v>
      </c>
      <c r="Z3009" s="67">
        <f>IF(База_КР_КК[[#This Row],[Таб.номер резервиста]]="-","-",IF(OR(База_КР_КК[[#This Row],[Уровень КК]]=2,База_КР_КК[[#This Row],[Уровень КК]]=3),IF(COUNTIFS($U$2:$U3009,$U3009,$F$2:$F3009,$F3009)=1,1,0),IF(COUNTIFS($U$2:$U3009,$U3009,$L$2:$L3009,$L3009)=1,1,0)))</f>
        <v>0</v>
      </c>
      <c r="AA30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09" s="106"/>
      <c r="AC3009" s="51"/>
      <c r="AD3009" s="106" t="s">
        <v>15</v>
      </c>
      <c r="AE3009" s="38" t="s">
        <v>378</v>
      </c>
    </row>
    <row r="3010" spans="1:31" ht="18" customHeight="1" x14ac:dyDescent="0.25">
      <c r="A30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0" s="79">
        <v>4</v>
      </c>
      <c r="C3010" s="23">
        <v>44118</v>
      </c>
      <c r="D3010" s="67">
        <f>IF(COUNTIF($G$2:$G3010,$G3010)=1,1,0)</f>
        <v>0</v>
      </c>
      <c r="E3010" s="67" t="str">
        <f>IFERROR(VLOOKUP(База_КР_КК[[#This Row],[ИД штатной должности (S)]],'уровень защищенности'!$B$7:$F$1095,5,0),"не защищена")</f>
        <v>средний</v>
      </c>
      <c r="F3010" s="68">
        <v>500152</v>
      </c>
      <c r="G3010" s="74" t="s">
        <v>2902</v>
      </c>
      <c r="H3010" s="181">
        <f>INDEX('Списки данных'!$D$2:$D$1048576,MATCH(База_КР_КК[[#This Row],[Структурное подразделение]],'Списки данных'!$C$2:$C$1048576,0))</f>
        <v>21</v>
      </c>
      <c r="I3010" s="80" t="s">
        <v>138</v>
      </c>
      <c r="J3010" s="80" t="s">
        <v>243</v>
      </c>
      <c r="K3010" s="80" t="s">
        <v>21</v>
      </c>
      <c r="L3010" s="30" t="s">
        <v>191</v>
      </c>
      <c r="M3010" s="68">
        <v>7</v>
      </c>
      <c r="N3010" s="181" t="str">
        <f t="shared" si="48"/>
        <v>нет</v>
      </c>
      <c r="O3010" s="23"/>
      <c r="P3010" s="23"/>
      <c r="Q3010" s="106"/>
      <c r="R3010" s="37">
        <v>724</v>
      </c>
      <c r="S3010" s="38" t="s">
        <v>1133</v>
      </c>
      <c r="T3010" s="37">
        <v>1820</v>
      </c>
      <c r="U3010" s="39" t="s">
        <v>2064</v>
      </c>
      <c r="V3010" s="89" t="s">
        <v>272</v>
      </c>
      <c r="W3010" s="89" t="s">
        <v>138</v>
      </c>
      <c r="X3010" s="106" t="s">
        <v>296</v>
      </c>
      <c r="Y3010" s="107" t="s">
        <v>18</v>
      </c>
      <c r="Z3010" s="67">
        <f>IF(База_КР_КК[[#This Row],[Таб.номер резервиста]]="-","-",IF(OR(База_КР_КК[[#This Row],[Уровень КК]]=2,База_КР_КК[[#This Row],[Уровень КК]]=3),IF(COUNTIFS($U$2:$U3010,$U3010,$F$2:$F3010,$F3010)=1,1,0),IF(COUNTIFS($U$2:$U3010,$U3010,$L$2:$L3010,$L3010)=1,1,0)))</f>
        <v>0</v>
      </c>
      <c r="AA30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0" s="106" t="s">
        <v>19</v>
      </c>
      <c r="AC3010" s="51">
        <v>44455</v>
      </c>
      <c r="AD3010" s="106" t="s">
        <v>15</v>
      </c>
      <c r="AE3010" s="38" t="s">
        <v>379</v>
      </c>
    </row>
    <row r="3011" spans="1:31" ht="18" customHeight="1" x14ac:dyDescent="0.25">
      <c r="A30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1" s="79">
        <v>4</v>
      </c>
      <c r="C3011" s="23">
        <v>44118</v>
      </c>
      <c r="D3011" s="67">
        <f>IF(COUNTIF($G$2:$G3011,$G3011)=1,1,0)</f>
        <v>0</v>
      </c>
      <c r="E3011" s="67" t="str">
        <f>IFERROR(VLOOKUP(База_КР_КК[[#This Row],[ИД штатной должности (S)]],'уровень защищенности'!$B$7:$F$1095,5,0),"не защищена")</f>
        <v>средний</v>
      </c>
      <c r="F3011" s="68">
        <v>500152</v>
      </c>
      <c r="G3011" s="74" t="s">
        <v>2902</v>
      </c>
      <c r="H3011" s="181">
        <f>INDEX('Списки данных'!$D$2:$D$1048576,MATCH(База_КР_КК[[#This Row],[Структурное подразделение]],'Списки данных'!$C$2:$C$1048576,0))</f>
        <v>21</v>
      </c>
      <c r="I3011" s="80" t="s">
        <v>138</v>
      </c>
      <c r="J3011" s="80" t="s">
        <v>243</v>
      </c>
      <c r="K3011" s="80" t="s">
        <v>21</v>
      </c>
      <c r="L3011" s="30" t="s">
        <v>191</v>
      </c>
      <c r="M3011" s="68">
        <v>7</v>
      </c>
      <c r="N3011" s="181" t="str">
        <f t="shared" si="48"/>
        <v>нет</v>
      </c>
      <c r="O3011" s="23"/>
      <c r="P3011" s="23"/>
      <c r="Q3011" s="106"/>
      <c r="R3011" s="37">
        <v>724</v>
      </c>
      <c r="S3011" s="39" t="s">
        <v>1133</v>
      </c>
      <c r="T3011" s="37">
        <v>728</v>
      </c>
      <c r="U3011" s="38" t="s">
        <v>1137</v>
      </c>
      <c r="V3011" s="69" t="s">
        <v>272</v>
      </c>
      <c r="W3011" s="89" t="s">
        <v>138</v>
      </c>
      <c r="X3011" s="106" t="s">
        <v>297</v>
      </c>
      <c r="Y3011" s="107" t="s">
        <v>18</v>
      </c>
      <c r="Z3011" s="67">
        <f>IF(База_КР_КК[[#This Row],[Таб.номер резервиста]]="-","-",IF(OR(База_КР_КК[[#This Row],[Уровень КК]]=2,База_КР_КК[[#This Row],[Уровень КК]]=3),IF(COUNTIFS($U$2:$U3011,$U3011,$F$2:$F3011,$F3011)=1,1,0),IF(COUNTIFS($U$2:$U3011,$U3011,$L$2:$L3011,$L3011)=1,1,0)))</f>
        <v>0</v>
      </c>
      <c r="AA30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1" s="106" t="s">
        <v>24</v>
      </c>
      <c r="AC3011" s="51">
        <v>44631</v>
      </c>
      <c r="AD3011" s="106" t="s">
        <v>15</v>
      </c>
      <c r="AE3011" s="38" t="s">
        <v>379</v>
      </c>
    </row>
    <row r="3012" spans="1:31" ht="18" customHeight="1" x14ac:dyDescent="0.25">
      <c r="A30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2" s="79">
        <v>4</v>
      </c>
      <c r="C3012" s="23">
        <v>44118</v>
      </c>
      <c r="D3012" s="67">
        <f>IF(COUNTIF($G$2:$G3012,$G3012)=1,1,0)</f>
        <v>1</v>
      </c>
      <c r="E3012" s="67" t="str">
        <f>IFERROR(VLOOKUP(База_КР_КК[[#This Row],[ИД штатной должности (S)]],'уровень защищенности'!$B$7:$F$1095,5,0),"не защищена")</f>
        <v>средний</v>
      </c>
      <c r="F3012" s="68">
        <v>500153</v>
      </c>
      <c r="G3012" s="74" t="s">
        <v>2903</v>
      </c>
      <c r="H3012" s="181">
        <f>INDEX('Списки данных'!$D$2:$D$1048576,MATCH(База_КР_КК[[#This Row],[Структурное подразделение]],'Списки данных'!$C$2:$C$1048576,0))</f>
        <v>21</v>
      </c>
      <c r="I3012" s="80" t="s">
        <v>138</v>
      </c>
      <c r="J3012" s="80" t="s">
        <v>243</v>
      </c>
      <c r="K3012" s="80" t="s">
        <v>21</v>
      </c>
      <c r="L3012" s="30" t="s">
        <v>191</v>
      </c>
      <c r="M3012" s="68">
        <v>7</v>
      </c>
      <c r="N3012" s="181" t="str">
        <f t="shared" si="48"/>
        <v>нет</v>
      </c>
      <c r="O3012" s="23"/>
      <c r="P3012" s="23"/>
      <c r="Q3012" s="106"/>
      <c r="R3012" s="37">
        <v>725</v>
      </c>
      <c r="S3012" s="38" t="s">
        <v>1134</v>
      </c>
      <c r="T3012" s="37">
        <v>1817</v>
      </c>
      <c r="U3012" s="39" t="s">
        <v>2063</v>
      </c>
      <c r="V3012" s="89" t="s">
        <v>272</v>
      </c>
      <c r="W3012" s="89" t="s">
        <v>138</v>
      </c>
      <c r="X3012" s="106" t="s">
        <v>297</v>
      </c>
      <c r="Y3012" s="107" t="s">
        <v>12</v>
      </c>
      <c r="Z3012" s="67">
        <f>IF(База_КР_КК[[#This Row],[Таб.номер резервиста]]="-","-",IF(OR(База_КР_КК[[#This Row],[Уровень КК]]=2,База_КР_КК[[#This Row],[Уровень КК]]=3),IF(COUNTIFS($U$2:$U3012,$U3012,$F$2:$F3012,$F3012)=1,1,0),IF(COUNTIFS($U$2:$U3012,$U3012,$L$2:$L3012,$L3012)=1,1,0)))</f>
        <v>0</v>
      </c>
      <c r="AA30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2" s="106"/>
      <c r="AC3012" s="51"/>
      <c r="AD3012" s="106" t="s">
        <v>17</v>
      </c>
      <c r="AE3012" s="38" t="s">
        <v>378</v>
      </c>
    </row>
    <row r="3013" spans="1:31" ht="18" customHeight="1" x14ac:dyDescent="0.25">
      <c r="A30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3" s="79">
        <v>4</v>
      </c>
      <c r="C3013" s="23">
        <v>44858</v>
      </c>
      <c r="D3013" s="67">
        <f>IF(COUNTIF($G$2:$G3013,$G3013)=1,1,0)</f>
        <v>0</v>
      </c>
      <c r="E3013" s="67" t="str">
        <f>IFERROR(VLOOKUP(База_КР_КК[[#This Row],[ИД штатной должности (S)]],'уровень защищенности'!$B$7:$F$1095,5,0),"не защищена")</f>
        <v>средний</v>
      </c>
      <c r="F3013" s="68">
        <v>500153</v>
      </c>
      <c r="G3013" s="74" t="s">
        <v>2903</v>
      </c>
      <c r="H3013" s="181">
        <f>INDEX('Списки данных'!$D$2:$D$1048576,MATCH(База_КР_КК[[#This Row],[Структурное подразделение]],'Списки данных'!$C$2:$C$1048576,0))</f>
        <v>21</v>
      </c>
      <c r="I3013" s="80" t="s">
        <v>138</v>
      </c>
      <c r="J3013" s="80" t="s">
        <v>243</v>
      </c>
      <c r="K3013" s="80" t="s">
        <v>21</v>
      </c>
      <c r="L3013" s="30" t="s">
        <v>191</v>
      </c>
      <c r="M3013" s="68">
        <v>7</v>
      </c>
      <c r="N3013" s="181" t="str">
        <f t="shared" si="48"/>
        <v>нет</v>
      </c>
      <c r="O3013" s="23"/>
      <c r="P3013" s="23"/>
      <c r="Q3013" s="106"/>
      <c r="R3013" s="37">
        <v>725</v>
      </c>
      <c r="S3013" s="39" t="s">
        <v>1134</v>
      </c>
      <c r="T3013" s="37">
        <v>1818</v>
      </c>
      <c r="U3013" s="38" t="s">
        <v>1731</v>
      </c>
      <c r="V3013" s="69" t="s">
        <v>272</v>
      </c>
      <c r="W3013" s="89" t="s">
        <v>138</v>
      </c>
      <c r="X3013" s="106" t="s">
        <v>296</v>
      </c>
      <c r="Y3013" s="107" t="s">
        <v>12</v>
      </c>
      <c r="Z3013" s="67">
        <f>IF(База_КР_КК[[#This Row],[Таб.номер резервиста]]="-","-",IF(OR(База_КР_КК[[#This Row],[Уровень КК]]=2,База_КР_КК[[#This Row],[Уровень КК]]=3),IF(COUNTIFS($U$2:$U3013,$U3013,$F$2:$F3013,$F3013)=1,1,0),IF(COUNTIFS($U$2:$U3013,$U3013,$L$2:$L3013,$L3013)=1,1,0)))</f>
        <v>0</v>
      </c>
      <c r="AA30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3" s="106"/>
      <c r="AC3013" s="51"/>
      <c r="AD3013" s="106" t="s">
        <v>15</v>
      </c>
      <c r="AE3013" s="38" t="s">
        <v>378</v>
      </c>
    </row>
    <row r="3014" spans="1:31" ht="18" customHeight="1" x14ac:dyDescent="0.25">
      <c r="A30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4" s="79">
        <v>4</v>
      </c>
      <c r="C3014" s="23">
        <v>44858</v>
      </c>
      <c r="D3014" s="67">
        <f>IF(COUNTIF($G$2:$G3014,$G3014)=1,1,0)</f>
        <v>0</v>
      </c>
      <c r="E3014" s="67" t="str">
        <f>IFERROR(VLOOKUP(База_КР_КК[[#This Row],[ИД штатной должности (S)]],'уровень защищенности'!$B$7:$F$1095,5,0),"не защищена")</f>
        <v>средний</v>
      </c>
      <c r="F3014" s="68">
        <v>500153</v>
      </c>
      <c r="G3014" s="74" t="s">
        <v>2903</v>
      </c>
      <c r="H3014" s="181">
        <f>INDEX('Списки данных'!$D$2:$D$1048576,MATCH(База_КР_КК[[#This Row],[Структурное подразделение]],'Списки данных'!$C$2:$C$1048576,0))</f>
        <v>21</v>
      </c>
      <c r="I3014" s="80" t="s">
        <v>138</v>
      </c>
      <c r="J3014" s="80" t="s">
        <v>243</v>
      </c>
      <c r="K3014" s="80" t="s">
        <v>21</v>
      </c>
      <c r="L3014" s="30" t="s">
        <v>191</v>
      </c>
      <c r="M3014" s="68">
        <v>7</v>
      </c>
      <c r="N3014" s="181" t="str">
        <f t="shared" si="48"/>
        <v>нет</v>
      </c>
      <c r="O3014" s="23"/>
      <c r="P3014" s="23"/>
      <c r="Q3014" s="106"/>
      <c r="R3014" s="37">
        <v>725</v>
      </c>
      <c r="S3014" s="39" t="s">
        <v>1134</v>
      </c>
      <c r="T3014" s="37">
        <v>1819</v>
      </c>
      <c r="U3014" s="38" t="s">
        <v>1971</v>
      </c>
      <c r="V3014" s="69" t="s">
        <v>272</v>
      </c>
      <c r="W3014" s="89" t="s">
        <v>138</v>
      </c>
      <c r="X3014" s="106" t="s">
        <v>297</v>
      </c>
      <c r="Y3014" s="107" t="s">
        <v>12</v>
      </c>
      <c r="Z3014" s="67">
        <f>IF(База_КР_КК[[#This Row],[Таб.номер резервиста]]="-","-",IF(OR(База_КР_КК[[#This Row],[Уровень КК]]=2,База_КР_КК[[#This Row],[Уровень КК]]=3),IF(COUNTIFS($U$2:$U3014,$U3014,$F$2:$F3014,$F3014)=1,1,0),IF(COUNTIFS($U$2:$U3014,$U3014,$L$2:$L3014,$L3014)=1,1,0)))</f>
        <v>0</v>
      </c>
      <c r="AA30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4" s="106"/>
      <c r="AC3014" s="51"/>
      <c r="AD3014" s="106" t="s">
        <v>15</v>
      </c>
      <c r="AE3014" s="38" t="s">
        <v>378</v>
      </c>
    </row>
    <row r="3015" spans="1:31" ht="18" customHeight="1" x14ac:dyDescent="0.25">
      <c r="A30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5" s="79">
        <v>4</v>
      </c>
      <c r="C3015" s="23">
        <v>44118</v>
      </c>
      <c r="D3015" s="67">
        <f>IF(COUNTIF($G$2:$G3015,$G3015)=1,1,0)</f>
        <v>0</v>
      </c>
      <c r="E3015" s="67" t="str">
        <f>IFERROR(VLOOKUP(База_КР_КК[[#This Row],[ИД штатной должности (S)]],'уровень защищенности'!$B$7:$F$1095,5,0),"не защищена")</f>
        <v>средний</v>
      </c>
      <c r="F3015" s="68">
        <v>500153</v>
      </c>
      <c r="G3015" s="74" t="s">
        <v>2903</v>
      </c>
      <c r="H3015" s="181">
        <f>INDEX('Списки данных'!$D$2:$D$1048576,MATCH(База_КР_КК[[#This Row],[Структурное подразделение]],'Списки данных'!$C$2:$C$1048576,0))</f>
        <v>21</v>
      </c>
      <c r="I3015" s="80" t="s">
        <v>138</v>
      </c>
      <c r="J3015" s="80" t="s">
        <v>243</v>
      </c>
      <c r="K3015" s="80" t="s">
        <v>21</v>
      </c>
      <c r="L3015" s="30" t="s">
        <v>191</v>
      </c>
      <c r="M3015" s="68">
        <v>7</v>
      </c>
      <c r="N3015" s="181" t="str">
        <f t="shared" si="48"/>
        <v>нет</v>
      </c>
      <c r="O3015" s="23"/>
      <c r="P3015" s="23"/>
      <c r="Q3015" s="106"/>
      <c r="R3015" s="37">
        <v>725</v>
      </c>
      <c r="S3015" s="38" t="s">
        <v>1134</v>
      </c>
      <c r="T3015" s="37">
        <v>1820</v>
      </c>
      <c r="U3015" s="39" t="s">
        <v>2064</v>
      </c>
      <c r="V3015" s="69" t="s">
        <v>272</v>
      </c>
      <c r="W3015" s="89" t="s">
        <v>138</v>
      </c>
      <c r="X3015" s="106" t="s">
        <v>296</v>
      </c>
      <c r="Y3015" s="107" t="s">
        <v>18</v>
      </c>
      <c r="Z3015" s="67">
        <f>IF(База_КР_КК[[#This Row],[Таб.номер резервиста]]="-","-",IF(OR(База_КР_КК[[#This Row],[Уровень КК]]=2,База_КР_КК[[#This Row],[Уровень КК]]=3),IF(COUNTIFS($U$2:$U3015,$U3015,$F$2:$F3015,$F3015)=1,1,0),IF(COUNTIFS($U$2:$U3015,$U3015,$L$2:$L3015,$L3015)=1,1,0)))</f>
        <v>0</v>
      </c>
      <c r="AA30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5" s="106" t="s">
        <v>19</v>
      </c>
      <c r="AC3015" s="51">
        <v>44455</v>
      </c>
      <c r="AD3015" s="106" t="s">
        <v>15</v>
      </c>
      <c r="AE3015" s="38" t="s">
        <v>379</v>
      </c>
    </row>
    <row r="3016" spans="1:31" ht="18" customHeight="1" x14ac:dyDescent="0.25">
      <c r="A30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6" s="79">
        <v>4</v>
      </c>
      <c r="C3016" s="23">
        <v>44118</v>
      </c>
      <c r="D3016" s="67">
        <f>IF(COUNTIF($G$2:$G3016,$G3016)=1,1,0)</f>
        <v>0</v>
      </c>
      <c r="E3016" s="67" t="str">
        <f>IFERROR(VLOOKUP(База_КР_КК[[#This Row],[ИД штатной должности (S)]],'уровень защищенности'!$B$7:$F$1095,5,0),"не защищена")</f>
        <v>средний</v>
      </c>
      <c r="F3016" s="68">
        <v>500153</v>
      </c>
      <c r="G3016" s="74" t="s">
        <v>2903</v>
      </c>
      <c r="H3016" s="181">
        <f>INDEX('Списки данных'!$D$2:$D$1048576,MATCH(База_КР_КК[[#This Row],[Структурное подразделение]],'Списки данных'!$C$2:$C$1048576,0))</f>
        <v>21</v>
      </c>
      <c r="I3016" s="80" t="s">
        <v>138</v>
      </c>
      <c r="J3016" s="80" t="s">
        <v>243</v>
      </c>
      <c r="K3016" s="80" t="s">
        <v>21</v>
      </c>
      <c r="L3016" s="30" t="s">
        <v>191</v>
      </c>
      <c r="M3016" s="68">
        <v>7</v>
      </c>
      <c r="N3016" s="181" t="str">
        <f t="shared" si="48"/>
        <v>нет</v>
      </c>
      <c r="O3016" s="23"/>
      <c r="P3016" s="23"/>
      <c r="Q3016" s="106"/>
      <c r="R3016" s="37">
        <v>725</v>
      </c>
      <c r="S3016" s="39" t="s">
        <v>1134</v>
      </c>
      <c r="T3016" s="37">
        <v>728</v>
      </c>
      <c r="U3016" s="38" t="s">
        <v>1137</v>
      </c>
      <c r="V3016" s="69" t="s">
        <v>272</v>
      </c>
      <c r="W3016" s="89" t="s">
        <v>138</v>
      </c>
      <c r="X3016" s="106" t="s">
        <v>297</v>
      </c>
      <c r="Y3016" s="107" t="s">
        <v>18</v>
      </c>
      <c r="Z3016" s="67">
        <f>IF(База_КР_КК[[#This Row],[Таб.номер резервиста]]="-","-",IF(OR(База_КР_КК[[#This Row],[Уровень КК]]=2,База_КР_КК[[#This Row],[Уровень КК]]=3),IF(COUNTIFS($U$2:$U3016,$U3016,$F$2:$F3016,$F3016)=1,1,0),IF(COUNTIFS($U$2:$U3016,$U3016,$L$2:$L3016,$L3016)=1,1,0)))</f>
        <v>0</v>
      </c>
      <c r="AA30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6" s="106" t="s">
        <v>24</v>
      </c>
      <c r="AC3016" s="51">
        <v>44631</v>
      </c>
      <c r="AD3016" s="106" t="s">
        <v>15</v>
      </c>
      <c r="AE3016" s="38" t="s">
        <v>379</v>
      </c>
    </row>
    <row r="3017" spans="1:31" ht="18" customHeight="1" x14ac:dyDescent="0.25">
      <c r="A30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7" s="79">
        <v>4</v>
      </c>
      <c r="C3017" s="23">
        <v>44118</v>
      </c>
      <c r="D3017" s="67">
        <f>IF(COUNTIF($G$2:$G3017,$G3017)=1,1,0)</f>
        <v>1</v>
      </c>
      <c r="E3017" s="67" t="str">
        <f>IFERROR(VLOOKUP(База_КР_КК[[#This Row],[ИД штатной должности (S)]],'уровень защищенности'!$B$7:$F$1095,5,0),"не защищена")</f>
        <v>средний</v>
      </c>
      <c r="F3017" s="68">
        <v>500153</v>
      </c>
      <c r="G3017" s="74" t="s">
        <v>2904</v>
      </c>
      <c r="H3017" s="181">
        <f>INDEX('Списки данных'!$D$2:$D$1048576,MATCH(База_КР_КК[[#This Row],[Структурное подразделение]],'Списки данных'!$C$2:$C$1048576,0))</f>
        <v>21</v>
      </c>
      <c r="I3017" s="80" t="s">
        <v>138</v>
      </c>
      <c r="J3017" s="80" t="s">
        <v>243</v>
      </c>
      <c r="K3017" s="80" t="s">
        <v>21</v>
      </c>
      <c r="L3017" s="30" t="s">
        <v>191</v>
      </c>
      <c r="M3017" s="68">
        <v>7</v>
      </c>
      <c r="N3017" s="181" t="str">
        <f t="shared" si="48"/>
        <v>нет</v>
      </c>
      <c r="O3017" s="23"/>
      <c r="P3017" s="23"/>
      <c r="Q3017" s="106"/>
      <c r="R3017" s="37">
        <v>726</v>
      </c>
      <c r="S3017" s="38" t="s">
        <v>1135</v>
      </c>
      <c r="T3017" s="37">
        <v>1817</v>
      </c>
      <c r="U3017" s="39" t="s">
        <v>2063</v>
      </c>
      <c r="V3017" s="89" t="s">
        <v>272</v>
      </c>
      <c r="W3017" s="89" t="s">
        <v>138</v>
      </c>
      <c r="X3017" s="106" t="s">
        <v>297</v>
      </c>
      <c r="Y3017" s="107" t="s">
        <v>12</v>
      </c>
      <c r="Z3017" s="67">
        <f>IF(База_КР_КК[[#This Row],[Таб.номер резервиста]]="-","-",IF(OR(База_КР_КК[[#This Row],[Уровень КК]]=2,База_КР_КК[[#This Row],[Уровень КК]]=3),IF(COUNTIFS($U$2:$U3017,$U3017,$F$2:$F3017,$F3017)=1,1,0),IF(COUNTIFS($U$2:$U3017,$U3017,$L$2:$L3017,$L3017)=1,1,0)))</f>
        <v>0</v>
      </c>
      <c r="AA30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7" s="106"/>
      <c r="AC3017" s="51"/>
      <c r="AD3017" s="106" t="s">
        <v>17</v>
      </c>
      <c r="AE3017" s="38" t="s">
        <v>378</v>
      </c>
    </row>
    <row r="3018" spans="1:31" ht="18" customHeight="1" x14ac:dyDescent="0.25">
      <c r="A30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8" s="79">
        <v>4</v>
      </c>
      <c r="C3018" s="23">
        <v>44858</v>
      </c>
      <c r="D3018" s="67">
        <f>IF(COUNTIF($G$2:$G3018,$G3018)=1,1,0)</f>
        <v>0</v>
      </c>
      <c r="E3018" s="67" t="str">
        <f>IFERROR(VLOOKUP(База_КР_КК[[#This Row],[ИД штатной должности (S)]],'уровень защищенности'!$B$7:$F$1095,5,0),"не защищена")</f>
        <v>средний</v>
      </c>
      <c r="F3018" s="68">
        <v>500153</v>
      </c>
      <c r="G3018" s="74" t="s">
        <v>2904</v>
      </c>
      <c r="H3018" s="181">
        <f>INDEX('Списки данных'!$D$2:$D$1048576,MATCH(База_КР_КК[[#This Row],[Структурное подразделение]],'Списки данных'!$C$2:$C$1048576,0))</f>
        <v>21</v>
      </c>
      <c r="I3018" s="80" t="s">
        <v>138</v>
      </c>
      <c r="J3018" s="80" t="s">
        <v>243</v>
      </c>
      <c r="K3018" s="80" t="s">
        <v>21</v>
      </c>
      <c r="L3018" s="30" t="s">
        <v>191</v>
      </c>
      <c r="M3018" s="68">
        <v>7</v>
      </c>
      <c r="N3018" s="181" t="str">
        <f t="shared" si="48"/>
        <v>нет</v>
      </c>
      <c r="O3018" s="23"/>
      <c r="P3018" s="23"/>
      <c r="Q3018" s="106"/>
      <c r="R3018" s="37">
        <v>726</v>
      </c>
      <c r="S3018" s="39" t="s">
        <v>1135</v>
      </c>
      <c r="T3018" s="37">
        <v>1818</v>
      </c>
      <c r="U3018" s="38" t="s">
        <v>1731</v>
      </c>
      <c r="V3018" s="69" t="s">
        <v>272</v>
      </c>
      <c r="W3018" s="89" t="s">
        <v>138</v>
      </c>
      <c r="X3018" s="106" t="s">
        <v>296</v>
      </c>
      <c r="Y3018" s="107" t="s">
        <v>12</v>
      </c>
      <c r="Z3018" s="67">
        <f>IF(База_КР_КК[[#This Row],[Таб.номер резервиста]]="-","-",IF(OR(База_КР_КК[[#This Row],[Уровень КК]]=2,База_КР_КК[[#This Row],[Уровень КК]]=3),IF(COUNTIFS($U$2:$U3018,$U3018,$F$2:$F3018,$F3018)=1,1,0),IF(COUNTIFS($U$2:$U3018,$U3018,$L$2:$L3018,$L3018)=1,1,0)))</f>
        <v>0</v>
      </c>
      <c r="AA30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8" s="106"/>
      <c r="AC3018" s="51"/>
      <c r="AD3018" s="106" t="s">
        <v>15</v>
      </c>
      <c r="AE3018" s="38" t="s">
        <v>378</v>
      </c>
    </row>
    <row r="3019" spans="1:31" ht="18" customHeight="1" x14ac:dyDescent="0.25">
      <c r="A30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19" s="79">
        <v>4</v>
      </c>
      <c r="C3019" s="23">
        <v>44858</v>
      </c>
      <c r="D3019" s="67">
        <f>IF(COUNTIF($G$2:$G3019,$G3019)=1,1,0)</f>
        <v>0</v>
      </c>
      <c r="E3019" s="67" t="str">
        <f>IFERROR(VLOOKUP(База_КР_КК[[#This Row],[ИД штатной должности (S)]],'уровень защищенности'!$B$7:$F$1095,5,0),"не защищена")</f>
        <v>средний</v>
      </c>
      <c r="F3019" s="68">
        <v>500153</v>
      </c>
      <c r="G3019" s="74" t="s">
        <v>2904</v>
      </c>
      <c r="H3019" s="181">
        <f>INDEX('Списки данных'!$D$2:$D$1048576,MATCH(База_КР_КК[[#This Row],[Структурное подразделение]],'Списки данных'!$C$2:$C$1048576,0))</f>
        <v>21</v>
      </c>
      <c r="I3019" s="80" t="s">
        <v>138</v>
      </c>
      <c r="J3019" s="80" t="s">
        <v>243</v>
      </c>
      <c r="K3019" s="80" t="s">
        <v>21</v>
      </c>
      <c r="L3019" s="30" t="s">
        <v>191</v>
      </c>
      <c r="M3019" s="68">
        <v>7</v>
      </c>
      <c r="N3019" s="181" t="str">
        <f t="shared" si="48"/>
        <v>нет</v>
      </c>
      <c r="O3019" s="23"/>
      <c r="P3019" s="23"/>
      <c r="Q3019" s="106"/>
      <c r="R3019" s="37">
        <v>726</v>
      </c>
      <c r="S3019" s="39" t="s">
        <v>1135</v>
      </c>
      <c r="T3019" s="37">
        <v>1819</v>
      </c>
      <c r="U3019" s="38" t="s">
        <v>1971</v>
      </c>
      <c r="V3019" s="69" t="s">
        <v>272</v>
      </c>
      <c r="W3019" s="89" t="s">
        <v>138</v>
      </c>
      <c r="X3019" s="106" t="s">
        <v>297</v>
      </c>
      <c r="Y3019" s="107" t="s">
        <v>12</v>
      </c>
      <c r="Z3019" s="67">
        <f>IF(База_КР_КК[[#This Row],[Таб.номер резервиста]]="-","-",IF(OR(База_КР_КК[[#This Row],[Уровень КК]]=2,База_КР_КК[[#This Row],[Уровень КК]]=3),IF(COUNTIFS($U$2:$U3019,$U3019,$F$2:$F3019,$F3019)=1,1,0),IF(COUNTIFS($U$2:$U3019,$U3019,$L$2:$L3019,$L3019)=1,1,0)))</f>
        <v>0</v>
      </c>
      <c r="AA30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19" s="106"/>
      <c r="AC3019" s="51"/>
      <c r="AD3019" s="106" t="s">
        <v>15</v>
      </c>
      <c r="AE3019" s="38" t="s">
        <v>378</v>
      </c>
    </row>
    <row r="3020" spans="1:31" ht="18" customHeight="1" x14ac:dyDescent="0.25">
      <c r="A30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0" s="79">
        <v>4</v>
      </c>
      <c r="C3020" s="23">
        <v>44118</v>
      </c>
      <c r="D3020" s="67">
        <f>IF(COUNTIF($G$2:$G3020,$G3020)=1,1,0)</f>
        <v>0</v>
      </c>
      <c r="E3020" s="67" t="str">
        <f>IFERROR(VLOOKUP(База_КР_КК[[#This Row],[ИД штатной должности (S)]],'уровень защищенности'!$B$7:$F$1095,5,0),"не защищена")</f>
        <v>средний</v>
      </c>
      <c r="F3020" s="68">
        <v>500153</v>
      </c>
      <c r="G3020" s="74" t="s">
        <v>2904</v>
      </c>
      <c r="H3020" s="181">
        <f>INDEX('Списки данных'!$D$2:$D$1048576,MATCH(База_КР_КК[[#This Row],[Структурное подразделение]],'Списки данных'!$C$2:$C$1048576,0))</f>
        <v>21</v>
      </c>
      <c r="I3020" s="80" t="s">
        <v>138</v>
      </c>
      <c r="J3020" s="80" t="s">
        <v>243</v>
      </c>
      <c r="K3020" s="80" t="s">
        <v>21</v>
      </c>
      <c r="L3020" s="30" t="s">
        <v>191</v>
      </c>
      <c r="M3020" s="68">
        <v>7</v>
      </c>
      <c r="N3020" s="181" t="str">
        <f t="shared" si="48"/>
        <v>нет</v>
      </c>
      <c r="O3020" s="23"/>
      <c r="P3020" s="23"/>
      <c r="Q3020" s="106"/>
      <c r="R3020" s="37">
        <v>726</v>
      </c>
      <c r="S3020" s="38" t="s">
        <v>1135</v>
      </c>
      <c r="T3020" s="37">
        <v>1820</v>
      </c>
      <c r="U3020" s="39" t="s">
        <v>2064</v>
      </c>
      <c r="V3020" s="69" t="s">
        <v>272</v>
      </c>
      <c r="W3020" s="89" t="s">
        <v>138</v>
      </c>
      <c r="X3020" s="106" t="s">
        <v>296</v>
      </c>
      <c r="Y3020" s="107" t="s">
        <v>18</v>
      </c>
      <c r="Z3020" s="67">
        <f>IF(База_КР_КК[[#This Row],[Таб.номер резервиста]]="-","-",IF(OR(База_КР_КК[[#This Row],[Уровень КК]]=2,База_КР_КК[[#This Row],[Уровень КК]]=3),IF(COUNTIFS($U$2:$U3020,$U3020,$F$2:$F3020,$F3020)=1,1,0),IF(COUNTIFS($U$2:$U3020,$U3020,$L$2:$L3020,$L3020)=1,1,0)))</f>
        <v>0</v>
      </c>
      <c r="AA30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0" s="106" t="s">
        <v>19</v>
      </c>
      <c r="AC3020" s="51">
        <v>44455</v>
      </c>
      <c r="AD3020" s="106" t="s">
        <v>15</v>
      </c>
      <c r="AE3020" s="38" t="s">
        <v>379</v>
      </c>
    </row>
    <row r="3021" spans="1:31" ht="18" customHeight="1" x14ac:dyDescent="0.25">
      <c r="A30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1" s="79">
        <v>4</v>
      </c>
      <c r="C3021" s="23">
        <v>44118</v>
      </c>
      <c r="D3021" s="67">
        <f>IF(COUNTIF($G$2:$G3021,$G3021)=1,1,0)</f>
        <v>0</v>
      </c>
      <c r="E3021" s="67" t="str">
        <f>IFERROR(VLOOKUP(База_КР_КК[[#This Row],[ИД штатной должности (S)]],'уровень защищенности'!$B$7:$F$1095,5,0),"не защищена")</f>
        <v>средний</v>
      </c>
      <c r="F3021" s="68">
        <v>500153</v>
      </c>
      <c r="G3021" s="74" t="s">
        <v>2904</v>
      </c>
      <c r="H3021" s="181">
        <f>INDEX('Списки данных'!$D$2:$D$1048576,MATCH(База_КР_КК[[#This Row],[Структурное подразделение]],'Списки данных'!$C$2:$C$1048576,0))</f>
        <v>21</v>
      </c>
      <c r="I3021" s="80" t="s">
        <v>138</v>
      </c>
      <c r="J3021" s="80" t="s">
        <v>243</v>
      </c>
      <c r="K3021" s="80" t="s">
        <v>21</v>
      </c>
      <c r="L3021" s="30" t="s">
        <v>191</v>
      </c>
      <c r="M3021" s="68">
        <v>7</v>
      </c>
      <c r="N3021" s="181" t="str">
        <f t="shared" si="48"/>
        <v>нет</v>
      </c>
      <c r="O3021" s="23"/>
      <c r="P3021" s="23"/>
      <c r="Q3021" s="106"/>
      <c r="R3021" s="37">
        <v>726</v>
      </c>
      <c r="S3021" s="39" t="s">
        <v>1135</v>
      </c>
      <c r="T3021" s="37">
        <v>728</v>
      </c>
      <c r="U3021" s="38" t="s">
        <v>1137</v>
      </c>
      <c r="V3021" s="69" t="s">
        <v>272</v>
      </c>
      <c r="W3021" s="89" t="s">
        <v>138</v>
      </c>
      <c r="X3021" s="106" t="s">
        <v>297</v>
      </c>
      <c r="Y3021" s="107" t="s">
        <v>18</v>
      </c>
      <c r="Z3021" s="67">
        <f>IF(База_КР_КК[[#This Row],[Таб.номер резервиста]]="-","-",IF(OR(База_КР_КК[[#This Row],[Уровень КК]]=2,База_КР_КК[[#This Row],[Уровень КК]]=3),IF(COUNTIFS($U$2:$U3021,$U3021,$F$2:$F3021,$F3021)=1,1,0),IF(COUNTIFS($U$2:$U3021,$U3021,$L$2:$L3021,$L3021)=1,1,0)))</f>
        <v>0</v>
      </c>
      <c r="AA30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1" s="106" t="s">
        <v>24</v>
      </c>
      <c r="AC3021" s="51">
        <v>44631</v>
      </c>
      <c r="AD3021" s="106" t="s">
        <v>15</v>
      </c>
      <c r="AE3021" s="38" t="s">
        <v>379</v>
      </c>
    </row>
    <row r="3022" spans="1:31" ht="18" customHeight="1" x14ac:dyDescent="0.25">
      <c r="A30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2" s="79">
        <v>4</v>
      </c>
      <c r="C3022" s="23">
        <v>44118</v>
      </c>
      <c r="D3022" s="67">
        <f>IF(COUNTIF($G$2:$G3022,$G3022)=1,1,0)</f>
        <v>1</v>
      </c>
      <c r="E3022" s="67" t="str">
        <f>IFERROR(VLOOKUP(База_КР_КК[[#This Row],[ИД штатной должности (S)]],'уровень защищенности'!$B$7:$F$1095,5,0),"не защищена")</f>
        <v>средний</v>
      </c>
      <c r="F3022" s="68">
        <v>500153</v>
      </c>
      <c r="G3022" s="74" t="s">
        <v>2905</v>
      </c>
      <c r="H3022" s="181">
        <f>INDEX('Списки данных'!$D$2:$D$1048576,MATCH(База_КР_КК[[#This Row],[Структурное подразделение]],'Списки данных'!$C$2:$C$1048576,0))</f>
        <v>21</v>
      </c>
      <c r="I3022" s="80" t="s">
        <v>138</v>
      </c>
      <c r="J3022" s="80" t="s">
        <v>243</v>
      </c>
      <c r="K3022" s="80" t="s">
        <v>21</v>
      </c>
      <c r="L3022" s="30" t="s">
        <v>191</v>
      </c>
      <c r="M3022" s="68">
        <v>7</v>
      </c>
      <c r="N3022" s="181" t="str">
        <f t="shared" si="48"/>
        <v>нет</v>
      </c>
      <c r="O3022" s="23"/>
      <c r="P3022" s="23"/>
      <c r="Q3022" s="106"/>
      <c r="R3022" s="37">
        <v>727</v>
      </c>
      <c r="S3022" s="38" t="s">
        <v>1136</v>
      </c>
      <c r="T3022" s="37">
        <v>1817</v>
      </c>
      <c r="U3022" s="39" t="s">
        <v>2063</v>
      </c>
      <c r="V3022" s="89" t="s">
        <v>272</v>
      </c>
      <c r="W3022" s="89" t="s">
        <v>138</v>
      </c>
      <c r="X3022" s="106" t="s">
        <v>297</v>
      </c>
      <c r="Y3022" s="107" t="s">
        <v>12</v>
      </c>
      <c r="Z3022" s="67">
        <f>IF(База_КР_КК[[#This Row],[Таб.номер резервиста]]="-","-",IF(OR(База_КР_КК[[#This Row],[Уровень КК]]=2,База_КР_КК[[#This Row],[Уровень КК]]=3),IF(COUNTIFS($U$2:$U3022,$U3022,$F$2:$F3022,$F3022)=1,1,0),IF(COUNTIFS($U$2:$U3022,$U3022,$L$2:$L3022,$L3022)=1,1,0)))</f>
        <v>0</v>
      </c>
      <c r="AA30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2" s="106"/>
      <c r="AC3022" s="51"/>
      <c r="AD3022" s="106" t="s">
        <v>17</v>
      </c>
      <c r="AE3022" s="38" t="s">
        <v>378</v>
      </c>
    </row>
    <row r="3023" spans="1:31" ht="18" customHeight="1" x14ac:dyDescent="0.25">
      <c r="A30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3" s="79">
        <v>4</v>
      </c>
      <c r="C3023" s="23">
        <v>44858</v>
      </c>
      <c r="D3023" s="67">
        <f>IF(COUNTIF($G$2:$G3023,$G3023)=1,1,0)</f>
        <v>0</v>
      </c>
      <c r="E3023" s="67" t="str">
        <f>IFERROR(VLOOKUP(База_КР_КК[[#This Row],[ИД штатной должности (S)]],'уровень защищенности'!$B$7:$F$1095,5,0),"не защищена")</f>
        <v>средний</v>
      </c>
      <c r="F3023" s="68">
        <v>500153</v>
      </c>
      <c r="G3023" s="74" t="s">
        <v>2905</v>
      </c>
      <c r="H3023" s="181">
        <f>INDEX('Списки данных'!$D$2:$D$1048576,MATCH(База_КР_КК[[#This Row],[Структурное подразделение]],'Списки данных'!$C$2:$C$1048576,0))</f>
        <v>21</v>
      </c>
      <c r="I3023" s="80" t="s">
        <v>138</v>
      </c>
      <c r="J3023" s="80" t="s">
        <v>243</v>
      </c>
      <c r="K3023" s="80" t="s">
        <v>21</v>
      </c>
      <c r="L3023" s="30" t="s">
        <v>191</v>
      </c>
      <c r="M3023" s="68">
        <v>7</v>
      </c>
      <c r="N3023" s="181" t="str">
        <f t="shared" si="48"/>
        <v>нет</v>
      </c>
      <c r="O3023" s="23"/>
      <c r="P3023" s="23"/>
      <c r="Q3023" s="106"/>
      <c r="R3023" s="37">
        <v>727</v>
      </c>
      <c r="S3023" s="39" t="s">
        <v>1136</v>
      </c>
      <c r="T3023" s="37">
        <v>1818</v>
      </c>
      <c r="U3023" s="38" t="s">
        <v>1731</v>
      </c>
      <c r="V3023" s="69" t="s">
        <v>272</v>
      </c>
      <c r="W3023" s="89" t="s">
        <v>138</v>
      </c>
      <c r="X3023" s="106" t="s">
        <v>296</v>
      </c>
      <c r="Y3023" s="107" t="s">
        <v>12</v>
      </c>
      <c r="Z3023" s="67">
        <f>IF(База_КР_КК[[#This Row],[Таб.номер резервиста]]="-","-",IF(OR(База_КР_КК[[#This Row],[Уровень КК]]=2,База_КР_КК[[#This Row],[Уровень КК]]=3),IF(COUNTIFS($U$2:$U3023,$U3023,$F$2:$F3023,$F3023)=1,1,0),IF(COUNTIFS($U$2:$U3023,$U3023,$L$2:$L3023,$L3023)=1,1,0)))</f>
        <v>0</v>
      </c>
      <c r="AA30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3" s="106"/>
      <c r="AC3023" s="51"/>
      <c r="AD3023" s="106" t="s">
        <v>15</v>
      </c>
      <c r="AE3023" s="38" t="s">
        <v>378</v>
      </c>
    </row>
    <row r="3024" spans="1:31" ht="18" customHeight="1" x14ac:dyDescent="0.25">
      <c r="A30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4" s="79">
        <v>4</v>
      </c>
      <c r="C3024" s="23">
        <v>44858</v>
      </c>
      <c r="D3024" s="67">
        <f>IF(COUNTIF($G$2:$G3024,$G3024)=1,1,0)</f>
        <v>0</v>
      </c>
      <c r="E3024" s="67" t="str">
        <f>IFERROR(VLOOKUP(База_КР_КК[[#This Row],[ИД штатной должности (S)]],'уровень защищенности'!$B$7:$F$1095,5,0),"не защищена")</f>
        <v>средний</v>
      </c>
      <c r="F3024" s="68">
        <v>500153</v>
      </c>
      <c r="G3024" s="74" t="s">
        <v>2905</v>
      </c>
      <c r="H3024" s="181">
        <f>INDEX('Списки данных'!$D$2:$D$1048576,MATCH(База_КР_КК[[#This Row],[Структурное подразделение]],'Списки данных'!$C$2:$C$1048576,0))</f>
        <v>21</v>
      </c>
      <c r="I3024" s="80" t="s">
        <v>138</v>
      </c>
      <c r="J3024" s="80" t="s">
        <v>243</v>
      </c>
      <c r="K3024" s="80" t="s">
        <v>21</v>
      </c>
      <c r="L3024" s="30" t="s">
        <v>191</v>
      </c>
      <c r="M3024" s="68">
        <v>7</v>
      </c>
      <c r="N3024" s="181" t="str">
        <f t="shared" si="48"/>
        <v>нет</v>
      </c>
      <c r="O3024" s="23"/>
      <c r="P3024" s="23"/>
      <c r="Q3024" s="106"/>
      <c r="R3024" s="37">
        <v>727</v>
      </c>
      <c r="S3024" s="39" t="s">
        <v>1136</v>
      </c>
      <c r="T3024" s="37">
        <v>1819</v>
      </c>
      <c r="U3024" s="38" t="s">
        <v>1971</v>
      </c>
      <c r="V3024" s="69" t="s">
        <v>272</v>
      </c>
      <c r="W3024" s="89" t="s">
        <v>138</v>
      </c>
      <c r="X3024" s="106" t="s">
        <v>297</v>
      </c>
      <c r="Y3024" s="107" t="s">
        <v>12</v>
      </c>
      <c r="Z3024" s="67">
        <f>IF(База_КР_КК[[#This Row],[Таб.номер резервиста]]="-","-",IF(OR(База_КР_КК[[#This Row],[Уровень КК]]=2,База_КР_КК[[#This Row],[Уровень КК]]=3),IF(COUNTIFS($U$2:$U3024,$U3024,$F$2:$F3024,$F3024)=1,1,0),IF(COUNTIFS($U$2:$U3024,$U3024,$L$2:$L3024,$L3024)=1,1,0)))</f>
        <v>0</v>
      </c>
      <c r="AA30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4" s="106"/>
      <c r="AC3024" s="51"/>
      <c r="AD3024" s="106" t="s">
        <v>15</v>
      </c>
      <c r="AE3024" s="38" t="s">
        <v>378</v>
      </c>
    </row>
    <row r="3025" spans="1:31" ht="18" customHeight="1" x14ac:dyDescent="0.25">
      <c r="A30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5" s="79">
        <v>4</v>
      </c>
      <c r="C3025" s="23">
        <v>44118</v>
      </c>
      <c r="D3025" s="67">
        <f>IF(COUNTIF($G$2:$G3025,$G3025)=1,1,0)</f>
        <v>0</v>
      </c>
      <c r="E3025" s="67" t="str">
        <f>IFERROR(VLOOKUP(База_КР_КК[[#This Row],[ИД штатной должности (S)]],'уровень защищенности'!$B$7:$F$1095,5,0),"не защищена")</f>
        <v>средний</v>
      </c>
      <c r="F3025" s="68">
        <v>500153</v>
      </c>
      <c r="G3025" s="74" t="s">
        <v>2905</v>
      </c>
      <c r="H3025" s="181">
        <f>INDEX('Списки данных'!$D$2:$D$1048576,MATCH(База_КР_КК[[#This Row],[Структурное подразделение]],'Списки данных'!$C$2:$C$1048576,0))</f>
        <v>21</v>
      </c>
      <c r="I3025" s="80" t="s">
        <v>138</v>
      </c>
      <c r="J3025" s="80" t="s">
        <v>243</v>
      </c>
      <c r="K3025" s="80" t="s">
        <v>21</v>
      </c>
      <c r="L3025" s="30" t="s">
        <v>191</v>
      </c>
      <c r="M3025" s="68">
        <v>7</v>
      </c>
      <c r="N3025" s="181" t="str">
        <f t="shared" si="48"/>
        <v>нет</v>
      </c>
      <c r="O3025" s="23"/>
      <c r="P3025" s="23"/>
      <c r="Q3025" s="106"/>
      <c r="R3025" s="37">
        <v>727</v>
      </c>
      <c r="S3025" s="38" t="s">
        <v>1136</v>
      </c>
      <c r="T3025" s="37">
        <v>1820</v>
      </c>
      <c r="U3025" s="39" t="s">
        <v>2064</v>
      </c>
      <c r="V3025" s="69" t="s">
        <v>272</v>
      </c>
      <c r="W3025" s="89" t="s">
        <v>138</v>
      </c>
      <c r="X3025" s="106" t="s">
        <v>296</v>
      </c>
      <c r="Y3025" s="107" t="s">
        <v>18</v>
      </c>
      <c r="Z3025" s="67">
        <f>IF(База_КР_КК[[#This Row],[Таб.номер резервиста]]="-","-",IF(OR(База_КР_КК[[#This Row],[Уровень КК]]=2,База_КР_КК[[#This Row],[Уровень КК]]=3),IF(COUNTIFS($U$2:$U3025,$U3025,$F$2:$F3025,$F3025)=1,1,0),IF(COUNTIFS($U$2:$U3025,$U3025,$L$2:$L3025,$L3025)=1,1,0)))</f>
        <v>0</v>
      </c>
      <c r="AA30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5" s="106" t="s">
        <v>19</v>
      </c>
      <c r="AC3025" s="51">
        <v>44455</v>
      </c>
      <c r="AD3025" s="106" t="s">
        <v>15</v>
      </c>
      <c r="AE3025" s="38" t="s">
        <v>379</v>
      </c>
    </row>
    <row r="3026" spans="1:31" ht="18" customHeight="1" x14ac:dyDescent="0.25">
      <c r="A30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6" s="79">
        <v>4</v>
      </c>
      <c r="C3026" s="23">
        <v>44118</v>
      </c>
      <c r="D3026" s="67">
        <f>IF(COUNTIF($G$2:$G3026,$G3026)=1,1,0)</f>
        <v>0</v>
      </c>
      <c r="E3026" s="67" t="str">
        <f>IFERROR(VLOOKUP(База_КР_КК[[#This Row],[ИД штатной должности (S)]],'уровень защищенности'!$B$7:$F$1095,5,0),"не защищена")</f>
        <v>средний</v>
      </c>
      <c r="F3026" s="68">
        <v>500153</v>
      </c>
      <c r="G3026" s="74" t="s">
        <v>2905</v>
      </c>
      <c r="H3026" s="181">
        <f>INDEX('Списки данных'!$D$2:$D$1048576,MATCH(База_КР_КК[[#This Row],[Структурное подразделение]],'Списки данных'!$C$2:$C$1048576,0))</f>
        <v>21</v>
      </c>
      <c r="I3026" s="80" t="s">
        <v>138</v>
      </c>
      <c r="J3026" s="80" t="s">
        <v>243</v>
      </c>
      <c r="K3026" s="80" t="s">
        <v>21</v>
      </c>
      <c r="L3026" s="30" t="s">
        <v>191</v>
      </c>
      <c r="M3026" s="68">
        <v>7</v>
      </c>
      <c r="N3026" s="181" t="str">
        <f t="shared" si="48"/>
        <v>нет</v>
      </c>
      <c r="O3026" s="23"/>
      <c r="P3026" s="23"/>
      <c r="Q3026" s="106"/>
      <c r="R3026" s="37">
        <v>727</v>
      </c>
      <c r="S3026" s="39" t="s">
        <v>1136</v>
      </c>
      <c r="T3026" s="37">
        <v>728</v>
      </c>
      <c r="U3026" s="38" t="s">
        <v>1137</v>
      </c>
      <c r="V3026" s="69" t="s">
        <v>272</v>
      </c>
      <c r="W3026" s="89" t="s">
        <v>138</v>
      </c>
      <c r="X3026" s="106" t="s">
        <v>297</v>
      </c>
      <c r="Y3026" s="107" t="s">
        <v>18</v>
      </c>
      <c r="Z3026" s="67">
        <f>IF(База_КР_КК[[#This Row],[Таб.номер резервиста]]="-","-",IF(OR(База_КР_КК[[#This Row],[Уровень КК]]=2,База_КР_КК[[#This Row],[Уровень КК]]=3),IF(COUNTIFS($U$2:$U3026,$U3026,$F$2:$F3026,$F3026)=1,1,0),IF(COUNTIFS($U$2:$U3026,$U3026,$L$2:$L3026,$L3026)=1,1,0)))</f>
        <v>0</v>
      </c>
      <c r="AA30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6" s="106" t="s">
        <v>24</v>
      </c>
      <c r="AC3026" s="51">
        <v>44631</v>
      </c>
      <c r="AD3026" s="106" t="s">
        <v>15</v>
      </c>
      <c r="AE3026" s="38" t="s">
        <v>379</v>
      </c>
    </row>
    <row r="3027" spans="1:31" ht="18" customHeight="1" x14ac:dyDescent="0.25">
      <c r="A30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7" s="79">
        <v>4</v>
      </c>
      <c r="C3027" s="23">
        <v>44118</v>
      </c>
      <c r="D3027" s="67">
        <f>IF(COUNTIF($G$2:$G3027,$G3027)=1,1,0)</f>
        <v>1</v>
      </c>
      <c r="E3027" s="67" t="str">
        <f>IFERROR(VLOOKUP(База_КР_КК[[#This Row],[ИД штатной должности (S)]],'уровень защищенности'!$B$7:$F$1095,5,0),"не защищена")</f>
        <v>средний</v>
      </c>
      <c r="F3027" s="68">
        <v>500153</v>
      </c>
      <c r="G3027" s="74" t="s">
        <v>2906</v>
      </c>
      <c r="H3027" s="181">
        <f>INDEX('Списки данных'!$D$2:$D$1048576,MATCH(База_КР_КК[[#This Row],[Структурное подразделение]],'Списки данных'!$C$2:$C$1048576,0))</f>
        <v>21</v>
      </c>
      <c r="I3027" s="80" t="s">
        <v>138</v>
      </c>
      <c r="J3027" s="80" t="s">
        <v>243</v>
      </c>
      <c r="K3027" s="80" t="s">
        <v>21</v>
      </c>
      <c r="L3027" s="30" t="s">
        <v>191</v>
      </c>
      <c r="M3027" s="68">
        <v>7</v>
      </c>
      <c r="N3027" s="181" t="str">
        <f t="shared" si="48"/>
        <v>да</v>
      </c>
      <c r="O3027" s="23">
        <v>44631</v>
      </c>
      <c r="P3027" s="23">
        <v>44631</v>
      </c>
      <c r="Q3027" s="106" t="s">
        <v>66</v>
      </c>
      <c r="R3027" s="37">
        <v>728</v>
      </c>
      <c r="S3027" s="38" t="s">
        <v>1137</v>
      </c>
      <c r="T3027" s="37">
        <v>1817</v>
      </c>
      <c r="U3027" s="39" t="s">
        <v>2063</v>
      </c>
      <c r="V3027" s="89" t="s">
        <v>272</v>
      </c>
      <c r="W3027" s="89" t="s">
        <v>138</v>
      </c>
      <c r="X3027" s="106" t="s">
        <v>297</v>
      </c>
      <c r="Y3027" s="107" t="s">
        <v>12</v>
      </c>
      <c r="Z3027" s="67">
        <f>IF(База_КР_КК[[#This Row],[Таб.номер резервиста]]="-","-",IF(OR(База_КР_КК[[#This Row],[Уровень КК]]=2,База_КР_КК[[#This Row],[Уровень КК]]=3),IF(COUNTIFS($U$2:$U3027,$U3027,$F$2:$F3027,$F3027)=1,1,0),IF(COUNTIFS($U$2:$U3027,$U3027,$L$2:$L3027,$L3027)=1,1,0)))</f>
        <v>0</v>
      </c>
      <c r="AA30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7" s="106"/>
      <c r="AC3027" s="51"/>
      <c r="AD3027" s="106" t="s">
        <v>17</v>
      </c>
      <c r="AE3027" s="38" t="s">
        <v>378</v>
      </c>
    </row>
    <row r="3028" spans="1:31" ht="18" customHeight="1" x14ac:dyDescent="0.25">
      <c r="A30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8" s="79">
        <v>4</v>
      </c>
      <c r="C3028" s="23">
        <v>44858</v>
      </c>
      <c r="D3028" s="67">
        <f>IF(COUNTIF($G$2:$G3028,$G3028)=1,1,0)</f>
        <v>0</v>
      </c>
      <c r="E3028" s="67" t="str">
        <f>IFERROR(VLOOKUP(База_КР_КК[[#This Row],[ИД штатной должности (S)]],'уровень защищенности'!$B$7:$F$1095,5,0),"не защищена")</f>
        <v>средний</v>
      </c>
      <c r="F3028" s="68">
        <v>500153</v>
      </c>
      <c r="G3028" s="74" t="s">
        <v>2906</v>
      </c>
      <c r="H3028" s="181">
        <f>INDEX('Списки данных'!$D$2:$D$1048576,MATCH(База_КР_КК[[#This Row],[Структурное подразделение]],'Списки данных'!$C$2:$C$1048576,0))</f>
        <v>21</v>
      </c>
      <c r="I3028" s="80" t="s">
        <v>138</v>
      </c>
      <c r="J3028" s="80" t="s">
        <v>243</v>
      </c>
      <c r="K3028" s="80" t="s">
        <v>21</v>
      </c>
      <c r="L3028" s="30" t="s">
        <v>191</v>
      </c>
      <c r="M3028" s="68">
        <v>7</v>
      </c>
      <c r="N3028" s="181" t="str">
        <f t="shared" si="48"/>
        <v>да</v>
      </c>
      <c r="O3028" s="23">
        <v>44631</v>
      </c>
      <c r="P3028" s="23">
        <v>44631</v>
      </c>
      <c r="Q3028" s="106" t="s">
        <v>66</v>
      </c>
      <c r="R3028" s="37">
        <v>728</v>
      </c>
      <c r="S3028" s="39" t="s">
        <v>1137</v>
      </c>
      <c r="T3028" s="37">
        <v>1818</v>
      </c>
      <c r="U3028" s="38" t="s">
        <v>1731</v>
      </c>
      <c r="V3028" s="69" t="s">
        <v>272</v>
      </c>
      <c r="W3028" s="89" t="s">
        <v>138</v>
      </c>
      <c r="X3028" s="106" t="s">
        <v>296</v>
      </c>
      <c r="Y3028" s="107" t="s">
        <v>12</v>
      </c>
      <c r="Z3028" s="67">
        <f>IF(База_КР_КК[[#This Row],[Таб.номер резервиста]]="-","-",IF(OR(База_КР_КК[[#This Row],[Уровень КК]]=2,База_КР_КК[[#This Row],[Уровень КК]]=3),IF(COUNTIFS($U$2:$U3028,$U3028,$F$2:$F3028,$F3028)=1,1,0),IF(COUNTIFS($U$2:$U3028,$U3028,$L$2:$L3028,$L3028)=1,1,0)))</f>
        <v>0</v>
      </c>
      <c r="AA30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8" s="106"/>
      <c r="AC3028" s="51"/>
      <c r="AD3028" s="106" t="s">
        <v>15</v>
      </c>
      <c r="AE3028" s="38" t="s">
        <v>378</v>
      </c>
    </row>
    <row r="3029" spans="1:31" ht="18" customHeight="1" x14ac:dyDescent="0.25">
      <c r="A30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29" s="79">
        <v>4</v>
      </c>
      <c r="C3029" s="23">
        <v>44858</v>
      </c>
      <c r="D3029" s="67">
        <f>IF(COUNTIF($G$2:$G3029,$G3029)=1,1,0)</f>
        <v>0</v>
      </c>
      <c r="E3029" s="67" t="str">
        <f>IFERROR(VLOOKUP(База_КР_КК[[#This Row],[ИД штатной должности (S)]],'уровень защищенности'!$B$7:$F$1095,5,0),"не защищена")</f>
        <v>средний</v>
      </c>
      <c r="F3029" s="68">
        <v>500153</v>
      </c>
      <c r="G3029" s="74" t="s">
        <v>2906</v>
      </c>
      <c r="H3029" s="181">
        <f>INDEX('Списки данных'!$D$2:$D$1048576,MATCH(База_КР_КК[[#This Row],[Структурное подразделение]],'Списки данных'!$C$2:$C$1048576,0))</f>
        <v>21</v>
      </c>
      <c r="I3029" s="80" t="s">
        <v>138</v>
      </c>
      <c r="J3029" s="80" t="s">
        <v>243</v>
      </c>
      <c r="K3029" s="80" t="s">
        <v>21</v>
      </c>
      <c r="L3029" s="30" t="s">
        <v>191</v>
      </c>
      <c r="M3029" s="68">
        <v>7</v>
      </c>
      <c r="N3029" s="181" t="str">
        <f t="shared" si="48"/>
        <v>да</v>
      </c>
      <c r="O3029" s="23">
        <v>44631</v>
      </c>
      <c r="P3029" s="23">
        <v>44631</v>
      </c>
      <c r="Q3029" s="106" t="s">
        <v>66</v>
      </c>
      <c r="R3029" s="37">
        <v>728</v>
      </c>
      <c r="S3029" s="39" t="s">
        <v>1137</v>
      </c>
      <c r="T3029" s="37">
        <v>1819</v>
      </c>
      <c r="U3029" s="38" t="s">
        <v>1971</v>
      </c>
      <c r="V3029" s="69" t="s">
        <v>272</v>
      </c>
      <c r="W3029" s="89" t="s">
        <v>138</v>
      </c>
      <c r="X3029" s="106" t="s">
        <v>297</v>
      </c>
      <c r="Y3029" s="107" t="s">
        <v>12</v>
      </c>
      <c r="Z3029" s="67">
        <f>IF(База_КР_КК[[#This Row],[Таб.номер резервиста]]="-","-",IF(OR(База_КР_КК[[#This Row],[Уровень КК]]=2,База_КР_КК[[#This Row],[Уровень КК]]=3),IF(COUNTIFS($U$2:$U3029,$U3029,$F$2:$F3029,$F3029)=1,1,0),IF(COUNTIFS($U$2:$U3029,$U3029,$L$2:$L3029,$L3029)=1,1,0)))</f>
        <v>0</v>
      </c>
      <c r="AA30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29" s="106"/>
      <c r="AC3029" s="51"/>
      <c r="AD3029" s="106" t="s">
        <v>15</v>
      </c>
      <c r="AE3029" s="38" t="s">
        <v>378</v>
      </c>
    </row>
    <row r="3030" spans="1:31" ht="18" customHeight="1" x14ac:dyDescent="0.25">
      <c r="A30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0" s="79">
        <v>4</v>
      </c>
      <c r="C3030" s="23">
        <v>44118</v>
      </c>
      <c r="D3030" s="67">
        <f>IF(COUNTIF($G$2:$G3030,$G3030)=1,1,0)</f>
        <v>0</v>
      </c>
      <c r="E3030" s="67" t="str">
        <f>IFERROR(VLOOKUP(База_КР_КК[[#This Row],[ИД штатной должности (S)]],'уровень защищенности'!$B$7:$F$1095,5,0),"не защищена")</f>
        <v>средний</v>
      </c>
      <c r="F3030" s="68">
        <v>500153</v>
      </c>
      <c r="G3030" s="74" t="s">
        <v>2906</v>
      </c>
      <c r="H3030" s="181">
        <f>INDEX('Списки данных'!$D$2:$D$1048576,MATCH(База_КР_КК[[#This Row],[Структурное подразделение]],'Списки данных'!$C$2:$C$1048576,0))</f>
        <v>21</v>
      </c>
      <c r="I3030" s="80" t="s">
        <v>138</v>
      </c>
      <c r="J3030" s="80" t="s">
        <v>243</v>
      </c>
      <c r="K3030" s="80" t="s">
        <v>21</v>
      </c>
      <c r="L3030" s="30" t="s">
        <v>191</v>
      </c>
      <c r="M3030" s="68">
        <v>7</v>
      </c>
      <c r="N3030" s="181" t="str">
        <f t="shared" si="48"/>
        <v>да</v>
      </c>
      <c r="O3030" s="23">
        <v>44631</v>
      </c>
      <c r="P3030" s="23">
        <v>44631</v>
      </c>
      <c r="Q3030" s="106" t="s">
        <v>66</v>
      </c>
      <c r="R3030" s="37">
        <v>728</v>
      </c>
      <c r="S3030" s="39" t="s">
        <v>1137</v>
      </c>
      <c r="T3030" s="37">
        <v>728</v>
      </c>
      <c r="U3030" s="39" t="s">
        <v>1137</v>
      </c>
      <c r="V3030" s="89" t="s">
        <v>272</v>
      </c>
      <c r="W3030" s="89" t="s">
        <v>138</v>
      </c>
      <c r="X3030" s="106" t="s">
        <v>297</v>
      </c>
      <c r="Y3030" s="107" t="s">
        <v>14</v>
      </c>
      <c r="Z3030" s="67">
        <f>IF(База_КР_КК[[#This Row],[Таб.номер резервиста]]="-","-",IF(OR(База_КР_КК[[#This Row],[Уровень КК]]=2,База_КР_КК[[#This Row],[Уровень КК]]=3),IF(COUNTIFS($U$2:$U3030,$U3030,$F$2:$F3030,$F3030)=1,1,0),IF(COUNTIFS($U$2:$U3030,$U3030,$L$2:$L3030,$L3030)=1,1,0)))</f>
        <v>0</v>
      </c>
      <c r="AA30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030" s="106" t="s">
        <v>24</v>
      </c>
      <c r="AC3030" s="51">
        <v>44631</v>
      </c>
      <c r="AD3030" s="106" t="s">
        <v>15</v>
      </c>
      <c r="AE3030" s="38" t="s">
        <v>379</v>
      </c>
    </row>
    <row r="3031" spans="1:31" ht="18" customHeight="1" x14ac:dyDescent="0.25">
      <c r="A30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1" s="79">
        <v>4</v>
      </c>
      <c r="C3031" s="23">
        <v>44118</v>
      </c>
      <c r="D3031" s="67">
        <f>IF(COUNTIF($G$2:$G3031,$G3031)=1,1,0)</f>
        <v>0</v>
      </c>
      <c r="E3031" s="67" t="str">
        <f>IFERROR(VLOOKUP(База_КР_КК[[#This Row],[ИД штатной должности (S)]],'уровень защищенности'!$B$7:$F$1095,5,0),"не защищена")</f>
        <v>средний</v>
      </c>
      <c r="F3031" s="68">
        <v>500153</v>
      </c>
      <c r="G3031" s="74" t="s">
        <v>2906</v>
      </c>
      <c r="H3031" s="181">
        <f>INDEX('Списки данных'!$D$2:$D$1048576,MATCH(База_КР_КК[[#This Row],[Структурное подразделение]],'Списки данных'!$C$2:$C$1048576,0))</f>
        <v>21</v>
      </c>
      <c r="I3031" s="80" t="s">
        <v>138</v>
      </c>
      <c r="J3031" s="80" t="s">
        <v>243</v>
      </c>
      <c r="K3031" s="80" t="s">
        <v>21</v>
      </c>
      <c r="L3031" s="30" t="s">
        <v>191</v>
      </c>
      <c r="M3031" s="68">
        <v>7</v>
      </c>
      <c r="N3031" s="181" t="str">
        <f t="shared" si="48"/>
        <v>да</v>
      </c>
      <c r="O3031" s="23">
        <v>44631</v>
      </c>
      <c r="P3031" s="23">
        <v>44631</v>
      </c>
      <c r="Q3031" s="106" t="s">
        <v>66</v>
      </c>
      <c r="R3031" s="37">
        <v>728</v>
      </c>
      <c r="S3031" s="38" t="s">
        <v>1137</v>
      </c>
      <c r="T3031" s="37">
        <v>1820</v>
      </c>
      <c r="U3031" s="39" t="s">
        <v>2064</v>
      </c>
      <c r="V3031" s="69" t="s">
        <v>272</v>
      </c>
      <c r="W3031" s="89" t="s">
        <v>138</v>
      </c>
      <c r="X3031" s="106" t="s">
        <v>296</v>
      </c>
      <c r="Y3031" s="107" t="s">
        <v>18</v>
      </c>
      <c r="Z3031" s="67">
        <f>IF(База_КР_КК[[#This Row],[Таб.номер резервиста]]="-","-",IF(OR(База_КР_КК[[#This Row],[Уровень КК]]=2,База_КР_КК[[#This Row],[Уровень КК]]=3),IF(COUNTIFS($U$2:$U3031,$U3031,$F$2:$F3031,$F3031)=1,1,0),IF(COUNTIFS($U$2:$U3031,$U3031,$L$2:$L3031,$L3031)=1,1,0)))</f>
        <v>0</v>
      </c>
      <c r="AA30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1" s="106" t="s">
        <v>19</v>
      </c>
      <c r="AC3031" s="51">
        <v>44455</v>
      </c>
      <c r="AD3031" s="106" t="s">
        <v>15</v>
      </c>
      <c r="AE3031" s="38" t="s">
        <v>379</v>
      </c>
    </row>
    <row r="3032" spans="1:31" ht="18" customHeight="1" x14ac:dyDescent="0.25">
      <c r="A30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2" s="79">
        <v>4</v>
      </c>
      <c r="C3032" s="23">
        <v>44118</v>
      </c>
      <c r="D3032" s="67">
        <f>IF(COUNTIF($G$2:$G3032,$G3032)=1,1,0)</f>
        <v>1</v>
      </c>
      <c r="E3032" s="67" t="str">
        <f>IFERROR(VLOOKUP(База_КР_КК[[#This Row],[ИД штатной должности (S)]],'уровень защищенности'!$B$7:$F$1095,5,0),"не защищена")</f>
        <v>высокий</v>
      </c>
      <c r="F3032" s="68">
        <v>500154</v>
      </c>
      <c r="G3032" s="74" t="s">
        <v>2907</v>
      </c>
      <c r="H3032" s="181">
        <f>INDEX('Списки данных'!$D$2:$D$1048576,MATCH(База_КР_КК[[#This Row],[Структурное подразделение]],'Списки данных'!$C$2:$C$1048576,0))</f>
        <v>21</v>
      </c>
      <c r="I3032" s="80" t="s">
        <v>138</v>
      </c>
      <c r="J3032" s="80" t="s">
        <v>243</v>
      </c>
      <c r="K3032" s="80" t="s">
        <v>21</v>
      </c>
      <c r="L3032" s="30" t="s">
        <v>191</v>
      </c>
      <c r="M3032" s="68">
        <v>7</v>
      </c>
      <c r="N3032" s="181" t="str">
        <f t="shared" si="48"/>
        <v>нет</v>
      </c>
      <c r="O3032" s="23"/>
      <c r="P3032" s="23"/>
      <c r="Q3032" s="106"/>
      <c r="R3032" s="37">
        <v>729</v>
      </c>
      <c r="S3032" s="38" t="s">
        <v>1138</v>
      </c>
      <c r="T3032" s="37">
        <v>1821</v>
      </c>
      <c r="U3032" s="39" t="s">
        <v>2065</v>
      </c>
      <c r="V3032" s="89" t="s">
        <v>272</v>
      </c>
      <c r="W3032" s="86" t="s">
        <v>138</v>
      </c>
      <c r="X3032" s="106" t="s">
        <v>295</v>
      </c>
      <c r="Y3032" s="107" t="s">
        <v>12</v>
      </c>
      <c r="Z3032" s="67">
        <f>IF(База_КР_КК[[#This Row],[Таб.номер резервиста]]="-","-",IF(OR(База_КР_КК[[#This Row],[Уровень КК]]=2,База_КР_КК[[#This Row],[Уровень КК]]=3),IF(COUNTIFS($U$2:$U3032,$U3032,$F$2:$F3032,$F3032)=1,1,0),IF(COUNTIFS($U$2:$U3032,$U3032,$L$2:$L3032,$L3032)=1,1,0)))</f>
        <v>1</v>
      </c>
      <c r="AA30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2" s="106"/>
      <c r="AC3032" s="51"/>
      <c r="AD3032" s="106" t="s">
        <v>13</v>
      </c>
      <c r="AE3032" s="38" t="s">
        <v>378</v>
      </c>
    </row>
    <row r="3033" spans="1:31" ht="18" customHeight="1" x14ac:dyDescent="0.25">
      <c r="A30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3" s="79">
        <v>4</v>
      </c>
      <c r="C3033" s="23">
        <v>44118</v>
      </c>
      <c r="D3033" s="67">
        <f>IF(COUNTIF($G$2:$G3033,$G3033)=1,1,0)</f>
        <v>0</v>
      </c>
      <c r="E3033" s="67" t="str">
        <f>IFERROR(VLOOKUP(База_КР_КК[[#This Row],[ИД штатной должности (S)]],'уровень защищенности'!$B$7:$F$1095,5,0),"не защищена")</f>
        <v>высокий</v>
      </c>
      <c r="F3033" s="68">
        <v>500154</v>
      </c>
      <c r="G3033" s="74" t="s">
        <v>2907</v>
      </c>
      <c r="H3033" s="181">
        <f>INDEX('Списки данных'!$D$2:$D$1048576,MATCH(База_КР_КК[[#This Row],[Структурное подразделение]],'Списки данных'!$C$2:$C$1048576,0))</f>
        <v>21</v>
      </c>
      <c r="I3033" s="80" t="s">
        <v>138</v>
      </c>
      <c r="J3033" s="80" t="s">
        <v>243</v>
      </c>
      <c r="K3033" s="80" t="s">
        <v>21</v>
      </c>
      <c r="L3033" s="30" t="s">
        <v>191</v>
      </c>
      <c r="M3033" s="68">
        <v>7</v>
      </c>
      <c r="N3033" s="181" t="str">
        <f t="shared" si="48"/>
        <v>нет</v>
      </c>
      <c r="O3033" s="23"/>
      <c r="P3033" s="23"/>
      <c r="Q3033" s="106"/>
      <c r="R3033" s="37">
        <v>729</v>
      </c>
      <c r="S3033" s="38" t="s">
        <v>1138</v>
      </c>
      <c r="T3033" s="37">
        <v>1819</v>
      </c>
      <c r="U3033" s="39" t="s">
        <v>1971</v>
      </c>
      <c r="V3033" s="89" t="s">
        <v>272</v>
      </c>
      <c r="W3033" s="86" t="s">
        <v>138</v>
      </c>
      <c r="X3033" s="106" t="s">
        <v>296</v>
      </c>
      <c r="Y3033" s="107" t="s">
        <v>18</v>
      </c>
      <c r="Z3033" s="67">
        <f>IF(База_КР_КК[[#This Row],[Таб.номер резервиста]]="-","-",IF(OR(База_КР_КК[[#This Row],[Уровень КК]]=2,База_КР_КК[[#This Row],[Уровень КК]]=3),IF(COUNTIFS($U$2:$U3033,$U3033,$F$2:$F3033,$F3033)=1,1,0),IF(COUNTIFS($U$2:$U3033,$U3033,$L$2:$L3033,$L3033)=1,1,0)))</f>
        <v>0</v>
      </c>
      <c r="AA30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3" s="106" t="s">
        <v>38</v>
      </c>
      <c r="AC3033" s="51">
        <v>44858</v>
      </c>
      <c r="AD3033" s="106" t="s">
        <v>31</v>
      </c>
      <c r="AE3033" s="38" t="s">
        <v>378</v>
      </c>
    </row>
    <row r="3034" spans="1:31" ht="18" customHeight="1" x14ac:dyDescent="0.25">
      <c r="A30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4" s="79">
        <v>4</v>
      </c>
      <c r="C3034" s="23">
        <v>44118</v>
      </c>
      <c r="D3034" s="67">
        <f>IF(COUNTIF($G$2:$G3034,$G3034)=1,1,0)</f>
        <v>1</v>
      </c>
      <c r="E3034" s="67" t="str">
        <f>IFERROR(VLOOKUP(База_КР_КК[[#This Row],[ИД штатной должности (S)]],'уровень защищенности'!$B$7:$F$1095,5,0),"не защищена")</f>
        <v>высокий</v>
      </c>
      <c r="F3034" s="68">
        <v>500154</v>
      </c>
      <c r="G3034" s="74" t="s">
        <v>2908</v>
      </c>
      <c r="H3034" s="181">
        <f>INDEX('Списки данных'!$D$2:$D$1048576,MATCH(База_КР_КК[[#This Row],[Структурное подразделение]],'Списки данных'!$C$2:$C$1048576,0))</f>
        <v>21</v>
      </c>
      <c r="I3034" s="80" t="s">
        <v>138</v>
      </c>
      <c r="J3034" s="80" t="s">
        <v>243</v>
      </c>
      <c r="K3034" s="80" t="s">
        <v>21</v>
      </c>
      <c r="L3034" s="30" t="s">
        <v>191</v>
      </c>
      <c r="M3034" s="68">
        <v>7</v>
      </c>
      <c r="N3034" s="181" t="str">
        <f t="shared" si="48"/>
        <v>нет</v>
      </c>
      <c r="O3034" s="23"/>
      <c r="P3034" s="23"/>
      <c r="Q3034" s="106"/>
      <c r="R3034" s="37">
        <v>730</v>
      </c>
      <c r="S3034" s="38" t="s">
        <v>1139</v>
      </c>
      <c r="T3034" s="37">
        <v>1821</v>
      </c>
      <c r="U3034" s="39" t="s">
        <v>2065</v>
      </c>
      <c r="V3034" s="89" t="s">
        <v>272</v>
      </c>
      <c r="W3034" s="86" t="s">
        <v>138</v>
      </c>
      <c r="X3034" s="106" t="s">
        <v>295</v>
      </c>
      <c r="Y3034" s="107" t="s">
        <v>12</v>
      </c>
      <c r="Z3034" s="67">
        <f>IF(База_КР_КК[[#This Row],[Таб.номер резервиста]]="-","-",IF(OR(База_КР_КК[[#This Row],[Уровень КК]]=2,База_КР_КК[[#This Row],[Уровень КК]]=3),IF(COUNTIFS($U$2:$U3034,$U3034,$F$2:$F3034,$F3034)=1,1,0),IF(COUNTIFS($U$2:$U3034,$U3034,$L$2:$L3034,$L3034)=1,1,0)))</f>
        <v>0</v>
      </c>
      <c r="AA30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4" s="106"/>
      <c r="AC3034" s="51"/>
      <c r="AD3034" s="106" t="s">
        <v>13</v>
      </c>
      <c r="AE3034" s="38" t="s">
        <v>378</v>
      </c>
    </row>
    <row r="3035" spans="1:31" ht="18" customHeight="1" x14ac:dyDescent="0.25">
      <c r="A30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5" s="79">
        <v>4</v>
      </c>
      <c r="C3035" s="23">
        <v>44118</v>
      </c>
      <c r="D3035" s="67">
        <f>IF(COUNTIF($G$2:$G3035,$G3035)=1,1,0)</f>
        <v>0</v>
      </c>
      <c r="E3035" s="67" t="str">
        <f>IFERROR(VLOOKUP(База_КР_КК[[#This Row],[ИД штатной должности (S)]],'уровень защищенности'!$B$7:$F$1095,5,0),"не защищена")</f>
        <v>высокий</v>
      </c>
      <c r="F3035" s="68">
        <v>500154</v>
      </c>
      <c r="G3035" s="74" t="s">
        <v>2908</v>
      </c>
      <c r="H3035" s="181">
        <f>INDEX('Списки данных'!$D$2:$D$1048576,MATCH(База_КР_КК[[#This Row],[Структурное подразделение]],'Списки данных'!$C$2:$C$1048576,0))</f>
        <v>21</v>
      </c>
      <c r="I3035" s="80" t="s">
        <v>138</v>
      </c>
      <c r="J3035" s="80" t="s">
        <v>243</v>
      </c>
      <c r="K3035" s="80" t="s">
        <v>21</v>
      </c>
      <c r="L3035" s="30" t="s">
        <v>191</v>
      </c>
      <c r="M3035" s="68">
        <v>7</v>
      </c>
      <c r="N3035" s="181" t="str">
        <f t="shared" si="48"/>
        <v>нет</v>
      </c>
      <c r="O3035" s="23"/>
      <c r="P3035" s="23"/>
      <c r="Q3035" s="106"/>
      <c r="R3035" s="37">
        <v>730</v>
      </c>
      <c r="S3035" s="38" t="s">
        <v>1139</v>
      </c>
      <c r="T3035" s="37">
        <v>1819</v>
      </c>
      <c r="U3035" s="39" t="s">
        <v>1971</v>
      </c>
      <c r="V3035" s="89" t="s">
        <v>272</v>
      </c>
      <c r="W3035" s="86" t="s">
        <v>138</v>
      </c>
      <c r="X3035" s="106" t="s">
        <v>296</v>
      </c>
      <c r="Y3035" s="107" t="s">
        <v>18</v>
      </c>
      <c r="Z3035" s="67">
        <f>IF(База_КР_КК[[#This Row],[Таб.номер резервиста]]="-","-",IF(OR(База_КР_КК[[#This Row],[Уровень КК]]=2,База_КР_КК[[#This Row],[Уровень КК]]=3),IF(COUNTIFS($U$2:$U3035,$U3035,$F$2:$F3035,$F3035)=1,1,0),IF(COUNTIFS($U$2:$U3035,$U3035,$L$2:$L3035,$L3035)=1,1,0)))</f>
        <v>0</v>
      </c>
      <c r="AA30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5" s="106" t="s">
        <v>38</v>
      </c>
      <c r="AC3035" s="51">
        <v>44858</v>
      </c>
      <c r="AD3035" s="106" t="s">
        <v>31</v>
      </c>
      <c r="AE3035" s="38" t="s">
        <v>378</v>
      </c>
    </row>
    <row r="3036" spans="1:31" ht="18" customHeight="1" x14ac:dyDescent="0.25">
      <c r="A30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6" s="79">
        <v>3</v>
      </c>
      <c r="C3036" s="23">
        <v>44039</v>
      </c>
      <c r="D3036" s="67">
        <f>IF(COUNTIF($G$2:$G3036,$G3036)=1,1,0)</f>
        <v>1</v>
      </c>
      <c r="E3036" s="67" t="str">
        <f>IFERROR(VLOOKUP(База_КР_КК[[#This Row],[ИД штатной должности (S)]],'уровень защищенности'!$B$7:$F$1095,5,0),"не защищена")</f>
        <v>высокий</v>
      </c>
      <c r="F3036" s="68">
        <v>500155</v>
      </c>
      <c r="G3036" s="74" t="s">
        <v>2909</v>
      </c>
      <c r="H3036" s="181">
        <f>INDEX('Списки данных'!$D$2:$D$1048576,MATCH(База_КР_КК[[#This Row],[Структурное подразделение]],'Списки данных'!$C$2:$C$1048576,0))</f>
        <v>21</v>
      </c>
      <c r="I3036" s="80" t="s">
        <v>138</v>
      </c>
      <c r="J3036" s="80" t="s">
        <v>243</v>
      </c>
      <c r="K3036" s="80" t="s">
        <v>21</v>
      </c>
      <c r="L3036" s="30" t="s">
        <v>187</v>
      </c>
      <c r="M3036" s="68">
        <v>6</v>
      </c>
      <c r="N3036" s="181" t="str">
        <f t="shared" si="48"/>
        <v>нет</v>
      </c>
      <c r="O3036" s="23"/>
      <c r="P3036" s="23"/>
      <c r="Q3036" s="106"/>
      <c r="R3036" s="37">
        <v>731</v>
      </c>
      <c r="S3036" s="39" t="s">
        <v>1140</v>
      </c>
      <c r="T3036" s="37">
        <v>715</v>
      </c>
      <c r="U3036" s="39" t="s">
        <v>1124</v>
      </c>
      <c r="V3036" s="89" t="s">
        <v>198</v>
      </c>
      <c r="W3036" s="89" t="s">
        <v>138</v>
      </c>
      <c r="X3036" s="106" t="s">
        <v>295</v>
      </c>
      <c r="Y3036" s="107" t="s">
        <v>12</v>
      </c>
      <c r="Z3036" s="67">
        <f>IF(База_КР_КК[[#This Row],[Таб.номер резервиста]]="-","-",IF(OR(База_КР_КК[[#This Row],[Уровень КК]]=2,База_КР_КК[[#This Row],[Уровень КК]]=3),IF(COUNTIFS($U$2:$U3036,$U3036,$F$2:$F3036,$F3036)=1,1,0),IF(COUNTIFS($U$2:$U3036,$U3036,$L$2:$L3036,$L3036)=1,1,0)))</f>
        <v>1</v>
      </c>
      <c r="AA30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6" s="106"/>
      <c r="AC3036" s="51"/>
      <c r="AD3036" s="106" t="s">
        <v>17</v>
      </c>
      <c r="AE3036" s="38" t="s">
        <v>370</v>
      </c>
    </row>
    <row r="3037" spans="1:31" ht="18" customHeight="1" x14ac:dyDescent="0.25">
      <c r="A30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7" s="79">
        <v>3</v>
      </c>
      <c r="C3037" s="23">
        <v>44039</v>
      </c>
      <c r="D3037" s="67">
        <f>IF(COUNTIF($G$2:$G3037,$G3037)=1,1,0)</f>
        <v>0</v>
      </c>
      <c r="E3037" s="67" t="str">
        <f>IFERROR(VLOOKUP(База_КР_КК[[#This Row],[ИД штатной должности (S)]],'уровень защищенности'!$B$7:$F$1095,5,0),"не защищена")</f>
        <v>высокий</v>
      </c>
      <c r="F3037" s="68">
        <v>500155</v>
      </c>
      <c r="G3037" s="74" t="s">
        <v>2909</v>
      </c>
      <c r="H3037" s="181">
        <f>INDEX('Списки данных'!$D$2:$D$1048576,MATCH(База_КР_КК[[#This Row],[Структурное подразделение]],'Списки данных'!$C$2:$C$1048576,0))</f>
        <v>21</v>
      </c>
      <c r="I3037" s="80" t="s">
        <v>138</v>
      </c>
      <c r="J3037" s="80" t="s">
        <v>243</v>
      </c>
      <c r="K3037" s="80" t="s">
        <v>21</v>
      </c>
      <c r="L3037" s="30" t="s">
        <v>187</v>
      </c>
      <c r="M3037" s="68">
        <v>6</v>
      </c>
      <c r="N3037" s="181" t="str">
        <f t="shared" si="48"/>
        <v>нет</v>
      </c>
      <c r="O3037" s="23"/>
      <c r="P3037" s="23"/>
      <c r="Q3037" s="106"/>
      <c r="R3037" s="37">
        <v>731</v>
      </c>
      <c r="S3037" s="39" t="s">
        <v>1140</v>
      </c>
      <c r="T3037" s="37">
        <v>722</v>
      </c>
      <c r="U3037" s="39" t="s">
        <v>1131</v>
      </c>
      <c r="V3037" s="89" t="s">
        <v>192</v>
      </c>
      <c r="W3037" s="89" t="s">
        <v>138</v>
      </c>
      <c r="X3037" s="106" t="s">
        <v>296</v>
      </c>
      <c r="Y3037" s="107" t="s">
        <v>18</v>
      </c>
      <c r="Z3037" s="67">
        <f>IF(База_КР_КК[[#This Row],[Таб.номер резервиста]]="-","-",IF(OR(База_КР_КК[[#This Row],[Уровень КК]]=2,База_КР_КК[[#This Row],[Уровень КК]]=3),IF(COUNTIFS($U$2:$U3037,$U3037,$F$2:$F3037,$F3037)=1,1,0),IF(COUNTIFS($U$2:$U3037,$U3037,$L$2:$L3037,$L3037)=1,1,0)))</f>
        <v>1</v>
      </c>
      <c r="AA30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7" s="106" t="s">
        <v>38</v>
      </c>
      <c r="AC3037" s="51">
        <v>44740</v>
      </c>
      <c r="AD3037" s="106" t="s">
        <v>31</v>
      </c>
      <c r="AE3037" s="38" t="s">
        <v>370</v>
      </c>
    </row>
    <row r="3038" spans="1:31" ht="18" customHeight="1" x14ac:dyDescent="0.25">
      <c r="A30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8" s="79">
        <v>4</v>
      </c>
      <c r="C3038" s="23">
        <v>44118</v>
      </c>
      <c r="D3038" s="67">
        <f>IF(COUNTIF($G$2:$G3038,$G3038)=1,1,0)</f>
        <v>1</v>
      </c>
      <c r="E3038" s="67" t="str">
        <f>IFERROR(VLOOKUP(База_КР_КК[[#This Row],[ИД штатной должности (S)]],'уровень защищенности'!$B$7:$F$1095,5,0),"не защищена")</f>
        <v>средний</v>
      </c>
      <c r="F3038" s="68">
        <v>500156</v>
      </c>
      <c r="G3038" s="74" t="s">
        <v>2910</v>
      </c>
      <c r="H3038" s="181">
        <f>INDEX('Списки данных'!$D$2:$D$1048576,MATCH(База_КР_КК[[#This Row],[Структурное подразделение]],'Списки данных'!$C$2:$C$1048576,0))</f>
        <v>21</v>
      </c>
      <c r="I3038" s="80" t="s">
        <v>138</v>
      </c>
      <c r="J3038" s="80" t="s">
        <v>243</v>
      </c>
      <c r="K3038" s="80" t="s">
        <v>21</v>
      </c>
      <c r="L3038" s="30" t="s">
        <v>192</v>
      </c>
      <c r="M3038" s="68">
        <v>7</v>
      </c>
      <c r="N3038" s="181" t="str">
        <f t="shared" si="48"/>
        <v>нет</v>
      </c>
      <c r="O3038" s="23"/>
      <c r="P3038" s="23"/>
      <c r="Q3038" s="106"/>
      <c r="R3038" s="37">
        <v>732</v>
      </c>
      <c r="S3038" s="38" t="s">
        <v>1141</v>
      </c>
      <c r="T3038" s="37">
        <v>1822</v>
      </c>
      <c r="U3038" s="39" t="s">
        <v>1457</v>
      </c>
      <c r="V3038" s="89" t="s">
        <v>272</v>
      </c>
      <c r="W3038" s="86" t="s">
        <v>138</v>
      </c>
      <c r="X3038" s="106" t="s">
        <v>297</v>
      </c>
      <c r="Y3038" s="107" t="s">
        <v>12</v>
      </c>
      <c r="Z3038" s="67">
        <f>IF(База_КР_КК[[#This Row],[Таб.номер резервиста]]="-","-",IF(OR(База_КР_КК[[#This Row],[Уровень КК]]=2,База_КР_КК[[#This Row],[Уровень КК]]=3),IF(COUNTIFS($U$2:$U3038,$U3038,$F$2:$F3038,$F3038)=1,1,0),IF(COUNTIFS($U$2:$U3038,$U3038,$L$2:$L3038,$L3038)=1,1,0)))</f>
        <v>1</v>
      </c>
      <c r="AA30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8" s="106"/>
      <c r="AC3038" s="51"/>
      <c r="AD3038" s="106" t="s">
        <v>13</v>
      </c>
      <c r="AE3038" s="38" t="s">
        <v>378</v>
      </c>
    </row>
    <row r="3039" spans="1:31" ht="18" customHeight="1" x14ac:dyDescent="0.25">
      <c r="A30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39" s="79">
        <v>3</v>
      </c>
      <c r="C3039" s="23">
        <v>44039</v>
      </c>
      <c r="D3039" s="67">
        <f>IF(COUNTIF($G$2:$G3039,$G3039)=1,1,0)</f>
        <v>1</v>
      </c>
      <c r="E3039" s="67" t="str">
        <f>IFERROR(VLOOKUP(База_КР_КК[[#This Row],[ИД штатной должности (S)]],'уровень защищенности'!$B$7:$F$1095,5,0),"не защищена")</f>
        <v>высокий</v>
      </c>
      <c r="F3039" s="68">
        <v>500157</v>
      </c>
      <c r="G3039" s="74" t="s">
        <v>2911</v>
      </c>
      <c r="H3039" s="181">
        <f>INDEX('Списки данных'!$D$2:$D$1048576,MATCH(База_КР_КК[[#This Row],[Структурное подразделение]],'Списки данных'!$C$2:$C$1048576,0))</f>
        <v>21</v>
      </c>
      <c r="I3039" s="80" t="s">
        <v>138</v>
      </c>
      <c r="J3039" s="80" t="s">
        <v>243</v>
      </c>
      <c r="K3039" s="80" t="s">
        <v>21</v>
      </c>
      <c r="L3039" s="30" t="s">
        <v>187</v>
      </c>
      <c r="M3039" s="68">
        <v>6</v>
      </c>
      <c r="N3039" s="181" t="str">
        <f t="shared" si="48"/>
        <v>да</v>
      </c>
      <c r="O3039" s="23">
        <v>45101</v>
      </c>
      <c r="P3039" s="23"/>
      <c r="Q3039" s="106"/>
      <c r="R3039" s="37" t="s">
        <v>23</v>
      </c>
      <c r="S3039" s="39" t="s">
        <v>23</v>
      </c>
      <c r="T3039" s="37">
        <v>724</v>
      </c>
      <c r="U3039" s="39" t="s">
        <v>1133</v>
      </c>
      <c r="V3039" s="89" t="s">
        <v>192</v>
      </c>
      <c r="W3039" s="89" t="s">
        <v>138</v>
      </c>
      <c r="X3039" s="106" t="s">
        <v>295</v>
      </c>
      <c r="Y3039" s="107" t="s">
        <v>12</v>
      </c>
      <c r="Z3039" s="67">
        <f>IF(База_КР_КК[[#This Row],[Таб.номер резервиста]]="-","-",IF(OR(База_КР_КК[[#This Row],[Уровень КК]]=2,База_КР_КК[[#This Row],[Уровень КК]]=3),IF(COUNTIFS($U$2:$U3039,$U3039,$F$2:$F3039,$F3039)=1,1,0),IF(COUNTIFS($U$2:$U3039,$U3039,$L$2:$L3039,$L3039)=1,1,0)))</f>
        <v>1</v>
      </c>
      <c r="AA30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39" s="106"/>
      <c r="AC3039" s="51"/>
      <c r="AD3039" s="106" t="s">
        <v>17</v>
      </c>
      <c r="AE3039" s="38" t="s">
        <v>370</v>
      </c>
    </row>
    <row r="3040" spans="1:31" ht="18" customHeight="1" x14ac:dyDescent="0.25">
      <c r="A30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0" s="79">
        <v>3</v>
      </c>
      <c r="C3040" s="23">
        <v>44039</v>
      </c>
      <c r="D3040" s="67">
        <f>IF(COUNTIF($G$2:$G3040,$G3040)=1,1,0)</f>
        <v>0</v>
      </c>
      <c r="E3040" s="67" t="str">
        <f>IFERROR(VLOOKUP(База_КР_КК[[#This Row],[ИД штатной должности (S)]],'уровень защищенности'!$B$7:$F$1095,5,0),"не защищена")</f>
        <v>высокий</v>
      </c>
      <c r="F3040" s="68">
        <v>500157</v>
      </c>
      <c r="G3040" s="74" t="s">
        <v>2911</v>
      </c>
      <c r="H3040" s="181">
        <f>INDEX('Списки данных'!$D$2:$D$1048576,MATCH(База_КР_КК[[#This Row],[Структурное подразделение]],'Списки данных'!$C$2:$C$1048576,0))</f>
        <v>21</v>
      </c>
      <c r="I3040" s="80" t="s">
        <v>138</v>
      </c>
      <c r="J3040" s="80" t="s">
        <v>243</v>
      </c>
      <c r="K3040" s="80" t="s">
        <v>21</v>
      </c>
      <c r="L3040" s="30" t="s">
        <v>187</v>
      </c>
      <c r="M3040" s="68">
        <v>6</v>
      </c>
      <c r="N3040" s="181" t="str">
        <f t="shared" si="48"/>
        <v>да</v>
      </c>
      <c r="O3040" s="23">
        <v>45101</v>
      </c>
      <c r="P3040" s="23"/>
      <c r="Q3040" s="106"/>
      <c r="R3040" s="37" t="s">
        <v>23</v>
      </c>
      <c r="S3040" s="39" t="s">
        <v>23</v>
      </c>
      <c r="T3040" s="37">
        <v>720</v>
      </c>
      <c r="U3040" s="39" t="s">
        <v>1129</v>
      </c>
      <c r="V3040" s="89" t="s">
        <v>192</v>
      </c>
      <c r="W3040" s="89" t="s">
        <v>138</v>
      </c>
      <c r="X3040" s="106" t="s">
        <v>297</v>
      </c>
      <c r="Y3040" s="107" t="s">
        <v>12</v>
      </c>
      <c r="Z3040" s="67">
        <f>IF(База_КР_КК[[#This Row],[Таб.номер резервиста]]="-","-",IF(OR(База_КР_КК[[#This Row],[Уровень КК]]=2,База_КР_КК[[#This Row],[Уровень КК]]=3),IF(COUNTIFS($U$2:$U3040,$U3040,$F$2:$F3040,$F3040)=1,1,0),IF(COUNTIFS($U$2:$U3040,$U3040,$L$2:$L3040,$L3040)=1,1,0)))</f>
        <v>1</v>
      </c>
      <c r="AA30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0" s="106"/>
      <c r="AC3040" s="51"/>
      <c r="AD3040" s="106" t="s">
        <v>17</v>
      </c>
      <c r="AE3040" s="38" t="s">
        <v>370</v>
      </c>
    </row>
    <row r="3041" spans="1:31" ht="18" customHeight="1" x14ac:dyDescent="0.25">
      <c r="A30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1" s="79">
        <v>4</v>
      </c>
      <c r="C3041" s="23">
        <v>44118</v>
      </c>
      <c r="D3041" s="67">
        <f>IF(COUNTIF($G$2:$G3041,$G3041)=1,1,0)</f>
        <v>1</v>
      </c>
      <c r="E3041" s="67" t="str">
        <f>IFERROR(VLOOKUP(База_КР_КК[[#This Row],[ИД штатной должности (S)]],'уровень защищенности'!$B$7:$F$1095,5,0),"не защищена")</f>
        <v>низкий</v>
      </c>
      <c r="F3041" s="68">
        <v>500158</v>
      </c>
      <c r="G3041" s="74" t="s">
        <v>2912</v>
      </c>
      <c r="H3041" s="181">
        <f>INDEX('Списки данных'!$D$2:$D$1048576,MATCH(База_КР_КК[[#This Row],[Структурное подразделение]],'Списки данных'!$C$2:$C$1048576,0))</f>
        <v>21</v>
      </c>
      <c r="I3041" s="80" t="s">
        <v>138</v>
      </c>
      <c r="J3041" s="80" t="s">
        <v>243</v>
      </c>
      <c r="K3041" s="80" t="s">
        <v>21</v>
      </c>
      <c r="L3041" s="30" t="s">
        <v>192</v>
      </c>
      <c r="M3041" s="68">
        <v>7</v>
      </c>
      <c r="N3041" s="181" t="str">
        <f t="shared" si="48"/>
        <v>нет</v>
      </c>
      <c r="O3041" s="23"/>
      <c r="P3041" s="23"/>
      <c r="Q3041" s="106"/>
      <c r="R3041" s="37">
        <v>733</v>
      </c>
      <c r="S3041" s="38" t="s">
        <v>1142</v>
      </c>
      <c r="T3041" s="37">
        <v>1822</v>
      </c>
      <c r="U3041" s="39" t="s">
        <v>1457</v>
      </c>
      <c r="V3041" s="89" t="s">
        <v>272</v>
      </c>
      <c r="W3041" s="86" t="s">
        <v>138</v>
      </c>
      <c r="X3041" s="106" t="s">
        <v>296</v>
      </c>
      <c r="Y3041" s="107" t="s">
        <v>12</v>
      </c>
      <c r="Z3041" s="67">
        <f>IF(База_КР_КК[[#This Row],[Таб.номер резервиста]]="-","-",IF(OR(База_КР_КК[[#This Row],[Уровень КК]]=2,База_КР_КК[[#This Row],[Уровень КК]]=3),IF(COUNTIFS($U$2:$U3041,$U3041,$F$2:$F3041,$F3041)=1,1,0),IF(COUNTIFS($U$2:$U3041,$U3041,$L$2:$L3041,$L3041)=1,1,0)))</f>
        <v>0</v>
      </c>
      <c r="AA30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1" s="106"/>
      <c r="AC3041" s="51"/>
      <c r="AD3041" s="106" t="s">
        <v>13</v>
      </c>
      <c r="AE3041" s="38" t="s">
        <v>378</v>
      </c>
    </row>
    <row r="3042" spans="1:31" ht="18" customHeight="1" x14ac:dyDescent="0.25">
      <c r="A30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2" s="79">
        <v>3</v>
      </c>
      <c r="C3042" s="23">
        <v>43769</v>
      </c>
      <c r="D3042" s="67">
        <f>IF(COUNTIF($G$2:$G3042,$G3042)=1,1,0)</f>
        <v>1</v>
      </c>
      <c r="E3042" s="67" t="str">
        <f>IFERROR(VLOOKUP(База_КР_КК[[#This Row],[ИД штатной должности (S)]],'уровень защищенности'!$B$7:$F$1095,5,0),"не защищена")</f>
        <v>высокий</v>
      </c>
      <c r="F3042" s="68">
        <v>500159</v>
      </c>
      <c r="G3042" s="74" t="s">
        <v>2913</v>
      </c>
      <c r="H3042" s="181">
        <f>INDEX('Списки данных'!$D$2:$D$1048576,MATCH(База_КР_КК[[#This Row],[Структурное подразделение]],'Списки данных'!$C$2:$C$1048576,0))</f>
        <v>7</v>
      </c>
      <c r="I3042" s="80" t="s">
        <v>137</v>
      </c>
      <c r="J3042" s="80" t="s">
        <v>248</v>
      </c>
      <c r="K3042" s="80" t="s">
        <v>21</v>
      </c>
      <c r="L3042" s="30" t="s">
        <v>187</v>
      </c>
      <c r="M3042" s="68">
        <v>5</v>
      </c>
      <c r="N3042" s="181" t="str">
        <f t="shared" si="48"/>
        <v>нет</v>
      </c>
      <c r="O3042" s="23"/>
      <c r="P3042" s="23"/>
      <c r="Q3042" s="106"/>
      <c r="R3042" s="37">
        <v>734</v>
      </c>
      <c r="S3042" s="38" t="s">
        <v>1143</v>
      </c>
      <c r="T3042" s="37">
        <v>741</v>
      </c>
      <c r="U3042" s="39" t="s">
        <v>1150</v>
      </c>
      <c r="V3042" s="89" t="s">
        <v>189</v>
      </c>
      <c r="W3042" s="90" t="s">
        <v>137</v>
      </c>
      <c r="X3042" s="106" t="s">
        <v>295</v>
      </c>
      <c r="Y3042" s="107" t="s">
        <v>12</v>
      </c>
      <c r="Z3042" s="67">
        <f>IF(База_КР_КК[[#This Row],[Таб.номер резервиста]]="-","-",IF(OR(База_КР_КК[[#This Row],[Уровень КК]]=2,База_КР_КК[[#This Row],[Уровень КК]]=3),IF(COUNTIFS($U$2:$U3042,$U3042,$F$2:$F3042,$F3042)=1,1,0),IF(COUNTIFS($U$2:$U3042,$U3042,$L$2:$L3042,$L3042)=1,1,0)))</f>
        <v>1</v>
      </c>
      <c r="AA30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2" s="106"/>
      <c r="AC3042" s="51"/>
      <c r="AD3042" s="106" t="s">
        <v>13</v>
      </c>
      <c r="AE3042" s="38" t="s">
        <v>370</v>
      </c>
    </row>
    <row r="3043" spans="1:31" ht="18" customHeight="1" x14ac:dyDescent="0.25">
      <c r="A30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3" s="79">
        <v>3</v>
      </c>
      <c r="C3043" s="23">
        <v>43458</v>
      </c>
      <c r="D3043" s="67">
        <f>IF(COUNTIF($G$2:$G3043,$G3043)=1,1,0)</f>
        <v>0</v>
      </c>
      <c r="E3043" s="67" t="str">
        <f>IFERROR(VLOOKUP(База_КР_КК[[#This Row],[ИД штатной должности (S)]],'уровень защищенности'!$B$7:$F$1095,5,0),"не защищена")</f>
        <v>высокий</v>
      </c>
      <c r="F3043" s="68">
        <v>500159</v>
      </c>
      <c r="G3043" s="74" t="s">
        <v>2913</v>
      </c>
      <c r="H3043" s="181">
        <f>INDEX('Списки данных'!$D$2:$D$1048576,MATCH(База_КР_КК[[#This Row],[Структурное подразделение]],'Списки данных'!$C$2:$C$1048576,0))</f>
        <v>7</v>
      </c>
      <c r="I3043" s="80" t="s">
        <v>137</v>
      </c>
      <c r="J3043" s="80" t="s">
        <v>248</v>
      </c>
      <c r="K3043" s="80" t="s">
        <v>21</v>
      </c>
      <c r="L3043" s="30" t="s">
        <v>187</v>
      </c>
      <c r="M3043" s="68">
        <v>5</v>
      </c>
      <c r="N3043" s="181" t="str">
        <f t="shared" si="48"/>
        <v>нет</v>
      </c>
      <c r="O3043" s="23"/>
      <c r="P3043" s="23"/>
      <c r="Q3043" s="106"/>
      <c r="R3043" s="37">
        <v>734</v>
      </c>
      <c r="S3043" s="38" t="s">
        <v>1143</v>
      </c>
      <c r="T3043" s="37">
        <v>1764</v>
      </c>
      <c r="U3043" s="39" t="s">
        <v>1457</v>
      </c>
      <c r="V3043" s="89" t="s">
        <v>198</v>
      </c>
      <c r="W3043" s="90" t="s">
        <v>137</v>
      </c>
      <c r="X3043" s="106" t="s">
        <v>297</v>
      </c>
      <c r="Y3043" s="107" t="s">
        <v>18</v>
      </c>
      <c r="Z3043" s="67">
        <f>IF(База_КР_КК[[#This Row],[Таб.номер резервиста]]="-","-",IF(OR(База_КР_КК[[#This Row],[Уровень КК]]=2,База_КР_КК[[#This Row],[Уровень КК]]=3),IF(COUNTIFS($U$2:$U3043,$U3043,$F$2:$F3043,$F3043)=1,1,0),IF(COUNTIFS($U$2:$U3043,$U3043,$L$2:$L3043,$L3043)=1,1,0)))</f>
        <v>1</v>
      </c>
      <c r="AA30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3" s="106" t="s">
        <v>19</v>
      </c>
      <c r="AC3043" s="51">
        <v>44845</v>
      </c>
      <c r="AD3043" s="106" t="s">
        <v>17</v>
      </c>
      <c r="AE3043" s="38" t="s">
        <v>370</v>
      </c>
    </row>
    <row r="3044" spans="1:31" ht="18" customHeight="1" x14ac:dyDescent="0.25">
      <c r="A30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4" s="79">
        <v>3</v>
      </c>
      <c r="C3044" s="23">
        <v>43458</v>
      </c>
      <c r="D3044" s="67">
        <f>IF(COUNTIF($G$2:$G3044,$G3044)=1,1,0)</f>
        <v>0</v>
      </c>
      <c r="E3044" s="67" t="str">
        <f>IFERROR(VLOOKUP(База_КР_КК[[#This Row],[ИД штатной должности (S)]],'уровень защищенности'!$B$7:$F$1095,5,0),"не защищена")</f>
        <v>высокий</v>
      </c>
      <c r="F3044" s="68">
        <v>500159</v>
      </c>
      <c r="G3044" s="74" t="s">
        <v>2913</v>
      </c>
      <c r="H3044" s="181">
        <f>INDEX('Списки данных'!$D$2:$D$1048576,MATCH(База_КР_КК[[#This Row],[Структурное подразделение]],'Списки данных'!$C$2:$C$1048576,0))</f>
        <v>7</v>
      </c>
      <c r="I3044" s="80" t="s">
        <v>137</v>
      </c>
      <c r="J3044" s="80" t="s">
        <v>248</v>
      </c>
      <c r="K3044" s="80" t="s">
        <v>21</v>
      </c>
      <c r="L3044" s="30" t="s">
        <v>187</v>
      </c>
      <c r="M3044" s="68">
        <v>5</v>
      </c>
      <c r="N3044" s="181" t="str">
        <f t="shared" si="48"/>
        <v>нет</v>
      </c>
      <c r="O3044" s="23"/>
      <c r="P3044" s="23"/>
      <c r="Q3044" s="106"/>
      <c r="R3044" s="37">
        <v>734</v>
      </c>
      <c r="S3044" s="38" t="s">
        <v>1143</v>
      </c>
      <c r="T3044" s="37">
        <v>705</v>
      </c>
      <c r="U3044" s="39" t="s">
        <v>1114</v>
      </c>
      <c r="V3044" s="89" t="s">
        <v>198</v>
      </c>
      <c r="W3044" s="90" t="s">
        <v>137</v>
      </c>
      <c r="X3044" s="106" t="s">
        <v>295</v>
      </c>
      <c r="Y3044" s="107" t="s">
        <v>18</v>
      </c>
      <c r="Z3044" s="67">
        <f>IF(База_КР_КК[[#This Row],[Таб.номер резервиста]]="-","-",IF(OR(База_КР_КК[[#This Row],[Уровень КК]]=2,База_КР_КК[[#This Row],[Уровень КК]]=3),IF(COUNTIFS($U$2:$U3044,$U3044,$F$2:$F3044,$F3044)=1,1,0),IF(COUNTIFS($U$2:$U3044,$U3044,$L$2:$L3044,$L3044)=1,1,0)))</f>
        <v>1</v>
      </c>
      <c r="AA30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4" s="106" t="s">
        <v>38</v>
      </c>
      <c r="AC3044" s="51">
        <v>44039</v>
      </c>
      <c r="AD3044" s="106" t="s">
        <v>31</v>
      </c>
      <c r="AE3044" s="38" t="s">
        <v>332</v>
      </c>
    </row>
    <row r="3045" spans="1:31" ht="18" customHeight="1" x14ac:dyDescent="0.25">
      <c r="A30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5" s="79">
        <v>4</v>
      </c>
      <c r="C3045" s="23">
        <v>44125</v>
      </c>
      <c r="D3045" s="67">
        <f>IF(COUNTIF($G$2:$G3045,$G3045)=1,1,0)</f>
        <v>1</v>
      </c>
      <c r="E3045" s="67" t="str">
        <f>IFERROR(VLOOKUP(База_КР_КК[[#This Row],[ИД штатной должности (S)]],'уровень защищенности'!$B$7:$F$1095,5,0),"не защищена")</f>
        <v>высокий</v>
      </c>
      <c r="F3045" s="68">
        <v>500161</v>
      </c>
      <c r="G3045" s="74" t="s">
        <v>2914</v>
      </c>
      <c r="H3045" s="181">
        <f>INDEX('Списки данных'!$D$2:$D$1048576,MATCH(База_КР_КК[[#This Row],[Структурное подразделение]],'Списки данных'!$C$2:$C$1048576,0))</f>
        <v>7</v>
      </c>
      <c r="I3045" s="80" t="s">
        <v>137</v>
      </c>
      <c r="J3045" s="80" t="s">
        <v>248</v>
      </c>
      <c r="K3045" s="80" t="s">
        <v>21</v>
      </c>
      <c r="L3045" s="30" t="s">
        <v>192</v>
      </c>
      <c r="M3045" s="68">
        <v>6</v>
      </c>
      <c r="N3045" s="181" t="str">
        <f t="shared" si="48"/>
        <v>нет</v>
      </c>
      <c r="O3045" s="23"/>
      <c r="P3045" s="23"/>
      <c r="Q3045" s="106"/>
      <c r="R3045" s="37">
        <v>735</v>
      </c>
      <c r="S3045" s="37" t="s">
        <v>1144</v>
      </c>
      <c r="T3045" s="37">
        <v>1823</v>
      </c>
      <c r="U3045" s="39" t="s">
        <v>1922</v>
      </c>
      <c r="V3045" s="89" t="s">
        <v>272</v>
      </c>
      <c r="W3045" s="89" t="s">
        <v>137</v>
      </c>
      <c r="X3045" s="106" t="s">
        <v>295</v>
      </c>
      <c r="Y3045" s="107" t="s">
        <v>12</v>
      </c>
      <c r="Z3045" s="67">
        <f>IF(База_КР_КК[[#This Row],[Таб.номер резервиста]]="-","-",IF(OR(База_КР_КК[[#This Row],[Уровень КК]]=2,База_КР_КК[[#This Row],[Уровень КК]]=3),IF(COUNTIFS($U$2:$U3045,$U3045,$F$2:$F3045,$F3045)=1,1,0),IF(COUNTIFS($U$2:$U3045,$U3045,$L$2:$L3045,$L3045)=1,1,0)))</f>
        <v>1</v>
      </c>
      <c r="AA30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5" s="106"/>
      <c r="AC3045" s="51"/>
      <c r="AD3045" s="106" t="s">
        <v>17</v>
      </c>
      <c r="AE3045" s="38" t="s">
        <v>376</v>
      </c>
    </row>
    <row r="3046" spans="1:31" ht="18" customHeight="1" x14ac:dyDescent="0.25">
      <c r="A30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6" s="79">
        <v>4</v>
      </c>
      <c r="C3046" s="23">
        <v>44125</v>
      </c>
      <c r="D3046" s="67">
        <f>IF(COUNTIF($G$2:$G3046,$G3046)=1,1,0)</f>
        <v>1</v>
      </c>
      <c r="E3046" s="67" t="str">
        <f>IFERROR(VLOOKUP(База_КР_КК[[#This Row],[ИД штатной должности (S)]],'уровень защищенности'!$B$7:$F$1095,5,0),"не защищена")</f>
        <v>высокий</v>
      </c>
      <c r="F3046" s="68">
        <v>500162</v>
      </c>
      <c r="G3046" s="74" t="s">
        <v>2915</v>
      </c>
      <c r="H3046" s="181">
        <f>INDEX('Списки данных'!$D$2:$D$1048576,MATCH(База_КР_КК[[#This Row],[Структурное подразделение]],'Списки данных'!$C$2:$C$1048576,0))</f>
        <v>7</v>
      </c>
      <c r="I3046" s="80" t="s">
        <v>137</v>
      </c>
      <c r="J3046" s="80" t="s">
        <v>248</v>
      </c>
      <c r="K3046" s="80" t="s">
        <v>21</v>
      </c>
      <c r="L3046" s="30" t="s">
        <v>194</v>
      </c>
      <c r="M3046" s="68">
        <v>6</v>
      </c>
      <c r="N3046" s="181" t="str">
        <f t="shared" si="48"/>
        <v>нет</v>
      </c>
      <c r="O3046" s="23"/>
      <c r="P3046" s="23"/>
      <c r="Q3046" s="106"/>
      <c r="R3046" s="37">
        <v>736</v>
      </c>
      <c r="S3046" s="37" t="s">
        <v>1145</v>
      </c>
      <c r="T3046" s="37">
        <v>1824</v>
      </c>
      <c r="U3046" s="39" t="s">
        <v>1988</v>
      </c>
      <c r="V3046" s="89" t="s">
        <v>272</v>
      </c>
      <c r="W3046" s="89" t="s">
        <v>137</v>
      </c>
      <c r="X3046" s="106" t="s">
        <v>295</v>
      </c>
      <c r="Y3046" s="107" t="s">
        <v>12</v>
      </c>
      <c r="Z3046" s="67">
        <f>IF(База_КР_КК[[#This Row],[Таб.номер резервиста]]="-","-",IF(OR(База_КР_КК[[#This Row],[Уровень КК]]=2,База_КР_КК[[#This Row],[Уровень КК]]=3),IF(COUNTIFS($U$2:$U3046,$U3046,$F$2:$F3046,$F3046)=1,1,0),IF(COUNTIFS($U$2:$U3046,$U3046,$L$2:$L3046,$L3046)=1,1,0)))</f>
        <v>1</v>
      </c>
      <c r="AA30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6" s="106"/>
      <c r="AC3046" s="51"/>
      <c r="AD3046" s="106" t="s">
        <v>13</v>
      </c>
      <c r="AE3046" s="38" t="s">
        <v>376</v>
      </c>
    </row>
    <row r="3047" spans="1:31" ht="18" customHeight="1" x14ac:dyDescent="0.25">
      <c r="A30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7" s="79">
        <v>4</v>
      </c>
      <c r="C3047" s="23">
        <v>44859</v>
      </c>
      <c r="D3047" s="67">
        <f>IF(COUNTIF($G$2:$G3047,$G3047)=1,1,0)</f>
        <v>0</v>
      </c>
      <c r="E3047" s="67" t="str">
        <f>IFERROR(VLOOKUP(База_КР_КК[[#This Row],[ИД штатной должности (S)]],'уровень защищенности'!$B$7:$F$1095,5,0),"не защищена")</f>
        <v>высокий</v>
      </c>
      <c r="F3047" s="68">
        <v>500162</v>
      </c>
      <c r="G3047" s="74" t="s">
        <v>2915</v>
      </c>
      <c r="H3047" s="181">
        <f>INDEX('Списки данных'!$D$2:$D$1048576,MATCH(База_КР_КК[[#This Row],[Структурное подразделение]],'Списки данных'!$C$2:$C$1048576,0))</f>
        <v>7</v>
      </c>
      <c r="I3047" s="80" t="s">
        <v>137</v>
      </c>
      <c r="J3047" s="80" t="s">
        <v>248</v>
      </c>
      <c r="K3047" s="80" t="s">
        <v>21</v>
      </c>
      <c r="L3047" s="30" t="s">
        <v>194</v>
      </c>
      <c r="M3047" s="68">
        <v>6</v>
      </c>
      <c r="N3047" s="181" t="str">
        <f t="shared" si="48"/>
        <v>нет</v>
      </c>
      <c r="O3047" s="23"/>
      <c r="P3047" s="23"/>
      <c r="Q3047" s="106"/>
      <c r="R3047" s="37">
        <v>736</v>
      </c>
      <c r="S3047" s="39" t="s">
        <v>1145</v>
      </c>
      <c r="T3047" s="37">
        <v>1825</v>
      </c>
      <c r="U3047" s="38" t="s">
        <v>2027</v>
      </c>
      <c r="V3047" s="69" t="s">
        <v>272</v>
      </c>
      <c r="W3047" s="89" t="s">
        <v>137</v>
      </c>
      <c r="X3047" s="106" t="s">
        <v>297</v>
      </c>
      <c r="Y3047" s="107" t="s">
        <v>12</v>
      </c>
      <c r="Z3047" s="67">
        <f>IF(База_КР_КК[[#This Row],[Таб.номер резервиста]]="-","-",IF(OR(База_КР_КК[[#This Row],[Уровень КК]]=2,База_КР_КК[[#This Row],[Уровень КК]]=3),IF(COUNTIFS($U$2:$U3047,$U3047,$F$2:$F3047,$F3047)=1,1,0),IF(COUNTIFS($U$2:$U3047,$U3047,$L$2:$L3047,$L3047)=1,1,0)))</f>
        <v>1</v>
      </c>
      <c r="AA30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7" s="106"/>
      <c r="AC3047" s="51"/>
      <c r="AD3047" s="106" t="s">
        <v>13</v>
      </c>
      <c r="AE3047" s="38" t="s">
        <v>376</v>
      </c>
    </row>
    <row r="3048" spans="1:31" ht="18" customHeight="1" x14ac:dyDescent="0.25">
      <c r="A30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8" s="79">
        <v>4</v>
      </c>
      <c r="C3048" s="23">
        <v>44859</v>
      </c>
      <c r="D3048" s="67">
        <f>IF(COUNTIF($G$2:$G3048,$G3048)=1,1,0)</f>
        <v>0</v>
      </c>
      <c r="E3048" s="67" t="str">
        <f>IFERROR(VLOOKUP(База_КР_КК[[#This Row],[ИД штатной должности (S)]],'уровень защищенности'!$B$7:$F$1095,5,0),"не защищена")</f>
        <v>высокий</v>
      </c>
      <c r="F3048" s="68">
        <v>500162</v>
      </c>
      <c r="G3048" s="74" t="s">
        <v>2915</v>
      </c>
      <c r="H3048" s="181">
        <f>INDEX('Списки данных'!$D$2:$D$1048576,MATCH(База_КР_КК[[#This Row],[Структурное подразделение]],'Списки данных'!$C$2:$C$1048576,0))</f>
        <v>7</v>
      </c>
      <c r="I3048" s="80" t="s">
        <v>137</v>
      </c>
      <c r="J3048" s="80" t="s">
        <v>248</v>
      </c>
      <c r="K3048" s="80" t="s">
        <v>21</v>
      </c>
      <c r="L3048" s="30" t="s">
        <v>194</v>
      </c>
      <c r="M3048" s="68">
        <v>6</v>
      </c>
      <c r="N3048" s="181" t="str">
        <f t="shared" si="48"/>
        <v>нет</v>
      </c>
      <c r="O3048" s="23"/>
      <c r="P3048" s="23"/>
      <c r="Q3048" s="106"/>
      <c r="R3048" s="37">
        <v>736</v>
      </c>
      <c r="S3048" s="39" t="s">
        <v>1145</v>
      </c>
      <c r="T3048" s="37">
        <v>758</v>
      </c>
      <c r="U3048" s="38" t="s">
        <v>1167</v>
      </c>
      <c r="V3048" s="89" t="s">
        <v>192</v>
      </c>
      <c r="W3048" s="89" t="s">
        <v>137</v>
      </c>
      <c r="X3048" s="106" t="s">
        <v>297</v>
      </c>
      <c r="Y3048" s="107" t="s">
        <v>12</v>
      </c>
      <c r="Z3048" s="67">
        <f>IF(База_КР_КК[[#This Row],[Таб.номер резервиста]]="-","-",IF(OR(База_КР_КК[[#This Row],[Уровень КК]]=2,База_КР_КК[[#This Row],[Уровень КК]]=3),IF(COUNTIFS($U$2:$U3048,$U3048,$F$2:$F3048,$F3048)=1,1,0),IF(COUNTIFS($U$2:$U3048,$U3048,$L$2:$L3048,$L3048)=1,1,0)))</f>
        <v>1</v>
      </c>
      <c r="AA30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8" s="106"/>
      <c r="AC3048" s="51"/>
      <c r="AD3048" s="106" t="s">
        <v>13</v>
      </c>
      <c r="AE3048" s="38" t="s">
        <v>376</v>
      </c>
    </row>
    <row r="3049" spans="1:31" ht="18" customHeight="1" x14ac:dyDescent="0.25">
      <c r="A30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49" s="79">
        <v>4</v>
      </c>
      <c r="C3049" s="23">
        <v>44859</v>
      </c>
      <c r="D3049" s="67">
        <f>IF(COUNTIF($G$2:$G3049,$G3049)=1,1,0)</f>
        <v>0</v>
      </c>
      <c r="E3049" s="67" t="str">
        <f>IFERROR(VLOOKUP(База_КР_КК[[#This Row],[ИД штатной должности (S)]],'уровень защищенности'!$B$7:$F$1095,5,0),"не защищена")</f>
        <v>высокий</v>
      </c>
      <c r="F3049" s="68">
        <v>500162</v>
      </c>
      <c r="G3049" s="74" t="s">
        <v>2915</v>
      </c>
      <c r="H3049" s="181">
        <f>INDEX('Списки данных'!$D$2:$D$1048576,MATCH(База_КР_КК[[#This Row],[Структурное подразделение]],'Списки данных'!$C$2:$C$1048576,0))</f>
        <v>7</v>
      </c>
      <c r="I3049" s="80" t="s">
        <v>137</v>
      </c>
      <c r="J3049" s="80" t="s">
        <v>248</v>
      </c>
      <c r="K3049" s="80" t="s">
        <v>21</v>
      </c>
      <c r="L3049" s="30" t="s">
        <v>194</v>
      </c>
      <c r="M3049" s="68">
        <v>6</v>
      </c>
      <c r="N3049" s="181" t="str">
        <f t="shared" si="48"/>
        <v>нет</v>
      </c>
      <c r="O3049" s="23"/>
      <c r="P3049" s="23"/>
      <c r="Q3049" s="106"/>
      <c r="R3049" s="37">
        <v>736</v>
      </c>
      <c r="S3049" s="39" t="s">
        <v>1145</v>
      </c>
      <c r="T3049" s="37">
        <v>746</v>
      </c>
      <c r="U3049" s="38" t="s">
        <v>1155</v>
      </c>
      <c r="V3049" s="89" t="s">
        <v>192</v>
      </c>
      <c r="W3049" s="89" t="s">
        <v>137</v>
      </c>
      <c r="X3049" s="106" t="s">
        <v>297</v>
      </c>
      <c r="Y3049" s="107" t="s">
        <v>12</v>
      </c>
      <c r="Z3049" s="67">
        <f>IF(База_КР_КК[[#This Row],[Таб.номер резервиста]]="-","-",IF(OR(База_КР_КК[[#This Row],[Уровень КК]]=2,База_КР_КК[[#This Row],[Уровень КК]]=3),IF(COUNTIFS($U$2:$U3049,$U3049,$F$2:$F3049,$F3049)=1,1,0),IF(COUNTIFS($U$2:$U3049,$U3049,$L$2:$L3049,$L3049)=1,1,0)))</f>
        <v>1</v>
      </c>
      <c r="AA30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49" s="106"/>
      <c r="AC3049" s="51"/>
      <c r="AD3049" s="106" t="s">
        <v>13</v>
      </c>
      <c r="AE3049" s="38" t="s">
        <v>376</v>
      </c>
    </row>
    <row r="3050" spans="1:31" ht="18" customHeight="1" x14ac:dyDescent="0.25">
      <c r="A30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0" s="79">
        <v>4</v>
      </c>
      <c r="C3050" s="23">
        <v>44859</v>
      </c>
      <c r="D3050" s="67">
        <f>IF(COUNTIF($G$2:$G3050,$G3050)=1,1,0)</f>
        <v>0</v>
      </c>
      <c r="E3050" s="67" t="str">
        <f>IFERROR(VLOOKUP(База_КР_КК[[#This Row],[ИД штатной должности (S)]],'уровень защищенности'!$B$7:$F$1095,5,0),"не защищена")</f>
        <v>высокий</v>
      </c>
      <c r="F3050" s="68">
        <v>500162</v>
      </c>
      <c r="G3050" s="74" t="s">
        <v>2915</v>
      </c>
      <c r="H3050" s="181">
        <f>INDEX('Списки данных'!$D$2:$D$1048576,MATCH(База_КР_КК[[#This Row],[Структурное подразделение]],'Списки данных'!$C$2:$C$1048576,0))</f>
        <v>7</v>
      </c>
      <c r="I3050" s="80" t="s">
        <v>137</v>
      </c>
      <c r="J3050" s="80" t="s">
        <v>248</v>
      </c>
      <c r="K3050" s="80" t="s">
        <v>21</v>
      </c>
      <c r="L3050" s="30" t="s">
        <v>194</v>
      </c>
      <c r="M3050" s="68">
        <v>6</v>
      </c>
      <c r="N3050" s="181" t="str">
        <f t="shared" si="48"/>
        <v>нет</v>
      </c>
      <c r="O3050" s="23"/>
      <c r="P3050" s="23"/>
      <c r="Q3050" s="106"/>
      <c r="R3050" s="37">
        <v>736</v>
      </c>
      <c r="S3050" s="39" t="s">
        <v>1145</v>
      </c>
      <c r="T3050" s="37">
        <v>1826</v>
      </c>
      <c r="U3050" s="38" t="s">
        <v>1582</v>
      </c>
      <c r="V3050" s="89" t="s">
        <v>272</v>
      </c>
      <c r="W3050" s="89" t="s">
        <v>137</v>
      </c>
      <c r="X3050" s="106" t="s">
        <v>296</v>
      </c>
      <c r="Y3050" s="107" t="s">
        <v>12</v>
      </c>
      <c r="Z3050" s="67">
        <f>IF(База_КР_КК[[#This Row],[Таб.номер резервиста]]="-","-",IF(OR(База_КР_КК[[#This Row],[Уровень КК]]=2,База_КР_КК[[#This Row],[Уровень КК]]=3),IF(COUNTIFS($U$2:$U3050,$U3050,$F$2:$F3050,$F3050)=1,1,0),IF(COUNTIFS($U$2:$U3050,$U3050,$L$2:$L3050,$L3050)=1,1,0)))</f>
        <v>1</v>
      </c>
      <c r="AA30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0" s="106"/>
      <c r="AC3050" s="51"/>
      <c r="AD3050" s="106" t="s">
        <v>13</v>
      </c>
      <c r="AE3050" s="38" t="s">
        <v>376</v>
      </c>
    </row>
    <row r="3051" spans="1:31" ht="18" customHeight="1" x14ac:dyDescent="0.25">
      <c r="A30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1" s="79">
        <v>4</v>
      </c>
      <c r="C3051" s="23">
        <v>44469</v>
      </c>
      <c r="D3051" s="67">
        <f>IF(COUNTIF($G$2:$G3051,$G3051)=1,1,0)</f>
        <v>0</v>
      </c>
      <c r="E3051" s="67" t="str">
        <f>IFERROR(VLOOKUP(База_КР_КК[[#This Row],[ИД штатной должности (S)]],'уровень защищенности'!$B$7:$F$1095,5,0),"не защищена")</f>
        <v>высокий</v>
      </c>
      <c r="F3051" s="68">
        <v>500162</v>
      </c>
      <c r="G3051" s="74" t="s">
        <v>2915</v>
      </c>
      <c r="H3051" s="181">
        <f>INDEX('Списки данных'!$D$2:$D$1048576,MATCH(База_КР_КК[[#This Row],[Структурное подразделение]],'Списки данных'!$C$2:$C$1048576,0))</f>
        <v>7</v>
      </c>
      <c r="I3051" s="80" t="s">
        <v>137</v>
      </c>
      <c r="J3051" s="80" t="s">
        <v>248</v>
      </c>
      <c r="K3051" s="80" t="s">
        <v>21</v>
      </c>
      <c r="L3051" s="30" t="s">
        <v>194</v>
      </c>
      <c r="M3051" s="68">
        <v>6</v>
      </c>
      <c r="N3051" s="181" t="str">
        <f t="shared" si="48"/>
        <v>нет</v>
      </c>
      <c r="O3051" s="23"/>
      <c r="P3051" s="23"/>
      <c r="Q3051" s="106"/>
      <c r="R3051" s="37">
        <v>736</v>
      </c>
      <c r="S3051" s="38" t="s">
        <v>1145</v>
      </c>
      <c r="T3051" s="37">
        <v>737</v>
      </c>
      <c r="U3051" s="39" t="s">
        <v>1146</v>
      </c>
      <c r="V3051" s="69" t="s">
        <v>192</v>
      </c>
      <c r="W3051" s="89" t="s">
        <v>137</v>
      </c>
      <c r="X3051" s="106" t="s">
        <v>295</v>
      </c>
      <c r="Y3051" s="107" t="s">
        <v>14</v>
      </c>
      <c r="Z3051" s="67">
        <f>IF(База_КР_КК[[#This Row],[Таб.номер резервиста]]="-","-",IF(OR(База_КР_КК[[#This Row],[Уровень КК]]=2,База_КР_КК[[#This Row],[Уровень КК]]=3),IF(COUNTIFS($U$2:$U3051,$U3051,$F$2:$F3051,$F3051)=1,1,0),IF(COUNTIFS($U$2:$U3051,$U3051,$L$2:$L3051,$L3051)=1,1,0)))</f>
        <v>1</v>
      </c>
      <c r="AA30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1" s="106" t="s">
        <v>24</v>
      </c>
      <c r="AC3051" s="51">
        <v>44531</v>
      </c>
      <c r="AD3051" s="106" t="s">
        <v>15</v>
      </c>
      <c r="AE3051" s="38" t="s">
        <v>380</v>
      </c>
    </row>
    <row r="3052" spans="1:31" ht="18" customHeight="1" x14ac:dyDescent="0.25">
      <c r="A30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2" s="79">
        <v>4</v>
      </c>
      <c r="C3052" s="23">
        <v>44125</v>
      </c>
      <c r="D3052" s="67">
        <f>IF(COUNTIF($G$2:$G3052,$G3052)=1,1,0)</f>
        <v>1</v>
      </c>
      <c r="E3052" s="67" t="str">
        <f>IFERROR(VLOOKUP(База_КР_КК[[#This Row],[ИД штатной должности (S)]],'уровень защищенности'!$B$7:$F$1095,5,0),"не защищена")</f>
        <v>высокий</v>
      </c>
      <c r="F3052" s="68">
        <v>500162</v>
      </c>
      <c r="G3052" s="74" t="s">
        <v>2916</v>
      </c>
      <c r="H3052" s="181">
        <f>INDEX('Списки данных'!$D$2:$D$1048576,MATCH(База_КР_КК[[#This Row],[Структурное подразделение]],'Списки данных'!$C$2:$C$1048576,0))</f>
        <v>7</v>
      </c>
      <c r="I3052" s="80" t="s">
        <v>137</v>
      </c>
      <c r="J3052" s="80" t="s">
        <v>248</v>
      </c>
      <c r="K3052" s="80" t="s">
        <v>21</v>
      </c>
      <c r="L3052" s="30" t="s">
        <v>194</v>
      </c>
      <c r="M3052" s="68">
        <v>6</v>
      </c>
      <c r="N3052" s="181" t="str">
        <f t="shared" si="48"/>
        <v>да</v>
      </c>
      <c r="O3052" s="23">
        <v>44453</v>
      </c>
      <c r="P3052" s="23">
        <v>44531</v>
      </c>
      <c r="Q3052" s="106" t="s">
        <v>66</v>
      </c>
      <c r="R3052" s="37">
        <v>737</v>
      </c>
      <c r="S3052" s="39" t="s">
        <v>1146</v>
      </c>
      <c r="T3052" s="37">
        <v>1824</v>
      </c>
      <c r="U3052" s="39" t="s">
        <v>1988</v>
      </c>
      <c r="V3052" s="89" t="s">
        <v>272</v>
      </c>
      <c r="W3052" s="89" t="s">
        <v>137</v>
      </c>
      <c r="X3052" s="106" t="s">
        <v>295</v>
      </c>
      <c r="Y3052" s="107" t="s">
        <v>12</v>
      </c>
      <c r="Z3052" s="67">
        <f>IF(База_КР_КК[[#This Row],[Таб.номер резервиста]]="-","-",IF(OR(База_КР_КК[[#This Row],[Уровень КК]]=2,База_КР_КК[[#This Row],[Уровень КК]]=3),IF(COUNTIFS($U$2:$U3052,$U3052,$F$2:$F3052,$F3052)=1,1,0),IF(COUNTIFS($U$2:$U3052,$U3052,$L$2:$L3052,$L3052)=1,1,0)))</f>
        <v>0</v>
      </c>
      <c r="AA30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2" s="106"/>
      <c r="AC3052" s="51"/>
      <c r="AD3052" s="106" t="s">
        <v>13</v>
      </c>
      <c r="AE3052" s="38" t="s">
        <v>376</v>
      </c>
    </row>
    <row r="3053" spans="1:31" ht="18" customHeight="1" x14ac:dyDescent="0.25">
      <c r="A30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3" s="79">
        <v>4</v>
      </c>
      <c r="C3053" s="23">
        <v>44859</v>
      </c>
      <c r="D3053" s="67">
        <f>IF(COUNTIF($G$2:$G3053,$G3053)=1,1,0)</f>
        <v>0</v>
      </c>
      <c r="E3053" s="67" t="str">
        <f>IFERROR(VLOOKUP(База_КР_КК[[#This Row],[ИД штатной должности (S)]],'уровень защищенности'!$B$7:$F$1095,5,0),"не защищена")</f>
        <v>высокий</v>
      </c>
      <c r="F3053" s="68">
        <v>500162</v>
      </c>
      <c r="G3053" s="74" t="s">
        <v>2916</v>
      </c>
      <c r="H3053" s="181">
        <f>INDEX('Списки данных'!$D$2:$D$1048576,MATCH(База_КР_КК[[#This Row],[Структурное подразделение]],'Списки данных'!$C$2:$C$1048576,0))</f>
        <v>7</v>
      </c>
      <c r="I3053" s="80" t="s">
        <v>137</v>
      </c>
      <c r="J3053" s="80" t="s">
        <v>248</v>
      </c>
      <c r="K3053" s="80" t="s">
        <v>21</v>
      </c>
      <c r="L3053" s="30" t="s">
        <v>194</v>
      </c>
      <c r="M3053" s="68">
        <v>6</v>
      </c>
      <c r="N3053" s="181" t="str">
        <f t="shared" si="48"/>
        <v>да</v>
      </c>
      <c r="O3053" s="23">
        <v>44453</v>
      </c>
      <c r="P3053" s="23">
        <v>44531</v>
      </c>
      <c r="Q3053" s="106" t="s">
        <v>66</v>
      </c>
      <c r="R3053" s="37">
        <v>737</v>
      </c>
      <c r="S3053" s="39" t="s">
        <v>1146</v>
      </c>
      <c r="T3053" s="37">
        <v>1825</v>
      </c>
      <c r="U3053" s="38" t="s">
        <v>2027</v>
      </c>
      <c r="V3053" s="69" t="s">
        <v>272</v>
      </c>
      <c r="W3053" s="89" t="s">
        <v>137</v>
      </c>
      <c r="X3053" s="106" t="s">
        <v>297</v>
      </c>
      <c r="Y3053" s="107" t="s">
        <v>12</v>
      </c>
      <c r="Z3053" s="67">
        <f>IF(База_КР_КК[[#This Row],[Таб.номер резервиста]]="-","-",IF(OR(База_КР_КК[[#This Row],[Уровень КК]]=2,База_КР_КК[[#This Row],[Уровень КК]]=3),IF(COUNTIFS($U$2:$U3053,$U3053,$F$2:$F3053,$F3053)=1,1,0),IF(COUNTIFS($U$2:$U3053,$U3053,$L$2:$L3053,$L3053)=1,1,0)))</f>
        <v>0</v>
      </c>
      <c r="AA30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3" s="106"/>
      <c r="AC3053" s="51"/>
      <c r="AD3053" s="106" t="s">
        <v>13</v>
      </c>
      <c r="AE3053" s="38" t="s">
        <v>376</v>
      </c>
    </row>
    <row r="3054" spans="1:31" ht="18" customHeight="1" x14ac:dyDescent="0.25">
      <c r="A30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4" s="79">
        <v>4</v>
      </c>
      <c r="C3054" s="23">
        <v>44859</v>
      </c>
      <c r="D3054" s="67">
        <f>IF(COUNTIF($G$2:$G3054,$G3054)=1,1,0)</f>
        <v>0</v>
      </c>
      <c r="E3054" s="67" t="str">
        <f>IFERROR(VLOOKUP(База_КР_КК[[#This Row],[ИД штатной должности (S)]],'уровень защищенности'!$B$7:$F$1095,5,0),"не защищена")</f>
        <v>высокий</v>
      </c>
      <c r="F3054" s="68">
        <v>500162</v>
      </c>
      <c r="G3054" s="74" t="s">
        <v>2916</v>
      </c>
      <c r="H3054" s="181">
        <f>INDEX('Списки данных'!$D$2:$D$1048576,MATCH(База_КР_КК[[#This Row],[Структурное подразделение]],'Списки данных'!$C$2:$C$1048576,0))</f>
        <v>7</v>
      </c>
      <c r="I3054" s="80" t="s">
        <v>137</v>
      </c>
      <c r="J3054" s="80" t="s">
        <v>248</v>
      </c>
      <c r="K3054" s="80" t="s">
        <v>21</v>
      </c>
      <c r="L3054" s="30" t="s">
        <v>194</v>
      </c>
      <c r="M3054" s="68">
        <v>6</v>
      </c>
      <c r="N3054" s="181" t="str">
        <f t="shared" si="48"/>
        <v>да</v>
      </c>
      <c r="O3054" s="23">
        <v>44453</v>
      </c>
      <c r="P3054" s="23">
        <v>44531</v>
      </c>
      <c r="Q3054" s="106" t="s">
        <v>66</v>
      </c>
      <c r="R3054" s="37">
        <v>737</v>
      </c>
      <c r="S3054" s="39" t="s">
        <v>1146</v>
      </c>
      <c r="T3054" s="37">
        <v>758</v>
      </c>
      <c r="U3054" s="38" t="s">
        <v>1167</v>
      </c>
      <c r="V3054" s="89" t="s">
        <v>192</v>
      </c>
      <c r="W3054" s="89" t="s">
        <v>137</v>
      </c>
      <c r="X3054" s="106" t="s">
        <v>297</v>
      </c>
      <c r="Y3054" s="107" t="s">
        <v>12</v>
      </c>
      <c r="Z3054" s="67">
        <f>IF(База_КР_КК[[#This Row],[Таб.номер резервиста]]="-","-",IF(OR(База_КР_КК[[#This Row],[Уровень КК]]=2,База_КР_КК[[#This Row],[Уровень КК]]=3),IF(COUNTIFS($U$2:$U3054,$U3054,$F$2:$F3054,$F3054)=1,1,0),IF(COUNTIFS($U$2:$U3054,$U3054,$L$2:$L3054,$L3054)=1,1,0)))</f>
        <v>0</v>
      </c>
      <c r="AA30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4" s="106"/>
      <c r="AC3054" s="51"/>
      <c r="AD3054" s="106" t="s">
        <v>13</v>
      </c>
      <c r="AE3054" s="38" t="s">
        <v>376</v>
      </c>
    </row>
    <row r="3055" spans="1:31" ht="18" customHeight="1" x14ac:dyDescent="0.25">
      <c r="A30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5" s="79">
        <v>4</v>
      </c>
      <c r="C3055" s="23">
        <v>44859</v>
      </c>
      <c r="D3055" s="67">
        <f>IF(COUNTIF($G$2:$G3055,$G3055)=1,1,0)</f>
        <v>0</v>
      </c>
      <c r="E3055" s="67" t="str">
        <f>IFERROR(VLOOKUP(База_КР_КК[[#This Row],[ИД штатной должности (S)]],'уровень защищенности'!$B$7:$F$1095,5,0),"не защищена")</f>
        <v>высокий</v>
      </c>
      <c r="F3055" s="68">
        <v>500162</v>
      </c>
      <c r="G3055" s="74" t="s">
        <v>2916</v>
      </c>
      <c r="H3055" s="181">
        <f>INDEX('Списки данных'!$D$2:$D$1048576,MATCH(База_КР_КК[[#This Row],[Структурное подразделение]],'Списки данных'!$C$2:$C$1048576,0))</f>
        <v>7</v>
      </c>
      <c r="I3055" s="80" t="s">
        <v>137</v>
      </c>
      <c r="J3055" s="80" t="s">
        <v>248</v>
      </c>
      <c r="K3055" s="80" t="s">
        <v>21</v>
      </c>
      <c r="L3055" s="30" t="s">
        <v>194</v>
      </c>
      <c r="M3055" s="68">
        <v>6</v>
      </c>
      <c r="N3055" s="181" t="str">
        <f t="shared" si="48"/>
        <v>да</v>
      </c>
      <c r="O3055" s="23">
        <v>44453</v>
      </c>
      <c r="P3055" s="23">
        <v>44531</v>
      </c>
      <c r="Q3055" s="106" t="s">
        <v>66</v>
      </c>
      <c r="R3055" s="37">
        <v>737</v>
      </c>
      <c r="S3055" s="39" t="s">
        <v>1146</v>
      </c>
      <c r="T3055" s="37">
        <v>746</v>
      </c>
      <c r="U3055" s="38" t="s">
        <v>1155</v>
      </c>
      <c r="V3055" s="89" t="s">
        <v>192</v>
      </c>
      <c r="W3055" s="89" t="s">
        <v>137</v>
      </c>
      <c r="X3055" s="106" t="s">
        <v>297</v>
      </c>
      <c r="Y3055" s="107" t="s">
        <v>12</v>
      </c>
      <c r="Z3055" s="67">
        <f>IF(База_КР_КК[[#This Row],[Таб.номер резервиста]]="-","-",IF(OR(База_КР_КК[[#This Row],[Уровень КК]]=2,База_КР_КК[[#This Row],[Уровень КК]]=3),IF(COUNTIFS($U$2:$U3055,$U3055,$F$2:$F3055,$F3055)=1,1,0),IF(COUNTIFS($U$2:$U3055,$U3055,$L$2:$L3055,$L3055)=1,1,0)))</f>
        <v>0</v>
      </c>
      <c r="AA30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5" s="106"/>
      <c r="AC3055" s="51"/>
      <c r="AD3055" s="106" t="s">
        <v>13</v>
      </c>
      <c r="AE3055" s="38" t="s">
        <v>376</v>
      </c>
    </row>
    <row r="3056" spans="1:31" ht="18" customHeight="1" x14ac:dyDescent="0.25">
      <c r="A30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6" s="79">
        <v>4</v>
      </c>
      <c r="C3056" s="23">
        <v>44859</v>
      </c>
      <c r="D3056" s="67">
        <f>IF(COUNTIF($G$2:$G3056,$G3056)=1,1,0)</f>
        <v>0</v>
      </c>
      <c r="E3056" s="67" t="str">
        <f>IFERROR(VLOOKUP(База_КР_КК[[#This Row],[ИД штатной должности (S)]],'уровень защищенности'!$B$7:$F$1095,5,0),"не защищена")</f>
        <v>высокий</v>
      </c>
      <c r="F3056" s="68">
        <v>500162</v>
      </c>
      <c r="G3056" s="74" t="s">
        <v>2916</v>
      </c>
      <c r="H3056" s="181">
        <f>INDEX('Списки данных'!$D$2:$D$1048576,MATCH(База_КР_КК[[#This Row],[Структурное подразделение]],'Списки данных'!$C$2:$C$1048576,0))</f>
        <v>7</v>
      </c>
      <c r="I3056" s="80" t="s">
        <v>137</v>
      </c>
      <c r="J3056" s="80" t="s">
        <v>248</v>
      </c>
      <c r="K3056" s="80" t="s">
        <v>21</v>
      </c>
      <c r="L3056" s="30" t="s">
        <v>194</v>
      </c>
      <c r="M3056" s="68">
        <v>6</v>
      </c>
      <c r="N3056" s="181" t="str">
        <f t="shared" si="48"/>
        <v>да</v>
      </c>
      <c r="O3056" s="23">
        <v>44453</v>
      </c>
      <c r="P3056" s="23">
        <v>44531</v>
      </c>
      <c r="Q3056" s="106" t="s">
        <v>66</v>
      </c>
      <c r="R3056" s="37">
        <v>737</v>
      </c>
      <c r="S3056" s="39" t="s">
        <v>1146</v>
      </c>
      <c r="T3056" s="37">
        <v>1826</v>
      </c>
      <c r="U3056" s="38" t="s">
        <v>1582</v>
      </c>
      <c r="V3056" s="89" t="s">
        <v>272</v>
      </c>
      <c r="W3056" s="89" t="s">
        <v>137</v>
      </c>
      <c r="X3056" s="106" t="s">
        <v>296</v>
      </c>
      <c r="Y3056" s="107" t="s">
        <v>12</v>
      </c>
      <c r="Z3056" s="67">
        <f>IF(База_КР_КК[[#This Row],[Таб.номер резервиста]]="-","-",IF(OR(База_КР_КК[[#This Row],[Уровень КК]]=2,База_КР_КК[[#This Row],[Уровень КК]]=3),IF(COUNTIFS($U$2:$U3056,$U3056,$F$2:$F3056,$F3056)=1,1,0),IF(COUNTIFS($U$2:$U3056,$U3056,$L$2:$L3056,$L3056)=1,1,0)))</f>
        <v>0</v>
      </c>
      <c r="AA30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6" s="106"/>
      <c r="AC3056" s="51"/>
      <c r="AD3056" s="106" t="s">
        <v>13</v>
      </c>
      <c r="AE3056" s="38" t="s">
        <v>376</v>
      </c>
    </row>
    <row r="3057" spans="1:31" ht="18" customHeight="1" x14ac:dyDescent="0.25">
      <c r="A30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7" s="79">
        <v>4</v>
      </c>
      <c r="C3057" s="23">
        <v>44469</v>
      </c>
      <c r="D3057" s="67">
        <f>IF(COUNTIF($G$2:$G3057,$G3057)=1,1,0)</f>
        <v>0</v>
      </c>
      <c r="E3057" s="67" t="str">
        <f>IFERROR(VLOOKUP(База_КР_КК[[#This Row],[ИД штатной должности (S)]],'уровень защищенности'!$B$7:$F$1095,5,0),"не защищена")</f>
        <v>высокий</v>
      </c>
      <c r="F3057" s="68">
        <v>500162</v>
      </c>
      <c r="G3057" s="74" t="s">
        <v>2916</v>
      </c>
      <c r="H3057" s="181">
        <f>INDEX('Списки данных'!$D$2:$D$1048576,MATCH(База_КР_КК[[#This Row],[Структурное подразделение]],'Списки данных'!$C$2:$C$1048576,0))</f>
        <v>7</v>
      </c>
      <c r="I3057" s="80" t="s">
        <v>137</v>
      </c>
      <c r="J3057" s="80" t="s">
        <v>248</v>
      </c>
      <c r="K3057" s="80" t="s">
        <v>21</v>
      </c>
      <c r="L3057" s="30" t="s">
        <v>194</v>
      </c>
      <c r="M3057" s="68">
        <v>6</v>
      </c>
      <c r="N3057" s="181" t="str">
        <f t="shared" si="48"/>
        <v>да</v>
      </c>
      <c r="O3057" s="23">
        <v>44453</v>
      </c>
      <c r="P3057" s="23">
        <v>44531</v>
      </c>
      <c r="Q3057" s="106" t="s">
        <v>66</v>
      </c>
      <c r="R3057" s="37">
        <v>737</v>
      </c>
      <c r="S3057" s="38" t="s">
        <v>1146</v>
      </c>
      <c r="T3057" s="37">
        <v>737</v>
      </c>
      <c r="U3057" s="39" t="s">
        <v>1146</v>
      </c>
      <c r="V3057" s="69" t="s">
        <v>192</v>
      </c>
      <c r="W3057" s="89" t="s">
        <v>137</v>
      </c>
      <c r="X3057" s="106" t="s">
        <v>295</v>
      </c>
      <c r="Y3057" s="107" t="s">
        <v>14</v>
      </c>
      <c r="Z3057" s="67">
        <f>IF(База_КР_КК[[#This Row],[Таб.номер резервиста]]="-","-",IF(OR(База_КР_КК[[#This Row],[Уровень КК]]=2,База_КР_КК[[#This Row],[Уровень КК]]=3),IF(COUNTIFS($U$2:$U3057,$U3057,$F$2:$F3057,$F3057)=1,1,0),IF(COUNTIFS($U$2:$U3057,$U3057,$L$2:$L3057,$L3057)=1,1,0)))</f>
        <v>0</v>
      </c>
      <c r="AA30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057" s="106" t="s">
        <v>24</v>
      </c>
      <c r="AC3057" s="51">
        <v>44531</v>
      </c>
      <c r="AD3057" s="106" t="s">
        <v>15</v>
      </c>
      <c r="AE3057" s="38" t="s">
        <v>380</v>
      </c>
    </row>
    <row r="3058" spans="1:31" ht="18" customHeight="1" x14ac:dyDescent="0.25">
      <c r="A30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8" s="79">
        <v>4</v>
      </c>
      <c r="C3058" s="23">
        <v>44125</v>
      </c>
      <c r="D3058" s="67">
        <f>IF(COUNTIF($G$2:$G3058,$G3058)=1,1,0)</f>
        <v>1</v>
      </c>
      <c r="E3058" s="67" t="str">
        <f>IFERROR(VLOOKUP(База_КР_КК[[#This Row],[ИД штатной должности (S)]],'уровень защищенности'!$B$7:$F$1095,5,0),"не защищена")</f>
        <v>высокий</v>
      </c>
      <c r="F3058" s="68">
        <v>500162</v>
      </c>
      <c r="G3058" s="74" t="s">
        <v>2917</v>
      </c>
      <c r="H3058" s="181">
        <f>INDEX('Списки данных'!$D$2:$D$1048576,MATCH(База_КР_КК[[#This Row],[Структурное подразделение]],'Списки данных'!$C$2:$C$1048576,0))</f>
        <v>7</v>
      </c>
      <c r="I3058" s="80" t="s">
        <v>137</v>
      </c>
      <c r="J3058" s="80" t="s">
        <v>248</v>
      </c>
      <c r="K3058" s="80" t="s">
        <v>21</v>
      </c>
      <c r="L3058" s="30" t="s">
        <v>194</v>
      </c>
      <c r="M3058" s="68">
        <v>6</v>
      </c>
      <c r="N3058" s="181" t="str">
        <f t="shared" si="48"/>
        <v>нет</v>
      </c>
      <c r="O3058" s="23"/>
      <c r="P3058" s="23"/>
      <c r="Q3058" s="106"/>
      <c r="R3058" s="37">
        <v>738</v>
      </c>
      <c r="S3058" s="37" t="s">
        <v>1147</v>
      </c>
      <c r="T3058" s="37">
        <v>1824</v>
      </c>
      <c r="U3058" s="39" t="s">
        <v>1988</v>
      </c>
      <c r="V3058" s="89" t="s">
        <v>272</v>
      </c>
      <c r="W3058" s="89" t="s">
        <v>137</v>
      </c>
      <c r="X3058" s="106" t="s">
        <v>295</v>
      </c>
      <c r="Y3058" s="107" t="s">
        <v>12</v>
      </c>
      <c r="Z3058" s="67">
        <f>IF(База_КР_КК[[#This Row],[Таб.номер резервиста]]="-","-",IF(OR(База_КР_КК[[#This Row],[Уровень КК]]=2,База_КР_КК[[#This Row],[Уровень КК]]=3),IF(COUNTIFS($U$2:$U3058,$U3058,$F$2:$F3058,$F3058)=1,1,0),IF(COUNTIFS($U$2:$U3058,$U3058,$L$2:$L3058,$L3058)=1,1,0)))</f>
        <v>0</v>
      </c>
      <c r="AA30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8" s="106"/>
      <c r="AC3058" s="51"/>
      <c r="AD3058" s="106" t="s">
        <v>13</v>
      </c>
      <c r="AE3058" s="38" t="s">
        <v>376</v>
      </c>
    </row>
    <row r="3059" spans="1:31" ht="18" customHeight="1" x14ac:dyDescent="0.25">
      <c r="A30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59" s="79">
        <v>4</v>
      </c>
      <c r="C3059" s="23">
        <v>44859</v>
      </c>
      <c r="D3059" s="67">
        <f>IF(COUNTIF($G$2:$G3059,$G3059)=1,1,0)</f>
        <v>0</v>
      </c>
      <c r="E3059" s="67" t="str">
        <f>IFERROR(VLOOKUP(База_КР_КК[[#This Row],[ИД штатной должности (S)]],'уровень защищенности'!$B$7:$F$1095,5,0),"не защищена")</f>
        <v>высокий</v>
      </c>
      <c r="F3059" s="68">
        <v>500162</v>
      </c>
      <c r="G3059" s="74" t="s">
        <v>2917</v>
      </c>
      <c r="H3059" s="181">
        <f>INDEX('Списки данных'!$D$2:$D$1048576,MATCH(База_КР_КК[[#This Row],[Структурное подразделение]],'Списки данных'!$C$2:$C$1048576,0))</f>
        <v>7</v>
      </c>
      <c r="I3059" s="80" t="s">
        <v>137</v>
      </c>
      <c r="J3059" s="80" t="s">
        <v>248</v>
      </c>
      <c r="K3059" s="80" t="s">
        <v>21</v>
      </c>
      <c r="L3059" s="30" t="s">
        <v>194</v>
      </c>
      <c r="M3059" s="68">
        <v>6</v>
      </c>
      <c r="N3059" s="181" t="str">
        <f t="shared" si="48"/>
        <v>нет</v>
      </c>
      <c r="O3059" s="23"/>
      <c r="P3059" s="23"/>
      <c r="Q3059" s="106"/>
      <c r="R3059" s="37">
        <v>738</v>
      </c>
      <c r="S3059" s="39" t="s">
        <v>1147</v>
      </c>
      <c r="T3059" s="37">
        <v>1825</v>
      </c>
      <c r="U3059" s="38" t="s">
        <v>2027</v>
      </c>
      <c r="V3059" s="69" t="s">
        <v>272</v>
      </c>
      <c r="W3059" s="89" t="s">
        <v>137</v>
      </c>
      <c r="X3059" s="106" t="s">
        <v>297</v>
      </c>
      <c r="Y3059" s="107" t="s">
        <v>12</v>
      </c>
      <c r="Z3059" s="67">
        <f>IF(База_КР_КК[[#This Row],[Таб.номер резервиста]]="-","-",IF(OR(База_КР_КК[[#This Row],[Уровень КК]]=2,База_КР_КК[[#This Row],[Уровень КК]]=3),IF(COUNTIFS($U$2:$U3059,$U3059,$F$2:$F3059,$F3059)=1,1,0),IF(COUNTIFS($U$2:$U3059,$U3059,$L$2:$L3059,$L3059)=1,1,0)))</f>
        <v>0</v>
      </c>
      <c r="AA30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59" s="106"/>
      <c r="AC3059" s="51"/>
      <c r="AD3059" s="106" t="s">
        <v>13</v>
      </c>
      <c r="AE3059" s="38" t="s">
        <v>376</v>
      </c>
    </row>
    <row r="3060" spans="1:31" ht="18" customHeight="1" x14ac:dyDescent="0.25">
      <c r="A30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0" s="79">
        <v>4</v>
      </c>
      <c r="C3060" s="23">
        <v>44859</v>
      </c>
      <c r="D3060" s="67">
        <f>IF(COUNTIF($G$2:$G3060,$G3060)=1,1,0)</f>
        <v>0</v>
      </c>
      <c r="E3060" s="67" t="str">
        <f>IFERROR(VLOOKUP(База_КР_КК[[#This Row],[ИД штатной должности (S)]],'уровень защищенности'!$B$7:$F$1095,5,0),"не защищена")</f>
        <v>высокий</v>
      </c>
      <c r="F3060" s="68">
        <v>500162</v>
      </c>
      <c r="G3060" s="74" t="s">
        <v>2917</v>
      </c>
      <c r="H3060" s="181">
        <f>INDEX('Списки данных'!$D$2:$D$1048576,MATCH(База_КР_КК[[#This Row],[Структурное подразделение]],'Списки данных'!$C$2:$C$1048576,0))</f>
        <v>7</v>
      </c>
      <c r="I3060" s="80" t="s">
        <v>137</v>
      </c>
      <c r="J3060" s="80" t="s">
        <v>248</v>
      </c>
      <c r="K3060" s="80" t="s">
        <v>21</v>
      </c>
      <c r="L3060" s="30" t="s">
        <v>194</v>
      </c>
      <c r="M3060" s="68">
        <v>6</v>
      </c>
      <c r="N3060" s="181" t="str">
        <f t="shared" si="48"/>
        <v>нет</v>
      </c>
      <c r="O3060" s="23"/>
      <c r="P3060" s="23"/>
      <c r="Q3060" s="106"/>
      <c r="R3060" s="37">
        <v>738</v>
      </c>
      <c r="S3060" s="39" t="s">
        <v>1147</v>
      </c>
      <c r="T3060" s="37">
        <v>758</v>
      </c>
      <c r="U3060" s="38" t="s">
        <v>1167</v>
      </c>
      <c r="V3060" s="89" t="s">
        <v>192</v>
      </c>
      <c r="W3060" s="89" t="s">
        <v>137</v>
      </c>
      <c r="X3060" s="106" t="s">
        <v>297</v>
      </c>
      <c r="Y3060" s="107" t="s">
        <v>12</v>
      </c>
      <c r="Z3060" s="67">
        <f>IF(База_КР_КК[[#This Row],[Таб.номер резервиста]]="-","-",IF(OR(База_КР_КК[[#This Row],[Уровень КК]]=2,База_КР_КК[[#This Row],[Уровень КК]]=3),IF(COUNTIFS($U$2:$U3060,$U3060,$F$2:$F3060,$F3060)=1,1,0),IF(COUNTIFS($U$2:$U3060,$U3060,$L$2:$L3060,$L3060)=1,1,0)))</f>
        <v>0</v>
      </c>
      <c r="AA30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0" s="106"/>
      <c r="AC3060" s="51"/>
      <c r="AD3060" s="106" t="s">
        <v>13</v>
      </c>
      <c r="AE3060" s="38" t="s">
        <v>376</v>
      </c>
    </row>
    <row r="3061" spans="1:31" ht="18" customHeight="1" x14ac:dyDescent="0.25">
      <c r="A30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1" s="79">
        <v>4</v>
      </c>
      <c r="C3061" s="23">
        <v>44859</v>
      </c>
      <c r="D3061" s="67">
        <f>IF(COUNTIF($G$2:$G3061,$G3061)=1,1,0)</f>
        <v>0</v>
      </c>
      <c r="E3061" s="67" t="str">
        <f>IFERROR(VLOOKUP(База_КР_КК[[#This Row],[ИД штатной должности (S)]],'уровень защищенности'!$B$7:$F$1095,5,0),"не защищена")</f>
        <v>высокий</v>
      </c>
      <c r="F3061" s="68">
        <v>500162</v>
      </c>
      <c r="G3061" s="74" t="s">
        <v>2917</v>
      </c>
      <c r="H3061" s="181">
        <f>INDEX('Списки данных'!$D$2:$D$1048576,MATCH(База_КР_КК[[#This Row],[Структурное подразделение]],'Списки данных'!$C$2:$C$1048576,0))</f>
        <v>7</v>
      </c>
      <c r="I3061" s="80" t="s">
        <v>137</v>
      </c>
      <c r="J3061" s="80" t="s">
        <v>248</v>
      </c>
      <c r="K3061" s="80" t="s">
        <v>21</v>
      </c>
      <c r="L3061" s="30" t="s">
        <v>194</v>
      </c>
      <c r="M3061" s="68">
        <v>6</v>
      </c>
      <c r="N3061" s="181" t="str">
        <f t="shared" si="48"/>
        <v>нет</v>
      </c>
      <c r="O3061" s="23"/>
      <c r="P3061" s="23"/>
      <c r="Q3061" s="106"/>
      <c r="R3061" s="37">
        <v>738</v>
      </c>
      <c r="S3061" s="39" t="s">
        <v>1147</v>
      </c>
      <c r="T3061" s="37">
        <v>746</v>
      </c>
      <c r="U3061" s="38" t="s">
        <v>1155</v>
      </c>
      <c r="V3061" s="89" t="s">
        <v>192</v>
      </c>
      <c r="W3061" s="89" t="s">
        <v>137</v>
      </c>
      <c r="X3061" s="106" t="s">
        <v>297</v>
      </c>
      <c r="Y3061" s="107" t="s">
        <v>12</v>
      </c>
      <c r="Z3061" s="67">
        <f>IF(База_КР_КК[[#This Row],[Таб.номер резервиста]]="-","-",IF(OR(База_КР_КК[[#This Row],[Уровень КК]]=2,База_КР_КК[[#This Row],[Уровень КК]]=3),IF(COUNTIFS($U$2:$U3061,$U3061,$F$2:$F3061,$F3061)=1,1,0),IF(COUNTIFS($U$2:$U3061,$U3061,$L$2:$L3061,$L3061)=1,1,0)))</f>
        <v>0</v>
      </c>
      <c r="AA30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1" s="106"/>
      <c r="AC3061" s="51"/>
      <c r="AD3061" s="106" t="s">
        <v>13</v>
      </c>
      <c r="AE3061" s="38" t="s">
        <v>376</v>
      </c>
    </row>
    <row r="3062" spans="1:31" ht="18" customHeight="1" x14ac:dyDescent="0.25">
      <c r="A30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2" s="79">
        <v>4</v>
      </c>
      <c r="C3062" s="23">
        <v>44859</v>
      </c>
      <c r="D3062" s="67">
        <f>IF(COUNTIF($G$2:$G3062,$G3062)=1,1,0)</f>
        <v>0</v>
      </c>
      <c r="E3062" s="67" t="str">
        <f>IFERROR(VLOOKUP(База_КР_КК[[#This Row],[ИД штатной должности (S)]],'уровень защищенности'!$B$7:$F$1095,5,0),"не защищена")</f>
        <v>высокий</v>
      </c>
      <c r="F3062" s="68">
        <v>500162</v>
      </c>
      <c r="G3062" s="74" t="s">
        <v>2917</v>
      </c>
      <c r="H3062" s="181">
        <f>INDEX('Списки данных'!$D$2:$D$1048576,MATCH(База_КР_КК[[#This Row],[Структурное подразделение]],'Списки данных'!$C$2:$C$1048576,0))</f>
        <v>7</v>
      </c>
      <c r="I3062" s="80" t="s">
        <v>137</v>
      </c>
      <c r="J3062" s="80" t="s">
        <v>248</v>
      </c>
      <c r="K3062" s="80" t="s">
        <v>21</v>
      </c>
      <c r="L3062" s="30" t="s">
        <v>194</v>
      </c>
      <c r="M3062" s="68">
        <v>6</v>
      </c>
      <c r="N3062" s="181" t="str">
        <f t="shared" si="48"/>
        <v>нет</v>
      </c>
      <c r="O3062" s="23"/>
      <c r="P3062" s="23"/>
      <c r="Q3062" s="106"/>
      <c r="R3062" s="37">
        <v>738</v>
      </c>
      <c r="S3062" s="39" t="s">
        <v>1147</v>
      </c>
      <c r="T3062" s="37">
        <v>1826</v>
      </c>
      <c r="U3062" s="38" t="s">
        <v>1582</v>
      </c>
      <c r="V3062" s="89" t="s">
        <v>272</v>
      </c>
      <c r="W3062" s="89" t="s">
        <v>137</v>
      </c>
      <c r="X3062" s="106" t="s">
        <v>296</v>
      </c>
      <c r="Y3062" s="107" t="s">
        <v>12</v>
      </c>
      <c r="Z3062" s="67">
        <f>IF(База_КР_КК[[#This Row],[Таб.номер резервиста]]="-","-",IF(OR(База_КР_КК[[#This Row],[Уровень КК]]=2,База_КР_КК[[#This Row],[Уровень КК]]=3),IF(COUNTIFS($U$2:$U3062,$U3062,$F$2:$F3062,$F3062)=1,1,0),IF(COUNTIFS($U$2:$U3062,$U3062,$L$2:$L3062,$L3062)=1,1,0)))</f>
        <v>0</v>
      </c>
      <c r="AA30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2" s="106"/>
      <c r="AC3062" s="51"/>
      <c r="AD3062" s="106" t="s">
        <v>13</v>
      </c>
      <c r="AE3062" s="38" t="s">
        <v>376</v>
      </c>
    </row>
    <row r="3063" spans="1:31" ht="18" customHeight="1" x14ac:dyDescent="0.25">
      <c r="A30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3" s="79">
        <v>4</v>
      </c>
      <c r="C3063" s="23">
        <v>44469</v>
      </c>
      <c r="D3063" s="67">
        <f>IF(COUNTIF($G$2:$G3063,$G3063)=1,1,0)</f>
        <v>0</v>
      </c>
      <c r="E3063" s="67" t="str">
        <f>IFERROR(VLOOKUP(База_КР_КК[[#This Row],[ИД штатной должности (S)]],'уровень защищенности'!$B$7:$F$1095,5,0),"не защищена")</f>
        <v>высокий</v>
      </c>
      <c r="F3063" s="68">
        <v>500162</v>
      </c>
      <c r="G3063" s="74" t="s">
        <v>2917</v>
      </c>
      <c r="H3063" s="181">
        <f>INDEX('Списки данных'!$D$2:$D$1048576,MATCH(База_КР_КК[[#This Row],[Структурное подразделение]],'Списки данных'!$C$2:$C$1048576,0))</f>
        <v>7</v>
      </c>
      <c r="I3063" s="80" t="s">
        <v>137</v>
      </c>
      <c r="J3063" s="80" t="s">
        <v>248</v>
      </c>
      <c r="K3063" s="80" t="s">
        <v>21</v>
      </c>
      <c r="L3063" s="30" t="s">
        <v>194</v>
      </c>
      <c r="M3063" s="68">
        <v>6</v>
      </c>
      <c r="N3063" s="181" t="str">
        <f t="shared" si="48"/>
        <v>нет</v>
      </c>
      <c r="O3063" s="23"/>
      <c r="P3063" s="23"/>
      <c r="Q3063" s="106"/>
      <c r="R3063" s="37">
        <v>738</v>
      </c>
      <c r="S3063" s="38" t="s">
        <v>1147</v>
      </c>
      <c r="T3063" s="37">
        <v>737</v>
      </c>
      <c r="U3063" s="39" t="s">
        <v>1146</v>
      </c>
      <c r="V3063" s="69" t="s">
        <v>192</v>
      </c>
      <c r="W3063" s="89" t="s">
        <v>137</v>
      </c>
      <c r="X3063" s="106" t="s">
        <v>295</v>
      </c>
      <c r="Y3063" s="107" t="s">
        <v>14</v>
      </c>
      <c r="Z3063" s="67">
        <f>IF(База_КР_КК[[#This Row],[Таб.номер резервиста]]="-","-",IF(OR(База_КР_КК[[#This Row],[Уровень КК]]=2,База_КР_КК[[#This Row],[Уровень КК]]=3),IF(COUNTIFS($U$2:$U3063,$U3063,$F$2:$F3063,$F3063)=1,1,0),IF(COUNTIFS($U$2:$U3063,$U3063,$L$2:$L3063,$L3063)=1,1,0)))</f>
        <v>0</v>
      </c>
      <c r="AA30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3" s="106" t="s">
        <v>24</v>
      </c>
      <c r="AC3063" s="51">
        <v>44531</v>
      </c>
      <c r="AD3063" s="106" t="s">
        <v>15</v>
      </c>
      <c r="AE3063" s="38" t="s">
        <v>380</v>
      </c>
    </row>
    <row r="3064" spans="1:31" ht="18" customHeight="1" x14ac:dyDescent="0.25">
      <c r="A30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4" s="79">
        <v>4</v>
      </c>
      <c r="C3064" s="23">
        <v>44125</v>
      </c>
      <c r="D3064" s="67">
        <f>IF(COUNTIF($G$2:$G3064,$G3064)=1,1,0)</f>
        <v>1</v>
      </c>
      <c r="E3064" s="67" t="str">
        <f>IFERROR(VLOOKUP(База_КР_КК[[#This Row],[ИД штатной должности (S)]],'уровень защищенности'!$B$7:$F$1095,5,0),"не защищена")</f>
        <v>высокий</v>
      </c>
      <c r="F3064" s="68">
        <v>500162</v>
      </c>
      <c r="G3064" s="74" t="s">
        <v>2918</v>
      </c>
      <c r="H3064" s="181">
        <f>INDEX('Списки данных'!$D$2:$D$1048576,MATCH(База_КР_КК[[#This Row],[Структурное подразделение]],'Списки данных'!$C$2:$C$1048576,0))</f>
        <v>7</v>
      </c>
      <c r="I3064" s="80" t="s">
        <v>137</v>
      </c>
      <c r="J3064" s="80" t="s">
        <v>248</v>
      </c>
      <c r="K3064" s="80" t="s">
        <v>21</v>
      </c>
      <c r="L3064" s="30" t="s">
        <v>194</v>
      </c>
      <c r="M3064" s="68">
        <v>6</v>
      </c>
      <c r="N3064" s="181" t="str">
        <f t="shared" si="48"/>
        <v>нет</v>
      </c>
      <c r="O3064" s="23"/>
      <c r="P3064" s="23"/>
      <c r="Q3064" s="106"/>
      <c r="R3064" s="37">
        <v>739</v>
      </c>
      <c r="S3064" s="37" t="s">
        <v>1148</v>
      </c>
      <c r="T3064" s="37">
        <v>1824</v>
      </c>
      <c r="U3064" s="39" t="s">
        <v>1988</v>
      </c>
      <c r="V3064" s="89" t="s">
        <v>272</v>
      </c>
      <c r="W3064" s="89" t="s">
        <v>137</v>
      </c>
      <c r="X3064" s="106" t="s">
        <v>295</v>
      </c>
      <c r="Y3064" s="107" t="s">
        <v>12</v>
      </c>
      <c r="Z3064" s="67">
        <f>IF(База_КР_КК[[#This Row],[Таб.номер резервиста]]="-","-",IF(OR(База_КР_КК[[#This Row],[Уровень КК]]=2,База_КР_КК[[#This Row],[Уровень КК]]=3),IF(COUNTIFS($U$2:$U3064,$U3064,$F$2:$F3064,$F3064)=1,1,0),IF(COUNTIFS($U$2:$U3064,$U3064,$L$2:$L3064,$L3064)=1,1,0)))</f>
        <v>0</v>
      </c>
      <c r="AA30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4" s="106"/>
      <c r="AC3064" s="51"/>
      <c r="AD3064" s="106" t="s">
        <v>13</v>
      </c>
      <c r="AE3064" s="38" t="s">
        <v>376</v>
      </c>
    </row>
    <row r="3065" spans="1:31" ht="18" customHeight="1" x14ac:dyDescent="0.25">
      <c r="A30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5" s="79">
        <v>4</v>
      </c>
      <c r="C3065" s="23">
        <v>44859</v>
      </c>
      <c r="D3065" s="67">
        <f>IF(COUNTIF($G$2:$G3065,$G3065)=1,1,0)</f>
        <v>0</v>
      </c>
      <c r="E3065" s="67" t="str">
        <f>IFERROR(VLOOKUP(База_КР_КК[[#This Row],[ИД штатной должности (S)]],'уровень защищенности'!$B$7:$F$1095,5,0),"не защищена")</f>
        <v>высокий</v>
      </c>
      <c r="F3065" s="68">
        <v>500162</v>
      </c>
      <c r="G3065" s="74" t="s">
        <v>2918</v>
      </c>
      <c r="H3065" s="181">
        <f>INDEX('Списки данных'!$D$2:$D$1048576,MATCH(База_КР_КК[[#This Row],[Структурное подразделение]],'Списки данных'!$C$2:$C$1048576,0))</f>
        <v>7</v>
      </c>
      <c r="I3065" s="80" t="s">
        <v>137</v>
      </c>
      <c r="J3065" s="80" t="s">
        <v>248</v>
      </c>
      <c r="K3065" s="80" t="s">
        <v>21</v>
      </c>
      <c r="L3065" s="30" t="s">
        <v>194</v>
      </c>
      <c r="M3065" s="68">
        <v>6</v>
      </c>
      <c r="N3065" s="181" t="str">
        <f t="shared" si="48"/>
        <v>нет</v>
      </c>
      <c r="O3065" s="23"/>
      <c r="P3065" s="23"/>
      <c r="Q3065" s="106"/>
      <c r="R3065" s="37">
        <v>739</v>
      </c>
      <c r="S3065" s="39" t="s">
        <v>1148</v>
      </c>
      <c r="T3065" s="37">
        <v>1825</v>
      </c>
      <c r="U3065" s="38" t="s">
        <v>2027</v>
      </c>
      <c r="V3065" s="69" t="s">
        <v>272</v>
      </c>
      <c r="W3065" s="89" t="s">
        <v>137</v>
      </c>
      <c r="X3065" s="106" t="s">
        <v>297</v>
      </c>
      <c r="Y3065" s="107" t="s">
        <v>12</v>
      </c>
      <c r="Z3065" s="67">
        <f>IF(База_КР_КК[[#This Row],[Таб.номер резервиста]]="-","-",IF(OR(База_КР_КК[[#This Row],[Уровень КК]]=2,База_КР_КК[[#This Row],[Уровень КК]]=3),IF(COUNTIFS($U$2:$U3065,$U3065,$F$2:$F3065,$F3065)=1,1,0),IF(COUNTIFS($U$2:$U3065,$U3065,$L$2:$L3065,$L3065)=1,1,0)))</f>
        <v>0</v>
      </c>
      <c r="AA30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5" s="106"/>
      <c r="AC3065" s="51"/>
      <c r="AD3065" s="106" t="s">
        <v>13</v>
      </c>
      <c r="AE3065" s="38" t="s">
        <v>376</v>
      </c>
    </row>
    <row r="3066" spans="1:31" ht="18" customHeight="1" x14ac:dyDescent="0.25">
      <c r="A30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6" s="79">
        <v>4</v>
      </c>
      <c r="C3066" s="23">
        <v>44859</v>
      </c>
      <c r="D3066" s="67">
        <f>IF(COUNTIF($G$2:$G3066,$G3066)=1,1,0)</f>
        <v>0</v>
      </c>
      <c r="E3066" s="67" t="str">
        <f>IFERROR(VLOOKUP(База_КР_КК[[#This Row],[ИД штатной должности (S)]],'уровень защищенности'!$B$7:$F$1095,5,0),"не защищена")</f>
        <v>высокий</v>
      </c>
      <c r="F3066" s="68">
        <v>500162</v>
      </c>
      <c r="G3066" s="74" t="s">
        <v>2918</v>
      </c>
      <c r="H3066" s="181">
        <f>INDEX('Списки данных'!$D$2:$D$1048576,MATCH(База_КР_КК[[#This Row],[Структурное подразделение]],'Списки данных'!$C$2:$C$1048576,0))</f>
        <v>7</v>
      </c>
      <c r="I3066" s="80" t="s">
        <v>137</v>
      </c>
      <c r="J3066" s="80" t="s">
        <v>248</v>
      </c>
      <c r="K3066" s="80" t="s">
        <v>21</v>
      </c>
      <c r="L3066" s="30" t="s">
        <v>194</v>
      </c>
      <c r="M3066" s="68">
        <v>6</v>
      </c>
      <c r="N3066" s="181" t="str">
        <f t="shared" si="48"/>
        <v>нет</v>
      </c>
      <c r="O3066" s="23"/>
      <c r="P3066" s="23"/>
      <c r="Q3066" s="106"/>
      <c r="R3066" s="37">
        <v>739</v>
      </c>
      <c r="S3066" s="39" t="s">
        <v>1148</v>
      </c>
      <c r="T3066" s="37">
        <v>758</v>
      </c>
      <c r="U3066" s="38" t="s">
        <v>1167</v>
      </c>
      <c r="V3066" s="89" t="s">
        <v>192</v>
      </c>
      <c r="W3066" s="89" t="s">
        <v>137</v>
      </c>
      <c r="X3066" s="106" t="s">
        <v>297</v>
      </c>
      <c r="Y3066" s="107" t="s">
        <v>12</v>
      </c>
      <c r="Z3066" s="67">
        <f>IF(База_КР_КК[[#This Row],[Таб.номер резервиста]]="-","-",IF(OR(База_КР_КК[[#This Row],[Уровень КК]]=2,База_КР_КК[[#This Row],[Уровень КК]]=3),IF(COUNTIFS($U$2:$U3066,$U3066,$F$2:$F3066,$F3066)=1,1,0),IF(COUNTIFS($U$2:$U3066,$U3066,$L$2:$L3066,$L3066)=1,1,0)))</f>
        <v>0</v>
      </c>
      <c r="AA30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6" s="106"/>
      <c r="AC3066" s="51"/>
      <c r="AD3066" s="106" t="s">
        <v>13</v>
      </c>
      <c r="AE3066" s="38" t="s">
        <v>376</v>
      </c>
    </row>
    <row r="3067" spans="1:31" ht="18" customHeight="1" x14ac:dyDescent="0.25">
      <c r="A30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7" s="79">
        <v>4</v>
      </c>
      <c r="C3067" s="23">
        <v>44859</v>
      </c>
      <c r="D3067" s="67">
        <f>IF(COUNTIF($G$2:$G3067,$G3067)=1,1,0)</f>
        <v>0</v>
      </c>
      <c r="E3067" s="67" t="str">
        <f>IFERROR(VLOOKUP(База_КР_КК[[#This Row],[ИД штатной должности (S)]],'уровень защищенности'!$B$7:$F$1095,5,0),"не защищена")</f>
        <v>высокий</v>
      </c>
      <c r="F3067" s="68">
        <v>500162</v>
      </c>
      <c r="G3067" s="74" t="s">
        <v>2918</v>
      </c>
      <c r="H3067" s="181">
        <f>INDEX('Списки данных'!$D$2:$D$1048576,MATCH(База_КР_КК[[#This Row],[Структурное подразделение]],'Списки данных'!$C$2:$C$1048576,0))</f>
        <v>7</v>
      </c>
      <c r="I3067" s="80" t="s">
        <v>137</v>
      </c>
      <c r="J3067" s="80" t="s">
        <v>248</v>
      </c>
      <c r="K3067" s="80" t="s">
        <v>21</v>
      </c>
      <c r="L3067" s="30" t="s">
        <v>194</v>
      </c>
      <c r="M3067" s="68">
        <v>6</v>
      </c>
      <c r="N3067" s="181" t="str">
        <f t="shared" si="48"/>
        <v>нет</v>
      </c>
      <c r="O3067" s="23"/>
      <c r="P3067" s="23"/>
      <c r="Q3067" s="106"/>
      <c r="R3067" s="37">
        <v>739</v>
      </c>
      <c r="S3067" s="39" t="s">
        <v>1148</v>
      </c>
      <c r="T3067" s="37">
        <v>746</v>
      </c>
      <c r="U3067" s="38" t="s">
        <v>1155</v>
      </c>
      <c r="V3067" s="89" t="s">
        <v>192</v>
      </c>
      <c r="W3067" s="89" t="s">
        <v>137</v>
      </c>
      <c r="X3067" s="106" t="s">
        <v>297</v>
      </c>
      <c r="Y3067" s="107" t="s">
        <v>12</v>
      </c>
      <c r="Z3067" s="67">
        <f>IF(База_КР_КК[[#This Row],[Таб.номер резервиста]]="-","-",IF(OR(База_КР_КК[[#This Row],[Уровень КК]]=2,База_КР_КК[[#This Row],[Уровень КК]]=3),IF(COUNTIFS($U$2:$U3067,$U3067,$F$2:$F3067,$F3067)=1,1,0),IF(COUNTIFS($U$2:$U3067,$U3067,$L$2:$L3067,$L3067)=1,1,0)))</f>
        <v>0</v>
      </c>
      <c r="AA30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7" s="106"/>
      <c r="AC3067" s="51"/>
      <c r="AD3067" s="106" t="s">
        <v>13</v>
      </c>
      <c r="AE3067" s="38" t="s">
        <v>376</v>
      </c>
    </row>
    <row r="3068" spans="1:31" ht="18" customHeight="1" x14ac:dyDescent="0.25">
      <c r="A30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8" s="79">
        <v>4</v>
      </c>
      <c r="C3068" s="23">
        <v>44859</v>
      </c>
      <c r="D3068" s="67">
        <f>IF(COUNTIF($G$2:$G3068,$G3068)=1,1,0)</f>
        <v>0</v>
      </c>
      <c r="E3068" s="67" t="str">
        <f>IFERROR(VLOOKUP(База_КР_КК[[#This Row],[ИД штатной должности (S)]],'уровень защищенности'!$B$7:$F$1095,5,0),"не защищена")</f>
        <v>высокий</v>
      </c>
      <c r="F3068" s="68">
        <v>500162</v>
      </c>
      <c r="G3068" s="74" t="s">
        <v>2918</v>
      </c>
      <c r="H3068" s="181">
        <f>INDEX('Списки данных'!$D$2:$D$1048576,MATCH(База_КР_КК[[#This Row],[Структурное подразделение]],'Списки данных'!$C$2:$C$1048576,0))</f>
        <v>7</v>
      </c>
      <c r="I3068" s="80" t="s">
        <v>137</v>
      </c>
      <c r="J3068" s="80" t="s">
        <v>248</v>
      </c>
      <c r="K3068" s="80" t="s">
        <v>21</v>
      </c>
      <c r="L3068" s="30" t="s">
        <v>194</v>
      </c>
      <c r="M3068" s="68">
        <v>6</v>
      </c>
      <c r="N3068" s="181" t="str">
        <f t="shared" si="48"/>
        <v>нет</v>
      </c>
      <c r="O3068" s="23"/>
      <c r="P3068" s="23"/>
      <c r="Q3068" s="106"/>
      <c r="R3068" s="37">
        <v>739</v>
      </c>
      <c r="S3068" s="39" t="s">
        <v>1148</v>
      </c>
      <c r="T3068" s="37">
        <v>1826</v>
      </c>
      <c r="U3068" s="38" t="s">
        <v>1582</v>
      </c>
      <c r="V3068" s="89" t="s">
        <v>272</v>
      </c>
      <c r="W3068" s="89" t="s">
        <v>137</v>
      </c>
      <c r="X3068" s="106" t="s">
        <v>296</v>
      </c>
      <c r="Y3068" s="107" t="s">
        <v>12</v>
      </c>
      <c r="Z3068" s="67">
        <f>IF(База_КР_КК[[#This Row],[Таб.номер резервиста]]="-","-",IF(OR(База_КР_КК[[#This Row],[Уровень КК]]=2,База_КР_КК[[#This Row],[Уровень КК]]=3),IF(COUNTIFS($U$2:$U3068,$U3068,$F$2:$F3068,$F3068)=1,1,0),IF(COUNTIFS($U$2:$U3068,$U3068,$L$2:$L3068,$L3068)=1,1,0)))</f>
        <v>0</v>
      </c>
      <c r="AA30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8" s="106"/>
      <c r="AC3068" s="51"/>
      <c r="AD3068" s="106" t="s">
        <v>13</v>
      </c>
      <c r="AE3068" s="38" t="s">
        <v>376</v>
      </c>
    </row>
    <row r="3069" spans="1:31" ht="18" customHeight="1" x14ac:dyDescent="0.25">
      <c r="A30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69" s="79">
        <v>4</v>
      </c>
      <c r="C3069" s="23">
        <v>44469</v>
      </c>
      <c r="D3069" s="67">
        <f>IF(COUNTIF($G$2:$G3069,$G3069)=1,1,0)</f>
        <v>0</v>
      </c>
      <c r="E3069" s="67" t="str">
        <f>IFERROR(VLOOKUP(База_КР_КК[[#This Row],[ИД штатной должности (S)]],'уровень защищенности'!$B$7:$F$1095,5,0),"не защищена")</f>
        <v>высокий</v>
      </c>
      <c r="F3069" s="68">
        <v>500162</v>
      </c>
      <c r="G3069" s="74" t="s">
        <v>2918</v>
      </c>
      <c r="H3069" s="181">
        <f>INDEX('Списки данных'!$D$2:$D$1048576,MATCH(База_КР_КК[[#This Row],[Структурное подразделение]],'Списки данных'!$C$2:$C$1048576,0))</f>
        <v>7</v>
      </c>
      <c r="I3069" s="80" t="s">
        <v>137</v>
      </c>
      <c r="J3069" s="80" t="s">
        <v>248</v>
      </c>
      <c r="K3069" s="80" t="s">
        <v>21</v>
      </c>
      <c r="L3069" s="30" t="s">
        <v>194</v>
      </c>
      <c r="M3069" s="68">
        <v>6</v>
      </c>
      <c r="N3069" s="181" t="str">
        <f t="shared" si="48"/>
        <v>нет</v>
      </c>
      <c r="O3069" s="23"/>
      <c r="P3069" s="23"/>
      <c r="Q3069" s="106"/>
      <c r="R3069" s="37">
        <v>739</v>
      </c>
      <c r="S3069" s="38" t="s">
        <v>1148</v>
      </c>
      <c r="T3069" s="37">
        <v>737</v>
      </c>
      <c r="U3069" s="39" t="s">
        <v>1146</v>
      </c>
      <c r="V3069" s="69" t="s">
        <v>192</v>
      </c>
      <c r="W3069" s="89" t="s">
        <v>137</v>
      </c>
      <c r="X3069" s="106" t="s">
        <v>295</v>
      </c>
      <c r="Y3069" s="107" t="s">
        <v>14</v>
      </c>
      <c r="Z3069" s="67">
        <f>IF(База_КР_КК[[#This Row],[Таб.номер резервиста]]="-","-",IF(OR(База_КР_КК[[#This Row],[Уровень КК]]=2,База_КР_КК[[#This Row],[Уровень КК]]=3),IF(COUNTIFS($U$2:$U3069,$U3069,$F$2:$F3069,$F3069)=1,1,0),IF(COUNTIFS($U$2:$U3069,$U3069,$L$2:$L3069,$L3069)=1,1,0)))</f>
        <v>0</v>
      </c>
      <c r="AA30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69" s="106" t="s">
        <v>24</v>
      </c>
      <c r="AC3069" s="51">
        <v>44531</v>
      </c>
      <c r="AD3069" s="106" t="s">
        <v>15</v>
      </c>
      <c r="AE3069" s="38" t="s">
        <v>380</v>
      </c>
    </row>
    <row r="3070" spans="1:31" ht="18" customHeight="1" x14ac:dyDescent="0.25">
      <c r="A30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0" s="79">
        <v>3</v>
      </c>
      <c r="C3070" s="23">
        <v>44369</v>
      </c>
      <c r="D3070" s="67">
        <f>IF(COUNTIF($G$2:$G3070,$G3070)=1,1,0)</f>
        <v>1</v>
      </c>
      <c r="E3070" s="67" t="str">
        <f>IFERROR(VLOOKUP(База_КР_КК[[#This Row],[ИД штатной должности (S)]],'уровень защищенности'!$B$7:$F$1095,5,0),"не защищена")</f>
        <v>средний</v>
      </c>
      <c r="F3070" s="68">
        <v>500163</v>
      </c>
      <c r="G3070" s="74" t="s">
        <v>2919</v>
      </c>
      <c r="H3070" s="181">
        <f>INDEX('Списки данных'!$D$2:$D$1048576,MATCH(База_КР_КК[[#This Row],[Структурное подразделение]],'Списки данных'!$C$2:$C$1048576,0))</f>
        <v>7</v>
      </c>
      <c r="I3070" s="80" t="s">
        <v>137</v>
      </c>
      <c r="J3070" s="80" t="s">
        <v>248</v>
      </c>
      <c r="K3070" s="80" t="s">
        <v>21</v>
      </c>
      <c r="L3070" s="30" t="s">
        <v>187</v>
      </c>
      <c r="M3070" s="68">
        <v>5</v>
      </c>
      <c r="N3070" s="181" t="str">
        <f t="shared" si="48"/>
        <v>да</v>
      </c>
      <c r="O3070" s="23">
        <v>43774</v>
      </c>
      <c r="P3070" s="23">
        <v>43774</v>
      </c>
      <c r="Q3070" s="106" t="s">
        <v>57</v>
      </c>
      <c r="R3070" s="37">
        <v>740</v>
      </c>
      <c r="S3070" s="38" t="s">
        <v>1149</v>
      </c>
      <c r="T3070" s="37">
        <v>743</v>
      </c>
      <c r="U3070" s="39" t="s">
        <v>1152</v>
      </c>
      <c r="V3070" s="69" t="s">
        <v>193</v>
      </c>
      <c r="W3070" s="89" t="s">
        <v>137</v>
      </c>
      <c r="X3070" s="106" t="s">
        <v>297</v>
      </c>
      <c r="Y3070" s="107" t="s">
        <v>12</v>
      </c>
      <c r="Z3070" s="67">
        <f>IF(База_КР_КК[[#This Row],[Таб.номер резервиста]]="-","-",IF(OR(База_КР_КК[[#This Row],[Уровень КК]]=2,База_КР_КК[[#This Row],[Уровень КК]]=3),IF(COUNTIFS($U$2:$U3070,$U3070,$F$2:$F3070,$F3070)=1,1,0),IF(COUNTIFS($U$2:$U3070,$U3070,$L$2:$L3070,$L3070)=1,1,0)))</f>
        <v>1</v>
      </c>
      <c r="AA30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0" s="106"/>
      <c r="AC3070" s="51"/>
      <c r="AD3070" s="106" t="s">
        <v>13</v>
      </c>
      <c r="AE3070" s="38" t="s">
        <v>370</v>
      </c>
    </row>
    <row r="3071" spans="1:31" ht="18" customHeight="1" x14ac:dyDescent="0.25">
      <c r="A30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1" s="79">
        <v>3</v>
      </c>
      <c r="C3071" s="23">
        <v>43458</v>
      </c>
      <c r="D3071" s="67">
        <f>IF(COUNTIF($G$2:$G3071,$G3071)=1,1,0)</f>
        <v>0</v>
      </c>
      <c r="E3071" s="67" t="str">
        <f>IFERROR(VLOOKUP(База_КР_КК[[#This Row],[ИД штатной должности (S)]],'уровень защищенности'!$B$7:$F$1095,5,0),"не защищена")</f>
        <v>средний</v>
      </c>
      <c r="F3071" s="68">
        <v>500163</v>
      </c>
      <c r="G3071" s="74" t="s">
        <v>2919</v>
      </c>
      <c r="H3071" s="181">
        <f>INDEX('Списки данных'!$D$2:$D$1048576,MATCH(База_КР_КК[[#This Row],[Структурное подразделение]],'Списки данных'!$C$2:$C$1048576,0))</f>
        <v>7</v>
      </c>
      <c r="I3071" s="80" t="s">
        <v>137</v>
      </c>
      <c r="J3071" s="80" t="s">
        <v>248</v>
      </c>
      <c r="K3071" s="80" t="s">
        <v>21</v>
      </c>
      <c r="L3071" s="30" t="s">
        <v>187</v>
      </c>
      <c r="M3071" s="68">
        <v>5</v>
      </c>
      <c r="N3071" s="181" t="str">
        <f t="shared" ref="N3071:N3134" si="49">IF(ISBLANK(O3071),"нет","да")</f>
        <v>да</v>
      </c>
      <c r="O3071" s="23">
        <v>43774</v>
      </c>
      <c r="P3071" s="23">
        <v>43774</v>
      </c>
      <c r="Q3071" s="106" t="s">
        <v>66</v>
      </c>
      <c r="R3071" s="37">
        <v>740</v>
      </c>
      <c r="S3071" s="38" t="s">
        <v>1149</v>
      </c>
      <c r="T3071" s="37">
        <v>740</v>
      </c>
      <c r="U3071" s="39" t="s">
        <v>1149</v>
      </c>
      <c r="V3071" s="89" t="s">
        <v>187</v>
      </c>
      <c r="W3071" s="90" t="s">
        <v>137</v>
      </c>
      <c r="X3071" s="106" t="s">
        <v>295</v>
      </c>
      <c r="Y3071" s="107" t="s">
        <v>14</v>
      </c>
      <c r="Z3071" s="67">
        <f>IF(База_КР_КК[[#This Row],[Таб.номер резервиста]]="-","-",IF(OR(База_КР_КК[[#This Row],[Уровень КК]]=2,База_КР_КК[[#This Row],[Уровень КК]]=3),IF(COUNTIFS($U$2:$U3071,$U3071,$F$2:$F3071,$F3071)=1,1,0),IF(COUNTIFS($U$2:$U3071,$U3071,$L$2:$L3071,$L3071)=1,1,0)))</f>
        <v>1</v>
      </c>
      <c r="AA30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071" s="106" t="s">
        <v>24</v>
      </c>
      <c r="AC3071" s="51">
        <v>43774</v>
      </c>
      <c r="AD3071" s="106" t="s">
        <v>15</v>
      </c>
      <c r="AE3071" s="38" t="s">
        <v>375</v>
      </c>
    </row>
    <row r="3072" spans="1:31" ht="18" customHeight="1" x14ac:dyDescent="0.25">
      <c r="A30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2" s="79">
        <v>3</v>
      </c>
      <c r="C3072" s="23">
        <v>43458</v>
      </c>
      <c r="D3072" s="67">
        <f>IF(COUNTIF($G$2:$G3072,$G3072)=1,1,0)</f>
        <v>0</v>
      </c>
      <c r="E3072" s="67" t="str">
        <f>IFERROR(VLOOKUP(База_КР_КК[[#This Row],[ИД штатной должности (S)]],'уровень защищенности'!$B$7:$F$1095,5,0),"не защищена")</f>
        <v>средний</v>
      </c>
      <c r="F3072" s="68">
        <v>500163</v>
      </c>
      <c r="G3072" s="74" t="s">
        <v>2919</v>
      </c>
      <c r="H3072" s="181">
        <f>INDEX('Списки данных'!$D$2:$D$1048576,MATCH(База_КР_КК[[#This Row],[Структурное подразделение]],'Списки данных'!$C$2:$C$1048576,0))</f>
        <v>7</v>
      </c>
      <c r="I3072" s="80" t="s">
        <v>137</v>
      </c>
      <c r="J3072" s="80" t="s">
        <v>248</v>
      </c>
      <c r="K3072" s="80" t="s">
        <v>21</v>
      </c>
      <c r="L3072" s="30" t="s">
        <v>187</v>
      </c>
      <c r="M3072" s="68">
        <v>5</v>
      </c>
      <c r="N3072" s="181" t="str">
        <f t="shared" si="49"/>
        <v>да</v>
      </c>
      <c r="O3072" s="23">
        <v>43774</v>
      </c>
      <c r="P3072" s="23">
        <v>43774</v>
      </c>
      <c r="Q3072" s="106" t="s">
        <v>66</v>
      </c>
      <c r="R3072" s="37">
        <v>740</v>
      </c>
      <c r="S3072" s="38" t="s">
        <v>1149</v>
      </c>
      <c r="T3072" s="37">
        <v>742</v>
      </c>
      <c r="U3072" s="39" t="s">
        <v>1151</v>
      </c>
      <c r="V3072" s="89" t="s">
        <v>189</v>
      </c>
      <c r="W3072" s="90" t="s">
        <v>137</v>
      </c>
      <c r="X3072" s="106" t="s">
        <v>297</v>
      </c>
      <c r="Y3072" s="107" t="s">
        <v>18</v>
      </c>
      <c r="Z3072" s="67">
        <f>IF(База_КР_КК[[#This Row],[Таб.номер резервиста]]="-","-",IF(OR(База_КР_КК[[#This Row],[Уровень КК]]=2,База_КР_КК[[#This Row],[Уровень КК]]=3),IF(COUNTIFS($U$2:$U3072,$U3072,$F$2:$F3072,$F3072)=1,1,0),IF(COUNTIFS($U$2:$U3072,$U3072,$L$2:$L3072,$L3072)=1,1,0)))</f>
        <v>1</v>
      </c>
      <c r="AA30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2" s="106" t="s">
        <v>38</v>
      </c>
      <c r="AC3072" s="51">
        <v>43769</v>
      </c>
      <c r="AD3072" s="106" t="s">
        <v>31</v>
      </c>
      <c r="AE3072" s="38" t="s">
        <v>381</v>
      </c>
    </row>
    <row r="3073" spans="1:31" ht="18" customHeight="1" x14ac:dyDescent="0.25">
      <c r="A30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3" s="79">
        <v>3</v>
      </c>
      <c r="C3073" s="23">
        <v>44039</v>
      </c>
      <c r="D3073" s="67">
        <f>IF(COUNTIF($G$2:$G3073,$G3073)=1,1,0)</f>
        <v>0</v>
      </c>
      <c r="E3073" s="67" t="str">
        <f>IFERROR(VLOOKUP(База_КР_КК[[#This Row],[ИД штатной должности (S)]],'уровень защищенности'!$B$7:$F$1095,5,0),"не защищена")</f>
        <v>средний</v>
      </c>
      <c r="F3073" s="68">
        <v>500163</v>
      </c>
      <c r="G3073" s="74" t="s">
        <v>2919</v>
      </c>
      <c r="H3073" s="181">
        <f>INDEX('Списки данных'!$D$2:$D$1048576,MATCH(База_КР_КК[[#This Row],[Структурное подразделение]],'Списки данных'!$C$2:$C$1048576,0))</f>
        <v>7</v>
      </c>
      <c r="I3073" s="80" t="s">
        <v>137</v>
      </c>
      <c r="J3073" s="80" t="s">
        <v>248</v>
      </c>
      <c r="K3073" s="80" t="s">
        <v>21</v>
      </c>
      <c r="L3073" s="30" t="s">
        <v>187</v>
      </c>
      <c r="M3073" s="68">
        <v>5</v>
      </c>
      <c r="N3073" s="181" t="str">
        <f t="shared" si="49"/>
        <v>да</v>
      </c>
      <c r="O3073" s="23">
        <v>43774</v>
      </c>
      <c r="P3073" s="23">
        <v>43774</v>
      </c>
      <c r="Q3073" s="106" t="s">
        <v>66</v>
      </c>
      <c r="R3073" s="37">
        <v>740</v>
      </c>
      <c r="S3073" s="38" t="s">
        <v>1149</v>
      </c>
      <c r="T3073" s="37">
        <v>1827</v>
      </c>
      <c r="U3073" s="39" t="s">
        <v>2066</v>
      </c>
      <c r="V3073" s="89" t="s">
        <v>198</v>
      </c>
      <c r="W3073" s="89" t="s">
        <v>137</v>
      </c>
      <c r="X3073" s="106" t="s">
        <v>296</v>
      </c>
      <c r="Y3073" s="107" t="s">
        <v>18</v>
      </c>
      <c r="Z3073" s="67">
        <f>IF(База_КР_КК[[#This Row],[Таб.номер резервиста]]="-","-",IF(OR(База_КР_КК[[#This Row],[Уровень КК]]=2,База_КР_КК[[#This Row],[Уровень КК]]=3),IF(COUNTIFS($U$2:$U3073,$U3073,$F$2:$F3073,$F3073)=1,1,0),IF(COUNTIFS($U$2:$U3073,$U3073,$L$2:$L3073,$L3073)=1,1,0)))</f>
        <v>1</v>
      </c>
      <c r="AA30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3" s="106" t="s">
        <v>19</v>
      </c>
      <c r="AC3073" s="51">
        <v>44162</v>
      </c>
      <c r="AD3073" s="106" t="s">
        <v>15</v>
      </c>
      <c r="AE3073" s="38" t="s">
        <v>332</v>
      </c>
    </row>
    <row r="3074" spans="1:31" ht="18" customHeight="1" x14ac:dyDescent="0.25">
      <c r="A30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4" s="79">
        <v>3</v>
      </c>
      <c r="C3074" s="23">
        <v>44176</v>
      </c>
      <c r="D3074" s="67">
        <f>IF(COUNTIF($G$2:$G3074,$G3074)=1,1,0)</f>
        <v>1</v>
      </c>
      <c r="E3074" s="67" t="str">
        <f>IFERROR(VLOOKUP(База_КР_КК[[#This Row],[ИД штатной должности (S)]],'уровень защищенности'!$B$7:$F$1095,5,0),"не защищена")</f>
        <v>высокий</v>
      </c>
      <c r="F3074" s="68">
        <v>500164</v>
      </c>
      <c r="G3074" s="74" t="s">
        <v>2920</v>
      </c>
      <c r="H3074" s="181">
        <f>INDEX('Списки данных'!$D$2:$D$1048576,MATCH(База_КР_КК[[#This Row],[Структурное подразделение]],'Списки данных'!$C$2:$C$1048576,0))</f>
        <v>7</v>
      </c>
      <c r="I3074" s="80" t="s">
        <v>137</v>
      </c>
      <c r="J3074" s="80" t="s">
        <v>248</v>
      </c>
      <c r="K3074" s="80" t="s">
        <v>21</v>
      </c>
      <c r="L3074" s="30" t="s">
        <v>189</v>
      </c>
      <c r="M3074" s="68">
        <v>6</v>
      </c>
      <c r="N3074" s="181" t="str">
        <f t="shared" si="49"/>
        <v>нет</v>
      </c>
      <c r="O3074" s="23"/>
      <c r="P3074" s="23"/>
      <c r="Q3074" s="106"/>
      <c r="R3074" s="37">
        <v>741</v>
      </c>
      <c r="S3074" s="38" t="s">
        <v>1150</v>
      </c>
      <c r="T3074" s="37">
        <v>756</v>
      </c>
      <c r="U3074" s="39" t="s">
        <v>1165</v>
      </c>
      <c r="V3074" s="89" t="s">
        <v>192</v>
      </c>
      <c r="W3074" s="89" t="s">
        <v>137</v>
      </c>
      <c r="X3074" s="106" t="s">
        <v>295</v>
      </c>
      <c r="Y3074" s="107" t="s">
        <v>12</v>
      </c>
      <c r="Z3074" s="67">
        <f>IF(База_КР_КК[[#This Row],[Таб.номер резервиста]]="-","-",IF(OR(База_КР_КК[[#This Row],[Уровень КК]]=2,База_КР_КК[[#This Row],[Уровень КК]]=3),IF(COUNTIFS($U$2:$U3074,$U3074,$F$2:$F3074,$F3074)=1,1,0),IF(COUNTIFS($U$2:$U3074,$U3074,$L$2:$L3074,$L3074)=1,1,0)))</f>
        <v>1</v>
      </c>
      <c r="AA30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4" s="106"/>
      <c r="AC3074" s="51"/>
      <c r="AD3074" s="106" t="s">
        <v>13</v>
      </c>
      <c r="AE3074" s="38" t="s">
        <v>370</v>
      </c>
    </row>
    <row r="3075" spans="1:31" ht="18" customHeight="1" x14ac:dyDescent="0.25">
      <c r="A30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5" s="79">
        <v>3</v>
      </c>
      <c r="C3075" s="23">
        <v>44176</v>
      </c>
      <c r="D3075" s="67">
        <f>IF(COUNTIF($G$2:$G3075,$G3075)=1,1,0)</f>
        <v>1</v>
      </c>
      <c r="E3075" s="67" t="str">
        <f>IFERROR(VLOOKUP(База_КР_КК[[#This Row],[ИД штатной должности (S)]],'уровень защищенности'!$B$7:$F$1095,5,0),"не защищена")</f>
        <v>не защищена</v>
      </c>
      <c r="F3075" s="68">
        <v>500165</v>
      </c>
      <c r="G3075" s="74" t="s">
        <v>2921</v>
      </c>
      <c r="H3075" s="181">
        <f>INDEX('Списки данных'!$D$2:$D$1048576,MATCH(База_КР_КК[[#This Row],[Структурное подразделение]],'Списки данных'!$C$2:$C$1048576,0))</f>
        <v>7</v>
      </c>
      <c r="I3075" s="80" t="s">
        <v>137</v>
      </c>
      <c r="J3075" s="80" t="s">
        <v>248</v>
      </c>
      <c r="K3075" s="80" t="s">
        <v>21</v>
      </c>
      <c r="L3075" s="30" t="s">
        <v>189</v>
      </c>
      <c r="M3075" s="68">
        <v>6</v>
      </c>
      <c r="N3075" s="181" t="str">
        <f t="shared" si="49"/>
        <v>да</v>
      </c>
      <c r="O3075" s="23">
        <v>44842</v>
      </c>
      <c r="P3075" s="23"/>
      <c r="Q3075" s="106"/>
      <c r="R3075" s="37" t="s">
        <v>23</v>
      </c>
      <c r="S3075" s="37" t="s">
        <v>23</v>
      </c>
      <c r="T3075" s="37">
        <v>1764</v>
      </c>
      <c r="U3075" s="39" t="s">
        <v>1457</v>
      </c>
      <c r="V3075" s="89" t="s">
        <v>198</v>
      </c>
      <c r="W3075" s="89" t="s">
        <v>137</v>
      </c>
      <c r="X3075" s="106" t="s">
        <v>295</v>
      </c>
      <c r="Y3075" s="107" t="s">
        <v>18</v>
      </c>
      <c r="Z3075" s="67">
        <f>IF(База_КР_КК[[#This Row],[Таб.номер резервиста]]="-","-",IF(OR(База_КР_КК[[#This Row],[Уровень КК]]=2,База_КР_КК[[#This Row],[Уровень КК]]=3),IF(COUNTIFS($U$2:$U3075,$U3075,$F$2:$F3075,$F3075)=1,1,0),IF(COUNTIFS($U$2:$U3075,$U3075,$L$2:$L3075,$L3075)=1,1,0)))</f>
        <v>1</v>
      </c>
      <c r="AA30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5" s="106" t="s">
        <v>19</v>
      </c>
      <c r="AC3075" s="51">
        <v>44845</v>
      </c>
      <c r="AD3075" s="106" t="s">
        <v>13</v>
      </c>
      <c r="AE3075" s="38" t="s">
        <v>370</v>
      </c>
    </row>
    <row r="3076" spans="1:31" ht="18" customHeight="1" x14ac:dyDescent="0.25">
      <c r="A30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6" s="79">
        <v>3</v>
      </c>
      <c r="C3076" s="23">
        <v>44176</v>
      </c>
      <c r="D3076" s="67">
        <f>IF(COUNTIF($G$2:$G3076,$G3076)=1,1,0)</f>
        <v>1</v>
      </c>
      <c r="E3076" s="67" t="str">
        <f>IFERROR(VLOOKUP(База_КР_КК[[#This Row],[ИД штатной должности (S)]],'уровень защищенности'!$B$7:$F$1095,5,0),"не защищена")</f>
        <v>высокий</v>
      </c>
      <c r="F3076" s="68">
        <v>500166</v>
      </c>
      <c r="G3076" s="74" t="s">
        <v>2922</v>
      </c>
      <c r="H3076" s="181">
        <f>INDEX('Списки данных'!$D$2:$D$1048576,MATCH(База_КР_КК[[#This Row],[Структурное подразделение]],'Списки данных'!$C$2:$C$1048576,0))</f>
        <v>7</v>
      </c>
      <c r="I3076" s="80" t="s">
        <v>137</v>
      </c>
      <c r="J3076" s="80" t="s">
        <v>248</v>
      </c>
      <c r="K3076" s="80" t="s">
        <v>21</v>
      </c>
      <c r="L3076" s="30" t="s">
        <v>189</v>
      </c>
      <c r="M3076" s="68">
        <v>6</v>
      </c>
      <c r="N3076" s="181" t="str">
        <f t="shared" si="49"/>
        <v>нет</v>
      </c>
      <c r="O3076" s="23"/>
      <c r="P3076" s="23"/>
      <c r="Q3076" s="106"/>
      <c r="R3076" s="37">
        <v>742</v>
      </c>
      <c r="S3076" s="38" t="s">
        <v>1151</v>
      </c>
      <c r="T3076" s="37">
        <v>826</v>
      </c>
      <c r="U3076" s="39" t="s">
        <v>1235</v>
      </c>
      <c r="V3076" s="89" t="s">
        <v>198</v>
      </c>
      <c r="W3076" s="89" t="s">
        <v>137</v>
      </c>
      <c r="X3076" s="106" t="s">
        <v>295</v>
      </c>
      <c r="Y3076" s="107" t="s">
        <v>12</v>
      </c>
      <c r="Z3076" s="67">
        <f>IF(База_КР_КК[[#This Row],[Таб.номер резервиста]]="-","-",IF(OR(База_КР_КК[[#This Row],[Уровень КК]]=2,База_КР_КК[[#This Row],[Уровень КК]]=3),IF(COUNTIFS($U$2:$U3076,$U3076,$F$2:$F3076,$F3076)=1,1,0),IF(COUNTIFS($U$2:$U3076,$U3076,$L$2:$L3076,$L3076)=1,1,0)))</f>
        <v>1</v>
      </c>
      <c r="AA30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6" s="106"/>
      <c r="AC3076" s="51"/>
      <c r="AD3076" s="106" t="s">
        <v>13</v>
      </c>
      <c r="AE3076" s="38" t="s">
        <v>370</v>
      </c>
    </row>
    <row r="3077" spans="1:31" ht="18" customHeight="1" x14ac:dyDescent="0.25">
      <c r="A30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7" s="79">
        <v>4</v>
      </c>
      <c r="C3077" s="23">
        <v>44125</v>
      </c>
      <c r="D3077" s="67">
        <f>IF(COUNTIF($G$2:$G3077,$G3077)=1,1,0)</f>
        <v>1</v>
      </c>
      <c r="E3077" s="67" t="str">
        <f>IFERROR(VLOOKUP(База_КР_КК[[#This Row],[ИД штатной должности (S)]],'уровень защищенности'!$B$7:$F$1095,5,0),"не защищена")</f>
        <v>средний</v>
      </c>
      <c r="F3077" s="68">
        <v>500167</v>
      </c>
      <c r="G3077" s="74" t="s">
        <v>2923</v>
      </c>
      <c r="H3077" s="181">
        <f>INDEX('Списки данных'!$D$2:$D$1048576,MATCH(База_КР_КК[[#This Row],[Структурное подразделение]],'Списки данных'!$C$2:$C$1048576,0))</f>
        <v>7</v>
      </c>
      <c r="I3077" s="80" t="s">
        <v>137</v>
      </c>
      <c r="J3077" s="80" t="s">
        <v>248</v>
      </c>
      <c r="K3077" s="80" t="s">
        <v>249</v>
      </c>
      <c r="L3077" s="30" t="s">
        <v>193</v>
      </c>
      <c r="M3077" s="68">
        <v>6</v>
      </c>
      <c r="N3077" s="181" t="str">
        <f t="shared" si="49"/>
        <v>нет</v>
      </c>
      <c r="O3077" s="23"/>
      <c r="P3077" s="23"/>
      <c r="Q3077" s="106"/>
      <c r="R3077" s="37">
        <v>743</v>
      </c>
      <c r="S3077" s="37" t="s">
        <v>1152</v>
      </c>
      <c r="T3077" s="37">
        <v>1828</v>
      </c>
      <c r="U3077" s="39" t="s">
        <v>2067</v>
      </c>
      <c r="V3077" s="89" t="s">
        <v>16</v>
      </c>
      <c r="W3077" s="89" t="s">
        <v>137</v>
      </c>
      <c r="X3077" s="106" t="s">
        <v>297</v>
      </c>
      <c r="Y3077" s="107" t="s">
        <v>12</v>
      </c>
      <c r="Z3077" s="67">
        <f>IF(База_КР_КК[[#This Row],[Таб.номер резервиста]]="-","-",IF(OR(База_КР_КК[[#This Row],[Уровень КК]]=2,База_КР_КК[[#This Row],[Уровень КК]]=3),IF(COUNTIFS($U$2:$U3077,$U3077,$F$2:$F3077,$F3077)=1,1,0),IF(COUNTIFS($U$2:$U3077,$U3077,$L$2:$L3077,$L3077)=1,1,0)))</f>
        <v>1</v>
      </c>
      <c r="AA30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7" s="106"/>
      <c r="AC3077" s="51"/>
      <c r="AD3077" s="106" t="s">
        <v>13</v>
      </c>
      <c r="AE3077" s="38" t="s">
        <v>376</v>
      </c>
    </row>
    <row r="3078" spans="1:31" ht="18" customHeight="1" x14ac:dyDescent="0.25">
      <c r="A30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8" s="79">
        <v>4</v>
      </c>
      <c r="C3078" s="23">
        <v>44125</v>
      </c>
      <c r="D3078" s="67">
        <f>IF(COUNTIF($G$2:$G3078,$G3078)=1,1,0)</f>
        <v>1</v>
      </c>
      <c r="E3078" s="67" t="str">
        <f>IFERROR(VLOOKUP(База_КР_КК[[#This Row],[ИД штатной должности (S)]],'уровень защищенности'!$B$7:$F$1095,5,0),"не защищена")</f>
        <v>высокий</v>
      </c>
      <c r="F3078" s="68">
        <v>500168</v>
      </c>
      <c r="G3078" s="74" t="s">
        <v>2924</v>
      </c>
      <c r="H3078" s="181">
        <f>INDEX('Списки данных'!$D$2:$D$1048576,MATCH(База_КР_КК[[#This Row],[Структурное подразделение]],'Списки данных'!$C$2:$C$1048576,0))</f>
        <v>7</v>
      </c>
      <c r="I3078" s="80" t="s">
        <v>137</v>
      </c>
      <c r="J3078" s="80" t="s">
        <v>248</v>
      </c>
      <c r="K3078" s="80" t="s">
        <v>249</v>
      </c>
      <c r="L3078" s="30" t="s">
        <v>193</v>
      </c>
      <c r="M3078" s="68">
        <v>6</v>
      </c>
      <c r="N3078" s="181" t="str">
        <f t="shared" si="49"/>
        <v>нет</v>
      </c>
      <c r="O3078" s="23"/>
      <c r="P3078" s="23"/>
      <c r="Q3078" s="106"/>
      <c r="R3078" s="37">
        <v>744</v>
      </c>
      <c r="S3078" s="37" t="s">
        <v>1153</v>
      </c>
      <c r="T3078" s="37">
        <v>1829</v>
      </c>
      <c r="U3078" s="39" t="s">
        <v>2068</v>
      </c>
      <c r="V3078" s="89" t="s">
        <v>16</v>
      </c>
      <c r="W3078" s="89" t="s">
        <v>137</v>
      </c>
      <c r="X3078" s="106" t="s">
        <v>295</v>
      </c>
      <c r="Y3078" s="107" t="s">
        <v>12</v>
      </c>
      <c r="Z3078" s="67">
        <f>IF(База_КР_КК[[#This Row],[Таб.номер резервиста]]="-","-",IF(OR(База_КР_КК[[#This Row],[Уровень КК]]=2,База_КР_КК[[#This Row],[Уровень КК]]=3),IF(COUNTIFS($U$2:$U3078,$U3078,$F$2:$F3078,$F3078)=1,1,0),IF(COUNTIFS($U$2:$U3078,$U3078,$L$2:$L3078,$L3078)=1,1,0)))</f>
        <v>1</v>
      </c>
      <c r="AA30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8" s="106"/>
      <c r="AC3078" s="51"/>
      <c r="AD3078" s="106" t="s">
        <v>13</v>
      </c>
      <c r="AE3078" s="38" t="s">
        <v>376</v>
      </c>
    </row>
    <row r="3079" spans="1:31" ht="18" customHeight="1" x14ac:dyDescent="0.25">
      <c r="A30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79" s="79">
        <v>4</v>
      </c>
      <c r="C3079" s="23">
        <v>44125</v>
      </c>
      <c r="D3079" s="67">
        <f>IF(COUNTIF($G$2:$G3079,$G3079)=1,1,0)</f>
        <v>1</v>
      </c>
      <c r="E3079" s="67" t="str">
        <f>IFERROR(VLOOKUP(База_КР_КК[[#This Row],[ИД штатной должности (S)]],'уровень защищенности'!$B$7:$F$1095,5,0),"не защищена")</f>
        <v>высокий</v>
      </c>
      <c r="F3079" s="68">
        <v>500170</v>
      </c>
      <c r="G3079" s="74" t="s">
        <v>2925</v>
      </c>
      <c r="H3079" s="181">
        <f>INDEX('Списки данных'!$D$2:$D$1048576,MATCH(База_КР_КК[[#This Row],[Структурное подразделение]],'Списки данных'!$C$2:$C$1048576,0))</f>
        <v>7</v>
      </c>
      <c r="I3079" s="80" t="s">
        <v>137</v>
      </c>
      <c r="J3079" s="80" t="s">
        <v>248</v>
      </c>
      <c r="K3079" s="80" t="s">
        <v>249</v>
      </c>
      <c r="L3079" s="30" t="s">
        <v>191</v>
      </c>
      <c r="M3079" s="68">
        <v>6</v>
      </c>
      <c r="N3079" s="181" t="str">
        <f t="shared" si="49"/>
        <v>нет</v>
      </c>
      <c r="O3079" s="23"/>
      <c r="P3079" s="23"/>
      <c r="Q3079" s="106"/>
      <c r="R3079" s="37">
        <v>745</v>
      </c>
      <c r="S3079" s="37" t="s">
        <v>1154</v>
      </c>
      <c r="T3079" s="37">
        <v>1830</v>
      </c>
      <c r="U3079" s="39" t="s">
        <v>2069</v>
      </c>
      <c r="V3079" s="89" t="s">
        <v>272</v>
      </c>
      <c r="W3079" s="89" t="s">
        <v>137</v>
      </c>
      <c r="X3079" s="106" t="s">
        <v>297</v>
      </c>
      <c r="Y3079" s="107" t="s">
        <v>12</v>
      </c>
      <c r="Z3079" s="67">
        <f>IF(База_КР_КК[[#This Row],[Таб.номер резервиста]]="-","-",IF(OR(База_КР_КК[[#This Row],[Уровень КК]]=2,База_КР_КК[[#This Row],[Уровень КК]]=3),IF(COUNTIFS($U$2:$U3079,$U3079,$F$2:$F3079,$F3079)=1,1,0),IF(COUNTIFS($U$2:$U3079,$U3079,$L$2:$L3079,$L3079)=1,1,0)))</f>
        <v>1</v>
      </c>
      <c r="AA30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79" s="106"/>
      <c r="AC3079" s="51"/>
      <c r="AD3079" s="106" t="s">
        <v>17</v>
      </c>
      <c r="AE3079" s="38" t="s">
        <v>376</v>
      </c>
    </row>
    <row r="3080" spans="1:31" ht="18" customHeight="1" x14ac:dyDescent="0.25">
      <c r="A30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0" s="79">
        <v>4</v>
      </c>
      <c r="C3080" s="23">
        <v>44125</v>
      </c>
      <c r="D3080" s="67">
        <f>IF(COUNTIF($G$2:$G3080,$G3080)=1,1,0)</f>
        <v>0</v>
      </c>
      <c r="E3080" s="67" t="str">
        <f>IFERROR(VLOOKUP(База_КР_КК[[#This Row],[ИД штатной должности (S)]],'уровень защищенности'!$B$7:$F$1095,5,0),"не защищена")</f>
        <v>высокий</v>
      </c>
      <c r="F3080" s="68">
        <v>500170</v>
      </c>
      <c r="G3080" s="74" t="s">
        <v>2925</v>
      </c>
      <c r="H3080" s="181">
        <f>INDEX('Списки данных'!$D$2:$D$1048576,MATCH(База_КР_КК[[#This Row],[Структурное подразделение]],'Списки данных'!$C$2:$C$1048576,0))</f>
        <v>7</v>
      </c>
      <c r="I3080" s="80" t="s">
        <v>137</v>
      </c>
      <c r="J3080" s="80" t="s">
        <v>248</v>
      </c>
      <c r="K3080" s="80" t="s">
        <v>249</v>
      </c>
      <c r="L3080" s="30" t="s">
        <v>191</v>
      </c>
      <c r="M3080" s="68">
        <v>6</v>
      </c>
      <c r="N3080" s="181" t="str">
        <f t="shared" si="49"/>
        <v>нет</v>
      </c>
      <c r="O3080" s="23"/>
      <c r="P3080" s="23"/>
      <c r="Q3080" s="106"/>
      <c r="R3080" s="37">
        <v>745</v>
      </c>
      <c r="S3080" s="38" t="s">
        <v>1154</v>
      </c>
      <c r="T3080" s="37">
        <v>1831</v>
      </c>
      <c r="U3080" s="39" t="s">
        <v>1626</v>
      </c>
      <c r="V3080" s="89" t="s">
        <v>272</v>
      </c>
      <c r="W3080" s="89" t="s">
        <v>137</v>
      </c>
      <c r="X3080" s="106" t="s">
        <v>297</v>
      </c>
      <c r="Y3080" s="107" t="s">
        <v>12</v>
      </c>
      <c r="Z3080" s="67">
        <f>IF(База_КР_КК[[#This Row],[Таб.номер резервиста]]="-","-",IF(OR(База_КР_КК[[#This Row],[Уровень КК]]=2,База_КР_КК[[#This Row],[Уровень КК]]=3),IF(COUNTIFS($U$2:$U3080,$U3080,$F$2:$F3080,$F3080)=1,1,0),IF(COUNTIFS($U$2:$U3080,$U3080,$L$2:$L3080,$L3080)=1,1,0)))</f>
        <v>1</v>
      </c>
      <c r="AA30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0" s="106"/>
      <c r="AC3080" s="51"/>
      <c r="AD3080" s="106" t="s">
        <v>17</v>
      </c>
      <c r="AE3080" s="38" t="s">
        <v>376</v>
      </c>
    </row>
    <row r="3081" spans="1:31" ht="18" customHeight="1" x14ac:dyDescent="0.25">
      <c r="A30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1" s="79">
        <v>4</v>
      </c>
      <c r="C3081" s="23">
        <v>44125</v>
      </c>
      <c r="D3081" s="67">
        <f>IF(COUNTIF($G$2:$G3081,$G3081)=1,1,0)</f>
        <v>0</v>
      </c>
      <c r="E3081" s="67" t="str">
        <f>IFERROR(VLOOKUP(База_КР_КК[[#This Row],[ИД штатной должности (S)]],'уровень защищенности'!$B$7:$F$1095,5,0),"не защищена")</f>
        <v>высокий</v>
      </c>
      <c r="F3081" s="68">
        <v>500170</v>
      </c>
      <c r="G3081" s="74" t="s">
        <v>2925</v>
      </c>
      <c r="H3081" s="181">
        <f>INDEX('Списки данных'!$D$2:$D$1048576,MATCH(База_КР_КК[[#This Row],[Структурное подразделение]],'Списки данных'!$C$2:$C$1048576,0))</f>
        <v>7</v>
      </c>
      <c r="I3081" s="80" t="s">
        <v>137</v>
      </c>
      <c r="J3081" s="80" t="s">
        <v>248</v>
      </c>
      <c r="K3081" s="80" t="s">
        <v>249</v>
      </c>
      <c r="L3081" s="30" t="s">
        <v>191</v>
      </c>
      <c r="M3081" s="68">
        <v>6</v>
      </c>
      <c r="N3081" s="181" t="str">
        <f t="shared" si="49"/>
        <v>нет</v>
      </c>
      <c r="O3081" s="23"/>
      <c r="P3081" s="23"/>
      <c r="Q3081" s="106"/>
      <c r="R3081" s="37">
        <v>745</v>
      </c>
      <c r="S3081" s="38" t="s">
        <v>1154</v>
      </c>
      <c r="T3081" s="37">
        <v>1832</v>
      </c>
      <c r="U3081" s="39" t="s">
        <v>2070</v>
      </c>
      <c r="V3081" s="89" t="s">
        <v>272</v>
      </c>
      <c r="W3081" s="89" t="s">
        <v>137</v>
      </c>
      <c r="X3081" s="106" t="s">
        <v>297</v>
      </c>
      <c r="Y3081" s="107" t="s">
        <v>12</v>
      </c>
      <c r="Z3081" s="67">
        <f>IF(База_КР_КК[[#This Row],[Таб.номер резервиста]]="-","-",IF(OR(База_КР_КК[[#This Row],[Уровень КК]]=2,База_КР_КК[[#This Row],[Уровень КК]]=3),IF(COUNTIFS($U$2:$U3081,$U3081,$F$2:$F3081,$F3081)=1,1,0),IF(COUNTIFS($U$2:$U3081,$U3081,$L$2:$L3081,$L3081)=1,1,0)))</f>
        <v>1</v>
      </c>
      <c r="AA30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1" s="106"/>
      <c r="AC3081" s="51"/>
      <c r="AD3081" s="106" t="s">
        <v>17</v>
      </c>
      <c r="AE3081" s="38" t="s">
        <v>376</v>
      </c>
    </row>
    <row r="3082" spans="1:31" ht="18" customHeight="1" x14ac:dyDescent="0.25">
      <c r="A30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2" s="79">
        <v>4</v>
      </c>
      <c r="C3082" s="23">
        <v>44469</v>
      </c>
      <c r="D3082" s="67">
        <f>IF(COUNTIF($G$2:$G3082,$G3082)=1,1,0)</f>
        <v>0</v>
      </c>
      <c r="E3082" s="67" t="str">
        <f>IFERROR(VLOOKUP(База_КР_КК[[#This Row],[ИД штатной должности (S)]],'уровень защищенности'!$B$7:$F$1095,5,0),"не защищена")</f>
        <v>высокий</v>
      </c>
      <c r="F3082" s="68">
        <v>500170</v>
      </c>
      <c r="G3082" s="74" t="s">
        <v>2925</v>
      </c>
      <c r="H3082" s="181">
        <f>INDEX('Списки данных'!$D$2:$D$1048576,MATCH(База_КР_КК[[#This Row],[Структурное подразделение]],'Списки данных'!$C$2:$C$1048576,0))</f>
        <v>7</v>
      </c>
      <c r="I3082" s="80" t="s">
        <v>137</v>
      </c>
      <c r="J3082" s="80" t="s">
        <v>248</v>
      </c>
      <c r="K3082" s="80" t="s">
        <v>249</v>
      </c>
      <c r="L3082" s="30" t="s">
        <v>191</v>
      </c>
      <c r="M3082" s="68">
        <v>6</v>
      </c>
      <c r="N3082" s="181" t="str">
        <f t="shared" si="49"/>
        <v>нет</v>
      </c>
      <c r="O3082" s="23"/>
      <c r="P3082" s="23"/>
      <c r="Q3082" s="106"/>
      <c r="R3082" s="37">
        <v>745</v>
      </c>
      <c r="S3082" s="38" t="s">
        <v>1154</v>
      </c>
      <c r="T3082" s="37">
        <v>1833</v>
      </c>
      <c r="U3082" s="39" t="s">
        <v>2071</v>
      </c>
      <c r="V3082" s="69" t="s">
        <v>272</v>
      </c>
      <c r="W3082" s="89" t="s">
        <v>137</v>
      </c>
      <c r="X3082" s="106" t="s">
        <v>297</v>
      </c>
      <c r="Y3082" s="107" t="s">
        <v>12</v>
      </c>
      <c r="Z3082" s="67">
        <f>IF(База_КР_КК[[#This Row],[Таб.номер резервиста]]="-","-",IF(OR(База_КР_КК[[#This Row],[Уровень КК]]=2,База_КР_КК[[#This Row],[Уровень КК]]=3),IF(COUNTIFS($U$2:$U3082,$U3082,$F$2:$F3082,$F3082)=1,1,0),IF(COUNTIFS($U$2:$U3082,$U3082,$L$2:$L3082,$L3082)=1,1,0)))</f>
        <v>1</v>
      </c>
      <c r="AA30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2" s="106"/>
      <c r="AC3082" s="51"/>
      <c r="AD3082" s="106" t="s">
        <v>17</v>
      </c>
      <c r="AE3082" s="38" t="s">
        <v>376</v>
      </c>
    </row>
    <row r="3083" spans="1:31" ht="18" customHeight="1" x14ac:dyDescent="0.25">
      <c r="A30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3" s="79">
        <v>4</v>
      </c>
      <c r="C3083" s="23">
        <v>44859</v>
      </c>
      <c r="D3083" s="67">
        <f>IF(COUNTIF($G$2:$G3083,$G3083)=1,1,0)</f>
        <v>0</v>
      </c>
      <c r="E3083" s="67" t="str">
        <f>IFERROR(VLOOKUP(База_КР_КК[[#This Row],[ИД штатной должности (S)]],'уровень защищенности'!$B$7:$F$1095,5,0),"не защищена")</f>
        <v>высокий</v>
      </c>
      <c r="F3083" s="68">
        <v>500170</v>
      </c>
      <c r="G3083" s="74" t="s">
        <v>2925</v>
      </c>
      <c r="H3083" s="181">
        <f>INDEX('Списки данных'!$D$2:$D$1048576,MATCH(База_КР_КК[[#This Row],[Структурное подразделение]],'Списки данных'!$C$2:$C$1048576,0))</f>
        <v>7</v>
      </c>
      <c r="I3083" s="80" t="s">
        <v>137</v>
      </c>
      <c r="J3083" s="80" t="s">
        <v>248</v>
      </c>
      <c r="K3083" s="80" t="s">
        <v>249</v>
      </c>
      <c r="L3083" s="30" t="s">
        <v>191</v>
      </c>
      <c r="M3083" s="68">
        <v>6</v>
      </c>
      <c r="N3083" s="181" t="str">
        <f t="shared" si="49"/>
        <v>нет</v>
      </c>
      <c r="O3083" s="23"/>
      <c r="P3083" s="23"/>
      <c r="Q3083" s="106"/>
      <c r="R3083" s="37">
        <v>745</v>
      </c>
      <c r="S3083" s="39" t="s">
        <v>1154</v>
      </c>
      <c r="T3083" s="37">
        <v>1834</v>
      </c>
      <c r="U3083" s="38" t="s">
        <v>1851</v>
      </c>
      <c r="V3083" s="89" t="s">
        <v>272</v>
      </c>
      <c r="W3083" s="89" t="s">
        <v>137</v>
      </c>
      <c r="X3083" s="106" t="s">
        <v>296</v>
      </c>
      <c r="Y3083" s="107" t="s">
        <v>12</v>
      </c>
      <c r="Z3083" s="67">
        <f>IF(База_КР_КК[[#This Row],[Таб.номер резервиста]]="-","-",IF(OR(База_КР_КК[[#This Row],[Уровень КК]]=2,База_КР_КК[[#This Row],[Уровень КК]]=3),IF(COUNTIFS($U$2:$U3083,$U3083,$F$2:$F3083,$F3083)=1,1,0),IF(COUNTIFS($U$2:$U3083,$U3083,$L$2:$L3083,$L3083)=1,1,0)))</f>
        <v>1</v>
      </c>
      <c r="AA30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3" s="106"/>
      <c r="AC3083" s="51"/>
      <c r="AD3083" s="106" t="s">
        <v>15</v>
      </c>
      <c r="AE3083" s="38" t="s">
        <v>376</v>
      </c>
    </row>
    <row r="3084" spans="1:31" ht="18" customHeight="1" x14ac:dyDescent="0.25">
      <c r="A30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4" s="79">
        <v>4</v>
      </c>
      <c r="C3084" s="23">
        <v>44859</v>
      </c>
      <c r="D3084" s="67">
        <f>IF(COUNTIF($G$2:$G3084,$G3084)=1,1,0)</f>
        <v>0</v>
      </c>
      <c r="E3084" s="67" t="str">
        <f>IFERROR(VLOOKUP(База_КР_КК[[#This Row],[ИД штатной должности (S)]],'уровень защищенности'!$B$7:$F$1095,5,0),"не защищена")</f>
        <v>высокий</v>
      </c>
      <c r="F3084" s="68">
        <v>500170</v>
      </c>
      <c r="G3084" s="74" t="s">
        <v>2925</v>
      </c>
      <c r="H3084" s="181">
        <f>INDEX('Списки данных'!$D$2:$D$1048576,MATCH(База_КР_КК[[#This Row],[Структурное подразделение]],'Списки данных'!$C$2:$C$1048576,0))</f>
        <v>7</v>
      </c>
      <c r="I3084" s="80" t="s">
        <v>137</v>
      </c>
      <c r="J3084" s="80" t="s">
        <v>248</v>
      </c>
      <c r="K3084" s="80" t="s">
        <v>249</v>
      </c>
      <c r="L3084" s="30" t="s">
        <v>191</v>
      </c>
      <c r="M3084" s="68">
        <v>6</v>
      </c>
      <c r="N3084" s="181" t="str">
        <f t="shared" si="49"/>
        <v>нет</v>
      </c>
      <c r="O3084" s="23"/>
      <c r="P3084" s="23"/>
      <c r="Q3084" s="106"/>
      <c r="R3084" s="37">
        <v>745</v>
      </c>
      <c r="S3084" s="39" t="s">
        <v>1154</v>
      </c>
      <c r="T3084" s="37">
        <v>1835</v>
      </c>
      <c r="U3084" s="38" t="s">
        <v>1973</v>
      </c>
      <c r="V3084" s="89" t="s">
        <v>272</v>
      </c>
      <c r="W3084" s="89" t="s">
        <v>137</v>
      </c>
      <c r="X3084" s="106" t="s">
        <v>296</v>
      </c>
      <c r="Y3084" s="107" t="s">
        <v>12</v>
      </c>
      <c r="Z3084" s="67">
        <f>IF(База_КР_КК[[#This Row],[Таб.номер резервиста]]="-","-",IF(OR(База_КР_КК[[#This Row],[Уровень КК]]=2,База_КР_КК[[#This Row],[Уровень КК]]=3),IF(COUNTIFS($U$2:$U3084,$U3084,$F$2:$F3084,$F3084)=1,1,0),IF(COUNTIFS($U$2:$U3084,$U3084,$L$2:$L3084,$L3084)=1,1,0)))</f>
        <v>1</v>
      </c>
      <c r="AA30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4" s="106"/>
      <c r="AC3084" s="51"/>
      <c r="AD3084" s="106" t="s">
        <v>15</v>
      </c>
      <c r="AE3084" s="38" t="s">
        <v>376</v>
      </c>
    </row>
    <row r="3085" spans="1:31" ht="18" customHeight="1" x14ac:dyDescent="0.25">
      <c r="A30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5" s="79">
        <v>4</v>
      </c>
      <c r="C3085" s="23">
        <v>44859</v>
      </c>
      <c r="D3085" s="67">
        <f>IF(COUNTIF($G$2:$G3085,$G3085)=1,1,0)</f>
        <v>0</v>
      </c>
      <c r="E3085" s="67" t="str">
        <f>IFERROR(VLOOKUP(База_КР_КК[[#This Row],[ИД штатной должности (S)]],'уровень защищенности'!$B$7:$F$1095,5,0),"не защищена")</f>
        <v>высокий</v>
      </c>
      <c r="F3085" s="68">
        <v>500170</v>
      </c>
      <c r="G3085" s="74" t="s">
        <v>2925</v>
      </c>
      <c r="H3085" s="181">
        <f>INDEX('Списки данных'!$D$2:$D$1048576,MATCH(База_КР_КК[[#This Row],[Структурное подразделение]],'Списки данных'!$C$2:$C$1048576,0))</f>
        <v>7</v>
      </c>
      <c r="I3085" s="80" t="s">
        <v>137</v>
      </c>
      <c r="J3085" s="80" t="s">
        <v>248</v>
      </c>
      <c r="K3085" s="80" t="s">
        <v>249</v>
      </c>
      <c r="L3085" s="30" t="s">
        <v>191</v>
      </c>
      <c r="M3085" s="68">
        <v>6</v>
      </c>
      <c r="N3085" s="181" t="str">
        <f t="shared" si="49"/>
        <v>нет</v>
      </c>
      <c r="O3085" s="23"/>
      <c r="P3085" s="23"/>
      <c r="Q3085" s="106"/>
      <c r="R3085" s="37">
        <v>745</v>
      </c>
      <c r="S3085" s="39" t="s">
        <v>1154</v>
      </c>
      <c r="T3085" s="37">
        <v>1836</v>
      </c>
      <c r="U3085" s="38" t="s">
        <v>1855</v>
      </c>
      <c r="V3085" s="89" t="s">
        <v>272</v>
      </c>
      <c r="W3085" s="89" t="s">
        <v>137</v>
      </c>
      <c r="X3085" s="106" t="s">
        <v>295</v>
      </c>
      <c r="Y3085" s="107" t="s">
        <v>12</v>
      </c>
      <c r="Z3085" s="67">
        <f>IF(База_КР_КК[[#This Row],[Таб.номер резервиста]]="-","-",IF(OR(База_КР_КК[[#This Row],[Уровень КК]]=2,База_КР_КК[[#This Row],[Уровень КК]]=3),IF(COUNTIFS($U$2:$U3085,$U3085,$F$2:$F3085,$F3085)=1,1,0),IF(COUNTIFS($U$2:$U3085,$U3085,$L$2:$L3085,$L3085)=1,1,0)))</f>
        <v>0</v>
      </c>
      <c r="AA30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5" s="106"/>
      <c r="AC3085" s="51"/>
      <c r="AD3085" s="106" t="s">
        <v>15</v>
      </c>
      <c r="AE3085" s="38" t="s">
        <v>376</v>
      </c>
    </row>
    <row r="3086" spans="1:31" ht="18" customHeight="1" x14ac:dyDescent="0.25">
      <c r="A30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6" s="79">
        <v>4</v>
      </c>
      <c r="C3086" s="23">
        <v>44859</v>
      </c>
      <c r="D3086" s="67">
        <f>IF(COUNTIF($G$2:$G3086,$G3086)=1,1,0)</f>
        <v>0</v>
      </c>
      <c r="E3086" s="67" t="str">
        <f>IFERROR(VLOOKUP(База_КР_КК[[#This Row],[ИД штатной должности (S)]],'уровень защищенности'!$B$7:$F$1095,5,0),"не защищена")</f>
        <v>высокий</v>
      </c>
      <c r="F3086" s="68">
        <v>500170</v>
      </c>
      <c r="G3086" s="74" t="s">
        <v>2925</v>
      </c>
      <c r="H3086" s="181">
        <f>INDEX('Списки данных'!$D$2:$D$1048576,MATCH(База_КР_КК[[#This Row],[Структурное подразделение]],'Списки данных'!$C$2:$C$1048576,0))</f>
        <v>7</v>
      </c>
      <c r="I3086" s="80" t="s">
        <v>137</v>
      </c>
      <c r="J3086" s="80" t="s">
        <v>248</v>
      </c>
      <c r="K3086" s="80" t="s">
        <v>249</v>
      </c>
      <c r="L3086" s="30" t="s">
        <v>191</v>
      </c>
      <c r="M3086" s="68">
        <v>6</v>
      </c>
      <c r="N3086" s="181" t="str">
        <f t="shared" si="49"/>
        <v>нет</v>
      </c>
      <c r="O3086" s="23"/>
      <c r="P3086" s="23"/>
      <c r="Q3086" s="106"/>
      <c r="R3086" s="37">
        <v>745</v>
      </c>
      <c r="S3086" s="39" t="s">
        <v>1154</v>
      </c>
      <c r="T3086" s="37">
        <v>1837</v>
      </c>
      <c r="U3086" s="38" t="s">
        <v>2060</v>
      </c>
      <c r="V3086" s="69" t="s">
        <v>272</v>
      </c>
      <c r="W3086" s="89" t="s">
        <v>137</v>
      </c>
      <c r="X3086" s="106" t="s">
        <v>296</v>
      </c>
      <c r="Y3086" s="107" t="s">
        <v>12</v>
      </c>
      <c r="Z3086" s="67">
        <f>IF(База_КР_КК[[#This Row],[Таб.номер резервиста]]="-","-",IF(OR(База_КР_КК[[#This Row],[Уровень КК]]=2,База_КР_КК[[#This Row],[Уровень КК]]=3),IF(COUNTIFS($U$2:$U3086,$U3086,$F$2:$F3086,$F3086)=1,1,0),IF(COUNTIFS($U$2:$U3086,$U3086,$L$2:$L3086,$L3086)=1,1,0)))</f>
        <v>0</v>
      </c>
      <c r="AA30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6" s="106"/>
      <c r="AC3086" s="51"/>
      <c r="AD3086" s="106" t="s">
        <v>15</v>
      </c>
      <c r="AE3086" s="38" t="s">
        <v>376</v>
      </c>
    </row>
    <row r="3087" spans="1:31" ht="18" customHeight="1" x14ac:dyDescent="0.25">
      <c r="A30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7" s="79">
        <v>4</v>
      </c>
      <c r="C3087" s="23">
        <v>44859</v>
      </c>
      <c r="D3087" s="67">
        <f>IF(COUNTIF($G$2:$G3087,$G3087)=1,1,0)</f>
        <v>0</v>
      </c>
      <c r="E3087" s="67" t="str">
        <f>IFERROR(VLOOKUP(База_КР_КК[[#This Row],[ИД штатной должности (S)]],'уровень защищенности'!$B$7:$F$1095,5,0),"не защищена")</f>
        <v>высокий</v>
      </c>
      <c r="F3087" s="68">
        <v>500170</v>
      </c>
      <c r="G3087" s="74" t="s">
        <v>2925</v>
      </c>
      <c r="H3087" s="181">
        <f>INDEX('Списки данных'!$D$2:$D$1048576,MATCH(База_КР_КК[[#This Row],[Структурное подразделение]],'Списки данных'!$C$2:$C$1048576,0))</f>
        <v>7</v>
      </c>
      <c r="I3087" s="80" t="s">
        <v>137</v>
      </c>
      <c r="J3087" s="80" t="s">
        <v>248</v>
      </c>
      <c r="K3087" s="80" t="s">
        <v>249</v>
      </c>
      <c r="L3087" s="30" t="s">
        <v>191</v>
      </c>
      <c r="M3087" s="68">
        <v>6</v>
      </c>
      <c r="N3087" s="181" t="str">
        <f t="shared" si="49"/>
        <v>нет</v>
      </c>
      <c r="O3087" s="23"/>
      <c r="P3087" s="23"/>
      <c r="Q3087" s="106"/>
      <c r="R3087" s="37">
        <v>745</v>
      </c>
      <c r="S3087" s="39" t="s">
        <v>1154</v>
      </c>
      <c r="T3087" s="37">
        <v>1838</v>
      </c>
      <c r="U3087" s="38" t="s">
        <v>1981</v>
      </c>
      <c r="V3087" s="89" t="s">
        <v>272</v>
      </c>
      <c r="W3087" s="89" t="s">
        <v>137</v>
      </c>
      <c r="X3087" s="106" t="s">
        <v>296</v>
      </c>
      <c r="Y3087" s="107" t="s">
        <v>12</v>
      </c>
      <c r="Z3087" s="67">
        <f>IF(База_КР_КК[[#This Row],[Таб.номер резервиста]]="-","-",IF(OR(База_КР_КК[[#This Row],[Уровень КК]]=2,База_КР_КК[[#This Row],[Уровень КК]]=3),IF(COUNTIFS($U$2:$U3087,$U3087,$F$2:$F3087,$F3087)=1,1,0),IF(COUNTIFS($U$2:$U3087,$U3087,$L$2:$L3087,$L3087)=1,1,0)))</f>
        <v>1</v>
      </c>
      <c r="AA30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7" s="106"/>
      <c r="AC3087" s="51"/>
      <c r="AD3087" s="106" t="s">
        <v>15</v>
      </c>
      <c r="AE3087" s="38" t="s">
        <v>376</v>
      </c>
    </row>
    <row r="3088" spans="1:31" ht="18" customHeight="1" x14ac:dyDescent="0.25">
      <c r="A30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8" s="79">
        <v>4</v>
      </c>
      <c r="C3088" s="23">
        <v>44125</v>
      </c>
      <c r="D3088" s="67">
        <f>IF(COUNTIF($G$2:$G3088,$G3088)=1,1,0)</f>
        <v>0</v>
      </c>
      <c r="E3088" s="67" t="str">
        <f>IFERROR(VLOOKUP(База_КР_КК[[#This Row],[ИД штатной должности (S)]],'уровень защищенности'!$B$7:$F$1095,5,0),"не защищена")</f>
        <v>высокий</v>
      </c>
      <c r="F3088" s="68">
        <v>500170</v>
      </c>
      <c r="G3088" s="74" t="s">
        <v>2925</v>
      </c>
      <c r="H3088" s="181">
        <f>INDEX('Списки данных'!$D$2:$D$1048576,MATCH(База_КР_КК[[#This Row],[Структурное подразделение]],'Списки данных'!$C$2:$C$1048576,0))</f>
        <v>7</v>
      </c>
      <c r="I3088" s="80" t="s">
        <v>137</v>
      </c>
      <c r="J3088" s="80" t="s">
        <v>248</v>
      </c>
      <c r="K3088" s="80" t="s">
        <v>249</v>
      </c>
      <c r="L3088" s="30" t="s">
        <v>191</v>
      </c>
      <c r="M3088" s="68">
        <v>6</v>
      </c>
      <c r="N3088" s="181" t="str">
        <f t="shared" si="49"/>
        <v>нет</v>
      </c>
      <c r="O3088" s="23"/>
      <c r="P3088" s="23"/>
      <c r="Q3088" s="106"/>
      <c r="R3088" s="37">
        <v>745</v>
      </c>
      <c r="S3088" s="37" t="s">
        <v>1154</v>
      </c>
      <c r="T3088" s="37">
        <v>1839</v>
      </c>
      <c r="U3088" s="39" t="s">
        <v>2072</v>
      </c>
      <c r="V3088" s="89" t="s">
        <v>272</v>
      </c>
      <c r="W3088" s="89" t="s">
        <v>137</v>
      </c>
      <c r="X3088" s="106" t="s">
        <v>296</v>
      </c>
      <c r="Y3088" s="107" t="s">
        <v>18</v>
      </c>
      <c r="Z3088" s="67">
        <f>IF(База_КР_КК[[#This Row],[Таб.номер резервиста]]="-","-",IF(OR(База_КР_КК[[#This Row],[Уровень КК]]=2,База_КР_КК[[#This Row],[Уровень КК]]=3),IF(COUNTIFS($U$2:$U3088,$U3088,$F$2:$F3088,$F3088)=1,1,0),IF(COUNTIFS($U$2:$U3088,$U3088,$L$2:$L3088,$L3088)=1,1,0)))</f>
        <v>1</v>
      </c>
      <c r="AA30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8" s="106" t="s">
        <v>38</v>
      </c>
      <c r="AC3088" s="51">
        <v>44859</v>
      </c>
      <c r="AD3088" s="106" t="s">
        <v>31</v>
      </c>
      <c r="AE3088" s="38" t="s">
        <v>376</v>
      </c>
    </row>
    <row r="3089" spans="1:31" ht="18" customHeight="1" x14ac:dyDescent="0.25">
      <c r="A30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89" s="79">
        <v>4</v>
      </c>
      <c r="C3089" s="23">
        <v>44469</v>
      </c>
      <c r="D3089" s="67">
        <f>IF(COUNTIF($G$2:$G3089,$G3089)=1,1,0)</f>
        <v>0</v>
      </c>
      <c r="E3089" s="67" t="str">
        <f>IFERROR(VLOOKUP(База_КР_КК[[#This Row],[ИД штатной должности (S)]],'уровень защищенности'!$B$7:$F$1095,5,0),"не защищена")</f>
        <v>высокий</v>
      </c>
      <c r="F3089" s="68">
        <v>500170</v>
      </c>
      <c r="G3089" s="74" t="s">
        <v>2925</v>
      </c>
      <c r="H3089" s="181">
        <f>INDEX('Списки данных'!$D$2:$D$1048576,MATCH(База_КР_КК[[#This Row],[Структурное подразделение]],'Списки данных'!$C$2:$C$1048576,0))</f>
        <v>7</v>
      </c>
      <c r="I3089" s="80" t="s">
        <v>137</v>
      </c>
      <c r="J3089" s="80" t="s">
        <v>248</v>
      </c>
      <c r="K3089" s="80" t="s">
        <v>249</v>
      </c>
      <c r="L3089" s="30" t="s">
        <v>191</v>
      </c>
      <c r="M3089" s="68">
        <v>6</v>
      </c>
      <c r="N3089" s="181" t="str">
        <f t="shared" si="49"/>
        <v>нет</v>
      </c>
      <c r="O3089" s="23"/>
      <c r="P3089" s="23"/>
      <c r="Q3089" s="106"/>
      <c r="R3089" s="37">
        <v>745</v>
      </c>
      <c r="S3089" s="38" t="s">
        <v>1154</v>
      </c>
      <c r="T3089" s="37">
        <v>1840</v>
      </c>
      <c r="U3089" s="39" t="s">
        <v>1965</v>
      </c>
      <c r="V3089" s="69" t="s">
        <v>192</v>
      </c>
      <c r="W3089" s="89" t="s">
        <v>137</v>
      </c>
      <c r="X3089" s="106" t="s">
        <v>297</v>
      </c>
      <c r="Y3089" s="107" t="s">
        <v>18</v>
      </c>
      <c r="Z3089" s="67">
        <f>IF(База_КР_КК[[#This Row],[Таб.номер резервиста]]="-","-",IF(OR(База_КР_КК[[#This Row],[Уровень КК]]=2,База_КР_КК[[#This Row],[Уровень КК]]=3),IF(COUNTIFS($U$2:$U3089,$U3089,$F$2:$F3089,$F3089)=1,1,0),IF(COUNTIFS($U$2:$U3089,$U3089,$L$2:$L3089,$L3089)=1,1,0)))</f>
        <v>1</v>
      </c>
      <c r="AA30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89" s="106" t="s">
        <v>38</v>
      </c>
      <c r="AC3089" s="51">
        <v>44859</v>
      </c>
      <c r="AD3089" s="106" t="s">
        <v>31</v>
      </c>
      <c r="AE3089" s="38" t="s">
        <v>376</v>
      </c>
    </row>
    <row r="3090" spans="1:31" ht="18" customHeight="1" x14ac:dyDescent="0.25">
      <c r="A30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0" s="79">
        <v>4</v>
      </c>
      <c r="C3090" s="23">
        <v>44125</v>
      </c>
      <c r="D3090" s="67">
        <f>IF(COUNTIF($G$2:$G3090,$G3090)=1,1,0)</f>
        <v>1</v>
      </c>
      <c r="E3090" s="67" t="str">
        <f>IFERROR(VLOOKUP(База_КР_КК[[#This Row],[ИД штатной должности (S)]],'уровень защищенности'!$B$7:$F$1095,5,0),"не защищена")</f>
        <v>высокий</v>
      </c>
      <c r="F3090" s="68">
        <v>500170</v>
      </c>
      <c r="G3090" s="74" t="s">
        <v>2926</v>
      </c>
      <c r="H3090" s="181">
        <f>INDEX('Списки данных'!$D$2:$D$1048576,MATCH(База_КР_КК[[#This Row],[Структурное подразделение]],'Списки данных'!$C$2:$C$1048576,0))</f>
        <v>7</v>
      </c>
      <c r="I3090" s="80" t="s">
        <v>137</v>
      </c>
      <c r="J3090" s="80" t="s">
        <v>248</v>
      </c>
      <c r="K3090" s="80" t="s">
        <v>249</v>
      </c>
      <c r="L3090" s="30" t="s">
        <v>191</v>
      </c>
      <c r="M3090" s="68">
        <v>6</v>
      </c>
      <c r="N3090" s="181" t="str">
        <f t="shared" si="49"/>
        <v>нет</v>
      </c>
      <c r="O3090" s="23"/>
      <c r="P3090" s="23"/>
      <c r="Q3090" s="106"/>
      <c r="R3090" s="37">
        <v>746</v>
      </c>
      <c r="S3090" s="37" t="s">
        <v>1155</v>
      </c>
      <c r="T3090" s="37">
        <v>1830</v>
      </c>
      <c r="U3090" s="39" t="s">
        <v>2069</v>
      </c>
      <c r="V3090" s="89" t="s">
        <v>272</v>
      </c>
      <c r="W3090" s="89" t="s">
        <v>137</v>
      </c>
      <c r="X3090" s="106" t="s">
        <v>297</v>
      </c>
      <c r="Y3090" s="107" t="s">
        <v>12</v>
      </c>
      <c r="Z3090" s="67">
        <f>IF(База_КР_КК[[#This Row],[Таб.номер резервиста]]="-","-",IF(OR(База_КР_КК[[#This Row],[Уровень КК]]=2,База_КР_КК[[#This Row],[Уровень КК]]=3),IF(COUNTIFS($U$2:$U3090,$U3090,$F$2:$F3090,$F3090)=1,1,0),IF(COUNTIFS($U$2:$U3090,$U3090,$L$2:$L3090,$L3090)=1,1,0)))</f>
        <v>0</v>
      </c>
      <c r="AA30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0" s="106"/>
      <c r="AC3090" s="51"/>
      <c r="AD3090" s="106" t="s">
        <v>17</v>
      </c>
      <c r="AE3090" s="38" t="s">
        <v>376</v>
      </c>
    </row>
    <row r="3091" spans="1:31" ht="18" customHeight="1" x14ac:dyDescent="0.25">
      <c r="A30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1" s="79">
        <v>4</v>
      </c>
      <c r="C3091" s="23">
        <v>44125</v>
      </c>
      <c r="D3091" s="67">
        <f>IF(COUNTIF($G$2:$G3091,$G3091)=1,1,0)</f>
        <v>0</v>
      </c>
      <c r="E3091" s="67" t="str">
        <f>IFERROR(VLOOKUP(База_КР_КК[[#This Row],[ИД штатной должности (S)]],'уровень защищенности'!$B$7:$F$1095,5,0),"не защищена")</f>
        <v>высокий</v>
      </c>
      <c r="F3091" s="68">
        <v>500170</v>
      </c>
      <c r="G3091" s="74" t="s">
        <v>2926</v>
      </c>
      <c r="H3091" s="181">
        <f>INDEX('Списки данных'!$D$2:$D$1048576,MATCH(База_КР_КК[[#This Row],[Структурное подразделение]],'Списки данных'!$C$2:$C$1048576,0))</f>
        <v>7</v>
      </c>
      <c r="I3091" s="80" t="s">
        <v>137</v>
      </c>
      <c r="J3091" s="80" t="s">
        <v>248</v>
      </c>
      <c r="K3091" s="80" t="s">
        <v>249</v>
      </c>
      <c r="L3091" s="30" t="s">
        <v>191</v>
      </c>
      <c r="M3091" s="68">
        <v>6</v>
      </c>
      <c r="N3091" s="181" t="str">
        <f t="shared" si="49"/>
        <v>нет</v>
      </c>
      <c r="O3091" s="23"/>
      <c r="P3091" s="23"/>
      <c r="Q3091" s="106"/>
      <c r="R3091" s="37">
        <v>746</v>
      </c>
      <c r="S3091" s="38" t="s">
        <v>1155</v>
      </c>
      <c r="T3091" s="37">
        <v>1831</v>
      </c>
      <c r="U3091" s="39" t="s">
        <v>1626</v>
      </c>
      <c r="V3091" s="89" t="s">
        <v>272</v>
      </c>
      <c r="W3091" s="89" t="s">
        <v>137</v>
      </c>
      <c r="X3091" s="106" t="s">
        <v>297</v>
      </c>
      <c r="Y3091" s="107" t="s">
        <v>12</v>
      </c>
      <c r="Z3091" s="67">
        <f>IF(База_КР_КК[[#This Row],[Таб.номер резервиста]]="-","-",IF(OR(База_КР_КК[[#This Row],[Уровень КК]]=2,База_КР_КК[[#This Row],[Уровень КК]]=3),IF(COUNTIFS($U$2:$U3091,$U3091,$F$2:$F3091,$F3091)=1,1,0),IF(COUNTIFS($U$2:$U3091,$U3091,$L$2:$L3091,$L3091)=1,1,0)))</f>
        <v>0</v>
      </c>
      <c r="AA30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1" s="106"/>
      <c r="AC3091" s="51"/>
      <c r="AD3091" s="106" t="s">
        <v>17</v>
      </c>
      <c r="AE3091" s="38" t="s">
        <v>376</v>
      </c>
    </row>
    <row r="3092" spans="1:31" ht="18" customHeight="1" x14ac:dyDescent="0.25">
      <c r="A30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2" s="79">
        <v>4</v>
      </c>
      <c r="C3092" s="23">
        <v>44125</v>
      </c>
      <c r="D3092" s="67">
        <f>IF(COUNTIF($G$2:$G3092,$G3092)=1,1,0)</f>
        <v>0</v>
      </c>
      <c r="E3092" s="67" t="str">
        <f>IFERROR(VLOOKUP(База_КР_КК[[#This Row],[ИД штатной должности (S)]],'уровень защищенности'!$B$7:$F$1095,5,0),"не защищена")</f>
        <v>высокий</v>
      </c>
      <c r="F3092" s="68">
        <v>500170</v>
      </c>
      <c r="G3092" s="74" t="s">
        <v>2926</v>
      </c>
      <c r="H3092" s="181">
        <f>INDEX('Списки данных'!$D$2:$D$1048576,MATCH(База_КР_КК[[#This Row],[Структурное подразделение]],'Списки данных'!$C$2:$C$1048576,0))</f>
        <v>7</v>
      </c>
      <c r="I3092" s="80" t="s">
        <v>137</v>
      </c>
      <c r="J3092" s="80" t="s">
        <v>248</v>
      </c>
      <c r="K3092" s="80" t="s">
        <v>249</v>
      </c>
      <c r="L3092" s="30" t="s">
        <v>191</v>
      </c>
      <c r="M3092" s="68">
        <v>6</v>
      </c>
      <c r="N3092" s="181" t="str">
        <f t="shared" si="49"/>
        <v>нет</v>
      </c>
      <c r="O3092" s="23"/>
      <c r="P3092" s="23"/>
      <c r="Q3092" s="106"/>
      <c r="R3092" s="37">
        <v>746</v>
      </c>
      <c r="S3092" s="38" t="s">
        <v>1155</v>
      </c>
      <c r="T3092" s="37">
        <v>1832</v>
      </c>
      <c r="U3092" s="39" t="s">
        <v>2070</v>
      </c>
      <c r="V3092" s="89" t="s">
        <v>272</v>
      </c>
      <c r="W3092" s="89" t="s">
        <v>137</v>
      </c>
      <c r="X3092" s="106" t="s">
        <v>297</v>
      </c>
      <c r="Y3092" s="107" t="s">
        <v>12</v>
      </c>
      <c r="Z3092" s="67">
        <f>IF(База_КР_КК[[#This Row],[Таб.номер резервиста]]="-","-",IF(OR(База_КР_КК[[#This Row],[Уровень КК]]=2,База_КР_КК[[#This Row],[Уровень КК]]=3),IF(COUNTIFS($U$2:$U3092,$U3092,$F$2:$F3092,$F3092)=1,1,0),IF(COUNTIFS($U$2:$U3092,$U3092,$L$2:$L3092,$L3092)=1,1,0)))</f>
        <v>0</v>
      </c>
      <c r="AA30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2" s="106"/>
      <c r="AC3092" s="51"/>
      <c r="AD3092" s="106" t="s">
        <v>17</v>
      </c>
      <c r="AE3092" s="38" t="s">
        <v>376</v>
      </c>
    </row>
    <row r="3093" spans="1:31" ht="18" customHeight="1" x14ac:dyDescent="0.25">
      <c r="A30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3" s="79">
        <v>4</v>
      </c>
      <c r="C3093" s="23">
        <v>44469</v>
      </c>
      <c r="D3093" s="67">
        <f>IF(COUNTIF($G$2:$G3093,$G3093)=1,1,0)</f>
        <v>0</v>
      </c>
      <c r="E3093" s="67" t="str">
        <f>IFERROR(VLOOKUP(База_КР_КК[[#This Row],[ИД штатной должности (S)]],'уровень защищенности'!$B$7:$F$1095,5,0),"не защищена")</f>
        <v>высокий</v>
      </c>
      <c r="F3093" s="68">
        <v>500170</v>
      </c>
      <c r="G3093" s="74" t="s">
        <v>2926</v>
      </c>
      <c r="H3093" s="181">
        <f>INDEX('Списки данных'!$D$2:$D$1048576,MATCH(База_КР_КК[[#This Row],[Структурное подразделение]],'Списки данных'!$C$2:$C$1048576,0))</f>
        <v>7</v>
      </c>
      <c r="I3093" s="80" t="s">
        <v>137</v>
      </c>
      <c r="J3093" s="80" t="s">
        <v>248</v>
      </c>
      <c r="K3093" s="80" t="s">
        <v>249</v>
      </c>
      <c r="L3093" s="30" t="s">
        <v>191</v>
      </c>
      <c r="M3093" s="68">
        <v>6</v>
      </c>
      <c r="N3093" s="181" t="str">
        <f t="shared" si="49"/>
        <v>нет</v>
      </c>
      <c r="O3093" s="23"/>
      <c r="P3093" s="23"/>
      <c r="Q3093" s="106"/>
      <c r="R3093" s="37">
        <v>746</v>
      </c>
      <c r="S3093" s="38" t="s">
        <v>1155</v>
      </c>
      <c r="T3093" s="37">
        <v>1833</v>
      </c>
      <c r="U3093" s="39" t="s">
        <v>2071</v>
      </c>
      <c r="V3093" s="69" t="s">
        <v>272</v>
      </c>
      <c r="W3093" s="89" t="s">
        <v>137</v>
      </c>
      <c r="X3093" s="106" t="s">
        <v>297</v>
      </c>
      <c r="Y3093" s="107" t="s">
        <v>12</v>
      </c>
      <c r="Z3093" s="67">
        <f>IF(База_КР_КК[[#This Row],[Таб.номер резервиста]]="-","-",IF(OR(База_КР_КК[[#This Row],[Уровень КК]]=2,База_КР_КК[[#This Row],[Уровень КК]]=3),IF(COUNTIFS($U$2:$U3093,$U3093,$F$2:$F3093,$F3093)=1,1,0),IF(COUNTIFS($U$2:$U3093,$U3093,$L$2:$L3093,$L3093)=1,1,0)))</f>
        <v>0</v>
      </c>
      <c r="AA30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3" s="106"/>
      <c r="AC3093" s="51"/>
      <c r="AD3093" s="106" t="s">
        <v>17</v>
      </c>
      <c r="AE3093" s="38" t="s">
        <v>376</v>
      </c>
    </row>
    <row r="3094" spans="1:31" ht="18" customHeight="1" x14ac:dyDescent="0.25">
      <c r="A30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4" s="79">
        <v>4</v>
      </c>
      <c r="C3094" s="23">
        <v>44859</v>
      </c>
      <c r="D3094" s="67">
        <f>IF(COUNTIF($G$2:$G3094,$G3094)=1,1,0)</f>
        <v>0</v>
      </c>
      <c r="E3094" s="67" t="str">
        <f>IFERROR(VLOOKUP(База_КР_КК[[#This Row],[ИД штатной должности (S)]],'уровень защищенности'!$B$7:$F$1095,5,0),"не защищена")</f>
        <v>высокий</v>
      </c>
      <c r="F3094" s="68">
        <v>500170</v>
      </c>
      <c r="G3094" s="74" t="s">
        <v>2926</v>
      </c>
      <c r="H3094" s="181">
        <f>INDEX('Списки данных'!$D$2:$D$1048576,MATCH(База_КР_КК[[#This Row],[Структурное подразделение]],'Списки данных'!$C$2:$C$1048576,0))</f>
        <v>7</v>
      </c>
      <c r="I3094" s="80" t="s">
        <v>137</v>
      </c>
      <c r="J3094" s="80" t="s">
        <v>248</v>
      </c>
      <c r="K3094" s="80" t="s">
        <v>249</v>
      </c>
      <c r="L3094" s="30" t="s">
        <v>191</v>
      </c>
      <c r="M3094" s="68">
        <v>6</v>
      </c>
      <c r="N3094" s="181" t="str">
        <f t="shared" si="49"/>
        <v>нет</v>
      </c>
      <c r="O3094" s="23"/>
      <c r="P3094" s="23"/>
      <c r="Q3094" s="106"/>
      <c r="R3094" s="37">
        <v>746</v>
      </c>
      <c r="S3094" s="39" t="s">
        <v>1155</v>
      </c>
      <c r="T3094" s="37">
        <v>1834</v>
      </c>
      <c r="U3094" s="38" t="s">
        <v>1851</v>
      </c>
      <c r="V3094" s="89" t="s">
        <v>272</v>
      </c>
      <c r="W3094" s="89" t="s">
        <v>137</v>
      </c>
      <c r="X3094" s="106" t="s">
        <v>296</v>
      </c>
      <c r="Y3094" s="107" t="s">
        <v>12</v>
      </c>
      <c r="Z3094" s="67">
        <f>IF(База_КР_КК[[#This Row],[Таб.номер резервиста]]="-","-",IF(OR(База_КР_КК[[#This Row],[Уровень КК]]=2,База_КР_КК[[#This Row],[Уровень КК]]=3),IF(COUNTIFS($U$2:$U3094,$U3094,$F$2:$F3094,$F3094)=1,1,0),IF(COUNTIFS($U$2:$U3094,$U3094,$L$2:$L3094,$L3094)=1,1,0)))</f>
        <v>0</v>
      </c>
      <c r="AA30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4" s="106"/>
      <c r="AC3094" s="51"/>
      <c r="AD3094" s="106" t="s">
        <v>15</v>
      </c>
      <c r="AE3094" s="38" t="s">
        <v>376</v>
      </c>
    </row>
    <row r="3095" spans="1:31" ht="18" customHeight="1" x14ac:dyDescent="0.25">
      <c r="A30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5" s="79">
        <v>4</v>
      </c>
      <c r="C3095" s="23">
        <v>44859</v>
      </c>
      <c r="D3095" s="67">
        <f>IF(COUNTIF($G$2:$G3095,$G3095)=1,1,0)</f>
        <v>0</v>
      </c>
      <c r="E3095" s="67" t="str">
        <f>IFERROR(VLOOKUP(База_КР_КК[[#This Row],[ИД штатной должности (S)]],'уровень защищенности'!$B$7:$F$1095,5,0),"не защищена")</f>
        <v>высокий</v>
      </c>
      <c r="F3095" s="68">
        <v>500170</v>
      </c>
      <c r="G3095" s="74" t="s">
        <v>2926</v>
      </c>
      <c r="H3095" s="181">
        <f>INDEX('Списки данных'!$D$2:$D$1048576,MATCH(База_КР_КК[[#This Row],[Структурное подразделение]],'Списки данных'!$C$2:$C$1048576,0))</f>
        <v>7</v>
      </c>
      <c r="I3095" s="80" t="s">
        <v>137</v>
      </c>
      <c r="J3095" s="80" t="s">
        <v>248</v>
      </c>
      <c r="K3095" s="80" t="s">
        <v>249</v>
      </c>
      <c r="L3095" s="30" t="s">
        <v>191</v>
      </c>
      <c r="M3095" s="68">
        <v>6</v>
      </c>
      <c r="N3095" s="181" t="str">
        <f t="shared" si="49"/>
        <v>нет</v>
      </c>
      <c r="O3095" s="23"/>
      <c r="P3095" s="23"/>
      <c r="Q3095" s="106"/>
      <c r="R3095" s="37">
        <v>746</v>
      </c>
      <c r="S3095" s="39" t="s">
        <v>1155</v>
      </c>
      <c r="T3095" s="37">
        <v>1835</v>
      </c>
      <c r="U3095" s="38" t="s">
        <v>1973</v>
      </c>
      <c r="V3095" s="89" t="s">
        <v>272</v>
      </c>
      <c r="W3095" s="89" t="s">
        <v>137</v>
      </c>
      <c r="X3095" s="106" t="s">
        <v>296</v>
      </c>
      <c r="Y3095" s="107" t="s">
        <v>12</v>
      </c>
      <c r="Z3095" s="67">
        <f>IF(База_КР_КК[[#This Row],[Таб.номер резервиста]]="-","-",IF(OR(База_КР_КК[[#This Row],[Уровень КК]]=2,База_КР_КК[[#This Row],[Уровень КК]]=3),IF(COUNTIFS($U$2:$U3095,$U3095,$F$2:$F3095,$F3095)=1,1,0),IF(COUNTIFS($U$2:$U3095,$U3095,$L$2:$L3095,$L3095)=1,1,0)))</f>
        <v>0</v>
      </c>
      <c r="AA30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5" s="106"/>
      <c r="AC3095" s="51"/>
      <c r="AD3095" s="106" t="s">
        <v>15</v>
      </c>
      <c r="AE3095" s="38" t="s">
        <v>376</v>
      </c>
    </row>
    <row r="3096" spans="1:31" ht="18" customHeight="1" x14ac:dyDescent="0.25">
      <c r="A30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6" s="79">
        <v>4</v>
      </c>
      <c r="C3096" s="23">
        <v>44859</v>
      </c>
      <c r="D3096" s="67">
        <f>IF(COUNTIF($G$2:$G3096,$G3096)=1,1,0)</f>
        <v>0</v>
      </c>
      <c r="E3096" s="67" t="str">
        <f>IFERROR(VLOOKUP(База_КР_КК[[#This Row],[ИД штатной должности (S)]],'уровень защищенности'!$B$7:$F$1095,5,0),"не защищена")</f>
        <v>высокий</v>
      </c>
      <c r="F3096" s="68">
        <v>500170</v>
      </c>
      <c r="G3096" s="74" t="s">
        <v>2926</v>
      </c>
      <c r="H3096" s="181">
        <f>INDEX('Списки данных'!$D$2:$D$1048576,MATCH(База_КР_КК[[#This Row],[Структурное подразделение]],'Списки данных'!$C$2:$C$1048576,0))</f>
        <v>7</v>
      </c>
      <c r="I3096" s="80" t="s">
        <v>137</v>
      </c>
      <c r="J3096" s="80" t="s">
        <v>248</v>
      </c>
      <c r="K3096" s="80" t="s">
        <v>249</v>
      </c>
      <c r="L3096" s="30" t="s">
        <v>191</v>
      </c>
      <c r="M3096" s="68">
        <v>6</v>
      </c>
      <c r="N3096" s="181" t="str">
        <f t="shared" si="49"/>
        <v>нет</v>
      </c>
      <c r="O3096" s="23"/>
      <c r="P3096" s="23"/>
      <c r="Q3096" s="106"/>
      <c r="R3096" s="37">
        <v>746</v>
      </c>
      <c r="S3096" s="39" t="s">
        <v>1155</v>
      </c>
      <c r="T3096" s="37">
        <v>1836</v>
      </c>
      <c r="U3096" s="38" t="s">
        <v>1855</v>
      </c>
      <c r="V3096" s="89" t="s">
        <v>272</v>
      </c>
      <c r="W3096" s="89" t="s">
        <v>137</v>
      </c>
      <c r="X3096" s="106" t="s">
        <v>295</v>
      </c>
      <c r="Y3096" s="107" t="s">
        <v>12</v>
      </c>
      <c r="Z3096" s="67">
        <f>IF(База_КР_КК[[#This Row],[Таб.номер резервиста]]="-","-",IF(OR(База_КР_КК[[#This Row],[Уровень КК]]=2,База_КР_КК[[#This Row],[Уровень КК]]=3),IF(COUNTIFS($U$2:$U3096,$U3096,$F$2:$F3096,$F3096)=1,1,0),IF(COUNTIFS($U$2:$U3096,$U3096,$L$2:$L3096,$L3096)=1,1,0)))</f>
        <v>0</v>
      </c>
      <c r="AA30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6" s="106"/>
      <c r="AC3096" s="51"/>
      <c r="AD3096" s="106" t="s">
        <v>15</v>
      </c>
      <c r="AE3096" s="38" t="s">
        <v>376</v>
      </c>
    </row>
    <row r="3097" spans="1:31" ht="18" customHeight="1" x14ac:dyDescent="0.25">
      <c r="A30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7" s="79">
        <v>4</v>
      </c>
      <c r="C3097" s="23">
        <v>44859</v>
      </c>
      <c r="D3097" s="67">
        <f>IF(COUNTIF($G$2:$G3097,$G3097)=1,1,0)</f>
        <v>0</v>
      </c>
      <c r="E3097" s="67" t="str">
        <f>IFERROR(VLOOKUP(База_КР_КК[[#This Row],[ИД штатной должности (S)]],'уровень защищенности'!$B$7:$F$1095,5,0),"не защищена")</f>
        <v>высокий</v>
      </c>
      <c r="F3097" s="68">
        <v>500170</v>
      </c>
      <c r="G3097" s="74" t="s">
        <v>2926</v>
      </c>
      <c r="H3097" s="181">
        <f>INDEX('Списки данных'!$D$2:$D$1048576,MATCH(База_КР_КК[[#This Row],[Структурное подразделение]],'Списки данных'!$C$2:$C$1048576,0))</f>
        <v>7</v>
      </c>
      <c r="I3097" s="80" t="s">
        <v>137</v>
      </c>
      <c r="J3097" s="80" t="s">
        <v>248</v>
      </c>
      <c r="K3097" s="80" t="s">
        <v>249</v>
      </c>
      <c r="L3097" s="30" t="s">
        <v>191</v>
      </c>
      <c r="M3097" s="68">
        <v>6</v>
      </c>
      <c r="N3097" s="181" t="str">
        <f t="shared" si="49"/>
        <v>нет</v>
      </c>
      <c r="O3097" s="23"/>
      <c r="P3097" s="23"/>
      <c r="Q3097" s="106"/>
      <c r="R3097" s="37">
        <v>746</v>
      </c>
      <c r="S3097" s="39" t="s">
        <v>1155</v>
      </c>
      <c r="T3097" s="37">
        <v>1837</v>
      </c>
      <c r="U3097" s="38" t="s">
        <v>2060</v>
      </c>
      <c r="V3097" s="69" t="s">
        <v>272</v>
      </c>
      <c r="W3097" s="89" t="s">
        <v>137</v>
      </c>
      <c r="X3097" s="106" t="s">
        <v>296</v>
      </c>
      <c r="Y3097" s="107" t="s">
        <v>12</v>
      </c>
      <c r="Z3097" s="67">
        <f>IF(База_КР_КК[[#This Row],[Таб.номер резервиста]]="-","-",IF(OR(База_КР_КК[[#This Row],[Уровень КК]]=2,База_КР_КК[[#This Row],[Уровень КК]]=3),IF(COUNTIFS($U$2:$U3097,$U3097,$F$2:$F3097,$F3097)=1,1,0),IF(COUNTIFS($U$2:$U3097,$U3097,$L$2:$L3097,$L3097)=1,1,0)))</f>
        <v>0</v>
      </c>
      <c r="AA30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7" s="106"/>
      <c r="AC3097" s="51"/>
      <c r="AD3097" s="106" t="s">
        <v>15</v>
      </c>
      <c r="AE3097" s="38" t="s">
        <v>376</v>
      </c>
    </row>
    <row r="3098" spans="1:31" ht="18" customHeight="1" x14ac:dyDescent="0.25">
      <c r="A30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8" s="79">
        <v>4</v>
      </c>
      <c r="C3098" s="23">
        <v>44859</v>
      </c>
      <c r="D3098" s="67">
        <f>IF(COUNTIF($G$2:$G3098,$G3098)=1,1,0)</f>
        <v>0</v>
      </c>
      <c r="E3098" s="67" t="str">
        <f>IFERROR(VLOOKUP(База_КР_КК[[#This Row],[ИД штатной должности (S)]],'уровень защищенности'!$B$7:$F$1095,5,0),"не защищена")</f>
        <v>высокий</v>
      </c>
      <c r="F3098" s="68">
        <v>500170</v>
      </c>
      <c r="G3098" s="74" t="s">
        <v>2926</v>
      </c>
      <c r="H3098" s="181">
        <f>INDEX('Списки данных'!$D$2:$D$1048576,MATCH(База_КР_КК[[#This Row],[Структурное подразделение]],'Списки данных'!$C$2:$C$1048576,0))</f>
        <v>7</v>
      </c>
      <c r="I3098" s="80" t="s">
        <v>137</v>
      </c>
      <c r="J3098" s="80" t="s">
        <v>248</v>
      </c>
      <c r="K3098" s="80" t="s">
        <v>249</v>
      </c>
      <c r="L3098" s="30" t="s">
        <v>191</v>
      </c>
      <c r="M3098" s="68">
        <v>6</v>
      </c>
      <c r="N3098" s="181" t="str">
        <f t="shared" si="49"/>
        <v>нет</v>
      </c>
      <c r="O3098" s="23"/>
      <c r="P3098" s="23"/>
      <c r="Q3098" s="106"/>
      <c r="R3098" s="37">
        <v>746</v>
      </c>
      <c r="S3098" s="39" t="s">
        <v>1155</v>
      </c>
      <c r="T3098" s="37">
        <v>1838</v>
      </c>
      <c r="U3098" s="38" t="s">
        <v>1981</v>
      </c>
      <c r="V3098" s="89" t="s">
        <v>272</v>
      </c>
      <c r="W3098" s="89" t="s">
        <v>137</v>
      </c>
      <c r="X3098" s="106" t="s">
        <v>296</v>
      </c>
      <c r="Y3098" s="107" t="s">
        <v>12</v>
      </c>
      <c r="Z3098" s="67">
        <f>IF(База_КР_КК[[#This Row],[Таб.номер резервиста]]="-","-",IF(OR(База_КР_КК[[#This Row],[Уровень КК]]=2,База_КР_КК[[#This Row],[Уровень КК]]=3),IF(COUNTIFS($U$2:$U3098,$U3098,$F$2:$F3098,$F3098)=1,1,0),IF(COUNTIFS($U$2:$U3098,$U3098,$L$2:$L3098,$L3098)=1,1,0)))</f>
        <v>0</v>
      </c>
      <c r="AA30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8" s="106"/>
      <c r="AC3098" s="51"/>
      <c r="AD3098" s="106" t="s">
        <v>15</v>
      </c>
      <c r="AE3098" s="38" t="s">
        <v>376</v>
      </c>
    </row>
    <row r="3099" spans="1:31" ht="18" customHeight="1" x14ac:dyDescent="0.25">
      <c r="A30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099" s="79">
        <v>4</v>
      </c>
      <c r="C3099" s="23">
        <v>44125</v>
      </c>
      <c r="D3099" s="67">
        <f>IF(COUNTIF($G$2:$G3099,$G3099)=1,1,0)</f>
        <v>0</v>
      </c>
      <c r="E3099" s="67" t="str">
        <f>IFERROR(VLOOKUP(База_КР_КК[[#This Row],[ИД штатной должности (S)]],'уровень защищенности'!$B$7:$F$1095,5,0),"не защищена")</f>
        <v>высокий</v>
      </c>
      <c r="F3099" s="68">
        <v>500170</v>
      </c>
      <c r="G3099" s="74" t="s">
        <v>2926</v>
      </c>
      <c r="H3099" s="181">
        <f>INDEX('Списки данных'!$D$2:$D$1048576,MATCH(База_КР_КК[[#This Row],[Структурное подразделение]],'Списки данных'!$C$2:$C$1048576,0))</f>
        <v>7</v>
      </c>
      <c r="I3099" s="80" t="s">
        <v>137</v>
      </c>
      <c r="J3099" s="80" t="s">
        <v>248</v>
      </c>
      <c r="K3099" s="80" t="s">
        <v>249</v>
      </c>
      <c r="L3099" s="30" t="s">
        <v>191</v>
      </c>
      <c r="M3099" s="68">
        <v>6</v>
      </c>
      <c r="N3099" s="181" t="str">
        <f t="shared" si="49"/>
        <v>нет</v>
      </c>
      <c r="O3099" s="23"/>
      <c r="P3099" s="23"/>
      <c r="Q3099" s="106"/>
      <c r="R3099" s="37">
        <v>746</v>
      </c>
      <c r="S3099" s="37" t="s">
        <v>1155</v>
      </c>
      <c r="T3099" s="37">
        <v>1839</v>
      </c>
      <c r="U3099" s="39" t="s">
        <v>2072</v>
      </c>
      <c r="V3099" s="89" t="s">
        <v>272</v>
      </c>
      <c r="W3099" s="89" t="s">
        <v>137</v>
      </c>
      <c r="X3099" s="106" t="s">
        <v>296</v>
      </c>
      <c r="Y3099" s="107" t="s">
        <v>18</v>
      </c>
      <c r="Z3099" s="67">
        <f>IF(База_КР_КК[[#This Row],[Таб.номер резервиста]]="-","-",IF(OR(База_КР_КК[[#This Row],[Уровень КК]]=2,База_КР_КК[[#This Row],[Уровень КК]]=3),IF(COUNTIFS($U$2:$U3099,$U3099,$F$2:$F3099,$F3099)=1,1,0),IF(COUNTIFS($U$2:$U3099,$U3099,$L$2:$L3099,$L3099)=1,1,0)))</f>
        <v>0</v>
      </c>
      <c r="AA30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099" s="106" t="s">
        <v>38</v>
      </c>
      <c r="AC3099" s="51">
        <v>44859</v>
      </c>
      <c r="AD3099" s="106" t="s">
        <v>31</v>
      </c>
      <c r="AE3099" s="38" t="s">
        <v>376</v>
      </c>
    </row>
    <row r="3100" spans="1:31" ht="18" customHeight="1" x14ac:dyDescent="0.25">
      <c r="A31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0" s="79">
        <v>4</v>
      </c>
      <c r="C3100" s="23">
        <v>44469</v>
      </c>
      <c r="D3100" s="67">
        <f>IF(COUNTIF($G$2:$G3100,$G3100)=1,1,0)</f>
        <v>0</v>
      </c>
      <c r="E3100" s="67" t="str">
        <f>IFERROR(VLOOKUP(База_КР_КК[[#This Row],[ИД штатной должности (S)]],'уровень защищенности'!$B$7:$F$1095,5,0),"не защищена")</f>
        <v>высокий</v>
      </c>
      <c r="F3100" s="68">
        <v>500170</v>
      </c>
      <c r="G3100" s="74" t="s">
        <v>2926</v>
      </c>
      <c r="H3100" s="181">
        <f>INDEX('Списки данных'!$D$2:$D$1048576,MATCH(База_КР_КК[[#This Row],[Структурное подразделение]],'Списки данных'!$C$2:$C$1048576,0))</f>
        <v>7</v>
      </c>
      <c r="I3100" s="80" t="s">
        <v>137</v>
      </c>
      <c r="J3100" s="80" t="s">
        <v>248</v>
      </c>
      <c r="K3100" s="80" t="s">
        <v>249</v>
      </c>
      <c r="L3100" s="30" t="s">
        <v>191</v>
      </c>
      <c r="M3100" s="68">
        <v>6</v>
      </c>
      <c r="N3100" s="181" t="str">
        <f t="shared" si="49"/>
        <v>нет</v>
      </c>
      <c r="O3100" s="23"/>
      <c r="P3100" s="23"/>
      <c r="Q3100" s="106"/>
      <c r="R3100" s="37">
        <v>746</v>
      </c>
      <c r="S3100" s="38" t="s">
        <v>1155</v>
      </c>
      <c r="T3100" s="37">
        <v>1840</v>
      </c>
      <c r="U3100" s="39" t="s">
        <v>1965</v>
      </c>
      <c r="V3100" s="69" t="s">
        <v>192</v>
      </c>
      <c r="W3100" s="89" t="s">
        <v>137</v>
      </c>
      <c r="X3100" s="106" t="s">
        <v>297</v>
      </c>
      <c r="Y3100" s="107" t="s">
        <v>18</v>
      </c>
      <c r="Z3100" s="67">
        <f>IF(База_КР_КК[[#This Row],[Таб.номер резервиста]]="-","-",IF(OR(База_КР_КК[[#This Row],[Уровень КК]]=2,База_КР_КК[[#This Row],[Уровень КК]]=3),IF(COUNTIFS($U$2:$U3100,$U3100,$F$2:$F3100,$F3100)=1,1,0),IF(COUNTIFS($U$2:$U3100,$U3100,$L$2:$L3100,$L3100)=1,1,0)))</f>
        <v>0</v>
      </c>
      <c r="AA31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0" s="106" t="s">
        <v>38</v>
      </c>
      <c r="AC3100" s="51">
        <v>44859</v>
      </c>
      <c r="AD3100" s="106" t="s">
        <v>31</v>
      </c>
      <c r="AE3100" s="38" t="s">
        <v>376</v>
      </c>
    </row>
    <row r="3101" spans="1:31" ht="18" customHeight="1" x14ac:dyDescent="0.25">
      <c r="A31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1" s="79">
        <v>4</v>
      </c>
      <c r="C3101" s="23">
        <v>44125</v>
      </c>
      <c r="D3101" s="67">
        <f>IF(COUNTIF($G$2:$G3101,$G3101)=1,1,0)</f>
        <v>1</v>
      </c>
      <c r="E3101" s="67" t="str">
        <f>IFERROR(VLOOKUP(База_КР_КК[[#This Row],[ИД штатной должности (S)]],'уровень защищенности'!$B$7:$F$1095,5,0),"не защищена")</f>
        <v>высокий</v>
      </c>
      <c r="F3101" s="68">
        <v>500170</v>
      </c>
      <c r="G3101" s="74" t="s">
        <v>2927</v>
      </c>
      <c r="H3101" s="181">
        <f>INDEX('Списки данных'!$D$2:$D$1048576,MATCH(База_КР_КК[[#This Row],[Структурное подразделение]],'Списки данных'!$C$2:$C$1048576,0))</f>
        <v>7</v>
      </c>
      <c r="I3101" s="80" t="s">
        <v>137</v>
      </c>
      <c r="J3101" s="80" t="s">
        <v>248</v>
      </c>
      <c r="K3101" s="80" t="s">
        <v>249</v>
      </c>
      <c r="L3101" s="30" t="s">
        <v>191</v>
      </c>
      <c r="M3101" s="68">
        <v>6</v>
      </c>
      <c r="N3101" s="181" t="str">
        <f t="shared" si="49"/>
        <v>да</v>
      </c>
      <c r="O3101" s="23">
        <v>44176</v>
      </c>
      <c r="P3101" s="23">
        <v>44176</v>
      </c>
      <c r="Q3101" s="106" t="s">
        <v>66</v>
      </c>
      <c r="R3101" s="37">
        <v>747</v>
      </c>
      <c r="S3101" s="37" t="s">
        <v>1156</v>
      </c>
      <c r="T3101" s="37">
        <v>1830</v>
      </c>
      <c r="U3101" s="39" t="s">
        <v>2069</v>
      </c>
      <c r="V3101" s="89" t="s">
        <v>272</v>
      </c>
      <c r="W3101" s="89" t="s">
        <v>137</v>
      </c>
      <c r="X3101" s="106" t="s">
        <v>297</v>
      </c>
      <c r="Y3101" s="107" t="s">
        <v>12</v>
      </c>
      <c r="Z3101" s="67">
        <f>IF(База_КР_КК[[#This Row],[Таб.номер резервиста]]="-","-",IF(OR(База_КР_КК[[#This Row],[Уровень КК]]=2,База_КР_КК[[#This Row],[Уровень КК]]=3),IF(COUNTIFS($U$2:$U3101,$U3101,$F$2:$F3101,$F3101)=1,1,0),IF(COUNTIFS($U$2:$U3101,$U3101,$L$2:$L3101,$L3101)=1,1,0)))</f>
        <v>0</v>
      </c>
      <c r="AA31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1" s="106"/>
      <c r="AC3101" s="51"/>
      <c r="AD3101" s="106" t="s">
        <v>17</v>
      </c>
      <c r="AE3101" s="38" t="s">
        <v>376</v>
      </c>
    </row>
    <row r="3102" spans="1:31" ht="18" customHeight="1" x14ac:dyDescent="0.25">
      <c r="A31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2" s="79">
        <v>4</v>
      </c>
      <c r="C3102" s="23">
        <v>44125</v>
      </c>
      <c r="D3102" s="67">
        <f>IF(COUNTIF($G$2:$G3102,$G3102)=1,1,0)</f>
        <v>0</v>
      </c>
      <c r="E3102" s="67" t="str">
        <f>IFERROR(VLOOKUP(База_КР_КК[[#This Row],[ИД штатной должности (S)]],'уровень защищенности'!$B$7:$F$1095,5,0),"не защищена")</f>
        <v>высокий</v>
      </c>
      <c r="F3102" s="68">
        <v>500170</v>
      </c>
      <c r="G3102" s="74" t="s">
        <v>2927</v>
      </c>
      <c r="H3102" s="181">
        <f>INDEX('Списки данных'!$D$2:$D$1048576,MATCH(База_КР_КК[[#This Row],[Структурное подразделение]],'Списки данных'!$C$2:$C$1048576,0))</f>
        <v>7</v>
      </c>
      <c r="I3102" s="80" t="s">
        <v>137</v>
      </c>
      <c r="J3102" s="80" t="s">
        <v>248</v>
      </c>
      <c r="K3102" s="80" t="s">
        <v>249</v>
      </c>
      <c r="L3102" s="30" t="s">
        <v>191</v>
      </c>
      <c r="M3102" s="68">
        <v>6</v>
      </c>
      <c r="N3102" s="181" t="str">
        <f t="shared" si="49"/>
        <v>да</v>
      </c>
      <c r="O3102" s="23">
        <v>44176</v>
      </c>
      <c r="P3102" s="23">
        <v>44176</v>
      </c>
      <c r="Q3102" s="106" t="s">
        <v>66</v>
      </c>
      <c r="R3102" s="37">
        <v>747</v>
      </c>
      <c r="S3102" s="38" t="s">
        <v>1156</v>
      </c>
      <c r="T3102" s="37">
        <v>1831</v>
      </c>
      <c r="U3102" s="39" t="s">
        <v>1626</v>
      </c>
      <c r="V3102" s="89" t="s">
        <v>272</v>
      </c>
      <c r="W3102" s="89" t="s">
        <v>137</v>
      </c>
      <c r="X3102" s="106" t="s">
        <v>297</v>
      </c>
      <c r="Y3102" s="107" t="s">
        <v>12</v>
      </c>
      <c r="Z3102" s="67">
        <f>IF(База_КР_КК[[#This Row],[Таб.номер резервиста]]="-","-",IF(OR(База_КР_КК[[#This Row],[Уровень КК]]=2,База_КР_КК[[#This Row],[Уровень КК]]=3),IF(COUNTIFS($U$2:$U3102,$U3102,$F$2:$F3102,$F3102)=1,1,0),IF(COUNTIFS($U$2:$U3102,$U3102,$L$2:$L3102,$L3102)=1,1,0)))</f>
        <v>0</v>
      </c>
      <c r="AA31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2" s="106"/>
      <c r="AC3102" s="51"/>
      <c r="AD3102" s="106" t="s">
        <v>17</v>
      </c>
      <c r="AE3102" s="38" t="s">
        <v>376</v>
      </c>
    </row>
    <row r="3103" spans="1:31" ht="18" customHeight="1" x14ac:dyDescent="0.25">
      <c r="A31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3" s="79">
        <v>4</v>
      </c>
      <c r="C3103" s="23">
        <v>44125</v>
      </c>
      <c r="D3103" s="67">
        <f>IF(COUNTIF($G$2:$G3103,$G3103)=1,1,0)</f>
        <v>0</v>
      </c>
      <c r="E3103" s="67" t="str">
        <f>IFERROR(VLOOKUP(База_КР_КК[[#This Row],[ИД штатной должности (S)]],'уровень защищенности'!$B$7:$F$1095,5,0),"не защищена")</f>
        <v>высокий</v>
      </c>
      <c r="F3103" s="68">
        <v>500170</v>
      </c>
      <c r="G3103" s="74" t="s">
        <v>2927</v>
      </c>
      <c r="H3103" s="181">
        <f>INDEX('Списки данных'!$D$2:$D$1048576,MATCH(База_КР_КК[[#This Row],[Структурное подразделение]],'Списки данных'!$C$2:$C$1048576,0))</f>
        <v>7</v>
      </c>
      <c r="I3103" s="80" t="s">
        <v>137</v>
      </c>
      <c r="J3103" s="80" t="s">
        <v>248</v>
      </c>
      <c r="K3103" s="80" t="s">
        <v>249</v>
      </c>
      <c r="L3103" s="30" t="s">
        <v>191</v>
      </c>
      <c r="M3103" s="68">
        <v>6</v>
      </c>
      <c r="N3103" s="181" t="str">
        <f t="shared" si="49"/>
        <v>да</v>
      </c>
      <c r="O3103" s="23">
        <v>44176</v>
      </c>
      <c r="P3103" s="23">
        <v>44176</v>
      </c>
      <c r="Q3103" s="106" t="s">
        <v>66</v>
      </c>
      <c r="R3103" s="37">
        <v>747</v>
      </c>
      <c r="S3103" s="38" t="s">
        <v>1156</v>
      </c>
      <c r="T3103" s="37">
        <v>1832</v>
      </c>
      <c r="U3103" s="39" t="s">
        <v>2070</v>
      </c>
      <c r="V3103" s="89" t="s">
        <v>272</v>
      </c>
      <c r="W3103" s="89" t="s">
        <v>137</v>
      </c>
      <c r="X3103" s="106" t="s">
        <v>297</v>
      </c>
      <c r="Y3103" s="107" t="s">
        <v>12</v>
      </c>
      <c r="Z3103" s="67">
        <f>IF(База_КР_КК[[#This Row],[Таб.номер резервиста]]="-","-",IF(OR(База_КР_КК[[#This Row],[Уровень КК]]=2,База_КР_КК[[#This Row],[Уровень КК]]=3),IF(COUNTIFS($U$2:$U3103,$U3103,$F$2:$F3103,$F3103)=1,1,0),IF(COUNTIFS($U$2:$U3103,$U3103,$L$2:$L3103,$L3103)=1,1,0)))</f>
        <v>0</v>
      </c>
      <c r="AA31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3" s="106"/>
      <c r="AC3103" s="51"/>
      <c r="AD3103" s="106" t="s">
        <v>17</v>
      </c>
      <c r="AE3103" s="38" t="s">
        <v>376</v>
      </c>
    </row>
    <row r="3104" spans="1:31" ht="18" customHeight="1" x14ac:dyDescent="0.25">
      <c r="A31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4" s="79">
        <v>4</v>
      </c>
      <c r="C3104" s="23">
        <v>44469</v>
      </c>
      <c r="D3104" s="67">
        <f>IF(COUNTIF($G$2:$G3104,$G3104)=1,1,0)</f>
        <v>0</v>
      </c>
      <c r="E3104" s="67" t="str">
        <f>IFERROR(VLOOKUP(База_КР_КК[[#This Row],[ИД штатной должности (S)]],'уровень защищенности'!$B$7:$F$1095,5,0),"не защищена")</f>
        <v>высокий</v>
      </c>
      <c r="F3104" s="68">
        <v>500170</v>
      </c>
      <c r="G3104" s="74" t="s">
        <v>2927</v>
      </c>
      <c r="H3104" s="181">
        <f>INDEX('Списки данных'!$D$2:$D$1048576,MATCH(База_КР_КК[[#This Row],[Структурное подразделение]],'Списки данных'!$C$2:$C$1048576,0))</f>
        <v>7</v>
      </c>
      <c r="I3104" s="80" t="s">
        <v>137</v>
      </c>
      <c r="J3104" s="80" t="s">
        <v>248</v>
      </c>
      <c r="K3104" s="80" t="s">
        <v>249</v>
      </c>
      <c r="L3104" s="30" t="s">
        <v>191</v>
      </c>
      <c r="M3104" s="68">
        <v>6</v>
      </c>
      <c r="N3104" s="181" t="str">
        <f t="shared" si="49"/>
        <v>да</v>
      </c>
      <c r="O3104" s="23">
        <v>44176</v>
      </c>
      <c r="P3104" s="23">
        <v>44176</v>
      </c>
      <c r="Q3104" s="106" t="s">
        <v>66</v>
      </c>
      <c r="R3104" s="37">
        <v>747</v>
      </c>
      <c r="S3104" s="38" t="s">
        <v>1156</v>
      </c>
      <c r="T3104" s="37">
        <v>1833</v>
      </c>
      <c r="U3104" s="39" t="s">
        <v>2071</v>
      </c>
      <c r="V3104" s="69" t="s">
        <v>272</v>
      </c>
      <c r="W3104" s="89" t="s">
        <v>137</v>
      </c>
      <c r="X3104" s="106" t="s">
        <v>297</v>
      </c>
      <c r="Y3104" s="107" t="s">
        <v>12</v>
      </c>
      <c r="Z3104" s="67">
        <f>IF(База_КР_КК[[#This Row],[Таб.номер резервиста]]="-","-",IF(OR(База_КР_КК[[#This Row],[Уровень КК]]=2,База_КР_КК[[#This Row],[Уровень КК]]=3),IF(COUNTIFS($U$2:$U3104,$U3104,$F$2:$F3104,$F3104)=1,1,0),IF(COUNTIFS($U$2:$U3104,$U3104,$L$2:$L3104,$L3104)=1,1,0)))</f>
        <v>0</v>
      </c>
      <c r="AA31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4" s="106"/>
      <c r="AC3104" s="51"/>
      <c r="AD3104" s="106" t="s">
        <v>17</v>
      </c>
      <c r="AE3104" s="38" t="s">
        <v>376</v>
      </c>
    </row>
    <row r="3105" spans="1:31" ht="18" customHeight="1" x14ac:dyDescent="0.25">
      <c r="A31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5" s="79">
        <v>4</v>
      </c>
      <c r="C3105" s="23">
        <v>44859</v>
      </c>
      <c r="D3105" s="67">
        <f>IF(COUNTIF($G$2:$G3105,$G3105)=1,1,0)</f>
        <v>0</v>
      </c>
      <c r="E3105" s="67" t="str">
        <f>IFERROR(VLOOKUP(База_КР_КК[[#This Row],[ИД штатной должности (S)]],'уровень защищенности'!$B$7:$F$1095,5,0),"не защищена")</f>
        <v>высокий</v>
      </c>
      <c r="F3105" s="68">
        <v>500170</v>
      </c>
      <c r="G3105" s="74" t="s">
        <v>2927</v>
      </c>
      <c r="H3105" s="181">
        <f>INDEX('Списки данных'!$D$2:$D$1048576,MATCH(База_КР_КК[[#This Row],[Структурное подразделение]],'Списки данных'!$C$2:$C$1048576,0))</f>
        <v>7</v>
      </c>
      <c r="I3105" s="80" t="s">
        <v>137</v>
      </c>
      <c r="J3105" s="80" t="s">
        <v>248</v>
      </c>
      <c r="K3105" s="80" t="s">
        <v>249</v>
      </c>
      <c r="L3105" s="30" t="s">
        <v>191</v>
      </c>
      <c r="M3105" s="68">
        <v>6</v>
      </c>
      <c r="N3105" s="181" t="str">
        <f t="shared" si="49"/>
        <v>да</v>
      </c>
      <c r="O3105" s="23">
        <v>44176</v>
      </c>
      <c r="P3105" s="23">
        <v>44176</v>
      </c>
      <c r="Q3105" s="106" t="s">
        <v>66</v>
      </c>
      <c r="R3105" s="37">
        <v>747</v>
      </c>
      <c r="S3105" s="39" t="s">
        <v>1156</v>
      </c>
      <c r="T3105" s="37">
        <v>1834</v>
      </c>
      <c r="U3105" s="38" t="s">
        <v>1851</v>
      </c>
      <c r="V3105" s="89" t="s">
        <v>272</v>
      </c>
      <c r="W3105" s="89" t="s">
        <v>137</v>
      </c>
      <c r="X3105" s="106" t="s">
        <v>296</v>
      </c>
      <c r="Y3105" s="107" t="s">
        <v>12</v>
      </c>
      <c r="Z3105" s="67">
        <f>IF(База_КР_КК[[#This Row],[Таб.номер резервиста]]="-","-",IF(OR(База_КР_КК[[#This Row],[Уровень КК]]=2,База_КР_КК[[#This Row],[Уровень КК]]=3),IF(COUNTIFS($U$2:$U3105,$U3105,$F$2:$F3105,$F3105)=1,1,0),IF(COUNTIFS($U$2:$U3105,$U3105,$L$2:$L3105,$L3105)=1,1,0)))</f>
        <v>0</v>
      </c>
      <c r="AA31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5" s="106"/>
      <c r="AC3105" s="51"/>
      <c r="AD3105" s="106" t="s">
        <v>15</v>
      </c>
      <c r="AE3105" s="38" t="s">
        <v>376</v>
      </c>
    </row>
    <row r="3106" spans="1:31" ht="18" customHeight="1" x14ac:dyDescent="0.25">
      <c r="A31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6" s="79">
        <v>4</v>
      </c>
      <c r="C3106" s="23">
        <v>44859</v>
      </c>
      <c r="D3106" s="67">
        <f>IF(COUNTIF($G$2:$G3106,$G3106)=1,1,0)</f>
        <v>0</v>
      </c>
      <c r="E3106" s="67" t="str">
        <f>IFERROR(VLOOKUP(База_КР_КК[[#This Row],[ИД штатной должности (S)]],'уровень защищенности'!$B$7:$F$1095,5,0),"не защищена")</f>
        <v>высокий</v>
      </c>
      <c r="F3106" s="68">
        <v>500170</v>
      </c>
      <c r="G3106" s="74" t="s">
        <v>2927</v>
      </c>
      <c r="H3106" s="181">
        <f>INDEX('Списки данных'!$D$2:$D$1048576,MATCH(База_КР_КК[[#This Row],[Структурное подразделение]],'Списки данных'!$C$2:$C$1048576,0))</f>
        <v>7</v>
      </c>
      <c r="I3106" s="80" t="s">
        <v>137</v>
      </c>
      <c r="J3106" s="80" t="s">
        <v>248</v>
      </c>
      <c r="K3106" s="80" t="s">
        <v>249</v>
      </c>
      <c r="L3106" s="30" t="s">
        <v>191</v>
      </c>
      <c r="M3106" s="68">
        <v>6</v>
      </c>
      <c r="N3106" s="181" t="str">
        <f t="shared" si="49"/>
        <v>да</v>
      </c>
      <c r="O3106" s="23">
        <v>44176</v>
      </c>
      <c r="P3106" s="23">
        <v>44176</v>
      </c>
      <c r="Q3106" s="106" t="s">
        <v>66</v>
      </c>
      <c r="R3106" s="37">
        <v>747</v>
      </c>
      <c r="S3106" s="39" t="s">
        <v>1156</v>
      </c>
      <c r="T3106" s="37">
        <v>1835</v>
      </c>
      <c r="U3106" s="38" t="s">
        <v>1973</v>
      </c>
      <c r="V3106" s="89" t="s">
        <v>272</v>
      </c>
      <c r="W3106" s="89" t="s">
        <v>137</v>
      </c>
      <c r="X3106" s="106" t="s">
        <v>296</v>
      </c>
      <c r="Y3106" s="107" t="s">
        <v>12</v>
      </c>
      <c r="Z3106" s="67">
        <f>IF(База_КР_КК[[#This Row],[Таб.номер резервиста]]="-","-",IF(OR(База_КР_КК[[#This Row],[Уровень КК]]=2,База_КР_КК[[#This Row],[Уровень КК]]=3),IF(COUNTIFS($U$2:$U3106,$U3106,$F$2:$F3106,$F3106)=1,1,0),IF(COUNTIFS($U$2:$U3106,$U3106,$L$2:$L3106,$L3106)=1,1,0)))</f>
        <v>0</v>
      </c>
      <c r="AA31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6" s="106"/>
      <c r="AC3106" s="51"/>
      <c r="AD3106" s="106" t="s">
        <v>15</v>
      </c>
      <c r="AE3106" s="38" t="s">
        <v>376</v>
      </c>
    </row>
    <row r="3107" spans="1:31" ht="18" customHeight="1" x14ac:dyDescent="0.25">
      <c r="A31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7" s="79">
        <v>4</v>
      </c>
      <c r="C3107" s="23">
        <v>44859</v>
      </c>
      <c r="D3107" s="67">
        <f>IF(COUNTIF($G$2:$G3107,$G3107)=1,1,0)</f>
        <v>0</v>
      </c>
      <c r="E3107" s="67" t="str">
        <f>IFERROR(VLOOKUP(База_КР_КК[[#This Row],[ИД штатной должности (S)]],'уровень защищенности'!$B$7:$F$1095,5,0),"не защищена")</f>
        <v>высокий</v>
      </c>
      <c r="F3107" s="68">
        <v>500170</v>
      </c>
      <c r="G3107" s="74" t="s">
        <v>2927</v>
      </c>
      <c r="H3107" s="181">
        <f>INDEX('Списки данных'!$D$2:$D$1048576,MATCH(База_КР_КК[[#This Row],[Структурное подразделение]],'Списки данных'!$C$2:$C$1048576,0))</f>
        <v>7</v>
      </c>
      <c r="I3107" s="80" t="s">
        <v>137</v>
      </c>
      <c r="J3107" s="80" t="s">
        <v>248</v>
      </c>
      <c r="K3107" s="80" t="s">
        <v>249</v>
      </c>
      <c r="L3107" s="30" t="s">
        <v>191</v>
      </c>
      <c r="M3107" s="68">
        <v>6</v>
      </c>
      <c r="N3107" s="181" t="str">
        <f t="shared" si="49"/>
        <v>да</v>
      </c>
      <c r="O3107" s="23">
        <v>44176</v>
      </c>
      <c r="P3107" s="23">
        <v>44176</v>
      </c>
      <c r="Q3107" s="106" t="s">
        <v>66</v>
      </c>
      <c r="R3107" s="37">
        <v>747</v>
      </c>
      <c r="S3107" s="39" t="s">
        <v>1156</v>
      </c>
      <c r="T3107" s="37">
        <v>1836</v>
      </c>
      <c r="U3107" s="38" t="s">
        <v>1855</v>
      </c>
      <c r="V3107" s="89" t="s">
        <v>272</v>
      </c>
      <c r="W3107" s="89" t="s">
        <v>137</v>
      </c>
      <c r="X3107" s="106" t="s">
        <v>295</v>
      </c>
      <c r="Y3107" s="107" t="s">
        <v>12</v>
      </c>
      <c r="Z3107" s="67">
        <f>IF(База_КР_КК[[#This Row],[Таб.номер резервиста]]="-","-",IF(OR(База_КР_КК[[#This Row],[Уровень КК]]=2,База_КР_КК[[#This Row],[Уровень КК]]=3),IF(COUNTIFS($U$2:$U3107,$U3107,$F$2:$F3107,$F3107)=1,1,0),IF(COUNTIFS($U$2:$U3107,$U3107,$L$2:$L3107,$L3107)=1,1,0)))</f>
        <v>0</v>
      </c>
      <c r="AA31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7" s="106"/>
      <c r="AC3107" s="51"/>
      <c r="AD3107" s="106" t="s">
        <v>15</v>
      </c>
      <c r="AE3107" s="38" t="s">
        <v>376</v>
      </c>
    </row>
    <row r="3108" spans="1:31" ht="18" customHeight="1" x14ac:dyDescent="0.25">
      <c r="A31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8" s="79">
        <v>4</v>
      </c>
      <c r="C3108" s="23">
        <v>44859</v>
      </c>
      <c r="D3108" s="67">
        <f>IF(COUNTIF($G$2:$G3108,$G3108)=1,1,0)</f>
        <v>0</v>
      </c>
      <c r="E3108" s="67" t="str">
        <f>IFERROR(VLOOKUP(База_КР_КК[[#This Row],[ИД штатной должности (S)]],'уровень защищенности'!$B$7:$F$1095,5,0),"не защищена")</f>
        <v>высокий</v>
      </c>
      <c r="F3108" s="68">
        <v>500170</v>
      </c>
      <c r="G3108" s="74" t="s">
        <v>2927</v>
      </c>
      <c r="H3108" s="181">
        <f>INDEX('Списки данных'!$D$2:$D$1048576,MATCH(База_КР_КК[[#This Row],[Структурное подразделение]],'Списки данных'!$C$2:$C$1048576,0))</f>
        <v>7</v>
      </c>
      <c r="I3108" s="80" t="s">
        <v>137</v>
      </c>
      <c r="J3108" s="80" t="s">
        <v>248</v>
      </c>
      <c r="K3108" s="80" t="s">
        <v>249</v>
      </c>
      <c r="L3108" s="30" t="s">
        <v>191</v>
      </c>
      <c r="M3108" s="68">
        <v>6</v>
      </c>
      <c r="N3108" s="181" t="str">
        <f t="shared" si="49"/>
        <v>да</v>
      </c>
      <c r="O3108" s="23">
        <v>44176</v>
      </c>
      <c r="P3108" s="23">
        <v>44176</v>
      </c>
      <c r="Q3108" s="106" t="s">
        <v>66</v>
      </c>
      <c r="R3108" s="37">
        <v>747</v>
      </c>
      <c r="S3108" s="39" t="s">
        <v>1156</v>
      </c>
      <c r="T3108" s="37">
        <v>1837</v>
      </c>
      <c r="U3108" s="38" t="s">
        <v>2060</v>
      </c>
      <c r="V3108" s="69" t="s">
        <v>272</v>
      </c>
      <c r="W3108" s="89" t="s">
        <v>137</v>
      </c>
      <c r="X3108" s="106" t="s">
        <v>296</v>
      </c>
      <c r="Y3108" s="107" t="s">
        <v>12</v>
      </c>
      <c r="Z3108" s="67">
        <f>IF(База_КР_КК[[#This Row],[Таб.номер резервиста]]="-","-",IF(OR(База_КР_КК[[#This Row],[Уровень КК]]=2,База_КР_КК[[#This Row],[Уровень КК]]=3),IF(COUNTIFS($U$2:$U3108,$U3108,$F$2:$F3108,$F3108)=1,1,0),IF(COUNTIFS($U$2:$U3108,$U3108,$L$2:$L3108,$L3108)=1,1,0)))</f>
        <v>0</v>
      </c>
      <c r="AA31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8" s="106"/>
      <c r="AC3108" s="51"/>
      <c r="AD3108" s="106" t="s">
        <v>15</v>
      </c>
      <c r="AE3108" s="38" t="s">
        <v>376</v>
      </c>
    </row>
    <row r="3109" spans="1:31" ht="18" customHeight="1" x14ac:dyDescent="0.25">
      <c r="A31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09" s="79">
        <v>4</v>
      </c>
      <c r="C3109" s="23">
        <v>44859</v>
      </c>
      <c r="D3109" s="67">
        <f>IF(COUNTIF($G$2:$G3109,$G3109)=1,1,0)</f>
        <v>0</v>
      </c>
      <c r="E3109" s="67" t="str">
        <f>IFERROR(VLOOKUP(База_КР_КК[[#This Row],[ИД штатной должности (S)]],'уровень защищенности'!$B$7:$F$1095,5,0),"не защищена")</f>
        <v>высокий</v>
      </c>
      <c r="F3109" s="68">
        <v>500170</v>
      </c>
      <c r="G3109" s="74" t="s">
        <v>2927</v>
      </c>
      <c r="H3109" s="181">
        <f>INDEX('Списки данных'!$D$2:$D$1048576,MATCH(База_КР_КК[[#This Row],[Структурное подразделение]],'Списки данных'!$C$2:$C$1048576,0))</f>
        <v>7</v>
      </c>
      <c r="I3109" s="80" t="s">
        <v>137</v>
      </c>
      <c r="J3109" s="80" t="s">
        <v>248</v>
      </c>
      <c r="K3109" s="80" t="s">
        <v>249</v>
      </c>
      <c r="L3109" s="30" t="s">
        <v>191</v>
      </c>
      <c r="M3109" s="68">
        <v>6</v>
      </c>
      <c r="N3109" s="181" t="str">
        <f t="shared" si="49"/>
        <v>да</v>
      </c>
      <c r="O3109" s="23">
        <v>44176</v>
      </c>
      <c r="P3109" s="23">
        <v>44176</v>
      </c>
      <c r="Q3109" s="106" t="s">
        <v>66</v>
      </c>
      <c r="R3109" s="37">
        <v>747</v>
      </c>
      <c r="S3109" s="39" t="s">
        <v>1156</v>
      </c>
      <c r="T3109" s="37">
        <v>1838</v>
      </c>
      <c r="U3109" s="38" t="s">
        <v>1981</v>
      </c>
      <c r="V3109" s="89" t="s">
        <v>272</v>
      </c>
      <c r="W3109" s="89" t="s">
        <v>137</v>
      </c>
      <c r="X3109" s="106" t="s">
        <v>296</v>
      </c>
      <c r="Y3109" s="107" t="s">
        <v>12</v>
      </c>
      <c r="Z3109" s="67">
        <f>IF(База_КР_КК[[#This Row],[Таб.номер резервиста]]="-","-",IF(OR(База_КР_КК[[#This Row],[Уровень КК]]=2,База_КР_КК[[#This Row],[Уровень КК]]=3),IF(COUNTIFS($U$2:$U3109,$U3109,$F$2:$F3109,$F3109)=1,1,0),IF(COUNTIFS($U$2:$U3109,$U3109,$L$2:$L3109,$L3109)=1,1,0)))</f>
        <v>0</v>
      </c>
      <c r="AA31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09" s="106"/>
      <c r="AC3109" s="51"/>
      <c r="AD3109" s="106" t="s">
        <v>15</v>
      </c>
      <c r="AE3109" s="38" t="s">
        <v>376</v>
      </c>
    </row>
    <row r="3110" spans="1:31" ht="18" customHeight="1" x14ac:dyDescent="0.25">
      <c r="A31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0" s="79">
        <v>4</v>
      </c>
      <c r="C3110" s="23">
        <v>44125</v>
      </c>
      <c r="D3110" s="67">
        <f>IF(COUNTIF($G$2:$G3110,$G3110)=1,1,0)</f>
        <v>0</v>
      </c>
      <c r="E3110" s="67" t="str">
        <f>IFERROR(VLOOKUP(База_КР_КК[[#This Row],[ИД штатной должности (S)]],'уровень защищенности'!$B$7:$F$1095,5,0),"не защищена")</f>
        <v>высокий</v>
      </c>
      <c r="F3110" s="68">
        <v>500170</v>
      </c>
      <c r="G3110" s="74" t="s">
        <v>2927</v>
      </c>
      <c r="H3110" s="181">
        <f>INDEX('Списки данных'!$D$2:$D$1048576,MATCH(База_КР_КК[[#This Row],[Структурное подразделение]],'Списки данных'!$C$2:$C$1048576,0))</f>
        <v>7</v>
      </c>
      <c r="I3110" s="80" t="s">
        <v>137</v>
      </c>
      <c r="J3110" s="80" t="s">
        <v>248</v>
      </c>
      <c r="K3110" s="80" t="s">
        <v>249</v>
      </c>
      <c r="L3110" s="30" t="s">
        <v>191</v>
      </c>
      <c r="M3110" s="68">
        <v>6</v>
      </c>
      <c r="N3110" s="181" t="str">
        <f t="shared" si="49"/>
        <v>да</v>
      </c>
      <c r="O3110" s="23">
        <v>44176</v>
      </c>
      <c r="P3110" s="23">
        <v>44176</v>
      </c>
      <c r="Q3110" s="106" t="s">
        <v>66</v>
      </c>
      <c r="R3110" s="37">
        <v>747</v>
      </c>
      <c r="S3110" s="37" t="s">
        <v>1156</v>
      </c>
      <c r="T3110" s="37">
        <v>747</v>
      </c>
      <c r="U3110" s="39" t="s">
        <v>1156</v>
      </c>
      <c r="V3110" s="89" t="s">
        <v>272</v>
      </c>
      <c r="W3110" s="89" t="s">
        <v>137</v>
      </c>
      <c r="X3110" s="106" t="s">
        <v>296</v>
      </c>
      <c r="Y3110" s="107" t="s">
        <v>14</v>
      </c>
      <c r="Z3110" s="67">
        <f>IF(База_КР_КК[[#This Row],[Таб.номер резервиста]]="-","-",IF(OR(База_КР_КК[[#This Row],[Уровень КК]]=2,База_КР_КК[[#This Row],[Уровень КК]]=3),IF(COUNTIFS($U$2:$U3110,$U3110,$F$2:$F3110,$F3110)=1,1,0),IF(COUNTIFS($U$2:$U3110,$U3110,$L$2:$L3110,$L3110)=1,1,0)))</f>
        <v>1</v>
      </c>
      <c r="AA31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110" s="106" t="s">
        <v>24</v>
      </c>
      <c r="AC3110" s="51">
        <v>44176</v>
      </c>
      <c r="AD3110" s="106" t="s">
        <v>15</v>
      </c>
      <c r="AE3110" s="38" t="s">
        <v>318</v>
      </c>
    </row>
    <row r="3111" spans="1:31" ht="18" customHeight="1" x14ac:dyDescent="0.25">
      <c r="A31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1" s="79">
        <v>4</v>
      </c>
      <c r="C3111" s="23">
        <v>44125</v>
      </c>
      <c r="D3111" s="67">
        <f>IF(COUNTIF($G$2:$G3111,$G3111)=1,1,0)</f>
        <v>0</v>
      </c>
      <c r="E3111" s="67" t="str">
        <f>IFERROR(VLOOKUP(База_КР_КК[[#This Row],[ИД штатной должности (S)]],'уровень защищенности'!$B$7:$F$1095,5,0),"не защищена")</f>
        <v>высокий</v>
      </c>
      <c r="F3111" s="68">
        <v>500170</v>
      </c>
      <c r="G3111" s="74" t="s">
        <v>2927</v>
      </c>
      <c r="H3111" s="181">
        <f>INDEX('Списки данных'!$D$2:$D$1048576,MATCH(База_КР_КК[[#This Row],[Структурное подразделение]],'Списки данных'!$C$2:$C$1048576,0))</f>
        <v>7</v>
      </c>
      <c r="I3111" s="80" t="s">
        <v>137</v>
      </c>
      <c r="J3111" s="80" t="s">
        <v>248</v>
      </c>
      <c r="K3111" s="80" t="s">
        <v>249</v>
      </c>
      <c r="L3111" s="30" t="s">
        <v>191</v>
      </c>
      <c r="M3111" s="68">
        <v>6</v>
      </c>
      <c r="N3111" s="181" t="str">
        <f t="shared" si="49"/>
        <v>да</v>
      </c>
      <c r="O3111" s="23">
        <v>44176</v>
      </c>
      <c r="P3111" s="23">
        <v>44176</v>
      </c>
      <c r="Q3111" s="106" t="s">
        <v>66</v>
      </c>
      <c r="R3111" s="37">
        <v>747</v>
      </c>
      <c r="S3111" s="37" t="s">
        <v>1156</v>
      </c>
      <c r="T3111" s="37">
        <v>1839</v>
      </c>
      <c r="U3111" s="39" t="s">
        <v>2072</v>
      </c>
      <c r="V3111" s="89" t="s">
        <v>272</v>
      </c>
      <c r="W3111" s="89" t="s">
        <v>137</v>
      </c>
      <c r="X3111" s="106" t="s">
        <v>296</v>
      </c>
      <c r="Y3111" s="107" t="s">
        <v>18</v>
      </c>
      <c r="Z3111" s="67">
        <f>IF(База_КР_КК[[#This Row],[Таб.номер резервиста]]="-","-",IF(OR(База_КР_КК[[#This Row],[Уровень КК]]=2,База_КР_КК[[#This Row],[Уровень КК]]=3),IF(COUNTIFS($U$2:$U3111,$U3111,$F$2:$F3111,$F3111)=1,1,0),IF(COUNTIFS($U$2:$U3111,$U3111,$L$2:$L3111,$L3111)=1,1,0)))</f>
        <v>0</v>
      </c>
      <c r="AA31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1" s="106" t="s">
        <v>38</v>
      </c>
      <c r="AC3111" s="51">
        <v>44859</v>
      </c>
      <c r="AD3111" s="106" t="s">
        <v>31</v>
      </c>
      <c r="AE3111" s="38" t="s">
        <v>376</v>
      </c>
    </row>
    <row r="3112" spans="1:31" ht="18" customHeight="1" x14ac:dyDescent="0.25">
      <c r="A31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2" s="79">
        <v>4</v>
      </c>
      <c r="C3112" s="23">
        <v>44469</v>
      </c>
      <c r="D3112" s="67">
        <f>IF(COUNTIF($G$2:$G3112,$G3112)=1,1,0)</f>
        <v>0</v>
      </c>
      <c r="E3112" s="67" t="str">
        <f>IFERROR(VLOOKUP(База_КР_КК[[#This Row],[ИД штатной должности (S)]],'уровень защищенности'!$B$7:$F$1095,5,0),"не защищена")</f>
        <v>высокий</v>
      </c>
      <c r="F3112" s="68">
        <v>500170</v>
      </c>
      <c r="G3112" s="74" t="s">
        <v>2927</v>
      </c>
      <c r="H3112" s="181">
        <f>INDEX('Списки данных'!$D$2:$D$1048576,MATCH(База_КР_КК[[#This Row],[Структурное подразделение]],'Списки данных'!$C$2:$C$1048576,0))</f>
        <v>7</v>
      </c>
      <c r="I3112" s="80" t="s">
        <v>137</v>
      </c>
      <c r="J3112" s="80" t="s">
        <v>248</v>
      </c>
      <c r="K3112" s="80" t="s">
        <v>249</v>
      </c>
      <c r="L3112" s="30" t="s">
        <v>191</v>
      </c>
      <c r="M3112" s="68">
        <v>6</v>
      </c>
      <c r="N3112" s="181" t="str">
        <f t="shared" si="49"/>
        <v>да</v>
      </c>
      <c r="O3112" s="23">
        <v>44176</v>
      </c>
      <c r="P3112" s="23">
        <v>44176</v>
      </c>
      <c r="Q3112" s="106" t="s">
        <v>66</v>
      </c>
      <c r="R3112" s="37">
        <v>747</v>
      </c>
      <c r="S3112" s="38" t="s">
        <v>1156</v>
      </c>
      <c r="T3112" s="37">
        <v>1840</v>
      </c>
      <c r="U3112" s="39" t="s">
        <v>1965</v>
      </c>
      <c r="V3112" s="69" t="s">
        <v>192</v>
      </c>
      <c r="W3112" s="89" t="s">
        <v>137</v>
      </c>
      <c r="X3112" s="106" t="s">
        <v>297</v>
      </c>
      <c r="Y3112" s="107" t="s">
        <v>18</v>
      </c>
      <c r="Z3112" s="67">
        <f>IF(База_КР_КК[[#This Row],[Таб.номер резервиста]]="-","-",IF(OR(База_КР_КК[[#This Row],[Уровень КК]]=2,База_КР_КК[[#This Row],[Уровень КК]]=3),IF(COUNTIFS($U$2:$U3112,$U3112,$F$2:$F3112,$F3112)=1,1,0),IF(COUNTIFS($U$2:$U3112,$U3112,$L$2:$L3112,$L3112)=1,1,0)))</f>
        <v>0</v>
      </c>
      <c r="AA31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2" s="106" t="s">
        <v>38</v>
      </c>
      <c r="AC3112" s="51">
        <v>44859</v>
      </c>
      <c r="AD3112" s="106" t="s">
        <v>31</v>
      </c>
      <c r="AE3112" s="38" t="s">
        <v>376</v>
      </c>
    </row>
    <row r="3113" spans="1:31" ht="18" customHeight="1" x14ac:dyDescent="0.25">
      <c r="A31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3" s="79">
        <v>4</v>
      </c>
      <c r="C3113" s="23">
        <v>44125</v>
      </c>
      <c r="D3113" s="67">
        <f>IF(COUNTIF($G$2:$G3113,$G3113)=1,1,0)</f>
        <v>1</v>
      </c>
      <c r="E3113" s="67" t="str">
        <f>IFERROR(VLOOKUP(База_КР_КК[[#This Row],[ИД штатной должности (S)]],'уровень защищенности'!$B$7:$F$1095,5,0),"не защищена")</f>
        <v>высокий</v>
      </c>
      <c r="F3113" s="68">
        <v>500170</v>
      </c>
      <c r="G3113" s="74" t="s">
        <v>2928</v>
      </c>
      <c r="H3113" s="181">
        <f>INDEX('Списки данных'!$D$2:$D$1048576,MATCH(База_КР_КК[[#This Row],[Структурное подразделение]],'Списки данных'!$C$2:$C$1048576,0))</f>
        <v>7</v>
      </c>
      <c r="I3113" s="80" t="s">
        <v>137</v>
      </c>
      <c r="J3113" s="80" t="s">
        <v>248</v>
      </c>
      <c r="K3113" s="80" t="s">
        <v>249</v>
      </c>
      <c r="L3113" s="30" t="s">
        <v>191</v>
      </c>
      <c r="M3113" s="68">
        <v>6</v>
      </c>
      <c r="N3113" s="181" t="str">
        <f t="shared" si="49"/>
        <v>нет</v>
      </c>
      <c r="O3113" s="23"/>
      <c r="P3113" s="23"/>
      <c r="Q3113" s="106"/>
      <c r="R3113" s="37">
        <v>748</v>
      </c>
      <c r="S3113" s="37" t="s">
        <v>1157</v>
      </c>
      <c r="T3113" s="37">
        <v>1830</v>
      </c>
      <c r="U3113" s="39" t="s">
        <v>2069</v>
      </c>
      <c r="V3113" s="89" t="s">
        <v>272</v>
      </c>
      <c r="W3113" s="89" t="s">
        <v>137</v>
      </c>
      <c r="X3113" s="106" t="s">
        <v>297</v>
      </c>
      <c r="Y3113" s="107" t="s">
        <v>12</v>
      </c>
      <c r="Z3113" s="67">
        <f>IF(База_КР_КК[[#This Row],[Таб.номер резервиста]]="-","-",IF(OR(База_КР_КК[[#This Row],[Уровень КК]]=2,База_КР_КК[[#This Row],[Уровень КК]]=3),IF(COUNTIFS($U$2:$U3113,$U3113,$F$2:$F3113,$F3113)=1,1,0),IF(COUNTIFS($U$2:$U3113,$U3113,$L$2:$L3113,$L3113)=1,1,0)))</f>
        <v>0</v>
      </c>
      <c r="AA31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3" s="106"/>
      <c r="AC3113" s="51"/>
      <c r="AD3113" s="106" t="s">
        <v>17</v>
      </c>
      <c r="AE3113" s="38" t="s">
        <v>376</v>
      </c>
    </row>
    <row r="3114" spans="1:31" ht="18" customHeight="1" x14ac:dyDescent="0.25">
      <c r="A31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4" s="79">
        <v>4</v>
      </c>
      <c r="C3114" s="23">
        <v>44125</v>
      </c>
      <c r="D3114" s="67">
        <f>IF(COUNTIF($G$2:$G3114,$G3114)=1,1,0)</f>
        <v>0</v>
      </c>
      <c r="E3114" s="67" t="str">
        <f>IFERROR(VLOOKUP(База_КР_КК[[#This Row],[ИД штатной должности (S)]],'уровень защищенности'!$B$7:$F$1095,5,0),"не защищена")</f>
        <v>высокий</v>
      </c>
      <c r="F3114" s="68">
        <v>500170</v>
      </c>
      <c r="G3114" s="74" t="s">
        <v>2928</v>
      </c>
      <c r="H3114" s="181">
        <f>INDEX('Списки данных'!$D$2:$D$1048576,MATCH(База_КР_КК[[#This Row],[Структурное подразделение]],'Списки данных'!$C$2:$C$1048576,0))</f>
        <v>7</v>
      </c>
      <c r="I3114" s="80" t="s">
        <v>137</v>
      </c>
      <c r="J3114" s="80" t="s">
        <v>248</v>
      </c>
      <c r="K3114" s="80" t="s">
        <v>249</v>
      </c>
      <c r="L3114" s="30" t="s">
        <v>191</v>
      </c>
      <c r="M3114" s="68">
        <v>6</v>
      </c>
      <c r="N3114" s="181" t="str">
        <f t="shared" si="49"/>
        <v>нет</v>
      </c>
      <c r="O3114" s="23"/>
      <c r="P3114" s="23"/>
      <c r="Q3114" s="106"/>
      <c r="R3114" s="37">
        <v>748</v>
      </c>
      <c r="S3114" s="38" t="s">
        <v>1157</v>
      </c>
      <c r="T3114" s="37">
        <v>1831</v>
      </c>
      <c r="U3114" s="39" t="s">
        <v>1626</v>
      </c>
      <c r="V3114" s="89" t="s">
        <v>272</v>
      </c>
      <c r="W3114" s="89" t="s">
        <v>137</v>
      </c>
      <c r="X3114" s="106" t="s">
        <v>297</v>
      </c>
      <c r="Y3114" s="107" t="s">
        <v>12</v>
      </c>
      <c r="Z3114" s="67">
        <f>IF(База_КР_КК[[#This Row],[Таб.номер резервиста]]="-","-",IF(OR(База_КР_КК[[#This Row],[Уровень КК]]=2,База_КР_КК[[#This Row],[Уровень КК]]=3),IF(COUNTIFS($U$2:$U3114,$U3114,$F$2:$F3114,$F3114)=1,1,0),IF(COUNTIFS($U$2:$U3114,$U3114,$L$2:$L3114,$L3114)=1,1,0)))</f>
        <v>0</v>
      </c>
      <c r="AA31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4" s="106"/>
      <c r="AC3114" s="51"/>
      <c r="AD3114" s="106" t="s">
        <v>17</v>
      </c>
      <c r="AE3114" s="38" t="s">
        <v>376</v>
      </c>
    </row>
    <row r="3115" spans="1:31" ht="18" customHeight="1" x14ac:dyDescent="0.25">
      <c r="A31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5" s="79">
        <v>4</v>
      </c>
      <c r="C3115" s="23">
        <v>44125</v>
      </c>
      <c r="D3115" s="67">
        <f>IF(COUNTIF($G$2:$G3115,$G3115)=1,1,0)</f>
        <v>0</v>
      </c>
      <c r="E3115" s="67" t="str">
        <f>IFERROR(VLOOKUP(База_КР_КК[[#This Row],[ИД штатной должности (S)]],'уровень защищенности'!$B$7:$F$1095,5,0),"не защищена")</f>
        <v>высокий</v>
      </c>
      <c r="F3115" s="68">
        <v>500170</v>
      </c>
      <c r="G3115" s="74" t="s">
        <v>2928</v>
      </c>
      <c r="H3115" s="181">
        <f>INDEX('Списки данных'!$D$2:$D$1048576,MATCH(База_КР_КК[[#This Row],[Структурное подразделение]],'Списки данных'!$C$2:$C$1048576,0))</f>
        <v>7</v>
      </c>
      <c r="I3115" s="80" t="s">
        <v>137</v>
      </c>
      <c r="J3115" s="80" t="s">
        <v>248</v>
      </c>
      <c r="K3115" s="80" t="s">
        <v>249</v>
      </c>
      <c r="L3115" s="30" t="s">
        <v>191</v>
      </c>
      <c r="M3115" s="68">
        <v>6</v>
      </c>
      <c r="N3115" s="181" t="str">
        <f t="shared" si="49"/>
        <v>нет</v>
      </c>
      <c r="O3115" s="23"/>
      <c r="P3115" s="23"/>
      <c r="Q3115" s="106"/>
      <c r="R3115" s="37">
        <v>748</v>
      </c>
      <c r="S3115" s="38" t="s">
        <v>1157</v>
      </c>
      <c r="T3115" s="37">
        <v>1832</v>
      </c>
      <c r="U3115" s="39" t="s">
        <v>2070</v>
      </c>
      <c r="V3115" s="89" t="s">
        <v>272</v>
      </c>
      <c r="W3115" s="89" t="s">
        <v>137</v>
      </c>
      <c r="X3115" s="106" t="s">
        <v>297</v>
      </c>
      <c r="Y3115" s="107" t="s">
        <v>12</v>
      </c>
      <c r="Z3115" s="67">
        <f>IF(База_КР_КК[[#This Row],[Таб.номер резервиста]]="-","-",IF(OR(База_КР_КК[[#This Row],[Уровень КК]]=2,База_КР_КК[[#This Row],[Уровень КК]]=3),IF(COUNTIFS($U$2:$U3115,$U3115,$F$2:$F3115,$F3115)=1,1,0),IF(COUNTIFS($U$2:$U3115,$U3115,$L$2:$L3115,$L3115)=1,1,0)))</f>
        <v>0</v>
      </c>
      <c r="AA31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5" s="106"/>
      <c r="AC3115" s="51"/>
      <c r="AD3115" s="106" t="s">
        <v>17</v>
      </c>
      <c r="AE3115" s="38" t="s">
        <v>376</v>
      </c>
    </row>
    <row r="3116" spans="1:31" ht="18" customHeight="1" x14ac:dyDescent="0.25">
      <c r="A31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6" s="79">
        <v>4</v>
      </c>
      <c r="C3116" s="23">
        <v>44469</v>
      </c>
      <c r="D3116" s="67">
        <f>IF(COUNTIF($G$2:$G3116,$G3116)=1,1,0)</f>
        <v>0</v>
      </c>
      <c r="E3116" s="67" t="str">
        <f>IFERROR(VLOOKUP(База_КР_КК[[#This Row],[ИД штатной должности (S)]],'уровень защищенности'!$B$7:$F$1095,5,0),"не защищена")</f>
        <v>высокий</v>
      </c>
      <c r="F3116" s="68">
        <v>500170</v>
      </c>
      <c r="G3116" s="74" t="s">
        <v>2928</v>
      </c>
      <c r="H3116" s="181">
        <f>INDEX('Списки данных'!$D$2:$D$1048576,MATCH(База_КР_КК[[#This Row],[Структурное подразделение]],'Списки данных'!$C$2:$C$1048576,0))</f>
        <v>7</v>
      </c>
      <c r="I3116" s="80" t="s">
        <v>137</v>
      </c>
      <c r="J3116" s="80" t="s">
        <v>248</v>
      </c>
      <c r="K3116" s="80" t="s">
        <v>249</v>
      </c>
      <c r="L3116" s="30" t="s">
        <v>191</v>
      </c>
      <c r="M3116" s="68">
        <v>6</v>
      </c>
      <c r="N3116" s="181" t="str">
        <f t="shared" si="49"/>
        <v>нет</v>
      </c>
      <c r="O3116" s="23"/>
      <c r="P3116" s="23"/>
      <c r="Q3116" s="106"/>
      <c r="R3116" s="37">
        <v>748</v>
      </c>
      <c r="S3116" s="38" t="s">
        <v>1157</v>
      </c>
      <c r="T3116" s="37">
        <v>1833</v>
      </c>
      <c r="U3116" s="39" t="s">
        <v>2071</v>
      </c>
      <c r="V3116" s="69" t="s">
        <v>272</v>
      </c>
      <c r="W3116" s="89" t="s">
        <v>137</v>
      </c>
      <c r="X3116" s="106" t="s">
        <v>297</v>
      </c>
      <c r="Y3116" s="107" t="s">
        <v>12</v>
      </c>
      <c r="Z3116" s="67">
        <f>IF(База_КР_КК[[#This Row],[Таб.номер резервиста]]="-","-",IF(OR(База_КР_КК[[#This Row],[Уровень КК]]=2,База_КР_КК[[#This Row],[Уровень КК]]=3),IF(COUNTIFS($U$2:$U3116,$U3116,$F$2:$F3116,$F3116)=1,1,0),IF(COUNTIFS($U$2:$U3116,$U3116,$L$2:$L3116,$L3116)=1,1,0)))</f>
        <v>0</v>
      </c>
      <c r="AA31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6" s="106"/>
      <c r="AC3116" s="51"/>
      <c r="AD3116" s="106" t="s">
        <v>17</v>
      </c>
      <c r="AE3116" s="38" t="s">
        <v>376</v>
      </c>
    </row>
    <row r="3117" spans="1:31" ht="18" customHeight="1" x14ac:dyDescent="0.25">
      <c r="A31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7" s="79">
        <v>4</v>
      </c>
      <c r="C3117" s="23">
        <v>44859</v>
      </c>
      <c r="D3117" s="67">
        <f>IF(COUNTIF($G$2:$G3117,$G3117)=1,1,0)</f>
        <v>0</v>
      </c>
      <c r="E3117" s="67" t="str">
        <f>IFERROR(VLOOKUP(База_КР_КК[[#This Row],[ИД штатной должности (S)]],'уровень защищенности'!$B$7:$F$1095,5,0),"не защищена")</f>
        <v>высокий</v>
      </c>
      <c r="F3117" s="68">
        <v>500170</v>
      </c>
      <c r="G3117" s="74" t="s">
        <v>2928</v>
      </c>
      <c r="H3117" s="181">
        <f>INDEX('Списки данных'!$D$2:$D$1048576,MATCH(База_КР_КК[[#This Row],[Структурное подразделение]],'Списки данных'!$C$2:$C$1048576,0))</f>
        <v>7</v>
      </c>
      <c r="I3117" s="80" t="s">
        <v>137</v>
      </c>
      <c r="J3117" s="80" t="s">
        <v>248</v>
      </c>
      <c r="K3117" s="80" t="s">
        <v>249</v>
      </c>
      <c r="L3117" s="30" t="s">
        <v>191</v>
      </c>
      <c r="M3117" s="68">
        <v>6</v>
      </c>
      <c r="N3117" s="181" t="str">
        <f t="shared" si="49"/>
        <v>нет</v>
      </c>
      <c r="O3117" s="23"/>
      <c r="P3117" s="23"/>
      <c r="Q3117" s="106"/>
      <c r="R3117" s="37">
        <v>748</v>
      </c>
      <c r="S3117" s="39" t="s">
        <v>1157</v>
      </c>
      <c r="T3117" s="37">
        <v>1834</v>
      </c>
      <c r="U3117" s="38" t="s">
        <v>1851</v>
      </c>
      <c r="V3117" s="89" t="s">
        <v>272</v>
      </c>
      <c r="W3117" s="89" t="s">
        <v>137</v>
      </c>
      <c r="X3117" s="106" t="s">
        <v>296</v>
      </c>
      <c r="Y3117" s="107" t="s">
        <v>12</v>
      </c>
      <c r="Z3117" s="67">
        <f>IF(База_КР_КК[[#This Row],[Таб.номер резервиста]]="-","-",IF(OR(База_КР_КК[[#This Row],[Уровень КК]]=2,База_КР_КК[[#This Row],[Уровень КК]]=3),IF(COUNTIFS($U$2:$U3117,$U3117,$F$2:$F3117,$F3117)=1,1,0),IF(COUNTIFS($U$2:$U3117,$U3117,$L$2:$L3117,$L3117)=1,1,0)))</f>
        <v>0</v>
      </c>
      <c r="AA31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7" s="106"/>
      <c r="AC3117" s="51"/>
      <c r="AD3117" s="106" t="s">
        <v>15</v>
      </c>
      <c r="AE3117" s="38" t="s">
        <v>376</v>
      </c>
    </row>
    <row r="3118" spans="1:31" ht="18" customHeight="1" x14ac:dyDescent="0.25">
      <c r="A31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8" s="79">
        <v>4</v>
      </c>
      <c r="C3118" s="23">
        <v>44859</v>
      </c>
      <c r="D3118" s="67">
        <f>IF(COUNTIF($G$2:$G3118,$G3118)=1,1,0)</f>
        <v>0</v>
      </c>
      <c r="E3118" s="67" t="str">
        <f>IFERROR(VLOOKUP(База_КР_КК[[#This Row],[ИД штатной должности (S)]],'уровень защищенности'!$B$7:$F$1095,5,0),"не защищена")</f>
        <v>высокий</v>
      </c>
      <c r="F3118" s="68">
        <v>500170</v>
      </c>
      <c r="G3118" s="74" t="s">
        <v>2928</v>
      </c>
      <c r="H3118" s="181">
        <f>INDEX('Списки данных'!$D$2:$D$1048576,MATCH(База_КР_КК[[#This Row],[Структурное подразделение]],'Списки данных'!$C$2:$C$1048576,0))</f>
        <v>7</v>
      </c>
      <c r="I3118" s="80" t="s">
        <v>137</v>
      </c>
      <c r="J3118" s="80" t="s">
        <v>248</v>
      </c>
      <c r="K3118" s="80" t="s">
        <v>249</v>
      </c>
      <c r="L3118" s="30" t="s">
        <v>191</v>
      </c>
      <c r="M3118" s="68">
        <v>6</v>
      </c>
      <c r="N3118" s="181" t="str">
        <f t="shared" si="49"/>
        <v>нет</v>
      </c>
      <c r="O3118" s="23"/>
      <c r="P3118" s="23"/>
      <c r="Q3118" s="106"/>
      <c r="R3118" s="37">
        <v>748</v>
      </c>
      <c r="S3118" s="39" t="s">
        <v>1157</v>
      </c>
      <c r="T3118" s="37">
        <v>1835</v>
      </c>
      <c r="U3118" s="38" t="s">
        <v>1973</v>
      </c>
      <c r="V3118" s="89" t="s">
        <v>272</v>
      </c>
      <c r="W3118" s="89" t="s">
        <v>137</v>
      </c>
      <c r="X3118" s="106" t="s">
        <v>296</v>
      </c>
      <c r="Y3118" s="107" t="s">
        <v>12</v>
      </c>
      <c r="Z3118" s="67">
        <f>IF(База_КР_КК[[#This Row],[Таб.номер резервиста]]="-","-",IF(OR(База_КР_КК[[#This Row],[Уровень КК]]=2,База_КР_КК[[#This Row],[Уровень КК]]=3),IF(COUNTIFS($U$2:$U3118,$U3118,$F$2:$F3118,$F3118)=1,1,0),IF(COUNTIFS($U$2:$U3118,$U3118,$L$2:$L3118,$L3118)=1,1,0)))</f>
        <v>0</v>
      </c>
      <c r="AA31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8" s="106"/>
      <c r="AC3118" s="51"/>
      <c r="AD3118" s="106" t="s">
        <v>15</v>
      </c>
      <c r="AE3118" s="38" t="s">
        <v>376</v>
      </c>
    </row>
    <row r="3119" spans="1:31" ht="18" customHeight="1" x14ac:dyDescent="0.25">
      <c r="A31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19" s="79">
        <v>4</v>
      </c>
      <c r="C3119" s="23">
        <v>44859</v>
      </c>
      <c r="D3119" s="67">
        <f>IF(COUNTIF($G$2:$G3119,$G3119)=1,1,0)</f>
        <v>0</v>
      </c>
      <c r="E3119" s="67" t="str">
        <f>IFERROR(VLOOKUP(База_КР_КК[[#This Row],[ИД штатной должности (S)]],'уровень защищенности'!$B$7:$F$1095,5,0),"не защищена")</f>
        <v>высокий</v>
      </c>
      <c r="F3119" s="68">
        <v>500170</v>
      </c>
      <c r="G3119" s="74" t="s">
        <v>2928</v>
      </c>
      <c r="H3119" s="181">
        <f>INDEX('Списки данных'!$D$2:$D$1048576,MATCH(База_КР_КК[[#This Row],[Структурное подразделение]],'Списки данных'!$C$2:$C$1048576,0))</f>
        <v>7</v>
      </c>
      <c r="I3119" s="80" t="s">
        <v>137</v>
      </c>
      <c r="J3119" s="80" t="s">
        <v>248</v>
      </c>
      <c r="K3119" s="80" t="s">
        <v>249</v>
      </c>
      <c r="L3119" s="30" t="s">
        <v>191</v>
      </c>
      <c r="M3119" s="68">
        <v>6</v>
      </c>
      <c r="N3119" s="181" t="str">
        <f t="shared" si="49"/>
        <v>нет</v>
      </c>
      <c r="O3119" s="23"/>
      <c r="P3119" s="23"/>
      <c r="Q3119" s="106"/>
      <c r="R3119" s="37">
        <v>748</v>
      </c>
      <c r="S3119" s="39" t="s">
        <v>1157</v>
      </c>
      <c r="T3119" s="37">
        <v>1836</v>
      </c>
      <c r="U3119" s="38" t="s">
        <v>1855</v>
      </c>
      <c r="V3119" s="89" t="s">
        <v>272</v>
      </c>
      <c r="W3119" s="89" t="s">
        <v>137</v>
      </c>
      <c r="X3119" s="106" t="s">
        <v>295</v>
      </c>
      <c r="Y3119" s="107" t="s">
        <v>12</v>
      </c>
      <c r="Z3119" s="67">
        <f>IF(База_КР_КК[[#This Row],[Таб.номер резервиста]]="-","-",IF(OR(База_КР_КК[[#This Row],[Уровень КК]]=2,База_КР_КК[[#This Row],[Уровень КК]]=3),IF(COUNTIFS($U$2:$U3119,$U3119,$F$2:$F3119,$F3119)=1,1,0),IF(COUNTIFS($U$2:$U3119,$U3119,$L$2:$L3119,$L3119)=1,1,0)))</f>
        <v>0</v>
      </c>
      <c r="AA31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19" s="106"/>
      <c r="AC3119" s="51"/>
      <c r="AD3119" s="106" t="s">
        <v>15</v>
      </c>
      <c r="AE3119" s="38" t="s">
        <v>376</v>
      </c>
    </row>
    <row r="3120" spans="1:31" ht="18" customHeight="1" x14ac:dyDescent="0.25">
      <c r="A31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0" s="79">
        <v>4</v>
      </c>
      <c r="C3120" s="23">
        <v>44859</v>
      </c>
      <c r="D3120" s="67">
        <f>IF(COUNTIF($G$2:$G3120,$G3120)=1,1,0)</f>
        <v>0</v>
      </c>
      <c r="E3120" s="67" t="str">
        <f>IFERROR(VLOOKUP(База_КР_КК[[#This Row],[ИД штатной должности (S)]],'уровень защищенности'!$B$7:$F$1095,5,0),"не защищена")</f>
        <v>высокий</v>
      </c>
      <c r="F3120" s="68">
        <v>500170</v>
      </c>
      <c r="G3120" s="74" t="s">
        <v>2928</v>
      </c>
      <c r="H3120" s="181">
        <f>INDEX('Списки данных'!$D$2:$D$1048576,MATCH(База_КР_КК[[#This Row],[Структурное подразделение]],'Списки данных'!$C$2:$C$1048576,0))</f>
        <v>7</v>
      </c>
      <c r="I3120" s="80" t="s">
        <v>137</v>
      </c>
      <c r="J3120" s="80" t="s">
        <v>248</v>
      </c>
      <c r="K3120" s="80" t="s">
        <v>249</v>
      </c>
      <c r="L3120" s="30" t="s">
        <v>191</v>
      </c>
      <c r="M3120" s="68">
        <v>6</v>
      </c>
      <c r="N3120" s="181" t="str">
        <f t="shared" si="49"/>
        <v>нет</v>
      </c>
      <c r="O3120" s="23"/>
      <c r="P3120" s="23"/>
      <c r="Q3120" s="106"/>
      <c r="R3120" s="37">
        <v>748</v>
      </c>
      <c r="S3120" s="39" t="s">
        <v>1157</v>
      </c>
      <c r="T3120" s="37">
        <v>1837</v>
      </c>
      <c r="U3120" s="38" t="s">
        <v>2060</v>
      </c>
      <c r="V3120" s="69" t="s">
        <v>272</v>
      </c>
      <c r="W3120" s="89" t="s">
        <v>137</v>
      </c>
      <c r="X3120" s="106" t="s">
        <v>296</v>
      </c>
      <c r="Y3120" s="107" t="s">
        <v>12</v>
      </c>
      <c r="Z3120" s="67">
        <f>IF(База_КР_КК[[#This Row],[Таб.номер резервиста]]="-","-",IF(OR(База_КР_КК[[#This Row],[Уровень КК]]=2,База_КР_КК[[#This Row],[Уровень КК]]=3),IF(COUNTIFS($U$2:$U3120,$U3120,$F$2:$F3120,$F3120)=1,1,0),IF(COUNTIFS($U$2:$U3120,$U3120,$L$2:$L3120,$L3120)=1,1,0)))</f>
        <v>0</v>
      </c>
      <c r="AA31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0" s="106"/>
      <c r="AC3120" s="51"/>
      <c r="AD3120" s="106" t="s">
        <v>15</v>
      </c>
      <c r="AE3120" s="38" t="s">
        <v>376</v>
      </c>
    </row>
    <row r="3121" spans="1:31" ht="18" customHeight="1" x14ac:dyDescent="0.25">
      <c r="A31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1" s="79">
        <v>4</v>
      </c>
      <c r="C3121" s="23">
        <v>44859</v>
      </c>
      <c r="D3121" s="67">
        <f>IF(COUNTIF($G$2:$G3121,$G3121)=1,1,0)</f>
        <v>0</v>
      </c>
      <c r="E3121" s="67" t="str">
        <f>IFERROR(VLOOKUP(База_КР_КК[[#This Row],[ИД штатной должности (S)]],'уровень защищенности'!$B$7:$F$1095,5,0),"не защищена")</f>
        <v>высокий</v>
      </c>
      <c r="F3121" s="68">
        <v>500170</v>
      </c>
      <c r="G3121" s="74" t="s">
        <v>2928</v>
      </c>
      <c r="H3121" s="181">
        <f>INDEX('Списки данных'!$D$2:$D$1048576,MATCH(База_КР_КК[[#This Row],[Структурное подразделение]],'Списки данных'!$C$2:$C$1048576,0))</f>
        <v>7</v>
      </c>
      <c r="I3121" s="80" t="s">
        <v>137</v>
      </c>
      <c r="J3121" s="80" t="s">
        <v>248</v>
      </c>
      <c r="K3121" s="80" t="s">
        <v>249</v>
      </c>
      <c r="L3121" s="30" t="s">
        <v>191</v>
      </c>
      <c r="M3121" s="68">
        <v>6</v>
      </c>
      <c r="N3121" s="181" t="str">
        <f t="shared" si="49"/>
        <v>нет</v>
      </c>
      <c r="O3121" s="23"/>
      <c r="P3121" s="23"/>
      <c r="Q3121" s="106"/>
      <c r="R3121" s="37">
        <v>748</v>
      </c>
      <c r="S3121" s="39" t="s">
        <v>1157</v>
      </c>
      <c r="T3121" s="37">
        <v>1838</v>
      </c>
      <c r="U3121" s="38" t="s">
        <v>1981</v>
      </c>
      <c r="V3121" s="89" t="s">
        <v>272</v>
      </c>
      <c r="W3121" s="89" t="s">
        <v>137</v>
      </c>
      <c r="X3121" s="106" t="s">
        <v>296</v>
      </c>
      <c r="Y3121" s="107" t="s">
        <v>12</v>
      </c>
      <c r="Z3121" s="67">
        <f>IF(База_КР_КК[[#This Row],[Таб.номер резервиста]]="-","-",IF(OR(База_КР_КК[[#This Row],[Уровень КК]]=2,База_КР_КК[[#This Row],[Уровень КК]]=3),IF(COUNTIFS($U$2:$U3121,$U3121,$F$2:$F3121,$F3121)=1,1,0),IF(COUNTIFS($U$2:$U3121,$U3121,$L$2:$L3121,$L3121)=1,1,0)))</f>
        <v>0</v>
      </c>
      <c r="AA31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1" s="106"/>
      <c r="AC3121" s="51"/>
      <c r="AD3121" s="106" t="s">
        <v>15</v>
      </c>
      <c r="AE3121" s="38" t="s">
        <v>376</v>
      </c>
    </row>
    <row r="3122" spans="1:31" ht="18" customHeight="1" x14ac:dyDescent="0.25">
      <c r="A31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2" s="79">
        <v>4</v>
      </c>
      <c r="C3122" s="23">
        <v>44125</v>
      </c>
      <c r="D3122" s="67">
        <f>IF(COUNTIF($G$2:$G3122,$G3122)=1,1,0)</f>
        <v>0</v>
      </c>
      <c r="E3122" s="67" t="str">
        <f>IFERROR(VLOOKUP(База_КР_КК[[#This Row],[ИД штатной должности (S)]],'уровень защищенности'!$B$7:$F$1095,5,0),"не защищена")</f>
        <v>высокий</v>
      </c>
      <c r="F3122" s="68">
        <v>500170</v>
      </c>
      <c r="G3122" s="74" t="s">
        <v>2928</v>
      </c>
      <c r="H3122" s="181">
        <f>INDEX('Списки данных'!$D$2:$D$1048576,MATCH(База_КР_КК[[#This Row],[Структурное подразделение]],'Списки данных'!$C$2:$C$1048576,0))</f>
        <v>7</v>
      </c>
      <c r="I3122" s="80" t="s">
        <v>137</v>
      </c>
      <c r="J3122" s="80" t="s">
        <v>248</v>
      </c>
      <c r="K3122" s="80" t="s">
        <v>249</v>
      </c>
      <c r="L3122" s="30" t="s">
        <v>191</v>
      </c>
      <c r="M3122" s="68">
        <v>6</v>
      </c>
      <c r="N3122" s="181" t="str">
        <f t="shared" si="49"/>
        <v>нет</v>
      </c>
      <c r="O3122" s="23"/>
      <c r="P3122" s="23"/>
      <c r="Q3122" s="106"/>
      <c r="R3122" s="37">
        <v>748</v>
      </c>
      <c r="S3122" s="37" t="s">
        <v>1157</v>
      </c>
      <c r="T3122" s="37">
        <v>1839</v>
      </c>
      <c r="U3122" s="39" t="s">
        <v>2072</v>
      </c>
      <c r="V3122" s="89" t="s">
        <v>272</v>
      </c>
      <c r="W3122" s="89" t="s">
        <v>137</v>
      </c>
      <c r="X3122" s="106" t="s">
        <v>296</v>
      </c>
      <c r="Y3122" s="107" t="s">
        <v>18</v>
      </c>
      <c r="Z3122" s="67">
        <f>IF(База_КР_КК[[#This Row],[Таб.номер резервиста]]="-","-",IF(OR(База_КР_КК[[#This Row],[Уровень КК]]=2,База_КР_КК[[#This Row],[Уровень КК]]=3),IF(COUNTIFS($U$2:$U3122,$U3122,$F$2:$F3122,$F3122)=1,1,0),IF(COUNTIFS($U$2:$U3122,$U3122,$L$2:$L3122,$L3122)=1,1,0)))</f>
        <v>0</v>
      </c>
      <c r="AA31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2" s="106" t="s">
        <v>38</v>
      </c>
      <c r="AC3122" s="51">
        <v>44859</v>
      </c>
      <c r="AD3122" s="106" t="s">
        <v>31</v>
      </c>
      <c r="AE3122" s="38" t="s">
        <v>376</v>
      </c>
    </row>
    <row r="3123" spans="1:31" ht="18" customHeight="1" x14ac:dyDescent="0.25">
      <c r="A31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3" s="79">
        <v>4</v>
      </c>
      <c r="C3123" s="23">
        <v>44469</v>
      </c>
      <c r="D3123" s="67">
        <f>IF(COUNTIF($G$2:$G3123,$G3123)=1,1,0)</f>
        <v>0</v>
      </c>
      <c r="E3123" s="67" t="str">
        <f>IFERROR(VLOOKUP(База_КР_КК[[#This Row],[ИД штатной должности (S)]],'уровень защищенности'!$B$7:$F$1095,5,0),"не защищена")</f>
        <v>высокий</v>
      </c>
      <c r="F3123" s="68">
        <v>500170</v>
      </c>
      <c r="G3123" s="74" t="s">
        <v>2928</v>
      </c>
      <c r="H3123" s="181">
        <f>INDEX('Списки данных'!$D$2:$D$1048576,MATCH(База_КР_КК[[#This Row],[Структурное подразделение]],'Списки данных'!$C$2:$C$1048576,0))</f>
        <v>7</v>
      </c>
      <c r="I3123" s="80" t="s">
        <v>137</v>
      </c>
      <c r="J3123" s="80" t="s">
        <v>248</v>
      </c>
      <c r="K3123" s="80" t="s">
        <v>249</v>
      </c>
      <c r="L3123" s="30" t="s">
        <v>191</v>
      </c>
      <c r="M3123" s="68">
        <v>6</v>
      </c>
      <c r="N3123" s="181" t="str">
        <f t="shared" si="49"/>
        <v>нет</v>
      </c>
      <c r="O3123" s="23"/>
      <c r="P3123" s="23"/>
      <c r="Q3123" s="106"/>
      <c r="R3123" s="37">
        <v>748</v>
      </c>
      <c r="S3123" s="38" t="s">
        <v>1157</v>
      </c>
      <c r="T3123" s="37">
        <v>1840</v>
      </c>
      <c r="U3123" s="39" t="s">
        <v>1965</v>
      </c>
      <c r="V3123" s="69" t="s">
        <v>192</v>
      </c>
      <c r="W3123" s="89" t="s">
        <v>137</v>
      </c>
      <c r="X3123" s="106" t="s">
        <v>297</v>
      </c>
      <c r="Y3123" s="107" t="s">
        <v>18</v>
      </c>
      <c r="Z3123" s="67">
        <f>IF(База_КР_КК[[#This Row],[Таб.номер резервиста]]="-","-",IF(OR(База_КР_КК[[#This Row],[Уровень КК]]=2,База_КР_КК[[#This Row],[Уровень КК]]=3),IF(COUNTIFS($U$2:$U3123,$U3123,$F$2:$F3123,$F3123)=1,1,0),IF(COUNTIFS($U$2:$U3123,$U3123,$L$2:$L3123,$L3123)=1,1,0)))</f>
        <v>0</v>
      </c>
      <c r="AA31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3" s="106" t="s">
        <v>38</v>
      </c>
      <c r="AC3123" s="51">
        <v>44859</v>
      </c>
      <c r="AD3123" s="106" t="s">
        <v>31</v>
      </c>
      <c r="AE3123" s="38" t="s">
        <v>376</v>
      </c>
    </row>
    <row r="3124" spans="1:31" ht="18" customHeight="1" x14ac:dyDescent="0.25">
      <c r="A31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4" s="79">
        <v>4</v>
      </c>
      <c r="C3124" s="23">
        <v>44125</v>
      </c>
      <c r="D3124" s="67">
        <f>IF(COUNTIF($G$2:$G3124,$G3124)=1,1,0)</f>
        <v>1</v>
      </c>
      <c r="E3124" s="67" t="str">
        <f>IFERROR(VLOOKUP(База_КР_КК[[#This Row],[ИД штатной должности (S)]],'уровень защищенности'!$B$7:$F$1095,5,0),"не защищена")</f>
        <v>высокий</v>
      </c>
      <c r="F3124" s="68">
        <v>500171</v>
      </c>
      <c r="G3124" s="74" t="s">
        <v>2929</v>
      </c>
      <c r="H3124" s="181">
        <f>INDEX('Списки данных'!$D$2:$D$1048576,MATCH(База_КР_КК[[#This Row],[Структурное подразделение]],'Списки данных'!$C$2:$C$1048576,0))</f>
        <v>7</v>
      </c>
      <c r="I3124" s="80" t="s">
        <v>137</v>
      </c>
      <c r="J3124" s="80" t="s">
        <v>248</v>
      </c>
      <c r="K3124" s="80" t="s">
        <v>249</v>
      </c>
      <c r="L3124" s="30" t="s">
        <v>192</v>
      </c>
      <c r="M3124" s="68">
        <v>6</v>
      </c>
      <c r="N3124" s="181" t="str">
        <f t="shared" si="49"/>
        <v>нет</v>
      </c>
      <c r="O3124" s="23"/>
      <c r="P3124" s="23"/>
      <c r="Q3124" s="106"/>
      <c r="R3124" s="37">
        <v>749</v>
      </c>
      <c r="S3124" s="38" t="s">
        <v>1158</v>
      </c>
      <c r="T3124" s="37">
        <v>1831</v>
      </c>
      <c r="U3124" s="39" t="s">
        <v>1626</v>
      </c>
      <c r="V3124" s="89" t="s">
        <v>272</v>
      </c>
      <c r="W3124" s="89" t="s">
        <v>137</v>
      </c>
      <c r="X3124" s="106" t="s">
        <v>297</v>
      </c>
      <c r="Y3124" s="107" t="s">
        <v>12</v>
      </c>
      <c r="Z3124" s="67">
        <f>IF(База_КР_КК[[#This Row],[Таб.номер резервиста]]="-","-",IF(OR(База_КР_КК[[#This Row],[Уровень КК]]=2,База_КР_КК[[#This Row],[Уровень КК]]=3),IF(COUNTIFS($U$2:$U3124,$U3124,$F$2:$F3124,$F3124)=1,1,0),IF(COUNTIFS($U$2:$U3124,$U3124,$L$2:$L3124,$L3124)=1,1,0)))</f>
        <v>0</v>
      </c>
      <c r="AA31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4" s="106"/>
      <c r="AC3124" s="51"/>
      <c r="AD3124" s="106" t="s">
        <v>17</v>
      </c>
      <c r="AE3124" s="38" t="s">
        <v>376</v>
      </c>
    </row>
    <row r="3125" spans="1:31" ht="18" customHeight="1" x14ac:dyDescent="0.25">
      <c r="A31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5" s="79">
        <v>4</v>
      </c>
      <c r="C3125" s="23">
        <v>44125</v>
      </c>
      <c r="D3125" s="67">
        <f>IF(COUNTIF($G$2:$G3125,$G3125)=1,1,0)</f>
        <v>0</v>
      </c>
      <c r="E3125" s="67" t="str">
        <f>IFERROR(VLOOKUP(База_КР_КК[[#This Row],[ИД штатной должности (S)]],'уровень защищенности'!$B$7:$F$1095,5,0),"не защищена")</f>
        <v>высокий</v>
      </c>
      <c r="F3125" s="68">
        <v>500171</v>
      </c>
      <c r="G3125" s="74" t="s">
        <v>2929</v>
      </c>
      <c r="H3125" s="181">
        <f>INDEX('Списки данных'!$D$2:$D$1048576,MATCH(База_КР_КК[[#This Row],[Структурное подразделение]],'Списки данных'!$C$2:$C$1048576,0))</f>
        <v>7</v>
      </c>
      <c r="I3125" s="80" t="s">
        <v>137</v>
      </c>
      <c r="J3125" s="80" t="s">
        <v>248</v>
      </c>
      <c r="K3125" s="80" t="s">
        <v>249</v>
      </c>
      <c r="L3125" s="30" t="s">
        <v>192</v>
      </c>
      <c r="M3125" s="68">
        <v>6</v>
      </c>
      <c r="N3125" s="181" t="str">
        <f t="shared" si="49"/>
        <v>нет</v>
      </c>
      <c r="O3125" s="23"/>
      <c r="P3125" s="23"/>
      <c r="Q3125" s="106"/>
      <c r="R3125" s="37">
        <v>749</v>
      </c>
      <c r="S3125" s="38" t="s">
        <v>1158</v>
      </c>
      <c r="T3125" s="37">
        <v>1832</v>
      </c>
      <c r="U3125" s="39" t="s">
        <v>2070</v>
      </c>
      <c r="V3125" s="89" t="s">
        <v>272</v>
      </c>
      <c r="W3125" s="89" t="s">
        <v>137</v>
      </c>
      <c r="X3125" s="106" t="s">
        <v>297</v>
      </c>
      <c r="Y3125" s="107" t="s">
        <v>12</v>
      </c>
      <c r="Z3125" s="67">
        <f>IF(База_КР_КК[[#This Row],[Таб.номер резервиста]]="-","-",IF(OR(База_КР_КК[[#This Row],[Уровень КК]]=2,База_КР_КК[[#This Row],[Уровень КК]]=3),IF(COUNTIFS($U$2:$U3125,$U3125,$F$2:$F3125,$F3125)=1,1,0),IF(COUNTIFS($U$2:$U3125,$U3125,$L$2:$L3125,$L3125)=1,1,0)))</f>
        <v>1</v>
      </c>
      <c r="AA31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5" s="106"/>
      <c r="AC3125" s="51"/>
      <c r="AD3125" s="106" t="s">
        <v>17</v>
      </c>
      <c r="AE3125" s="38" t="s">
        <v>376</v>
      </c>
    </row>
    <row r="3126" spans="1:31" ht="18" customHeight="1" x14ac:dyDescent="0.25">
      <c r="A31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6" s="79">
        <v>4</v>
      </c>
      <c r="C3126" s="23">
        <v>44125</v>
      </c>
      <c r="D3126" s="67">
        <f>IF(COUNTIF($G$2:$G3126,$G3126)=1,1,0)</f>
        <v>0</v>
      </c>
      <c r="E3126" s="67" t="str">
        <f>IFERROR(VLOOKUP(База_КР_КК[[#This Row],[ИД штатной должности (S)]],'уровень защищенности'!$B$7:$F$1095,5,0),"не защищена")</f>
        <v>высокий</v>
      </c>
      <c r="F3126" s="68">
        <v>500171</v>
      </c>
      <c r="G3126" s="74" t="s">
        <v>2929</v>
      </c>
      <c r="H3126" s="181">
        <f>INDEX('Списки данных'!$D$2:$D$1048576,MATCH(База_КР_КК[[#This Row],[Структурное подразделение]],'Списки данных'!$C$2:$C$1048576,0))</f>
        <v>7</v>
      </c>
      <c r="I3126" s="80" t="s">
        <v>137</v>
      </c>
      <c r="J3126" s="80" t="s">
        <v>248</v>
      </c>
      <c r="K3126" s="80" t="s">
        <v>249</v>
      </c>
      <c r="L3126" s="30" t="s">
        <v>192</v>
      </c>
      <c r="M3126" s="68">
        <v>6</v>
      </c>
      <c r="N3126" s="181" t="str">
        <f t="shared" si="49"/>
        <v>нет</v>
      </c>
      <c r="O3126" s="23"/>
      <c r="P3126" s="23"/>
      <c r="Q3126" s="106"/>
      <c r="R3126" s="37">
        <v>749</v>
      </c>
      <c r="S3126" s="38" t="s">
        <v>1158</v>
      </c>
      <c r="T3126" s="37">
        <v>1830</v>
      </c>
      <c r="U3126" s="39" t="s">
        <v>2069</v>
      </c>
      <c r="V3126" s="89" t="s">
        <v>272</v>
      </c>
      <c r="W3126" s="89" t="s">
        <v>137</v>
      </c>
      <c r="X3126" s="106" t="s">
        <v>297</v>
      </c>
      <c r="Y3126" s="107" t="s">
        <v>12</v>
      </c>
      <c r="Z3126" s="67">
        <f>IF(База_КР_КК[[#This Row],[Таб.номер резервиста]]="-","-",IF(OR(База_КР_КК[[#This Row],[Уровень КК]]=2,База_КР_КК[[#This Row],[Уровень КК]]=3),IF(COUNTIFS($U$2:$U3126,$U3126,$F$2:$F3126,$F3126)=1,1,0),IF(COUNTIFS($U$2:$U3126,$U3126,$L$2:$L3126,$L3126)=1,1,0)))</f>
        <v>1</v>
      </c>
      <c r="AA31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6" s="106"/>
      <c r="AC3126" s="51"/>
      <c r="AD3126" s="106" t="s">
        <v>17</v>
      </c>
      <c r="AE3126" s="38" t="s">
        <v>376</v>
      </c>
    </row>
    <row r="3127" spans="1:31" ht="18" customHeight="1" x14ac:dyDescent="0.25">
      <c r="A31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7" s="79">
        <v>4</v>
      </c>
      <c r="C3127" s="23">
        <v>44469</v>
      </c>
      <c r="D3127" s="67">
        <f>IF(COUNTIF($G$2:$G3127,$G3127)=1,1,0)</f>
        <v>0</v>
      </c>
      <c r="E3127" s="67" t="str">
        <f>IFERROR(VLOOKUP(База_КР_КК[[#This Row],[ИД штатной должности (S)]],'уровень защищенности'!$B$7:$F$1095,5,0),"не защищена")</f>
        <v>высокий</v>
      </c>
      <c r="F3127" s="68">
        <v>500171</v>
      </c>
      <c r="G3127" s="74" t="s">
        <v>2929</v>
      </c>
      <c r="H3127" s="181">
        <f>INDEX('Списки данных'!$D$2:$D$1048576,MATCH(База_КР_КК[[#This Row],[Структурное подразделение]],'Списки данных'!$C$2:$C$1048576,0))</f>
        <v>7</v>
      </c>
      <c r="I3127" s="80" t="s">
        <v>137</v>
      </c>
      <c r="J3127" s="80" t="s">
        <v>248</v>
      </c>
      <c r="K3127" s="80" t="s">
        <v>249</v>
      </c>
      <c r="L3127" s="30" t="s">
        <v>192</v>
      </c>
      <c r="M3127" s="68">
        <v>6</v>
      </c>
      <c r="N3127" s="181" t="str">
        <f t="shared" si="49"/>
        <v>нет</v>
      </c>
      <c r="O3127" s="23"/>
      <c r="P3127" s="23"/>
      <c r="Q3127" s="106"/>
      <c r="R3127" s="37">
        <v>749</v>
      </c>
      <c r="S3127" s="38" t="s">
        <v>1158</v>
      </c>
      <c r="T3127" s="37">
        <v>1833</v>
      </c>
      <c r="U3127" s="39" t="s">
        <v>2071</v>
      </c>
      <c r="V3127" s="69" t="s">
        <v>272</v>
      </c>
      <c r="W3127" s="89" t="s">
        <v>137</v>
      </c>
      <c r="X3127" s="106" t="s">
        <v>297</v>
      </c>
      <c r="Y3127" s="107" t="s">
        <v>12</v>
      </c>
      <c r="Z3127" s="67">
        <f>IF(База_КР_КК[[#This Row],[Таб.номер резервиста]]="-","-",IF(OR(База_КР_КК[[#This Row],[Уровень КК]]=2,База_КР_КК[[#This Row],[Уровень КК]]=3),IF(COUNTIFS($U$2:$U3127,$U3127,$F$2:$F3127,$F3127)=1,1,0),IF(COUNTIFS($U$2:$U3127,$U3127,$L$2:$L3127,$L3127)=1,1,0)))</f>
        <v>1</v>
      </c>
      <c r="AA31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7" s="106"/>
      <c r="AC3127" s="51"/>
      <c r="AD3127" s="106" t="s">
        <v>17</v>
      </c>
      <c r="AE3127" s="38" t="s">
        <v>376</v>
      </c>
    </row>
    <row r="3128" spans="1:31" ht="18" customHeight="1" x14ac:dyDescent="0.25">
      <c r="A31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8" s="79">
        <v>4</v>
      </c>
      <c r="C3128" s="23">
        <v>44859</v>
      </c>
      <c r="D3128" s="67">
        <f>IF(COUNTIF($G$2:$G3128,$G3128)=1,1,0)</f>
        <v>0</v>
      </c>
      <c r="E3128" s="67" t="str">
        <f>IFERROR(VLOOKUP(База_КР_КК[[#This Row],[ИД штатной должности (S)]],'уровень защищенности'!$B$7:$F$1095,5,0),"не защищена")</f>
        <v>высокий</v>
      </c>
      <c r="F3128" s="68">
        <v>500171</v>
      </c>
      <c r="G3128" s="74" t="s">
        <v>2929</v>
      </c>
      <c r="H3128" s="181">
        <f>INDEX('Списки данных'!$D$2:$D$1048576,MATCH(База_КР_КК[[#This Row],[Структурное подразделение]],'Списки данных'!$C$2:$C$1048576,0))</f>
        <v>7</v>
      </c>
      <c r="I3128" s="80" t="s">
        <v>137</v>
      </c>
      <c r="J3128" s="80" t="s">
        <v>248</v>
      </c>
      <c r="K3128" s="80" t="s">
        <v>249</v>
      </c>
      <c r="L3128" s="30" t="s">
        <v>192</v>
      </c>
      <c r="M3128" s="68">
        <v>6</v>
      </c>
      <c r="N3128" s="181" t="str">
        <f t="shared" si="49"/>
        <v>нет</v>
      </c>
      <c r="O3128" s="23"/>
      <c r="P3128" s="23"/>
      <c r="Q3128" s="106"/>
      <c r="R3128" s="37">
        <v>749</v>
      </c>
      <c r="S3128" s="39" t="s">
        <v>1158</v>
      </c>
      <c r="T3128" s="37">
        <v>1834</v>
      </c>
      <c r="U3128" s="38" t="s">
        <v>1851</v>
      </c>
      <c r="V3128" s="89" t="s">
        <v>272</v>
      </c>
      <c r="W3128" s="89" t="s">
        <v>137</v>
      </c>
      <c r="X3128" s="106" t="s">
        <v>296</v>
      </c>
      <c r="Y3128" s="107" t="s">
        <v>12</v>
      </c>
      <c r="Z3128" s="67">
        <f>IF(База_КР_КК[[#This Row],[Таб.номер резервиста]]="-","-",IF(OR(База_КР_КК[[#This Row],[Уровень КК]]=2,База_КР_КК[[#This Row],[Уровень КК]]=3),IF(COUNTIFS($U$2:$U3128,$U3128,$F$2:$F3128,$F3128)=1,1,0),IF(COUNTIFS($U$2:$U3128,$U3128,$L$2:$L3128,$L3128)=1,1,0)))</f>
        <v>1</v>
      </c>
      <c r="AA31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8" s="106"/>
      <c r="AC3128" s="51"/>
      <c r="AD3128" s="106" t="s">
        <v>15</v>
      </c>
      <c r="AE3128" s="38" t="s">
        <v>376</v>
      </c>
    </row>
    <row r="3129" spans="1:31" ht="18" customHeight="1" x14ac:dyDescent="0.25">
      <c r="A31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29" s="79">
        <v>4</v>
      </c>
      <c r="C3129" s="23">
        <v>44859</v>
      </c>
      <c r="D3129" s="67">
        <f>IF(COUNTIF($G$2:$G3129,$G3129)=1,1,0)</f>
        <v>0</v>
      </c>
      <c r="E3129" s="67" t="str">
        <f>IFERROR(VLOOKUP(База_КР_КК[[#This Row],[ИД штатной должности (S)]],'уровень защищенности'!$B$7:$F$1095,5,0),"не защищена")</f>
        <v>высокий</v>
      </c>
      <c r="F3129" s="68">
        <v>500171</v>
      </c>
      <c r="G3129" s="74" t="s">
        <v>2929</v>
      </c>
      <c r="H3129" s="181">
        <f>INDEX('Списки данных'!$D$2:$D$1048576,MATCH(База_КР_КК[[#This Row],[Структурное подразделение]],'Списки данных'!$C$2:$C$1048576,0))</f>
        <v>7</v>
      </c>
      <c r="I3129" s="80" t="s">
        <v>137</v>
      </c>
      <c r="J3129" s="80" t="s">
        <v>248</v>
      </c>
      <c r="K3129" s="80" t="s">
        <v>249</v>
      </c>
      <c r="L3129" s="30" t="s">
        <v>192</v>
      </c>
      <c r="M3129" s="68">
        <v>6</v>
      </c>
      <c r="N3129" s="181" t="str">
        <f t="shared" si="49"/>
        <v>нет</v>
      </c>
      <c r="O3129" s="23"/>
      <c r="P3129" s="23"/>
      <c r="Q3129" s="106"/>
      <c r="R3129" s="37">
        <v>749</v>
      </c>
      <c r="S3129" s="39" t="s">
        <v>1158</v>
      </c>
      <c r="T3129" s="37">
        <v>1835</v>
      </c>
      <c r="U3129" s="38" t="s">
        <v>1973</v>
      </c>
      <c r="V3129" s="89" t="s">
        <v>272</v>
      </c>
      <c r="W3129" s="89" t="s">
        <v>137</v>
      </c>
      <c r="X3129" s="106" t="s">
        <v>296</v>
      </c>
      <c r="Y3129" s="107" t="s">
        <v>12</v>
      </c>
      <c r="Z3129" s="67">
        <f>IF(База_КР_КК[[#This Row],[Таб.номер резервиста]]="-","-",IF(OR(База_КР_КК[[#This Row],[Уровень КК]]=2,База_КР_КК[[#This Row],[Уровень КК]]=3),IF(COUNTIFS($U$2:$U3129,$U3129,$F$2:$F3129,$F3129)=1,1,0),IF(COUNTIFS($U$2:$U3129,$U3129,$L$2:$L3129,$L3129)=1,1,0)))</f>
        <v>1</v>
      </c>
      <c r="AA31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29" s="106"/>
      <c r="AC3129" s="51"/>
      <c r="AD3129" s="106" t="s">
        <v>15</v>
      </c>
      <c r="AE3129" s="38" t="s">
        <v>376</v>
      </c>
    </row>
    <row r="3130" spans="1:31" ht="18" customHeight="1" x14ac:dyDescent="0.25">
      <c r="A31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0" s="79">
        <v>4</v>
      </c>
      <c r="C3130" s="23">
        <v>44859</v>
      </c>
      <c r="D3130" s="67">
        <f>IF(COUNTIF($G$2:$G3130,$G3130)=1,1,0)</f>
        <v>0</v>
      </c>
      <c r="E3130" s="67" t="str">
        <f>IFERROR(VLOOKUP(База_КР_КК[[#This Row],[ИД штатной должности (S)]],'уровень защищенности'!$B$7:$F$1095,5,0),"не защищена")</f>
        <v>высокий</v>
      </c>
      <c r="F3130" s="68">
        <v>500171</v>
      </c>
      <c r="G3130" s="74" t="s">
        <v>2929</v>
      </c>
      <c r="H3130" s="181">
        <f>INDEX('Списки данных'!$D$2:$D$1048576,MATCH(База_КР_КК[[#This Row],[Структурное подразделение]],'Списки данных'!$C$2:$C$1048576,0))</f>
        <v>7</v>
      </c>
      <c r="I3130" s="80" t="s">
        <v>137</v>
      </c>
      <c r="J3130" s="80" t="s">
        <v>248</v>
      </c>
      <c r="K3130" s="80" t="s">
        <v>249</v>
      </c>
      <c r="L3130" s="30" t="s">
        <v>192</v>
      </c>
      <c r="M3130" s="68">
        <v>6</v>
      </c>
      <c r="N3130" s="181" t="str">
        <f t="shared" si="49"/>
        <v>нет</v>
      </c>
      <c r="O3130" s="23"/>
      <c r="P3130" s="23"/>
      <c r="Q3130" s="106"/>
      <c r="R3130" s="37">
        <v>749</v>
      </c>
      <c r="S3130" s="39" t="s">
        <v>1158</v>
      </c>
      <c r="T3130" s="37">
        <v>1836</v>
      </c>
      <c r="U3130" s="38" t="s">
        <v>1855</v>
      </c>
      <c r="V3130" s="89" t="s">
        <v>272</v>
      </c>
      <c r="W3130" s="89" t="s">
        <v>137</v>
      </c>
      <c r="X3130" s="106" t="s">
        <v>295</v>
      </c>
      <c r="Y3130" s="107" t="s">
        <v>12</v>
      </c>
      <c r="Z3130" s="67">
        <f>IF(База_КР_КК[[#This Row],[Таб.номер резервиста]]="-","-",IF(OR(База_КР_КК[[#This Row],[Уровень КК]]=2,База_КР_КК[[#This Row],[Уровень КК]]=3),IF(COUNTIFS($U$2:$U3130,$U3130,$F$2:$F3130,$F3130)=1,1,0),IF(COUNTIFS($U$2:$U3130,$U3130,$L$2:$L3130,$L3130)=1,1,0)))</f>
        <v>1</v>
      </c>
      <c r="AA31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0" s="106"/>
      <c r="AC3130" s="51"/>
      <c r="AD3130" s="106" t="s">
        <v>15</v>
      </c>
      <c r="AE3130" s="38" t="s">
        <v>376</v>
      </c>
    </row>
    <row r="3131" spans="1:31" ht="18" customHeight="1" x14ac:dyDescent="0.25">
      <c r="A31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1" s="79">
        <v>4</v>
      </c>
      <c r="C3131" s="23">
        <v>44859</v>
      </c>
      <c r="D3131" s="67">
        <f>IF(COUNTIF($G$2:$G3131,$G3131)=1,1,0)</f>
        <v>0</v>
      </c>
      <c r="E3131" s="67" t="str">
        <f>IFERROR(VLOOKUP(База_КР_КК[[#This Row],[ИД штатной должности (S)]],'уровень защищенности'!$B$7:$F$1095,5,0),"не защищена")</f>
        <v>высокий</v>
      </c>
      <c r="F3131" s="68">
        <v>500171</v>
      </c>
      <c r="G3131" s="74" t="s">
        <v>2929</v>
      </c>
      <c r="H3131" s="181">
        <f>INDEX('Списки данных'!$D$2:$D$1048576,MATCH(База_КР_КК[[#This Row],[Структурное подразделение]],'Списки данных'!$C$2:$C$1048576,0))</f>
        <v>7</v>
      </c>
      <c r="I3131" s="80" t="s">
        <v>137</v>
      </c>
      <c r="J3131" s="80" t="s">
        <v>248</v>
      </c>
      <c r="K3131" s="80" t="s">
        <v>249</v>
      </c>
      <c r="L3131" s="30" t="s">
        <v>192</v>
      </c>
      <c r="M3131" s="68">
        <v>6</v>
      </c>
      <c r="N3131" s="181" t="str">
        <f t="shared" si="49"/>
        <v>нет</v>
      </c>
      <c r="O3131" s="23"/>
      <c r="P3131" s="23"/>
      <c r="Q3131" s="106"/>
      <c r="R3131" s="37">
        <v>749</v>
      </c>
      <c r="S3131" s="39" t="s">
        <v>1158</v>
      </c>
      <c r="T3131" s="37">
        <v>1837</v>
      </c>
      <c r="U3131" s="38" t="s">
        <v>2060</v>
      </c>
      <c r="V3131" s="69" t="s">
        <v>272</v>
      </c>
      <c r="W3131" s="89" t="s">
        <v>137</v>
      </c>
      <c r="X3131" s="106" t="s">
        <v>296</v>
      </c>
      <c r="Y3131" s="107" t="s">
        <v>12</v>
      </c>
      <c r="Z3131" s="67">
        <f>IF(База_КР_КК[[#This Row],[Таб.номер резервиста]]="-","-",IF(OR(База_КР_КК[[#This Row],[Уровень КК]]=2,База_КР_КК[[#This Row],[Уровень КК]]=3),IF(COUNTIFS($U$2:$U3131,$U3131,$F$2:$F3131,$F3131)=1,1,0),IF(COUNTIFS($U$2:$U3131,$U3131,$L$2:$L3131,$L3131)=1,1,0)))</f>
        <v>1</v>
      </c>
      <c r="AA31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1" s="106"/>
      <c r="AC3131" s="51"/>
      <c r="AD3131" s="106" t="s">
        <v>15</v>
      </c>
      <c r="AE3131" s="38" t="s">
        <v>376</v>
      </c>
    </row>
    <row r="3132" spans="1:31" ht="18" customHeight="1" x14ac:dyDescent="0.25">
      <c r="A31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2" s="79">
        <v>4</v>
      </c>
      <c r="C3132" s="23">
        <v>44859</v>
      </c>
      <c r="D3132" s="67">
        <f>IF(COUNTIF($G$2:$G3132,$G3132)=1,1,0)</f>
        <v>0</v>
      </c>
      <c r="E3132" s="67" t="str">
        <f>IFERROR(VLOOKUP(База_КР_КК[[#This Row],[ИД штатной должности (S)]],'уровень защищенности'!$B$7:$F$1095,5,0),"не защищена")</f>
        <v>высокий</v>
      </c>
      <c r="F3132" s="68">
        <v>500171</v>
      </c>
      <c r="G3132" s="74" t="s">
        <v>2929</v>
      </c>
      <c r="H3132" s="181">
        <f>INDEX('Списки данных'!$D$2:$D$1048576,MATCH(База_КР_КК[[#This Row],[Структурное подразделение]],'Списки данных'!$C$2:$C$1048576,0))</f>
        <v>7</v>
      </c>
      <c r="I3132" s="80" t="s">
        <v>137</v>
      </c>
      <c r="J3132" s="80" t="s">
        <v>248</v>
      </c>
      <c r="K3132" s="80" t="s">
        <v>249</v>
      </c>
      <c r="L3132" s="30" t="s">
        <v>192</v>
      </c>
      <c r="M3132" s="68">
        <v>6</v>
      </c>
      <c r="N3132" s="181" t="str">
        <f t="shared" si="49"/>
        <v>нет</v>
      </c>
      <c r="O3132" s="23"/>
      <c r="P3132" s="23"/>
      <c r="Q3132" s="106"/>
      <c r="R3132" s="37">
        <v>749</v>
      </c>
      <c r="S3132" s="39" t="s">
        <v>1158</v>
      </c>
      <c r="T3132" s="37">
        <v>1838</v>
      </c>
      <c r="U3132" s="38" t="s">
        <v>1981</v>
      </c>
      <c r="V3132" s="89" t="s">
        <v>272</v>
      </c>
      <c r="W3132" s="89" t="s">
        <v>137</v>
      </c>
      <c r="X3132" s="106" t="s">
        <v>296</v>
      </c>
      <c r="Y3132" s="107" t="s">
        <v>12</v>
      </c>
      <c r="Z3132" s="67">
        <f>IF(База_КР_КК[[#This Row],[Таб.номер резервиста]]="-","-",IF(OR(База_КР_КК[[#This Row],[Уровень КК]]=2,База_КР_КК[[#This Row],[Уровень КК]]=3),IF(COUNTIFS($U$2:$U3132,$U3132,$F$2:$F3132,$F3132)=1,1,0),IF(COUNTIFS($U$2:$U3132,$U3132,$L$2:$L3132,$L3132)=1,1,0)))</f>
        <v>1</v>
      </c>
      <c r="AA31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2" s="106"/>
      <c r="AC3132" s="51"/>
      <c r="AD3132" s="106" t="s">
        <v>15</v>
      </c>
      <c r="AE3132" s="38" t="s">
        <v>376</v>
      </c>
    </row>
    <row r="3133" spans="1:31" ht="18" customHeight="1" x14ac:dyDescent="0.25">
      <c r="A31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3" s="79">
        <v>4</v>
      </c>
      <c r="C3133" s="23">
        <v>44125</v>
      </c>
      <c r="D3133" s="67">
        <f>IF(COUNTIF($G$2:$G3133,$G3133)=1,1,0)</f>
        <v>0</v>
      </c>
      <c r="E3133" s="67" t="str">
        <f>IFERROR(VLOOKUP(База_КР_КК[[#This Row],[ИД штатной должности (S)]],'уровень защищенности'!$B$7:$F$1095,5,0),"не защищена")</f>
        <v>высокий</v>
      </c>
      <c r="F3133" s="68">
        <v>500171</v>
      </c>
      <c r="G3133" s="74" t="s">
        <v>2929</v>
      </c>
      <c r="H3133" s="181">
        <f>INDEX('Списки данных'!$D$2:$D$1048576,MATCH(База_КР_КК[[#This Row],[Структурное подразделение]],'Списки данных'!$C$2:$C$1048576,0))</f>
        <v>7</v>
      </c>
      <c r="I3133" s="80" t="s">
        <v>137</v>
      </c>
      <c r="J3133" s="80" t="s">
        <v>248</v>
      </c>
      <c r="K3133" s="80" t="s">
        <v>249</v>
      </c>
      <c r="L3133" s="30" t="s">
        <v>192</v>
      </c>
      <c r="M3133" s="68">
        <v>6</v>
      </c>
      <c r="N3133" s="181" t="str">
        <f t="shared" si="49"/>
        <v>нет</v>
      </c>
      <c r="O3133" s="23"/>
      <c r="P3133" s="23"/>
      <c r="Q3133" s="106"/>
      <c r="R3133" s="37">
        <v>749</v>
      </c>
      <c r="S3133" s="38" t="s">
        <v>1158</v>
      </c>
      <c r="T3133" s="37">
        <v>1839</v>
      </c>
      <c r="U3133" s="39" t="s">
        <v>2072</v>
      </c>
      <c r="V3133" s="69" t="s">
        <v>272</v>
      </c>
      <c r="W3133" s="89" t="s">
        <v>137</v>
      </c>
      <c r="X3133" s="106" t="s">
        <v>296</v>
      </c>
      <c r="Y3133" s="107" t="s">
        <v>18</v>
      </c>
      <c r="Z3133" s="67">
        <f>IF(База_КР_КК[[#This Row],[Таб.номер резервиста]]="-","-",IF(OR(База_КР_КК[[#This Row],[Уровень КК]]=2,База_КР_КК[[#This Row],[Уровень КК]]=3),IF(COUNTIFS($U$2:$U3133,$U3133,$F$2:$F3133,$F3133)=1,1,0),IF(COUNTIFS($U$2:$U3133,$U3133,$L$2:$L3133,$L3133)=1,1,0)))</f>
        <v>1</v>
      </c>
      <c r="AA31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3" s="106" t="s">
        <v>38</v>
      </c>
      <c r="AC3133" s="51">
        <v>44859</v>
      </c>
      <c r="AD3133" s="106" t="s">
        <v>31</v>
      </c>
      <c r="AE3133" s="38" t="s">
        <v>376</v>
      </c>
    </row>
    <row r="3134" spans="1:31" ht="18" customHeight="1" x14ac:dyDescent="0.25">
      <c r="A31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4" s="79">
        <v>4</v>
      </c>
      <c r="C3134" s="23">
        <v>44469</v>
      </c>
      <c r="D3134" s="67">
        <f>IF(COUNTIF($G$2:$G3134,$G3134)=1,1,0)</f>
        <v>0</v>
      </c>
      <c r="E3134" s="67" t="str">
        <f>IFERROR(VLOOKUP(База_КР_КК[[#This Row],[ИД штатной должности (S)]],'уровень защищенности'!$B$7:$F$1095,5,0),"не защищена")</f>
        <v>высокий</v>
      </c>
      <c r="F3134" s="68">
        <v>500171</v>
      </c>
      <c r="G3134" s="74" t="s">
        <v>2929</v>
      </c>
      <c r="H3134" s="181">
        <f>INDEX('Списки данных'!$D$2:$D$1048576,MATCH(База_КР_КК[[#This Row],[Структурное подразделение]],'Списки данных'!$C$2:$C$1048576,0))</f>
        <v>7</v>
      </c>
      <c r="I3134" s="80" t="s">
        <v>137</v>
      </c>
      <c r="J3134" s="80" t="s">
        <v>248</v>
      </c>
      <c r="K3134" s="80" t="s">
        <v>249</v>
      </c>
      <c r="L3134" s="30" t="s">
        <v>192</v>
      </c>
      <c r="M3134" s="68">
        <v>6</v>
      </c>
      <c r="N3134" s="181" t="str">
        <f t="shared" si="49"/>
        <v>нет</v>
      </c>
      <c r="O3134" s="23"/>
      <c r="P3134" s="23"/>
      <c r="Q3134" s="106"/>
      <c r="R3134" s="37">
        <v>749</v>
      </c>
      <c r="S3134" s="38" t="s">
        <v>1158</v>
      </c>
      <c r="T3134" s="37">
        <v>1840</v>
      </c>
      <c r="U3134" s="39" t="s">
        <v>1965</v>
      </c>
      <c r="V3134" s="69" t="s">
        <v>192</v>
      </c>
      <c r="W3134" s="89" t="s">
        <v>137</v>
      </c>
      <c r="X3134" s="106" t="s">
        <v>297</v>
      </c>
      <c r="Y3134" s="107" t="s">
        <v>18</v>
      </c>
      <c r="Z3134" s="67">
        <f>IF(База_КР_КК[[#This Row],[Таб.номер резервиста]]="-","-",IF(OR(База_КР_КК[[#This Row],[Уровень КК]]=2,База_КР_КК[[#This Row],[Уровень КК]]=3),IF(COUNTIFS($U$2:$U3134,$U3134,$F$2:$F3134,$F3134)=1,1,0),IF(COUNTIFS($U$2:$U3134,$U3134,$L$2:$L3134,$L3134)=1,1,0)))</f>
        <v>1</v>
      </c>
      <c r="AA31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4" s="106" t="s">
        <v>38</v>
      </c>
      <c r="AC3134" s="51">
        <v>44859</v>
      </c>
      <c r="AD3134" s="106" t="s">
        <v>31</v>
      </c>
      <c r="AE3134" s="38" t="s">
        <v>376</v>
      </c>
    </row>
    <row r="3135" spans="1:31" ht="18" customHeight="1" x14ac:dyDescent="0.25">
      <c r="A31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5" s="79">
        <v>4</v>
      </c>
      <c r="C3135" s="23">
        <v>44125</v>
      </c>
      <c r="D3135" s="67">
        <f>IF(COUNTIF($G$2:$G3135,$G3135)=1,1,0)</f>
        <v>1</v>
      </c>
      <c r="E3135" s="67" t="str">
        <f>IFERROR(VLOOKUP(База_КР_КК[[#This Row],[ИД штатной должности (S)]],'уровень защищенности'!$B$7:$F$1095,5,0),"не защищена")</f>
        <v>высокий</v>
      </c>
      <c r="F3135" s="68">
        <v>500172</v>
      </c>
      <c r="G3135" s="74" t="s">
        <v>2930</v>
      </c>
      <c r="H3135" s="181">
        <f>INDEX('Списки данных'!$D$2:$D$1048576,MATCH(База_КР_КК[[#This Row],[Структурное подразделение]],'Списки данных'!$C$2:$C$1048576,0))</f>
        <v>7</v>
      </c>
      <c r="I3135" s="80" t="s">
        <v>137</v>
      </c>
      <c r="J3135" s="80" t="s">
        <v>248</v>
      </c>
      <c r="K3135" s="80" t="s">
        <v>249</v>
      </c>
      <c r="L3135" s="30" t="s">
        <v>192</v>
      </c>
      <c r="M3135" s="68">
        <v>6</v>
      </c>
      <c r="N3135" s="181" t="str">
        <f t="shared" ref="N3135:N3198" si="50">IF(ISBLANK(O3135),"нет","да")</f>
        <v>нет</v>
      </c>
      <c r="O3135" s="23"/>
      <c r="P3135" s="23"/>
      <c r="Q3135" s="106"/>
      <c r="R3135" s="37">
        <v>750</v>
      </c>
      <c r="S3135" s="37" t="s">
        <v>1159</v>
      </c>
      <c r="T3135" s="37">
        <v>1830</v>
      </c>
      <c r="U3135" s="39" t="s">
        <v>2069</v>
      </c>
      <c r="V3135" s="89" t="s">
        <v>272</v>
      </c>
      <c r="W3135" s="89" t="s">
        <v>137</v>
      </c>
      <c r="X3135" s="106" t="s">
        <v>297</v>
      </c>
      <c r="Y3135" s="107" t="s">
        <v>12</v>
      </c>
      <c r="Z3135" s="67">
        <f>IF(База_КР_КК[[#This Row],[Таб.номер резервиста]]="-","-",IF(OR(База_КР_КК[[#This Row],[Уровень КК]]=2,База_КР_КК[[#This Row],[Уровень КК]]=3),IF(COUNTIFS($U$2:$U3135,$U3135,$F$2:$F3135,$F3135)=1,1,0),IF(COUNTIFS($U$2:$U3135,$U3135,$L$2:$L3135,$L3135)=1,1,0)))</f>
        <v>0</v>
      </c>
      <c r="AA31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5" s="106"/>
      <c r="AC3135" s="51"/>
      <c r="AD3135" s="106" t="s">
        <v>17</v>
      </c>
      <c r="AE3135" s="38" t="s">
        <v>376</v>
      </c>
    </row>
    <row r="3136" spans="1:31" ht="18" customHeight="1" x14ac:dyDescent="0.25">
      <c r="A31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6" s="79">
        <v>4</v>
      </c>
      <c r="C3136" s="23">
        <v>44125</v>
      </c>
      <c r="D3136" s="67">
        <f>IF(COUNTIF($G$2:$G3136,$G3136)=1,1,0)</f>
        <v>0</v>
      </c>
      <c r="E3136" s="67" t="str">
        <f>IFERROR(VLOOKUP(База_КР_КК[[#This Row],[ИД штатной должности (S)]],'уровень защищенности'!$B$7:$F$1095,5,0),"не защищена")</f>
        <v>высокий</v>
      </c>
      <c r="F3136" s="68">
        <v>500172</v>
      </c>
      <c r="G3136" s="74" t="s">
        <v>2930</v>
      </c>
      <c r="H3136" s="181">
        <f>INDEX('Списки данных'!$D$2:$D$1048576,MATCH(База_КР_КК[[#This Row],[Структурное подразделение]],'Списки данных'!$C$2:$C$1048576,0))</f>
        <v>7</v>
      </c>
      <c r="I3136" s="80" t="s">
        <v>137</v>
      </c>
      <c r="J3136" s="80" t="s">
        <v>248</v>
      </c>
      <c r="K3136" s="80" t="s">
        <v>249</v>
      </c>
      <c r="L3136" s="30" t="s">
        <v>192</v>
      </c>
      <c r="M3136" s="68">
        <v>6</v>
      </c>
      <c r="N3136" s="181" t="str">
        <f t="shared" si="50"/>
        <v>нет</v>
      </c>
      <c r="O3136" s="23"/>
      <c r="P3136" s="23"/>
      <c r="Q3136" s="106"/>
      <c r="R3136" s="37">
        <v>750</v>
      </c>
      <c r="S3136" s="38" t="s">
        <v>1159</v>
      </c>
      <c r="T3136" s="37">
        <v>1831</v>
      </c>
      <c r="U3136" s="39" t="s">
        <v>1626</v>
      </c>
      <c r="V3136" s="89" t="s">
        <v>272</v>
      </c>
      <c r="W3136" s="89" t="s">
        <v>137</v>
      </c>
      <c r="X3136" s="106" t="s">
        <v>297</v>
      </c>
      <c r="Y3136" s="107" t="s">
        <v>12</v>
      </c>
      <c r="Z3136" s="67">
        <f>IF(База_КР_КК[[#This Row],[Таб.номер резервиста]]="-","-",IF(OR(База_КР_КК[[#This Row],[Уровень КК]]=2,База_КР_КК[[#This Row],[Уровень КК]]=3),IF(COUNTIFS($U$2:$U3136,$U3136,$F$2:$F3136,$F3136)=1,1,0),IF(COUNTIFS($U$2:$U3136,$U3136,$L$2:$L3136,$L3136)=1,1,0)))</f>
        <v>0</v>
      </c>
      <c r="AA31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6" s="106"/>
      <c r="AC3136" s="51"/>
      <c r="AD3136" s="106" t="s">
        <v>17</v>
      </c>
      <c r="AE3136" s="38" t="s">
        <v>376</v>
      </c>
    </row>
    <row r="3137" spans="1:31" ht="18" customHeight="1" x14ac:dyDescent="0.25">
      <c r="A31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7" s="79">
        <v>4</v>
      </c>
      <c r="C3137" s="23">
        <v>44125</v>
      </c>
      <c r="D3137" s="67">
        <f>IF(COUNTIF($G$2:$G3137,$G3137)=1,1,0)</f>
        <v>0</v>
      </c>
      <c r="E3137" s="67" t="str">
        <f>IFERROR(VLOOKUP(База_КР_КК[[#This Row],[ИД штатной должности (S)]],'уровень защищенности'!$B$7:$F$1095,5,0),"не защищена")</f>
        <v>высокий</v>
      </c>
      <c r="F3137" s="68">
        <v>500172</v>
      </c>
      <c r="G3137" s="74" t="s">
        <v>2930</v>
      </c>
      <c r="H3137" s="181">
        <f>INDEX('Списки данных'!$D$2:$D$1048576,MATCH(База_КР_КК[[#This Row],[Структурное подразделение]],'Списки данных'!$C$2:$C$1048576,0))</f>
        <v>7</v>
      </c>
      <c r="I3137" s="80" t="s">
        <v>137</v>
      </c>
      <c r="J3137" s="80" t="s">
        <v>248</v>
      </c>
      <c r="K3137" s="80" t="s">
        <v>249</v>
      </c>
      <c r="L3137" s="30" t="s">
        <v>192</v>
      </c>
      <c r="M3137" s="68">
        <v>6</v>
      </c>
      <c r="N3137" s="181" t="str">
        <f t="shared" si="50"/>
        <v>нет</v>
      </c>
      <c r="O3137" s="23"/>
      <c r="P3137" s="23"/>
      <c r="Q3137" s="106"/>
      <c r="R3137" s="37">
        <v>750</v>
      </c>
      <c r="S3137" s="38" t="s">
        <v>1159</v>
      </c>
      <c r="T3137" s="37">
        <v>1832</v>
      </c>
      <c r="U3137" s="39" t="s">
        <v>2070</v>
      </c>
      <c r="V3137" s="89" t="s">
        <v>272</v>
      </c>
      <c r="W3137" s="89" t="s">
        <v>137</v>
      </c>
      <c r="X3137" s="106" t="s">
        <v>297</v>
      </c>
      <c r="Y3137" s="107" t="s">
        <v>12</v>
      </c>
      <c r="Z3137" s="67">
        <f>IF(База_КР_КК[[#This Row],[Таб.номер резервиста]]="-","-",IF(OR(База_КР_КК[[#This Row],[Уровень КК]]=2,База_КР_КК[[#This Row],[Уровень КК]]=3),IF(COUNTIFS($U$2:$U3137,$U3137,$F$2:$F3137,$F3137)=1,1,0),IF(COUNTIFS($U$2:$U3137,$U3137,$L$2:$L3137,$L3137)=1,1,0)))</f>
        <v>0</v>
      </c>
      <c r="AA31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7" s="106"/>
      <c r="AC3137" s="51"/>
      <c r="AD3137" s="106" t="s">
        <v>17</v>
      </c>
      <c r="AE3137" s="38" t="s">
        <v>376</v>
      </c>
    </row>
    <row r="3138" spans="1:31" ht="18" customHeight="1" x14ac:dyDescent="0.25">
      <c r="A31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8" s="79">
        <v>4</v>
      </c>
      <c r="C3138" s="23">
        <v>44469</v>
      </c>
      <c r="D3138" s="67">
        <f>IF(COUNTIF($G$2:$G3138,$G3138)=1,1,0)</f>
        <v>0</v>
      </c>
      <c r="E3138" s="67" t="str">
        <f>IFERROR(VLOOKUP(База_КР_КК[[#This Row],[ИД штатной должности (S)]],'уровень защищенности'!$B$7:$F$1095,5,0),"не защищена")</f>
        <v>высокий</v>
      </c>
      <c r="F3138" s="68">
        <v>500172</v>
      </c>
      <c r="G3138" s="74" t="s">
        <v>2930</v>
      </c>
      <c r="H3138" s="181">
        <f>INDEX('Списки данных'!$D$2:$D$1048576,MATCH(База_КР_КК[[#This Row],[Структурное подразделение]],'Списки данных'!$C$2:$C$1048576,0))</f>
        <v>7</v>
      </c>
      <c r="I3138" s="80" t="s">
        <v>137</v>
      </c>
      <c r="J3138" s="80" t="s">
        <v>248</v>
      </c>
      <c r="K3138" s="80" t="s">
        <v>249</v>
      </c>
      <c r="L3138" s="30" t="s">
        <v>192</v>
      </c>
      <c r="M3138" s="68">
        <v>6</v>
      </c>
      <c r="N3138" s="181" t="str">
        <f t="shared" si="50"/>
        <v>нет</v>
      </c>
      <c r="O3138" s="23"/>
      <c r="P3138" s="23"/>
      <c r="Q3138" s="106"/>
      <c r="R3138" s="37">
        <v>750</v>
      </c>
      <c r="S3138" s="38" t="s">
        <v>1159</v>
      </c>
      <c r="T3138" s="37">
        <v>1833</v>
      </c>
      <c r="U3138" s="39" t="s">
        <v>2071</v>
      </c>
      <c r="V3138" s="69" t="s">
        <v>272</v>
      </c>
      <c r="W3138" s="89" t="s">
        <v>137</v>
      </c>
      <c r="X3138" s="106" t="s">
        <v>297</v>
      </c>
      <c r="Y3138" s="107" t="s">
        <v>12</v>
      </c>
      <c r="Z3138" s="67">
        <f>IF(База_КР_КК[[#This Row],[Таб.номер резервиста]]="-","-",IF(OR(База_КР_КК[[#This Row],[Уровень КК]]=2,База_КР_КК[[#This Row],[Уровень КК]]=3),IF(COUNTIFS($U$2:$U3138,$U3138,$F$2:$F3138,$F3138)=1,1,0),IF(COUNTIFS($U$2:$U3138,$U3138,$L$2:$L3138,$L3138)=1,1,0)))</f>
        <v>0</v>
      </c>
      <c r="AA31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8" s="106"/>
      <c r="AC3138" s="51"/>
      <c r="AD3138" s="106" t="s">
        <v>17</v>
      </c>
      <c r="AE3138" s="38" t="s">
        <v>376</v>
      </c>
    </row>
    <row r="3139" spans="1:31" ht="18" customHeight="1" x14ac:dyDescent="0.25">
      <c r="A31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39" s="79">
        <v>4</v>
      </c>
      <c r="C3139" s="23">
        <v>44859</v>
      </c>
      <c r="D3139" s="67">
        <f>IF(COUNTIF($G$2:$G3139,$G3139)=1,1,0)</f>
        <v>0</v>
      </c>
      <c r="E3139" s="67" t="str">
        <f>IFERROR(VLOOKUP(База_КР_КК[[#This Row],[ИД штатной должности (S)]],'уровень защищенности'!$B$7:$F$1095,5,0),"не защищена")</f>
        <v>высокий</v>
      </c>
      <c r="F3139" s="68">
        <v>500172</v>
      </c>
      <c r="G3139" s="74" t="s">
        <v>2930</v>
      </c>
      <c r="H3139" s="181">
        <f>INDEX('Списки данных'!$D$2:$D$1048576,MATCH(База_КР_КК[[#This Row],[Структурное подразделение]],'Списки данных'!$C$2:$C$1048576,0))</f>
        <v>7</v>
      </c>
      <c r="I3139" s="80" t="s">
        <v>137</v>
      </c>
      <c r="J3139" s="80" t="s">
        <v>248</v>
      </c>
      <c r="K3139" s="80" t="s">
        <v>249</v>
      </c>
      <c r="L3139" s="30" t="s">
        <v>192</v>
      </c>
      <c r="M3139" s="68">
        <v>6</v>
      </c>
      <c r="N3139" s="181" t="str">
        <f t="shared" si="50"/>
        <v>нет</v>
      </c>
      <c r="O3139" s="23"/>
      <c r="P3139" s="23"/>
      <c r="Q3139" s="106"/>
      <c r="R3139" s="37">
        <v>750</v>
      </c>
      <c r="S3139" s="37" t="s">
        <v>1159</v>
      </c>
      <c r="T3139" s="37">
        <v>1834</v>
      </c>
      <c r="U3139" s="38" t="s">
        <v>1851</v>
      </c>
      <c r="V3139" s="89" t="s">
        <v>272</v>
      </c>
      <c r="W3139" s="89" t="s">
        <v>137</v>
      </c>
      <c r="X3139" s="106" t="s">
        <v>296</v>
      </c>
      <c r="Y3139" s="107" t="s">
        <v>12</v>
      </c>
      <c r="Z3139" s="67">
        <f>IF(База_КР_КК[[#This Row],[Таб.номер резервиста]]="-","-",IF(OR(База_КР_КК[[#This Row],[Уровень КК]]=2,База_КР_КК[[#This Row],[Уровень КК]]=3),IF(COUNTIFS($U$2:$U3139,$U3139,$F$2:$F3139,$F3139)=1,1,0),IF(COUNTIFS($U$2:$U3139,$U3139,$L$2:$L3139,$L3139)=1,1,0)))</f>
        <v>0</v>
      </c>
      <c r="AA31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39" s="106"/>
      <c r="AC3139" s="51"/>
      <c r="AD3139" s="106" t="s">
        <v>15</v>
      </c>
      <c r="AE3139" s="38" t="s">
        <v>376</v>
      </c>
    </row>
    <row r="3140" spans="1:31" ht="18" customHeight="1" x14ac:dyDescent="0.25">
      <c r="A31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0" s="79">
        <v>4</v>
      </c>
      <c r="C3140" s="23">
        <v>44859</v>
      </c>
      <c r="D3140" s="67">
        <f>IF(COUNTIF($G$2:$G3140,$G3140)=1,1,0)</f>
        <v>0</v>
      </c>
      <c r="E3140" s="67" t="str">
        <f>IFERROR(VLOOKUP(База_КР_КК[[#This Row],[ИД штатной должности (S)]],'уровень защищенности'!$B$7:$F$1095,5,0),"не защищена")</f>
        <v>высокий</v>
      </c>
      <c r="F3140" s="68">
        <v>500172</v>
      </c>
      <c r="G3140" s="74" t="s">
        <v>2930</v>
      </c>
      <c r="H3140" s="181">
        <f>INDEX('Списки данных'!$D$2:$D$1048576,MATCH(База_КР_КК[[#This Row],[Структурное подразделение]],'Списки данных'!$C$2:$C$1048576,0))</f>
        <v>7</v>
      </c>
      <c r="I3140" s="80" t="s">
        <v>137</v>
      </c>
      <c r="J3140" s="80" t="s">
        <v>248</v>
      </c>
      <c r="K3140" s="80" t="s">
        <v>249</v>
      </c>
      <c r="L3140" s="30" t="s">
        <v>192</v>
      </c>
      <c r="M3140" s="68">
        <v>6</v>
      </c>
      <c r="N3140" s="181" t="str">
        <f t="shared" si="50"/>
        <v>нет</v>
      </c>
      <c r="O3140" s="23"/>
      <c r="P3140" s="23"/>
      <c r="Q3140" s="106"/>
      <c r="R3140" s="37">
        <v>750</v>
      </c>
      <c r="S3140" s="37" t="s">
        <v>1159</v>
      </c>
      <c r="T3140" s="37">
        <v>1835</v>
      </c>
      <c r="U3140" s="38" t="s">
        <v>1973</v>
      </c>
      <c r="V3140" s="69" t="s">
        <v>272</v>
      </c>
      <c r="W3140" s="89" t="s">
        <v>137</v>
      </c>
      <c r="X3140" s="106" t="s">
        <v>296</v>
      </c>
      <c r="Y3140" s="107" t="s">
        <v>12</v>
      </c>
      <c r="Z3140" s="67">
        <f>IF(База_КР_КК[[#This Row],[Таб.номер резервиста]]="-","-",IF(OR(База_КР_КК[[#This Row],[Уровень КК]]=2,База_КР_КК[[#This Row],[Уровень КК]]=3),IF(COUNTIFS($U$2:$U3140,$U3140,$F$2:$F3140,$F3140)=1,1,0),IF(COUNTIFS($U$2:$U3140,$U3140,$L$2:$L3140,$L3140)=1,1,0)))</f>
        <v>0</v>
      </c>
      <c r="AA31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0" s="106"/>
      <c r="AC3140" s="51"/>
      <c r="AD3140" s="106" t="s">
        <v>15</v>
      </c>
      <c r="AE3140" s="38" t="s">
        <v>376</v>
      </c>
    </row>
    <row r="3141" spans="1:31" ht="18" customHeight="1" x14ac:dyDescent="0.25">
      <c r="A31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1" s="79">
        <v>4</v>
      </c>
      <c r="C3141" s="23">
        <v>44859</v>
      </c>
      <c r="D3141" s="67">
        <f>IF(COUNTIF($G$2:$G3141,$G3141)=1,1,0)</f>
        <v>0</v>
      </c>
      <c r="E3141" s="67" t="str">
        <f>IFERROR(VLOOKUP(База_КР_КК[[#This Row],[ИД штатной должности (S)]],'уровень защищенности'!$B$7:$F$1095,5,0),"не защищена")</f>
        <v>высокий</v>
      </c>
      <c r="F3141" s="68">
        <v>500172</v>
      </c>
      <c r="G3141" s="74" t="s">
        <v>2930</v>
      </c>
      <c r="H3141" s="181">
        <f>INDEX('Списки данных'!$D$2:$D$1048576,MATCH(База_КР_КК[[#This Row],[Структурное подразделение]],'Списки данных'!$C$2:$C$1048576,0))</f>
        <v>7</v>
      </c>
      <c r="I3141" s="80" t="s">
        <v>137</v>
      </c>
      <c r="J3141" s="80" t="s">
        <v>248</v>
      </c>
      <c r="K3141" s="80" t="s">
        <v>249</v>
      </c>
      <c r="L3141" s="30" t="s">
        <v>192</v>
      </c>
      <c r="M3141" s="68">
        <v>6</v>
      </c>
      <c r="N3141" s="181" t="str">
        <f t="shared" si="50"/>
        <v>нет</v>
      </c>
      <c r="O3141" s="23"/>
      <c r="P3141" s="23"/>
      <c r="Q3141" s="106"/>
      <c r="R3141" s="37">
        <v>750</v>
      </c>
      <c r="S3141" s="37" t="s">
        <v>1159</v>
      </c>
      <c r="T3141" s="37">
        <v>1836</v>
      </c>
      <c r="U3141" s="38" t="s">
        <v>1855</v>
      </c>
      <c r="V3141" s="89" t="s">
        <v>272</v>
      </c>
      <c r="W3141" s="89" t="s">
        <v>137</v>
      </c>
      <c r="X3141" s="106" t="s">
        <v>295</v>
      </c>
      <c r="Y3141" s="107" t="s">
        <v>12</v>
      </c>
      <c r="Z3141" s="67">
        <f>IF(База_КР_КК[[#This Row],[Таб.номер резервиста]]="-","-",IF(OR(База_КР_КК[[#This Row],[Уровень КК]]=2,База_КР_КК[[#This Row],[Уровень КК]]=3),IF(COUNTIFS($U$2:$U3141,$U3141,$F$2:$F3141,$F3141)=1,1,0),IF(COUNTIFS($U$2:$U3141,$U3141,$L$2:$L3141,$L3141)=1,1,0)))</f>
        <v>0</v>
      </c>
      <c r="AA31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1" s="106"/>
      <c r="AC3141" s="51"/>
      <c r="AD3141" s="106" t="s">
        <v>15</v>
      </c>
      <c r="AE3141" s="38" t="s">
        <v>376</v>
      </c>
    </row>
    <row r="3142" spans="1:31" ht="18" customHeight="1" x14ac:dyDescent="0.25">
      <c r="A31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2" s="79">
        <v>4</v>
      </c>
      <c r="C3142" s="23">
        <v>44859</v>
      </c>
      <c r="D3142" s="67">
        <f>IF(COUNTIF($G$2:$G3142,$G3142)=1,1,0)</f>
        <v>0</v>
      </c>
      <c r="E3142" s="67" t="str">
        <f>IFERROR(VLOOKUP(База_КР_КК[[#This Row],[ИД штатной должности (S)]],'уровень защищенности'!$B$7:$F$1095,5,0),"не защищена")</f>
        <v>высокий</v>
      </c>
      <c r="F3142" s="68">
        <v>500172</v>
      </c>
      <c r="G3142" s="74" t="s">
        <v>2930</v>
      </c>
      <c r="H3142" s="181">
        <f>INDEX('Списки данных'!$D$2:$D$1048576,MATCH(База_КР_КК[[#This Row],[Структурное подразделение]],'Списки данных'!$C$2:$C$1048576,0))</f>
        <v>7</v>
      </c>
      <c r="I3142" s="80" t="s">
        <v>137</v>
      </c>
      <c r="J3142" s="80" t="s">
        <v>248</v>
      </c>
      <c r="K3142" s="80" t="s">
        <v>249</v>
      </c>
      <c r="L3142" s="30" t="s">
        <v>192</v>
      </c>
      <c r="M3142" s="68">
        <v>6</v>
      </c>
      <c r="N3142" s="181" t="str">
        <f t="shared" si="50"/>
        <v>нет</v>
      </c>
      <c r="O3142" s="23"/>
      <c r="P3142" s="23"/>
      <c r="Q3142" s="106"/>
      <c r="R3142" s="37">
        <v>750</v>
      </c>
      <c r="S3142" s="37" t="s">
        <v>1159</v>
      </c>
      <c r="T3142" s="37">
        <v>1837</v>
      </c>
      <c r="U3142" s="38" t="s">
        <v>2060</v>
      </c>
      <c r="V3142" s="89" t="s">
        <v>272</v>
      </c>
      <c r="W3142" s="89" t="s">
        <v>137</v>
      </c>
      <c r="X3142" s="106" t="s">
        <v>296</v>
      </c>
      <c r="Y3142" s="107" t="s">
        <v>12</v>
      </c>
      <c r="Z3142" s="67">
        <f>IF(База_КР_КК[[#This Row],[Таб.номер резервиста]]="-","-",IF(OR(База_КР_КК[[#This Row],[Уровень КК]]=2,База_КР_КК[[#This Row],[Уровень КК]]=3),IF(COUNTIFS($U$2:$U3142,$U3142,$F$2:$F3142,$F3142)=1,1,0),IF(COUNTIFS($U$2:$U3142,$U3142,$L$2:$L3142,$L3142)=1,1,0)))</f>
        <v>0</v>
      </c>
      <c r="AA31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2" s="106"/>
      <c r="AC3142" s="51"/>
      <c r="AD3142" s="106" t="s">
        <v>15</v>
      </c>
      <c r="AE3142" s="38" t="s">
        <v>376</v>
      </c>
    </row>
    <row r="3143" spans="1:31" ht="18" customHeight="1" x14ac:dyDescent="0.25">
      <c r="A31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3" s="79">
        <v>4</v>
      </c>
      <c r="C3143" s="23">
        <v>44859</v>
      </c>
      <c r="D3143" s="67">
        <f>IF(COUNTIF($G$2:$G3143,$G3143)=1,1,0)</f>
        <v>0</v>
      </c>
      <c r="E3143" s="67" t="str">
        <f>IFERROR(VLOOKUP(База_КР_КК[[#This Row],[ИД штатной должности (S)]],'уровень защищенности'!$B$7:$F$1095,5,0),"не защищена")</f>
        <v>высокий</v>
      </c>
      <c r="F3143" s="68">
        <v>500172</v>
      </c>
      <c r="G3143" s="74" t="s">
        <v>2930</v>
      </c>
      <c r="H3143" s="181">
        <f>INDEX('Списки данных'!$D$2:$D$1048576,MATCH(База_КР_КК[[#This Row],[Структурное подразделение]],'Списки данных'!$C$2:$C$1048576,0))</f>
        <v>7</v>
      </c>
      <c r="I3143" s="80" t="s">
        <v>137</v>
      </c>
      <c r="J3143" s="80" t="s">
        <v>248</v>
      </c>
      <c r="K3143" s="80" t="s">
        <v>249</v>
      </c>
      <c r="L3143" s="30" t="s">
        <v>192</v>
      </c>
      <c r="M3143" s="68">
        <v>6</v>
      </c>
      <c r="N3143" s="181" t="str">
        <f t="shared" si="50"/>
        <v>нет</v>
      </c>
      <c r="O3143" s="23"/>
      <c r="P3143" s="23"/>
      <c r="Q3143" s="106"/>
      <c r="R3143" s="37">
        <v>750</v>
      </c>
      <c r="S3143" s="37" t="s">
        <v>1159</v>
      </c>
      <c r="T3143" s="37">
        <v>1838</v>
      </c>
      <c r="U3143" s="38" t="s">
        <v>1981</v>
      </c>
      <c r="V3143" s="89" t="s">
        <v>272</v>
      </c>
      <c r="W3143" s="89" t="s">
        <v>137</v>
      </c>
      <c r="X3143" s="106" t="s">
        <v>296</v>
      </c>
      <c r="Y3143" s="107" t="s">
        <v>12</v>
      </c>
      <c r="Z3143" s="67">
        <f>IF(База_КР_КК[[#This Row],[Таб.номер резервиста]]="-","-",IF(OR(База_КР_КК[[#This Row],[Уровень КК]]=2,База_КР_КК[[#This Row],[Уровень КК]]=3),IF(COUNTIFS($U$2:$U3143,$U3143,$F$2:$F3143,$F3143)=1,1,0),IF(COUNTIFS($U$2:$U3143,$U3143,$L$2:$L3143,$L3143)=1,1,0)))</f>
        <v>0</v>
      </c>
      <c r="AA31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3" s="106"/>
      <c r="AC3143" s="51"/>
      <c r="AD3143" s="106" t="s">
        <v>15</v>
      </c>
      <c r="AE3143" s="38" t="s">
        <v>376</v>
      </c>
    </row>
    <row r="3144" spans="1:31" ht="18" customHeight="1" x14ac:dyDescent="0.25">
      <c r="A31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4" s="79">
        <v>4</v>
      </c>
      <c r="C3144" s="23">
        <v>44125</v>
      </c>
      <c r="D3144" s="67">
        <f>IF(COUNTIF($G$2:$G3144,$G3144)=1,1,0)</f>
        <v>0</v>
      </c>
      <c r="E3144" s="67" t="str">
        <f>IFERROR(VLOOKUP(База_КР_КК[[#This Row],[ИД штатной должности (S)]],'уровень защищенности'!$B$7:$F$1095,5,0),"не защищена")</f>
        <v>высокий</v>
      </c>
      <c r="F3144" s="68">
        <v>500172</v>
      </c>
      <c r="G3144" s="74" t="s">
        <v>2930</v>
      </c>
      <c r="H3144" s="181">
        <f>INDEX('Списки данных'!$D$2:$D$1048576,MATCH(База_КР_КК[[#This Row],[Структурное подразделение]],'Списки данных'!$C$2:$C$1048576,0))</f>
        <v>7</v>
      </c>
      <c r="I3144" s="80" t="s">
        <v>137</v>
      </c>
      <c r="J3144" s="80" t="s">
        <v>248</v>
      </c>
      <c r="K3144" s="80" t="s">
        <v>249</v>
      </c>
      <c r="L3144" s="30" t="s">
        <v>192</v>
      </c>
      <c r="M3144" s="68">
        <v>6</v>
      </c>
      <c r="N3144" s="181" t="str">
        <f t="shared" si="50"/>
        <v>нет</v>
      </c>
      <c r="O3144" s="23"/>
      <c r="P3144" s="23"/>
      <c r="Q3144" s="106"/>
      <c r="R3144" s="37">
        <v>750</v>
      </c>
      <c r="S3144" s="37" t="s">
        <v>1159</v>
      </c>
      <c r="T3144" s="37">
        <v>1839</v>
      </c>
      <c r="U3144" s="39" t="s">
        <v>2072</v>
      </c>
      <c r="V3144" s="89" t="s">
        <v>272</v>
      </c>
      <c r="W3144" s="89" t="s">
        <v>137</v>
      </c>
      <c r="X3144" s="106" t="s">
        <v>296</v>
      </c>
      <c r="Y3144" s="107" t="s">
        <v>18</v>
      </c>
      <c r="Z3144" s="67">
        <f>IF(База_КР_КК[[#This Row],[Таб.номер резервиста]]="-","-",IF(OR(База_КР_КК[[#This Row],[Уровень КК]]=2,База_КР_КК[[#This Row],[Уровень КК]]=3),IF(COUNTIFS($U$2:$U3144,$U3144,$F$2:$F3144,$F3144)=1,1,0),IF(COUNTIFS($U$2:$U3144,$U3144,$L$2:$L3144,$L3144)=1,1,0)))</f>
        <v>0</v>
      </c>
      <c r="AA31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4" s="106" t="s">
        <v>38</v>
      </c>
      <c r="AC3144" s="51">
        <v>44859</v>
      </c>
      <c r="AD3144" s="106" t="s">
        <v>31</v>
      </c>
      <c r="AE3144" s="38" t="s">
        <v>376</v>
      </c>
    </row>
    <row r="3145" spans="1:31" ht="18" customHeight="1" x14ac:dyDescent="0.25">
      <c r="A31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5" s="79">
        <v>4</v>
      </c>
      <c r="C3145" s="23">
        <v>44469</v>
      </c>
      <c r="D3145" s="67">
        <f>IF(COUNTIF($G$2:$G3145,$G3145)=1,1,0)</f>
        <v>0</v>
      </c>
      <c r="E3145" s="67" t="str">
        <f>IFERROR(VLOOKUP(База_КР_КК[[#This Row],[ИД штатной должности (S)]],'уровень защищенности'!$B$7:$F$1095,5,0),"не защищена")</f>
        <v>высокий</v>
      </c>
      <c r="F3145" s="68">
        <v>500172</v>
      </c>
      <c r="G3145" s="74" t="s">
        <v>2930</v>
      </c>
      <c r="H3145" s="181">
        <f>INDEX('Списки данных'!$D$2:$D$1048576,MATCH(База_КР_КК[[#This Row],[Структурное подразделение]],'Списки данных'!$C$2:$C$1048576,0))</f>
        <v>7</v>
      </c>
      <c r="I3145" s="80" t="s">
        <v>137</v>
      </c>
      <c r="J3145" s="80" t="s">
        <v>248</v>
      </c>
      <c r="K3145" s="80" t="s">
        <v>249</v>
      </c>
      <c r="L3145" s="30" t="s">
        <v>192</v>
      </c>
      <c r="M3145" s="68">
        <v>6</v>
      </c>
      <c r="N3145" s="181" t="str">
        <f t="shared" si="50"/>
        <v>нет</v>
      </c>
      <c r="O3145" s="23"/>
      <c r="P3145" s="23"/>
      <c r="Q3145" s="106"/>
      <c r="R3145" s="37">
        <v>750</v>
      </c>
      <c r="S3145" s="38" t="s">
        <v>1159</v>
      </c>
      <c r="T3145" s="37">
        <v>1840</v>
      </c>
      <c r="U3145" s="39" t="s">
        <v>1965</v>
      </c>
      <c r="V3145" s="69" t="s">
        <v>192</v>
      </c>
      <c r="W3145" s="89" t="s">
        <v>137</v>
      </c>
      <c r="X3145" s="106" t="s">
        <v>297</v>
      </c>
      <c r="Y3145" s="107" t="s">
        <v>18</v>
      </c>
      <c r="Z3145" s="67">
        <f>IF(База_КР_КК[[#This Row],[Таб.номер резервиста]]="-","-",IF(OR(База_КР_КК[[#This Row],[Уровень КК]]=2,База_КР_КК[[#This Row],[Уровень КК]]=3),IF(COUNTIFS($U$2:$U3145,$U3145,$F$2:$F3145,$F3145)=1,1,0),IF(COUNTIFS($U$2:$U3145,$U3145,$L$2:$L3145,$L3145)=1,1,0)))</f>
        <v>0</v>
      </c>
      <c r="AA31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5" s="106" t="s">
        <v>38</v>
      </c>
      <c r="AC3145" s="51">
        <v>44859</v>
      </c>
      <c r="AD3145" s="106" t="s">
        <v>31</v>
      </c>
      <c r="AE3145" s="38" t="s">
        <v>376</v>
      </c>
    </row>
    <row r="3146" spans="1:31" ht="18" customHeight="1" x14ac:dyDescent="0.25">
      <c r="A31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6" s="79">
        <v>4</v>
      </c>
      <c r="C3146" s="23">
        <v>44125</v>
      </c>
      <c r="D3146" s="67">
        <f>IF(COUNTIF($G$2:$G3146,$G3146)=1,1,0)</f>
        <v>1</v>
      </c>
      <c r="E3146" s="67" t="str">
        <f>IFERROR(VLOOKUP(База_КР_КК[[#This Row],[ИД штатной должности (S)]],'уровень защищенности'!$B$7:$F$1095,5,0),"не защищена")</f>
        <v>высокий</v>
      </c>
      <c r="F3146" s="68">
        <v>500172</v>
      </c>
      <c r="G3146" s="74" t="s">
        <v>2931</v>
      </c>
      <c r="H3146" s="181">
        <f>INDEX('Списки данных'!$D$2:$D$1048576,MATCH(База_КР_КК[[#This Row],[Структурное подразделение]],'Списки данных'!$C$2:$C$1048576,0))</f>
        <v>7</v>
      </c>
      <c r="I3146" s="80" t="s">
        <v>137</v>
      </c>
      <c r="J3146" s="80" t="s">
        <v>248</v>
      </c>
      <c r="K3146" s="80" t="s">
        <v>249</v>
      </c>
      <c r="L3146" s="30" t="s">
        <v>192</v>
      </c>
      <c r="M3146" s="68">
        <v>6</v>
      </c>
      <c r="N3146" s="181" t="str">
        <f t="shared" si="50"/>
        <v>да</v>
      </c>
      <c r="O3146" s="23">
        <v>44176</v>
      </c>
      <c r="P3146" s="23">
        <v>44176</v>
      </c>
      <c r="Q3146" s="106" t="s">
        <v>57</v>
      </c>
      <c r="R3146" s="37">
        <v>751</v>
      </c>
      <c r="S3146" s="38" t="s">
        <v>1160</v>
      </c>
      <c r="T3146" s="37">
        <v>1831</v>
      </c>
      <c r="U3146" s="39" t="s">
        <v>1626</v>
      </c>
      <c r="V3146" s="89" t="s">
        <v>272</v>
      </c>
      <c r="W3146" s="89" t="s">
        <v>137</v>
      </c>
      <c r="X3146" s="106" t="s">
        <v>297</v>
      </c>
      <c r="Y3146" s="107" t="s">
        <v>12</v>
      </c>
      <c r="Z3146" s="67">
        <f>IF(База_КР_КК[[#This Row],[Таб.номер резервиста]]="-","-",IF(OR(База_КР_КК[[#This Row],[Уровень КК]]=2,База_КР_КК[[#This Row],[Уровень КК]]=3),IF(COUNTIFS($U$2:$U3146,$U3146,$F$2:$F3146,$F3146)=1,1,0),IF(COUNTIFS($U$2:$U3146,$U3146,$L$2:$L3146,$L3146)=1,1,0)))</f>
        <v>0</v>
      </c>
      <c r="AA31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6" s="106"/>
      <c r="AC3146" s="51"/>
      <c r="AD3146" s="106" t="s">
        <v>17</v>
      </c>
      <c r="AE3146" s="38" t="s">
        <v>376</v>
      </c>
    </row>
    <row r="3147" spans="1:31" ht="18" customHeight="1" x14ac:dyDescent="0.25">
      <c r="A31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7" s="79">
        <v>4</v>
      </c>
      <c r="C3147" s="23">
        <v>44125</v>
      </c>
      <c r="D3147" s="67">
        <f>IF(COUNTIF($G$2:$G3147,$G3147)=1,1,0)</f>
        <v>0</v>
      </c>
      <c r="E3147" s="67" t="str">
        <f>IFERROR(VLOOKUP(База_КР_КК[[#This Row],[ИД штатной должности (S)]],'уровень защищенности'!$B$7:$F$1095,5,0),"не защищена")</f>
        <v>высокий</v>
      </c>
      <c r="F3147" s="68">
        <v>500172</v>
      </c>
      <c r="G3147" s="74" t="s">
        <v>2931</v>
      </c>
      <c r="H3147" s="181">
        <f>INDEX('Списки данных'!$D$2:$D$1048576,MATCH(База_КР_КК[[#This Row],[Структурное подразделение]],'Списки данных'!$C$2:$C$1048576,0))</f>
        <v>7</v>
      </c>
      <c r="I3147" s="80" t="s">
        <v>137</v>
      </c>
      <c r="J3147" s="80" t="s">
        <v>248</v>
      </c>
      <c r="K3147" s="80" t="s">
        <v>249</v>
      </c>
      <c r="L3147" s="30" t="s">
        <v>192</v>
      </c>
      <c r="M3147" s="68">
        <v>6</v>
      </c>
      <c r="N3147" s="181" t="str">
        <f t="shared" si="50"/>
        <v>да</v>
      </c>
      <c r="O3147" s="23">
        <v>44176</v>
      </c>
      <c r="P3147" s="23">
        <v>44176</v>
      </c>
      <c r="Q3147" s="106" t="s">
        <v>57</v>
      </c>
      <c r="R3147" s="37">
        <v>751</v>
      </c>
      <c r="S3147" s="38" t="s">
        <v>1160</v>
      </c>
      <c r="T3147" s="37">
        <v>1832</v>
      </c>
      <c r="U3147" s="39" t="s">
        <v>2070</v>
      </c>
      <c r="V3147" s="89" t="s">
        <v>272</v>
      </c>
      <c r="W3147" s="89" t="s">
        <v>137</v>
      </c>
      <c r="X3147" s="106" t="s">
        <v>297</v>
      </c>
      <c r="Y3147" s="107" t="s">
        <v>12</v>
      </c>
      <c r="Z3147" s="67">
        <f>IF(База_КР_КК[[#This Row],[Таб.номер резервиста]]="-","-",IF(OR(База_КР_КК[[#This Row],[Уровень КК]]=2,База_КР_КК[[#This Row],[Уровень КК]]=3),IF(COUNTIFS($U$2:$U3147,$U3147,$F$2:$F3147,$F3147)=1,1,0),IF(COUNTIFS($U$2:$U3147,$U3147,$L$2:$L3147,$L3147)=1,1,0)))</f>
        <v>0</v>
      </c>
      <c r="AA31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7" s="106"/>
      <c r="AC3147" s="51"/>
      <c r="AD3147" s="106" t="s">
        <v>17</v>
      </c>
      <c r="AE3147" s="38" t="s">
        <v>376</v>
      </c>
    </row>
    <row r="3148" spans="1:31" ht="18" customHeight="1" x14ac:dyDescent="0.25">
      <c r="A31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8" s="79">
        <v>4</v>
      </c>
      <c r="C3148" s="23">
        <v>44125</v>
      </c>
      <c r="D3148" s="67">
        <f>IF(COUNTIF($G$2:$G3148,$G3148)=1,1,0)</f>
        <v>0</v>
      </c>
      <c r="E3148" s="67" t="str">
        <f>IFERROR(VLOOKUP(База_КР_КК[[#This Row],[ИД штатной должности (S)]],'уровень защищенности'!$B$7:$F$1095,5,0),"не защищена")</f>
        <v>высокий</v>
      </c>
      <c r="F3148" s="68">
        <v>500172</v>
      </c>
      <c r="G3148" s="74" t="s">
        <v>2931</v>
      </c>
      <c r="H3148" s="181">
        <f>INDEX('Списки данных'!$D$2:$D$1048576,MATCH(База_КР_КК[[#This Row],[Структурное подразделение]],'Списки данных'!$C$2:$C$1048576,0))</f>
        <v>7</v>
      </c>
      <c r="I3148" s="80" t="s">
        <v>137</v>
      </c>
      <c r="J3148" s="80" t="s">
        <v>248</v>
      </c>
      <c r="K3148" s="80" t="s">
        <v>249</v>
      </c>
      <c r="L3148" s="30" t="s">
        <v>192</v>
      </c>
      <c r="M3148" s="68">
        <v>6</v>
      </c>
      <c r="N3148" s="181" t="str">
        <f t="shared" si="50"/>
        <v>да</v>
      </c>
      <c r="O3148" s="23">
        <v>44176</v>
      </c>
      <c r="P3148" s="23">
        <v>44176</v>
      </c>
      <c r="Q3148" s="106" t="s">
        <v>57</v>
      </c>
      <c r="R3148" s="37">
        <v>751</v>
      </c>
      <c r="S3148" s="38" t="s">
        <v>1160</v>
      </c>
      <c r="T3148" s="37">
        <v>1830</v>
      </c>
      <c r="U3148" s="39" t="s">
        <v>2069</v>
      </c>
      <c r="V3148" s="89" t="s">
        <v>272</v>
      </c>
      <c r="W3148" s="89" t="s">
        <v>137</v>
      </c>
      <c r="X3148" s="106" t="s">
        <v>297</v>
      </c>
      <c r="Y3148" s="107" t="s">
        <v>12</v>
      </c>
      <c r="Z3148" s="67">
        <f>IF(База_КР_КК[[#This Row],[Таб.номер резервиста]]="-","-",IF(OR(База_КР_КК[[#This Row],[Уровень КК]]=2,База_КР_КК[[#This Row],[Уровень КК]]=3),IF(COUNTIFS($U$2:$U3148,$U3148,$F$2:$F3148,$F3148)=1,1,0),IF(COUNTIFS($U$2:$U3148,$U3148,$L$2:$L3148,$L3148)=1,1,0)))</f>
        <v>0</v>
      </c>
      <c r="AA31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8" s="106"/>
      <c r="AC3148" s="51"/>
      <c r="AD3148" s="106" t="s">
        <v>17</v>
      </c>
      <c r="AE3148" s="38" t="s">
        <v>376</v>
      </c>
    </row>
    <row r="3149" spans="1:31" ht="18" customHeight="1" x14ac:dyDescent="0.25">
      <c r="A31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49" s="79">
        <v>4</v>
      </c>
      <c r="C3149" s="23">
        <v>44859</v>
      </c>
      <c r="D3149" s="67">
        <f>IF(COUNTIF($G$2:$G3149,$G3149)=1,1,0)</f>
        <v>0</v>
      </c>
      <c r="E3149" s="67" t="str">
        <f>IFERROR(VLOOKUP(База_КР_КК[[#This Row],[ИД штатной должности (S)]],'уровень защищенности'!$B$7:$F$1095,5,0),"не защищена")</f>
        <v>высокий</v>
      </c>
      <c r="F3149" s="68">
        <v>500172</v>
      </c>
      <c r="G3149" s="74" t="s">
        <v>2931</v>
      </c>
      <c r="H3149" s="181">
        <f>INDEX('Списки данных'!$D$2:$D$1048576,MATCH(База_КР_КК[[#This Row],[Структурное подразделение]],'Списки данных'!$C$2:$C$1048576,0))</f>
        <v>7</v>
      </c>
      <c r="I3149" s="80" t="s">
        <v>137</v>
      </c>
      <c r="J3149" s="80" t="s">
        <v>248</v>
      </c>
      <c r="K3149" s="80" t="s">
        <v>249</v>
      </c>
      <c r="L3149" s="30" t="s">
        <v>192</v>
      </c>
      <c r="M3149" s="68">
        <v>6</v>
      </c>
      <c r="N3149" s="181" t="str">
        <f t="shared" si="50"/>
        <v>да</v>
      </c>
      <c r="O3149" s="23">
        <v>44176</v>
      </c>
      <c r="P3149" s="23">
        <v>44176</v>
      </c>
      <c r="Q3149" s="106" t="s">
        <v>57</v>
      </c>
      <c r="R3149" s="37">
        <v>751</v>
      </c>
      <c r="S3149" s="39" t="s">
        <v>1160</v>
      </c>
      <c r="T3149" s="37">
        <v>1834</v>
      </c>
      <c r="U3149" s="38" t="s">
        <v>1851</v>
      </c>
      <c r="V3149" s="89" t="s">
        <v>272</v>
      </c>
      <c r="W3149" s="89" t="s">
        <v>137</v>
      </c>
      <c r="X3149" s="106" t="s">
        <v>296</v>
      </c>
      <c r="Y3149" s="107" t="s">
        <v>12</v>
      </c>
      <c r="Z3149" s="67">
        <f>IF(База_КР_КК[[#This Row],[Таб.номер резервиста]]="-","-",IF(OR(База_КР_КК[[#This Row],[Уровень КК]]=2,База_КР_КК[[#This Row],[Уровень КК]]=3),IF(COUNTIFS($U$2:$U3149,$U3149,$F$2:$F3149,$F3149)=1,1,0),IF(COUNTIFS($U$2:$U3149,$U3149,$L$2:$L3149,$L3149)=1,1,0)))</f>
        <v>0</v>
      </c>
      <c r="AA31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49" s="106"/>
      <c r="AC3149" s="51"/>
      <c r="AD3149" s="106" t="s">
        <v>15</v>
      </c>
      <c r="AE3149" s="38" t="s">
        <v>376</v>
      </c>
    </row>
    <row r="3150" spans="1:31" ht="18" customHeight="1" x14ac:dyDescent="0.25">
      <c r="A31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0" s="79">
        <v>4</v>
      </c>
      <c r="C3150" s="23">
        <v>44859</v>
      </c>
      <c r="D3150" s="67">
        <f>IF(COUNTIF($G$2:$G3150,$G3150)=1,1,0)</f>
        <v>0</v>
      </c>
      <c r="E3150" s="67" t="str">
        <f>IFERROR(VLOOKUP(База_КР_КК[[#This Row],[ИД штатной должности (S)]],'уровень защищенности'!$B$7:$F$1095,5,0),"не защищена")</f>
        <v>высокий</v>
      </c>
      <c r="F3150" s="68">
        <v>500172</v>
      </c>
      <c r="G3150" s="74" t="s">
        <v>2931</v>
      </c>
      <c r="H3150" s="181">
        <f>INDEX('Списки данных'!$D$2:$D$1048576,MATCH(База_КР_КК[[#This Row],[Структурное подразделение]],'Списки данных'!$C$2:$C$1048576,0))</f>
        <v>7</v>
      </c>
      <c r="I3150" s="80" t="s">
        <v>137</v>
      </c>
      <c r="J3150" s="80" t="s">
        <v>248</v>
      </c>
      <c r="K3150" s="80" t="s">
        <v>249</v>
      </c>
      <c r="L3150" s="30" t="s">
        <v>192</v>
      </c>
      <c r="M3150" s="68">
        <v>6</v>
      </c>
      <c r="N3150" s="181" t="str">
        <f t="shared" si="50"/>
        <v>да</v>
      </c>
      <c r="O3150" s="23">
        <v>44176</v>
      </c>
      <c r="P3150" s="23">
        <v>44176</v>
      </c>
      <c r="Q3150" s="106" t="s">
        <v>57</v>
      </c>
      <c r="R3150" s="37">
        <v>751</v>
      </c>
      <c r="S3150" s="39" t="s">
        <v>1160</v>
      </c>
      <c r="T3150" s="37">
        <v>1835</v>
      </c>
      <c r="U3150" s="38" t="s">
        <v>1973</v>
      </c>
      <c r="V3150" s="89" t="s">
        <v>272</v>
      </c>
      <c r="W3150" s="89" t="s">
        <v>137</v>
      </c>
      <c r="X3150" s="106" t="s">
        <v>296</v>
      </c>
      <c r="Y3150" s="107" t="s">
        <v>12</v>
      </c>
      <c r="Z3150" s="67">
        <f>IF(База_КР_КК[[#This Row],[Таб.номер резервиста]]="-","-",IF(OR(База_КР_КК[[#This Row],[Уровень КК]]=2,База_КР_КК[[#This Row],[Уровень КК]]=3),IF(COUNTIFS($U$2:$U3150,$U3150,$F$2:$F3150,$F3150)=1,1,0),IF(COUNTIFS($U$2:$U3150,$U3150,$L$2:$L3150,$L3150)=1,1,0)))</f>
        <v>0</v>
      </c>
      <c r="AA31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0" s="106"/>
      <c r="AC3150" s="51"/>
      <c r="AD3150" s="106" t="s">
        <v>15</v>
      </c>
      <c r="AE3150" s="38" t="s">
        <v>376</v>
      </c>
    </row>
    <row r="3151" spans="1:31" ht="18" customHeight="1" x14ac:dyDescent="0.25">
      <c r="A31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1" s="79">
        <v>4</v>
      </c>
      <c r="C3151" s="23">
        <v>44859</v>
      </c>
      <c r="D3151" s="67">
        <f>IF(COUNTIF($G$2:$G3151,$G3151)=1,1,0)</f>
        <v>0</v>
      </c>
      <c r="E3151" s="67" t="str">
        <f>IFERROR(VLOOKUP(База_КР_КК[[#This Row],[ИД штатной должности (S)]],'уровень защищенности'!$B$7:$F$1095,5,0),"не защищена")</f>
        <v>высокий</v>
      </c>
      <c r="F3151" s="68">
        <v>500172</v>
      </c>
      <c r="G3151" s="74" t="s">
        <v>2931</v>
      </c>
      <c r="H3151" s="181">
        <f>INDEX('Списки данных'!$D$2:$D$1048576,MATCH(База_КР_КК[[#This Row],[Структурное подразделение]],'Списки данных'!$C$2:$C$1048576,0))</f>
        <v>7</v>
      </c>
      <c r="I3151" s="80" t="s">
        <v>137</v>
      </c>
      <c r="J3151" s="80" t="s">
        <v>248</v>
      </c>
      <c r="K3151" s="80" t="s">
        <v>249</v>
      </c>
      <c r="L3151" s="30" t="s">
        <v>192</v>
      </c>
      <c r="M3151" s="68">
        <v>6</v>
      </c>
      <c r="N3151" s="181" t="str">
        <f t="shared" si="50"/>
        <v>да</v>
      </c>
      <c r="O3151" s="23">
        <v>44176</v>
      </c>
      <c r="P3151" s="23">
        <v>44176</v>
      </c>
      <c r="Q3151" s="106" t="s">
        <v>57</v>
      </c>
      <c r="R3151" s="37">
        <v>751</v>
      </c>
      <c r="S3151" s="39" t="s">
        <v>1160</v>
      </c>
      <c r="T3151" s="37">
        <v>1836</v>
      </c>
      <c r="U3151" s="38" t="s">
        <v>1855</v>
      </c>
      <c r="V3151" s="89" t="s">
        <v>272</v>
      </c>
      <c r="W3151" s="89" t="s">
        <v>137</v>
      </c>
      <c r="X3151" s="106" t="s">
        <v>295</v>
      </c>
      <c r="Y3151" s="107" t="s">
        <v>12</v>
      </c>
      <c r="Z3151" s="67">
        <f>IF(База_КР_КК[[#This Row],[Таб.номер резервиста]]="-","-",IF(OR(База_КР_КК[[#This Row],[Уровень КК]]=2,База_КР_КК[[#This Row],[Уровень КК]]=3),IF(COUNTIFS($U$2:$U3151,$U3151,$F$2:$F3151,$F3151)=1,1,0),IF(COUNTIFS($U$2:$U3151,$U3151,$L$2:$L3151,$L3151)=1,1,0)))</f>
        <v>0</v>
      </c>
      <c r="AA31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1" s="106"/>
      <c r="AC3151" s="51"/>
      <c r="AD3151" s="106" t="s">
        <v>15</v>
      </c>
      <c r="AE3151" s="38" t="s">
        <v>376</v>
      </c>
    </row>
    <row r="3152" spans="1:31" ht="18" customHeight="1" x14ac:dyDescent="0.25">
      <c r="A31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2" s="79">
        <v>4</v>
      </c>
      <c r="C3152" s="23">
        <v>44859</v>
      </c>
      <c r="D3152" s="67">
        <f>IF(COUNTIF($G$2:$G3152,$G3152)=1,1,0)</f>
        <v>0</v>
      </c>
      <c r="E3152" s="67" t="str">
        <f>IFERROR(VLOOKUP(База_КР_КК[[#This Row],[ИД штатной должности (S)]],'уровень защищенности'!$B$7:$F$1095,5,0),"не защищена")</f>
        <v>высокий</v>
      </c>
      <c r="F3152" s="68">
        <v>500172</v>
      </c>
      <c r="G3152" s="74" t="s">
        <v>2931</v>
      </c>
      <c r="H3152" s="181">
        <f>INDEX('Списки данных'!$D$2:$D$1048576,MATCH(База_КР_КК[[#This Row],[Структурное подразделение]],'Списки данных'!$C$2:$C$1048576,0))</f>
        <v>7</v>
      </c>
      <c r="I3152" s="80" t="s">
        <v>137</v>
      </c>
      <c r="J3152" s="80" t="s">
        <v>248</v>
      </c>
      <c r="K3152" s="80" t="s">
        <v>249</v>
      </c>
      <c r="L3152" s="30" t="s">
        <v>192</v>
      </c>
      <c r="M3152" s="68">
        <v>6</v>
      </c>
      <c r="N3152" s="181" t="str">
        <f t="shared" si="50"/>
        <v>да</v>
      </c>
      <c r="O3152" s="23">
        <v>44176</v>
      </c>
      <c r="P3152" s="23">
        <v>44176</v>
      </c>
      <c r="Q3152" s="106" t="s">
        <v>57</v>
      </c>
      <c r="R3152" s="37">
        <v>751</v>
      </c>
      <c r="S3152" s="39" t="s">
        <v>1160</v>
      </c>
      <c r="T3152" s="37">
        <v>1837</v>
      </c>
      <c r="U3152" s="38" t="s">
        <v>2060</v>
      </c>
      <c r="V3152" s="69" t="s">
        <v>272</v>
      </c>
      <c r="W3152" s="89" t="s">
        <v>137</v>
      </c>
      <c r="X3152" s="106" t="s">
        <v>296</v>
      </c>
      <c r="Y3152" s="107" t="s">
        <v>12</v>
      </c>
      <c r="Z3152" s="67">
        <f>IF(База_КР_КК[[#This Row],[Таб.номер резервиста]]="-","-",IF(OR(База_КР_КК[[#This Row],[Уровень КК]]=2,База_КР_КК[[#This Row],[Уровень КК]]=3),IF(COUNTIFS($U$2:$U3152,$U3152,$F$2:$F3152,$F3152)=1,1,0),IF(COUNTIFS($U$2:$U3152,$U3152,$L$2:$L3152,$L3152)=1,1,0)))</f>
        <v>0</v>
      </c>
      <c r="AA31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2" s="106"/>
      <c r="AC3152" s="51"/>
      <c r="AD3152" s="106" t="s">
        <v>15</v>
      </c>
      <c r="AE3152" s="38" t="s">
        <v>376</v>
      </c>
    </row>
    <row r="3153" spans="1:31" ht="18" customHeight="1" x14ac:dyDescent="0.25">
      <c r="A31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3" s="79">
        <v>4</v>
      </c>
      <c r="C3153" s="23">
        <v>44859</v>
      </c>
      <c r="D3153" s="67">
        <f>IF(COUNTIF($G$2:$G3153,$G3153)=1,1,0)</f>
        <v>0</v>
      </c>
      <c r="E3153" s="67" t="str">
        <f>IFERROR(VLOOKUP(База_КР_КК[[#This Row],[ИД штатной должности (S)]],'уровень защищенности'!$B$7:$F$1095,5,0),"не защищена")</f>
        <v>высокий</v>
      </c>
      <c r="F3153" s="68">
        <v>500172</v>
      </c>
      <c r="G3153" s="74" t="s">
        <v>2931</v>
      </c>
      <c r="H3153" s="181">
        <f>INDEX('Списки данных'!$D$2:$D$1048576,MATCH(База_КР_КК[[#This Row],[Структурное подразделение]],'Списки данных'!$C$2:$C$1048576,0))</f>
        <v>7</v>
      </c>
      <c r="I3153" s="80" t="s">
        <v>137</v>
      </c>
      <c r="J3153" s="80" t="s">
        <v>248</v>
      </c>
      <c r="K3153" s="80" t="s">
        <v>249</v>
      </c>
      <c r="L3153" s="30" t="s">
        <v>192</v>
      </c>
      <c r="M3153" s="68">
        <v>6</v>
      </c>
      <c r="N3153" s="181" t="str">
        <f t="shared" si="50"/>
        <v>да</v>
      </c>
      <c r="O3153" s="23">
        <v>44176</v>
      </c>
      <c r="P3153" s="23">
        <v>44176</v>
      </c>
      <c r="Q3153" s="106" t="s">
        <v>57</v>
      </c>
      <c r="R3153" s="37">
        <v>751</v>
      </c>
      <c r="S3153" s="39" t="s">
        <v>1160</v>
      </c>
      <c r="T3153" s="37">
        <v>1838</v>
      </c>
      <c r="U3153" s="38" t="s">
        <v>1981</v>
      </c>
      <c r="V3153" s="89" t="s">
        <v>272</v>
      </c>
      <c r="W3153" s="89" t="s">
        <v>137</v>
      </c>
      <c r="X3153" s="106" t="s">
        <v>296</v>
      </c>
      <c r="Y3153" s="107" t="s">
        <v>12</v>
      </c>
      <c r="Z3153" s="67">
        <f>IF(База_КР_КК[[#This Row],[Таб.номер резервиста]]="-","-",IF(OR(База_КР_КК[[#This Row],[Уровень КК]]=2,База_КР_КК[[#This Row],[Уровень КК]]=3),IF(COUNTIFS($U$2:$U3153,$U3153,$F$2:$F3153,$F3153)=1,1,0),IF(COUNTIFS($U$2:$U3153,$U3153,$L$2:$L3153,$L3153)=1,1,0)))</f>
        <v>0</v>
      </c>
      <c r="AA31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3" s="106"/>
      <c r="AC3153" s="51"/>
      <c r="AD3153" s="106" t="s">
        <v>15</v>
      </c>
      <c r="AE3153" s="38" t="s">
        <v>376</v>
      </c>
    </row>
    <row r="3154" spans="1:31" ht="18" customHeight="1" x14ac:dyDescent="0.25">
      <c r="A31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4" s="79">
        <v>4</v>
      </c>
      <c r="C3154" s="23">
        <v>44469</v>
      </c>
      <c r="D3154" s="67">
        <f>IF(COUNTIF($G$2:$G3154,$G3154)=1,1,0)</f>
        <v>0</v>
      </c>
      <c r="E3154" s="67" t="str">
        <f>IFERROR(VLOOKUP(База_КР_КК[[#This Row],[ИД штатной должности (S)]],'уровень защищенности'!$B$7:$F$1095,5,0),"не защищена")</f>
        <v>высокий</v>
      </c>
      <c r="F3154" s="68">
        <v>500172</v>
      </c>
      <c r="G3154" s="74" t="s">
        <v>2931</v>
      </c>
      <c r="H3154" s="181">
        <f>INDEX('Списки данных'!$D$2:$D$1048576,MATCH(База_КР_КК[[#This Row],[Структурное подразделение]],'Списки данных'!$C$2:$C$1048576,0))</f>
        <v>7</v>
      </c>
      <c r="I3154" s="80" t="s">
        <v>137</v>
      </c>
      <c r="J3154" s="80" t="s">
        <v>248</v>
      </c>
      <c r="K3154" s="80" t="s">
        <v>249</v>
      </c>
      <c r="L3154" s="30" t="s">
        <v>192</v>
      </c>
      <c r="M3154" s="68">
        <v>6</v>
      </c>
      <c r="N3154" s="181" t="str">
        <f t="shared" si="50"/>
        <v>да</v>
      </c>
      <c r="O3154" s="23">
        <v>44176</v>
      </c>
      <c r="P3154" s="23">
        <v>44176</v>
      </c>
      <c r="Q3154" s="106" t="s">
        <v>57</v>
      </c>
      <c r="R3154" s="37">
        <v>751</v>
      </c>
      <c r="S3154" s="38" t="s">
        <v>1160</v>
      </c>
      <c r="T3154" s="37">
        <v>1833</v>
      </c>
      <c r="U3154" s="39" t="s">
        <v>2071</v>
      </c>
      <c r="V3154" s="89" t="s">
        <v>272</v>
      </c>
      <c r="W3154" s="89" t="s">
        <v>137</v>
      </c>
      <c r="X3154" s="106" t="s">
        <v>297</v>
      </c>
      <c r="Y3154" s="107" t="s">
        <v>12</v>
      </c>
      <c r="Z3154" s="67">
        <f>IF(База_КР_КК[[#This Row],[Таб.номер резервиста]]="-","-",IF(OR(База_КР_КК[[#This Row],[Уровень КК]]=2,База_КР_КК[[#This Row],[Уровень КК]]=3),IF(COUNTIFS($U$2:$U3154,$U3154,$F$2:$F3154,$F3154)=1,1,0),IF(COUNTIFS($U$2:$U3154,$U3154,$L$2:$L3154,$L3154)=1,1,0)))</f>
        <v>0</v>
      </c>
      <c r="AA31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4" s="106"/>
      <c r="AC3154" s="51"/>
      <c r="AD3154" s="106" t="s">
        <v>17</v>
      </c>
      <c r="AE3154" s="38" t="s">
        <v>376</v>
      </c>
    </row>
    <row r="3155" spans="1:31" ht="18" customHeight="1" x14ac:dyDescent="0.25">
      <c r="A31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5" s="79">
        <v>4</v>
      </c>
      <c r="C3155" s="23">
        <v>44125</v>
      </c>
      <c r="D3155" s="67">
        <f>IF(COUNTIF($G$2:$G3155,$G3155)=1,1,0)</f>
        <v>0</v>
      </c>
      <c r="E3155" s="67" t="str">
        <f>IFERROR(VLOOKUP(База_КР_КК[[#This Row],[ИД штатной должности (S)]],'уровень защищенности'!$B$7:$F$1095,5,0),"не защищена")</f>
        <v>высокий</v>
      </c>
      <c r="F3155" s="68">
        <v>500172</v>
      </c>
      <c r="G3155" s="74" t="s">
        <v>2931</v>
      </c>
      <c r="H3155" s="181">
        <f>INDEX('Списки данных'!$D$2:$D$1048576,MATCH(База_КР_КК[[#This Row],[Структурное подразделение]],'Списки данных'!$C$2:$C$1048576,0))</f>
        <v>7</v>
      </c>
      <c r="I3155" s="80" t="s">
        <v>137</v>
      </c>
      <c r="J3155" s="80" t="s">
        <v>248</v>
      </c>
      <c r="K3155" s="80" t="s">
        <v>249</v>
      </c>
      <c r="L3155" s="30" t="s">
        <v>192</v>
      </c>
      <c r="M3155" s="68">
        <v>6</v>
      </c>
      <c r="N3155" s="181" t="str">
        <f t="shared" si="50"/>
        <v>да</v>
      </c>
      <c r="O3155" s="23">
        <v>44176</v>
      </c>
      <c r="P3155" s="23">
        <v>44176</v>
      </c>
      <c r="Q3155" s="106" t="s">
        <v>57</v>
      </c>
      <c r="R3155" s="37">
        <v>751</v>
      </c>
      <c r="S3155" s="38" t="s">
        <v>1160</v>
      </c>
      <c r="T3155" s="37">
        <v>1839</v>
      </c>
      <c r="U3155" s="39" t="s">
        <v>2072</v>
      </c>
      <c r="V3155" s="69" t="s">
        <v>272</v>
      </c>
      <c r="W3155" s="89" t="s">
        <v>137</v>
      </c>
      <c r="X3155" s="106" t="s">
        <v>296</v>
      </c>
      <c r="Y3155" s="107" t="s">
        <v>18</v>
      </c>
      <c r="Z3155" s="67">
        <f>IF(База_КР_КК[[#This Row],[Таб.номер резервиста]]="-","-",IF(OR(База_КР_КК[[#This Row],[Уровень КК]]=2,База_КР_КК[[#This Row],[Уровень КК]]=3),IF(COUNTIFS($U$2:$U3155,$U3155,$F$2:$F3155,$F3155)=1,1,0),IF(COUNTIFS($U$2:$U3155,$U3155,$L$2:$L3155,$L3155)=1,1,0)))</f>
        <v>0</v>
      </c>
      <c r="AA31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5" s="106" t="s">
        <v>38</v>
      </c>
      <c r="AC3155" s="51">
        <v>44859</v>
      </c>
      <c r="AD3155" s="106" t="s">
        <v>31</v>
      </c>
      <c r="AE3155" s="38" t="s">
        <v>376</v>
      </c>
    </row>
    <row r="3156" spans="1:31" ht="18" customHeight="1" x14ac:dyDescent="0.25">
      <c r="A31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6" s="79">
        <v>4</v>
      </c>
      <c r="C3156" s="23">
        <v>44469</v>
      </c>
      <c r="D3156" s="67">
        <f>IF(COUNTIF($G$2:$G3156,$G3156)=1,1,0)</f>
        <v>0</v>
      </c>
      <c r="E3156" s="67" t="str">
        <f>IFERROR(VLOOKUP(База_КР_КК[[#This Row],[ИД штатной должности (S)]],'уровень защищенности'!$B$7:$F$1095,5,0),"не защищена")</f>
        <v>высокий</v>
      </c>
      <c r="F3156" s="68">
        <v>500172</v>
      </c>
      <c r="G3156" s="74" t="s">
        <v>2931</v>
      </c>
      <c r="H3156" s="181">
        <f>INDEX('Списки данных'!$D$2:$D$1048576,MATCH(База_КР_КК[[#This Row],[Структурное подразделение]],'Списки данных'!$C$2:$C$1048576,0))</f>
        <v>7</v>
      </c>
      <c r="I3156" s="80" t="s">
        <v>137</v>
      </c>
      <c r="J3156" s="80" t="s">
        <v>248</v>
      </c>
      <c r="K3156" s="80" t="s">
        <v>249</v>
      </c>
      <c r="L3156" s="30" t="s">
        <v>192</v>
      </c>
      <c r="M3156" s="68">
        <v>6</v>
      </c>
      <c r="N3156" s="181" t="str">
        <f t="shared" si="50"/>
        <v>да</v>
      </c>
      <c r="O3156" s="23">
        <v>44176</v>
      </c>
      <c r="P3156" s="23">
        <v>44176</v>
      </c>
      <c r="Q3156" s="106" t="s">
        <v>57</v>
      </c>
      <c r="R3156" s="37">
        <v>751</v>
      </c>
      <c r="S3156" s="38" t="s">
        <v>1160</v>
      </c>
      <c r="T3156" s="37">
        <v>1840</v>
      </c>
      <c r="U3156" s="39" t="s">
        <v>1965</v>
      </c>
      <c r="V3156" s="69" t="s">
        <v>192</v>
      </c>
      <c r="W3156" s="89" t="s">
        <v>137</v>
      </c>
      <c r="X3156" s="106" t="s">
        <v>297</v>
      </c>
      <c r="Y3156" s="107" t="s">
        <v>18</v>
      </c>
      <c r="Z3156" s="67">
        <f>IF(База_КР_КК[[#This Row],[Таб.номер резервиста]]="-","-",IF(OR(База_КР_КК[[#This Row],[Уровень КК]]=2,База_КР_КК[[#This Row],[Уровень КК]]=3),IF(COUNTIFS($U$2:$U3156,$U3156,$F$2:$F3156,$F3156)=1,1,0),IF(COUNTIFS($U$2:$U3156,$U3156,$L$2:$L3156,$L3156)=1,1,0)))</f>
        <v>0</v>
      </c>
      <c r="AA31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6" s="106" t="s">
        <v>38</v>
      </c>
      <c r="AC3156" s="51">
        <v>44859</v>
      </c>
      <c r="AD3156" s="106" t="s">
        <v>31</v>
      </c>
      <c r="AE3156" s="38" t="s">
        <v>376</v>
      </c>
    </row>
    <row r="3157" spans="1:31" ht="18" customHeight="1" x14ac:dyDescent="0.25">
      <c r="A31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7" s="79">
        <v>4</v>
      </c>
      <c r="C3157" s="23">
        <v>44125</v>
      </c>
      <c r="D3157" s="67">
        <f>IF(COUNTIF($G$2:$G3157,$G3157)=1,1,0)</f>
        <v>1</v>
      </c>
      <c r="E3157" s="67" t="str">
        <f>IFERROR(VLOOKUP(База_КР_КК[[#This Row],[ИД штатной должности (S)]],'уровень защищенности'!$B$7:$F$1095,5,0),"не защищена")</f>
        <v>высокий</v>
      </c>
      <c r="F3157" s="68">
        <v>500173</v>
      </c>
      <c r="G3157" s="74" t="s">
        <v>2932</v>
      </c>
      <c r="H3157" s="181">
        <f>INDEX('Списки данных'!$D$2:$D$1048576,MATCH(База_КР_КК[[#This Row],[Структурное подразделение]],'Списки данных'!$C$2:$C$1048576,0))</f>
        <v>7</v>
      </c>
      <c r="I3157" s="80" t="s">
        <v>137</v>
      </c>
      <c r="J3157" s="80" t="s">
        <v>248</v>
      </c>
      <c r="K3157" s="80" t="s">
        <v>249</v>
      </c>
      <c r="L3157" s="30" t="s">
        <v>191</v>
      </c>
      <c r="M3157" s="68">
        <v>6</v>
      </c>
      <c r="N3157" s="181" t="str">
        <f t="shared" si="50"/>
        <v>нет</v>
      </c>
      <c r="O3157" s="23"/>
      <c r="P3157" s="23"/>
      <c r="Q3157" s="106"/>
      <c r="R3157" s="37">
        <v>752</v>
      </c>
      <c r="S3157" s="37" t="s">
        <v>1161</v>
      </c>
      <c r="T3157" s="37">
        <v>1830</v>
      </c>
      <c r="U3157" s="39" t="s">
        <v>2069</v>
      </c>
      <c r="V3157" s="89" t="s">
        <v>272</v>
      </c>
      <c r="W3157" s="89" t="s">
        <v>137</v>
      </c>
      <c r="X3157" s="106" t="s">
        <v>297</v>
      </c>
      <c r="Y3157" s="107" t="s">
        <v>12</v>
      </c>
      <c r="Z3157" s="67">
        <f>IF(База_КР_КК[[#This Row],[Таб.номер резервиста]]="-","-",IF(OR(База_КР_КК[[#This Row],[Уровень КК]]=2,База_КР_КК[[#This Row],[Уровень КК]]=3),IF(COUNTIFS($U$2:$U3157,$U3157,$F$2:$F3157,$F3157)=1,1,0),IF(COUNTIFS($U$2:$U3157,$U3157,$L$2:$L3157,$L3157)=1,1,0)))</f>
        <v>0</v>
      </c>
      <c r="AA31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7" s="106"/>
      <c r="AC3157" s="51"/>
      <c r="AD3157" s="106" t="s">
        <v>17</v>
      </c>
      <c r="AE3157" s="38" t="s">
        <v>376</v>
      </c>
    </row>
    <row r="3158" spans="1:31" ht="18" customHeight="1" x14ac:dyDescent="0.25">
      <c r="A31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8" s="79">
        <v>4</v>
      </c>
      <c r="C3158" s="23">
        <v>44125</v>
      </c>
      <c r="D3158" s="67">
        <f>IF(COUNTIF($G$2:$G3158,$G3158)=1,1,0)</f>
        <v>0</v>
      </c>
      <c r="E3158" s="67" t="str">
        <f>IFERROR(VLOOKUP(База_КР_КК[[#This Row],[ИД штатной должности (S)]],'уровень защищенности'!$B$7:$F$1095,5,0),"не защищена")</f>
        <v>высокий</v>
      </c>
      <c r="F3158" s="68">
        <v>500173</v>
      </c>
      <c r="G3158" s="74" t="s">
        <v>2932</v>
      </c>
      <c r="H3158" s="181">
        <f>INDEX('Списки данных'!$D$2:$D$1048576,MATCH(База_КР_КК[[#This Row],[Структурное подразделение]],'Списки данных'!$C$2:$C$1048576,0))</f>
        <v>7</v>
      </c>
      <c r="I3158" s="80" t="s">
        <v>137</v>
      </c>
      <c r="J3158" s="80" t="s">
        <v>248</v>
      </c>
      <c r="K3158" s="80" t="s">
        <v>249</v>
      </c>
      <c r="L3158" s="30" t="s">
        <v>191</v>
      </c>
      <c r="M3158" s="68">
        <v>6</v>
      </c>
      <c r="N3158" s="181" t="str">
        <f t="shared" si="50"/>
        <v>нет</v>
      </c>
      <c r="O3158" s="23"/>
      <c r="P3158" s="23"/>
      <c r="Q3158" s="106"/>
      <c r="R3158" s="37">
        <v>752</v>
      </c>
      <c r="S3158" s="38" t="s">
        <v>1161</v>
      </c>
      <c r="T3158" s="37">
        <v>1831</v>
      </c>
      <c r="U3158" s="39" t="s">
        <v>1626</v>
      </c>
      <c r="V3158" s="89" t="s">
        <v>272</v>
      </c>
      <c r="W3158" s="89" t="s">
        <v>137</v>
      </c>
      <c r="X3158" s="106" t="s">
        <v>297</v>
      </c>
      <c r="Y3158" s="107" t="s">
        <v>12</v>
      </c>
      <c r="Z3158" s="67">
        <f>IF(База_КР_КК[[#This Row],[Таб.номер резервиста]]="-","-",IF(OR(База_КР_КК[[#This Row],[Уровень КК]]=2,База_КР_КК[[#This Row],[Уровень КК]]=3),IF(COUNTIFS($U$2:$U3158,$U3158,$F$2:$F3158,$F3158)=1,1,0),IF(COUNTIFS($U$2:$U3158,$U3158,$L$2:$L3158,$L3158)=1,1,0)))</f>
        <v>0</v>
      </c>
      <c r="AA31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8" s="106"/>
      <c r="AC3158" s="51"/>
      <c r="AD3158" s="106" t="s">
        <v>17</v>
      </c>
      <c r="AE3158" s="38" t="s">
        <v>376</v>
      </c>
    </row>
    <row r="3159" spans="1:31" ht="18" customHeight="1" x14ac:dyDescent="0.25">
      <c r="A31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59" s="79">
        <v>4</v>
      </c>
      <c r="C3159" s="23">
        <v>44125</v>
      </c>
      <c r="D3159" s="67">
        <f>IF(COUNTIF($G$2:$G3159,$G3159)=1,1,0)</f>
        <v>0</v>
      </c>
      <c r="E3159" s="67" t="str">
        <f>IFERROR(VLOOKUP(База_КР_КК[[#This Row],[ИД штатной должности (S)]],'уровень защищенности'!$B$7:$F$1095,5,0),"не защищена")</f>
        <v>высокий</v>
      </c>
      <c r="F3159" s="68">
        <v>500173</v>
      </c>
      <c r="G3159" s="74" t="s">
        <v>2932</v>
      </c>
      <c r="H3159" s="181">
        <f>INDEX('Списки данных'!$D$2:$D$1048576,MATCH(База_КР_КК[[#This Row],[Структурное подразделение]],'Списки данных'!$C$2:$C$1048576,0))</f>
        <v>7</v>
      </c>
      <c r="I3159" s="80" t="s">
        <v>137</v>
      </c>
      <c r="J3159" s="80" t="s">
        <v>248</v>
      </c>
      <c r="K3159" s="80" t="s">
        <v>249</v>
      </c>
      <c r="L3159" s="30" t="s">
        <v>191</v>
      </c>
      <c r="M3159" s="68">
        <v>6</v>
      </c>
      <c r="N3159" s="181" t="str">
        <f t="shared" si="50"/>
        <v>нет</v>
      </c>
      <c r="O3159" s="23"/>
      <c r="P3159" s="23"/>
      <c r="Q3159" s="106"/>
      <c r="R3159" s="37">
        <v>752</v>
      </c>
      <c r="S3159" s="38" t="s">
        <v>1161</v>
      </c>
      <c r="T3159" s="37">
        <v>1832</v>
      </c>
      <c r="U3159" s="39" t="s">
        <v>2070</v>
      </c>
      <c r="V3159" s="89" t="s">
        <v>272</v>
      </c>
      <c r="W3159" s="89" t="s">
        <v>137</v>
      </c>
      <c r="X3159" s="106" t="s">
        <v>297</v>
      </c>
      <c r="Y3159" s="107" t="s">
        <v>12</v>
      </c>
      <c r="Z3159" s="67">
        <f>IF(База_КР_КК[[#This Row],[Таб.номер резервиста]]="-","-",IF(OR(База_КР_КК[[#This Row],[Уровень КК]]=2,База_КР_КК[[#This Row],[Уровень КК]]=3),IF(COUNTIFS($U$2:$U3159,$U3159,$F$2:$F3159,$F3159)=1,1,0),IF(COUNTIFS($U$2:$U3159,$U3159,$L$2:$L3159,$L3159)=1,1,0)))</f>
        <v>0</v>
      </c>
      <c r="AA31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59" s="106"/>
      <c r="AC3159" s="51"/>
      <c r="AD3159" s="106" t="s">
        <v>17</v>
      </c>
      <c r="AE3159" s="38" t="s">
        <v>376</v>
      </c>
    </row>
    <row r="3160" spans="1:31" ht="18" customHeight="1" x14ac:dyDescent="0.25">
      <c r="A31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0" s="79">
        <v>4</v>
      </c>
      <c r="C3160" s="23">
        <v>44469</v>
      </c>
      <c r="D3160" s="67">
        <f>IF(COUNTIF($G$2:$G3160,$G3160)=1,1,0)</f>
        <v>0</v>
      </c>
      <c r="E3160" s="67" t="str">
        <f>IFERROR(VLOOKUP(База_КР_КК[[#This Row],[ИД штатной должности (S)]],'уровень защищенности'!$B$7:$F$1095,5,0),"не защищена")</f>
        <v>высокий</v>
      </c>
      <c r="F3160" s="68">
        <v>500173</v>
      </c>
      <c r="G3160" s="74" t="s">
        <v>2932</v>
      </c>
      <c r="H3160" s="181">
        <f>INDEX('Списки данных'!$D$2:$D$1048576,MATCH(База_КР_КК[[#This Row],[Структурное подразделение]],'Списки данных'!$C$2:$C$1048576,0))</f>
        <v>7</v>
      </c>
      <c r="I3160" s="80" t="s">
        <v>137</v>
      </c>
      <c r="J3160" s="80" t="s">
        <v>248</v>
      </c>
      <c r="K3160" s="80" t="s">
        <v>249</v>
      </c>
      <c r="L3160" s="30" t="s">
        <v>191</v>
      </c>
      <c r="M3160" s="68">
        <v>6</v>
      </c>
      <c r="N3160" s="181" t="str">
        <f t="shared" si="50"/>
        <v>нет</v>
      </c>
      <c r="O3160" s="23"/>
      <c r="P3160" s="23"/>
      <c r="Q3160" s="106"/>
      <c r="R3160" s="37">
        <v>752</v>
      </c>
      <c r="S3160" s="38" t="s">
        <v>1161</v>
      </c>
      <c r="T3160" s="37">
        <v>1833</v>
      </c>
      <c r="U3160" s="39" t="s">
        <v>2071</v>
      </c>
      <c r="V3160" s="69" t="s">
        <v>272</v>
      </c>
      <c r="W3160" s="89" t="s">
        <v>137</v>
      </c>
      <c r="X3160" s="106" t="s">
        <v>297</v>
      </c>
      <c r="Y3160" s="107" t="s">
        <v>12</v>
      </c>
      <c r="Z3160" s="67">
        <f>IF(База_КР_КК[[#This Row],[Таб.номер резервиста]]="-","-",IF(OR(База_КР_КК[[#This Row],[Уровень КК]]=2,База_КР_КК[[#This Row],[Уровень КК]]=3),IF(COUNTIFS($U$2:$U3160,$U3160,$F$2:$F3160,$F3160)=1,1,0),IF(COUNTIFS($U$2:$U3160,$U3160,$L$2:$L3160,$L3160)=1,1,0)))</f>
        <v>0</v>
      </c>
      <c r="AA31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0" s="106"/>
      <c r="AC3160" s="51"/>
      <c r="AD3160" s="106" t="s">
        <v>17</v>
      </c>
      <c r="AE3160" s="38" t="s">
        <v>376</v>
      </c>
    </row>
    <row r="3161" spans="1:31" ht="18" customHeight="1" x14ac:dyDescent="0.25">
      <c r="A31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1" s="79">
        <v>4</v>
      </c>
      <c r="C3161" s="23">
        <v>44859</v>
      </c>
      <c r="D3161" s="67">
        <f>IF(COUNTIF($G$2:$G3161,$G3161)=1,1,0)</f>
        <v>0</v>
      </c>
      <c r="E3161" s="67" t="str">
        <f>IFERROR(VLOOKUP(База_КР_КК[[#This Row],[ИД штатной должности (S)]],'уровень защищенности'!$B$7:$F$1095,5,0),"не защищена")</f>
        <v>высокий</v>
      </c>
      <c r="F3161" s="68">
        <v>500173</v>
      </c>
      <c r="G3161" s="74" t="s">
        <v>2932</v>
      </c>
      <c r="H3161" s="181">
        <f>INDEX('Списки данных'!$D$2:$D$1048576,MATCH(База_КР_КК[[#This Row],[Структурное подразделение]],'Списки данных'!$C$2:$C$1048576,0))</f>
        <v>7</v>
      </c>
      <c r="I3161" s="80" t="s">
        <v>137</v>
      </c>
      <c r="J3161" s="80" t="s">
        <v>248</v>
      </c>
      <c r="K3161" s="80" t="s">
        <v>249</v>
      </c>
      <c r="L3161" s="30" t="s">
        <v>191</v>
      </c>
      <c r="M3161" s="68">
        <v>6</v>
      </c>
      <c r="N3161" s="181" t="str">
        <f t="shared" si="50"/>
        <v>нет</v>
      </c>
      <c r="O3161" s="23"/>
      <c r="P3161" s="23"/>
      <c r="Q3161" s="106"/>
      <c r="R3161" s="37">
        <v>752</v>
      </c>
      <c r="S3161" s="39" t="s">
        <v>1161</v>
      </c>
      <c r="T3161" s="37">
        <v>1834</v>
      </c>
      <c r="U3161" s="38" t="s">
        <v>1851</v>
      </c>
      <c r="V3161" s="89" t="s">
        <v>272</v>
      </c>
      <c r="W3161" s="89" t="s">
        <v>137</v>
      </c>
      <c r="X3161" s="106" t="s">
        <v>296</v>
      </c>
      <c r="Y3161" s="107" t="s">
        <v>12</v>
      </c>
      <c r="Z3161" s="67">
        <f>IF(База_КР_КК[[#This Row],[Таб.номер резервиста]]="-","-",IF(OR(База_КР_КК[[#This Row],[Уровень КК]]=2,База_КР_КК[[#This Row],[Уровень КК]]=3),IF(COUNTIFS($U$2:$U3161,$U3161,$F$2:$F3161,$F3161)=1,1,0),IF(COUNTIFS($U$2:$U3161,$U3161,$L$2:$L3161,$L3161)=1,1,0)))</f>
        <v>0</v>
      </c>
      <c r="AA31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1" s="106"/>
      <c r="AC3161" s="51"/>
      <c r="AD3161" s="106" t="s">
        <v>15</v>
      </c>
      <c r="AE3161" s="38" t="s">
        <v>376</v>
      </c>
    </row>
    <row r="3162" spans="1:31" ht="18" customHeight="1" x14ac:dyDescent="0.25">
      <c r="A31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2" s="79">
        <v>4</v>
      </c>
      <c r="C3162" s="23">
        <v>44859</v>
      </c>
      <c r="D3162" s="67">
        <f>IF(COUNTIF($G$2:$G3162,$G3162)=1,1,0)</f>
        <v>0</v>
      </c>
      <c r="E3162" s="67" t="str">
        <f>IFERROR(VLOOKUP(База_КР_КК[[#This Row],[ИД штатной должности (S)]],'уровень защищенности'!$B$7:$F$1095,5,0),"не защищена")</f>
        <v>высокий</v>
      </c>
      <c r="F3162" s="68">
        <v>500173</v>
      </c>
      <c r="G3162" s="74" t="s">
        <v>2932</v>
      </c>
      <c r="H3162" s="181">
        <f>INDEX('Списки данных'!$D$2:$D$1048576,MATCH(База_КР_КК[[#This Row],[Структурное подразделение]],'Списки данных'!$C$2:$C$1048576,0))</f>
        <v>7</v>
      </c>
      <c r="I3162" s="80" t="s">
        <v>137</v>
      </c>
      <c r="J3162" s="80" t="s">
        <v>248</v>
      </c>
      <c r="K3162" s="80" t="s">
        <v>249</v>
      </c>
      <c r="L3162" s="30" t="s">
        <v>191</v>
      </c>
      <c r="M3162" s="68">
        <v>6</v>
      </c>
      <c r="N3162" s="181" t="str">
        <f t="shared" si="50"/>
        <v>нет</v>
      </c>
      <c r="O3162" s="23"/>
      <c r="P3162" s="23"/>
      <c r="Q3162" s="106"/>
      <c r="R3162" s="37">
        <v>752</v>
      </c>
      <c r="S3162" s="39" t="s">
        <v>1161</v>
      </c>
      <c r="T3162" s="37">
        <v>1835</v>
      </c>
      <c r="U3162" s="38" t="s">
        <v>1973</v>
      </c>
      <c r="V3162" s="89" t="s">
        <v>272</v>
      </c>
      <c r="W3162" s="89" t="s">
        <v>137</v>
      </c>
      <c r="X3162" s="106" t="s">
        <v>296</v>
      </c>
      <c r="Y3162" s="107" t="s">
        <v>12</v>
      </c>
      <c r="Z3162" s="67">
        <f>IF(База_КР_КК[[#This Row],[Таб.номер резервиста]]="-","-",IF(OR(База_КР_КК[[#This Row],[Уровень КК]]=2,База_КР_КК[[#This Row],[Уровень КК]]=3),IF(COUNTIFS($U$2:$U3162,$U3162,$F$2:$F3162,$F3162)=1,1,0),IF(COUNTIFS($U$2:$U3162,$U3162,$L$2:$L3162,$L3162)=1,1,0)))</f>
        <v>0</v>
      </c>
      <c r="AA31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2" s="106"/>
      <c r="AC3162" s="51"/>
      <c r="AD3162" s="106" t="s">
        <v>15</v>
      </c>
      <c r="AE3162" s="38" t="s">
        <v>376</v>
      </c>
    </row>
    <row r="3163" spans="1:31" ht="18" customHeight="1" x14ac:dyDescent="0.25">
      <c r="A31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3" s="79">
        <v>4</v>
      </c>
      <c r="C3163" s="23">
        <v>44859</v>
      </c>
      <c r="D3163" s="67">
        <f>IF(COUNTIF($G$2:$G3163,$G3163)=1,1,0)</f>
        <v>0</v>
      </c>
      <c r="E3163" s="67" t="str">
        <f>IFERROR(VLOOKUP(База_КР_КК[[#This Row],[ИД штатной должности (S)]],'уровень защищенности'!$B$7:$F$1095,5,0),"не защищена")</f>
        <v>высокий</v>
      </c>
      <c r="F3163" s="68">
        <v>500173</v>
      </c>
      <c r="G3163" s="74" t="s">
        <v>2932</v>
      </c>
      <c r="H3163" s="181">
        <f>INDEX('Списки данных'!$D$2:$D$1048576,MATCH(База_КР_КК[[#This Row],[Структурное подразделение]],'Списки данных'!$C$2:$C$1048576,0))</f>
        <v>7</v>
      </c>
      <c r="I3163" s="80" t="s">
        <v>137</v>
      </c>
      <c r="J3163" s="80" t="s">
        <v>248</v>
      </c>
      <c r="K3163" s="80" t="s">
        <v>249</v>
      </c>
      <c r="L3163" s="30" t="s">
        <v>191</v>
      </c>
      <c r="M3163" s="68">
        <v>6</v>
      </c>
      <c r="N3163" s="181" t="str">
        <f t="shared" si="50"/>
        <v>нет</v>
      </c>
      <c r="O3163" s="23"/>
      <c r="P3163" s="23"/>
      <c r="Q3163" s="106"/>
      <c r="R3163" s="37">
        <v>752</v>
      </c>
      <c r="S3163" s="39" t="s">
        <v>1161</v>
      </c>
      <c r="T3163" s="37">
        <v>1836</v>
      </c>
      <c r="U3163" s="38" t="s">
        <v>1855</v>
      </c>
      <c r="V3163" s="89" t="s">
        <v>272</v>
      </c>
      <c r="W3163" s="89" t="s">
        <v>137</v>
      </c>
      <c r="X3163" s="106" t="s">
        <v>295</v>
      </c>
      <c r="Y3163" s="107" t="s">
        <v>12</v>
      </c>
      <c r="Z3163" s="67">
        <f>IF(База_КР_КК[[#This Row],[Таб.номер резервиста]]="-","-",IF(OR(База_КР_КК[[#This Row],[Уровень КК]]=2,База_КР_КК[[#This Row],[Уровень КК]]=3),IF(COUNTIFS($U$2:$U3163,$U3163,$F$2:$F3163,$F3163)=1,1,0),IF(COUNTIFS($U$2:$U3163,$U3163,$L$2:$L3163,$L3163)=1,1,0)))</f>
        <v>0</v>
      </c>
      <c r="AA31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3" s="106"/>
      <c r="AC3163" s="51"/>
      <c r="AD3163" s="106" t="s">
        <v>15</v>
      </c>
      <c r="AE3163" s="38" t="s">
        <v>376</v>
      </c>
    </row>
    <row r="3164" spans="1:31" ht="18" customHeight="1" x14ac:dyDescent="0.25">
      <c r="A31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4" s="79">
        <v>4</v>
      </c>
      <c r="C3164" s="23">
        <v>44859</v>
      </c>
      <c r="D3164" s="67">
        <f>IF(COUNTIF($G$2:$G3164,$G3164)=1,1,0)</f>
        <v>0</v>
      </c>
      <c r="E3164" s="67" t="str">
        <f>IFERROR(VLOOKUP(База_КР_КК[[#This Row],[ИД штатной должности (S)]],'уровень защищенности'!$B$7:$F$1095,5,0),"не защищена")</f>
        <v>высокий</v>
      </c>
      <c r="F3164" s="68">
        <v>500173</v>
      </c>
      <c r="G3164" s="74" t="s">
        <v>2932</v>
      </c>
      <c r="H3164" s="181">
        <f>INDEX('Списки данных'!$D$2:$D$1048576,MATCH(База_КР_КК[[#This Row],[Структурное подразделение]],'Списки данных'!$C$2:$C$1048576,0))</f>
        <v>7</v>
      </c>
      <c r="I3164" s="80" t="s">
        <v>137</v>
      </c>
      <c r="J3164" s="80" t="s">
        <v>248</v>
      </c>
      <c r="K3164" s="80" t="s">
        <v>249</v>
      </c>
      <c r="L3164" s="30" t="s">
        <v>191</v>
      </c>
      <c r="M3164" s="68">
        <v>6</v>
      </c>
      <c r="N3164" s="181" t="str">
        <f t="shared" si="50"/>
        <v>нет</v>
      </c>
      <c r="O3164" s="23"/>
      <c r="P3164" s="23"/>
      <c r="Q3164" s="106"/>
      <c r="R3164" s="37">
        <v>752</v>
      </c>
      <c r="S3164" s="39" t="s">
        <v>1161</v>
      </c>
      <c r="T3164" s="37">
        <v>1837</v>
      </c>
      <c r="U3164" s="38" t="s">
        <v>2060</v>
      </c>
      <c r="V3164" s="69" t="s">
        <v>272</v>
      </c>
      <c r="W3164" s="89" t="s">
        <v>137</v>
      </c>
      <c r="X3164" s="106" t="s">
        <v>296</v>
      </c>
      <c r="Y3164" s="107" t="s">
        <v>12</v>
      </c>
      <c r="Z3164" s="67">
        <f>IF(База_КР_КК[[#This Row],[Таб.номер резервиста]]="-","-",IF(OR(База_КР_КК[[#This Row],[Уровень КК]]=2,База_КР_КК[[#This Row],[Уровень КК]]=3),IF(COUNTIFS($U$2:$U3164,$U3164,$F$2:$F3164,$F3164)=1,1,0),IF(COUNTIFS($U$2:$U3164,$U3164,$L$2:$L3164,$L3164)=1,1,0)))</f>
        <v>0</v>
      </c>
      <c r="AA31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4" s="106"/>
      <c r="AC3164" s="51"/>
      <c r="AD3164" s="106" t="s">
        <v>15</v>
      </c>
      <c r="AE3164" s="38" t="s">
        <v>376</v>
      </c>
    </row>
    <row r="3165" spans="1:31" ht="18" customHeight="1" x14ac:dyDescent="0.25">
      <c r="A31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5" s="79">
        <v>4</v>
      </c>
      <c r="C3165" s="23">
        <v>44859</v>
      </c>
      <c r="D3165" s="67">
        <f>IF(COUNTIF($G$2:$G3165,$G3165)=1,1,0)</f>
        <v>0</v>
      </c>
      <c r="E3165" s="67" t="str">
        <f>IFERROR(VLOOKUP(База_КР_КК[[#This Row],[ИД штатной должности (S)]],'уровень защищенности'!$B$7:$F$1095,5,0),"не защищена")</f>
        <v>высокий</v>
      </c>
      <c r="F3165" s="68">
        <v>500173</v>
      </c>
      <c r="G3165" s="74" t="s">
        <v>2932</v>
      </c>
      <c r="H3165" s="181">
        <f>INDEX('Списки данных'!$D$2:$D$1048576,MATCH(База_КР_КК[[#This Row],[Структурное подразделение]],'Списки данных'!$C$2:$C$1048576,0))</f>
        <v>7</v>
      </c>
      <c r="I3165" s="80" t="s">
        <v>137</v>
      </c>
      <c r="J3165" s="80" t="s">
        <v>248</v>
      </c>
      <c r="K3165" s="80" t="s">
        <v>249</v>
      </c>
      <c r="L3165" s="30" t="s">
        <v>191</v>
      </c>
      <c r="M3165" s="68">
        <v>6</v>
      </c>
      <c r="N3165" s="181" t="str">
        <f t="shared" si="50"/>
        <v>нет</v>
      </c>
      <c r="O3165" s="23"/>
      <c r="P3165" s="23"/>
      <c r="Q3165" s="106"/>
      <c r="R3165" s="37">
        <v>752</v>
      </c>
      <c r="S3165" s="39" t="s">
        <v>1161</v>
      </c>
      <c r="T3165" s="37">
        <v>1838</v>
      </c>
      <c r="U3165" s="38" t="s">
        <v>1981</v>
      </c>
      <c r="V3165" s="89" t="s">
        <v>272</v>
      </c>
      <c r="W3165" s="89" t="s">
        <v>137</v>
      </c>
      <c r="X3165" s="106" t="s">
        <v>296</v>
      </c>
      <c r="Y3165" s="107" t="s">
        <v>12</v>
      </c>
      <c r="Z3165" s="67">
        <f>IF(База_КР_КК[[#This Row],[Таб.номер резервиста]]="-","-",IF(OR(База_КР_КК[[#This Row],[Уровень КК]]=2,База_КР_КК[[#This Row],[Уровень КК]]=3),IF(COUNTIFS($U$2:$U3165,$U3165,$F$2:$F3165,$F3165)=1,1,0),IF(COUNTIFS($U$2:$U3165,$U3165,$L$2:$L3165,$L3165)=1,1,0)))</f>
        <v>0</v>
      </c>
      <c r="AA31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5" s="106"/>
      <c r="AC3165" s="51"/>
      <c r="AD3165" s="106" t="s">
        <v>15</v>
      </c>
      <c r="AE3165" s="38" t="s">
        <v>376</v>
      </c>
    </row>
    <row r="3166" spans="1:31" ht="18" customHeight="1" x14ac:dyDescent="0.25">
      <c r="A31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6" s="79">
        <v>4</v>
      </c>
      <c r="C3166" s="23">
        <v>44125</v>
      </c>
      <c r="D3166" s="67">
        <f>IF(COUNTIF($G$2:$G3166,$G3166)=1,1,0)</f>
        <v>0</v>
      </c>
      <c r="E3166" s="67" t="str">
        <f>IFERROR(VLOOKUP(База_КР_КК[[#This Row],[ИД штатной должности (S)]],'уровень защищенности'!$B$7:$F$1095,5,0),"не защищена")</f>
        <v>высокий</v>
      </c>
      <c r="F3166" s="68">
        <v>500173</v>
      </c>
      <c r="G3166" s="74" t="s">
        <v>2932</v>
      </c>
      <c r="H3166" s="181">
        <f>INDEX('Списки данных'!$D$2:$D$1048576,MATCH(База_КР_КК[[#This Row],[Структурное подразделение]],'Списки данных'!$C$2:$C$1048576,0))</f>
        <v>7</v>
      </c>
      <c r="I3166" s="80" t="s">
        <v>137</v>
      </c>
      <c r="J3166" s="80" t="s">
        <v>248</v>
      </c>
      <c r="K3166" s="80" t="s">
        <v>249</v>
      </c>
      <c r="L3166" s="30" t="s">
        <v>191</v>
      </c>
      <c r="M3166" s="68">
        <v>6</v>
      </c>
      <c r="N3166" s="181" t="str">
        <f t="shared" si="50"/>
        <v>нет</v>
      </c>
      <c r="O3166" s="23"/>
      <c r="P3166" s="23"/>
      <c r="Q3166" s="106"/>
      <c r="R3166" s="37">
        <v>752</v>
      </c>
      <c r="S3166" s="37" t="s">
        <v>1161</v>
      </c>
      <c r="T3166" s="37">
        <v>1839</v>
      </c>
      <c r="U3166" s="39" t="s">
        <v>2072</v>
      </c>
      <c r="V3166" s="89" t="s">
        <v>272</v>
      </c>
      <c r="W3166" s="89" t="s">
        <v>137</v>
      </c>
      <c r="X3166" s="106" t="s">
        <v>296</v>
      </c>
      <c r="Y3166" s="107" t="s">
        <v>18</v>
      </c>
      <c r="Z3166" s="67">
        <f>IF(База_КР_КК[[#This Row],[Таб.номер резервиста]]="-","-",IF(OR(База_КР_КК[[#This Row],[Уровень КК]]=2,База_КР_КК[[#This Row],[Уровень КК]]=3),IF(COUNTIFS($U$2:$U3166,$U3166,$F$2:$F3166,$F3166)=1,1,0),IF(COUNTIFS($U$2:$U3166,$U3166,$L$2:$L3166,$L3166)=1,1,0)))</f>
        <v>0</v>
      </c>
      <c r="AA31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6" s="106" t="s">
        <v>38</v>
      </c>
      <c r="AC3166" s="51">
        <v>44859</v>
      </c>
      <c r="AD3166" s="106" t="s">
        <v>31</v>
      </c>
      <c r="AE3166" s="38" t="s">
        <v>376</v>
      </c>
    </row>
    <row r="3167" spans="1:31" ht="18" customHeight="1" x14ac:dyDescent="0.25">
      <c r="A31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7" s="79">
        <v>4</v>
      </c>
      <c r="C3167" s="23">
        <v>44469</v>
      </c>
      <c r="D3167" s="67">
        <f>IF(COUNTIF($G$2:$G3167,$G3167)=1,1,0)</f>
        <v>0</v>
      </c>
      <c r="E3167" s="67" t="str">
        <f>IFERROR(VLOOKUP(База_КР_КК[[#This Row],[ИД штатной должности (S)]],'уровень защищенности'!$B$7:$F$1095,5,0),"не защищена")</f>
        <v>высокий</v>
      </c>
      <c r="F3167" s="68">
        <v>500173</v>
      </c>
      <c r="G3167" s="74" t="s">
        <v>2932</v>
      </c>
      <c r="H3167" s="181">
        <f>INDEX('Списки данных'!$D$2:$D$1048576,MATCH(База_КР_КК[[#This Row],[Структурное подразделение]],'Списки данных'!$C$2:$C$1048576,0))</f>
        <v>7</v>
      </c>
      <c r="I3167" s="80" t="s">
        <v>137</v>
      </c>
      <c r="J3167" s="80" t="s">
        <v>248</v>
      </c>
      <c r="K3167" s="80" t="s">
        <v>249</v>
      </c>
      <c r="L3167" s="30" t="s">
        <v>191</v>
      </c>
      <c r="M3167" s="68">
        <v>6</v>
      </c>
      <c r="N3167" s="181" t="str">
        <f t="shared" si="50"/>
        <v>нет</v>
      </c>
      <c r="O3167" s="23"/>
      <c r="P3167" s="23"/>
      <c r="Q3167" s="106"/>
      <c r="R3167" s="37">
        <v>752</v>
      </c>
      <c r="S3167" s="38" t="s">
        <v>1161</v>
      </c>
      <c r="T3167" s="37">
        <v>1840</v>
      </c>
      <c r="U3167" s="39" t="s">
        <v>1965</v>
      </c>
      <c r="V3167" s="69" t="s">
        <v>192</v>
      </c>
      <c r="W3167" s="89" t="s">
        <v>137</v>
      </c>
      <c r="X3167" s="106" t="s">
        <v>297</v>
      </c>
      <c r="Y3167" s="107" t="s">
        <v>18</v>
      </c>
      <c r="Z3167" s="67">
        <f>IF(База_КР_КК[[#This Row],[Таб.номер резервиста]]="-","-",IF(OR(База_КР_КК[[#This Row],[Уровень КК]]=2,База_КР_КК[[#This Row],[Уровень КК]]=3),IF(COUNTIFS($U$2:$U3167,$U3167,$F$2:$F3167,$F3167)=1,1,0),IF(COUNTIFS($U$2:$U3167,$U3167,$L$2:$L3167,$L3167)=1,1,0)))</f>
        <v>0</v>
      </c>
      <c r="AA31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7" s="106" t="s">
        <v>38</v>
      </c>
      <c r="AC3167" s="51">
        <v>44859</v>
      </c>
      <c r="AD3167" s="106" t="s">
        <v>31</v>
      </c>
      <c r="AE3167" s="38" t="s">
        <v>376</v>
      </c>
    </row>
    <row r="3168" spans="1:31" ht="18" customHeight="1" x14ac:dyDescent="0.25">
      <c r="A31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8" s="79">
        <v>4</v>
      </c>
      <c r="C3168" s="23">
        <v>44125</v>
      </c>
      <c r="D3168" s="67">
        <f>IF(COUNTIF($G$2:$G3168,$G3168)=1,1,0)</f>
        <v>1</v>
      </c>
      <c r="E3168" s="67" t="str">
        <f>IFERROR(VLOOKUP(База_КР_КК[[#This Row],[ИД штатной должности (S)]],'уровень защищенности'!$B$7:$F$1095,5,0),"не защищена")</f>
        <v>высокий</v>
      </c>
      <c r="F3168" s="68">
        <v>500173</v>
      </c>
      <c r="G3168" s="74" t="s">
        <v>2933</v>
      </c>
      <c r="H3168" s="181">
        <f>INDEX('Списки данных'!$D$2:$D$1048576,MATCH(База_КР_КК[[#This Row],[Структурное подразделение]],'Списки данных'!$C$2:$C$1048576,0))</f>
        <v>7</v>
      </c>
      <c r="I3168" s="80" t="s">
        <v>137</v>
      </c>
      <c r="J3168" s="80" t="s">
        <v>248</v>
      </c>
      <c r="K3168" s="80" t="s">
        <v>249</v>
      </c>
      <c r="L3168" s="30" t="s">
        <v>191</v>
      </c>
      <c r="M3168" s="68">
        <v>6</v>
      </c>
      <c r="N3168" s="181" t="str">
        <f t="shared" si="50"/>
        <v>нет</v>
      </c>
      <c r="O3168" s="23"/>
      <c r="P3168" s="23"/>
      <c r="Q3168" s="106"/>
      <c r="R3168" s="37">
        <v>753</v>
      </c>
      <c r="S3168" s="37" t="s">
        <v>1162</v>
      </c>
      <c r="T3168" s="37">
        <v>1830</v>
      </c>
      <c r="U3168" s="39" t="s">
        <v>2069</v>
      </c>
      <c r="V3168" s="89" t="s">
        <v>272</v>
      </c>
      <c r="W3168" s="89" t="s">
        <v>137</v>
      </c>
      <c r="X3168" s="106" t="s">
        <v>297</v>
      </c>
      <c r="Y3168" s="107" t="s">
        <v>12</v>
      </c>
      <c r="Z3168" s="67">
        <f>IF(База_КР_КК[[#This Row],[Таб.номер резервиста]]="-","-",IF(OR(База_КР_КК[[#This Row],[Уровень КК]]=2,База_КР_КК[[#This Row],[Уровень КК]]=3),IF(COUNTIFS($U$2:$U3168,$U3168,$F$2:$F3168,$F3168)=1,1,0),IF(COUNTIFS($U$2:$U3168,$U3168,$L$2:$L3168,$L3168)=1,1,0)))</f>
        <v>0</v>
      </c>
      <c r="AA31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8" s="106"/>
      <c r="AC3168" s="51"/>
      <c r="AD3168" s="106" t="s">
        <v>17</v>
      </c>
      <c r="AE3168" s="38" t="s">
        <v>376</v>
      </c>
    </row>
    <row r="3169" spans="1:31" ht="18" customHeight="1" x14ac:dyDescent="0.25">
      <c r="A31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69" s="79">
        <v>4</v>
      </c>
      <c r="C3169" s="23">
        <v>44125</v>
      </c>
      <c r="D3169" s="67">
        <f>IF(COUNTIF($G$2:$G3169,$G3169)=1,1,0)</f>
        <v>0</v>
      </c>
      <c r="E3169" s="67" t="str">
        <f>IFERROR(VLOOKUP(База_КР_КК[[#This Row],[ИД штатной должности (S)]],'уровень защищенности'!$B$7:$F$1095,5,0),"не защищена")</f>
        <v>высокий</v>
      </c>
      <c r="F3169" s="68">
        <v>500173</v>
      </c>
      <c r="G3169" s="74" t="s">
        <v>2933</v>
      </c>
      <c r="H3169" s="181">
        <f>INDEX('Списки данных'!$D$2:$D$1048576,MATCH(База_КР_КК[[#This Row],[Структурное подразделение]],'Списки данных'!$C$2:$C$1048576,0))</f>
        <v>7</v>
      </c>
      <c r="I3169" s="80" t="s">
        <v>137</v>
      </c>
      <c r="J3169" s="80" t="s">
        <v>248</v>
      </c>
      <c r="K3169" s="80" t="s">
        <v>249</v>
      </c>
      <c r="L3169" s="30" t="s">
        <v>191</v>
      </c>
      <c r="M3169" s="68">
        <v>6</v>
      </c>
      <c r="N3169" s="181" t="str">
        <f t="shared" si="50"/>
        <v>нет</v>
      </c>
      <c r="O3169" s="23"/>
      <c r="P3169" s="23"/>
      <c r="Q3169" s="106"/>
      <c r="R3169" s="37">
        <v>753</v>
      </c>
      <c r="S3169" s="38" t="s">
        <v>1162</v>
      </c>
      <c r="T3169" s="37">
        <v>1831</v>
      </c>
      <c r="U3169" s="39" t="s">
        <v>1626</v>
      </c>
      <c r="V3169" s="89" t="s">
        <v>272</v>
      </c>
      <c r="W3169" s="89" t="s">
        <v>137</v>
      </c>
      <c r="X3169" s="106" t="s">
        <v>297</v>
      </c>
      <c r="Y3169" s="107" t="s">
        <v>12</v>
      </c>
      <c r="Z3169" s="67">
        <f>IF(База_КР_КК[[#This Row],[Таб.номер резервиста]]="-","-",IF(OR(База_КР_КК[[#This Row],[Уровень КК]]=2,База_КР_КК[[#This Row],[Уровень КК]]=3),IF(COUNTIFS($U$2:$U3169,$U3169,$F$2:$F3169,$F3169)=1,1,0),IF(COUNTIFS($U$2:$U3169,$U3169,$L$2:$L3169,$L3169)=1,1,0)))</f>
        <v>0</v>
      </c>
      <c r="AA31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69" s="106"/>
      <c r="AC3169" s="51"/>
      <c r="AD3169" s="106" t="s">
        <v>17</v>
      </c>
      <c r="AE3169" s="38" t="s">
        <v>376</v>
      </c>
    </row>
    <row r="3170" spans="1:31" ht="18" customHeight="1" x14ac:dyDescent="0.25">
      <c r="A31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0" s="79">
        <v>4</v>
      </c>
      <c r="C3170" s="23">
        <v>44125</v>
      </c>
      <c r="D3170" s="67">
        <f>IF(COUNTIF($G$2:$G3170,$G3170)=1,1,0)</f>
        <v>0</v>
      </c>
      <c r="E3170" s="67" t="str">
        <f>IFERROR(VLOOKUP(База_КР_КК[[#This Row],[ИД штатной должности (S)]],'уровень защищенности'!$B$7:$F$1095,5,0),"не защищена")</f>
        <v>высокий</v>
      </c>
      <c r="F3170" s="68">
        <v>500173</v>
      </c>
      <c r="G3170" s="74" t="s">
        <v>2933</v>
      </c>
      <c r="H3170" s="181">
        <f>INDEX('Списки данных'!$D$2:$D$1048576,MATCH(База_КР_КК[[#This Row],[Структурное подразделение]],'Списки данных'!$C$2:$C$1048576,0))</f>
        <v>7</v>
      </c>
      <c r="I3170" s="80" t="s">
        <v>137</v>
      </c>
      <c r="J3170" s="80" t="s">
        <v>248</v>
      </c>
      <c r="K3170" s="80" t="s">
        <v>249</v>
      </c>
      <c r="L3170" s="30" t="s">
        <v>191</v>
      </c>
      <c r="M3170" s="68">
        <v>6</v>
      </c>
      <c r="N3170" s="181" t="str">
        <f t="shared" si="50"/>
        <v>нет</v>
      </c>
      <c r="O3170" s="23"/>
      <c r="P3170" s="23"/>
      <c r="Q3170" s="106"/>
      <c r="R3170" s="37">
        <v>753</v>
      </c>
      <c r="S3170" s="38" t="s">
        <v>1162</v>
      </c>
      <c r="T3170" s="37">
        <v>1832</v>
      </c>
      <c r="U3170" s="39" t="s">
        <v>2070</v>
      </c>
      <c r="V3170" s="89" t="s">
        <v>272</v>
      </c>
      <c r="W3170" s="89" t="s">
        <v>137</v>
      </c>
      <c r="X3170" s="106" t="s">
        <v>297</v>
      </c>
      <c r="Y3170" s="107" t="s">
        <v>12</v>
      </c>
      <c r="Z3170" s="67">
        <f>IF(База_КР_КК[[#This Row],[Таб.номер резервиста]]="-","-",IF(OR(База_КР_КК[[#This Row],[Уровень КК]]=2,База_КР_КК[[#This Row],[Уровень КК]]=3),IF(COUNTIFS($U$2:$U3170,$U3170,$F$2:$F3170,$F3170)=1,1,0),IF(COUNTIFS($U$2:$U3170,$U3170,$L$2:$L3170,$L3170)=1,1,0)))</f>
        <v>0</v>
      </c>
      <c r="AA31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0" s="106"/>
      <c r="AC3170" s="51"/>
      <c r="AD3170" s="106" t="s">
        <v>17</v>
      </c>
      <c r="AE3170" s="38" t="s">
        <v>376</v>
      </c>
    </row>
    <row r="3171" spans="1:31" ht="18" customHeight="1" x14ac:dyDescent="0.25">
      <c r="A31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1" s="79">
        <v>4</v>
      </c>
      <c r="C3171" s="23">
        <v>44469</v>
      </c>
      <c r="D3171" s="67">
        <f>IF(COUNTIF($G$2:$G3171,$G3171)=1,1,0)</f>
        <v>0</v>
      </c>
      <c r="E3171" s="67" t="str">
        <f>IFERROR(VLOOKUP(База_КР_КК[[#This Row],[ИД штатной должности (S)]],'уровень защищенности'!$B$7:$F$1095,5,0),"не защищена")</f>
        <v>высокий</v>
      </c>
      <c r="F3171" s="68">
        <v>500173</v>
      </c>
      <c r="G3171" s="74" t="s">
        <v>2933</v>
      </c>
      <c r="H3171" s="181">
        <f>INDEX('Списки данных'!$D$2:$D$1048576,MATCH(База_КР_КК[[#This Row],[Структурное подразделение]],'Списки данных'!$C$2:$C$1048576,0))</f>
        <v>7</v>
      </c>
      <c r="I3171" s="80" t="s">
        <v>137</v>
      </c>
      <c r="J3171" s="80" t="s">
        <v>248</v>
      </c>
      <c r="K3171" s="80" t="s">
        <v>249</v>
      </c>
      <c r="L3171" s="30" t="s">
        <v>191</v>
      </c>
      <c r="M3171" s="68">
        <v>6</v>
      </c>
      <c r="N3171" s="181" t="str">
        <f t="shared" si="50"/>
        <v>нет</v>
      </c>
      <c r="O3171" s="23"/>
      <c r="P3171" s="23"/>
      <c r="Q3171" s="106"/>
      <c r="R3171" s="37">
        <v>753</v>
      </c>
      <c r="S3171" s="38" t="s">
        <v>1162</v>
      </c>
      <c r="T3171" s="37">
        <v>1833</v>
      </c>
      <c r="U3171" s="39" t="s">
        <v>2071</v>
      </c>
      <c r="V3171" s="69" t="s">
        <v>272</v>
      </c>
      <c r="W3171" s="89" t="s">
        <v>137</v>
      </c>
      <c r="X3171" s="106" t="s">
        <v>297</v>
      </c>
      <c r="Y3171" s="107" t="s">
        <v>12</v>
      </c>
      <c r="Z3171" s="67">
        <f>IF(База_КР_КК[[#This Row],[Таб.номер резервиста]]="-","-",IF(OR(База_КР_КК[[#This Row],[Уровень КК]]=2,База_КР_КК[[#This Row],[Уровень КК]]=3),IF(COUNTIFS($U$2:$U3171,$U3171,$F$2:$F3171,$F3171)=1,1,0),IF(COUNTIFS($U$2:$U3171,$U3171,$L$2:$L3171,$L3171)=1,1,0)))</f>
        <v>0</v>
      </c>
      <c r="AA31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1" s="106"/>
      <c r="AC3171" s="51"/>
      <c r="AD3171" s="106" t="s">
        <v>17</v>
      </c>
      <c r="AE3171" s="38" t="s">
        <v>376</v>
      </c>
    </row>
    <row r="3172" spans="1:31" ht="18" customHeight="1" x14ac:dyDescent="0.25">
      <c r="A31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2" s="79">
        <v>4</v>
      </c>
      <c r="C3172" s="23">
        <v>44859</v>
      </c>
      <c r="D3172" s="67">
        <f>IF(COUNTIF($G$2:$G3172,$G3172)=1,1,0)</f>
        <v>0</v>
      </c>
      <c r="E3172" s="67" t="str">
        <f>IFERROR(VLOOKUP(База_КР_КК[[#This Row],[ИД штатной должности (S)]],'уровень защищенности'!$B$7:$F$1095,5,0),"не защищена")</f>
        <v>высокий</v>
      </c>
      <c r="F3172" s="68">
        <v>500173</v>
      </c>
      <c r="G3172" s="74" t="s">
        <v>2933</v>
      </c>
      <c r="H3172" s="181">
        <f>INDEX('Списки данных'!$D$2:$D$1048576,MATCH(База_КР_КК[[#This Row],[Структурное подразделение]],'Списки данных'!$C$2:$C$1048576,0))</f>
        <v>7</v>
      </c>
      <c r="I3172" s="80" t="s">
        <v>137</v>
      </c>
      <c r="J3172" s="80" t="s">
        <v>248</v>
      </c>
      <c r="K3172" s="80" t="s">
        <v>249</v>
      </c>
      <c r="L3172" s="30" t="s">
        <v>191</v>
      </c>
      <c r="M3172" s="68">
        <v>6</v>
      </c>
      <c r="N3172" s="181" t="str">
        <f t="shared" si="50"/>
        <v>нет</v>
      </c>
      <c r="O3172" s="23"/>
      <c r="P3172" s="23"/>
      <c r="Q3172" s="106"/>
      <c r="R3172" s="37">
        <v>753</v>
      </c>
      <c r="S3172" s="39" t="s">
        <v>1162</v>
      </c>
      <c r="T3172" s="37">
        <v>1834</v>
      </c>
      <c r="U3172" s="38" t="s">
        <v>1851</v>
      </c>
      <c r="V3172" s="89" t="s">
        <v>272</v>
      </c>
      <c r="W3172" s="89" t="s">
        <v>137</v>
      </c>
      <c r="X3172" s="106" t="s">
        <v>296</v>
      </c>
      <c r="Y3172" s="107" t="s">
        <v>12</v>
      </c>
      <c r="Z3172" s="67">
        <f>IF(База_КР_КК[[#This Row],[Таб.номер резервиста]]="-","-",IF(OR(База_КР_КК[[#This Row],[Уровень КК]]=2,База_КР_КК[[#This Row],[Уровень КК]]=3),IF(COUNTIFS($U$2:$U3172,$U3172,$F$2:$F3172,$F3172)=1,1,0),IF(COUNTIFS($U$2:$U3172,$U3172,$L$2:$L3172,$L3172)=1,1,0)))</f>
        <v>0</v>
      </c>
      <c r="AA31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2" s="106"/>
      <c r="AC3172" s="51"/>
      <c r="AD3172" s="106" t="s">
        <v>15</v>
      </c>
      <c r="AE3172" s="38" t="s">
        <v>376</v>
      </c>
    </row>
    <row r="3173" spans="1:31" ht="18" customHeight="1" x14ac:dyDescent="0.25">
      <c r="A31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3" s="79">
        <v>4</v>
      </c>
      <c r="C3173" s="23">
        <v>44859</v>
      </c>
      <c r="D3173" s="67">
        <f>IF(COUNTIF($G$2:$G3173,$G3173)=1,1,0)</f>
        <v>0</v>
      </c>
      <c r="E3173" s="67" t="str">
        <f>IFERROR(VLOOKUP(База_КР_КК[[#This Row],[ИД штатной должности (S)]],'уровень защищенности'!$B$7:$F$1095,5,0),"не защищена")</f>
        <v>высокий</v>
      </c>
      <c r="F3173" s="68">
        <v>500173</v>
      </c>
      <c r="G3173" s="74" t="s">
        <v>2933</v>
      </c>
      <c r="H3173" s="181">
        <f>INDEX('Списки данных'!$D$2:$D$1048576,MATCH(База_КР_КК[[#This Row],[Структурное подразделение]],'Списки данных'!$C$2:$C$1048576,0))</f>
        <v>7</v>
      </c>
      <c r="I3173" s="80" t="s">
        <v>137</v>
      </c>
      <c r="J3173" s="80" t="s">
        <v>248</v>
      </c>
      <c r="K3173" s="80" t="s">
        <v>249</v>
      </c>
      <c r="L3173" s="30" t="s">
        <v>191</v>
      </c>
      <c r="M3173" s="68">
        <v>6</v>
      </c>
      <c r="N3173" s="181" t="str">
        <f t="shared" si="50"/>
        <v>нет</v>
      </c>
      <c r="O3173" s="23"/>
      <c r="P3173" s="23"/>
      <c r="Q3173" s="106"/>
      <c r="R3173" s="37">
        <v>753</v>
      </c>
      <c r="S3173" s="39" t="s">
        <v>1162</v>
      </c>
      <c r="T3173" s="37">
        <v>1835</v>
      </c>
      <c r="U3173" s="38" t="s">
        <v>1973</v>
      </c>
      <c r="V3173" s="89" t="s">
        <v>272</v>
      </c>
      <c r="W3173" s="89" t="s">
        <v>137</v>
      </c>
      <c r="X3173" s="106" t="s">
        <v>296</v>
      </c>
      <c r="Y3173" s="107" t="s">
        <v>12</v>
      </c>
      <c r="Z3173" s="67">
        <f>IF(База_КР_КК[[#This Row],[Таб.номер резервиста]]="-","-",IF(OR(База_КР_КК[[#This Row],[Уровень КК]]=2,База_КР_КК[[#This Row],[Уровень КК]]=3),IF(COUNTIFS($U$2:$U3173,$U3173,$F$2:$F3173,$F3173)=1,1,0),IF(COUNTIFS($U$2:$U3173,$U3173,$L$2:$L3173,$L3173)=1,1,0)))</f>
        <v>0</v>
      </c>
      <c r="AA31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3" s="106"/>
      <c r="AC3173" s="51"/>
      <c r="AD3173" s="106" t="s">
        <v>15</v>
      </c>
      <c r="AE3173" s="38" t="s">
        <v>376</v>
      </c>
    </row>
    <row r="3174" spans="1:31" ht="18" customHeight="1" x14ac:dyDescent="0.25">
      <c r="A31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4" s="79">
        <v>4</v>
      </c>
      <c r="C3174" s="23">
        <v>44859</v>
      </c>
      <c r="D3174" s="67">
        <f>IF(COUNTIF($G$2:$G3174,$G3174)=1,1,0)</f>
        <v>0</v>
      </c>
      <c r="E3174" s="67" t="str">
        <f>IFERROR(VLOOKUP(База_КР_КК[[#This Row],[ИД штатной должности (S)]],'уровень защищенности'!$B$7:$F$1095,5,0),"не защищена")</f>
        <v>высокий</v>
      </c>
      <c r="F3174" s="68">
        <v>500173</v>
      </c>
      <c r="G3174" s="74" t="s">
        <v>2933</v>
      </c>
      <c r="H3174" s="181">
        <f>INDEX('Списки данных'!$D$2:$D$1048576,MATCH(База_КР_КК[[#This Row],[Структурное подразделение]],'Списки данных'!$C$2:$C$1048576,0))</f>
        <v>7</v>
      </c>
      <c r="I3174" s="80" t="s">
        <v>137</v>
      </c>
      <c r="J3174" s="80" t="s">
        <v>248</v>
      </c>
      <c r="K3174" s="80" t="s">
        <v>249</v>
      </c>
      <c r="L3174" s="30" t="s">
        <v>191</v>
      </c>
      <c r="M3174" s="68">
        <v>6</v>
      </c>
      <c r="N3174" s="181" t="str">
        <f t="shared" si="50"/>
        <v>нет</v>
      </c>
      <c r="O3174" s="23"/>
      <c r="P3174" s="23"/>
      <c r="Q3174" s="106"/>
      <c r="R3174" s="37">
        <v>753</v>
      </c>
      <c r="S3174" s="39" t="s">
        <v>1162</v>
      </c>
      <c r="T3174" s="37">
        <v>1836</v>
      </c>
      <c r="U3174" s="38" t="s">
        <v>1855</v>
      </c>
      <c r="V3174" s="89" t="s">
        <v>272</v>
      </c>
      <c r="W3174" s="89" t="s">
        <v>137</v>
      </c>
      <c r="X3174" s="106" t="s">
        <v>295</v>
      </c>
      <c r="Y3174" s="107" t="s">
        <v>12</v>
      </c>
      <c r="Z3174" s="67">
        <f>IF(База_КР_КК[[#This Row],[Таб.номер резервиста]]="-","-",IF(OR(База_КР_КК[[#This Row],[Уровень КК]]=2,База_КР_КК[[#This Row],[Уровень КК]]=3),IF(COUNTIFS($U$2:$U3174,$U3174,$F$2:$F3174,$F3174)=1,1,0),IF(COUNTIFS($U$2:$U3174,$U3174,$L$2:$L3174,$L3174)=1,1,0)))</f>
        <v>0</v>
      </c>
      <c r="AA31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4" s="106"/>
      <c r="AC3174" s="51"/>
      <c r="AD3174" s="106" t="s">
        <v>15</v>
      </c>
      <c r="AE3174" s="38" t="s">
        <v>376</v>
      </c>
    </row>
    <row r="3175" spans="1:31" ht="18" customHeight="1" x14ac:dyDescent="0.25">
      <c r="A31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5" s="79">
        <v>4</v>
      </c>
      <c r="C3175" s="23">
        <v>44859</v>
      </c>
      <c r="D3175" s="67">
        <f>IF(COUNTIF($G$2:$G3175,$G3175)=1,1,0)</f>
        <v>0</v>
      </c>
      <c r="E3175" s="67" t="str">
        <f>IFERROR(VLOOKUP(База_КР_КК[[#This Row],[ИД штатной должности (S)]],'уровень защищенности'!$B$7:$F$1095,5,0),"не защищена")</f>
        <v>высокий</v>
      </c>
      <c r="F3175" s="68">
        <v>500173</v>
      </c>
      <c r="G3175" s="74" t="s">
        <v>2933</v>
      </c>
      <c r="H3175" s="181">
        <f>INDEX('Списки данных'!$D$2:$D$1048576,MATCH(База_КР_КК[[#This Row],[Структурное подразделение]],'Списки данных'!$C$2:$C$1048576,0))</f>
        <v>7</v>
      </c>
      <c r="I3175" s="80" t="s">
        <v>137</v>
      </c>
      <c r="J3175" s="80" t="s">
        <v>248</v>
      </c>
      <c r="K3175" s="80" t="s">
        <v>249</v>
      </c>
      <c r="L3175" s="30" t="s">
        <v>191</v>
      </c>
      <c r="M3175" s="68">
        <v>6</v>
      </c>
      <c r="N3175" s="181" t="str">
        <f t="shared" si="50"/>
        <v>нет</v>
      </c>
      <c r="O3175" s="23"/>
      <c r="P3175" s="23"/>
      <c r="Q3175" s="106"/>
      <c r="R3175" s="37">
        <v>753</v>
      </c>
      <c r="S3175" s="39" t="s">
        <v>1162</v>
      </c>
      <c r="T3175" s="37">
        <v>1837</v>
      </c>
      <c r="U3175" s="38" t="s">
        <v>2060</v>
      </c>
      <c r="V3175" s="69" t="s">
        <v>272</v>
      </c>
      <c r="W3175" s="89" t="s">
        <v>137</v>
      </c>
      <c r="X3175" s="106" t="s">
        <v>296</v>
      </c>
      <c r="Y3175" s="107" t="s">
        <v>12</v>
      </c>
      <c r="Z3175" s="67">
        <f>IF(База_КР_КК[[#This Row],[Таб.номер резервиста]]="-","-",IF(OR(База_КР_КК[[#This Row],[Уровень КК]]=2,База_КР_КК[[#This Row],[Уровень КК]]=3),IF(COUNTIFS($U$2:$U3175,$U3175,$F$2:$F3175,$F3175)=1,1,0),IF(COUNTIFS($U$2:$U3175,$U3175,$L$2:$L3175,$L3175)=1,1,0)))</f>
        <v>0</v>
      </c>
      <c r="AA31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5" s="106"/>
      <c r="AC3175" s="51"/>
      <c r="AD3175" s="106" t="s">
        <v>15</v>
      </c>
      <c r="AE3175" s="38" t="s">
        <v>376</v>
      </c>
    </row>
    <row r="3176" spans="1:31" ht="18" customHeight="1" x14ac:dyDescent="0.25">
      <c r="A31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6" s="79">
        <v>4</v>
      </c>
      <c r="C3176" s="23">
        <v>44859</v>
      </c>
      <c r="D3176" s="67">
        <f>IF(COUNTIF($G$2:$G3176,$G3176)=1,1,0)</f>
        <v>0</v>
      </c>
      <c r="E3176" s="67" t="str">
        <f>IFERROR(VLOOKUP(База_КР_КК[[#This Row],[ИД штатной должности (S)]],'уровень защищенности'!$B$7:$F$1095,5,0),"не защищена")</f>
        <v>высокий</v>
      </c>
      <c r="F3176" s="68">
        <v>500173</v>
      </c>
      <c r="G3176" s="74" t="s">
        <v>2933</v>
      </c>
      <c r="H3176" s="181">
        <f>INDEX('Списки данных'!$D$2:$D$1048576,MATCH(База_КР_КК[[#This Row],[Структурное подразделение]],'Списки данных'!$C$2:$C$1048576,0))</f>
        <v>7</v>
      </c>
      <c r="I3176" s="80" t="s">
        <v>137</v>
      </c>
      <c r="J3176" s="80" t="s">
        <v>248</v>
      </c>
      <c r="K3176" s="80" t="s">
        <v>249</v>
      </c>
      <c r="L3176" s="30" t="s">
        <v>191</v>
      </c>
      <c r="M3176" s="68">
        <v>6</v>
      </c>
      <c r="N3176" s="181" t="str">
        <f t="shared" si="50"/>
        <v>нет</v>
      </c>
      <c r="O3176" s="23"/>
      <c r="P3176" s="23"/>
      <c r="Q3176" s="106"/>
      <c r="R3176" s="37">
        <v>753</v>
      </c>
      <c r="S3176" s="39" t="s">
        <v>1162</v>
      </c>
      <c r="T3176" s="37">
        <v>1838</v>
      </c>
      <c r="U3176" s="38" t="s">
        <v>1981</v>
      </c>
      <c r="V3176" s="89" t="s">
        <v>272</v>
      </c>
      <c r="W3176" s="89" t="s">
        <v>137</v>
      </c>
      <c r="X3176" s="106" t="s">
        <v>296</v>
      </c>
      <c r="Y3176" s="107" t="s">
        <v>12</v>
      </c>
      <c r="Z3176" s="67">
        <f>IF(База_КР_КК[[#This Row],[Таб.номер резервиста]]="-","-",IF(OR(База_КР_КК[[#This Row],[Уровень КК]]=2,База_КР_КК[[#This Row],[Уровень КК]]=3),IF(COUNTIFS($U$2:$U3176,$U3176,$F$2:$F3176,$F3176)=1,1,0),IF(COUNTIFS($U$2:$U3176,$U3176,$L$2:$L3176,$L3176)=1,1,0)))</f>
        <v>0</v>
      </c>
      <c r="AA31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6" s="106"/>
      <c r="AC3176" s="51"/>
      <c r="AD3176" s="106" t="s">
        <v>15</v>
      </c>
      <c r="AE3176" s="38" t="s">
        <v>376</v>
      </c>
    </row>
    <row r="3177" spans="1:31" ht="18" customHeight="1" x14ac:dyDescent="0.25">
      <c r="A31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7" s="79">
        <v>4</v>
      </c>
      <c r="C3177" s="23">
        <v>44125</v>
      </c>
      <c r="D3177" s="67">
        <f>IF(COUNTIF($G$2:$G3177,$G3177)=1,1,0)</f>
        <v>0</v>
      </c>
      <c r="E3177" s="67" t="str">
        <f>IFERROR(VLOOKUP(База_КР_КК[[#This Row],[ИД штатной должности (S)]],'уровень защищенности'!$B$7:$F$1095,5,0),"не защищена")</f>
        <v>высокий</v>
      </c>
      <c r="F3177" s="68">
        <v>500173</v>
      </c>
      <c r="G3177" s="74" t="s">
        <v>2933</v>
      </c>
      <c r="H3177" s="181">
        <f>INDEX('Списки данных'!$D$2:$D$1048576,MATCH(База_КР_КК[[#This Row],[Структурное подразделение]],'Списки данных'!$C$2:$C$1048576,0))</f>
        <v>7</v>
      </c>
      <c r="I3177" s="80" t="s">
        <v>137</v>
      </c>
      <c r="J3177" s="80" t="s">
        <v>248</v>
      </c>
      <c r="K3177" s="80" t="s">
        <v>249</v>
      </c>
      <c r="L3177" s="30" t="s">
        <v>191</v>
      </c>
      <c r="M3177" s="68">
        <v>6</v>
      </c>
      <c r="N3177" s="181" t="str">
        <f t="shared" si="50"/>
        <v>нет</v>
      </c>
      <c r="O3177" s="23"/>
      <c r="P3177" s="23"/>
      <c r="Q3177" s="106"/>
      <c r="R3177" s="37">
        <v>753</v>
      </c>
      <c r="S3177" s="37" t="s">
        <v>1162</v>
      </c>
      <c r="T3177" s="37">
        <v>1839</v>
      </c>
      <c r="U3177" s="39" t="s">
        <v>2072</v>
      </c>
      <c r="V3177" s="89" t="s">
        <v>272</v>
      </c>
      <c r="W3177" s="89" t="s">
        <v>137</v>
      </c>
      <c r="X3177" s="106" t="s">
        <v>296</v>
      </c>
      <c r="Y3177" s="107" t="s">
        <v>18</v>
      </c>
      <c r="Z3177" s="67">
        <f>IF(База_КР_КК[[#This Row],[Таб.номер резервиста]]="-","-",IF(OR(База_КР_КК[[#This Row],[Уровень КК]]=2,База_КР_КК[[#This Row],[Уровень КК]]=3),IF(COUNTIFS($U$2:$U3177,$U3177,$F$2:$F3177,$F3177)=1,1,0),IF(COUNTIFS($U$2:$U3177,$U3177,$L$2:$L3177,$L3177)=1,1,0)))</f>
        <v>0</v>
      </c>
      <c r="AA31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7" s="106" t="s">
        <v>38</v>
      </c>
      <c r="AC3177" s="51">
        <v>44859</v>
      </c>
      <c r="AD3177" s="106" t="s">
        <v>31</v>
      </c>
      <c r="AE3177" s="38" t="s">
        <v>376</v>
      </c>
    </row>
    <row r="3178" spans="1:31" ht="18" customHeight="1" x14ac:dyDescent="0.25">
      <c r="A31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8" s="79">
        <v>4</v>
      </c>
      <c r="C3178" s="23">
        <v>44469</v>
      </c>
      <c r="D3178" s="67">
        <f>IF(COUNTIF($G$2:$G3178,$G3178)=1,1,0)</f>
        <v>0</v>
      </c>
      <c r="E3178" s="67" t="str">
        <f>IFERROR(VLOOKUP(База_КР_КК[[#This Row],[ИД штатной должности (S)]],'уровень защищенности'!$B$7:$F$1095,5,0),"не защищена")</f>
        <v>высокий</v>
      </c>
      <c r="F3178" s="68">
        <v>500173</v>
      </c>
      <c r="G3178" s="74" t="s">
        <v>2933</v>
      </c>
      <c r="H3178" s="181">
        <f>INDEX('Списки данных'!$D$2:$D$1048576,MATCH(База_КР_КК[[#This Row],[Структурное подразделение]],'Списки данных'!$C$2:$C$1048576,0))</f>
        <v>7</v>
      </c>
      <c r="I3178" s="80" t="s">
        <v>137</v>
      </c>
      <c r="J3178" s="80" t="s">
        <v>248</v>
      </c>
      <c r="K3178" s="80" t="s">
        <v>249</v>
      </c>
      <c r="L3178" s="30" t="s">
        <v>191</v>
      </c>
      <c r="M3178" s="68">
        <v>6</v>
      </c>
      <c r="N3178" s="181" t="str">
        <f t="shared" si="50"/>
        <v>нет</v>
      </c>
      <c r="O3178" s="23"/>
      <c r="P3178" s="23"/>
      <c r="Q3178" s="106"/>
      <c r="R3178" s="37">
        <v>753</v>
      </c>
      <c r="S3178" s="38" t="s">
        <v>1162</v>
      </c>
      <c r="T3178" s="37">
        <v>1840</v>
      </c>
      <c r="U3178" s="39" t="s">
        <v>1965</v>
      </c>
      <c r="V3178" s="69" t="s">
        <v>192</v>
      </c>
      <c r="W3178" s="89" t="s">
        <v>137</v>
      </c>
      <c r="X3178" s="106" t="s">
        <v>297</v>
      </c>
      <c r="Y3178" s="107" t="s">
        <v>18</v>
      </c>
      <c r="Z3178" s="67">
        <f>IF(База_КР_КК[[#This Row],[Таб.номер резервиста]]="-","-",IF(OR(База_КР_КК[[#This Row],[Уровень КК]]=2,База_КР_КК[[#This Row],[Уровень КК]]=3),IF(COUNTIFS($U$2:$U3178,$U3178,$F$2:$F3178,$F3178)=1,1,0),IF(COUNTIFS($U$2:$U3178,$U3178,$L$2:$L3178,$L3178)=1,1,0)))</f>
        <v>0</v>
      </c>
      <c r="AA31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8" s="106" t="s">
        <v>38</v>
      </c>
      <c r="AC3178" s="51">
        <v>44859</v>
      </c>
      <c r="AD3178" s="106" t="s">
        <v>31</v>
      </c>
      <c r="AE3178" s="38" t="s">
        <v>376</v>
      </c>
    </row>
    <row r="3179" spans="1:31" ht="18" customHeight="1" x14ac:dyDescent="0.25">
      <c r="A31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79" s="79">
        <v>4</v>
      </c>
      <c r="C3179" s="23">
        <v>44125</v>
      </c>
      <c r="D3179" s="67">
        <f>IF(COUNTIF($G$2:$G3179,$G3179)=1,1,0)</f>
        <v>1</v>
      </c>
      <c r="E3179" s="67" t="str">
        <f>IFERROR(VLOOKUP(База_КР_КК[[#This Row],[ИД штатной должности (S)]],'уровень защищенности'!$B$7:$F$1095,5,0),"не защищена")</f>
        <v>высокий</v>
      </c>
      <c r="F3179" s="68">
        <v>500173</v>
      </c>
      <c r="G3179" s="74" t="s">
        <v>2934</v>
      </c>
      <c r="H3179" s="181">
        <f>INDEX('Списки данных'!$D$2:$D$1048576,MATCH(База_КР_КК[[#This Row],[Структурное подразделение]],'Списки данных'!$C$2:$C$1048576,0))</f>
        <v>7</v>
      </c>
      <c r="I3179" s="80" t="s">
        <v>137</v>
      </c>
      <c r="J3179" s="80" t="s">
        <v>248</v>
      </c>
      <c r="K3179" s="80" t="s">
        <v>249</v>
      </c>
      <c r="L3179" s="30" t="s">
        <v>191</v>
      </c>
      <c r="M3179" s="68">
        <v>6</v>
      </c>
      <c r="N3179" s="181" t="str">
        <f t="shared" si="50"/>
        <v>нет</v>
      </c>
      <c r="O3179" s="23"/>
      <c r="P3179" s="23"/>
      <c r="Q3179" s="106"/>
      <c r="R3179" s="37">
        <v>754</v>
      </c>
      <c r="S3179" s="37" t="s">
        <v>1163</v>
      </c>
      <c r="T3179" s="37">
        <v>1830</v>
      </c>
      <c r="U3179" s="39" t="s">
        <v>2069</v>
      </c>
      <c r="V3179" s="89" t="s">
        <v>272</v>
      </c>
      <c r="W3179" s="89" t="s">
        <v>137</v>
      </c>
      <c r="X3179" s="106" t="s">
        <v>297</v>
      </c>
      <c r="Y3179" s="107" t="s">
        <v>12</v>
      </c>
      <c r="Z3179" s="67">
        <f>IF(База_КР_КК[[#This Row],[Таб.номер резервиста]]="-","-",IF(OR(База_КР_КК[[#This Row],[Уровень КК]]=2,База_КР_КК[[#This Row],[Уровень КК]]=3),IF(COUNTIFS($U$2:$U3179,$U3179,$F$2:$F3179,$F3179)=1,1,0),IF(COUNTIFS($U$2:$U3179,$U3179,$L$2:$L3179,$L3179)=1,1,0)))</f>
        <v>0</v>
      </c>
      <c r="AA31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79" s="106"/>
      <c r="AC3179" s="51"/>
      <c r="AD3179" s="106" t="s">
        <v>17</v>
      </c>
      <c r="AE3179" s="38" t="s">
        <v>376</v>
      </c>
    </row>
    <row r="3180" spans="1:31" ht="18" customHeight="1" x14ac:dyDescent="0.25">
      <c r="A31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0" s="79">
        <v>4</v>
      </c>
      <c r="C3180" s="23">
        <v>44125</v>
      </c>
      <c r="D3180" s="67">
        <f>IF(COUNTIF($G$2:$G3180,$G3180)=1,1,0)</f>
        <v>0</v>
      </c>
      <c r="E3180" s="67" t="str">
        <f>IFERROR(VLOOKUP(База_КР_КК[[#This Row],[ИД штатной должности (S)]],'уровень защищенности'!$B$7:$F$1095,5,0),"не защищена")</f>
        <v>высокий</v>
      </c>
      <c r="F3180" s="68">
        <v>500173</v>
      </c>
      <c r="G3180" s="74" t="s">
        <v>2934</v>
      </c>
      <c r="H3180" s="181">
        <f>INDEX('Списки данных'!$D$2:$D$1048576,MATCH(База_КР_КК[[#This Row],[Структурное подразделение]],'Списки данных'!$C$2:$C$1048576,0))</f>
        <v>7</v>
      </c>
      <c r="I3180" s="80" t="s">
        <v>137</v>
      </c>
      <c r="J3180" s="80" t="s">
        <v>248</v>
      </c>
      <c r="K3180" s="80" t="s">
        <v>249</v>
      </c>
      <c r="L3180" s="30" t="s">
        <v>191</v>
      </c>
      <c r="M3180" s="68">
        <v>6</v>
      </c>
      <c r="N3180" s="181" t="str">
        <f t="shared" si="50"/>
        <v>нет</v>
      </c>
      <c r="O3180" s="23"/>
      <c r="P3180" s="23"/>
      <c r="Q3180" s="106"/>
      <c r="R3180" s="37">
        <v>754</v>
      </c>
      <c r="S3180" s="38" t="s">
        <v>1163</v>
      </c>
      <c r="T3180" s="37">
        <v>1831</v>
      </c>
      <c r="U3180" s="39" t="s">
        <v>1626</v>
      </c>
      <c r="V3180" s="89" t="s">
        <v>272</v>
      </c>
      <c r="W3180" s="89" t="s">
        <v>137</v>
      </c>
      <c r="X3180" s="106" t="s">
        <v>297</v>
      </c>
      <c r="Y3180" s="107" t="s">
        <v>12</v>
      </c>
      <c r="Z3180" s="67">
        <f>IF(База_КР_КК[[#This Row],[Таб.номер резервиста]]="-","-",IF(OR(База_КР_КК[[#This Row],[Уровень КК]]=2,База_КР_КК[[#This Row],[Уровень КК]]=3),IF(COUNTIFS($U$2:$U3180,$U3180,$F$2:$F3180,$F3180)=1,1,0),IF(COUNTIFS($U$2:$U3180,$U3180,$L$2:$L3180,$L3180)=1,1,0)))</f>
        <v>0</v>
      </c>
      <c r="AA31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0" s="106"/>
      <c r="AC3180" s="51"/>
      <c r="AD3180" s="106" t="s">
        <v>17</v>
      </c>
      <c r="AE3180" s="38" t="s">
        <v>376</v>
      </c>
    </row>
    <row r="3181" spans="1:31" ht="18" customHeight="1" x14ac:dyDescent="0.25">
      <c r="A31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1" s="79">
        <v>4</v>
      </c>
      <c r="C3181" s="23">
        <v>44125</v>
      </c>
      <c r="D3181" s="67">
        <f>IF(COUNTIF($G$2:$G3181,$G3181)=1,1,0)</f>
        <v>0</v>
      </c>
      <c r="E3181" s="67" t="str">
        <f>IFERROR(VLOOKUP(База_КР_КК[[#This Row],[ИД штатной должности (S)]],'уровень защищенности'!$B$7:$F$1095,5,0),"не защищена")</f>
        <v>высокий</v>
      </c>
      <c r="F3181" s="68">
        <v>500173</v>
      </c>
      <c r="G3181" s="74" t="s">
        <v>2934</v>
      </c>
      <c r="H3181" s="181">
        <f>INDEX('Списки данных'!$D$2:$D$1048576,MATCH(База_КР_КК[[#This Row],[Структурное подразделение]],'Списки данных'!$C$2:$C$1048576,0))</f>
        <v>7</v>
      </c>
      <c r="I3181" s="80" t="s">
        <v>137</v>
      </c>
      <c r="J3181" s="80" t="s">
        <v>248</v>
      </c>
      <c r="K3181" s="80" t="s">
        <v>249</v>
      </c>
      <c r="L3181" s="30" t="s">
        <v>191</v>
      </c>
      <c r="M3181" s="68">
        <v>6</v>
      </c>
      <c r="N3181" s="181" t="str">
        <f t="shared" si="50"/>
        <v>нет</v>
      </c>
      <c r="O3181" s="23"/>
      <c r="P3181" s="23"/>
      <c r="Q3181" s="106"/>
      <c r="R3181" s="37">
        <v>754</v>
      </c>
      <c r="S3181" s="38" t="s">
        <v>1163</v>
      </c>
      <c r="T3181" s="37">
        <v>1832</v>
      </c>
      <c r="U3181" s="39" t="s">
        <v>2070</v>
      </c>
      <c r="V3181" s="89" t="s">
        <v>272</v>
      </c>
      <c r="W3181" s="89" t="s">
        <v>137</v>
      </c>
      <c r="X3181" s="106" t="s">
        <v>297</v>
      </c>
      <c r="Y3181" s="107" t="s">
        <v>12</v>
      </c>
      <c r="Z3181" s="67">
        <f>IF(База_КР_КК[[#This Row],[Таб.номер резервиста]]="-","-",IF(OR(База_КР_КК[[#This Row],[Уровень КК]]=2,База_КР_КК[[#This Row],[Уровень КК]]=3),IF(COUNTIFS($U$2:$U3181,$U3181,$F$2:$F3181,$F3181)=1,1,0),IF(COUNTIFS($U$2:$U3181,$U3181,$L$2:$L3181,$L3181)=1,1,0)))</f>
        <v>0</v>
      </c>
      <c r="AA31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1" s="106"/>
      <c r="AC3181" s="51"/>
      <c r="AD3181" s="106" t="s">
        <v>17</v>
      </c>
      <c r="AE3181" s="38" t="s">
        <v>376</v>
      </c>
    </row>
    <row r="3182" spans="1:31" ht="18" customHeight="1" x14ac:dyDescent="0.25">
      <c r="A31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2" s="79">
        <v>4</v>
      </c>
      <c r="C3182" s="23">
        <v>44469</v>
      </c>
      <c r="D3182" s="67">
        <f>IF(COUNTIF($G$2:$G3182,$G3182)=1,1,0)</f>
        <v>0</v>
      </c>
      <c r="E3182" s="67" t="str">
        <f>IFERROR(VLOOKUP(База_КР_КК[[#This Row],[ИД штатной должности (S)]],'уровень защищенности'!$B$7:$F$1095,5,0),"не защищена")</f>
        <v>высокий</v>
      </c>
      <c r="F3182" s="68">
        <v>500173</v>
      </c>
      <c r="G3182" s="74" t="s">
        <v>2934</v>
      </c>
      <c r="H3182" s="181">
        <f>INDEX('Списки данных'!$D$2:$D$1048576,MATCH(База_КР_КК[[#This Row],[Структурное подразделение]],'Списки данных'!$C$2:$C$1048576,0))</f>
        <v>7</v>
      </c>
      <c r="I3182" s="80" t="s">
        <v>137</v>
      </c>
      <c r="J3182" s="80" t="s">
        <v>248</v>
      </c>
      <c r="K3182" s="80" t="s">
        <v>249</v>
      </c>
      <c r="L3182" s="30" t="s">
        <v>191</v>
      </c>
      <c r="M3182" s="68">
        <v>6</v>
      </c>
      <c r="N3182" s="181" t="str">
        <f t="shared" si="50"/>
        <v>нет</v>
      </c>
      <c r="O3182" s="23"/>
      <c r="P3182" s="23"/>
      <c r="Q3182" s="106"/>
      <c r="R3182" s="37">
        <v>754</v>
      </c>
      <c r="S3182" s="38" t="s">
        <v>1163</v>
      </c>
      <c r="T3182" s="37">
        <v>1833</v>
      </c>
      <c r="U3182" s="39" t="s">
        <v>2071</v>
      </c>
      <c r="V3182" s="69" t="s">
        <v>272</v>
      </c>
      <c r="W3182" s="89" t="s">
        <v>137</v>
      </c>
      <c r="X3182" s="106" t="s">
        <v>297</v>
      </c>
      <c r="Y3182" s="107" t="s">
        <v>12</v>
      </c>
      <c r="Z3182" s="67">
        <f>IF(База_КР_КК[[#This Row],[Таб.номер резервиста]]="-","-",IF(OR(База_КР_КК[[#This Row],[Уровень КК]]=2,База_КР_КК[[#This Row],[Уровень КК]]=3),IF(COUNTIFS($U$2:$U3182,$U3182,$F$2:$F3182,$F3182)=1,1,0),IF(COUNTIFS($U$2:$U3182,$U3182,$L$2:$L3182,$L3182)=1,1,0)))</f>
        <v>0</v>
      </c>
      <c r="AA31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2" s="106"/>
      <c r="AC3182" s="51"/>
      <c r="AD3182" s="106" t="s">
        <v>17</v>
      </c>
      <c r="AE3182" s="38" t="s">
        <v>376</v>
      </c>
    </row>
    <row r="3183" spans="1:31" ht="18" customHeight="1" x14ac:dyDescent="0.25">
      <c r="A31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3" s="79">
        <v>4</v>
      </c>
      <c r="C3183" s="23">
        <v>44859</v>
      </c>
      <c r="D3183" s="67">
        <f>IF(COUNTIF($G$2:$G3183,$G3183)=1,1,0)</f>
        <v>0</v>
      </c>
      <c r="E3183" s="67" t="str">
        <f>IFERROR(VLOOKUP(База_КР_КК[[#This Row],[ИД штатной должности (S)]],'уровень защищенности'!$B$7:$F$1095,5,0),"не защищена")</f>
        <v>высокий</v>
      </c>
      <c r="F3183" s="68">
        <v>500173</v>
      </c>
      <c r="G3183" s="74" t="s">
        <v>2934</v>
      </c>
      <c r="H3183" s="181">
        <f>INDEX('Списки данных'!$D$2:$D$1048576,MATCH(База_КР_КК[[#This Row],[Структурное подразделение]],'Списки данных'!$C$2:$C$1048576,0))</f>
        <v>7</v>
      </c>
      <c r="I3183" s="80" t="s">
        <v>137</v>
      </c>
      <c r="J3183" s="80" t="s">
        <v>248</v>
      </c>
      <c r="K3183" s="80" t="s">
        <v>249</v>
      </c>
      <c r="L3183" s="30" t="s">
        <v>191</v>
      </c>
      <c r="M3183" s="68">
        <v>6</v>
      </c>
      <c r="N3183" s="181" t="str">
        <f t="shared" si="50"/>
        <v>нет</v>
      </c>
      <c r="O3183" s="23"/>
      <c r="P3183" s="23"/>
      <c r="Q3183" s="106"/>
      <c r="R3183" s="37">
        <v>754</v>
      </c>
      <c r="S3183" s="39" t="s">
        <v>1163</v>
      </c>
      <c r="T3183" s="37">
        <v>1834</v>
      </c>
      <c r="U3183" s="38" t="s">
        <v>1851</v>
      </c>
      <c r="V3183" s="89" t="s">
        <v>272</v>
      </c>
      <c r="W3183" s="89" t="s">
        <v>137</v>
      </c>
      <c r="X3183" s="106" t="s">
        <v>296</v>
      </c>
      <c r="Y3183" s="107" t="s">
        <v>12</v>
      </c>
      <c r="Z3183" s="67">
        <f>IF(База_КР_КК[[#This Row],[Таб.номер резервиста]]="-","-",IF(OR(База_КР_КК[[#This Row],[Уровень КК]]=2,База_КР_КК[[#This Row],[Уровень КК]]=3),IF(COUNTIFS($U$2:$U3183,$U3183,$F$2:$F3183,$F3183)=1,1,0),IF(COUNTIFS($U$2:$U3183,$U3183,$L$2:$L3183,$L3183)=1,1,0)))</f>
        <v>0</v>
      </c>
      <c r="AA31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3" s="106"/>
      <c r="AC3183" s="51"/>
      <c r="AD3183" s="106" t="s">
        <v>15</v>
      </c>
      <c r="AE3183" s="38" t="s">
        <v>376</v>
      </c>
    </row>
    <row r="3184" spans="1:31" ht="18" customHeight="1" x14ac:dyDescent="0.25">
      <c r="A31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4" s="79">
        <v>4</v>
      </c>
      <c r="C3184" s="23">
        <v>44859</v>
      </c>
      <c r="D3184" s="67">
        <f>IF(COUNTIF($G$2:$G3184,$G3184)=1,1,0)</f>
        <v>0</v>
      </c>
      <c r="E3184" s="67" t="str">
        <f>IFERROR(VLOOKUP(База_КР_КК[[#This Row],[ИД штатной должности (S)]],'уровень защищенности'!$B$7:$F$1095,5,0),"не защищена")</f>
        <v>высокий</v>
      </c>
      <c r="F3184" s="68">
        <v>500173</v>
      </c>
      <c r="G3184" s="74" t="s">
        <v>2934</v>
      </c>
      <c r="H3184" s="181">
        <f>INDEX('Списки данных'!$D$2:$D$1048576,MATCH(База_КР_КК[[#This Row],[Структурное подразделение]],'Списки данных'!$C$2:$C$1048576,0))</f>
        <v>7</v>
      </c>
      <c r="I3184" s="80" t="s">
        <v>137</v>
      </c>
      <c r="J3184" s="80" t="s">
        <v>248</v>
      </c>
      <c r="K3184" s="80" t="s">
        <v>249</v>
      </c>
      <c r="L3184" s="30" t="s">
        <v>191</v>
      </c>
      <c r="M3184" s="68">
        <v>6</v>
      </c>
      <c r="N3184" s="181" t="str">
        <f t="shared" si="50"/>
        <v>нет</v>
      </c>
      <c r="O3184" s="23"/>
      <c r="P3184" s="23"/>
      <c r="Q3184" s="106"/>
      <c r="R3184" s="37">
        <v>754</v>
      </c>
      <c r="S3184" s="39" t="s">
        <v>1163</v>
      </c>
      <c r="T3184" s="37">
        <v>1835</v>
      </c>
      <c r="U3184" s="38" t="s">
        <v>1973</v>
      </c>
      <c r="V3184" s="89" t="s">
        <v>272</v>
      </c>
      <c r="W3184" s="89" t="s">
        <v>137</v>
      </c>
      <c r="X3184" s="106" t="s">
        <v>296</v>
      </c>
      <c r="Y3184" s="107" t="s">
        <v>12</v>
      </c>
      <c r="Z3184" s="67">
        <f>IF(База_КР_КК[[#This Row],[Таб.номер резервиста]]="-","-",IF(OR(База_КР_КК[[#This Row],[Уровень КК]]=2,База_КР_КК[[#This Row],[Уровень КК]]=3),IF(COUNTIFS($U$2:$U3184,$U3184,$F$2:$F3184,$F3184)=1,1,0),IF(COUNTIFS($U$2:$U3184,$U3184,$L$2:$L3184,$L3184)=1,1,0)))</f>
        <v>0</v>
      </c>
      <c r="AA31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4" s="106"/>
      <c r="AC3184" s="51"/>
      <c r="AD3184" s="106" t="s">
        <v>15</v>
      </c>
      <c r="AE3184" s="38" t="s">
        <v>376</v>
      </c>
    </row>
    <row r="3185" spans="1:31" ht="18" customHeight="1" x14ac:dyDescent="0.25">
      <c r="A31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5" s="79">
        <v>4</v>
      </c>
      <c r="C3185" s="23">
        <v>44859</v>
      </c>
      <c r="D3185" s="67">
        <f>IF(COUNTIF($G$2:$G3185,$G3185)=1,1,0)</f>
        <v>0</v>
      </c>
      <c r="E3185" s="67" t="str">
        <f>IFERROR(VLOOKUP(База_КР_КК[[#This Row],[ИД штатной должности (S)]],'уровень защищенности'!$B$7:$F$1095,5,0),"не защищена")</f>
        <v>высокий</v>
      </c>
      <c r="F3185" s="68">
        <v>500173</v>
      </c>
      <c r="G3185" s="74" t="s">
        <v>2934</v>
      </c>
      <c r="H3185" s="181">
        <f>INDEX('Списки данных'!$D$2:$D$1048576,MATCH(База_КР_КК[[#This Row],[Структурное подразделение]],'Списки данных'!$C$2:$C$1048576,0))</f>
        <v>7</v>
      </c>
      <c r="I3185" s="80" t="s">
        <v>137</v>
      </c>
      <c r="J3185" s="80" t="s">
        <v>248</v>
      </c>
      <c r="K3185" s="80" t="s">
        <v>249</v>
      </c>
      <c r="L3185" s="30" t="s">
        <v>191</v>
      </c>
      <c r="M3185" s="68">
        <v>6</v>
      </c>
      <c r="N3185" s="181" t="str">
        <f t="shared" si="50"/>
        <v>нет</v>
      </c>
      <c r="O3185" s="23"/>
      <c r="P3185" s="23"/>
      <c r="Q3185" s="106"/>
      <c r="R3185" s="37">
        <v>754</v>
      </c>
      <c r="S3185" s="39" t="s">
        <v>1163</v>
      </c>
      <c r="T3185" s="37">
        <v>1836</v>
      </c>
      <c r="U3185" s="38" t="s">
        <v>1855</v>
      </c>
      <c r="V3185" s="89" t="s">
        <v>272</v>
      </c>
      <c r="W3185" s="89" t="s">
        <v>137</v>
      </c>
      <c r="X3185" s="106" t="s">
        <v>295</v>
      </c>
      <c r="Y3185" s="107" t="s">
        <v>12</v>
      </c>
      <c r="Z3185" s="67">
        <f>IF(База_КР_КК[[#This Row],[Таб.номер резервиста]]="-","-",IF(OR(База_КР_КК[[#This Row],[Уровень КК]]=2,База_КР_КК[[#This Row],[Уровень КК]]=3),IF(COUNTIFS($U$2:$U3185,$U3185,$F$2:$F3185,$F3185)=1,1,0),IF(COUNTIFS($U$2:$U3185,$U3185,$L$2:$L3185,$L3185)=1,1,0)))</f>
        <v>0</v>
      </c>
      <c r="AA31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5" s="106"/>
      <c r="AC3185" s="51"/>
      <c r="AD3185" s="106" t="s">
        <v>15</v>
      </c>
      <c r="AE3185" s="38" t="s">
        <v>376</v>
      </c>
    </row>
    <row r="3186" spans="1:31" ht="18" customHeight="1" x14ac:dyDescent="0.25">
      <c r="A31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6" s="79">
        <v>4</v>
      </c>
      <c r="C3186" s="23">
        <v>44859</v>
      </c>
      <c r="D3186" s="67">
        <f>IF(COUNTIF($G$2:$G3186,$G3186)=1,1,0)</f>
        <v>0</v>
      </c>
      <c r="E3186" s="67" t="str">
        <f>IFERROR(VLOOKUP(База_КР_КК[[#This Row],[ИД штатной должности (S)]],'уровень защищенности'!$B$7:$F$1095,5,0),"не защищена")</f>
        <v>высокий</v>
      </c>
      <c r="F3186" s="68">
        <v>500173</v>
      </c>
      <c r="G3186" s="74" t="s">
        <v>2934</v>
      </c>
      <c r="H3186" s="181">
        <f>INDEX('Списки данных'!$D$2:$D$1048576,MATCH(База_КР_КК[[#This Row],[Структурное подразделение]],'Списки данных'!$C$2:$C$1048576,0))</f>
        <v>7</v>
      </c>
      <c r="I3186" s="80" t="s">
        <v>137</v>
      </c>
      <c r="J3186" s="80" t="s">
        <v>248</v>
      </c>
      <c r="K3186" s="80" t="s">
        <v>249</v>
      </c>
      <c r="L3186" s="30" t="s">
        <v>191</v>
      </c>
      <c r="M3186" s="68">
        <v>6</v>
      </c>
      <c r="N3186" s="181" t="str">
        <f t="shared" si="50"/>
        <v>нет</v>
      </c>
      <c r="O3186" s="23"/>
      <c r="P3186" s="23"/>
      <c r="Q3186" s="106"/>
      <c r="R3186" s="37">
        <v>754</v>
      </c>
      <c r="S3186" s="39" t="s">
        <v>1163</v>
      </c>
      <c r="T3186" s="37">
        <v>1837</v>
      </c>
      <c r="U3186" s="38" t="s">
        <v>2060</v>
      </c>
      <c r="V3186" s="69" t="s">
        <v>272</v>
      </c>
      <c r="W3186" s="89" t="s">
        <v>137</v>
      </c>
      <c r="X3186" s="106" t="s">
        <v>296</v>
      </c>
      <c r="Y3186" s="107" t="s">
        <v>12</v>
      </c>
      <c r="Z3186" s="67">
        <f>IF(База_КР_КК[[#This Row],[Таб.номер резервиста]]="-","-",IF(OR(База_КР_КК[[#This Row],[Уровень КК]]=2,База_КР_КК[[#This Row],[Уровень КК]]=3),IF(COUNTIFS($U$2:$U3186,$U3186,$F$2:$F3186,$F3186)=1,1,0),IF(COUNTIFS($U$2:$U3186,$U3186,$L$2:$L3186,$L3186)=1,1,0)))</f>
        <v>0</v>
      </c>
      <c r="AA31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6" s="106"/>
      <c r="AC3186" s="51"/>
      <c r="AD3186" s="106" t="s">
        <v>15</v>
      </c>
      <c r="AE3186" s="38" t="s">
        <v>376</v>
      </c>
    </row>
    <row r="3187" spans="1:31" ht="18" customHeight="1" x14ac:dyDescent="0.25">
      <c r="A31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7" s="79">
        <v>4</v>
      </c>
      <c r="C3187" s="23">
        <v>44859</v>
      </c>
      <c r="D3187" s="67">
        <f>IF(COUNTIF($G$2:$G3187,$G3187)=1,1,0)</f>
        <v>0</v>
      </c>
      <c r="E3187" s="67" t="str">
        <f>IFERROR(VLOOKUP(База_КР_КК[[#This Row],[ИД штатной должности (S)]],'уровень защищенности'!$B$7:$F$1095,5,0),"не защищена")</f>
        <v>высокий</v>
      </c>
      <c r="F3187" s="68">
        <v>500173</v>
      </c>
      <c r="G3187" s="74" t="s">
        <v>2934</v>
      </c>
      <c r="H3187" s="181">
        <f>INDEX('Списки данных'!$D$2:$D$1048576,MATCH(База_КР_КК[[#This Row],[Структурное подразделение]],'Списки данных'!$C$2:$C$1048576,0))</f>
        <v>7</v>
      </c>
      <c r="I3187" s="80" t="s">
        <v>137</v>
      </c>
      <c r="J3187" s="80" t="s">
        <v>248</v>
      </c>
      <c r="K3187" s="80" t="s">
        <v>249</v>
      </c>
      <c r="L3187" s="30" t="s">
        <v>191</v>
      </c>
      <c r="M3187" s="68">
        <v>6</v>
      </c>
      <c r="N3187" s="181" t="str">
        <f t="shared" si="50"/>
        <v>нет</v>
      </c>
      <c r="O3187" s="23"/>
      <c r="P3187" s="23"/>
      <c r="Q3187" s="106"/>
      <c r="R3187" s="37">
        <v>754</v>
      </c>
      <c r="S3187" s="39" t="s">
        <v>1163</v>
      </c>
      <c r="T3187" s="37">
        <v>1838</v>
      </c>
      <c r="U3187" s="38" t="s">
        <v>1981</v>
      </c>
      <c r="V3187" s="89" t="s">
        <v>272</v>
      </c>
      <c r="W3187" s="89" t="s">
        <v>137</v>
      </c>
      <c r="X3187" s="106" t="s">
        <v>296</v>
      </c>
      <c r="Y3187" s="107" t="s">
        <v>12</v>
      </c>
      <c r="Z3187" s="67">
        <f>IF(База_КР_КК[[#This Row],[Таб.номер резервиста]]="-","-",IF(OR(База_КР_КК[[#This Row],[Уровень КК]]=2,База_КР_КК[[#This Row],[Уровень КК]]=3),IF(COUNTIFS($U$2:$U3187,$U3187,$F$2:$F3187,$F3187)=1,1,0),IF(COUNTIFS($U$2:$U3187,$U3187,$L$2:$L3187,$L3187)=1,1,0)))</f>
        <v>0</v>
      </c>
      <c r="AA31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7" s="106"/>
      <c r="AC3187" s="51"/>
      <c r="AD3187" s="106" t="s">
        <v>15</v>
      </c>
      <c r="AE3187" s="38" t="s">
        <v>376</v>
      </c>
    </row>
    <row r="3188" spans="1:31" ht="18" customHeight="1" x14ac:dyDescent="0.25">
      <c r="A31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8" s="79">
        <v>4</v>
      </c>
      <c r="C3188" s="23">
        <v>44125</v>
      </c>
      <c r="D3188" s="67">
        <f>IF(COUNTIF($G$2:$G3188,$G3188)=1,1,0)</f>
        <v>0</v>
      </c>
      <c r="E3188" s="67" t="str">
        <f>IFERROR(VLOOKUP(База_КР_КК[[#This Row],[ИД штатной должности (S)]],'уровень защищенности'!$B$7:$F$1095,5,0),"не защищена")</f>
        <v>высокий</v>
      </c>
      <c r="F3188" s="68">
        <v>500173</v>
      </c>
      <c r="G3188" s="74" t="s">
        <v>2934</v>
      </c>
      <c r="H3188" s="181">
        <f>INDEX('Списки данных'!$D$2:$D$1048576,MATCH(База_КР_КК[[#This Row],[Структурное подразделение]],'Списки данных'!$C$2:$C$1048576,0))</f>
        <v>7</v>
      </c>
      <c r="I3188" s="80" t="s">
        <v>137</v>
      </c>
      <c r="J3188" s="80" t="s">
        <v>248</v>
      </c>
      <c r="K3188" s="80" t="s">
        <v>249</v>
      </c>
      <c r="L3188" s="30" t="s">
        <v>191</v>
      </c>
      <c r="M3188" s="68">
        <v>6</v>
      </c>
      <c r="N3188" s="181" t="str">
        <f t="shared" si="50"/>
        <v>нет</v>
      </c>
      <c r="O3188" s="23"/>
      <c r="P3188" s="23"/>
      <c r="Q3188" s="106"/>
      <c r="R3188" s="37">
        <v>754</v>
      </c>
      <c r="S3188" s="37" t="s">
        <v>1163</v>
      </c>
      <c r="T3188" s="37">
        <v>1839</v>
      </c>
      <c r="U3188" s="39" t="s">
        <v>2072</v>
      </c>
      <c r="V3188" s="89" t="s">
        <v>272</v>
      </c>
      <c r="W3188" s="89" t="s">
        <v>137</v>
      </c>
      <c r="X3188" s="106" t="s">
        <v>296</v>
      </c>
      <c r="Y3188" s="107" t="s">
        <v>18</v>
      </c>
      <c r="Z3188" s="67">
        <f>IF(База_КР_КК[[#This Row],[Таб.номер резервиста]]="-","-",IF(OR(База_КР_КК[[#This Row],[Уровень КК]]=2,База_КР_КК[[#This Row],[Уровень КК]]=3),IF(COUNTIFS($U$2:$U3188,$U3188,$F$2:$F3188,$F3188)=1,1,0),IF(COUNTIFS($U$2:$U3188,$U3188,$L$2:$L3188,$L3188)=1,1,0)))</f>
        <v>0</v>
      </c>
      <c r="AA31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8" s="106" t="s">
        <v>38</v>
      </c>
      <c r="AC3188" s="51">
        <v>44859</v>
      </c>
      <c r="AD3188" s="106" t="s">
        <v>31</v>
      </c>
      <c r="AE3188" s="38" t="s">
        <v>376</v>
      </c>
    </row>
    <row r="3189" spans="1:31" ht="18" customHeight="1" x14ac:dyDescent="0.25">
      <c r="A31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89" s="79">
        <v>4</v>
      </c>
      <c r="C3189" s="23">
        <v>44469</v>
      </c>
      <c r="D3189" s="67">
        <f>IF(COUNTIF($G$2:$G3189,$G3189)=1,1,0)</f>
        <v>0</v>
      </c>
      <c r="E3189" s="67" t="str">
        <f>IFERROR(VLOOKUP(База_КР_КК[[#This Row],[ИД штатной должности (S)]],'уровень защищенности'!$B$7:$F$1095,5,0),"не защищена")</f>
        <v>высокий</v>
      </c>
      <c r="F3189" s="68">
        <v>500173</v>
      </c>
      <c r="G3189" s="74" t="s">
        <v>2934</v>
      </c>
      <c r="H3189" s="181">
        <f>INDEX('Списки данных'!$D$2:$D$1048576,MATCH(База_КР_КК[[#This Row],[Структурное подразделение]],'Списки данных'!$C$2:$C$1048576,0))</f>
        <v>7</v>
      </c>
      <c r="I3189" s="80" t="s">
        <v>137</v>
      </c>
      <c r="J3189" s="80" t="s">
        <v>248</v>
      </c>
      <c r="K3189" s="80" t="s">
        <v>249</v>
      </c>
      <c r="L3189" s="30" t="s">
        <v>191</v>
      </c>
      <c r="M3189" s="68">
        <v>6</v>
      </c>
      <c r="N3189" s="181" t="str">
        <f t="shared" si="50"/>
        <v>нет</v>
      </c>
      <c r="O3189" s="23"/>
      <c r="P3189" s="23"/>
      <c r="Q3189" s="106"/>
      <c r="R3189" s="37">
        <v>754</v>
      </c>
      <c r="S3189" s="38" t="s">
        <v>1163</v>
      </c>
      <c r="T3189" s="37">
        <v>1840</v>
      </c>
      <c r="U3189" s="39" t="s">
        <v>1965</v>
      </c>
      <c r="V3189" s="69" t="s">
        <v>192</v>
      </c>
      <c r="W3189" s="89" t="s">
        <v>137</v>
      </c>
      <c r="X3189" s="106" t="s">
        <v>297</v>
      </c>
      <c r="Y3189" s="107" t="s">
        <v>18</v>
      </c>
      <c r="Z3189" s="67">
        <f>IF(База_КР_КК[[#This Row],[Таб.номер резервиста]]="-","-",IF(OR(База_КР_КК[[#This Row],[Уровень КК]]=2,База_КР_КК[[#This Row],[Уровень КК]]=3),IF(COUNTIFS($U$2:$U3189,$U3189,$F$2:$F3189,$F3189)=1,1,0),IF(COUNTIFS($U$2:$U3189,$U3189,$L$2:$L3189,$L3189)=1,1,0)))</f>
        <v>0</v>
      </c>
      <c r="AA31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89" s="106" t="s">
        <v>38</v>
      </c>
      <c r="AC3189" s="51">
        <v>44859</v>
      </c>
      <c r="AD3189" s="106" t="s">
        <v>31</v>
      </c>
      <c r="AE3189" s="38" t="s">
        <v>376</v>
      </c>
    </row>
    <row r="3190" spans="1:31" ht="18" customHeight="1" x14ac:dyDescent="0.25">
      <c r="A31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0" s="79">
        <v>4</v>
      </c>
      <c r="C3190" s="23">
        <v>44125</v>
      </c>
      <c r="D3190" s="67">
        <f>IF(COUNTIF($G$2:$G3190,$G3190)=1,1,0)</f>
        <v>1</v>
      </c>
      <c r="E3190" s="67" t="str">
        <f>IFERROR(VLOOKUP(База_КР_КК[[#This Row],[ИД штатной должности (S)]],'уровень защищенности'!$B$7:$F$1095,5,0),"не защищена")</f>
        <v>высокий</v>
      </c>
      <c r="F3190" s="68">
        <v>500173</v>
      </c>
      <c r="G3190" s="74" t="s">
        <v>2935</v>
      </c>
      <c r="H3190" s="181">
        <f>INDEX('Списки данных'!$D$2:$D$1048576,MATCH(База_КР_КК[[#This Row],[Структурное подразделение]],'Списки данных'!$C$2:$C$1048576,0))</f>
        <v>7</v>
      </c>
      <c r="I3190" s="80" t="s">
        <v>137</v>
      </c>
      <c r="J3190" s="80" t="s">
        <v>248</v>
      </c>
      <c r="K3190" s="80" t="s">
        <v>249</v>
      </c>
      <c r="L3190" s="30" t="s">
        <v>191</v>
      </c>
      <c r="M3190" s="68">
        <v>6</v>
      </c>
      <c r="N3190" s="181" t="str">
        <f t="shared" si="50"/>
        <v>нет</v>
      </c>
      <c r="O3190" s="23"/>
      <c r="P3190" s="23"/>
      <c r="Q3190" s="106"/>
      <c r="R3190" s="37">
        <v>755</v>
      </c>
      <c r="S3190" s="37" t="s">
        <v>1164</v>
      </c>
      <c r="T3190" s="37">
        <v>1830</v>
      </c>
      <c r="U3190" s="39" t="s">
        <v>2069</v>
      </c>
      <c r="V3190" s="89" t="s">
        <v>272</v>
      </c>
      <c r="W3190" s="89" t="s">
        <v>137</v>
      </c>
      <c r="X3190" s="106" t="s">
        <v>297</v>
      </c>
      <c r="Y3190" s="107" t="s">
        <v>12</v>
      </c>
      <c r="Z3190" s="67">
        <f>IF(База_КР_КК[[#This Row],[Таб.номер резервиста]]="-","-",IF(OR(База_КР_КК[[#This Row],[Уровень КК]]=2,База_КР_КК[[#This Row],[Уровень КК]]=3),IF(COUNTIFS($U$2:$U3190,$U3190,$F$2:$F3190,$F3190)=1,1,0),IF(COUNTIFS($U$2:$U3190,$U3190,$L$2:$L3190,$L3190)=1,1,0)))</f>
        <v>0</v>
      </c>
      <c r="AA31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0" s="106"/>
      <c r="AC3190" s="51"/>
      <c r="AD3190" s="106" t="s">
        <v>17</v>
      </c>
      <c r="AE3190" s="38" t="s">
        <v>376</v>
      </c>
    </row>
    <row r="3191" spans="1:31" ht="18" customHeight="1" x14ac:dyDescent="0.25">
      <c r="A31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1" s="79">
        <v>4</v>
      </c>
      <c r="C3191" s="23">
        <v>44125</v>
      </c>
      <c r="D3191" s="67">
        <f>IF(COUNTIF($G$2:$G3191,$G3191)=1,1,0)</f>
        <v>0</v>
      </c>
      <c r="E3191" s="67" t="str">
        <f>IFERROR(VLOOKUP(База_КР_КК[[#This Row],[ИД штатной должности (S)]],'уровень защищенности'!$B$7:$F$1095,5,0),"не защищена")</f>
        <v>высокий</v>
      </c>
      <c r="F3191" s="68">
        <v>500173</v>
      </c>
      <c r="G3191" s="74" t="s">
        <v>2935</v>
      </c>
      <c r="H3191" s="181">
        <f>INDEX('Списки данных'!$D$2:$D$1048576,MATCH(База_КР_КК[[#This Row],[Структурное подразделение]],'Списки данных'!$C$2:$C$1048576,0))</f>
        <v>7</v>
      </c>
      <c r="I3191" s="80" t="s">
        <v>137</v>
      </c>
      <c r="J3191" s="80" t="s">
        <v>248</v>
      </c>
      <c r="K3191" s="80" t="s">
        <v>249</v>
      </c>
      <c r="L3191" s="30" t="s">
        <v>191</v>
      </c>
      <c r="M3191" s="68">
        <v>6</v>
      </c>
      <c r="N3191" s="181" t="str">
        <f t="shared" si="50"/>
        <v>нет</v>
      </c>
      <c r="O3191" s="23"/>
      <c r="P3191" s="23"/>
      <c r="Q3191" s="106"/>
      <c r="R3191" s="37">
        <v>755</v>
      </c>
      <c r="S3191" s="38" t="s">
        <v>1164</v>
      </c>
      <c r="T3191" s="37">
        <v>1831</v>
      </c>
      <c r="U3191" s="39" t="s">
        <v>1626</v>
      </c>
      <c r="V3191" s="89" t="s">
        <v>272</v>
      </c>
      <c r="W3191" s="89" t="s">
        <v>137</v>
      </c>
      <c r="X3191" s="106" t="s">
        <v>297</v>
      </c>
      <c r="Y3191" s="107" t="s">
        <v>12</v>
      </c>
      <c r="Z3191" s="67">
        <f>IF(База_КР_КК[[#This Row],[Таб.номер резервиста]]="-","-",IF(OR(База_КР_КК[[#This Row],[Уровень КК]]=2,База_КР_КК[[#This Row],[Уровень КК]]=3),IF(COUNTIFS($U$2:$U3191,$U3191,$F$2:$F3191,$F3191)=1,1,0),IF(COUNTIFS($U$2:$U3191,$U3191,$L$2:$L3191,$L3191)=1,1,0)))</f>
        <v>0</v>
      </c>
      <c r="AA31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1" s="106"/>
      <c r="AC3191" s="51"/>
      <c r="AD3191" s="106" t="s">
        <v>17</v>
      </c>
      <c r="AE3191" s="38" t="s">
        <v>376</v>
      </c>
    </row>
    <row r="3192" spans="1:31" ht="18" customHeight="1" x14ac:dyDescent="0.25">
      <c r="A31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2" s="79">
        <v>4</v>
      </c>
      <c r="C3192" s="23">
        <v>44125</v>
      </c>
      <c r="D3192" s="67">
        <f>IF(COUNTIF($G$2:$G3192,$G3192)=1,1,0)</f>
        <v>0</v>
      </c>
      <c r="E3192" s="67" t="str">
        <f>IFERROR(VLOOKUP(База_КР_КК[[#This Row],[ИД штатной должности (S)]],'уровень защищенности'!$B$7:$F$1095,5,0),"не защищена")</f>
        <v>высокий</v>
      </c>
      <c r="F3192" s="68">
        <v>500173</v>
      </c>
      <c r="G3192" s="74" t="s">
        <v>2935</v>
      </c>
      <c r="H3192" s="181">
        <f>INDEX('Списки данных'!$D$2:$D$1048576,MATCH(База_КР_КК[[#This Row],[Структурное подразделение]],'Списки данных'!$C$2:$C$1048576,0))</f>
        <v>7</v>
      </c>
      <c r="I3192" s="80" t="s">
        <v>137</v>
      </c>
      <c r="J3192" s="80" t="s">
        <v>248</v>
      </c>
      <c r="K3192" s="80" t="s">
        <v>249</v>
      </c>
      <c r="L3192" s="30" t="s">
        <v>191</v>
      </c>
      <c r="M3192" s="68">
        <v>6</v>
      </c>
      <c r="N3192" s="181" t="str">
        <f t="shared" si="50"/>
        <v>нет</v>
      </c>
      <c r="O3192" s="23"/>
      <c r="P3192" s="23"/>
      <c r="Q3192" s="106"/>
      <c r="R3192" s="37">
        <v>755</v>
      </c>
      <c r="S3192" s="38" t="s">
        <v>1164</v>
      </c>
      <c r="T3192" s="37">
        <v>1832</v>
      </c>
      <c r="U3192" s="39" t="s">
        <v>2070</v>
      </c>
      <c r="V3192" s="89" t="s">
        <v>272</v>
      </c>
      <c r="W3192" s="89" t="s">
        <v>137</v>
      </c>
      <c r="X3192" s="106" t="s">
        <v>297</v>
      </c>
      <c r="Y3192" s="107" t="s">
        <v>12</v>
      </c>
      <c r="Z3192" s="67">
        <f>IF(База_КР_КК[[#This Row],[Таб.номер резервиста]]="-","-",IF(OR(База_КР_КК[[#This Row],[Уровень КК]]=2,База_КР_КК[[#This Row],[Уровень КК]]=3),IF(COUNTIFS($U$2:$U3192,$U3192,$F$2:$F3192,$F3192)=1,1,0),IF(COUNTIFS($U$2:$U3192,$U3192,$L$2:$L3192,$L3192)=1,1,0)))</f>
        <v>0</v>
      </c>
      <c r="AA31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2" s="106"/>
      <c r="AC3192" s="51"/>
      <c r="AD3192" s="106" t="s">
        <v>17</v>
      </c>
      <c r="AE3192" s="38" t="s">
        <v>376</v>
      </c>
    </row>
    <row r="3193" spans="1:31" ht="18" customHeight="1" x14ac:dyDescent="0.25">
      <c r="A31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3" s="79">
        <v>4</v>
      </c>
      <c r="C3193" s="23">
        <v>44469</v>
      </c>
      <c r="D3193" s="67">
        <f>IF(COUNTIF($G$2:$G3193,$G3193)=1,1,0)</f>
        <v>0</v>
      </c>
      <c r="E3193" s="67" t="str">
        <f>IFERROR(VLOOKUP(База_КР_КК[[#This Row],[ИД штатной должности (S)]],'уровень защищенности'!$B$7:$F$1095,5,0),"не защищена")</f>
        <v>высокий</v>
      </c>
      <c r="F3193" s="68">
        <v>500173</v>
      </c>
      <c r="G3193" s="74" t="s">
        <v>2935</v>
      </c>
      <c r="H3193" s="181">
        <f>INDEX('Списки данных'!$D$2:$D$1048576,MATCH(База_КР_КК[[#This Row],[Структурное подразделение]],'Списки данных'!$C$2:$C$1048576,0))</f>
        <v>7</v>
      </c>
      <c r="I3193" s="80" t="s">
        <v>137</v>
      </c>
      <c r="J3193" s="80" t="s">
        <v>248</v>
      </c>
      <c r="K3193" s="80" t="s">
        <v>249</v>
      </c>
      <c r="L3193" s="30" t="s">
        <v>191</v>
      </c>
      <c r="M3193" s="68">
        <v>6</v>
      </c>
      <c r="N3193" s="181" t="str">
        <f t="shared" si="50"/>
        <v>нет</v>
      </c>
      <c r="O3193" s="23"/>
      <c r="P3193" s="23"/>
      <c r="Q3193" s="106"/>
      <c r="R3193" s="37">
        <v>755</v>
      </c>
      <c r="S3193" s="38" t="s">
        <v>1164</v>
      </c>
      <c r="T3193" s="37">
        <v>1833</v>
      </c>
      <c r="U3193" s="39" t="s">
        <v>2071</v>
      </c>
      <c r="V3193" s="69" t="s">
        <v>272</v>
      </c>
      <c r="W3193" s="89" t="s">
        <v>137</v>
      </c>
      <c r="X3193" s="106" t="s">
        <v>297</v>
      </c>
      <c r="Y3193" s="107" t="s">
        <v>12</v>
      </c>
      <c r="Z3193" s="67">
        <f>IF(База_КР_КК[[#This Row],[Таб.номер резервиста]]="-","-",IF(OR(База_КР_КК[[#This Row],[Уровень КК]]=2,База_КР_КК[[#This Row],[Уровень КК]]=3),IF(COUNTIFS($U$2:$U3193,$U3193,$F$2:$F3193,$F3193)=1,1,0),IF(COUNTIFS($U$2:$U3193,$U3193,$L$2:$L3193,$L3193)=1,1,0)))</f>
        <v>0</v>
      </c>
      <c r="AA31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3" s="106"/>
      <c r="AC3193" s="51"/>
      <c r="AD3193" s="106" t="s">
        <v>17</v>
      </c>
      <c r="AE3193" s="38" t="s">
        <v>376</v>
      </c>
    </row>
    <row r="3194" spans="1:31" ht="18" customHeight="1" x14ac:dyDescent="0.25">
      <c r="A31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4" s="79">
        <v>4</v>
      </c>
      <c r="C3194" s="23">
        <v>44859</v>
      </c>
      <c r="D3194" s="67">
        <f>IF(COUNTIF($G$2:$G3194,$G3194)=1,1,0)</f>
        <v>0</v>
      </c>
      <c r="E3194" s="67" t="str">
        <f>IFERROR(VLOOKUP(База_КР_КК[[#This Row],[ИД штатной должности (S)]],'уровень защищенности'!$B$7:$F$1095,5,0),"не защищена")</f>
        <v>высокий</v>
      </c>
      <c r="F3194" s="68">
        <v>500173</v>
      </c>
      <c r="G3194" s="74" t="s">
        <v>2935</v>
      </c>
      <c r="H3194" s="181">
        <f>INDEX('Списки данных'!$D$2:$D$1048576,MATCH(База_КР_КК[[#This Row],[Структурное подразделение]],'Списки данных'!$C$2:$C$1048576,0))</f>
        <v>7</v>
      </c>
      <c r="I3194" s="80" t="s">
        <v>137</v>
      </c>
      <c r="J3194" s="80" t="s">
        <v>248</v>
      </c>
      <c r="K3194" s="80" t="s">
        <v>249</v>
      </c>
      <c r="L3194" s="30" t="s">
        <v>191</v>
      </c>
      <c r="M3194" s="68">
        <v>6</v>
      </c>
      <c r="N3194" s="181" t="str">
        <f t="shared" si="50"/>
        <v>нет</v>
      </c>
      <c r="O3194" s="23"/>
      <c r="P3194" s="23"/>
      <c r="Q3194" s="106"/>
      <c r="R3194" s="37">
        <v>755</v>
      </c>
      <c r="S3194" s="39" t="s">
        <v>1164</v>
      </c>
      <c r="T3194" s="37">
        <v>1834</v>
      </c>
      <c r="U3194" s="38" t="s">
        <v>1851</v>
      </c>
      <c r="V3194" s="89" t="s">
        <v>272</v>
      </c>
      <c r="W3194" s="89" t="s">
        <v>137</v>
      </c>
      <c r="X3194" s="106" t="s">
        <v>296</v>
      </c>
      <c r="Y3194" s="107" t="s">
        <v>12</v>
      </c>
      <c r="Z3194" s="67">
        <f>IF(База_КР_КК[[#This Row],[Таб.номер резервиста]]="-","-",IF(OR(База_КР_КК[[#This Row],[Уровень КК]]=2,База_КР_КК[[#This Row],[Уровень КК]]=3),IF(COUNTIFS($U$2:$U3194,$U3194,$F$2:$F3194,$F3194)=1,1,0),IF(COUNTIFS($U$2:$U3194,$U3194,$L$2:$L3194,$L3194)=1,1,0)))</f>
        <v>0</v>
      </c>
      <c r="AA31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4" s="106"/>
      <c r="AC3194" s="51"/>
      <c r="AD3194" s="106" t="s">
        <v>15</v>
      </c>
      <c r="AE3194" s="38" t="s">
        <v>376</v>
      </c>
    </row>
    <row r="3195" spans="1:31" ht="18" customHeight="1" x14ac:dyDescent="0.25">
      <c r="A31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5" s="79">
        <v>4</v>
      </c>
      <c r="C3195" s="23">
        <v>44859</v>
      </c>
      <c r="D3195" s="67">
        <f>IF(COUNTIF($G$2:$G3195,$G3195)=1,1,0)</f>
        <v>0</v>
      </c>
      <c r="E3195" s="67" t="str">
        <f>IFERROR(VLOOKUP(База_КР_КК[[#This Row],[ИД штатной должности (S)]],'уровень защищенности'!$B$7:$F$1095,5,0),"не защищена")</f>
        <v>высокий</v>
      </c>
      <c r="F3195" s="68">
        <v>500173</v>
      </c>
      <c r="G3195" s="74" t="s">
        <v>2935</v>
      </c>
      <c r="H3195" s="181">
        <f>INDEX('Списки данных'!$D$2:$D$1048576,MATCH(База_КР_КК[[#This Row],[Структурное подразделение]],'Списки данных'!$C$2:$C$1048576,0))</f>
        <v>7</v>
      </c>
      <c r="I3195" s="80" t="s">
        <v>137</v>
      </c>
      <c r="J3195" s="80" t="s">
        <v>248</v>
      </c>
      <c r="K3195" s="80" t="s">
        <v>249</v>
      </c>
      <c r="L3195" s="30" t="s">
        <v>191</v>
      </c>
      <c r="M3195" s="68">
        <v>6</v>
      </c>
      <c r="N3195" s="181" t="str">
        <f t="shared" si="50"/>
        <v>нет</v>
      </c>
      <c r="O3195" s="23"/>
      <c r="P3195" s="23"/>
      <c r="Q3195" s="106"/>
      <c r="R3195" s="37">
        <v>755</v>
      </c>
      <c r="S3195" s="39" t="s">
        <v>1164</v>
      </c>
      <c r="T3195" s="37">
        <v>1835</v>
      </c>
      <c r="U3195" s="38" t="s">
        <v>1973</v>
      </c>
      <c r="V3195" s="89" t="s">
        <v>272</v>
      </c>
      <c r="W3195" s="89" t="s">
        <v>137</v>
      </c>
      <c r="X3195" s="106" t="s">
        <v>296</v>
      </c>
      <c r="Y3195" s="107" t="s">
        <v>12</v>
      </c>
      <c r="Z3195" s="67">
        <f>IF(База_КР_КК[[#This Row],[Таб.номер резервиста]]="-","-",IF(OR(База_КР_КК[[#This Row],[Уровень КК]]=2,База_КР_КК[[#This Row],[Уровень КК]]=3),IF(COUNTIFS($U$2:$U3195,$U3195,$F$2:$F3195,$F3195)=1,1,0),IF(COUNTIFS($U$2:$U3195,$U3195,$L$2:$L3195,$L3195)=1,1,0)))</f>
        <v>0</v>
      </c>
      <c r="AA31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5" s="106"/>
      <c r="AC3195" s="51"/>
      <c r="AD3195" s="106" t="s">
        <v>15</v>
      </c>
      <c r="AE3195" s="38" t="s">
        <v>376</v>
      </c>
    </row>
    <row r="3196" spans="1:31" ht="18" customHeight="1" x14ac:dyDescent="0.25">
      <c r="A31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6" s="79">
        <v>4</v>
      </c>
      <c r="C3196" s="23">
        <v>44859</v>
      </c>
      <c r="D3196" s="67">
        <f>IF(COUNTIF($G$2:$G3196,$G3196)=1,1,0)</f>
        <v>0</v>
      </c>
      <c r="E3196" s="67" t="str">
        <f>IFERROR(VLOOKUP(База_КР_КК[[#This Row],[ИД штатной должности (S)]],'уровень защищенности'!$B$7:$F$1095,5,0),"не защищена")</f>
        <v>высокий</v>
      </c>
      <c r="F3196" s="68">
        <v>500173</v>
      </c>
      <c r="G3196" s="74" t="s">
        <v>2935</v>
      </c>
      <c r="H3196" s="181">
        <f>INDEX('Списки данных'!$D$2:$D$1048576,MATCH(База_КР_КК[[#This Row],[Структурное подразделение]],'Списки данных'!$C$2:$C$1048576,0))</f>
        <v>7</v>
      </c>
      <c r="I3196" s="80" t="s">
        <v>137</v>
      </c>
      <c r="J3196" s="80" t="s">
        <v>248</v>
      </c>
      <c r="K3196" s="80" t="s">
        <v>249</v>
      </c>
      <c r="L3196" s="30" t="s">
        <v>191</v>
      </c>
      <c r="M3196" s="68">
        <v>6</v>
      </c>
      <c r="N3196" s="181" t="str">
        <f t="shared" si="50"/>
        <v>нет</v>
      </c>
      <c r="O3196" s="23"/>
      <c r="P3196" s="23"/>
      <c r="Q3196" s="106"/>
      <c r="R3196" s="37">
        <v>755</v>
      </c>
      <c r="S3196" s="39" t="s">
        <v>1164</v>
      </c>
      <c r="T3196" s="37">
        <v>1836</v>
      </c>
      <c r="U3196" s="38" t="s">
        <v>1855</v>
      </c>
      <c r="V3196" s="89" t="s">
        <v>272</v>
      </c>
      <c r="W3196" s="89" t="s">
        <v>137</v>
      </c>
      <c r="X3196" s="106" t="s">
        <v>295</v>
      </c>
      <c r="Y3196" s="107" t="s">
        <v>12</v>
      </c>
      <c r="Z3196" s="67">
        <f>IF(База_КР_КК[[#This Row],[Таб.номер резервиста]]="-","-",IF(OR(База_КР_КК[[#This Row],[Уровень КК]]=2,База_КР_КК[[#This Row],[Уровень КК]]=3),IF(COUNTIFS($U$2:$U3196,$U3196,$F$2:$F3196,$F3196)=1,1,0),IF(COUNTIFS($U$2:$U3196,$U3196,$L$2:$L3196,$L3196)=1,1,0)))</f>
        <v>0</v>
      </c>
      <c r="AA31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6" s="106"/>
      <c r="AC3196" s="51"/>
      <c r="AD3196" s="106" t="s">
        <v>15</v>
      </c>
      <c r="AE3196" s="38" t="s">
        <v>376</v>
      </c>
    </row>
    <row r="3197" spans="1:31" ht="18" customHeight="1" x14ac:dyDescent="0.25">
      <c r="A31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7" s="79">
        <v>4</v>
      </c>
      <c r="C3197" s="23">
        <v>44859</v>
      </c>
      <c r="D3197" s="67">
        <f>IF(COUNTIF($G$2:$G3197,$G3197)=1,1,0)</f>
        <v>0</v>
      </c>
      <c r="E3197" s="67" t="str">
        <f>IFERROR(VLOOKUP(База_КР_КК[[#This Row],[ИД штатной должности (S)]],'уровень защищенности'!$B$7:$F$1095,5,0),"не защищена")</f>
        <v>высокий</v>
      </c>
      <c r="F3197" s="68">
        <v>500173</v>
      </c>
      <c r="G3197" s="74" t="s">
        <v>2935</v>
      </c>
      <c r="H3197" s="181">
        <f>INDEX('Списки данных'!$D$2:$D$1048576,MATCH(База_КР_КК[[#This Row],[Структурное подразделение]],'Списки данных'!$C$2:$C$1048576,0))</f>
        <v>7</v>
      </c>
      <c r="I3197" s="80" t="s">
        <v>137</v>
      </c>
      <c r="J3197" s="80" t="s">
        <v>248</v>
      </c>
      <c r="K3197" s="80" t="s">
        <v>249</v>
      </c>
      <c r="L3197" s="30" t="s">
        <v>191</v>
      </c>
      <c r="M3197" s="68">
        <v>6</v>
      </c>
      <c r="N3197" s="181" t="str">
        <f t="shared" si="50"/>
        <v>нет</v>
      </c>
      <c r="O3197" s="23"/>
      <c r="P3197" s="23"/>
      <c r="Q3197" s="106"/>
      <c r="R3197" s="37">
        <v>755</v>
      </c>
      <c r="S3197" s="39" t="s">
        <v>1164</v>
      </c>
      <c r="T3197" s="37">
        <v>1837</v>
      </c>
      <c r="U3197" s="38" t="s">
        <v>2060</v>
      </c>
      <c r="V3197" s="69" t="s">
        <v>272</v>
      </c>
      <c r="W3197" s="89" t="s">
        <v>137</v>
      </c>
      <c r="X3197" s="106" t="s">
        <v>296</v>
      </c>
      <c r="Y3197" s="107" t="s">
        <v>12</v>
      </c>
      <c r="Z3197" s="67">
        <f>IF(База_КР_КК[[#This Row],[Таб.номер резервиста]]="-","-",IF(OR(База_КР_КК[[#This Row],[Уровень КК]]=2,База_КР_КК[[#This Row],[Уровень КК]]=3),IF(COUNTIFS($U$2:$U3197,$U3197,$F$2:$F3197,$F3197)=1,1,0),IF(COUNTIFS($U$2:$U3197,$U3197,$L$2:$L3197,$L3197)=1,1,0)))</f>
        <v>0</v>
      </c>
      <c r="AA31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7" s="106"/>
      <c r="AC3197" s="51"/>
      <c r="AD3197" s="106" t="s">
        <v>15</v>
      </c>
      <c r="AE3197" s="38" t="s">
        <v>376</v>
      </c>
    </row>
    <row r="3198" spans="1:31" ht="18" customHeight="1" x14ac:dyDescent="0.25">
      <c r="A31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8" s="79">
        <v>4</v>
      </c>
      <c r="C3198" s="23">
        <v>44859</v>
      </c>
      <c r="D3198" s="67">
        <f>IF(COUNTIF($G$2:$G3198,$G3198)=1,1,0)</f>
        <v>0</v>
      </c>
      <c r="E3198" s="67" t="str">
        <f>IFERROR(VLOOKUP(База_КР_КК[[#This Row],[ИД штатной должности (S)]],'уровень защищенности'!$B$7:$F$1095,5,0),"не защищена")</f>
        <v>высокий</v>
      </c>
      <c r="F3198" s="68">
        <v>500173</v>
      </c>
      <c r="G3198" s="74" t="s">
        <v>2935</v>
      </c>
      <c r="H3198" s="181">
        <f>INDEX('Списки данных'!$D$2:$D$1048576,MATCH(База_КР_КК[[#This Row],[Структурное подразделение]],'Списки данных'!$C$2:$C$1048576,0))</f>
        <v>7</v>
      </c>
      <c r="I3198" s="80" t="s">
        <v>137</v>
      </c>
      <c r="J3198" s="80" t="s">
        <v>248</v>
      </c>
      <c r="K3198" s="80" t="s">
        <v>249</v>
      </c>
      <c r="L3198" s="30" t="s">
        <v>191</v>
      </c>
      <c r="M3198" s="68">
        <v>6</v>
      </c>
      <c r="N3198" s="181" t="str">
        <f t="shared" si="50"/>
        <v>нет</v>
      </c>
      <c r="O3198" s="23"/>
      <c r="P3198" s="23"/>
      <c r="Q3198" s="106"/>
      <c r="R3198" s="37">
        <v>755</v>
      </c>
      <c r="S3198" s="39" t="s">
        <v>1164</v>
      </c>
      <c r="T3198" s="37">
        <v>1838</v>
      </c>
      <c r="U3198" s="38" t="s">
        <v>1981</v>
      </c>
      <c r="V3198" s="89" t="s">
        <v>272</v>
      </c>
      <c r="W3198" s="89" t="s">
        <v>137</v>
      </c>
      <c r="X3198" s="106" t="s">
        <v>296</v>
      </c>
      <c r="Y3198" s="107" t="s">
        <v>12</v>
      </c>
      <c r="Z3198" s="67">
        <f>IF(База_КР_КК[[#This Row],[Таб.номер резервиста]]="-","-",IF(OR(База_КР_КК[[#This Row],[Уровень КК]]=2,База_КР_КК[[#This Row],[Уровень КК]]=3),IF(COUNTIFS($U$2:$U3198,$U3198,$F$2:$F3198,$F3198)=1,1,0),IF(COUNTIFS($U$2:$U3198,$U3198,$L$2:$L3198,$L3198)=1,1,0)))</f>
        <v>0</v>
      </c>
      <c r="AA31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8" s="106"/>
      <c r="AC3198" s="51"/>
      <c r="AD3198" s="106" t="s">
        <v>15</v>
      </c>
      <c r="AE3198" s="38" t="s">
        <v>376</v>
      </c>
    </row>
    <row r="3199" spans="1:31" ht="18" customHeight="1" x14ac:dyDescent="0.25">
      <c r="A31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199" s="79">
        <v>4</v>
      </c>
      <c r="C3199" s="23">
        <v>44125</v>
      </c>
      <c r="D3199" s="67">
        <f>IF(COUNTIF($G$2:$G3199,$G3199)=1,1,0)</f>
        <v>0</v>
      </c>
      <c r="E3199" s="67" t="str">
        <f>IFERROR(VLOOKUP(База_КР_КК[[#This Row],[ИД штатной должности (S)]],'уровень защищенности'!$B$7:$F$1095,5,0),"не защищена")</f>
        <v>высокий</v>
      </c>
      <c r="F3199" s="68">
        <v>500173</v>
      </c>
      <c r="G3199" s="74" t="s">
        <v>2935</v>
      </c>
      <c r="H3199" s="181">
        <f>INDEX('Списки данных'!$D$2:$D$1048576,MATCH(База_КР_КК[[#This Row],[Структурное подразделение]],'Списки данных'!$C$2:$C$1048576,0))</f>
        <v>7</v>
      </c>
      <c r="I3199" s="80" t="s">
        <v>137</v>
      </c>
      <c r="J3199" s="80" t="s">
        <v>248</v>
      </c>
      <c r="K3199" s="80" t="s">
        <v>249</v>
      </c>
      <c r="L3199" s="30" t="s">
        <v>191</v>
      </c>
      <c r="M3199" s="68">
        <v>6</v>
      </c>
      <c r="N3199" s="181" t="str">
        <f t="shared" ref="N3199:N3262" si="51">IF(ISBLANK(O3199),"нет","да")</f>
        <v>нет</v>
      </c>
      <c r="O3199" s="23"/>
      <c r="P3199" s="23"/>
      <c r="Q3199" s="106"/>
      <c r="R3199" s="37">
        <v>755</v>
      </c>
      <c r="S3199" s="37" t="s">
        <v>1164</v>
      </c>
      <c r="T3199" s="37">
        <v>1839</v>
      </c>
      <c r="U3199" s="39" t="s">
        <v>2072</v>
      </c>
      <c r="V3199" s="89" t="s">
        <v>272</v>
      </c>
      <c r="W3199" s="89" t="s">
        <v>137</v>
      </c>
      <c r="X3199" s="106" t="s">
        <v>296</v>
      </c>
      <c r="Y3199" s="107" t="s">
        <v>18</v>
      </c>
      <c r="Z3199" s="67">
        <f>IF(База_КР_КК[[#This Row],[Таб.номер резервиста]]="-","-",IF(OR(База_КР_КК[[#This Row],[Уровень КК]]=2,База_КР_КК[[#This Row],[Уровень КК]]=3),IF(COUNTIFS($U$2:$U3199,$U3199,$F$2:$F3199,$F3199)=1,1,0),IF(COUNTIFS($U$2:$U3199,$U3199,$L$2:$L3199,$L3199)=1,1,0)))</f>
        <v>0</v>
      </c>
      <c r="AA31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199" s="106" t="s">
        <v>38</v>
      </c>
      <c r="AC3199" s="51">
        <v>44859</v>
      </c>
      <c r="AD3199" s="106" t="s">
        <v>31</v>
      </c>
      <c r="AE3199" s="38" t="s">
        <v>376</v>
      </c>
    </row>
    <row r="3200" spans="1:31" ht="18" customHeight="1" x14ac:dyDescent="0.25">
      <c r="A32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0" s="79">
        <v>4</v>
      </c>
      <c r="C3200" s="23">
        <v>44469</v>
      </c>
      <c r="D3200" s="67">
        <f>IF(COUNTIF($G$2:$G3200,$G3200)=1,1,0)</f>
        <v>0</v>
      </c>
      <c r="E3200" s="67" t="str">
        <f>IFERROR(VLOOKUP(База_КР_КК[[#This Row],[ИД штатной должности (S)]],'уровень защищенности'!$B$7:$F$1095,5,0),"не защищена")</f>
        <v>высокий</v>
      </c>
      <c r="F3200" s="68">
        <v>500173</v>
      </c>
      <c r="G3200" s="74" t="s">
        <v>2935</v>
      </c>
      <c r="H3200" s="181">
        <f>INDEX('Списки данных'!$D$2:$D$1048576,MATCH(База_КР_КК[[#This Row],[Структурное подразделение]],'Списки данных'!$C$2:$C$1048576,0))</f>
        <v>7</v>
      </c>
      <c r="I3200" s="80" t="s">
        <v>137</v>
      </c>
      <c r="J3200" s="80" t="s">
        <v>248</v>
      </c>
      <c r="K3200" s="80" t="s">
        <v>249</v>
      </c>
      <c r="L3200" s="30" t="s">
        <v>191</v>
      </c>
      <c r="M3200" s="68">
        <v>6</v>
      </c>
      <c r="N3200" s="181" t="str">
        <f t="shared" si="51"/>
        <v>нет</v>
      </c>
      <c r="O3200" s="23"/>
      <c r="P3200" s="23"/>
      <c r="Q3200" s="106"/>
      <c r="R3200" s="37">
        <v>755</v>
      </c>
      <c r="S3200" s="38" t="s">
        <v>1164</v>
      </c>
      <c r="T3200" s="37">
        <v>1840</v>
      </c>
      <c r="U3200" s="39" t="s">
        <v>1965</v>
      </c>
      <c r="V3200" s="69" t="s">
        <v>192</v>
      </c>
      <c r="W3200" s="89" t="s">
        <v>137</v>
      </c>
      <c r="X3200" s="106" t="s">
        <v>297</v>
      </c>
      <c r="Y3200" s="107" t="s">
        <v>18</v>
      </c>
      <c r="Z3200" s="67">
        <f>IF(База_КР_КК[[#This Row],[Таб.номер резервиста]]="-","-",IF(OR(База_КР_КК[[#This Row],[Уровень КК]]=2,База_КР_КК[[#This Row],[Уровень КК]]=3),IF(COUNTIFS($U$2:$U3200,$U3200,$F$2:$F3200,$F3200)=1,1,0),IF(COUNTIFS($U$2:$U3200,$U3200,$L$2:$L3200,$L3200)=1,1,0)))</f>
        <v>0</v>
      </c>
      <c r="AA32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0" s="106" t="s">
        <v>38</v>
      </c>
      <c r="AC3200" s="51">
        <v>44859</v>
      </c>
      <c r="AD3200" s="106" t="s">
        <v>31</v>
      </c>
      <c r="AE3200" s="38" t="s">
        <v>376</v>
      </c>
    </row>
    <row r="3201" spans="1:31" ht="18" customHeight="1" x14ac:dyDescent="0.25">
      <c r="A32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1" s="79">
        <v>4</v>
      </c>
      <c r="C3201" s="23">
        <v>44125</v>
      </c>
      <c r="D3201" s="67">
        <f>IF(COUNTIF($G$2:$G3201,$G3201)=1,1,0)</f>
        <v>1</v>
      </c>
      <c r="E3201" s="67" t="str">
        <f>IFERROR(VLOOKUP(База_КР_КК[[#This Row],[ИД штатной должности (S)]],'уровень защищенности'!$B$7:$F$1095,5,0),"не защищена")</f>
        <v>высокий</v>
      </c>
      <c r="F3201" s="68">
        <v>500174</v>
      </c>
      <c r="G3201" s="74" t="s">
        <v>2936</v>
      </c>
      <c r="H3201" s="181">
        <f>INDEX('Списки данных'!$D$2:$D$1048576,MATCH(База_КР_КК[[#This Row],[Структурное подразделение]],'Списки данных'!$C$2:$C$1048576,0))</f>
        <v>7</v>
      </c>
      <c r="I3201" s="80" t="s">
        <v>137</v>
      </c>
      <c r="J3201" s="80" t="s">
        <v>248</v>
      </c>
      <c r="K3201" s="80" t="s">
        <v>249</v>
      </c>
      <c r="L3201" s="30" t="s">
        <v>191</v>
      </c>
      <c r="M3201" s="68">
        <v>6</v>
      </c>
      <c r="N3201" s="181" t="str">
        <f t="shared" si="51"/>
        <v>нет</v>
      </c>
      <c r="O3201" s="23"/>
      <c r="P3201" s="23"/>
      <c r="Q3201" s="106"/>
      <c r="R3201" s="37">
        <v>756</v>
      </c>
      <c r="S3201" s="38" t="s">
        <v>1165</v>
      </c>
      <c r="T3201" s="37">
        <v>759</v>
      </c>
      <c r="U3201" s="39" t="s">
        <v>1168</v>
      </c>
      <c r="V3201" s="89" t="s">
        <v>192</v>
      </c>
      <c r="W3201" s="89" t="s">
        <v>137</v>
      </c>
      <c r="X3201" s="106" t="s">
        <v>297</v>
      </c>
      <c r="Y3201" s="107" t="s">
        <v>12</v>
      </c>
      <c r="Z3201" s="67">
        <f>IF(База_КР_КК[[#This Row],[Таб.номер резервиста]]="-","-",IF(OR(База_КР_КК[[#This Row],[Уровень КК]]=2,База_КР_КК[[#This Row],[Уровень КК]]=3),IF(COUNTIFS($U$2:$U3201,$U3201,$F$2:$F3201,$F3201)=1,1,0),IF(COUNTIFS($U$2:$U3201,$U3201,$L$2:$L3201,$L3201)=1,1,0)))</f>
        <v>1</v>
      </c>
      <c r="AA32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1" s="106"/>
      <c r="AC3201" s="51"/>
      <c r="AD3201" s="106" t="s">
        <v>15</v>
      </c>
      <c r="AE3201" s="38" t="s">
        <v>318</v>
      </c>
    </row>
    <row r="3202" spans="1:31" ht="18" customHeight="1" x14ac:dyDescent="0.25">
      <c r="A32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2" s="79">
        <v>4</v>
      </c>
      <c r="C3202" s="23">
        <v>44859</v>
      </c>
      <c r="D3202" s="67">
        <f>IF(COUNTIF($G$2:$G3202,$G3202)=1,1,0)</f>
        <v>0</v>
      </c>
      <c r="E3202" s="67" t="str">
        <f>IFERROR(VLOOKUP(База_КР_КК[[#This Row],[ИД штатной должности (S)]],'уровень защищенности'!$B$7:$F$1095,5,0),"не защищена")</f>
        <v>высокий</v>
      </c>
      <c r="F3202" s="68">
        <v>500174</v>
      </c>
      <c r="G3202" s="74" t="s">
        <v>2936</v>
      </c>
      <c r="H3202" s="181">
        <f>INDEX('Списки данных'!$D$2:$D$1048576,MATCH(База_КР_КК[[#This Row],[Структурное подразделение]],'Списки данных'!$C$2:$C$1048576,0))</f>
        <v>7</v>
      </c>
      <c r="I3202" s="80" t="s">
        <v>137</v>
      </c>
      <c r="J3202" s="80" t="s">
        <v>248</v>
      </c>
      <c r="K3202" s="80" t="s">
        <v>249</v>
      </c>
      <c r="L3202" s="30" t="s">
        <v>191</v>
      </c>
      <c r="M3202" s="68">
        <v>6</v>
      </c>
      <c r="N3202" s="181" t="str">
        <f t="shared" si="51"/>
        <v>нет</v>
      </c>
      <c r="O3202" s="23"/>
      <c r="P3202" s="23"/>
      <c r="Q3202" s="106"/>
      <c r="R3202" s="37">
        <v>756</v>
      </c>
      <c r="S3202" s="39" t="s">
        <v>1165</v>
      </c>
      <c r="T3202" s="37">
        <v>1841</v>
      </c>
      <c r="U3202" s="38" t="s">
        <v>1908</v>
      </c>
      <c r="V3202" s="69" t="s">
        <v>272</v>
      </c>
      <c r="W3202" s="89" t="s">
        <v>137</v>
      </c>
      <c r="X3202" s="106" t="s">
        <v>296</v>
      </c>
      <c r="Y3202" s="107" t="s">
        <v>12</v>
      </c>
      <c r="Z3202" s="67">
        <f>IF(База_КР_КК[[#This Row],[Таб.номер резервиста]]="-","-",IF(OR(База_КР_КК[[#This Row],[Уровень КК]]=2,База_КР_КК[[#This Row],[Уровень КК]]=3),IF(COUNTIFS($U$2:$U3202,$U3202,$F$2:$F3202,$F3202)=1,1,0),IF(COUNTIFS($U$2:$U3202,$U3202,$L$2:$L3202,$L3202)=1,1,0)))</f>
        <v>1</v>
      </c>
      <c r="AA32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2" s="106"/>
      <c r="AC3202" s="51"/>
      <c r="AD3202" s="106" t="s">
        <v>15</v>
      </c>
      <c r="AE3202" s="38" t="s">
        <v>376</v>
      </c>
    </row>
    <row r="3203" spans="1:31" ht="18" customHeight="1" x14ac:dyDescent="0.25">
      <c r="A32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3" s="79">
        <v>4</v>
      </c>
      <c r="C3203" s="23">
        <v>44859</v>
      </c>
      <c r="D3203" s="67">
        <f>IF(COUNTIF($G$2:$G3203,$G3203)=1,1,0)</f>
        <v>0</v>
      </c>
      <c r="E3203" s="67" t="str">
        <f>IFERROR(VLOOKUP(База_КР_КК[[#This Row],[ИД штатной должности (S)]],'уровень защищенности'!$B$7:$F$1095,5,0),"не защищена")</f>
        <v>высокий</v>
      </c>
      <c r="F3203" s="68">
        <v>500174</v>
      </c>
      <c r="G3203" s="74" t="s">
        <v>2936</v>
      </c>
      <c r="H3203" s="181">
        <f>INDEX('Списки данных'!$D$2:$D$1048576,MATCH(База_КР_КК[[#This Row],[Структурное подразделение]],'Списки данных'!$C$2:$C$1048576,0))</f>
        <v>7</v>
      </c>
      <c r="I3203" s="80" t="s">
        <v>137</v>
      </c>
      <c r="J3203" s="80" t="s">
        <v>248</v>
      </c>
      <c r="K3203" s="80" t="s">
        <v>249</v>
      </c>
      <c r="L3203" s="30" t="s">
        <v>191</v>
      </c>
      <c r="M3203" s="68">
        <v>6</v>
      </c>
      <c r="N3203" s="181" t="str">
        <f t="shared" si="51"/>
        <v>нет</v>
      </c>
      <c r="O3203" s="23"/>
      <c r="P3203" s="23"/>
      <c r="Q3203" s="106"/>
      <c r="R3203" s="37">
        <v>756</v>
      </c>
      <c r="S3203" s="39" t="s">
        <v>1165</v>
      </c>
      <c r="T3203" s="37">
        <v>1842</v>
      </c>
      <c r="U3203" s="38" t="s">
        <v>2073</v>
      </c>
      <c r="V3203" s="69" t="s">
        <v>272</v>
      </c>
      <c r="W3203" s="89" t="s">
        <v>137</v>
      </c>
      <c r="X3203" s="106" t="s">
        <v>295</v>
      </c>
      <c r="Y3203" s="107" t="s">
        <v>12</v>
      </c>
      <c r="Z3203" s="67">
        <f>IF(База_КР_КК[[#This Row],[Таб.номер резервиста]]="-","-",IF(OR(База_КР_КК[[#This Row],[Уровень КК]]=2,База_КР_КК[[#This Row],[Уровень КК]]=3),IF(COUNTIFS($U$2:$U3203,$U3203,$F$2:$F3203,$F3203)=1,1,0),IF(COUNTIFS($U$2:$U3203,$U3203,$L$2:$L3203,$L3203)=1,1,0)))</f>
        <v>1</v>
      </c>
      <c r="AA32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3" s="106"/>
      <c r="AC3203" s="51"/>
      <c r="AD3203" s="106" t="s">
        <v>15</v>
      </c>
      <c r="AE3203" s="38" t="s">
        <v>376</v>
      </c>
    </row>
    <row r="3204" spans="1:31" ht="18" customHeight="1" x14ac:dyDescent="0.25">
      <c r="A32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4" s="79">
        <v>4</v>
      </c>
      <c r="C3204" s="23">
        <v>44859</v>
      </c>
      <c r="D3204" s="67">
        <f>IF(COUNTIF($G$2:$G3204,$G3204)=1,1,0)</f>
        <v>0</v>
      </c>
      <c r="E3204" s="67" t="str">
        <f>IFERROR(VLOOKUP(База_КР_КК[[#This Row],[ИД штатной должности (S)]],'уровень защищенности'!$B$7:$F$1095,5,0),"не защищена")</f>
        <v>высокий</v>
      </c>
      <c r="F3204" s="68">
        <v>500174</v>
      </c>
      <c r="G3204" s="74" t="s">
        <v>2936</v>
      </c>
      <c r="H3204" s="181">
        <f>INDEX('Списки данных'!$D$2:$D$1048576,MATCH(База_КР_КК[[#This Row],[Структурное подразделение]],'Списки данных'!$C$2:$C$1048576,0))</f>
        <v>7</v>
      </c>
      <c r="I3204" s="80" t="s">
        <v>137</v>
      </c>
      <c r="J3204" s="80" t="s">
        <v>248</v>
      </c>
      <c r="K3204" s="80" t="s">
        <v>249</v>
      </c>
      <c r="L3204" s="30" t="s">
        <v>191</v>
      </c>
      <c r="M3204" s="68">
        <v>6</v>
      </c>
      <c r="N3204" s="181" t="str">
        <f t="shared" si="51"/>
        <v>нет</v>
      </c>
      <c r="O3204" s="23"/>
      <c r="P3204" s="23"/>
      <c r="Q3204" s="106"/>
      <c r="R3204" s="37">
        <v>756</v>
      </c>
      <c r="S3204" s="39" t="s">
        <v>1165</v>
      </c>
      <c r="T3204" s="37">
        <v>1843</v>
      </c>
      <c r="U3204" s="38" t="s">
        <v>1582</v>
      </c>
      <c r="V3204" s="69" t="s">
        <v>272</v>
      </c>
      <c r="W3204" s="89" t="s">
        <v>137</v>
      </c>
      <c r="X3204" s="106" t="s">
        <v>297</v>
      </c>
      <c r="Y3204" s="107" t="s">
        <v>12</v>
      </c>
      <c r="Z3204" s="67">
        <f>IF(База_КР_КК[[#This Row],[Таб.номер резервиста]]="-","-",IF(OR(База_КР_КК[[#This Row],[Уровень КК]]=2,База_КР_КК[[#This Row],[Уровень КК]]=3),IF(COUNTIFS($U$2:$U3204,$U3204,$F$2:$F3204,$F3204)=1,1,0),IF(COUNTIFS($U$2:$U3204,$U3204,$L$2:$L3204,$L3204)=1,1,0)))</f>
        <v>0</v>
      </c>
      <c r="AA32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4" s="106"/>
      <c r="AC3204" s="51"/>
      <c r="AD3204" s="106" t="s">
        <v>15</v>
      </c>
      <c r="AE3204" s="38" t="s">
        <v>376</v>
      </c>
    </row>
    <row r="3205" spans="1:31" ht="18" customHeight="1" x14ac:dyDescent="0.25">
      <c r="A32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5" s="79">
        <v>4</v>
      </c>
      <c r="C3205" s="23">
        <v>44859</v>
      </c>
      <c r="D3205" s="67">
        <f>IF(COUNTIF($G$2:$G3205,$G3205)=1,1,0)</f>
        <v>0</v>
      </c>
      <c r="E3205" s="67" t="str">
        <f>IFERROR(VLOOKUP(База_КР_КК[[#This Row],[ИД штатной должности (S)]],'уровень защищенности'!$B$7:$F$1095,5,0),"не защищена")</f>
        <v>высокий</v>
      </c>
      <c r="F3205" s="68">
        <v>500174</v>
      </c>
      <c r="G3205" s="74" t="s">
        <v>2936</v>
      </c>
      <c r="H3205" s="181">
        <f>INDEX('Списки данных'!$D$2:$D$1048576,MATCH(База_КР_КК[[#This Row],[Структурное подразделение]],'Списки данных'!$C$2:$C$1048576,0))</f>
        <v>7</v>
      </c>
      <c r="I3205" s="80" t="s">
        <v>137</v>
      </c>
      <c r="J3205" s="80" t="s">
        <v>248</v>
      </c>
      <c r="K3205" s="80" t="s">
        <v>249</v>
      </c>
      <c r="L3205" s="30" t="s">
        <v>191</v>
      </c>
      <c r="M3205" s="68">
        <v>6</v>
      </c>
      <c r="N3205" s="181" t="str">
        <f t="shared" si="51"/>
        <v>нет</v>
      </c>
      <c r="O3205" s="23"/>
      <c r="P3205" s="23"/>
      <c r="Q3205" s="106"/>
      <c r="R3205" s="37">
        <v>756</v>
      </c>
      <c r="S3205" s="39" t="s">
        <v>1165</v>
      </c>
      <c r="T3205" s="37">
        <v>1844</v>
      </c>
      <c r="U3205" s="38" t="s">
        <v>1994</v>
      </c>
      <c r="V3205" s="69" t="s">
        <v>272</v>
      </c>
      <c r="W3205" s="89" t="s">
        <v>137</v>
      </c>
      <c r="X3205" s="106" t="s">
        <v>296</v>
      </c>
      <c r="Y3205" s="107" t="s">
        <v>12</v>
      </c>
      <c r="Z3205" s="67">
        <f>IF(База_КР_КК[[#This Row],[Таб.номер резервиста]]="-","-",IF(OR(База_КР_КК[[#This Row],[Уровень КК]]=2,База_КР_КК[[#This Row],[Уровень КК]]=3),IF(COUNTIFS($U$2:$U3205,$U3205,$F$2:$F3205,$F3205)=1,1,0),IF(COUNTIFS($U$2:$U3205,$U3205,$L$2:$L3205,$L3205)=1,1,0)))</f>
        <v>0</v>
      </c>
      <c r="AA32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5" s="106"/>
      <c r="AC3205" s="51"/>
      <c r="AD3205" s="106" t="s">
        <v>15</v>
      </c>
      <c r="AE3205" s="38" t="s">
        <v>376</v>
      </c>
    </row>
    <row r="3206" spans="1:31" ht="18" customHeight="1" x14ac:dyDescent="0.25">
      <c r="A32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6" s="79">
        <v>4</v>
      </c>
      <c r="C3206" s="23">
        <v>44125</v>
      </c>
      <c r="D3206" s="67">
        <f>IF(COUNTIF($G$2:$G3206,$G3206)=1,1,0)</f>
        <v>0</v>
      </c>
      <c r="E3206" s="67" t="str">
        <f>IFERROR(VLOOKUP(База_КР_КК[[#This Row],[ИД штатной должности (S)]],'уровень защищенности'!$B$7:$F$1095,5,0),"не защищена")</f>
        <v>высокий</v>
      </c>
      <c r="F3206" s="68">
        <v>500174</v>
      </c>
      <c r="G3206" s="74" t="s">
        <v>2936</v>
      </c>
      <c r="H3206" s="181">
        <f>INDEX('Списки данных'!$D$2:$D$1048576,MATCH(База_КР_КК[[#This Row],[Структурное подразделение]],'Списки данных'!$C$2:$C$1048576,0))</f>
        <v>7</v>
      </c>
      <c r="I3206" s="80" t="s">
        <v>137</v>
      </c>
      <c r="J3206" s="80" t="s">
        <v>248</v>
      </c>
      <c r="K3206" s="80" t="s">
        <v>249</v>
      </c>
      <c r="L3206" s="30" t="s">
        <v>191</v>
      </c>
      <c r="M3206" s="68">
        <v>6</v>
      </c>
      <c r="N3206" s="181" t="str">
        <f t="shared" si="51"/>
        <v>нет</v>
      </c>
      <c r="O3206" s="23"/>
      <c r="P3206" s="23"/>
      <c r="Q3206" s="106"/>
      <c r="R3206" s="37">
        <v>756</v>
      </c>
      <c r="S3206" s="38" t="s">
        <v>1165</v>
      </c>
      <c r="T3206" s="37">
        <v>814</v>
      </c>
      <c r="U3206" s="39" t="s">
        <v>1223</v>
      </c>
      <c r="V3206" s="89" t="s">
        <v>272</v>
      </c>
      <c r="W3206" s="89" t="s">
        <v>137</v>
      </c>
      <c r="X3206" s="106" t="s">
        <v>297</v>
      </c>
      <c r="Y3206" s="107" t="s">
        <v>18</v>
      </c>
      <c r="Z3206" s="67">
        <f>IF(База_КР_КК[[#This Row],[Таб.номер резервиста]]="-","-",IF(OR(База_КР_КК[[#This Row],[Уровень КК]]=2,База_КР_КК[[#This Row],[Уровень КК]]=3),IF(COUNTIFS($U$2:$U3206,$U3206,$F$2:$F3206,$F3206)=1,1,0),IF(COUNTIFS($U$2:$U3206,$U3206,$L$2:$L3206,$L3206)=1,1,0)))</f>
        <v>1</v>
      </c>
      <c r="AA32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6" s="106" t="s">
        <v>24</v>
      </c>
      <c r="AC3206" s="51">
        <v>44774</v>
      </c>
      <c r="AD3206" s="106" t="s">
        <v>15</v>
      </c>
      <c r="AE3206" s="38" t="s">
        <v>318</v>
      </c>
    </row>
    <row r="3207" spans="1:31" ht="18" customHeight="1" x14ac:dyDescent="0.25">
      <c r="A32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7" s="79">
        <v>4</v>
      </c>
      <c r="C3207" s="23">
        <v>44859</v>
      </c>
      <c r="D3207" s="67">
        <f>IF(COUNTIF($G$2:$G3207,$G3207)=1,1,0)</f>
        <v>1</v>
      </c>
      <c r="E3207" s="67" t="str">
        <f>IFERROR(VLOOKUP(База_КР_КК[[#This Row],[ИД штатной должности (S)]],'уровень защищенности'!$B$7:$F$1095,5,0),"не защищена")</f>
        <v>высокий</v>
      </c>
      <c r="F3207" s="68">
        <v>500175</v>
      </c>
      <c r="G3207" s="74" t="s">
        <v>2937</v>
      </c>
      <c r="H3207" s="181">
        <f>INDEX('Списки данных'!$D$2:$D$1048576,MATCH(База_КР_КК[[#This Row],[Структурное подразделение]],'Списки данных'!$C$2:$C$1048576,0))</f>
        <v>7</v>
      </c>
      <c r="I3207" s="80" t="s">
        <v>137</v>
      </c>
      <c r="J3207" s="80" t="s">
        <v>248</v>
      </c>
      <c r="K3207" s="80" t="s">
        <v>249</v>
      </c>
      <c r="L3207" s="30" t="s">
        <v>191</v>
      </c>
      <c r="M3207" s="68">
        <v>6</v>
      </c>
      <c r="N3207" s="181" t="str">
        <f t="shared" si="51"/>
        <v>нет</v>
      </c>
      <c r="O3207" s="23"/>
      <c r="P3207" s="23"/>
      <c r="Q3207" s="106"/>
      <c r="R3207" s="37">
        <v>757</v>
      </c>
      <c r="S3207" s="39" t="s">
        <v>1166</v>
      </c>
      <c r="T3207" s="37">
        <v>1841</v>
      </c>
      <c r="U3207" s="38" t="s">
        <v>1908</v>
      </c>
      <c r="V3207" s="69" t="s">
        <v>272</v>
      </c>
      <c r="W3207" s="89" t="s">
        <v>137</v>
      </c>
      <c r="X3207" s="106" t="s">
        <v>296</v>
      </c>
      <c r="Y3207" s="107" t="s">
        <v>12</v>
      </c>
      <c r="Z3207" s="67">
        <f>IF(База_КР_КК[[#This Row],[Таб.номер резервиста]]="-","-",IF(OR(База_КР_КК[[#This Row],[Уровень КК]]=2,База_КР_КК[[#This Row],[Уровень КК]]=3),IF(COUNTIFS($U$2:$U3207,$U3207,$F$2:$F3207,$F3207)=1,1,0),IF(COUNTIFS($U$2:$U3207,$U3207,$L$2:$L3207,$L3207)=1,1,0)))</f>
        <v>0</v>
      </c>
      <c r="AA32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7" s="106"/>
      <c r="AC3207" s="51"/>
      <c r="AD3207" s="106" t="s">
        <v>15</v>
      </c>
      <c r="AE3207" s="38" t="s">
        <v>376</v>
      </c>
    </row>
    <row r="3208" spans="1:31" ht="18" customHeight="1" x14ac:dyDescent="0.25">
      <c r="A32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8" s="79">
        <v>4</v>
      </c>
      <c r="C3208" s="23">
        <v>44859</v>
      </c>
      <c r="D3208" s="67">
        <f>IF(COUNTIF($G$2:$G3208,$G3208)=1,1,0)</f>
        <v>0</v>
      </c>
      <c r="E3208" s="67" t="str">
        <f>IFERROR(VLOOKUP(База_КР_КК[[#This Row],[ИД штатной должности (S)]],'уровень защищенности'!$B$7:$F$1095,5,0),"не защищена")</f>
        <v>высокий</v>
      </c>
      <c r="F3208" s="68">
        <v>500175</v>
      </c>
      <c r="G3208" s="74" t="s">
        <v>2937</v>
      </c>
      <c r="H3208" s="181">
        <f>INDEX('Списки данных'!$D$2:$D$1048576,MATCH(База_КР_КК[[#This Row],[Структурное подразделение]],'Списки данных'!$C$2:$C$1048576,0))</f>
        <v>7</v>
      </c>
      <c r="I3208" s="80" t="s">
        <v>137</v>
      </c>
      <c r="J3208" s="80" t="s">
        <v>248</v>
      </c>
      <c r="K3208" s="80" t="s">
        <v>249</v>
      </c>
      <c r="L3208" s="30" t="s">
        <v>191</v>
      </c>
      <c r="M3208" s="68">
        <v>6</v>
      </c>
      <c r="N3208" s="181" t="str">
        <f t="shared" si="51"/>
        <v>нет</v>
      </c>
      <c r="O3208" s="23"/>
      <c r="P3208" s="23"/>
      <c r="Q3208" s="106"/>
      <c r="R3208" s="37">
        <v>757</v>
      </c>
      <c r="S3208" s="39" t="s">
        <v>1166</v>
      </c>
      <c r="T3208" s="37">
        <v>1842</v>
      </c>
      <c r="U3208" s="38" t="s">
        <v>2073</v>
      </c>
      <c r="V3208" s="69" t="s">
        <v>272</v>
      </c>
      <c r="W3208" s="89" t="s">
        <v>137</v>
      </c>
      <c r="X3208" s="106" t="s">
        <v>295</v>
      </c>
      <c r="Y3208" s="107" t="s">
        <v>12</v>
      </c>
      <c r="Z3208" s="67">
        <f>IF(База_КР_КК[[#This Row],[Таб.номер резервиста]]="-","-",IF(OR(База_КР_КК[[#This Row],[Уровень КК]]=2,База_КР_КК[[#This Row],[Уровень КК]]=3),IF(COUNTIFS($U$2:$U3208,$U3208,$F$2:$F3208,$F3208)=1,1,0),IF(COUNTIFS($U$2:$U3208,$U3208,$L$2:$L3208,$L3208)=1,1,0)))</f>
        <v>0</v>
      </c>
      <c r="AA32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8" s="106"/>
      <c r="AC3208" s="51"/>
      <c r="AD3208" s="106" t="s">
        <v>15</v>
      </c>
      <c r="AE3208" s="38" t="s">
        <v>376</v>
      </c>
    </row>
    <row r="3209" spans="1:31" ht="18" customHeight="1" x14ac:dyDescent="0.25">
      <c r="A32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09" s="79">
        <v>4</v>
      </c>
      <c r="C3209" s="23">
        <v>44859</v>
      </c>
      <c r="D3209" s="67">
        <f>IF(COUNTIF($G$2:$G3209,$G3209)=1,1,0)</f>
        <v>0</v>
      </c>
      <c r="E3209" s="67" t="str">
        <f>IFERROR(VLOOKUP(База_КР_КК[[#This Row],[ИД штатной должности (S)]],'уровень защищенности'!$B$7:$F$1095,5,0),"не защищена")</f>
        <v>высокий</v>
      </c>
      <c r="F3209" s="68">
        <v>500175</v>
      </c>
      <c r="G3209" s="74" t="s">
        <v>2937</v>
      </c>
      <c r="H3209" s="181">
        <f>INDEX('Списки данных'!$D$2:$D$1048576,MATCH(База_КР_КК[[#This Row],[Структурное подразделение]],'Списки данных'!$C$2:$C$1048576,0))</f>
        <v>7</v>
      </c>
      <c r="I3209" s="80" t="s">
        <v>137</v>
      </c>
      <c r="J3209" s="80" t="s">
        <v>248</v>
      </c>
      <c r="K3209" s="80" t="s">
        <v>249</v>
      </c>
      <c r="L3209" s="30" t="s">
        <v>191</v>
      </c>
      <c r="M3209" s="68">
        <v>6</v>
      </c>
      <c r="N3209" s="181" t="str">
        <f t="shared" si="51"/>
        <v>нет</v>
      </c>
      <c r="O3209" s="23"/>
      <c r="P3209" s="23"/>
      <c r="Q3209" s="106"/>
      <c r="R3209" s="37">
        <v>757</v>
      </c>
      <c r="S3209" s="39" t="s">
        <v>1166</v>
      </c>
      <c r="T3209" s="37">
        <v>1843</v>
      </c>
      <c r="U3209" s="38" t="s">
        <v>1582</v>
      </c>
      <c r="V3209" s="69" t="s">
        <v>272</v>
      </c>
      <c r="W3209" s="89" t="s">
        <v>137</v>
      </c>
      <c r="X3209" s="106" t="s">
        <v>297</v>
      </c>
      <c r="Y3209" s="107" t="s">
        <v>12</v>
      </c>
      <c r="Z3209" s="67">
        <f>IF(База_КР_КК[[#This Row],[Таб.номер резервиста]]="-","-",IF(OR(База_КР_КК[[#This Row],[Уровень КК]]=2,База_КР_КК[[#This Row],[Уровень КК]]=3),IF(COUNTIFS($U$2:$U3209,$U3209,$F$2:$F3209,$F3209)=1,1,0),IF(COUNTIFS($U$2:$U3209,$U3209,$L$2:$L3209,$L3209)=1,1,0)))</f>
        <v>0</v>
      </c>
      <c r="AA32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09" s="106"/>
      <c r="AC3209" s="51"/>
      <c r="AD3209" s="106" t="s">
        <v>15</v>
      </c>
      <c r="AE3209" s="38" t="s">
        <v>376</v>
      </c>
    </row>
    <row r="3210" spans="1:31" ht="18" customHeight="1" x14ac:dyDescent="0.25">
      <c r="A32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0" s="79">
        <v>4</v>
      </c>
      <c r="C3210" s="23">
        <v>44859</v>
      </c>
      <c r="D3210" s="67">
        <f>IF(COUNTIF($G$2:$G3210,$G3210)=1,1,0)</f>
        <v>0</v>
      </c>
      <c r="E3210" s="67" t="str">
        <f>IFERROR(VLOOKUP(База_КР_КК[[#This Row],[ИД штатной должности (S)]],'уровень защищенности'!$B$7:$F$1095,5,0),"не защищена")</f>
        <v>высокий</v>
      </c>
      <c r="F3210" s="68">
        <v>500175</v>
      </c>
      <c r="G3210" s="74" t="s">
        <v>2937</v>
      </c>
      <c r="H3210" s="181">
        <f>INDEX('Списки данных'!$D$2:$D$1048576,MATCH(База_КР_КК[[#This Row],[Структурное подразделение]],'Списки данных'!$C$2:$C$1048576,0))</f>
        <v>7</v>
      </c>
      <c r="I3210" s="80" t="s">
        <v>137</v>
      </c>
      <c r="J3210" s="80" t="s">
        <v>248</v>
      </c>
      <c r="K3210" s="80" t="s">
        <v>249</v>
      </c>
      <c r="L3210" s="30" t="s">
        <v>191</v>
      </c>
      <c r="M3210" s="68">
        <v>6</v>
      </c>
      <c r="N3210" s="181" t="str">
        <f t="shared" si="51"/>
        <v>нет</v>
      </c>
      <c r="O3210" s="23"/>
      <c r="P3210" s="23"/>
      <c r="Q3210" s="106"/>
      <c r="R3210" s="37">
        <v>757</v>
      </c>
      <c r="S3210" s="39" t="s">
        <v>1166</v>
      </c>
      <c r="T3210" s="37">
        <v>1844</v>
      </c>
      <c r="U3210" s="38" t="s">
        <v>1994</v>
      </c>
      <c r="V3210" s="69" t="s">
        <v>272</v>
      </c>
      <c r="W3210" s="89" t="s">
        <v>137</v>
      </c>
      <c r="X3210" s="106" t="s">
        <v>296</v>
      </c>
      <c r="Y3210" s="107" t="s">
        <v>12</v>
      </c>
      <c r="Z3210" s="67">
        <f>IF(База_КР_КК[[#This Row],[Таб.номер резервиста]]="-","-",IF(OR(База_КР_КК[[#This Row],[Уровень КК]]=2,База_КР_КК[[#This Row],[Уровень КК]]=3),IF(COUNTIFS($U$2:$U3210,$U3210,$F$2:$F3210,$F3210)=1,1,0),IF(COUNTIFS($U$2:$U3210,$U3210,$L$2:$L3210,$L3210)=1,1,0)))</f>
        <v>0</v>
      </c>
      <c r="AA32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0" s="106"/>
      <c r="AC3210" s="51"/>
      <c r="AD3210" s="106" t="s">
        <v>15</v>
      </c>
      <c r="AE3210" s="38" t="s">
        <v>376</v>
      </c>
    </row>
    <row r="3211" spans="1:31" ht="18" customHeight="1" x14ac:dyDescent="0.25">
      <c r="A32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1" s="79">
        <v>4</v>
      </c>
      <c r="C3211" s="23">
        <v>44125</v>
      </c>
      <c r="D3211" s="67">
        <f>IF(COUNTIF($G$2:$G3211,$G3211)=1,1,0)</f>
        <v>0</v>
      </c>
      <c r="E3211" s="67" t="str">
        <f>IFERROR(VLOOKUP(База_КР_КК[[#This Row],[ИД штатной должности (S)]],'уровень защищенности'!$B$7:$F$1095,5,0),"не защищена")</f>
        <v>высокий</v>
      </c>
      <c r="F3211" s="68">
        <v>500175</v>
      </c>
      <c r="G3211" s="74" t="s">
        <v>2937</v>
      </c>
      <c r="H3211" s="181">
        <f>INDEX('Списки данных'!$D$2:$D$1048576,MATCH(База_КР_КК[[#This Row],[Структурное подразделение]],'Списки данных'!$C$2:$C$1048576,0))</f>
        <v>7</v>
      </c>
      <c r="I3211" s="80" t="s">
        <v>137</v>
      </c>
      <c r="J3211" s="80" t="s">
        <v>248</v>
      </c>
      <c r="K3211" s="80" t="s">
        <v>249</v>
      </c>
      <c r="L3211" s="30" t="s">
        <v>191</v>
      </c>
      <c r="M3211" s="68">
        <v>6</v>
      </c>
      <c r="N3211" s="181" t="str">
        <f t="shared" si="51"/>
        <v>нет</v>
      </c>
      <c r="O3211" s="23"/>
      <c r="P3211" s="23"/>
      <c r="Q3211" s="106"/>
      <c r="R3211" s="37">
        <v>757</v>
      </c>
      <c r="S3211" s="38" t="s">
        <v>1166</v>
      </c>
      <c r="T3211" s="37">
        <v>759</v>
      </c>
      <c r="U3211" s="39" t="s">
        <v>1168</v>
      </c>
      <c r="V3211" s="89" t="s">
        <v>192</v>
      </c>
      <c r="W3211" s="89" t="s">
        <v>137</v>
      </c>
      <c r="X3211" s="106" t="s">
        <v>297</v>
      </c>
      <c r="Y3211" s="107" t="s">
        <v>14</v>
      </c>
      <c r="Z3211" s="67">
        <f>IF(База_КР_КК[[#This Row],[Таб.номер резервиста]]="-","-",IF(OR(База_КР_КК[[#This Row],[Уровень КК]]=2,База_КР_КК[[#This Row],[Уровень КК]]=3),IF(COUNTIFS($U$2:$U3211,$U3211,$F$2:$F3211,$F3211)=1,1,0),IF(COUNTIFS($U$2:$U3211,$U3211,$L$2:$L3211,$L3211)=1,1,0)))</f>
        <v>0</v>
      </c>
      <c r="AA32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1" s="106" t="s">
        <v>24</v>
      </c>
      <c r="AC3211" s="51">
        <v>44701</v>
      </c>
      <c r="AD3211" s="106" t="s">
        <v>15</v>
      </c>
      <c r="AE3211" s="38" t="s">
        <v>318</v>
      </c>
    </row>
    <row r="3212" spans="1:31" ht="18" customHeight="1" x14ac:dyDescent="0.25">
      <c r="A32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2" s="79">
        <v>4</v>
      </c>
      <c r="C3212" s="23">
        <v>44125</v>
      </c>
      <c r="D3212" s="67">
        <f>IF(COUNTIF($G$2:$G3212,$G3212)=1,1,0)</f>
        <v>0</v>
      </c>
      <c r="E3212" s="67" t="str">
        <f>IFERROR(VLOOKUP(База_КР_КК[[#This Row],[ИД штатной должности (S)]],'уровень защищенности'!$B$7:$F$1095,5,0),"не защищена")</f>
        <v>высокий</v>
      </c>
      <c r="F3212" s="68">
        <v>500175</v>
      </c>
      <c r="G3212" s="74" t="s">
        <v>2937</v>
      </c>
      <c r="H3212" s="181">
        <f>INDEX('Списки данных'!$D$2:$D$1048576,MATCH(База_КР_КК[[#This Row],[Структурное подразделение]],'Списки данных'!$C$2:$C$1048576,0))</f>
        <v>7</v>
      </c>
      <c r="I3212" s="80" t="s">
        <v>137</v>
      </c>
      <c r="J3212" s="80" t="s">
        <v>248</v>
      </c>
      <c r="K3212" s="80" t="s">
        <v>249</v>
      </c>
      <c r="L3212" s="30" t="s">
        <v>191</v>
      </c>
      <c r="M3212" s="68">
        <v>6</v>
      </c>
      <c r="N3212" s="181" t="str">
        <f t="shared" si="51"/>
        <v>нет</v>
      </c>
      <c r="O3212" s="23"/>
      <c r="P3212" s="23"/>
      <c r="Q3212" s="106"/>
      <c r="R3212" s="37">
        <v>757</v>
      </c>
      <c r="S3212" s="38" t="s">
        <v>1166</v>
      </c>
      <c r="T3212" s="37">
        <v>814</v>
      </c>
      <c r="U3212" s="39" t="s">
        <v>1223</v>
      </c>
      <c r="V3212" s="89" t="s">
        <v>272</v>
      </c>
      <c r="W3212" s="89" t="s">
        <v>137</v>
      </c>
      <c r="X3212" s="106" t="s">
        <v>297</v>
      </c>
      <c r="Y3212" s="107" t="s">
        <v>18</v>
      </c>
      <c r="Z3212" s="67">
        <f>IF(База_КР_КК[[#This Row],[Таб.номер резервиста]]="-","-",IF(OR(База_КР_КК[[#This Row],[Уровень КК]]=2,База_КР_КК[[#This Row],[Уровень КК]]=3),IF(COUNTIFS($U$2:$U3212,$U3212,$F$2:$F3212,$F3212)=1,1,0),IF(COUNTIFS($U$2:$U3212,$U3212,$L$2:$L3212,$L3212)=1,1,0)))</f>
        <v>0</v>
      </c>
      <c r="AA32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2" s="106" t="s">
        <v>24</v>
      </c>
      <c r="AC3212" s="51">
        <v>44774</v>
      </c>
      <c r="AD3212" s="106" t="s">
        <v>15</v>
      </c>
      <c r="AE3212" s="38" t="s">
        <v>318</v>
      </c>
    </row>
    <row r="3213" spans="1:31" ht="18" customHeight="1" x14ac:dyDescent="0.25">
      <c r="A32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3" s="79">
        <v>4</v>
      </c>
      <c r="C3213" s="23">
        <v>44859</v>
      </c>
      <c r="D3213" s="67">
        <f>IF(COUNTIF($G$2:$G3213,$G3213)=1,1,0)</f>
        <v>1</v>
      </c>
      <c r="E3213" s="67" t="str">
        <f>IFERROR(VLOOKUP(База_КР_КК[[#This Row],[ИД штатной должности (S)]],'уровень защищенности'!$B$7:$F$1095,5,0),"не защищена")</f>
        <v>высокий</v>
      </c>
      <c r="F3213" s="68">
        <v>500175</v>
      </c>
      <c r="G3213" s="74" t="s">
        <v>2938</v>
      </c>
      <c r="H3213" s="181">
        <f>INDEX('Списки данных'!$D$2:$D$1048576,MATCH(База_КР_КК[[#This Row],[Структурное подразделение]],'Списки данных'!$C$2:$C$1048576,0))</f>
        <v>7</v>
      </c>
      <c r="I3213" s="80" t="s">
        <v>137</v>
      </c>
      <c r="J3213" s="80" t="s">
        <v>248</v>
      </c>
      <c r="K3213" s="80" t="s">
        <v>249</v>
      </c>
      <c r="L3213" s="30" t="s">
        <v>191</v>
      </c>
      <c r="M3213" s="68">
        <v>6</v>
      </c>
      <c r="N3213" s="181" t="str">
        <f t="shared" si="51"/>
        <v>нет</v>
      </c>
      <c r="O3213" s="23"/>
      <c r="P3213" s="23"/>
      <c r="Q3213" s="106"/>
      <c r="R3213" s="37">
        <v>758</v>
      </c>
      <c r="S3213" s="39" t="s">
        <v>1167</v>
      </c>
      <c r="T3213" s="37">
        <v>1841</v>
      </c>
      <c r="U3213" s="38" t="s">
        <v>1908</v>
      </c>
      <c r="V3213" s="69" t="s">
        <v>272</v>
      </c>
      <c r="W3213" s="89" t="s">
        <v>137</v>
      </c>
      <c r="X3213" s="106" t="s">
        <v>296</v>
      </c>
      <c r="Y3213" s="107" t="s">
        <v>12</v>
      </c>
      <c r="Z3213" s="67">
        <f>IF(База_КР_КК[[#This Row],[Таб.номер резервиста]]="-","-",IF(OR(База_КР_КК[[#This Row],[Уровень КК]]=2,База_КР_КК[[#This Row],[Уровень КК]]=3),IF(COUNTIFS($U$2:$U3213,$U3213,$F$2:$F3213,$F3213)=1,1,0),IF(COUNTIFS($U$2:$U3213,$U3213,$L$2:$L3213,$L3213)=1,1,0)))</f>
        <v>0</v>
      </c>
      <c r="AA32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3" s="106"/>
      <c r="AC3213" s="51"/>
      <c r="AD3213" s="106" t="s">
        <v>15</v>
      </c>
      <c r="AE3213" s="38" t="s">
        <v>376</v>
      </c>
    </row>
    <row r="3214" spans="1:31" ht="18" customHeight="1" x14ac:dyDescent="0.25">
      <c r="A32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4" s="79">
        <v>4</v>
      </c>
      <c r="C3214" s="23">
        <v>44859</v>
      </c>
      <c r="D3214" s="67">
        <f>IF(COUNTIF($G$2:$G3214,$G3214)=1,1,0)</f>
        <v>0</v>
      </c>
      <c r="E3214" s="67" t="str">
        <f>IFERROR(VLOOKUP(База_КР_КК[[#This Row],[ИД штатной должности (S)]],'уровень защищенности'!$B$7:$F$1095,5,0),"не защищена")</f>
        <v>высокий</v>
      </c>
      <c r="F3214" s="68">
        <v>500175</v>
      </c>
      <c r="G3214" s="74" t="s">
        <v>2938</v>
      </c>
      <c r="H3214" s="181">
        <f>INDEX('Списки данных'!$D$2:$D$1048576,MATCH(База_КР_КК[[#This Row],[Структурное подразделение]],'Списки данных'!$C$2:$C$1048576,0))</f>
        <v>7</v>
      </c>
      <c r="I3214" s="80" t="s">
        <v>137</v>
      </c>
      <c r="J3214" s="80" t="s">
        <v>248</v>
      </c>
      <c r="K3214" s="80" t="s">
        <v>249</v>
      </c>
      <c r="L3214" s="30" t="s">
        <v>191</v>
      </c>
      <c r="M3214" s="68">
        <v>6</v>
      </c>
      <c r="N3214" s="181" t="str">
        <f t="shared" si="51"/>
        <v>нет</v>
      </c>
      <c r="O3214" s="23"/>
      <c r="P3214" s="23"/>
      <c r="Q3214" s="106"/>
      <c r="R3214" s="37">
        <v>758</v>
      </c>
      <c r="S3214" s="39" t="s">
        <v>1167</v>
      </c>
      <c r="T3214" s="37">
        <v>1842</v>
      </c>
      <c r="U3214" s="38" t="s">
        <v>2073</v>
      </c>
      <c r="V3214" s="69" t="s">
        <v>272</v>
      </c>
      <c r="W3214" s="89" t="s">
        <v>137</v>
      </c>
      <c r="X3214" s="106" t="s">
        <v>295</v>
      </c>
      <c r="Y3214" s="107" t="s">
        <v>12</v>
      </c>
      <c r="Z3214" s="67">
        <f>IF(База_КР_КК[[#This Row],[Таб.номер резервиста]]="-","-",IF(OR(База_КР_КК[[#This Row],[Уровень КК]]=2,База_КР_КК[[#This Row],[Уровень КК]]=3),IF(COUNTIFS($U$2:$U3214,$U3214,$F$2:$F3214,$F3214)=1,1,0),IF(COUNTIFS($U$2:$U3214,$U3214,$L$2:$L3214,$L3214)=1,1,0)))</f>
        <v>0</v>
      </c>
      <c r="AA32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4" s="106"/>
      <c r="AC3214" s="51"/>
      <c r="AD3214" s="106" t="s">
        <v>15</v>
      </c>
      <c r="AE3214" s="38" t="s">
        <v>376</v>
      </c>
    </row>
    <row r="3215" spans="1:31" ht="18" customHeight="1" x14ac:dyDescent="0.25">
      <c r="A32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5" s="79">
        <v>4</v>
      </c>
      <c r="C3215" s="23">
        <v>44859</v>
      </c>
      <c r="D3215" s="67">
        <f>IF(COUNTIF($G$2:$G3215,$G3215)=1,1,0)</f>
        <v>0</v>
      </c>
      <c r="E3215" s="67" t="str">
        <f>IFERROR(VLOOKUP(База_КР_КК[[#This Row],[ИД штатной должности (S)]],'уровень защищенности'!$B$7:$F$1095,5,0),"не защищена")</f>
        <v>высокий</v>
      </c>
      <c r="F3215" s="68">
        <v>500175</v>
      </c>
      <c r="G3215" s="74" t="s">
        <v>2938</v>
      </c>
      <c r="H3215" s="181">
        <f>INDEX('Списки данных'!$D$2:$D$1048576,MATCH(База_КР_КК[[#This Row],[Структурное подразделение]],'Списки данных'!$C$2:$C$1048576,0))</f>
        <v>7</v>
      </c>
      <c r="I3215" s="80" t="s">
        <v>137</v>
      </c>
      <c r="J3215" s="80" t="s">
        <v>248</v>
      </c>
      <c r="K3215" s="80" t="s">
        <v>249</v>
      </c>
      <c r="L3215" s="30" t="s">
        <v>191</v>
      </c>
      <c r="M3215" s="68">
        <v>6</v>
      </c>
      <c r="N3215" s="181" t="str">
        <f t="shared" si="51"/>
        <v>нет</v>
      </c>
      <c r="O3215" s="23"/>
      <c r="P3215" s="23"/>
      <c r="Q3215" s="106"/>
      <c r="R3215" s="37">
        <v>758</v>
      </c>
      <c r="S3215" s="39" t="s">
        <v>1167</v>
      </c>
      <c r="T3215" s="37">
        <v>1843</v>
      </c>
      <c r="U3215" s="38" t="s">
        <v>1582</v>
      </c>
      <c r="V3215" s="69" t="s">
        <v>272</v>
      </c>
      <c r="W3215" s="89" t="s">
        <v>137</v>
      </c>
      <c r="X3215" s="106" t="s">
        <v>297</v>
      </c>
      <c r="Y3215" s="107" t="s">
        <v>12</v>
      </c>
      <c r="Z3215" s="67">
        <f>IF(База_КР_КК[[#This Row],[Таб.номер резервиста]]="-","-",IF(OR(База_КР_КК[[#This Row],[Уровень КК]]=2,База_КР_КК[[#This Row],[Уровень КК]]=3),IF(COUNTIFS($U$2:$U3215,$U3215,$F$2:$F3215,$F3215)=1,1,0),IF(COUNTIFS($U$2:$U3215,$U3215,$L$2:$L3215,$L3215)=1,1,0)))</f>
        <v>0</v>
      </c>
      <c r="AA32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5" s="106"/>
      <c r="AC3215" s="51"/>
      <c r="AD3215" s="106" t="s">
        <v>15</v>
      </c>
      <c r="AE3215" s="38" t="s">
        <v>376</v>
      </c>
    </row>
    <row r="3216" spans="1:31" ht="18" customHeight="1" x14ac:dyDescent="0.25">
      <c r="A32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6" s="79">
        <v>4</v>
      </c>
      <c r="C3216" s="23">
        <v>44859</v>
      </c>
      <c r="D3216" s="67">
        <f>IF(COUNTIF($G$2:$G3216,$G3216)=1,1,0)</f>
        <v>0</v>
      </c>
      <c r="E3216" s="67" t="str">
        <f>IFERROR(VLOOKUP(База_КР_КК[[#This Row],[ИД штатной должности (S)]],'уровень защищенности'!$B$7:$F$1095,5,0),"не защищена")</f>
        <v>высокий</v>
      </c>
      <c r="F3216" s="68">
        <v>500175</v>
      </c>
      <c r="G3216" s="74" t="s">
        <v>2938</v>
      </c>
      <c r="H3216" s="181">
        <f>INDEX('Списки данных'!$D$2:$D$1048576,MATCH(База_КР_КК[[#This Row],[Структурное подразделение]],'Списки данных'!$C$2:$C$1048576,0))</f>
        <v>7</v>
      </c>
      <c r="I3216" s="80" t="s">
        <v>137</v>
      </c>
      <c r="J3216" s="80" t="s">
        <v>248</v>
      </c>
      <c r="K3216" s="80" t="s">
        <v>249</v>
      </c>
      <c r="L3216" s="30" t="s">
        <v>191</v>
      </c>
      <c r="M3216" s="68">
        <v>6</v>
      </c>
      <c r="N3216" s="181" t="str">
        <f t="shared" si="51"/>
        <v>нет</v>
      </c>
      <c r="O3216" s="23"/>
      <c r="P3216" s="23"/>
      <c r="Q3216" s="106"/>
      <c r="R3216" s="37">
        <v>758</v>
      </c>
      <c r="S3216" s="39" t="s">
        <v>1167</v>
      </c>
      <c r="T3216" s="37">
        <v>1844</v>
      </c>
      <c r="U3216" s="38" t="s">
        <v>1994</v>
      </c>
      <c r="V3216" s="69" t="s">
        <v>272</v>
      </c>
      <c r="W3216" s="89" t="s">
        <v>137</v>
      </c>
      <c r="X3216" s="106" t="s">
        <v>296</v>
      </c>
      <c r="Y3216" s="107" t="s">
        <v>12</v>
      </c>
      <c r="Z3216" s="67">
        <f>IF(База_КР_КК[[#This Row],[Таб.номер резервиста]]="-","-",IF(OR(База_КР_КК[[#This Row],[Уровень КК]]=2,База_КР_КК[[#This Row],[Уровень КК]]=3),IF(COUNTIFS($U$2:$U3216,$U3216,$F$2:$F3216,$F3216)=1,1,0),IF(COUNTIFS($U$2:$U3216,$U3216,$L$2:$L3216,$L3216)=1,1,0)))</f>
        <v>0</v>
      </c>
      <c r="AA32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6" s="106"/>
      <c r="AC3216" s="51"/>
      <c r="AD3216" s="106" t="s">
        <v>15</v>
      </c>
      <c r="AE3216" s="38" t="s">
        <v>376</v>
      </c>
    </row>
    <row r="3217" spans="1:31" ht="18" customHeight="1" x14ac:dyDescent="0.25">
      <c r="A32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7" s="79">
        <v>4</v>
      </c>
      <c r="C3217" s="23">
        <v>44125</v>
      </c>
      <c r="D3217" s="67">
        <f>IF(COUNTIF($G$2:$G3217,$G3217)=1,1,0)</f>
        <v>0</v>
      </c>
      <c r="E3217" s="67" t="str">
        <f>IFERROR(VLOOKUP(База_КР_КК[[#This Row],[ИД штатной должности (S)]],'уровень защищенности'!$B$7:$F$1095,5,0),"не защищена")</f>
        <v>высокий</v>
      </c>
      <c r="F3217" s="68">
        <v>500175</v>
      </c>
      <c r="G3217" s="74" t="s">
        <v>2938</v>
      </c>
      <c r="H3217" s="181">
        <f>INDEX('Списки данных'!$D$2:$D$1048576,MATCH(База_КР_КК[[#This Row],[Структурное подразделение]],'Списки данных'!$C$2:$C$1048576,0))</f>
        <v>7</v>
      </c>
      <c r="I3217" s="80" t="s">
        <v>137</v>
      </c>
      <c r="J3217" s="80" t="s">
        <v>248</v>
      </c>
      <c r="K3217" s="80" t="s">
        <v>249</v>
      </c>
      <c r="L3217" s="30" t="s">
        <v>191</v>
      </c>
      <c r="M3217" s="68">
        <v>6</v>
      </c>
      <c r="N3217" s="181" t="str">
        <f t="shared" si="51"/>
        <v>нет</v>
      </c>
      <c r="O3217" s="23"/>
      <c r="P3217" s="23"/>
      <c r="Q3217" s="106"/>
      <c r="R3217" s="37">
        <v>758</v>
      </c>
      <c r="S3217" s="38" t="s">
        <v>1167</v>
      </c>
      <c r="T3217" s="37">
        <v>759</v>
      </c>
      <c r="U3217" s="39" t="s">
        <v>1168</v>
      </c>
      <c r="V3217" s="89" t="s">
        <v>192</v>
      </c>
      <c r="W3217" s="89" t="s">
        <v>137</v>
      </c>
      <c r="X3217" s="106" t="s">
        <v>297</v>
      </c>
      <c r="Y3217" s="107" t="s">
        <v>14</v>
      </c>
      <c r="Z3217" s="67">
        <f>IF(База_КР_КК[[#This Row],[Таб.номер резервиста]]="-","-",IF(OR(База_КР_КК[[#This Row],[Уровень КК]]=2,База_КР_КК[[#This Row],[Уровень КК]]=3),IF(COUNTIFS($U$2:$U3217,$U3217,$F$2:$F3217,$F3217)=1,1,0),IF(COUNTIFS($U$2:$U3217,$U3217,$L$2:$L3217,$L3217)=1,1,0)))</f>
        <v>0</v>
      </c>
      <c r="AA32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7" s="106" t="s">
        <v>24</v>
      </c>
      <c r="AC3217" s="51">
        <v>44701</v>
      </c>
      <c r="AD3217" s="106" t="s">
        <v>15</v>
      </c>
      <c r="AE3217" s="38" t="s">
        <v>318</v>
      </c>
    </row>
    <row r="3218" spans="1:31" ht="18" customHeight="1" x14ac:dyDescent="0.25">
      <c r="A32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8" s="79">
        <v>4</v>
      </c>
      <c r="C3218" s="23">
        <v>44125</v>
      </c>
      <c r="D3218" s="67">
        <f>IF(COUNTIF($G$2:$G3218,$G3218)=1,1,0)</f>
        <v>0</v>
      </c>
      <c r="E3218" s="67" t="str">
        <f>IFERROR(VLOOKUP(База_КР_КК[[#This Row],[ИД штатной должности (S)]],'уровень защищенности'!$B$7:$F$1095,5,0),"не защищена")</f>
        <v>высокий</v>
      </c>
      <c r="F3218" s="68">
        <v>500175</v>
      </c>
      <c r="G3218" s="74" t="s">
        <v>2938</v>
      </c>
      <c r="H3218" s="181">
        <f>INDEX('Списки данных'!$D$2:$D$1048576,MATCH(База_КР_КК[[#This Row],[Структурное подразделение]],'Списки данных'!$C$2:$C$1048576,0))</f>
        <v>7</v>
      </c>
      <c r="I3218" s="80" t="s">
        <v>137</v>
      </c>
      <c r="J3218" s="80" t="s">
        <v>248</v>
      </c>
      <c r="K3218" s="80" t="s">
        <v>249</v>
      </c>
      <c r="L3218" s="30" t="s">
        <v>191</v>
      </c>
      <c r="M3218" s="68">
        <v>6</v>
      </c>
      <c r="N3218" s="181" t="str">
        <f t="shared" si="51"/>
        <v>нет</v>
      </c>
      <c r="O3218" s="23"/>
      <c r="P3218" s="23"/>
      <c r="Q3218" s="106"/>
      <c r="R3218" s="37">
        <v>758</v>
      </c>
      <c r="S3218" s="38" t="s">
        <v>1167</v>
      </c>
      <c r="T3218" s="37">
        <v>814</v>
      </c>
      <c r="U3218" s="39" t="s">
        <v>1223</v>
      </c>
      <c r="V3218" s="89" t="s">
        <v>272</v>
      </c>
      <c r="W3218" s="89" t="s">
        <v>137</v>
      </c>
      <c r="X3218" s="106" t="s">
        <v>297</v>
      </c>
      <c r="Y3218" s="107" t="s">
        <v>18</v>
      </c>
      <c r="Z3218" s="67">
        <f>IF(База_КР_КК[[#This Row],[Таб.номер резервиста]]="-","-",IF(OR(База_КР_КК[[#This Row],[Уровень КК]]=2,База_КР_КК[[#This Row],[Уровень КК]]=3),IF(COUNTIFS($U$2:$U3218,$U3218,$F$2:$F3218,$F3218)=1,1,0),IF(COUNTIFS($U$2:$U3218,$U3218,$L$2:$L3218,$L3218)=1,1,0)))</f>
        <v>0</v>
      </c>
      <c r="AA32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8" s="106" t="s">
        <v>24</v>
      </c>
      <c r="AC3218" s="51">
        <v>44774</v>
      </c>
      <c r="AD3218" s="106" t="s">
        <v>15</v>
      </c>
      <c r="AE3218" s="38" t="s">
        <v>318</v>
      </c>
    </row>
    <row r="3219" spans="1:31" ht="18" customHeight="1" x14ac:dyDescent="0.25">
      <c r="A32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19" s="79">
        <v>4</v>
      </c>
      <c r="C3219" s="23">
        <v>44859</v>
      </c>
      <c r="D3219" s="67">
        <f>IF(COUNTIF($G$2:$G3219,$G3219)=1,1,0)</f>
        <v>1</v>
      </c>
      <c r="E3219" s="67" t="str">
        <f>IFERROR(VLOOKUP(База_КР_КК[[#This Row],[ИД штатной должности (S)]],'уровень защищенности'!$B$7:$F$1095,5,0),"не защищена")</f>
        <v>высокий</v>
      </c>
      <c r="F3219" s="68">
        <v>500175</v>
      </c>
      <c r="G3219" s="74" t="s">
        <v>2939</v>
      </c>
      <c r="H3219" s="181">
        <f>INDEX('Списки данных'!$D$2:$D$1048576,MATCH(База_КР_КК[[#This Row],[Структурное подразделение]],'Списки данных'!$C$2:$C$1048576,0))</f>
        <v>7</v>
      </c>
      <c r="I3219" s="80" t="s">
        <v>137</v>
      </c>
      <c r="J3219" s="80" t="s">
        <v>248</v>
      </c>
      <c r="K3219" s="80" t="s">
        <v>249</v>
      </c>
      <c r="L3219" s="30" t="s">
        <v>191</v>
      </c>
      <c r="M3219" s="68">
        <v>6</v>
      </c>
      <c r="N3219" s="181" t="str">
        <f t="shared" si="51"/>
        <v>да</v>
      </c>
      <c r="O3219" s="23">
        <v>44701</v>
      </c>
      <c r="P3219" s="23">
        <v>44701</v>
      </c>
      <c r="Q3219" s="106" t="s">
        <v>66</v>
      </c>
      <c r="R3219" s="37">
        <v>759</v>
      </c>
      <c r="S3219" s="39" t="s">
        <v>1168</v>
      </c>
      <c r="T3219" s="37">
        <v>1841</v>
      </c>
      <c r="U3219" s="38" t="s">
        <v>1908</v>
      </c>
      <c r="V3219" s="69" t="s">
        <v>272</v>
      </c>
      <c r="W3219" s="89" t="s">
        <v>137</v>
      </c>
      <c r="X3219" s="106" t="s">
        <v>296</v>
      </c>
      <c r="Y3219" s="107" t="s">
        <v>12</v>
      </c>
      <c r="Z3219" s="67">
        <f>IF(База_КР_КК[[#This Row],[Таб.номер резервиста]]="-","-",IF(OR(База_КР_КК[[#This Row],[Уровень КК]]=2,База_КР_КК[[#This Row],[Уровень КК]]=3),IF(COUNTIFS($U$2:$U3219,$U3219,$F$2:$F3219,$F3219)=1,1,0),IF(COUNTIFS($U$2:$U3219,$U3219,$L$2:$L3219,$L3219)=1,1,0)))</f>
        <v>0</v>
      </c>
      <c r="AA32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19" s="106"/>
      <c r="AC3219" s="51"/>
      <c r="AD3219" s="106" t="s">
        <v>15</v>
      </c>
      <c r="AE3219" s="38" t="s">
        <v>376</v>
      </c>
    </row>
    <row r="3220" spans="1:31" ht="18" customHeight="1" x14ac:dyDescent="0.25">
      <c r="A32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0" s="79">
        <v>4</v>
      </c>
      <c r="C3220" s="23">
        <v>44859</v>
      </c>
      <c r="D3220" s="67">
        <f>IF(COUNTIF($G$2:$G3220,$G3220)=1,1,0)</f>
        <v>0</v>
      </c>
      <c r="E3220" s="67" t="str">
        <f>IFERROR(VLOOKUP(База_КР_КК[[#This Row],[ИД штатной должности (S)]],'уровень защищенности'!$B$7:$F$1095,5,0),"не защищена")</f>
        <v>высокий</v>
      </c>
      <c r="F3220" s="68">
        <v>500175</v>
      </c>
      <c r="G3220" s="74" t="s">
        <v>2939</v>
      </c>
      <c r="H3220" s="181">
        <f>INDEX('Списки данных'!$D$2:$D$1048576,MATCH(База_КР_КК[[#This Row],[Структурное подразделение]],'Списки данных'!$C$2:$C$1048576,0))</f>
        <v>7</v>
      </c>
      <c r="I3220" s="80" t="s">
        <v>137</v>
      </c>
      <c r="J3220" s="80" t="s">
        <v>248</v>
      </c>
      <c r="K3220" s="80" t="s">
        <v>249</v>
      </c>
      <c r="L3220" s="30" t="s">
        <v>191</v>
      </c>
      <c r="M3220" s="68">
        <v>6</v>
      </c>
      <c r="N3220" s="181" t="str">
        <f t="shared" si="51"/>
        <v>да</v>
      </c>
      <c r="O3220" s="23">
        <v>44701</v>
      </c>
      <c r="P3220" s="23">
        <v>44701</v>
      </c>
      <c r="Q3220" s="106" t="s">
        <v>66</v>
      </c>
      <c r="R3220" s="37">
        <v>759</v>
      </c>
      <c r="S3220" s="39" t="s">
        <v>1168</v>
      </c>
      <c r="T3220" s="37">
        <v>1842</v>
      </c>
      <c r="U3220" s="38" t="s">
        <v>2073</v>
      </c>
      <c r="V3220" s="69" t="s">
        <v>272</v>
      </c>
      <c r="W3220" s="89" t="s">
        <v>137</v>
      </c>
      <c r="X3220" s="106" t="s">
        <v>295</v>
      </c>
      <c r="Y3220" s="107" t="s">
        <v>12</v>
      </c>
      <c r="Z3220" s="67">
        <f>IF(База_КР_КК[[#This Row],[Таб.номер резервиста]]="-","-",IF(OR(База_КР_КК[[#This Row],[Уровень КК]]=2,База_КР_КК[[#This Row],[Уровень КК]]=3),IF(COUNTIFS($U$2:$U3220,$U3220,$F$2:$F3220,$F3220)=1,1,0),IF(COUNTIFS($U$2:$U3220,$U3220,$L$2:$L3220,$L3220)=1,1,0)))</f>
        <v>0</v>
      </c>
      <c r="AA32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0" s="106"/>
      <c r="AC3220" s="51"/>
      <c r="AD3220" s="106" t="s">
        <v>15</v>
      </c>
      <c r="AE3220" s="38" t="s">
        <v>376</v>
      </c>
    </row>
    <row r="3221" spans="1:31" ht="18" customHeight="1" x14ac:dyDescent="0.25">
      <c r="A32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1" s="79">
        <v>4</v>
      </c>
      <c r="C3221" s="23">
        <v>44859</v>
      </c>
      <c r="D3221" s="67">
        <f>IF(COUNTIF($G$2:$G3221,$G3221)=1,1,0)</f>
        <v>0</v>
      </c>
      <c r="E3221" s="67" t="str">
        <f>IFERROR(VLOOKUP(База_КР_КК[[#This Row],[ИД штатной должности (S)]],'уровень защищенности'!$B$7:$F$1095,5,0),"не защищена")</f>
        <v>высокий</v>
      </c>
      <c r="F3221" s="68">
        <v>500175</v>
      </c>
      <c r="G3221" s="74" t="s">
        <v>2939</v>
      </c>
      <c r="H3221" s="181">
        <f>INDEX('Списки данных'!$D$2:$D$1048576,MATCH(База_КР_КК[[#This Row],[Структурное подразделение]],'Списки данных'!$C$2:$C$1048576,0))</f>
        <v>7</v>
      </c>
      <c r="I3221" s="80" t="s">
        <v>137</v>
      </c>
      <c r="J3221" s="80" t="s">
        <v>248</v>
      </c>
      <c r="K3221" s="80" t="s">
        <v>249</v>
      </c>
      <c r="L3221" s="30" t="s">
        <v>191</v>
      </c>
      <c r="M3221" s="68">
        <v>6</v>
      </c>
      <c r="N3221" s="181" t="str">
        <f t="shared" si="51"/>
        <v>да</v>
      </c>
      <c r="O3221" s="23">
        <v>44701</v>
      </c>
      <c r="P3221" s="23">
        <v>44701</v>
      </c>
      <c r="Q3221" s="106" t="s">
        <v>66</v>
      </c>
      <c r="R3221" s="37">
        <v>759</v>
      </c>
      <c r="S3221" s="39" t="s">
        <v>1168</v>
      </c>
      <c r="T3221" s="37">
        <v>1843</v>
      </c>
      <c r="U3221" s="38" t="s">
        <v>1582</v>
      </c>
      <c r="V3221" s="69" t="s">
        <v>272</v>
      </c>
      <c r="W3221" s="89" t="s">
        <v>137</v>
      </c>
      <c r="X3221" s="106" t="s">
        <v>297</v>
      </c>
      <c r="Y3221" s="107" t="s">
        <v>12</v>
      </c>
      <c r="Z3221" s="67">
        <f>IF(База_КР_КК[[#This Row],[Таб.номер резервиста]]="-","-",IF(OR(База_КР_КК[[#This Row],[Уровень КК]]=2,База_КР_КК[[#This Row],[Уровень КК]]=3),IF(COUNTIFS($U$2:$U3221,$U3221,$F$2:$F3221,$F3221)=1,1,0),IF(COUNTIFS($U$2:$U3221,$U3221,$L$2:$L3221,$L3221)=1,1,0)))</f>
        <v>0</v>
      </c>
      <c r="AA32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1" s="106"/>
      <c r="AC3221" s="51"/>
      <c r="AD3221" s="106" t="s">
        <v>15</v>
      </c>
      <c r="AE3221" s="38" t="s">
        <v>376</v>
      </c>
    </row>
    <row r="3222" spans="1:31" ht="18" customHeight="1" x14ac:dyDescent="0.25">
      <c r="A32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2" s="79">
        <v>4</v>
      </c>
      <c r="C3222" s="23">
        <v>44859</v>
      </c>
      <c r="D3222" s="67">
        <f>IF(COUNTIF($G$2:$G3222,$G3222)=1,1,0)</f>
        <v>0</v>
      </c>
      <c r="E3222" s="67" t="str">
        <f>IFERROR(VLOOKUP(База_КР_КК[[#This Row],[ИД штатной должности (S)]],'уровень защищенности'!$B$7:$F$1095,5,0),"не защищена")</f>
        <v>высокий</v>
      </c>
      <c r="F3222" s="68">
        <v>500175</v>
      </c>
      <c r="G3222" s="74" t="s">
        <v>2939</v>
      </c>
      <c r="H3222" s="181">
        <f>INDEX('Списки данных'!$D$2:$D$1048576,MATCH(База_КР_КК[[#This Row],[Структурное подразделение]],'Списки данных'!$C$2:$C$1048576,0))</f>
        <v>7</v>
      </c>
      <c r="I3222" s="80" t="s">
        <v>137</v>
      </c>
      <c r="J3222" s="80" t="s">
        <v>248</v>
      </c>
      <c r="K3222" s="80" t="s">
        <v>249</v>
      </c>
      <c r="L3222" s="30" t="s">
        <v>191</v>
      </c>
      <c r="M3222" s="68">
        <v>6</v>
      </c>
      <c r="N3222" s="181" t="str">
        <f t="shared" si="51"/>
        <v>да</v>
      </c>
      <c r="O3222" s="23">
        <v>44701</v>
      </c>
      <c r="P3222" s="23">
        <v>44701</v>
      </c>
      <c r="Q3222" s="106" t="s">
        <v>66</v>
      </c>
      <c r="R3222" s="37">
        <v>759</v>
      </c>
      <c r="S3222" s="39" t="s">
        <v>1168</v>
      </c>
      <c r="T3222" s="37">
        <v>1844</v>
      </c>
      <c r="U3222" s="38" t="s">
        <v>1994</v>
      </c>
      <c r="V3222" s="69" t="s">
        <v>272</v>
      </c>
      <c r="W3222" s="89" t="s">
        <v>137</v>
      </c>
      <c r="X3222" s="106" t="s">
        <v>296</v>
      </c>
      <c r="Y3222" s="107" t="s">
        <v>12</v>
      </c>
      <c r="Z3222" s="67">
        <f>IF(База_КР_КК[[#This Row],[Таб.номер резервиста]]="-","-",IF(OR(База_КР_КК[[#This Row],[Уровень КК]]=2,База_КР_КК[[#This Row],[Уровень КК]]=3),IF(COUNTIFS($U$2:$U3222,$U3222,$F$2:$F3222,$F3222)=1,1,0),IF(COUNTIFS($U$2:$U3222,$U3222,$L$2:$L3222,$L3222)=1,1,0)))</f>
        <v>0</v>
      </c>
      <c r="AA32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2" s="106"/>
      <c r="AC3222" s="51"/>
      <c r="AD3222" s="106" t="s">
        <v>15</v>
      </c>
      <c r="AE3222" s="38" t="s">
        <v>376</v>
      </c>
    </row>
    <row r="3223" spans="1:31" ht="18" customHeight="1" x14ac:dyDescent="0.25">
      <c r="A32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3" s="79">
        <v>4</v>
      </c>
      <c r="C3223" s="23">
        <v>44125</v>
      </c>
      <c r="D3223" s="67">
        <f>IF(COUNTIF($G$2:$G3223,$G3223)=1,1,0)</f>
        <v>0</v>
      </c>
      <c r="E3223" s="67" t="str">
        <f>IFERROR(VLOOKUP(База_КР_КК[[#This Row],[ИД штатной должности (S)]],'уровень защищенности'!$B$7:$F$1095,5,0),"не защищена")</f>
        <v>высокий</v>
      </c>
      <c r="F3223" s="68">
        <v>500175</v>
      </c>
      <c r="G3223" s="74" t="s">
        <v>2939</v>
      </c>
      <c r="H3223" s="181">
        <f>INDEX('Списки данных'!$D$2:$D$1048576,MATCH(База_КР_КК[[#This Row],[Структурное подразделение]],'Списки данных'!$C$2:$C$1048576,0))</f>
        <v>7</v>
      </c>
      <c r="I3223" s="80" t="s">
        <v>137</v>
      </c>
      <c r="J3223" s="80" t="s">
        <v>248</v>
      </c>
      <c r="K3223" s="80" t="s">
        <v>249</v>
      </c>
      <c r="L3223" s="30" t="s">
        <v>191</v>
      </c>
      <c r="M3223" s="68">
        <v>6</v>
      </c>
      <c r="N3223" s="181" t="str">
        <f t="shared" si="51"/>
        <v>да</v>
      </c>
      <c r="O3223" s="23">
        <v>44701</v>
      </c>
      <c r="P3223" s="23">
        <v>44701</v>
      </c>
      <c r="Q3223" s="106" t="s">
        <v>66</v>
      </c>
      <c r="R3223" s="37">
        <v>759</v>
      </c>
      <c r="S3223" s="39" t="s">
        <v>1168</v>
      </c>
      <c r="T3223" s="37">
        <v>759</v>
      </c>
      <c r="U3223" s="39" t="s">
        <v>1168</v>
      </c>
      <c r="V3223" s="89" t="s">
        <v>192</v>
      </c>
      <c r="W3223" s="89" t="s">
        <v>137</v>
      </c>
      <c r="X3223" s="106" t="s">
        <v>297</v>
      </c>
      <c r="Y3223" s="107" t="s">
        <v>14</v>
      </c>
      <c r="Z3223" s="67">
        <f>IF(База_КР_КК[[#This Row],[Таб.номер резервиста]]="-","-",IF(OR(База_КР_КК[[#This Row],[Уровень КК]]=2,База_КР_КК[[#This Row],[Уровень КК]]=3),IF(COUNTIFS($U$2:$U3223,$U3223,$F$2:$F3223,$F3223)=1,1,0),IF(COUNTIFS($U$2:$U3223,$U3223,$L$2:$L3223,$L3223)=1,1,0)))</f>
        <v>0</v>
      </c>
      <c r="AA32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223" s="106" t="s">
        <v>24</v>
      </c>
      <c r="AC3223" s="51">
        <v>44701</v>
      </c>
      <c r="AD3223" s="106" t="s">
        <v>15</v>
      </c>
      <c r="AE3223" s="38" t="s">
        <v>318</v>
      </c>
    </row>
    <row r="3224" spans="1:31" ht="18" customHeight="1" x14ac:dyDescent="0.25">
      <c r="A32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4" s="79">
        <v>4</v>
      </c>
      <c r="C3224" s="23">
        <v>44125</v>
      </c>
      <c r="D3224" s="67">
        <f>IF(COUNTIF($G$2:$G3224,$G3224)=1,1,0)</f>
        <v>0</v>
      </c>
      <c r="E3224" s="67" t="str">
        <f>IFERROR(VLOOKUP(База_КР_КК[[#This Row],[ИД штатной должности (S)]],'уровень защищенности'!$B$7:$F$1095,5,0),"не защищена")</f>
        <v>высокий</v>
      </c>
      <c r="F3224" s="68">
        <v>500175</v>
      </c>
      <c r="G3224" s="74" t="s">
        <v>2939</v>
      </c>
      <c r="H3224" s="181">
        <f>INDEX('Списки данных'!$D$2:$D$1048576,MATCH(База_КР_КК[[#This Row],[Структурное подразделение]],'Списки данных'!$C$2:$C$1048576,0))</f>
        <v>7</v>
      </c>
      <c r="I3224" s="80" t="s">
        <v>137</v>
      </c>
      <c r="J3224" s="80" t="s">
        <v>248</v>
      </c>
      <c r="K3224" s="80" t="s">
        <v>249</v>
      </c>
      <c r="L3224" s="30" t="s">
        <v>191</v>
      </c>
      <c r="M3224" s="68">
        <v>6</v>
      </c>
      <c r="N3224" s="181" t="str">
        <f t="shared" si="51"/>
        <v>да</v>
      </c>
      <c r="O3224" s="23">
        <v>44701</v>
      </c>
      <c r="P3224" s="23">
        <v>44701</v>
      </c>
      <c r="Q3224" s="106" t="s">
        <v>66</v>
      </c>
      <c r="R3224" s="37">
        <v>759</v>
      </c>
      <c r="S3224" s="39" t="s">
        <v>1168</v>
      </c>
      <c r="T3224" s="37">
        <v>814</v>
      </c>
      <c r="U3224" s="39" t="s">
        <v>1223</v>
      </c>
      <c r="V3224" s="89" t="s">
        <v>272</v>
      </c>
      <c r="W3224" s="89" t="s">
        <v>137</v>
      </c>
      <c r="X3224" s="106" t="s">
        <v>297</v>
      </c>
      <c r="Y3224" s="107" t="s">
        <v>18</v>
      </c>
      <c r="Z3224" s="67">
        <f>IF(База_КР_КК[[#This Row],[Таб.номер резервиста]]="-","-",IF(OR(База_КР_КК[[#This Row],[Уровень КК]]=2,База_КР_КК[[#This Row],[Уровень КК]]=3),IF(COUNTIFS($U$2:$U3224,$U3224,$F$2:$F3224,$F3224)=1,1,0),IF(COUNTIFS($U$2:$U3224,$U3224,$L$2:$L3224,$L3224)=1,1,0)))</f>
        <v>0</v>
      </c>
      <c r="AA32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4" s="106" t="s">
        <v>24</v>
      </c>
      <c r="AC3224" s="51">
        <v>44774</v>
      </c>
      <c r="AD3224" s="106" t="s">
        <v>15</v>
      </c>
      <c r="AE3224" s="38" t="s">
        <v>318</v>
      </c>
    </row>
    <row r="3225" spans="1:31" ht="18" customHeight="1" x14ac:dyDescent="0.25">
      <c r="A32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5" s="79">
        <v>4</v>
      </c>
      <c r="C3225" s="23">
        <v>44859</v>
      </c>
      <c r="D3225" s="67">
        <f>IF(COUNTIF($G$2:$G3225,$G3225)=1,1,0)</f>
        <v>1</v>
      </c>
      <c r="E3225" s="67" t="str">
        <f>IFERROR(VLOOKUP(База_КР_КК[[#This Row],[ИД штатной должности (S)]],'уровень защищенности'!$B$7:$F$1095,5,0),"не защищена")</f>
        <v>средний</v>
      </c>
      <c r="F3225" s="68">
        <v>500176</v>
      </c>
      <c r="G3225" s="74" t="s">
        <v>2940</v>
      </c>
      <c r="H3225" s="181">
        <f>INDEX('Списки данных'!$D$2:$D$1048576,MATCH(База_КР_КК[[#This Row],[Структурное подразделение]],'Списки данных'!$C$2:$C$1048576,0))</f>
        <v>7</v>
      </c>
      <c r="I3225" s="80" t="s">
        <v>137</v>
      </c>
      <c r="J3225" s="80" t="s">
        <v>248</v>
      </c>
      <c r="K3225" s="80" t="s">
        <v>249</v>
      </c>
      <c r="L3225" s="30" t="s">
        <v>191</v>
      </c>
      <c r="M3225" s="79">
        <v>6</v>
      </c>
      <c r="N3225" s="181" t="str">
        <f t="shared" si="51"/>
        <v>да</v>
      </c>
      <c r="O3225" s="23">
        <v>44774</v>
      </c>
      <c r="P3225" s="23"/>
      <c r="Q3225" s="106"/>
      <c r="R3225" s="37" t="s">
        <v>23</v>
      </c>
      <c r="S3225" s="37" t="s">
        <v>23</v>
      </c>
      <c r="T3225" s="37">
        <v>762</v>
      </c>
      <c r="U3225" s="38" t="s">
        <v>1171</v>
      </c>
      <c r="V3225" s="89" t="s">
        <v>192</v>
      </c>
      <c r="W3225" s="89" t="s">
        <v>137</v>
      </c>
      <c r="X3225" s="106" t="s">
        <v>297</v>
      </c>
      <c r="Y3225" s="107" t="s">
        <v>12</v>
      </c>
      <c r="Z3225" s="67">
        <f>IF(База_КР_КК[[#This Row],[Таб.номер резервиста]]="-","-",IF(OR(База_КР_КК[[#This Row],[Уровень КК]]=2,База_КР_КК[[#This Row],[Уровень КК]]=3),IF(COUNTIFS($U$2:$U3225,$U3225,$F$2:$F3225,$F3225)=1,1,0),IF(COUNTIFS($U$2:$U3225,$U3225,$L$2:$L3225,$L3225)=1,1,0)))</f>
        <v>1</v>
      </c>
      <c r="AA32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5" s="106"/>
      <c r="AC3225" s="51"/>
      <c r="AD3225" s="106" t="s">
        <v>15</v>
      </c>
      <c r="AE3225" s="38" t="s">
        <v>376</v>
      </c>
    </row>
    <row r="3226" spans="1:31" ht="18" customHeight="1" x14ac:dyDescent="0.25">
      <c r="A32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6" s="79">
        <v>4</v>
      </c>
      <c r="C3226" s="23">
        <v>44125</v>
      </c>
      <c r="D3226" s="67">
        <f>IF(COUNTIF($G$2:$G3226,$G3226)=1,1,0)</f>
        <v>0</v>
      </c>
      <c r="E3226" s="67" t="str">
        <f>IFERROR(VLOOKUP(База_КР_КК[[#This Row],[ИД штатной должности (S)]],'уровень защищенности'!$B$7:$F$1095,5,0),"не защищена")</f>
        <v>средний</v>
      </c>
      <c r="F3226" s="68">
        <v>500176</v>
      </c>
      <c r="G3226" s="74" t="s">
        <v>2940</v>
      </c>
      <c r="H3226" s="181">
        <f>INDEX('Списки данных'!$D$2:$D$1048576,MATCH(База_КР_КК[[#This Row],[Структурное подразделение]],'Списки данных'!$C$2:$C$1048576,0))</f>
        <v>7</v>
      </c>
      <c r="I3226" s="80" t="s">
        <v>137</v>
      </c>
      <c r="J3226" s="80" t="s">
        <v>248</v>
      </c>
      <c r="K3226" s="80" t="s">
        <v>249</v>
      </c>
      <c r="L3226" s="30" t="s">
        <v>191</v>
      </c>
      <c r="M3226" s="79">
        <v>6</v>
      </c>
      <c r="N3226" s="181" t="str">
        <f t="shared" si="51"/>
        <v>да</v>
      </c>
      <c r="O3226" s="23">
        <v>44774</v>
      </c>
      <c r="P3226" s="23"/>
      <c r="Q3226" s="106"/>
      <c r="R3226" s="37" t="s">
        <v>23</v>
      </c>
      <c r="S3226" s="37" t="s">
        <v>23</v>
      </c>
      <c r="T3226" s="37">
        <v>1845</v>
      </c>
      <c r="U3226" s="39" t="s">
        <v>2027</v>
      </c>
      <c r="V3226" s="89" t="s">
        <v>272</v>
      </c>
      <c r="W3226" s="89" t="s">
        <v>137</v>
      </c>
      <c r="X3226" s="106" t="s">
        <v>295</v>
      </c>
      <c r="Y3226" s="107" t="s">
        <v>18</v>
      </c>
      <c r="Z3226" s="67">
        <f>IF(База_КР_КК[[#This Row],[Таб.номер резервиста]]="-","-",IF(OR(База_КР_КК[[#This Row],[Уровень КК]]=2,База_КР_КК[[#This Row],[Уровень КК]]=3),IF(COUNTIFS($U$2:$U3226,$U3226,$F$2:$F3226,$F3226)=1,1,0),IF(COUNTIFS($U$2:$U3226,$U3226,$L$2:$L3226,$L3226)=1,1,0)))</f>
        <v>1</v>
      </c>
      <c r="AA32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6" s="106" t="s">
        <v>38</v>
      </c>
      <c r="AC3226" s="51">
        <v>44859</v>
      </c>
      <c r="AD3226" s="106" t="s">
        <v>31</v>
      </c>
      <c r="AE3226" s="38" t="s">
        <v>376</v>
      </c>
    </row>
    <row r="3227" spans="1:31" ht="18" customHeight="1" x14ac:dyDescent="0.25">
      <c r="A32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7" s="79">
        <v>4</v>
      </c>
      <c r="C3227" s="23">
        <v>44125</v>
      </c>
      <c r="D3227" s="67">
        <f>IF(COUNTIF($G$2:$G3227,$G3227)=1,1,0)</f>
        <v>0</v>
      </c>
      <c r="E3227" s="67" t="str">
        <f>IFERROR(VLOOKUP(База_КР_КК[[#This Row],[ИД штатной должности (S)]],'уровень защищенности'!$B$7:$F$1095,5,0),"не защищена")</f>
        <v>средний</v>
      </c>
      <c r="F3227" s="68">
        <v>500176</v>
      </c>
      <c r="G3227" s="74" t="s">
        <v>2940</v>
      </c>
      <c r="H3227" s="181">
        <f>INDEX('Списки данных'!$D$2:$D$1048576,MATCH(База_КР_КК[[#This Row],[Структурное подразделение]],'Списки данных'!$C$2:$C$1048576,0))</f>
        <v>7</v>
      </c>
      <c r="I3227" s="80" t="s">
        <v>137</v>
      </c>
      <c r="J3227" s="80" t="s">
        <v>248</v>
      </c>
      <c r="K3227" s="80" t="s">
        <v>249</v>
      </c>
      <c r="L3227" s="30" t="s">
        <v>191</v>
      </c>
      <c r="M3227" s="79">
        <v>6</v>
      </c>
      <c r="N3227" s="181" t="str">
        <f t="shared" si="51"/>
        <v>да</v>
      </c>
      <c r="O3227" s="23">
        <v>44774</v>
      </c>
      <c r="P3227" s="23"/>
      <c r="Q3227" s="106"/>
      <c r="R3227" s="37" t="s">
        <v>23</v>
      </c>
      <c r="S3227" s="37" t="s">
        <v>23</v>
      </c>
      <c r="T3227" s="37">
        <v>1846</v>
      </c>
      <c r="U3227" s="39" t="s">
        <v>2049</v>
      </c>
      <c r="V3227" s="69" t="s">
        <v>272</v>
      </c>
      <c r="W3227" s="89" t="s">
        <v>137</v>
      </c>
      <c r="X3227" s="106" t="s">
        <v>297</v>
      </c>
      <c r="Y3227" s="107" t="s">
        <v>18</v>
      </c>
      <c r="Z3227" s="67">
        <f>IF(База_КР_КК[[#This Row],[Таб.номер резервиста]]="-","-",IF(OR(База_КР_КК[[#This Row],[Уровень КК]]=2,База_КР_КК[[#This Row],[Уровень КК]]=3),IF(COUNTIFS($U$2:$U3227,$U3227,$F$2:$F3227,$F3227)=1,1,0),IF(COUNTIFS($U$2:$U3227,$U3227,$L$2:$L3227,$L3227)=1,1,0)))</f>
        <v>0</v>
      </c>
      <c r="AA32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7" s="106" t="s">
        <v>38</v>
      </c>
      <c r="AC3227" s="51">
        <v>44662</v>
      </c>
      <c r="AD3227" s="106" t="s">
        <v>31</v>
      </c>
      <c r="AE3227" s="38" t="s">
        <v>382</v>
      </c>
    </row>
    <row r="3228" spans="1:31" ht="18" customHeight="1" x14ac:dyDescent="0.25">
      <c r="A32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8" s="79">
        <v>4</v>
      </c>
      <c r="C3228" s="23">
        <v>44125</v>
      </c>
      <c r="D3228" s="67">
        <f>IF(COUNTIF($G$2:$G3228,$G3228)=1,1,0)</f>
        <v>0</v>
      </c>
      <c r="E3228" s="67" t="str">
        <f>IFERROR(VLOOKUP(База_КР_КК[[#This Row],[ИД штатной должности (S)]],'уровень защищенности'!$B$7:$F$1095,5,0),"не защищена")</f>
        <v>средний</v>
      </c>
      <c r="F3228" s="68">
        <v>500176</v>
      </c>
      <c r="G3228" s="74" t="s">
        <v>2940</v>
      </c>
      <c r="H3228" s="181">
        <f>INDEX('Списки данных'!$D$2:$D$1048576,MATCH(База_КР_КК[[#This Row],[Структурное подразделение]],'Списки данных'!$C$2:$C$1048576,0))</f>
        <v>7</v>
      </c>
      <c r="I3228" s="80" t="s">
        <v>137</v>
      </c>
      <c r="J3228" s="80" t="s">
        <v>248</v>
      </c>
      <c r="K3228" s="80" t="s">
        <v>249</v>
      </c>
      <c r="L3228" s="30" t="s">
        <v>191</v>
      </c>
      <c r="M3228" s="79">
        <v>6</v>
      </c>
      <c r="N3228" s="181" t="str">
        <f t="shared" si="51"/>
        <v>да</v>
      </c>
      <c r="O3228" s="23">
        <v>44774</v>
      </c>
      <c r="P3228" s="23"/>
      <c r="Q3228" s="106"/>
      <c r="R3228" s="37" t="s">
        <v>23</v>
      </c>
      <c r="S3228" s="37" t="s">
        <v>23</v>
      </c>
      <c r="T3228" s="37">
        <v>1847</v>
      </c>
      <c r="U3228" s="39" t="s">
        <v>1883</v>
      </c>
      <c r="V3228" s="69" t="s">
        <v>272</v>
      </c>
      <c r="W3228" s="89" t="s">
        <v>137</v>
      </c>
      <c r="X3228" s="106" t="s">
        <v>297</v>
      </c>
      <c r="Y3228" s="107" t="s">
        <v>18</v>
      </c>
      <c r="Z3228" s="67">
        <f>IF(База_КР_КК[[#This Row],[Таб.номер резервиста]]="-","-",IF(OR(База_КР_КК[[#This Row],[Уровень КК]]=2,База_КР_КК[[#This Row],[Уровень КК]]=3),IF(COUNTIFS($U$2:$U3228,$U3228,$F$2:$F3228,$F3228)=1,1,0),IF(COUNTIFS($U$2:$U3228,$U3228,$L$2:$L3228,$L3228)=1,1,0)))</f>
        <v>0</v>
      </c>
      <c r="AA32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8" s="106" t="s">
        <v>38</v>
      </c>
      <c r="AC3228" s="51">
        <v>44662</v>
      </c>
      <c r="AD3228" s="106" t="s">
        <v>31</v>
      </c>
      <c r="AE3228" s="38" t="s">
        <v>382</v>
      </c>
    </row>
    <row r="3229" spans="1:31" ht="18" customHeight="1" x14ac:dyDescent="0.25">
      <c r="A32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29" s="79">
        <v>4</v>
      </c>
      <c r="C3229" s="23">
        <v>44469</v>
      </c>
      <c r="D3229" s="67">
        <f>IF(COUNTIF($G$2:$G3229,$G3229)=1,1,0)</f>
        <v>0</v>
      </c>
      <c r="E3229" s="67" t="str">
        <f>IFERROR(VLOOKUP(База_КР_КК[[#This Row],[ИД штатной должности (S)]],'уровень защищенности'!$B$7:$F$1095,5,0),"не защищена")</f>
        <v>средний</v>
      </c>
      <c r="F3229" s="68">
        <v>500176</v>
      </c>
      <c r="G3229" s="74" t="s">
        <v>2940</v>
      </c>
      <c r="H3229" s="181">
        <f>INDEX('Списки данных'!$D$2:$D$1048576,MATCH(База_КР_КК[[#This Row],[Структурное подразделение]],'Списки данных'!$C$2:$C$1048576,0))</f>
        <v>7</v>
      </c>
      <c r="I3229" s="80" t="s">
        <v>137</v>
      </c>
      <c r="J3229" s="80" t="s">
        <v>248</v>
      </c>
      <c r="K3229" s="80" t="s">
        <v>249</v>
      </c>
      <c r="L3229" s="30" t="s">
        <v>191</v>
      </c>
      <c r="M3229" s="68">
        <v>6</v>
      </c>
      <c r="N3229" s="181" t="str">
        <f t="shared" si="51"/>
        <v>да</v>
      </c>
      <c r="O3229" s="23">
        <v>44774</v>
      </c>
      <c r="P3229" s="23"/>
      <c r="Q3229" s="106"/>
      <c r="R3229" s="37" t="s">
        <v>23</v>
      </c>
      <c r="S3229" s="37" t="s">
        <v>23</v>
      </c>
      <c r="T3229" s="37">
        <v>760</v>
      </c>
      <c r="U3229" s="39" t="s">
        <v>1169</v>
      </c>
      <c r="V3229" s="89" t="s">
        <v>192</v>
      </c>
      <c r="W3229" s="89" t="s">
        <v>137</v>
      </c>
      <c r="X3229" s="106" t="s">
        <v>297</v>
      </c>
      <c r="Y3229" s="107" t="s">
        <v>18</v>
      </c>
      <c r="Z3229" s="67">
        <f>IF(База_КР_КК[[#This Row],[Таб.номер резервиста]]="-","-",IF(OR(База_КР_КК[[#This Row],[Уровень КК]]=2,База_КР_КК[[#This Row],[Уровень КК]]=3),IF(COUNTIFS($U$2:$U3229,$U3229,$F$2:$F3229,$F3229)=1,1,0),IF(COUNTIFS($U$2:$U3229,$U3229,$L$2:$L3229,$L3229)=1,1,0)))</f>
        <v>1</v>
      </c>
      <c r="AA32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29" s="106" t="s">
        <v>38</v>
      </c>
      <c r="AC3229" s="51">
        <v>44662</v>
      </c>
      <c r="AD3229" s="106" t="s">
        <v>31</v>
      </c>
      <c r="AE3229" s="38" t="s">
        <v>382</v>
      </c>
    </row>
    <row r="3230" spans="1:31" ht="18" customHeight="1" x14ac:dyDescent="0.25">
      <c r="A32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0" s="79">
        <v>4</v>
      </c>
      <c r="C3230" s="23">
        <v>44469</v>
      </c>
      <c r="D3230" s="67">
        <f>IF(COUNTIF($G$2:$G3230,$G3230)=1,1,0)</f>
        <v>0</v>
      </c>
      <c r="E3230" s="67" t="str">
        <f>IFERROR(VLOOKUP(База_КР_КК[[#This Row],[ИД штатной должности (S)]],'уровень защищенности'!$B$7:$F$1095,5,0),"не защищена")</f>
        <v>средний</v>
      </c>
      <c r="F3230" s="68">
        <v>500176</v>
      </c>
      <c r="G3230" s="74" t="s">
        <v>2940</v>
      </c>
      <c r="H3230" s="181">
        <f>INDEX('Списки данных'!$D$2:$D$1048576,MATCH(База_КР_КК[[#This Row],[Структурное подразделение]],'Списки данных'!$C$2:$C$1048576,0))</f>
        <v>7</v>
      </c>
      <c r="I3230" s="80" t="s">
        <v>137</v>
      </c>
      <c r="J3230" s="80" t="s">
        <v>248</v>
      </c>
      <c r="K3230" s="80" t="s">
        <v>249</v>
      </c>
      <c r="L3230" s="30" t="s">
        <v>191</v>
      </c>
      <c r="M3230" s="68">
        <v>6</v>
      </c>
      <c r="N3230" s="181" t="str">
        <f t="shared" si="51"/>
        <v>да</v>
      </c>
      <c r="O3230" s="23">
        <v>44774</v>
      </c>
      <c r="P3230" s="23"/>
      <c r="Q3230" s="106"/>
      <c r="R3230" s="37" t="s">
        <v>23</v>
      </c>
      <c r="S3230" s="37" t="s">
        <v>23</v>
      </c>
      <c r="T3230" s="37">
        <v>1848</v>
      </c>
      <c r="U3230" s="39" t="s">
        <v>1839</v>
      </c>
      <c r="V3230" s="69" t="s">
        <v>192</v>
      </c>
      <c r="W3230" s="89" t="s">
        <v>137</v>
      </c>
      <c r="X3230" s="106" t="s">
        <v>295</v>
      </c>
      <c r="Y3230" s="107" t="s">
        <v>18</v>
      </c>
      <c r="Z3230" s="67">
        <f>IF(База_КР_КК[[#This Row],[Таб.номер резервиста]]="-","-",IF(OR(База_КР_КК[[#This Row],[Уровень КК]]=2,База_КР_КК[[#This Row],[Уровень КК]]=3),IF(COUNTIFS($U$2:$U3230,$U3230,$F$2:$F3230,$F3230)=1,1,0),IF(COUNTIFS($U$2:$U3230,$U3230,$L$2:$L3230,$L3230)=1,1,0)))</f>
        <v>1</v>
      </c>
      <c r="AA32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0" s="106" t="s">
        <v>38</v>
      </c>
      <c r="AC3230" s="51">
        <v>44662</v>
      </c>
      <c r="AD3230" s="106" t="s">
        <v>31</v>
      </c>
      <c r="AE3230" s="38" t="s">
        <v>382</v>
      </c>
    </row>
    <row r="3231" spans="1:31" ht="18" customHeight="1" x14ac:dyDescent="0.25">
      <c r="A32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1" s="79">
        <v>4</v>
      </c>
      <c r="C3231" s="23">
        <v>44859</v>
      </c>
      <c r="D3231" s="67">
        <f>IF(COUNTIF($G$2:$G3231,$G3231)=1,1,0)</f>
        <v>1</v>
      </c>
      <c r="E3231" s="67" t="str">
        <f>IFERROR(VLOOKUP(База_КР_КК[[#This Row],[ИД штатной должности (S)]],'уровень защищенности'!$B$7:$F$1095,5,0),"не защищена")</f>
        <v>средний</v>
      </c>
      <c r="F3231" s="68">
        <v>500177</v>
      </c>
      <c r="G3231" s="74" t="s">
        <v>2941</v>
      </c>
      <c r="H3231" s="181">
        <f>INDEX('Списки данных'!$D$2:$D$1048576,MATCH(База_КР_КК[[#This Row],[Структурное подразделение]],'Списки данных'!$C$2:$C$1048576,0))</f>
        <v>7</v>
      </c>
      <c r="I3231" s="80" t="s">
        <v>137</v>
      </c>
      <c r="J3231" s="80" t="s">
        <v>248</v>
      </c>
      <c r="K3231" s="80" t="s">
        <v>249</v>
      </c>
      <c r="L3231" s="30" t="s">
        <v>191</v>
      </c>
      <c r="M3231" s="68">
        <v>6</v>
      </c>
      <c r="N3231" s="181" t="str">
        <f t="shared" si="51"/>
        <v>да</v>
      </c>
      <c r="O3231" s="23">
        <v>44440</v>
      </c>
      <c r="P3231" s="23">
        <v>44692</v>
      </c>
      <c r="Q3231" s="106" t="s">
        <v>66</v>
      </c>
      <c r="R3231" s="37">
        <v>760</v>
      </c>
      <c r="S3231" s="39" t="s">
        <v>1169</v>
      </c>
      <c r="T3231" s="37">
        <v>1849</v>
      </c>
      <c r="U3231" s="38" t="s">
        <v>2041</v>
      </c>
      <c r="V3231" s="89" t="s">
        <v>272</v>
      </c>
      <c r="W3231" s="89" t="s">
        <v>137</v>
      </c>
      <c r="X3231" s="106" t="s">
        <v>297</v>
      </c>
      <c r="Y3231" s="107" t="s">
        <v>12</v>
      </c>
      <c r="Z3231" s="67">
        <f>IF(База_КР_КК[[#This Row],[Таб.номер резервиста]]="-","-",IF(OR(База_КР_КК[[#This Row],[Уровень КК]]=2,База_КР_КК[[#This Row],[Уровень КК]]=3),IF(COUNTIFS($U$2:$U3231,$U3231,$F$2:$F3231,$F3231)=1,1,0),IF(COUNTIFS($U$2:$U3231,$U3231,$L$2:$L3231,$L3231)=1,1,0)))</f>
        <v>0</v>
      </c>
      <c r="AA32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1" s="106"/>
      <c r="AC3231" s="51"/>
      <c r="AD3231" s="106" t="s">
        <v>15</v>
      </c>
      <c r="AE3231" s="38" t="s">
        <v>376</v>
      </c>
    </row>
    <row r="3232" spans="1:31" ht="18" customHeight="1" x14ac:dyDescent="0.25">
      <c r="A32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2" s="79">
        <v>4</v>
      </c>
      <c r="C3232" s="23">
        <v>44859</v>
      </c>
      <c r="D3232" s="67">
        <f>IF(COUNTIF($G$2:$G3232,$G3232)=1,1,0)</f>
        <v>0</v>
      </c>
      <c r="E3232" s="67" t="str">
        <f>IFERROR(VLOOKUP(База_КР_КК[[#This Row],[ИД штатной должности (S)]],'уровень защищенности'!$B$7:$F$1095,5,0),"не защищена")</f>
        <v>средний</v>
      </c>
      <c r="F3232" s="68">
        <v>500177</v>
      </c>
      <c r="G3232" s="74" t="s">
        <v>2941</v>
      </c>
      <c r="H3232" s="181">
        <f>INDEX('Списки данных'!$D$2:$D$1048576,MATCH(База_КР_КК[[#This Row],[Структурное подразделение]],'Списки данных'!$C$2:$C$1048576,0))</f>
        <v>7</v>
      </c>
      <c r="I3232" s="80" t="s">
        <v>137</v>
      </c>
      <c r="J3232" s="80" t="s">
        <v>248</v>
      </c>
      <c r="K3232" s="80" t="s">
        <v>249</v>
      </c>
      <c r="L3232" s="30" t="s">
        <v>191</v>
      </c>
      <c r="M3232" s="68">
        <v>6</v>
      </c>
      <c r="N3232" s="181" t="str">
        <f t="shared" si="51"/>
        <v>да</v>
      </c>
      <c r="O3232" s="23">
        <v>44440</v>
      </c>
      <c r="P3232" s="23">
        <v>44692</v>
      </c>
      <c r="Q3232" s="106" t="s">
        <v>66</v>
      </c>
      <c r="R3232" s="37">
        <v>760</v>
      </c>
      <c r="S3232" s="39" t="s">
        <v>1169</v>
      </c>
      <c r="T3232" s="37">
        <v>1850</v>
      </c>
      <c r="U3232" s="38" t="s">
        <v>2059</v>
      </c>
      <c r="V3232" s="89" t="s">
        <v>272</v>
      </c>
      <c r="W3232" s="89" t="s">
        <v>137</v>
      </c>
      <c r="X3232" s="106" t="s">
        <v>296</v>
      </c>
      <c r="Y3232" s="107" t="s">
        <v>12</v>
      </c>
      <c r="Z3232" s="67">
        <f>IF(База_КР_КК[[#This Row],[Таб.номер резервиста]]="-","-",IF(OR(База_КР_КК[[#This Row],[Уровень КК]]=2,База_КР_КК[[#This Row],[Уровень КК]]=3),IF(COUNTIFS($U$2:$U3232,$U3232,$F$2:$F3232,$F3232)=1,1,0),IF(COUNTIFS($U$2:$U3232,$U3232,$L$2:$L3232,$L3232)=1,1,0)))</f>
        <v>1</v>
      </c>
      <c r="AA32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2" s="106"/>
      <c r="AC3232" s="51"/>
      <c r="AD3232" s="106" t="s">
        <v>15</v>
      </c>
      <c r="AE3232" s="38" t="s">
        <v>376</v>
      </c>
    </row>
    <row r="3233" spans="1:31" ht="18" customHeight="1" x14ac:dyDescent="0.25">
      <c r="A32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3" s="79">
        <v>4</v>
      </c>
      <c r="C3233" s="23">
        <v>44859</v>
      </c>
      <c r="D3233" s="67">
        <f>IF(COUNTIF($G$2:$G3233,$G3233)=1,1,0)</f>
        <v>0</v>
      </c>
      <c r="E3233" s="67" t="str">
        <f>IFERROR(VLOOKUP(База_КР_КК[[#This Row],[ИД штатной должности (S)]],'уровень защищенности'!$B$7:$F$1095,5,0),"не защищена")</f>
        <v>средний</v>
      </c>
      <c r="F3233" s="68">
        <v>500177</v>
      </c>
      <c r="G3233" s="74" t="s">
        <v>2941</v>
      </c>
      <c r="H3233" s="181">
        <f>INDEX('Списки данных'!$D$2:$D$1048576,MATCH(База_КР_КК[[#This Row],[Структурное подразделение]],'Списки данных'!$C$2:$C$1048576,0))</f>
        <v>7</v>
      </c>
      <c r="I3233" s="80" t="s">
        <v>137</v>
      </c>
      <c r="J3233" s="80" t="s">
        <v>248</v>
      </c>
      <c r="K3233" s="80" t="s">
        <v>249</v>
      </c>
      <c r="L3233" s="30" t="s">
        <v>191</v>
      </c>
      <c r="M3233" s="68">
        <v>6</v>
      </c>
      <c r="N3233" s="181" t="str">
        <f t="shared" si="51"/>
        <v>да</v>
      </c>
      <c r="O3233" s="23">
        <v>44440</v>
      </c>
      <c r="P3233" s="23">
        <v>44692</v>
      </c>
      <c r="Q3233" s="106" t="s">
        <v>66</v>
      </c>
      <c r="R3233" s="37">
        <v>760</v>
      </c>
      <c r="S3233" s="39" t="s">
        <v>1169</v>
      </c>
      <c r="T3233" s="37">
        <v>1851</v>
      </c>
      <c r="U3233" s="38" t="s">
        <v>2025</v>
      </c>
      <c r="V3233" s="89" t="s">
        <v>272</v>
      </c>
      <c r="W3233" s="89" t="s">
        <v>137</v>
      </c>
      <c r="X3233" s="106" t="s">
        <v>296</v>
      </c>
      <c r="Y3233" s="107" t="s">
        <v>12</v>
      </c>
      <c r="Z3233" s="67">
        <f>IF(База_КР_КК[[#This Row],[Таб.номер резервиста]]="-","-",IF(OR(База_КР_КК[[#This Row],[Уровень КК]]=2,База_КР_КК[[#This Row],[Уровень КК]]=3),IF(COUNTIFS($U$2:$U3233,$U3233,$F$2:$F3233,$F3233)=1,1,0),IF(COUNTIFS($U$2:$U3233,$U3233,$L$2:$L3233,$L3233)=1,1,0)))</f>
        <v>0</v>
      </c>
      <c r="AA32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3" s="106"/>
      <c r="AC3233" s="51"/>
      <c r="AD3233" s="106" t="s">
        <v>15</v>
      </c>
      <c r="AE3233" s="38" t="s">
        <v>376</v>
      </c>
    </row>
    <row r="3234" spans="1:31" ht="18" customHeight="1" x14ac:dyDescent="0.25">
      <c r="A32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4" s="79">
        <v>4</v>
      </c>
      <c r="C3234" s="23">
        <v>44859</v>
      </c>
      <c r="D3234" s="67">
        <f>IF(COUNTIF($G$2:$G3234,$G3234)=1,1,0)</f>
        <v>0</v>
      </c>
      <c r="E3234" s="67" t="str">
        <f>IFERROR(VLOOKUP(База_КР_КК[[#This Row],[ИД штатной должности (S)]],'уровень защищенности'!$B$7:$F$1095,5,0),"не защищена")</f>
        <v>средний</v>
      </c>
      <c r="F3234" s="68">
        <v>500177</v>
      </c>
      <c r="G3234" s="74" t="s">
        <v>2941</v>
      </c>
      <c r="H3234" s="181">
        <f>INDEX('Списки данных'!$D$2:$D$1048576,MATCH(База_КР_КК[[#This Row],[Структурное подразделение]],'Списки данных'!$C$2:$C$1048576,0))</f>
        <v>7</v>
      </c>
      <c r="I3234" s="80" t="s">
        <v>137</v>
      </c>
      <c r="J3234" s="80" t="s">
        <v>248</v>
      </c>
      <c r="K3234" s="80" t="s">
        <v>249</v>
      </c>
      <c r="L3234" s="30" t="s">
        <v>191</v>
      </c>
      <c r="M3234" s="68">
        <v>6</v>
      </c>
      <c r="N3234" s="181" t="str">
        <f t="shared" si="51"/>
        <v>да</v>
      </c>
      <c r="O3234" s="23">
        <v>44440</v>
      </c>
      <c r="P3234" s="23">
        <v>44692</v>
      </c>
      <c r="Q3234" s="106" t="s">
        <v>66</v>
      </c>
      <c r="R3234" s="37">
        <v>760</v>
      </c>
      <c r="S3234" s="39" t="s">
        <v>1169</v>
      </c>
      <c r="T3234" s="37">
        <v>1852</v>
      </c>
      <c r="U3234" s="38" t="s">
        <v>2074</v>
      </c>
      <c r="V3234" s="89" t="s">
        <v>272</v>
      </c>
      <c r="W3234" s="89" t="s">
        <v>137</v>
      </c>
      <c r="X3234" s="106" t="s">
        <v>296</v>
      </c>
      <c r="Y3234" s="107" t="s">
        <v>12</v>
      </c>
      <c r="Z3234" s="67">
        <f>IF(База_КР_КК[[#This Row],[Таб.номер резервиста]]="-","-",IF(OR(База_КР_КК[[#This Row],[Уровень КК]]=2,База_КР_КК[[#This Row],[Уровень КК]]=3),IF(COUNTIFS($U$2:$U3234,$U3234,$F$2:$F3234,$F3234)=1,1,0),IF(COUNTIFS($U$2:$U3234,$U3234,$L$2:$L3234,$L3234)=1,1,0)))</f>
        <v>1</v>
      </c>
      <c r="AA32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4" s="106"/>
      <c r="AC3234" s="51"/>
      <c r="AD3234" s="106" t="s">
        <v>15</v>
      </c>
      <c r="AE3234" s="38" t="s">
        <v>376</v>
      </c>
    </row>
    <row r="3235" spans="1:31" ht="18" customHeight="1" x14ac:dyDescent="0.25">
      <c r="A32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5" s="79">
        <v>4</v>
      </c>
      <c r="C3235" s="23">
        <v>44859</v>
      </c>
      <c r="D3235" s="67">
        <f>IF(COUNTIF($G$2:$G3235,$G3235)=1,1,0)</f>
        <v>0</v>
      </c>
      <c r="E3235" s="67" t="str">
        <f>IFERROR(VLOOKUP(База_КР_КК[[#This Row],[ИД штатной должности (S)]],'уровень защищенности'!$B$7:$F$1095,5,0),"не защищена")</f>
        <v>средний</v>
      </c>
      <c r="F3235" s="68">
        <v>500177</v>
      </c>
      <c r="G3235" s="74" t="s">
        <v>2941</v>
      </c>
      <c r="H3235" s="181">
        <f>INDEX('Списки данных'!$D$2:$D$1048576,MATCH(База_КР_КК[[#This Row],[Структурное подразделение]],'Списки данных'!$C$2:$C$1048576,0))</f>
        <v>7</v>
      </c>
      <c r="I3235" s="80" t="s">
        <v>137</v>
      </c>
      <c r="J3235" s="80" t="s">
        <v>248</v>
      </c>
      <c r="K3235" s="80" t="s">
        <v>249</v>
      </c>
      <c r="L3235" s="30" t="s">
        <v>191</v>
      </c>
      <c r="M3235" s="68">
        <v>6</v>
      </c>
      <c r="N3235" s="181" t="str">
        <f t="shared" si="51"/>
        <v>да</v>
      </c>
      <c r="O3235" s="23">
        <v>44440</v>
      </c>
      <c r="P3235" s="23">
        <v>44692</v>
      </c>
      <c r="Q3235" s="106" t="s">
        <v>66</v>
      </c>
      <c r="R3235" s="37">
        <v>760</v>
      </c>
      <c r="S3235" s="39" t="s">
        <v>1169</v>
      </c>
      <c r="T3235" s="37">
        <v>1853</v>
      </c>
      <c r="U3235" s="38" t="s">
        <v>1582</v>
      </c>
      <c r="V3235" s="89" t="s">
        <v>272</v>
      </c>
      <c r="W3235" s="89" t="s">
        <v>137</v>
      </c>
      <c r="X3235" s="106" t="s">
        <v>296</v>
      </c>
      <c r="Y3235" s="107" t="s">
        <v>12</v>
      </c>
      <c r="Z3235" s="67">
        <f>IF(База_КР_КК[[#This Row],[Таб.номер резервиста]]="-","-",IF(OR(База_КР_КК[[#This Row],[Уровень КК]]=2,База_КР_КК[[#This Row],[Уровень КК]]=3),IF(COUNTIFS($U$2:$U3235,$U3235,$F$2:$F3235,$F3235)=1,1,0),IF(COUNTIFS($U$2:$U3235,$U3235,$L$2:$L3235,$L3235)=1,1,0)))</f>
        <v>0</v>
      </c>
      <c r="AA32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5" s="106"/>
      <c r="AC3235" s="51"/>
      <c r="AD3235" s="106" t="s">
        <v>15</v>
      </c>
      <c r="AE3235" s="38" t="s">
        <v>376</v>
      </c>
    </row>
    <row r="3236" spans="1:31" ht="18" customHeight="1" x14ac:dyDescent="0.25">
      <c r="A32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6" s="79">
        <v>4</v>
      </c>
      <c r="C3236" s="23">
        <v>44859</v>
      </c>
      <c r="D3236" s="67">
        <f>IF(COUNTIF($G$2:$G3236,$G3236)=1,1,0)</f>
        <v>0</v>
      </c>
      <c r="E3236" s="67" t="str">
        <f>IFERROR(VLOOKUP(База_КР_КК[[#This Row],[ИД штатной должности (S)]],'уровень защищенности'!$B$7:$F$1095,5,0),"не защищена")</f>
        <v>средний</v>
      </c>
      <c r="F3236" s="68">
        <v>500177</v>
      </c>
      <c r="G3236" s="74" t="s">
        <v>2941</v>
      </c>
      <c r="H3236" s="181">
        <f>INDEX('Списки данных'!$D$2:$D$1048576,MATCH(База_КР_КК[[#This Row],[Структурное подразделение]],'Списки данных'!$C$2:$C$1048576,0))</f>
        <v>7</v>
      </c>
      <c r="I3236" s="80" t="s">
        <v>137</v>
      </c>
      <c r="J3236" s="80" t="s">
        <v>248</v>
      </c>
      <c r="K3236" s="80" t="s">
        <v>249</v>
      </c>
      <c r="L3236" s="30" t="s">
        <v>191</v>
      </c>
      <c r="M3236" s="68">
        <v>6</v>
      </c>
      <c r="N3236" s="181" t="str">
        <f t="shared" si="51"/>
        <v>да</v>
      </c>
      <c r="O3236" s="23">
        <v>44440</v>
      </c>
      <c r="P3236" s="23">
        <v>44692</v>
      </c>
      <c r="Q3236" s="106" t="s">
        <v>66</v>
      </c>
      <c r="R3236" s="37">
        <v>760</v>
      </c>
      <c r="S3236" s="39" t="s">
        <v>1169</v>
      </c>
      <c r="T3236" s="37">
        <v>1854</v>
      </c>
      <c r="U3236" s="38" t="s">
        <v>2059</v>
      </c>
      <c r="V3236" s="89" t="s">
        <v>272</v>
      </c>
      <c r="W3236" s="89" t="s">
        <v>137</v>
      </c>
      <c r="X3236" s="106" t="s">
        <v>296</v>
      </c>
      <c r="Y3236" s="107" t="s">
        <v>12</v>
      </c>
      <c r="Z3236" s="67">
        <f>IF(База_КР_КК[[#This Row],[Таб.номер резервиста]]="-","-",IF(OR(База_КР_КК[[#This Row],[Уровень КК]]=2,База_КР_КК[[#This Row],[Уровень КК]]=3),IF(COUNTIFS($U$2:$U3236,$U3236,$F$2:$F3236,$F3236)=1,1,0),IF(COUNTIFS($U$2:$U3236,$U3236,$L$2:$L3236,$L3236)=1,1,0)))</f>
        <v>0</v>
      </c>
      <c r="AA32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6" s="106"/>
      <c r="AC3236" s="51"/>
      <c r="AD3236" s="106" t="s">
        <v>15</v>
      </c>
      <c r="AE3236" s="38" t="s">
        <v>376</v>
      </c>
    </row>
    <row r="3237" spans="1:31" ht="18" customHeight="1" x14ac:dyDescent="0.25">
      <c r="A32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7" s="79">
        <v>4</v>
      </c>
      <c r="C3237" s="23">
        <v>44469</v>
      </c>
      <c r="D3237" s="67">
        <f>IF(COUNTIF($G$2:$G3237,$G3237)=1,1,0)</f>
        <v>0</v>
      </c>
      <c r="E3237" s="67" t="str">
        <f>IFERROR(VLOOKUP(База_КР_КК[[#This Row],[ИД штатной должности (S)]],'уровень защищенности'!$B$7:$F$1095,5,0),"не защищена")</f>
        <v>средний</v>
      </c>
      <c r="F3237" s="68">
        <v>500177</v>
      </c>
      <c r="G3237" s="74" t="s">
        <v>2941</v>
      </c>
      <c r="H3237" s="181">
        <f>INDEX('Списки данных'!$D$2:$D$1048576,MATCH(База_КР_КК[[#This Row],[Структурное подразделение]],'Списки данных'!$C$2:$C$1048576,0))</f>
        <v>7</v>
      </c>
      <c r="I3237" s="80" t="s">
        <v>137</v>
      </c>
      <c r="J3237" s="80" t="s">
        <v>248</v>
      </c>
      <c r="K3237" s="80" t="s">
        <v>249</v>
      </c>
      <c r="L3237" s="30" t="s">
        <v>191</v>
      </c>
      <c r="M3237" s="68">
        <v>6</v>
      </c>
      <c r="N3237" s="181" t="str">
        <f t="shared" si="51"/>
        <v>да</v>
      </c>
      <c r="O3237" s="23">
        <v>44440</v>
      </c>
      <c r="P3237" s="23">
        <v>44692</v>
      </c>
      <c r="Q3237" s="106" t="s">
        <v>66</v>
      </c>
      <c r="R3237" s="37">
        <v>760</v>
      </c>
      <c r="S3237" s="38" t="s">
        <v>1169</v>
      </c>
      <c r="T3237" s="37">
        <v>760</v>
      </c>
      <c r="U3237" s="39" t="s">
        <v>1169</v>
      </c>
      <c r="V3237" s="89" t="s">
        <v>192</v>
      </c>
      <c r="W3237" s="89" t="s">
        <v>137</v>
      </c>
      <c r="X3237" s="106" t="s">
        <v>297</v>
      </c>
      <c r="Y3237" s="107" t="s">
        <v>14</v>
      </c>
      <c r="Z3237" s="67">
        <f>IF(База_КР_КК[[#This Row],[Таб.номер резервиста]]="-","-",IF(OR(База_КР_КК[[#This Row],[Уровень КК]]=2,База_КР_КК[[#This Row],[Уровень КК]]=3),IF(COUNTIFS($U$2:$U3237,$U3237,$F$2:$F3237,$F3237)=1,1,0),IF(COUNTIFS($U$2:$U3237,$U3237,$L$2:$L3237,$L3237)=1,1,0)))</f>
        <v>0</v>
      </c>
      <c r="AA32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237" s="106" t="s">
        <v>24</v>
      </c>
      <c r="AC3237" s="51">
        <v>44692</v>
      </c>
      <c r="AD3237" s="106" t="s">
        <v>15</v>
      </c>
      <c r="AE3237" s="38" t="s">
        <v>380</v>
      </c>
    </row>
    <row r="3238" spans="1:31" ht="18" customHeight="1" x14ac:dyDescent="0.25">
      <c r="A32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8" s="79">
        <v>4</v>
      </c>
      <c r="C3238" s="23">
        <v>44125</v>
      </c>
      <c r="D3238" s="67">
        <f>IF(COUNTIF($G$2:$G3238,$G3238)=1,1,0)</f>
        <v>0</v>
      </c>
      <c r="E3238" s="67" t="str">
        <f>IFERROR(VLOOKUP(База_КР_КК[[#This Row],[ИД штатной должности (S)]],'уровень защищенности'!$B$7:$F$1095,5,0),"не защищена")</f>
        <v>средний</v>
      </c>
      <c r="F3238" s="68">
        <v>500177</v>
      </c>
      <c r="G3238" s="74" t="s">
        <v>2941</v>
      </c>
      <c r="H3238" s="181">
        <f>INDEX('Списки данных'!$D$2:$D$1048576,MATCH(База_КР_КК[[#This Row],[Структурное подразделение]],'Списки данных'!$C$2:$C$1048576,0))</f>
        <v>7</v>
      </c>
      <c r="I3238" s="80" t="s">
        <v>137</v>
      </c>
      <c r="J3238" s="80" t="s">
        <v>248</v>
      </c>
      <c r="K3238" s="80" t="s">
        <v>249</v>
      </c>
      <c r="L3238" s="30" t="s">
        <v>191</v>
      </c>
      <c r="M3238" s="68">
        <v>6</v>
      </c>
      <c r="N3238" s="181" t="str">
        <f t="shared" si="51"/>
        <v>да</v>
      </c>
      <c r="O3238" s="23">
        <v>44440</v>
      </c>
      <c r="P3238" s="23">
        <v>44692</v>
      </c>
      <c r="Q3238" s="106" t="s">
        <v>66</v>
      </c>
      <c r="R3238" s="37">
        <v>760</v>
      </c>
      <c r="S3238" s="39" t="s">
        <v>1169</v>
      </c>
      <c r="T3238" s="37">
        <v>762</v>
      </c>
      <c r="U3238" s="38" t="s">
        <v>1171</v>
      </c>
      <c r="V3238" s="89" t="s">
        <v>192</v>
      </c>
      <c r="W3238" s="89" t="s">
        <v>137</v>
      </c>
      <c r="X3238" s="106" t="s">
        <v>295</v>
      </c>
      <c r="Y3238" s="107" t="s">
        <v>14</v>
      </c>
      <c r="Z3238" s="67">
        <f>IF(База_КР_КК[[#This Row],[Таб.номер резервиста]]="-","-",IF(OR(База_КР_КК[[#This Row],[Уровень КК]]=2,База_КР_КК[[#This Row],[Уровень КК]]=3),IF(COUNTIFS($U$2:$U3238,$U3238,$F$2:$F3238,$F3238)=1,1,0),IF(COUNTIFS($U$2:$U3238,$U3238,$L$2:$L3238,$L3238)=1,1,0)))</f>
        <v>0</v>
      </c>
      <c r="AA32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8" s="106" t="s">
        <v>24</v>
      </c>
      <c r="AC3238" s="51">
        <v>44692</v>
      </c>
      <c r="AD3238" s="106" t="s">
        <v>15</v>
      </c>
      <c r="AE3238" s="38" t="s">
        <v>382</v>
      </c>
    </row>
    <row r="3239" spans="1:31" ht="18" customHeight="1" x14ac:dyDescent="0.25">
      <c r="A32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39" s="79">
        <v>4</v>
      </c>
      <c r="C3239" s="23">
        <v>44125</v>
      </c>
      <c r="D3239" s="67">
        <f>IF(COUNTIF($G$2:$G3239,$G3239)=1,1,0)</f>
        <v>0</v>
      </c>
      <c r="E3239" s="67" t="str">
        <f>IFERROR(VLOOKUP(База_КР_КК[[#This Row],[ИД штатной должности (S)]],'уровень защищенности'!$B$7:$F$1095,5,0),"не защищена")</f>
        <v>средний</v>
      </c>
      <c r="F3239" s="68">
        <v>500177</v>
      </c>
      <c r="G3239" s="74" t="s">
        <v>2941</v>
      </c>
      <c r="H3239" s="181">
        <f>INDEX('Списки данных'!$D$2:$D$1048576,MATCH(База_КР_КК[[#This Row],[Структурное подразделение]],'Списки данных'!$C$2:$C$1048576,0))</f>
        <v>7</v>
      </c>
      <c r="I3239" s="80" t="s">
        <v>137</v>
      </c>
      <c r="J3239" s="80" t="s">
        <v>248</v>
      </c>
      <c r="K3239" s="80" t="s">
        <v>249</v>
      </c>
      <c r="L3239" s="30" t="s">
        <v>191</v>
      </c>
      <c r="M3239" s="68">
        <v>6</v>
      </c>
      <c r="N3239" s="181" t="str">
        <f t="shared" si="51"/>
        <v>да</v>
      </c>
      <c r="O3239" s="23">
        <v>44440</v>
      </c>
      <c r="P3239" s="23">
        <v>44692</v>
      </c>
      <c r="Q3239" s="106" t="s">
        <v>66</v>
      </c>
      <c r="R3239" s="37">
        <v>760</v>
      </c>
      <c r="S3239" s="39" t="s">
        <v>1169</v>
      </c>
      <c r="T3239" s="37">
        <v>1847</v>
      </c>
      <c r="U3239" s="39" t="s">
        <v>1883</v>
      </c>
      <c r="V3239" s="89" t="s">
        <v>272</v>
      </c>
      <c r="W3239" s="89" t="s">
        <v>137</v>
      </c>
      <c r="X3239" s="106" t="s">
        <v>297</v>
      </c>
      <c r="Y3239" s="107" t="s">
        <v>18</v>
      </c>
      <c r="Z3239" s="67">
        <f>IF(База_КР_КК[[#This Row],[Таб.номер резервиста]]="-","-",IF(OR(База_КР_КК[[#This Row],[Уровень КК]]=2,База_КР_КК[[#This Row],[Уровень КК]]=3),IF(COUNTIFS($U$2:$U3239,$U3239,$F$2:$F3239,$F3239)=1,1,0),IF(COUNTIFS($U$2:$U3239,$U3239,$L$2:$L3239,$L3239)=1,1,0)))</f>
        <v>0</v>
      </c>
      <c r="AA32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39" s="106" t="s">
        <v>38</v>
      </c>
      <c r="AC3239" s="51">
        <v>44662</v>
      </c>
      <c r="AD3239" s="106" t="s">
        <v>31</v>
      </c>
      <c r="AE3239" s="38" t="s">
        <v>382</v>
      </c>
    </row>
    <row r="3240" spans="1:31" ht="18" customHeight="1" x14ac:dyDescent="0.25">
      <c r="A32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0" s="79">
        <v>4</v>
      </c>
      <c r="C3240" s="23">
        <v>44125</v>
      </c>
      <c r="D3240" s="67">
        <f>IF(COUNTIF($G$2:$G3240,$G3240)=1,1,0)</f>
        <v>0</v>
      </c>
      <c r="E3240" s="67" t="str">
        <f>IFERROR(VLOOKUP(База_КР_КК[[#This Row],[ИД штатной должности (S)]],'уровень защищенности'!$B$7:$F$1095,5,0),"не защищена")</f>
        <v>средний</v>
      </c>
      <c r="F3240" s="68">
        <v>500177</v>
      </c>
      <c r="G3240" s="74" t="s">
        <v>2941</v>
      </c>
      <c r="H3240" s="181">
        <f>INDEX('Списки данных'!$D$2:$D$1048576,MATCH(База_КР_КК[[#This Row],[Структурное подразделение]],'Списки данных'!$C$2:$C$1048576,0))</f>
        <v>7</v>
      </c>
      <c r="I3240" s="80" t="s">
        <v>137</v>
      </c>
      <c r="J3240" s="80" t="s">
        <v>248</v>
      </c>
      <c r="K3240" s="80" t="s">
        <v>249</v>
      </c>
      <c r="L3240" s="30" t="s">
        <v>191</v>
      </c>
      <c r="M3240" s="68">
        <v>6</v>
      </c>
      <c r="N3240" s="181" t="str">
        <f t="shared" si="51"/>
        <v>да</v>
      </c>
      <c r="O3240" s="23">
        <v>44440</v>
      </c>
      <c r="P3240" s="23">
        <v>44692</v>
      </c>
      <c r="Q3240" s="106" t="s">
        <v>66</v>
      </c>
      <c r="R3240" s="37">
        <v>760</v>
      </c>
      <c r="S3240" s="38" t="s">
        <v>1169</v>
      </c>
      <c r="T3240" s="37">
        <v>1845</v>
      </c>
      <c r="U3240" s="39" t="s">
        <v>2027</v>
      </c>
      <c r="V3240" s="69" t="s">
        <v>272</v>
      </c>
      <c r="W3240" s="89" t="s">
        <v>137</v>
      </c>
      <c r="X3240" s="106" t="s">
        <v>295</v>
      </c>
      <c r="Y3240" s="107" t="s">
        <v>18</v>
      </c>
      <c r="Z3240" s="67">
        <f>IF(База_КР_КК[[#This Row],[Таб.номер резервиста]]="-","-",IF(OR(База_КР_КК[[#This Row],[Уровень КК]]=2,База_КР_КК[[#This Row],[Уровень КК]]=3),IF(COUNTIFS($U$2:$U3240,$U3240,$F$2:$F3240,$F3240)=1,1,0),IF(COUNTIFS($U$2:$U3240,$U3240,$L$2:$L3240,$L3240)=1,1,0)))</f>
        <v>0</v>
      </c>
      <c r="AA32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0" s="106" t="s">
        <v>38</v>
      </c>
      <c r="AC3240" s="51">
        <v>44662</v>
      </c>
      <c r="AD3240" s="106" t="s">
        <v>31</v>
      </c>
      <c r="AE3240" s="38" t="s">
        <v>382</v>
      </c>
    </row>
    <row r="3241" spans="1:31" ht="18" customHeight="1" x14ac:dyDescent="0.25">
      <c r="A32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1" s="79">
        <v>4</v>
      </c>
      <c r="C3241" s="23">
        <v>44469</v>
      </c>
      <c r="D3241" s="67">
        <f>IF(COUNTIF($G$2:$G3241,$G3241)=1,1,0)</f>
        <v>0</v>
      </c>
      <c r="E3241" s="67" t="str">
        <f>IFERROR(VLOOKUP(База_КР_КК[[#This Row],[ИД штатной должности (S)]],'уровень защищенности'!$B$7:$F$1095,5,0),"не защищена")</f>
        <v>средний</v>
      </c>
      <c r="F3241" s="68">
        <v>500177</v>
      </c>
      <c r="G3241" s="74" t="s">
        <v>2941</v>
      </c>
      <c r="H3241" s="181">
        <f>INDEX('Списки данных'!$D$2:$D$1048576,MATCH(База_КР_КК[[#This Row],[Структурное подразделение]],'Списки данных'!$C$2:$C$1048576,0))</f>
        <v>7</v>
      </c>
      <c r="I3241" s="80" t="s">
        <v>137</v>
      </c>
      <c r="J3241" s="80" t="s">
        <v>248</v>
      </c>
      <c r="K3241" s="80" t="s">
        <v>249</v>
      </c>
      <c r="L3241" s="30" t="s">
        <v>191</v>
      </c>
      <c r="M3241" s="68">
        <v>6</v>
      </c>
      <c r="N3241" s="181" t="str">
        <f t="shared" si="51"/>
        <v>да</v>
      </c>
      <c r="O3241" s="23">
        <v>44440</v>
      </c>
      <c r="P3241" s="23">
        <v>44692</v>
      </c>
      <c r="Q3241" s="106" t="s">
        <v>66</v>
      </c>
      <c r="R3241" s="37">
        <v>760</v>
      </c>
      <c r="S3241" s="38" t="s">
        <v>1169</v>
      </c>
      <c r="T3241" s="37">
        <v>1848</v>
      </c>
      <c r="U3241" s="39" t="s">
        <v>1839</v>
      </c>
      <c r="V3241" s="69" t="s">
        <v>192</v>
      </c>
      <c r="W3241" s="89" t="s">
        <v>137</v>
      </c>
      <c r="X3241" s="106" t="s">
        <v>295</v>
      </c>
      <c r="Y3241" s="107" t="s">
        <v>18</v>
      </c>
      <c r="Z3241" s="67">
        <f>IF(База_КР_КК[[#This Row],[Таб.номер резервиста]]="-","-",IF(OR(База_КР_КК[[#This Row],[Уровень КК]]=2,База_КР_КК[[#This Row],[Уровень КК]]=3),IF(COUNTIFS($U$2:$U3241,$U3241,$F$2:$F3241,$F3241)=1,1,0),IF(COUNTIFS($U$2:$U3241,$U3241,$L$2:$L3241,$L3241)=1,1,0)))</f>
        <v>0</v>
      </c>
      <c r="AA32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1" s="106" t="s">
        <v>38</v>
      </c>
      <c r="AC3241" s="51">
        <v>44662</v>
      </c>
      <c r="AD3241" s="106" t="s">
        <v>31</v>
      </c>
      <c r="AE3241" s="38" t="s">
        <v>382</v>
      </c>
    </row>
    <row r="3242" spans="1:31" ht="18" customHeight="1" x14ac:dyDescent="0.25">
      <c r="A32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2" s="79">
        <v>4</v>
      </c>
      <c r="C3242" s="23">
        <v>44125</v>
      </c>
      <c r="D3242" s="67">
        <f>IF(COUNTIF($G$2:$G3242,$G3242)=1,1,0)</f>
        <v>0</v>
      </c>
      <c r="E3242" s="67" t="str">
        <f>IFERROR(VLOOKUP(База_КР_КК[[#This Row],[ИД штатной должности (S)]],'уровень защищенности'!$B$7:$F$1095,5,0),"не защищена")</f>
        <v>средний</v>
      </c>
      <c r="F3242" s="68">
        <v>500177</v>
      </c>
      <c r="G3242" s="74" t="s">
        <v>2941</v>
      </c>
      <c r="H3242" s="181">
        <f>INDEX('Списки данных'!$D$2:$D$1048576,MATCH(База_КР_КК[[#This Row],[Структурное подразделение]],'Списки данных'!$C$2:$C$1048576,0))</f>
        <v>7</v>
      </c>
      <c r="I3242" s="80" t="s">
        <v>137</v>
      </c>
      <c r="J3242" s="80" t="s">
        <v>248</v>
      </c>
      <c r="K3242" s="80" t="s">
        <v>249</v>
      </c>
      <c r="L3242" s="30" t="s">
        <v>191</v>
      </c>
      <c r="M3242" s="68">
        <v>6</v>
      </c>
      <c r="N3242" s="181" t="str">
        <f t="shared" si="51"/>
        <v>да</v>
      </c>
      <c r="O3242" s="23">
        <v>44440</v>
      </c>
      <c r="P3242" s="23">
        <v>44692</v>
      </c>
      <c r="Q3242" s="106" t="s">
        <v>66</v>
      </c>
      <c r="R3242" s="37">
        <v>760</v>
      </c>
      <c r="S3242" s="39" t="s">
        <v>1169</v>
      </c>
      <c r="T3242" s="37">
        <v>1846</v>
      </c>
      <c r="U3242" s="39" t="s">
        <v>2049</v>
      </c>
      <c r="V3242" s="89" t="s">
        <v>192</v>
      </c>
      <c r="W3242" s="89" t="s">
        <v>137</v>
      </c>
      <c r="X3242" s="106" t="s">
        <v>297</v>
      </c>
      <c r="Y3242" s="107" t="s">
        <v>18</v>
      </c>
      <c r="Z3242" s="67">
        <f>IF(База_КР_КК[[#This Row],[Таб.номер резервиста]]="-","-",IF(OR(База_КР_КК[[#This Row],[Уровень КК]]=2,База_КР_КК[[#This Row],[Уровень КК]]=3),IF(COUNTIFS($U$2:$U3242,$U3242,$F$2:$F3242,$F3242)=1,1,0),IF(COUNTIFS($U$2:$U3242,$U3242,$L$2:$L3242,$L3242)=1,1,0)))</f>
        <v>0</v>
      </c>
      <c r="AA32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2" s="106" t="s">
        <v>38</v>
      </c>
      <c r="AC3242" s="51">
        <v>44662</v>
      </c>
      <c r="AD3242" s="106" t="s">
        <v>31</v>
      </c>
      <c r="AE3242" s="38" t="s">
        <v>382</v>
      </c>
    </row>
    <row r="3243" spans="1:31" ht="18" customHeight="1" x14ac:dyDescent="0.25">
      <c r="A32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3" s="79">
        <v>4</v>
      </c>
      <c r="C3243" s="23">
        <v>44859</v>
      </c>
      <c r="D3243" s="67">
        <f>IF(COUNTIF($G$2:$G3243,$G3243)=1,1,0)</f>
        <v>1</v>
      </c>
      <c r="E3243" s="67" t="str">
        <f>IFERROR(VLOOKUP(База_КР_КК[[#This Row],[ИД штатной должности (S)]],'уровень защищенности'!$B$7:$F$1095,5,0),"не защищена")</f>
        <v>средний</v>
      </c>
      <c r="F3243" s="68">
        <v>500177</v>
      </c>
      <c r="G3243" s="74" t="s">
        <v>2942</v>
      </c>
      <c r="H3243" s="181">
        <f>INDEX('Списки данных'!$D$2:$D$1048576,MATCH(База_КР_КК[[#This Row],[Структурное подразделение]],'Списки данных'!$C$2:$C$1048576,0))</f>
        <v>7</v>
      </c>
      <c r="I3243" s="80" t="s">
        <v>137</v>
      </c>
      <c r="J3243" s="80" t="s">
        <v>248</v>
      </c>
      <c r="K3243" s="80" t="s">
        <v>249</v>
      </c>
      <c r="L3243" s="30" t="s">
        <v>191</v>
      </c>
      <c r="M3243" s="68">
        <v>6</v>
      </c>
      <c r="N3243" s="181" t="str">
        <f t="shared" si="51"/>
        <v>нет</v>
      </c>
      <c r="O3243" s="23"/>
      <c r="P3243" s="23"/>
      <c r="Q3243" s="106"/>
      <c r="R3243" s="37">
        <v>761</v>
      </c>
      <c r="S3243" s="39" t="s">
        <v>1170</v>
      </c>
      <c r="T3243" s="37">
        <v>1849</v>
      </c>
      <c r="U3243" s="38" t="s">
        <v>2041</v>
      </c>
      <c r="V3243" s="89" t="s">
        <v>272</v>
      </c>
      <c r="W3243" s="89" t="s">
        <v>137</v>
      </c>
      <c r="X3243" s="106" t="s">
        <v>297</v>
      </c>
      <c r="Y3243" s="107" t="s">
        <v>12</v>
      </c>
      <c r="Z3243" s="67">
        <f>IF(База_КР_КК[[#This Row],[Таб.номер резервиста]]="-","-",IF(OR(База_КР_КК[[#This Row],[Уровень КК]]=2,База_КР_КК[[#This Row],[Уровень КК]]=3),IF(COUNTIFS($U$2:$U3243,$U3243,$F$2:$F3243,$F3243)=1,1,0),IF(COUNTIFS($U$2:$U3243,$U3243,$L$2:$L3243,$L3243)=1,1,0)))</f>
        <v>0</v>
      </c>
      <c r="AA32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3" s="106"/>
      <c r="AC3243" s="51"/>
      <c r="AD3243" s="106" t="s">
        <v>15</v>
      </c>
      <c r="AE3243" s="38" t="s">
        <v>376</v>
      </c>
    </row>
    <row r="3244" spans="1:31" ht="18" customHeight="1" x14ac:dyDescent="0.25">
      <c r="A32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4" s="79">
        <v>4</v>
      </c>
      <c r="C3244" s="23">
        <v>44859</v>
      </c>
      <c r="D3244" s="67">
        <f>IF(COUNTIF($G$2:$G3244,$G3244)=1,1,0)</f>
        <v>0</v>
      </c>
      <c r="E3244" s="67" t="str">
        <f>IFERROR(VLOOKUP(База_КР_КК[[#This Row],[ИД штатной должности (S)]],'уровень защищенности'!$B$7:$F$1095,5,0),"не защищена")</f>
        <v>средний</v>
      </c>
      <c r="F3244" s="68">
        <v>500177</v>
      </c>
      <c r="G3244" s="74" t="s">
        <v>2942</v>
      </c>
      <c r="H3244" s="181">
        <f>INDEX('Списки данных'!$D$2:$D$1048576,MATCH(База_КР_КК[[#This Row],[Структурное подразделение]],'Списки данных'!$C$2:$C$1048576,0))</f>
        <v>7</v>
      </c>
      <c r="I3244" s="80" t="s">
        <v>137</v>
      </c>
      <c r="J3244" s="80" t="s">
        <v>248</v>
      </c>
      <c r="K3244" s="80" t="s">
        <v>249</v>
      </c>
      <c r="L3244" s="30" t="s">
        <v>191</v>
      </c>
      <c r="M3244" s="68">
        <v>6</v>
      </c>
      <c r="N3244" s="181" t="str">
        <f t="shared" si="51"/>
        <v>нет</v>
      </c>
      <c r="O3244" s="23"/>
      <c r="P3244" s="23"/>
      <c r="Q3244" s="106"/>
      <c r="R3244" s="37">
        <v>761</v>
      </c>
      <c r="S3244" s="39" t="s">
        <v>1170</v>
      </c>
      <c r="T3244" s="37">
        <v>1850</v>
      </c>
      <c r="U3244" s="38" t="s">
        <v>2059</v>
      </c>
      <c r="V3244" s="89" t="s">
        <v>272</v>
      </c>
      <c r="W3244" s="89" t="s">
        <v>137</v>
      </c>
      <c r="X3244" s="106" t="s">
        <v>296</v>
      </c>
      <c r="Y3244" s="107" t="s">
        <v>12</v>
      </c>
      <c r="Z3244" s="67">
        <f>IF(База_КР_КК[[#This Row],[Таб.номер резервиста]]="-","-",IF(OR(База_КР_КК[[#This Row],[Уровень КК]]=2,База_КР_КК[[#This Row],[Уровень КК]]=3),IF(COUNTIFS($U$2:$U3244,$U3244,$F$2:$F3244,$F3244)=1,1,0),IF(COUNTIFS($U$2:$U3244,$U3244,$L$2:$L3244,$L3244)=1,1,0)))</f>
        <v>0</v>
      </c>
      <c r="AA32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4" s="106"/>
      <c r="AC3244" s="51"/>
      <c r="AD3244" s="106" t="s">
        <v>15</v>
      </c>
      <c r="AE3244" s="38" t="s">
        <v>376</v>
      </c>
    </row>
    <row r="3245" spans="1:31" ht="18" customHeight="1" x14ac:dyDescent="0.25">
      <c r="A32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5" s="79">
        <v>4</v>
      </c>
      <c r="C3245" s="23">
        <v>44859</v>
      </c>
      <c r="D3245" s="67">
        <f>IF(COUNTIF($G$2:$G3245,$G3245)=1,1,0)</f>
        <v>0</v>
      </c>
      <c r="E3245" s="67" t="str">
        <f>IFERROR(VLOOKUP(База_КР_КК[[#This Row],[ИД штатной должности (S)]],'уровень защищенности'!$B$7:$F$1095,5,0),"не защищена")</f>
        <v>средний</v>
      </c>
      <c r="F3245" s="68">
        <v>500177</v>
      </c>
      <c r="G3245" s="74" t="s">
        <v>2942</v>
      </c>
      <c r="H3245" s="181">
        <f>INDEX('Списки данных'!$D$2:$D$1048576,MATCH(База_КР_КК[[#This Row],[Структурное подразделение]],'Списки данных'!$C$2:$C$1048576,0))</f>
        <v>7</v>
      </c>
      <c r="I3245" s="80" t="s">
        <v>137</v>
      </c>
      <c r="J3245" s="80" t="s">
        <v>248</v>
      </c>
      <c r="K3245" s="80" t="s">
        <v>249</v>
      </c>
      <c r="L3245" s="30" t="s">
        <v>191</v>
      </c>
      <c r="M3245" s="68">
        <v>6</v>
      </c>
      <c r="N3245" s="181" t="str">
        <f t="shared" si="51"/>
        <v>нет</v>
      </c>
      <c r="O3245" s="23"/>
      <c r="P3245" s="23"/>
      <c r="Q3245" s="106"/>
      <c r="R3245" s="37">
        <v>761</v>
      </c>
      <c r="S3245" s="39" t="s">
        <v>1170</v>
      </c>
      <c r="T3245" s="37">
        <v>1851</v>
      </c>
      <c r="U3245" s="38" t="s">
        <v>2025</v>
      </c>
      <c r="V3245" s="89" t="s">
        <v>272</v>
      </c>
      <c r="W3245" s="89" t="s">
        <v>137</v>
      </c>
      <c r="X3245" s="106" t="s">
        <v>296</v>
      </c>
      <c r="Y3245" s="107" t="s">
        <v>12</v>
      </c>
      <c r="Z3245" s="67">
        <f>IF(База_КР_КК[[#This Row],[Таб.номер резервиста]]="-","-",IF(OR(База_КР_КК[[#This Row],[Уровень КК]]=2,База_КР_КК[[#This Row],[Уровень КК]]=3),IF(COUNTIFS($U$2:$U3245,$U3245,$F$2:$F3245,$F3245)=1,1,0),IF(COUNTIFS($U$2:$U3245,$U3245,$L$2:$L3245,$L3245)=1,1,0)))</f>
        <v>0</v>
      </c>
      <c r="AA32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5" s="106"/>
      <c r="AC3245" s="51"/>
      <c r="AD3245" s="106" t="s">
        <v>15</v>
      </c>
      <c r="AE3245" s="38" t="s">
        <v>376</v>
      </c>
    </row>
    <row r="3246" spans="1:31" ht="18" customHeight="1" x14ac:dyDescent="0.25">
      <c r="A32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6" s="79">
        <v>4</v>
      </c>
      <c r="C3246" s="23">
        <v>44859</v>
      </c>
      <c r="D3246" s="67">
        <f>IF(COUNTIF($G$2:$G3246,$G3246)=1,1,0)</f>
        <v>0</v>
      </c>
      <c r="E3246" s="67" t="str">
        <f>IFERROR(VLOOKUP(База_КР_КК[[#This Row],[ИД штатной должности (S)]],'уровень защищенности'!$B$7:$F$1095,5,0),"не защищена")</f>
        <v>средний</v>
      </c>
      <c r="F3246" s="68">
        <v>500177</v>
      </c>
      <c r="G3246" s="74" t="s">
        <v>2942</v>
      </c>
      <c r="H3246" s="181">
        <f>INDEX('Списки данных'!$D$2:$D$1048576,MATCH(База_КР_КК[[#This Row],[Структурное подразделение]],'Списки данных'!$C$2:$C$1048576,0))</f>
        <v>7</v>
      </c>
      <c r="I3246" s="80" t="s">
        <v>137</v>
      </c>
      <c r="J3246" s="80" t="s">
        <v>248</v>
      </c>
      <c r="K3246" s="80" t="s">
        <v>249</v>
      </c>
      <c r="L3246" s="30" t="s">
        <v>191</v>
      </c>
      <c r="M3246" s="68">
        <v>6</v>
      </c>
      <c r="N3246" s="181" t="str">
        <f t="shared" si="51"/>
        <v>нет</v>
      </c>
      <c r="O3246" s="23"/>
      <c r="P3246" s="23"/>
      <c r="Q3246" s="106"/>
      <c r="R3246" s="37">
        <v>761</v>
      </c>
      <c r="S3246" s="39" t="s">
        <v>1170</v>
      </c>
      <c r="T3246" s="37">
        <v>1852</v>
      </c>
      <c r="U3246" s="38" t="s">
        <v>2074</v>
      </c>
      <c r="V3246" s="89" t="s">
        <v>272</v>
      </c>
      <c r="W3246" s="89" t="s">
        <v>137</v>
      </c>
      <c r="X3246" s="106" t="s">
        <v>296</v>
      </c>
      <c r="Y3246" s="107" t="s">
        <v>12</v>
      </c>
      <c r="Z3246" s="67">
        <f>IF(База_КР_КК[[#This Row],[Таб.номер резервиста]]="-","-",IF(OR(База_КР_КК[[#This Row],[Уровень КК]]=2,База_КР_КК[[#This Row],[Уровень КК]]=3),IF(COUNTIFS($U$2:$U3246,$U3246,$F$2:$F3246,$F3246)=1,1,0),IF(COUNTIFS($U$2:$U3246,$U3246,$L$2:$L3246,$L3246)=1,1,0)))</f>
        <v>0</v>
      </c>
      <c r="AA32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6" s="106"/>
      <c r="AC3246" s="51"/>
      <c r="AD3246" s="106" t="s">
        <v>15</v>
      </c>
      <c r="AE3246" s="38" t="s">
        <v>376</v>
      </c>
    </row>
    <row r="3247" spans="1:31" ht="18" customHeight="1" x14ac:dyDescent="0.25">
      <c r="A32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7" s="79">
        <v>4</v>
      </c>
      <c r="C3247" s="23">
        <v>44859</v>
      </c>
      <c r="D3247" s="67">
        <f>IF(COUNTIF($G$2:$G3247,$G3247)=1,1,0)</f>
        <v>0</v>
      </c>
      <c r="E3247" s="67" t="str">
        <f>IFERROR(VLOOKUP(База_КР_КК[[#This Row],[ИД штатной должности (S)]],'уровень защищенности'!$B$7:$F$1095,5,0),"не защищена")</f>
        <v>средний</v>
      </c>
      <c r="F3247" s="68">
        <v>500177</v>
      </c>
      <c r="G3247" s="74" t="s">
        <v>2942</v>
      </c>
      <c r="H3247" s="181">
        <f>INDEX('Списки данных'!$D$2:$D$1048576,MATCH(База_КР_КК[[#This Row],[Структурное подразделение]],'Списки данных'!$C$2:$C$1048576,0))</f>
        <v>7</v>
      </c>
      <c r="I3247" s="80" t="s">
        <v>137</v>
      </c>
      <c r="J3247" s="80" t="s">
        <v>248</v>
      </c>
      <c r="K3247" s="80" t="s">
        <v>249</v>
      </c>
      <c r="L3247" s="30" t="s">
        <v>191</v>
      </c>
      <c r="M3247" s="68">
        <v>6</v>
      </c>
      <c r="N3247" s="181" t="str">
        <f t="shared" si="51"/>
        <v>нет</v>
      </c>
      <c r="O3247" s="23"/>
      <c r="P3247" s="23"/>
      <c r="Q3247" s="106"/>
      <c r="R3247" s="37">
        <v>761</v>
      </c>
      <c r="S3247" s="39" t="s">
        <v>1170</v>
      </c>
      <c r="T3247" s="37">
        <v>1853</v>
      </c>
      <c r="U3247" s="38" t="s">
        <v>1582</v>
      </c>
      <c r="V3247" s="89" t="s">
        <v>272</v>
      </c>
      <c r="W3247" s="89" t="s">
        <v>137</v>
      </c>
      <c r="X3247" s="106" t="s">
        <v>296</v>
      </c>
      <c r="Y3247" s="107" t="s">
        <v>12</v>
      </c>
      <c r="Z3247" s="67">
        <f>IF(База_КР_КК[[#This Row],[Таб.номер резервиста]]="-","-",IF(OR(База_КР_КК[[#This Row],[Уровень КК]]=2,База_КР_КК[[#This Row],[Уровень КК]]=3),IF(COUNTIFS($U$2:$U3247,$U3247,$F$2:$F3247,$F3247)=1,1,0),IF(COUNTIFS($U$2:$U3247,$U3247,$L$2:$L3247,$L3247)=1,1,0)))</f>
        <v>0</v>
      </c>
      <c r="AA32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7" s="106"/>
      <c r="AC3247" s="51"/>
      <c r="AD3247" s="106" t="s">
        <v>15</v>
      </c>
      <c r="AE3247" s="38" t="s">
        <v>376</v>
      </c>
    </row>
    <row r="3248" spans="1:31" ht="18" customHeight="1" x14ac:dyDescent="0.25">
      <c r="A32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8" s="79">
        <v>4</v>
      </c>
      <c r="C3248" s="23">
        <v>44859</v>
      </c>
      <c r="D3248" s="67">
        <f>IF(COUNTIF($G$2:$G3248,$G3248)=1,1,0)</f>
        <v>0</v>
      </c>
      <c r="E3248" s="67" t="str">
        <f>IFERROR(VLOOKUP(База_КР_КК[[#This Row],[ИД штатной должности (S)]],'уровень защищенности'!$B$7:$F$1095,5,0),"не защищена")</f>
        <v>средний</v>
      </c>
      <c r="F3248" s="68">
        <v>500177</v>
      </c>
      <c r="G3248" s="74" t="s">
        <v>2942</v>
      </c>
      <c r="H3248" s="181">
        <f>INDEX('Списки данных'!$D$2:$D$1048576,MATCH(База_КР_КК[[#This Row],[Структурное подразделение]],'Списки данных'!$C$2:$C$1048576,0))</f>
        <v>7</v>
      </c>
      <c r="I3248" s="80" t="s">
        <v>137</v>
      </c>
      <c r="J3248" s="80" t="s">
        <v>248</v>
      </c>
      <c r="K3248" s="80" t="s">
        <v>249</v>
      </c>
      <c r="L3248" s="30" t="s">
        <v>191</v>
      </c>
      <c r="M3248" s="68">
        <v>6</v>
      </c>
      <c r="N3248" s="181" t="str">
        <f t="shared" si="51"/>
        <v>нет</v>
      </c>
      <c r="O3248" s="23"/>
      <c r="P3248" s="23"/>
      <c r="Q3248" s="106"/>
      <c r="R3248" s="37">
        <v>761</v>
      </c>
      <c r="S3248" s="39" t="s">
        <v>1170</v>
      </c>
      <c r="T3248" s="37">
        <v>1854</v>
      </c>
      <c r="U3248" s="38" t="s">
        <v>2059</v>
      </c>
      <c r="V3248" s="89" t="s">
        <v>272</v>
      </c>
      <c r="W3248" s="89" t="s">
        <v>137</v>
      </c>
      <c r="X3248" s="106" t="s">
        <v>296</v>
      </c>
      <c r="Y3248" s="107" t="s">
        <v>12</v>
      </c>
      <c r="Z3248" s="67">
        <f>IF(База_КР_КК[[#This Row],[Таб.номер резервиста]]="-","-",IF(OR(База_КР_КК[[#This Row],[Уровень КК]]=2,База_КР_КК[[#This Row],[Уровень КК]]=3),IF(COUNTIFS($U$2:$U3248,$U3248,$F$2:$F3248,$F3248)=1,1,0),IF(COUNTIFS($U$2:$U3248,$U3248,$L$2:$L3248,$L3248)=1,1,0)))</f>
        <v>0</v>
      </c>
      <c r="AA32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8" s="106"/>
      <c r="AC3248" s="51"/>
      <c r="AD3248" s="106" t="s">
        <v>15</v>
      </c>
      <c r="AE3248" s="38" t="s">
        <v>376</v>
      </c>
    </row>
    <row r="3249" spans="1:31" ht="18" customHeight="1" x14ac:dyDescent="0.25">
      <c r="A32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49" s="79">
        <v>4</v>
      </c>
      <c r="C3249" s="23">
        <v>44469</v>
      </c>
      <c r="D3249" s="67">
        <f>IF(COUNTIF($G$2:$G3249,$G3249)=1,1,0)</f>
        <v>0</v>
      </c>
      <c r="E3249" s="67" t="str">
        <f>IFERROR(VLOOKUP(База_КР_КК[[#This Row],[ИД штатной должности (S)]],'уровень защищенности'!$B$7:$F$1095,5,0),"не защищена")</f>
        <v>средний</v>
      </c>
      <c r="F3249" s="68">
        <v>500177</v>
      </c>
      <c r="G3249" s="74" t="s">
        <v>2942</v>
      </c>
      <c r="H3249" s="181">
        <f>INDEX('Списки данных'!$D$2:$D$1048576,MATCH(База_КР_КК[[#This Row],[Структурное подразделение]],'Списки данных'!$C$2:$C$1048576,0))</f>
        <v>7</v>
      </c>
      <c r="I3249" s="80" t="s">
        <v>137</v>
      </c>
      <c r="J3249" s="80" t="s">
        <v>248</v>
      </c>
      <c r="K3249" s="80" t="s">
        <v>249</v>
      </c>
      <c r="L3249" s="30" t="s">
        <v>191</v>
      </c>
      <c r="M3249" s="68">
        <v>6</v>
      </c>
      <c r="N3249" s="181" t="str">
        <f t="shared" si="51"/>
        <v>нет</v>
      </c>
      <c r="O3249" s="23"/>
      <c r="P3249" s="23"/>
      <c r="Q3249" s="106"/>
      <c r="R3249" s="37">
        <v>761</v>
      </c>
      <c r="S3249" s="38" t="s">
        <v>1170</v>
      </c>
      <c r="T3249" s="37">
        <v>760</v>
      </c>
      <c r="U3249" s="39" t="s">
        <v>1169</v>
      </c>
      <c r="V3249" s="89" t="s">
        <v>192</v>
      </c>
      <c r="W3249" s="89" t="s">
        <v>137</v>
      </c>
      <c r="X3249" s="106" t="s">
        <v>297</v>
      </c>
      <c r="Y3249" s="107" t="s">
        <v>14</v>
      </c>
      <c r="Z3249" s="67">
        <f>IF(База_КР_КК[[#This Row],[Таб.номер резервиста]]="-","-",IF(OR(База_КР_КК[[#This Row],[Уровень КК]]=2,База_КР_КК[[#This Row],[Уровень КК]]=3),IF(COUNTIFS($U$2:$U3249,$U3249,$F$2:$F3249,$F3249)=1,1,0),IF(COUNTIFS($U$2:$U3249,$U3249,$L$2:$L3249,$L3249)=1,1,0)))</f>
        <v>0</v>
      </c>
      <c r="AA32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49" s="106" t="s">
        <v>24</v>
      </c>
      <c r="AC3249" s="51">
        <v>44692</v>
      </c>
      <c r="AD3249" s="106" t="s">
        <v>15</v>
      </c>
      <c r="AE3249" s="38" t="s">
        <v>380</v>
      </c>
    </row>
    <row r="3250" spans="1:31" ht="18" customHeight="1" x14ac:dyDescent="0.25">
      <c r="A32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0" s="79">
        <v>4</v>
      </c>
      <c r="C3250" s="23">
        <v>44125</v>
      </c>
      <c r="D3250" s="67">
        <f>IF(COUNTIF($G$2:$G3250,$G3250)=1,1,0)</f>
        <v>0</v>
      </c>
      <c r="E3250" s="67" t="str">
        <f>IFERROR(VLOOKUP(База_КР_КК[[#This Row],[ИД штатной должности (S)]],'уровень защищенности'!$B$7:$F$1095,5,0),"не защищена")</f>
        <v>средний</v>
      </c>
      <c r="F3250" s="68">
        <v>500177</v>
      </c>
      <c r="G3250" s="74" t="s">
        <v>2942</v>
      </c>
      <c r="H3250" s="181">
        <f>INDEX('Списки данных'!$D$2:$D$1048576,MATCH(База_КР_КК[[#This Row],[Структурное подразделение]],'Списки данных'!$C$2:$C$1048576,0))</f>
        <v>7</v>
      </c>
      <c r="I3250" s="80" t="s">
        <v>137</v>
      </c>
      <c r="J3250" s="80" t="s">
        <v>248</v>
      </c>
      <c r="K3250" s="80" t="s">
        <v>249</v>
      </c>
      <c r="L3250" s="30" t="s">
        <v>191</v>
      </c>
      <c r="M3250" s="68">
        <v>6</v>
      </c>
      <c r="N3250" s="181" t="str">
        <f t="shared" si="51"/>
        <v>нет</v>
      </c>
      <c r="O3250" s="25"/>
      <c r="P3250" s="25"/>
      <c r="Q3250" s="106"/>
      <c r="R3250" s="37">
        <v>761</v>
      </c>
      <c r="S3250" s="39" t="s">
        <v>1170</v>
      </c>
      <c r="T3250" s="37">
        <v>762</v>
      </c>
      <c r="U3250" s="38" t="s">
        <v>1171</v>
      </c>
      <c r="V3250" s="89" t="s">
        <v>192</v>
      </c>
      <c r="W3250" s="89" t="s">
        <v>137</v>
      </c>
      <c r="X3250" s="106" t="s">
        <v>295</v>
      </c>
      <c r="Y3250" s="107" t="s">
        <v>14</v>
      </c>
      <c r="Z3250" s="67">
        <f>IF(База_КР_КК[[#This Row],[Таб.номер резервиста]]="-","-",IF(OR(База_КР_КК[[#This Row],[Уровень КК]]=2,База_КР_КК[[#This Row],[Уровень КК]]=3),IF(COUNTIFS($U$2:$U3250,$U3250,$F$2:$F3250,$F3250)=1,1,0),IF(COUNTIFS($U$2:$U3250,$U3250,$L$2:$L3250,$L3250)=1,1,0)))</f>
        <v>0</v>
      </c>
      <c r="AA32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0" s="106" t="s">
        <v>24</v>
      </c>
      <c r="AC3250" s="51">
        <v>44692</v>
      </c>
      <c r="AD3250" s="106" t="s">
        <v>15</v>
      </c>
      <c r="AE3250" s="38" t="s">
        <v>382</v>
      </c>
    </row>
    <row r="3251" spans="1:31" ht="18" customHeight="1" x14ac:dyDescent="0.25">
      <c r="A32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1" s="79">
        <v>4</v>
      </c>
      <c r="C3251" s="23">
        <v>44125</v>
      </c>
      <c r="D3251" s="67">
        <f>IF(COUNTIF($G$2:$G3251,$G3251)=1,1,0)</f>
        <v>0</v>
      </c>
      <c r="E3251" s="67" t="str">
        <f>IFERROR(VLOOKUP(База_КР_КК[[#This Row],[ИД штатной должности (S)]],'уровень защищенности'!$B$7:$F$1095,5,0),"не защищена")</f>
        <v>средний</v>
      </c>
      <c r="F3251" s="68">
        <v>500177</v>
      </c>
      <c r="G3251" s="74" t="s">
        <v>2942</v>
      </c>
      <c r="H3251" s="181">
        <f>INDEX('Списки данных'!$D$2:$D$1048576,MATCH(База_КР_КК[[#This Row],[Структурное подразделение]],'Списки данных'!$C$2:$C$1048576,0))</f>
        <v>7</v>
      </c>
      <c r="I3251" s="80" t="s">
        <v>137</v>
      </c>
      <c r="J3251" s="80" t="s">
        <v>248</v>
      </c>
      <c r="K3251" s="80" t="s">
        <v>249</v>
      </c>
      <c r="L3251" s="30" t="s">
        <v>191</v>
      </c>
      <c r="M3251" s="68">
        <v>6</v>
      </c>
      <c r="N3251" s="181" t="str">
        <f t="shared" si="51"/>
        <v>нет</v>
      </c>
      <c r="O3251" s="23"/>
      <c r="P3251" s="23"/>
      <c r="Q3251" s="106"/>
      <c r="R3251" s="37">
        <v>761</v>
      </c>
      <c r="S3251" s="38" t="s">
        <v>1170</v>
      </c>
      <c r="T3251" s="37">
        <v>1847</v>
      </c>
      <c r="U3251" s="39" t="s">
        <v>1883</v>
      </c>
      <c r="V3251" s="89" t="s">
        <v>272</v>
      </c>
      <c r="W3251" s="89" t="s">
        <v>137</v>
      </c>
      <c r="X3251" s="106" t="s">
        <v>297</v>
      </c>
      <c r="Y3251" s="107" t="s">
        <v>18</v>
      </c>
      <c r="Z3251" s="67">
        <f>IF(База_КР_КК[[#This Row],[Таб.номер резервиста]]="-","-",IF(OR(База_КР_КК[[#This Row],[Уровень КК]]=2,База_КР_КК[[#This Row],[Уровень КК]]=3),IF(COUNTIFS($U$2:$U3251,$U3251,$F$2:$F3251,$F3251)=1,1,0),IF(COUNTIFS($U$2:$U3251,$U3251,$L$2:$L3251,$L3251)=1,1,0)))</f>
        <v>0</v>
      </c>
      <c r="AA32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1" s="106" t="s">
        <v>38</v>
      </c>
      <c r="AC3251" s="51">
        <v>44662</v>
      </c>
      <c r="AD3251" s="106" t="s">
        <v>31</v>
      </c>
      <c r="AE3251" s="38" t="s">
        <v>382</v>
      </c>
    </row>
    <row r="3252" spans="1:31" ht="18" customHeight="1" x14ac:dyDescent="0.25">
      <c r="A32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2" s="79">
        <v>4</v>
      </c>
      <c r="C3252" s="23">
        <v>44125</v>
      </c>
      <c r="D3252" s="67">
        <f>IF(COUNTIF($G$2:$G3252,$G3252)=1,1,0)</f>
        <v>0</v>
      </c>
      <c r="E3252" s="67" t="str">
        <f>IFERROR(VLOOKUP(База_КР_КК[[#This Row],[ИД штатной должности (S)]],'уровень защищенности'!$B$7:$F$1095,5,0),"не защищена")</f>
        <v>средний</v>
      </c>
      <c r="F3252" s="68">
        <v>500177</v>
      </c>
      <c r="G3252" s="74" t="s">
        <v>2942</v>
      </c>
      <c r="H3252" s="181">
        <f>INDEX('Списки данных'!$D$2:$D$1048576,MATCH(База_КР_КК[[#This Row],[Структурное подразделение]],'Списки данных'!$C$2:$C$1048576,0))</f>
        <v>7</v>
      </c>
      <c r="I3252" s="80" t="s">
        <v>137</v>
      </c>
      <c r="J3252" s="80" t="s">
        <v>248</v>
      </c>
      <c r="K3252" s="80" t="s">
        <v>249</v>
      </c>
      <c r="L3252" s="30" t="s">
        <v>191</v>
      </c>
      <c r="M3252" s="68">
        <v>6</v>
      </c>
      <c r="N3252" s="181" t="str">
        <f t="shared" si="51"/>
        <v>нет</v>
      </c>
      <c r="O3252" s="23"/>
      <c r="P3252" s="23"/>
      <c r="Q3252" s="106"/>
      <c r="R3252" s="37">
        <v>761</v>
      </c>
      <c r="S3252" s="38" t="s">
        <v>1170</v>
      </c>
      <c r="T3252" s="37">
        <v>1845</v>
      </c>
      <c r="U3252" s="39" t="s">
        <v>2027</v>
      </c>
      <c r="V3252" s="69" t="s">
        <v>272</v>
      </c>
      <c r="W3252" s="89" t="s">
        <v>137</v>
      </c>
      <c r="X3252" s="106" t="s">
        <v>295</v>
      </c>
      <c r="Y3252" s="107" t="s">
        <v>18</v>
      </c>
      <c r="Z3252" s="67">
        <f>IF(База_КР_КК[[#This Row],[Таб.номер резервиста]]="-","-",IF(OR(База_КР_КК[[#This Row],[Уровень КК]]=2,База_КР_КК[[#This Row],[Уровень КК]]=3),IF(COUNTIFS($U$2:$U3252,$U3252,$F$2:$F3252,$F3252)=1,1,0),IF(COUNTIFS($U$2:$U3252,$U3252,$L$2:$L3252,$L3252)=1,1,0)))</f>
        <v>0</v>
      </c>
      <c r="AA32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2" s="106" t="s">
        <v>38</v>
      </c>
      <c r="AC3252" s="51">
        <v>44662</v>
      </c>
      <c r="AD3252" s="106" t="s">
        <v>31</v>
      </c>
      <c r="AE3252" s="38" t="s">
        <v>382</v>
      </c>
    </row>
    <row r="3253" spans="1:31" ht="18" customHeight="1" x14ac:dyDescent="0.25">
      <c r="A32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3" s="79">
        <v>4</v>
      </c>
      <c r="C3253" s="23">
        <v>44469</v>
      </c>
      <c r="D3253" s="67">
        <f>IF(COUNTIF($G$2:$G3253,$G3253)=1,1,0)</f>
        <v>0</v>
      </c>
      <c r="E3253" s="67" t="str">
        <f>IFERROR(VLOOKUP(База_КР_КК[[#This Row],[ИД штатной должности (S)]],'уровень защищенности'!$B$7:$F$1095,5,0),"не защищена")</f>
        <v>средний</v>
      </c>
      <c r="F3253" s="68">
        <v>500177</v>
      </c>
      <c r="G3253" s="74" t="s">
        <v>2942</v>
      </c>
      <c r="H3253" s="181">
        <f>INDEX('Списки данных'!$D$2:$D$1048576,MATCH(База_КР_КК[[#This Row],[Структурное подразделение]],'Списки данных'!$C$2:$C$1048576,0))</f>
        <v>7</v>
      </c>
      <c r="I3253" s="80" t="s">
        <v>137</v>
      </c>
      <c r="J3253" s="80" t="s">
        <v>248</v>
      </c>
      <c r="K3253" s="80" t="s">
        <v>249</v>
      </c>
      <c r="L3253" s="30" t="s">
        <v>191</v>
      </c>
      <c r="M3253" s="68">
        <v>6</v>
      </c>
      <c r="N3253" s="181" t="str">
        <f t="shared" si="51"/>
        <v>нет</v>
      </c>
      <c r="O3253" s="23"/>
      <c r="P3253" s="23"/>
      <c r="Q3253" s="106"/>
      <c r="R3253" s="37">
        <v>761</v>
      </c>
      <c r="S3253" s="38" t="s">
        <v>1170</v>
      </c>
      <c r="T3253" s="37">
        <v>1848</v>
      </c>
      <c r="U3253" s="39" t="s">
        <v>1839</v>
      </c>
      <c r="V3253" s="69" t="s">
        <v>192</v>
      </c>
      <c r="W3253" s="89" t="s">
        <v>137</v>
      </c>
      <c r="X3253" s="106" t="s">
        <v>295</v>
      </c>
      <c r="Y3253" s="107" t="s">
        <v>18</v>
      </c>
      <c r="Z3253" s="67">
        <f>IF(База_КР_КК[[#This Row],[Таб.номер резервиста]]="-","-",IF(OR(База_КР_КК[[#This Row],[Уровень КК]]=2,База_КР_КК[[#This Row],[Уровень КК]]=3),IF(COUNTIFS($U$2:$U3253,$U3253,$F$2:$F3253,$F3253)=1,1,0),IF(COUNTIFS($U$2:$U3253,$U3253,$L$2:$L3253,$L3253)=1,1,0)))</f>
        <v>0</v>
      </c>
      <c r="AA32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3" s="106" t="s">
        <v>38</v>
      </c>
      <c r="AC3253" s="51">
        <v>44662</v>
      </c>
      <c r="AD3253" s="106" t="s">
        <v>31</v>
      </c>
      <c r="AE3253" s="38" t="s">
        <v>382</v>
      </c>
    </row>
    <row r="3254" spans="1:31" ht="18" customHeight="1" x14ac:dyDescent="0.25">
      <c r="A32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4" s="79">
        <v>4</v>
      </c>
      <c r="C3254" s="23">
        <v>44125</v>
      </c>
      <c r="D3254" s="67">
        <f>IF(COUNTIF($G$2:$G3254,$G3254)=1,1,0)</f>
        <v>0</v>
      </c>
      <c r="E3254" s="67" t="str">
        <f>IFERROR(VLOOKUP(База_КР_КК[[#This Row],[ИД штатной должности (S)]],'уровень защищенности'!$B$7:$F$1095,5,0),"не защищена")</f>
        <v>средний</v>
      </c>
      <c r="F3254" s="68">
        <v>500177</v>
      </c>
      <c r="G3254" s="74" t="s">
        <v>2942</v>
      </c>
      <c r="H3254" s="181">
        <f>INDEX('Списки данных'!$D$2:$D$1048576,MATCH(База_КР_КК[[#This Row],[Структурное подразделение]],'Списки данных'!$C$2:$C$1048576,0))</f>
        <v>7</v>
      </c>
      <c r="I3254" s="80" t="s">
        <v>137</v>
      </c>
      <c r="J3254" s="80" t="s">
        <v>248</v>
      </c>
      <c r="K3254" s="80" t="s">
        <v>249</v>
      </c>
      <c r="L3254" s="30" t="s">
        <v>191</v>
      </c>
      <c r="M3254" s="68">
        <v>6</v>
      </c>
      <c r="N3254" s="181" t="str">
        <f t="shared" si="51"/>
        <v>нет</v>
      </c>
      <c r="O3254" s="23"/>
      <c r="P3254" s="23"/>
      <c r="Q3254" s="106"/>
      <c r="R3254" s="37">
        <v>761</v>
      </c>
      <c r="S3254" s="38" t="s">
        <v>1170</v>
      </c>
      <c r="T3254" s="37">
        <v>1846</v>
      </c>
      <c r="U3254" s="39" t="s">
        <v>2049</v>
      </c>
      <c r="V3254" s="89" t="s">
        <v>192</v>
      </c>
      <c r="W3254" s="89" t="s">
        <v>137</v>
      </c>
      <c r="X3254" s="106" t="s">
        <v>297</v>
      </c>
      <c r="Y3254" s="107" t="s">
        <v>18</v>
      </c>
      <c r="Z3254" s="67">
        <f>IF(База_КР_КК[[#This Row],[Таб.номер резервиста]]="-","-",IF(OR(База_КР_КК[[#This Row],[Уровень КК]]=2,База_КР_КК[[#This Row],[Уровень КК]]=3),IF(COUNTIFS($U$2:$U3254,$U3254,$F$2:$F3254,$F3254)=1,1,0),IF(COUNTIFS($U$2:$U3254,$U3254,$L$2:$L3254,$L3254)=1,1,0)))</f>
        <v>0</v>
      </c>
      <c r="AA32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4" s="106" t="s">
        <v>38</v>
      </c>
      <c r="AC3254" s="51">
        <v>44662</v>
      </c>
      <c r="AD3254" s="106" t="s">
        <v>31</v>
      </c>
      <c r="AE3254" s="38" t="s">
        <v>382</v>
      </c>
    </row>
    <row r="3255" spans="1:31" ht="18" customHeight="1" x14ac:dyDescent="0.25">
      <c r="A32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5" s="79">
        <v>4</v>
      </c>
      <c r="C3255" s="23">
        <v>44859</v>
      </c>
      <c r="D3255" s="67">
        <f>IF(COUNTIF($G$2:$G3255,$G3255)=1,1,0)</f>
        <v>1</v>
      </c>
      <c r="E3255" s="67" t="str">
        <f>IFERROR(VLOOKUP(База_КР_КК[[#This Row],[ИД штатной должности (S)]],'уровень защищенности'!$B$7:$F$1095,5,0),"не защищена")</f>
        <v>средний</v>
      </c>
      <c r="F3255" s="68">
        <v>500177</v>
      </c>
      <c r="G3255" s="74" t="s">
        <v>2943</v>
      </c>
      <c r="H3255" s="181">
        <f>INDEX('Списки данных'!$D$2:$D$1048576,MATCH(База_КР_КК[[#This Row],[Структурное подразделение]],'Списки данных'!$C$2:$C$1048576,0))</f>
        <v>7</v>
      </c>
      <c r="I3255" s="80" t="s">
        <v>137</v>
      </c>
      <c r="J3255" s="80" t="s">
        <v>248</v>
      </c>
      <c r="K3255" s="80" t="s">
        <v>249</v>
      </c>
      <c r="L3255" s="30" t="s">
        <v>191</v>
      </c>
      <c r="M3255" s="68">
        <v>6</v>
      </c>
      <c r="N3255" s="181" t="str">
        <f t="shared" si="51"/>
        <v>да</v>
      </c>
      <c r="O3255" s="23">
        <v>44531</v>
      </c>
      <c r="P3255" s="23">
        <v>44692</v>
      </c>
      <c r="Q3255" s="106" t="s">
        <v>66</v>
      </c>
      <c r="R3255" s="37">
        <v>762</v>
      </c>
      <c r="S3255" s="39" t="s">
        <v>1171</v>
      </c>
      <c r="T3255" s="37">
        <v>1849</v>
      </c>
      <c r="U3255" s="38" t="s">
        <v>2041</v>
      </c>
      <c r="V3255" s="89" t="s">
        <v>272</v>
      </c>
      <c r="W3255" s="89" t="s">
        <v>137</v>
      </c>
      <c r="X3255" s="106" t="s">
        <v>297</v>
      </c>
      <c r="Y3255" s="107" t="s">
        <v>12</v>
      </c>
      <c r="Z3255" s="67">
        <f>IF(База_КР_КК[[#This Row],[Таб.номер резервиста]]="-","-",IF(OR(База_КР_КК[[#This Row],[Уровень КК]]=2,База_КР_КК[[#This Row],[Уровень КК]]=3),IF(COUNTIFS($U$2:$U3255,$U3255,$F$2:$F3255,$F3255)=1,1,0),IF(COUNTIFS($U$2:$U3255,$U3255,$L$2:$L3255,$L3255)=1,1,0)))</f>
        <v>0</v>
      </c>
      <c r="AA32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5" s="106"/>
      <c r="AC3255" s="51"/>
      <c r="AD3255" s="106" t="s">
        <v>15</v>
      </c>
      <c r="AE3255" s="38" t="s">
        <v>376</v>
      </c>
    </row>
    <row r="3256" spans="1:31" ht="18" customHeight="1" x14ac:dyDescent="0.25">
      <c r="A32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6" s="79">
        <v>4</v>
      </c>
      <c r="C3256" s="23">
        <v>44859</v>
      </c>
      <c r="D3256" s="67">
        <f>IF(COUNTIF($G$2:$G3256,$G3256)=1,1,0)</f>
        <v>0</v>
      </c>
      <c r="E3256" s="67" t="str">
        <f>IFERROR(VLOOKUP(База_КР_КК[[#This Row],[ИД штатной должности (S)]],'уровень защищенности'!$B$7:$F$1095,5,0),"не защищена")</f>
        <v>средний</v>
      </c>
      <c r="F3256" s="68">
        <v>500177</v>
      </c>
      <c r="G3256" s="74" t="s">
        <v>2943</v>
      </c>
      <c r="H3256" s="181">
        <f>INDEX('Списки данных'!$D$2:$D$1048576,MATCH(База_КР_КК[[#This Row],[Структурное подразделение]],'Списки данных'!$C$2:$C$1048576,0))</f>
        <v>7</v>
      </c>
      <c r="I3256" s="80" t="s">
        <v>137</v>
      </c>
      <c r="J3256" s="80" t="s">
        <v>248</v>
      </c>
      <c r="K3256" s="80" t="s">
        <v>249</v>
      </c>
      <c r="L3256" s="30" t="s">
        <v>191</v>
      </c>
      <c r="M3256" s="68">
        <v>6</v>
      </c>
      <c r="N3256" s="181" t="str">
        <f t="shared" si="51"/>
        <v>да</v>
      </c>
      <c r="O3256" s="23">
        <v>44531</v>
      </c>
      <c r="P3256" s="23">
        <v>44692</v>
      </c>
      <c r="Q3256" s="106" t="s">
        <v>66</v>
      </c>
      <c r="R3256" s="37">
        <v>762</v>
      </c>
      <c r="S3256" s="39" t="s">
        <v>1171</v>
      </c>
      <c r="T3256" s="37">
        <v>1850</v>
      </c>
      <c r="U3256" s="38" t="s">
        <v>2059</v>
      </c>
      <c r="V3256" s="89" t="s">
        <v>272</v>
      </c>
      <c r="W3256" s="89" t="s">
        <v>137</v>
      </c>
      <c r="X3256" s="106" t="s">
        <v>296</v>
      </c>
      <c r="Y3256" s="107" t="s">
        <v>12</v>
      </c>
      <c r="Z3256" s="67">
        <f>IF(База_КР_КК[[#This Row],[Таб.номер резервиста]]="-","-",IF(OR(База_КР_КК[[#This Row],[Уровень КК]]=2,База_КР_КК[[#This Row],[Уровень КК]]=3),IF(COUNTIFS($U$2:$U3256,$U3256,$F$2:$F3256,$F3256)=1,1,0),IF(COUNTIFS($U$2:$U3256,$U3256,$L$2:$L3256,$L3256)=1,1,0)))</f>
        <v>0</v>
      </c>
      <c r="AA32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6" s="106"/>
      <c r="AC3256" s="51"/>
      <c r="AD3256" s="106" t="s">
        <v>15</v>
      </c>
      <c r="AE3256" s="38" t="s">
        <v>376</v>
      </c>
    </row>
    <row r="3257" spans="1:31" ht="18" customHeight="1" x14ac:dyDescent="0.25">
      <c r="A32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7" s="79">
        <v>4</v>
      </c>
      <c r="C3257" s="23">
        <v>44859</v>
      </c>
      <c r="D3257" s="67">
        <f>IF(COUNTIF($G$2:$G3257,$G3257)=1,1,0)</f>
        <v>0</v>
      </c>
      <c r="E3257" s="67" t="str">
        <f>IFERROR(VLOOKUP(База_КР_КК[[#This Row],[ИД штатной должности (S)]],'уровень защищенности'!$B$7:$F$1095,5,0),"не защищена")</f>
        <v>средний</v>
      </c>
      <c r="F3257" s="68">
        <v>500177</v>
      </c>
      <c r="G3257" s="74" t="s">
        <v>2943</v>
      </c>
      <c r="H3257" s="181">
        <f>INDEX('Списки данных'!$D$2:$D$1048576,MATCH(База_КР_КК[[#This Row],[Структурное подразделение]],'Списки данных'!$C$2:$C$1048576,0))</f>
        <v>7</v>
      </c>
      <c r="I3257" s="80" t="s">
        <v>137</v>
      </c>
      <c r="J3257" s="80" t="s">
        <v>248</v>
      </c>
      <c r="K3257" s="80" t="s">
        <v>249</v>
      </c>
      <c r="L3257" s="30" t="s">
        <v>191</v>
      </c>
      <c r="M3257" s="68">
        <v>6</v>
      </c>
      <c r="N3257" s="181" t="str">
        <f t="shared" si="51"/>
        <v>да</v>
      </c>
      <c r="O3257" s="23">
        <v>44531</v>
      </c>
      <c r="P3257" s="23">
        <v>44692</v>
      </c>
      <c r="Q3257" s="106" t="s">
        <v>66</v>
      </c>
      <c r="R3257" s="37">
        <v>762</v>
      </c>
      <c r="S3257" s="39" t="s">
        <v>1171</v>
      </c>
      <c r="T3257" s="37">
        <v>1851</v>
      </c>
      <c r="U3257" s="38" t="s">
        <v>2025</v>
      </c>
      <c r="V3257" s="89" t="s">
        <v>272</v>
      </c>
      <c r="W3257" s="89" t="s">
        <v>137</v>
      </c>
      <c r="X3257" s="106" t="s">
        <v>296</v>
      </c>
      <c r="Y3257" s="107" t="s">
        <v>12</v>
      </c>
      <c r="Z3257" s="67">
        <f>IF(База_КР_КК[[#This Row],[Таб.номер резервиста]]="-","-",IF(OR(База_КР_КК[[#This Row],[Уровень КК]]=2,База_КР_КК[[#This Row],[Уровень КК]]=3),IF(COUNTIFS($U$2:$U3257,$U3257,$F$2:$F3257,$F3257)=1,1,0),IF(COUNTIFS($U$2:$U3257,$U3257,$L$2:$L3257,$L3257)=1,1,0)))</f>
        <v>0</v>
      </c>
      <c r="AA32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7" s="106"/>
      <c r="AC3257" s="51"/>
      <c r="AD3257" s="106" t="s">
        <v>15</v>
      </c>
      <c r="AE3257" s="38" t="s">
        <v>376</v>
      </c>
    </row>
    <row r="3258" spans="1:31" ht="18" customHeight="1" x14ac:dyDescent="0.25">
      <c r="A32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8" s="79">
        <v>4</v>
      </c>
      <c r="C3258" s="23">
        <v>44859</v>
      </c>
      <c r="D3258" s="67">
        <f>IF(COUNTIF($G$2:$G3258,$G3258)=1,1,0)</f>
        <v>0</v>
      </c>
      <c r="E3258" s="67" t="str">
        <f>IFERROR(VLOOKUP(База_КР_КК[[#This Row],[ИД штатной должности (S)]],'уровень защищенности'!$B$7:$F$1095,5,0),"не защищена")</f>
        <v>средний</v>
      </c>
      <c r="F3258" s="68">
        <v>500177</v>
      </c>
      <c r="G3258" s="74" t="s">
        <v>2943</v>
      </c>
      <c r="H3258" s="181">
        <f>INDEX('Списки данных'!$D$2:$D$1048576,MATCH(База_КР_КК[[#This Row],[Структурное подразделение]],'Списки данных'!$C$2:$C$1048576,0))</f>
        <v>7</v>
      </c>
      <c r="I3258" s="80" t="s">
        <v>137</v>
      </c>
      <c r="J3258" s="80" t="s">
        <v>248</v>
      </c>
      <c r="K3258" s="80" t="s">
        <v>249</v>
      </c>
      <c r="L3258" s="30" t="s">
        <v>191</v>
      </c>
      <c r="M3258" s="68">
        <v>6</v>
      </c>
      <c r="N3258" s="181" t="str">
        <f t="shared" si="51"/>
        <v>да</v>
      </c>
      <c r="O3258" s="23">
        <v>44531</v>
      </c>
      <c r="P3258" s="23">
        <v>44692</v>
      </c>
      <c r="Q3258" s="106" t="s">
        <v>66</v>
      </c>
      <c r="R3258" s="37">
        <v>762</v>
      </c>
      <c r="S3258" s="39" t="s">
        <v>1171</v>
      </c>
      <c r="T3258" s="37">
        <v>1852</v>
      </c>
      <c r="U3258" s="38" t="s">
        <v>2074</v>
      </c>
      <c r="V3258" s="89" t="s">
        <v>272</v>
      </c>
      <c r="W3258" s="89" t="s">
        <v>137</v>
      </c>
      <c r="X3258" s="106" t="s">
        <v>296</v>
      </c>
      <c r="Y3258" s="107" t="s">
        <v>12</v>
      </c>
      <c r="Z3258" s="67">
        <f>IF(База_КР_КК[[#This Row],[Таб.номер резервиста]]="-","-",IF(OR(База_КР_КК[[#This Row],[Уровень КК]]=2,База_КР_КК[[#This Row],[Уровень КК]]=3),IF(COUNTIFS($U$2:$U3258,$U3258,$F$2:$F3258,$F3258)=1,1,0),IF(COUNTIFS($U$2:$U3258,$U3258,$L$2:$L3258,$L3258)=1,1,0)))</f>
        <v>0</v>
      </c>
      <c r="AA32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8" s="106"/>
      <c r="AC3258" s="51"/>
      <c r="AD3258" s="106" t="s">
        <v>15</v>
      </c>
      <c r="AE3258" s="38" t="s">
        <v>376</v>
      </c>
    </row>
    <row r="3259" spans="1:31" ht="18" customHeight="1" x14ac:dyDescent="0.25">
      <c r="A32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59" s="79">
        <v>4</v>
      </c>
      <c r="C3259" s="23">
        <v>44859</v>
      </c>
      <c r="D3259" s="67">
        <f>IF(COUNTIF($G$2:$G3259,$G3259)=1,1,0)</f>
        <v>0</v>
      </c>
      <c r="E3259" s="67" t="str">
        <f>IFERROR(VLOOKUP(База_КР_КК[[#This Row],[ИД штатной должности (S)]],'уровень защищенности'!$B$7:$F$1095,5,0),"не защищена")</f>
        <v>средний</v>
      </c>
      <c r="F3259" s="68">
        <v>500177</v>
      </c>
      <c r="G3259" s="74" t="s">
        <v>2943</v>
      </c>
      <c r="H3259" s="181">
        <f>INDEX('Списки данных'!$D$2:$D$1048576,MATCH(База_КР_КК[[#This Row],[Структурное подразделение]],'Списки данных'!$C$2:$C$1048576,0))</f>
        <v>7</v>
      </c>
      <c r="I3259" s="80" t="s">
        <v>137</v>
      </c>
      <c r="J3259" s="80" t="s">
        <v>248</v>
      </c>
      <c r="K3259" s="80" t="s">
        <v>249</v>
      </c>
      <c r="L3259" s="30" t="s">
        <v>191</v>
      </c>
      <c r="M3259" s="68">
        <v>6</v>
      </c>
      <c r="N3259" s="181" t="str">
        <f t="shared" si="51"/>
        <v>да</v>
      </c>
      <c r="O3259" s="23">
        <v>44531</v>
      </c>
      <c r="P3259" s="23">
        <v>44692</v>
      </c>
      <c r="Q3259" s="106" t="s">
        <v>66</v>
      </c>
      <c r="R3259" s="37">
        <v>762</v>
      </c>
      <c r="S3259" s="39" t="s">
        <v>1171</v>
      </c>
      <c r="T3259" s="37">
        <v>1853</v>
      </c>
      <c r="U3259" s="38" t="s">
        <v>1582</v>
      </c>
      <c r="V3259" s="89" t="s">
        <v>272</v>
      </c>
      <c r="W3259" s="89" t="s">
        <v>137</v>
      </c>
      <c r="X3259" s="106" t="s">
        <v>296</v>
      </c>
      <c r="Y3259" s="107" t="s">
        <v>12</v>
      </c>
      <c r="Z3259" s="67">
        <f>IF(База_КР_КК[[#This Row],[Таб.номер резервиста]]="-","-",IF(OR(База_КР_КК[[#This Row],[Уровень КК]]=2,База_КР_КК[[#This Row],[Уровень КК]]=3),IF(COUNTIFS($U$2:$U3259,$U3259,$F$2:$F3259,$F3259)=1,1,0),IF(COUNTIFS($U$2:$U3259,$U3259,$L$2:$L3259,$L3259)=1,1,0)))</f>
        <v>0</v>
      </c>
      <c r="AA32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59" s="106"/>
      <c r="AC3259" s="51"/>
      <c r="AD3259" s="106" t="s">
        <v>15</v>
      </c>
      <c r="AE3259" s="38" t="s">
        <v>376</v>
      </c>
    </row>
    <row r="3260" spans="1:31" ht="18" customHeight="1" x14ac:dyDescent="0.25">
      <c r="A32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0" s="79">
        <v>4</v>
      </c>
      <c r="C3260" s="23">
        <v>44859</v>
      </c>
      <c r="D3260" s="67">
        <f>IF(COUNTIF($G$2:$G3260,$G3260)=1,1,0)</f>
        <v>0</v>
      </c>
      <c r="E3260" s="67" t="str">
        <f>IFERROR(VLOOKUP(База_КР_КК[[#This Row],[ИД штатной должности (S)]],'уровень защищенности'!$B$7:$F$1095,5,0),"не защищена")</f>
        <v>средний</v>
      </c>
      <c r="F3260" s="68">
        <v>500177</v>
      </c>
      <c r="G3260" s="74" t="s">
        <v>2943</v>
      </c>
      <c r="H3260" s="181">
        <f>INDEX('Списки данных'!$D$2:$D$1048576,MATCH(База_КР_КК[[#This Row],[Структурное подразделение]],'Списки данных'!$C$2:$C$1048576,0))</f>
        <v>7</v>
      </c>
      <c r="I3260" s="80" t="s">
        <v>137</v>
      </c>
      <c r="J3260" s="80" t="s">
        <v>248</v>
      </c>
      <c r="K3260" s="80" t="s">
        <v>249</v>
      </c>
      <c r="L3260" s="30" t="s">
        <v>191</v>
      </c>
      <c r="M3260" s="68">
        <v>6</v>
      </c>
      <c r="N3260" s="181" t="str">
        <f t="shared" si="51"/>
        <v>да</v>
      </c>
      <c r="O3260" s="23">
        <v>44531</v>
      </c>
      <c r="P3260" s="23">
        <v>44692</v>
      </c>
      <c r="Q3260" s="106" t="s">
        <v>66</v>
      </c>
      <c r="R3260" s="37">
        <v>762</v>
      </c>
      <c r="S3260" s="39" t="s">
        <v>1171</v>
      </c>
      <c r="T3260" s="37">
        <v>1854</v>
      </c>
      <c r="U3260" s="38" t="s">
        <v>2059</v>
      </c>
      <c r="V3260" s="89" t="s">
        <v>272</v>
      </c>
      <c r="W3260" s="89" t="s">
        <v>137</v>
      </c>
      <c r="X3260" s="106" t="s">
        <v>296</v>
      </c>
      <c r="Y3260" s="107" t="s">
        <v>12</v>
      </c>
      <c r="Z3260" s="67">
        <f>IF(База_КР_КК[[#This Row],[Таб.номер резервиста]]="-","-",IF(OR(База_КР_КК[[#This Row],[Уровень КК]]=2,База_КР_КК[[#This Row],[Уровень КК]]=3),IF(COUNTIFS($U$2:$U3260,$U3260,$F$2:$F3260,$F3260)=1,1,0),IF(COUNTIFS($U$2:$U3260,$U3260,$L$2:$L3260,$L3260)=1,1,0)))</f>
        <v>0</v>
      </c>
      <c r="AA32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0" s="106"/>
      <c r="AC3260" s="51"/>
      <c r="AD3260" s="106" t="s">
        <v>15</v>
      </c>
      <c r="AE3260" s="38" t="s">
        <v>376</v>
      </c>
    </row>
    <row r="3261" spans="1:31" ht="18" customHeight="1" x14ac:dyDescent="0.25">
      <c r="A32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1" s="79">
        <v>4</v>
      </c>
      <c r="C3261" s="23">
        <v>44469</v>
      </c>
      <c r="D3261" s="67">
        <f>IF(COUNTIF($G$2:$G3261,$G3261)=1,1,0)</f>
        <v>0</v>
      </c>
      <c r="E3261" s="67" t="str">
        <f>IFERROR(VLOOKUP(База_КР_КК[[#This Row],[ИД штатной должности (S)]],'уровень защищенности'!$B$7:$F$1095,5,0),"не защищена")</f>
        <v>средний</v>
      </c>
      <c r="F3261" s="68">
        <v>500177</v>
      </c>
      <c r="G3261" s="74" t="s">
        <v>2943</v>
      </c>
      <c r="H3261" s="181">
        <f>INDEX('Списки данных'!$D$2:$D$1048576,MATCH(База_КР_КК[[#This Row],[Структурное подразделение]],'Списки данных'!$C$2:$C$1048576,0))</f>
        <v>7</v>
      </c>
      <c r="I3261" s="80" t="s">
        <v>137</v>
      </c>
      <c r="J3261" s="80" t="s">
        <v>248</v>
      </c>
      <c r="K3261" s="80" t="s">
        <v>249</v>
      </c>
      <c r="L3261" s="30" t="s">
        <v>191</v>
      </c>
      <c r="M3261" s="68">
        <v>6</v>
      </c>
      <c r="N3261" s="181" t="str">
        <f t="shared" si="51"/>
        <v>да</v>
      </c>
      <c r="O3261" s="23">
        <v>44531</v>
      </c>
      <c r="P3261" s="23">
        <v>44692</v>
      </c>
      <c r="Q3261" s="106" t="s">
        <v>66</v>
      </c>
      <c r="R3261" s="37">
        <v>762</v>
      </c>
      <c r="S3261" s="39" t="s">
        <v>1171</v>
      </c>
      <c r="T3261" s="37">
        <v>760</v>
      </c>
      <c r="U3261" s="39" t="s">
        <v>1169</v>
      </c>
      <c r="V3261" s="89" t="s">
        <v>192</v>
      </c>
      <c r="W3261" s="89" t="s">
        <v>137</v>
      </c>
      <c r="X3261" s="106" t="s">
        <v>297</v>
      </c>
      <c r="Y3261" s="107" t="s">
        <v>14</v>
      </c>
      <c r="Z3261" s="67">
        <f>IF(База_КР_КК[[#This Row],[Таб.номер резервиста]]="-","-",IF(OR(База_КР_КК[[#This Row],[Уровень КК]]=2,База_КР_КК[[#This Row],[Уровень КК]]=3),IF(COUNTIFS($U$2:$U3261,$U3261,$F$2:$F3261,$F3261)=1,1,0),IF(COUNTIFS($U$2:$U3261,$U3261,$L$2:$L3261,$L3261)=1,1,0)))</f>
        <v>0</v>
      </c>
      <c r="AA32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1" s="106" t="s">
        <v>24</v>
      </c>
      <c r="AC3261" s="51">
        <v>44692</v>
      </c>
      <c r="AD3261" s="106" t="s">
        <v>15</v>
      </c>
      <c r="AE3261" s="38" t="s">
        <v>380</v>
      </c>
    </row>
    <row r="3262" spans="1:31" ht="18" customHeight="1" x14ac:dyDescent="0.25">
      <c r="A32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2" s="79">
        <v>4</v>
      </c>
      <c r="C3262" s="23">
        <v>44125</v>
      </c>
      <c r="D3262" s="67">
        <f>IF(COUNTIF($G$2:$G3262,$G3262)=1,1,0)</f>
        <v>0</v>
      </c>
      <c r="E3262" s="67" t="str">
        <f>IFERROR(VLOOKUP(База_КР_КК[[#This Row],[ИД штатной должности (S)]],'уровень защищенности'!$B$7:$F$1095,5,0),"не защищена")</f>
        <v>средний</v>
      </c>
      <c r="F3262" s="68">
        <v>500177</v>
      </c>
      <c r="G3262" s="74" t="s">
        <v>2943</v>
      </c>
      <c r="H3262" s="181">
        <f>INDEX('Списки данных'!$D$2:$D$1048576,MATCH(База_КР_КК[[#This Row],[Структурное подразделение]],'Списки данных'!$C$2:$C$1048576,0))</f>
        <v>7</v>
      </c>
      <c r="I3262" s="80" t="s">
        <v>137</v>
      </c>
      <c r="J3262" s="80" t="s">
        <v>248</v>
      </c>
      <c r="K3262" s="80" t="s">
        <v>249</v>
      </c>
      <c r="L3262" s="30" t="s">
        <v>191</v>
      </c>
      <c r="M3262" s="68">
        <v>6</v>
      </c>
      <c r="N3262" s="181" t="str">
        <f t="shared" si="51"/>
        <v>да</v>
      </c>
      <c r="O3262" s="23">
        <v>44531</v>
      </c>
      <c r="P3262" s="23">
        <v>44692</v>
      </c>
      <c r="Q3262" s="106" t="s">
        <v>66</v>
      </c>
      <c r="R3262" s="37">
        <v>762</v>
      </c>
      <c r="S3262" s="39" t="s">
        <v>1171</v>
      </c>
      <c r="T3262" s="37">
        <v>762</v>
      </c>
      <c r="U3262" s="38" t="s">
        <v>1171</v>
      </c>
      <c r="V3262" s="89" t="s">
        <v>192</v>
      </c>
      <c r="W3262" s="89" t="s">
        <v>137</v>
      </c>
      <c r="X3262" s="106" t="s">
        <v>295</v>
      </c>
      <c r="Y3262" s="107" t="s">
        <v>14</v>
      </c>
      <c r="Z3262" s="67">
        <f>IF(База_КР_КК[[#This Row],[Таб.номер резервиста]]="-","-",IF(OR(База_КР_КК[[#This Row],[Уровень КК]]=2,База_КР_КК[[#This Row],[Уровень КК]]=3),IF(COUNTIFS($U$2:$U3262,$U3262,$F$2:$F3262,$F3262)=1,1,0),IF(COUNTIFS($U$2:$U3262,$U3262,$L$2:$L3262,$L3262)=1,1,0)))</f>
        <v>0</v>
      </c>
      <c r="AA32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262" s="106" t="s">
        <v>24</v>
      </c>
      <c r="AC3262" s="51">
        <v>44692</v>
      </c>
      <c r="AD3262" s="106" t="s">
        <v>15</v>
      </c>
      <c r="AE3262" s="38" t="s">
        <v>382</v>
      </c>
    </row>
    <row r="3263" spans="1:31" ht="18" customHeight="1" x14ac:dyDescent="0.25">
      <c r="A32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3" s="79">
        <v>4</v>
      </c>
      <c r="C3263" s="23">
        <v>44125</v>
      </c>
      <c r="D3263" s="67">
        <f>IF(COUNTIF($G$2:$G3263,$G3263)=1,1,0)</f>
        <v>0</v>
      </c>
      <c r="E3263" s="67" t="str">
        <f>IFERROR(VLOOKUP(База_КР_КК[[#This Row],[ИД штатной должности (S)]],'уровень защищенности'!$B$7:$F$1095,5,0),"не защищена")</f>
        <v>средний</v>
      </c>
      <c r="F3263" s="68">
        <v>500177</v>
      </c>
      <c r="G3263" s="74" t="s">
        <v>2943</v>
      </c>
      <c r="H3263" s="181">
        <f>INDEX('Списки данных'!$D$2:$D$1048576,MATCH(База_КР_КК[[#This Row],[Структурное подразделение]],'Списки данных'!$C$2:$C$1048576,0))</f>
        <v>7</v>
      </c>
      <c r="I3263" s="80" t="s">
        <v>137</v>
      </c>
      <c r="J3263" s="80" t="s">
        <v>248</v>
      </c>
      <c r="K3263" s="80" t="s">
        <v>249</v>
      </c>
      <c r="L3263" s="30" t="s">
        <v>191</v>
      </c>
      <c r="M3263" s="68">
        <v>6</v>
      </c>
      <c r="N3263" s="181" t="str">
        <f t="shared" ref="N3263:N3325" si="52">IF(ISBLANK(O3263),"нет","да")</f>
        <v>да</v>
      </c>
      <c r="O3263" s="23">
        <v>44531</v>
      </c>
      <c r="P3263" s="23">
        <v>44692</v>
      </c>
      <c r="Q3263" s="106" t="s">
        <v>66</v>
      </c>
      <c r="R3263" s="37">
        <v>762</v>
      </c>
      <c r="S3263" s="38" t="s">
        <v>1171</v>
      </c>
      <c r="T3263" s="37">
        <v>1847</v>
      </c>
      <c r="U3263" s="39" t="s">
        <v>1883</v>
      </c>
      <c r="V3263" s="89" t="s">
        <v>272</v>
      </c>
      <c r="W3263" s="89" t="s">
        <v>137</v>
      </c>
      <c r="X3263" s="106" t="s">
        <v>297</v>
      </c>
      <c r="Y3263" s="107" t="s">
        <v>18</v>
      </c>
      <c r="Z3263" s="67">
        <f>IF(База_КР_КК[[#This Row],[Таб.номер резервиста]]="-","-",IF(OR(База_КР_КК[[#This Row],[Уровень КК]]=2,База_КР_КК[[#This Row],[Уровень КК]]=3),IF(COUNTIFS($U$2:$U3263,$U3263,$F$2:$F3263,$F3263)=1,1,0),IF(COUNTIFS($U$2:$U3263,$U3263,$L$2:$L3263,$L3263)=1,1,0)))</f>
        <v>0</v>
      </c>
      <c r="AA32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3" s="106" t="s">
        <v>38</v>
      </c>
      <c r="AC3263" s="51">
        <v>44662</v>
      </c>
      <c r="AD3263" s="106" t="s">
        <v>31</v>
      </c>
      <c r="AE3263" s="38" t="s">
        <v>382</v>
      </c>
    </row>
    <row r="3264" spans="1:31" ht="18" customHeight="1" x14ac:dyDescent="0.25">
      <c r="A32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4" s="79">
        <v>4</v>
      </c>
      <c r="C3264" s="23">
        <v>44125</v>
      </c>
      <c r="D3264" s="67">
        <f>IF(COUNTIF($G$2:$G3264,$G3264)=1,1,0)</f>
        <v>0</v>
      </c>
      <c r="E3264" s="67" t="str">
        <f>IFERROR(VLOOKUP(База_КР_КК[[#This Row],[ИД штатной должности (S)]],'уровень защищенности'!$B$7:$F$1095,5,0),"не защищена")</f>
        <v>средний</v>
      </c>
      <c r="F3264" s="68">
        <v>500177</v>
      </c>
      <c r="G3264" s="74" t="s">
        <v>2943</v>
      </c>
      <c r="H3264" s="181">
        <f>INDEX('Списки данных'!$D$2:$D$1048576,MATCH(База_КР_КК[[#This Row],[Структурное подразделение]],'Списки данных'!$C$2:$C$1048576,0))</f>
        <v>7</v>
      </c>
      <c r="I3264" s="80" t="s">
        <v>137</v>
      </c>
      <c r="J3264" s="80" t="s">
        <v>248</v>
      </c>
      <c r="K3264" s="80" t="s">
        <v>249</v>
      </c>
      <c r="L3264" s="30" t="s">
        <v>191</v>
      </c>
      <c r="M3264" s="68">
        <v>6</v>
      </c>
      <c r="N3264" s="181" t="str">
        <f t="shared" si="52"/>
        <v>да</v>
      </c>
      <c r="O3264" s="23">
        <v>44531</v>
      </c>
      <c r="P3264" s="23">
        <v>44692</v>
      </c>
      <c r="Q3264" s="106" t="s">
        <v>66</v>
      </c>
      <c r="R3264" s="37">
        <v>762</v>
      </c>
      <c r="S3264" s="38" t="s">
        <v>1171</v>
      </c>
      <c r="T3264" s="37">
        <v>1845</v>
      </c>
      <c r="U3264" s="39" t="s">
        <v>2027</v>
      </c>
      <c r="V3264" s="69" t="s">
        <v>272</v>
      </c>
      <c r="W3264" s="89" t="s">
        <v>137</v>
      </c>
      <c r="X3264" s="106" t="s">
        <v>295</v>
      </c>
      <c r="Y3264" s="107" t="s">
        <v>18</v>
      </c>
      <c r="Z3264" s="67">
        <f>IF(База_КР_КК[[#This Row],[Таб.номер резервиста]]="-","-",IF(OR(База_КР_КК[[#This Row],[Уровень КК]]=2,База_КР_КК[[#This Row],[Уровень КК]]=3),IF(COUNTIFS($U$2:$U3264,$U3264,$F$2:$F3264,$F3264)=1,1,0),IF(COUNTIFS($U$2:$U3264,$U3264,$L$2:$L3264,$L3264)=1,1,0)))</f>
        <v>0</v>
      </c>
      <c r="AA32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4" s="106" t="s">
        <v>38</v>
      </c>
      <c r="AC3264" s="51">
        <v>44662</v>
      </c>
      <c r="AD3264" s="106" t="s">
        <v>31</v>
      </c>
      <c r="AE3264" s="38" t="s">
        <v>382</v>
      </c>
    </row>
    <row r="3265" spans="1:31" ht="18" customHeight="1" x14ac:dyDescent="0.25">
      <c r="A32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5" s="79">
        <v>4</v>
      </c>
      <c r="C3265" s="23">
        <v>44125</v>
      </c>
      <c r="D3265" s="67">
        <f>IF(COUNTIF($G$2:$G3265,$G3265)=1,1,0)</f>
        <v>0</v>
      </c>
      <c r="E3265" s="67" t="str">
        <f>IFERROR(VLOOKUP(База_КР_КК[[#This Row],[ИД штатной должности (S)]],'уровень защищенности'!$B$7:$F$1095,5,0),"не защищена")</f>
        <v>средний</v>
      </c>
      <c r="F3265" s="68">
        <v>500177</v>
      </c>
      <c r="G3265" s="74" t="s">
        <v>2943</v>
      </c>
      <c r="H3265" s="181">
        <f>INDEX('Списки данных'!$D$2:$D$1048576,MATCH(База_КР_КК[[#This Row],[Структурное подразделение]],'Списки данных'!$C$2:$C$1048576,0))</f>
        <v>7</v>
      </c>
      <c r="I3265" s="80" t="s">
        <v>137</v>
      </c>
      <c r="J3265" s="80" t="s">
        <v>248</v>
      </c>
      <c r="K3265" s="80" t="s">
        <v>249</v>
      </c>
      <c r="L3265" s="30" t="s">
        <v>191</v>
      </c>
      <c r="M3265" s="68">
        <v>6</v>
      </c>
      <c r="N3265" s="181" t="str">
        <f t="shared" si="52"/>
        <v>да</v>
      </c>
      <c r="O3265" s="23">
        <v>44531</v>
      </c>
      <c r="P3265" s="23">
        <v>44692</v>
      </c>
      <c r="Q3265" s="106" t="s">
        <v>66</v>
      </c>
      <c r="R3265" s="37">
        <v>762</v>
      </c>
      <c r="S3265" s="38" t="s">
        <v>1171</v>
      </c>
      <c r="T3265" s="37">
        <v>1846</v>
      </c>
      <c r="U3265" s="39" t="s">
        <v>2049</v>
      </c>
      <c r="V3265" s="89" t="s">
        <v>192</v>
      </c>
      <c r="W3265" s="89" t="s">
        <v>137</v>
      </c>
      <c r="X3265" s="106" t="s">
        <v>297</v>
      </c>
      <c r="Y3265" s="107" t="s">
        <v>18</v>
      </c>
      <c r="Z3265" s="67">
        <f>IF(База_КР_КК[[#This Row],[Таб.номер резервиста]]="-","-",IF(OR(База_КР_КК[[#This Row],[Уровень КК]]=2,База_КР_КК[[#This Row],[Уровень КК]]=3),IF(COUNTIFS($U$2:$U3265,$U3265,$F$2:$F3265,$F3265)=1,1,0),IF(COUNTIFS($U$2:$U3265,$U3265,$L$2:$L3265,$L3265)=1,1,0)))</f>
        <v>0</v>
      </c>
      <c r="AA32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5" s="106" t="s">
        <v>38</v>
      </c>
      <c r="AC3265" s="51">
        <v>44662</v>
      </c>
      <c r="AD3265" s="106" t="s">
        <v>31</v>
      </c>
      <c r="AE3265" s="38" t="s">
        <v>382</v>
      </c>
    </row>
    <row r="3266" spans="1:31" ht="18" customHeight="1" x14ac:dyDescent="0.25">
      <c r="A32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6" s="79">
        <v>4</v>
      </c>
      <c r="C3266" s="23">
        <v>44469</v>
      </c>
      <c r="D3266" s="67">
        <f>IF(COUNTIF($G$2:$G3266,$G3266)=1,1,0)</f>
        <v>0</v>
      </c>
      <c r="E3266" s="67" t="str">
        <f>IFERROR(VLOOKUP(База_КР_КК[[#This Row],[ИД штатной должности (S)]],'уровень защищенности'!$B$7:$F$1095,5,0),"не защищена")</f>
        <v>средний</v>
      </c>
      <c r="F3266" s="68">
        <v>500177</v>
      </c>
      <c r="G3266" s="74" t="s">
        <v>2943</v>
      </c>
      <c r="H3266" s="181">
        <f>INDEX('Списки данных'!$D$2:$D$1048576,MATCH(База_КР_КК[[#This Row],[Структурное подразделение]],'Списки данных'!$C$2:$C$1048576,0))</f>
        <v>7</v>
      </c>
      <c r="I3266" s="80" t="s">
        <v>137</v>
      </c>
      <c r="J3266" s="80" t="s">
        <v>248</v>
      </c>
      <c r="K3266" s="80" t="s">
        <v>249</v>
      </c>
      <c r="L3266" s="30" t="s">
        <v>191</v>
      </c>
      <c r="M3266" s="68">
        <v>6</v>
      </c>
      <c r="N3266" s="181" t="str">
        <f t="shared" si="52"/>
        <v>да</v>
      </c>
      <c r="O3266" s="23">
        <v>44531</v>
      </c>
      <c r="P3266" s="23">
        <v>44692</v>
      </c>
      <c r="Q3266" s="106" t="s">
        <v>66</v>
      </c>
      <c r="R3266" s="37">
        <v>762</v>
      </c>
      <c r="S3266" s="39" t="s">
        <v>1171</v>
      </c>
      <c r="T3266" s="37">
        <v>1848</v>
      </c>
      <c r="U3266" s="39" t="s">
        <v>1839</v>
      </c>
      <c r="V3266" s="69" t="s">
        <v>192</v>
      </c>
      <c r="W3266" s="89" t="s">
        <v>137</v>
      </c>
      <c r="X3266" s="106" t="s">
        <v>295</v>
      </c>
      <c r="Y3266" s="107" t="s">
        <v>18</v>
      </c>
      <c r="Z3266" s="67">
        <f>IF(База_КР_КК[[#This Row],[Таб.номер резервиста]]="-","-",IF(OR(База_КР_КК[[#This Row],[Уровень КК]]=2,База_КР_КК[[#This Row],[Уровень КК]]=3),IF(COUNTIFS($U$2:$U3266,$U3266,$F$2:$F3266,$F3266)=1,1,0),IF(COUNTIFS($U$2:$U3266,$U3266,$L$2:$L3266,$L3266)=1,1,0)))</f>
        <v>0</v>
      </c>
      <c r="AA32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6" s="106" t="s">
        <v>38</v>
      </c>
      <c r="AC3266" s="51">
        <v>44662</v>
      </c>
      <c r="AD3266" s="106" t="s">
        <v>31</v>
      </c>
      <c r="AE3266" s="38" t="s">
        <v>382</v>
      </c>
    </row>
    <row r="3267" spans="1:31" ht="18" customHeight="1" x14ac:dyDescent="0.25">
      <c r="A32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7" s="79">
        <v>4</v>
      </c>
      <c r="C3267" s="23">
        <v>44859</v>
      </c>
      <c r="D3267" s="67">
        <f>IF(COUNTIF($G$2:$G3267,$G3267)=1,1,0)</f>
        <v>1</v>
      </c>
      <c r="E3267" s="67" t="str">
        <f>IFERROR(VLOOKUP(База_КР_КК[[#This Row],[ИД штатной должности (S)]],'уровень защищенности'!$B$7:$F$1095,5,0),"не защищена")</f>
        <v>средний</v>
      </c>
      <c r="F3267" s="68">
        <v>500177</v>
      </c>
      <c r="G3267" s="74" t="s">
        <v>2944</v>
      </c>
      <c r="H3267" s="181">
        <f>INDEX('Списки данных'!$D$2:$D$1048576,MATCH(База_КР_КК[[#This Row],[Структурное подразделение]],'Списки данных'!$C$2:$C$1048576,0))</f>
        <v>7</v>
      </c>
      <c r="I3267" s="80" t="s">
        <v>137</v>
      </c>
      <c r="J3267" s="80" t="s">
        <v>248</v>
      </c>
      <c r="K3267" s="80" t="s">
        <v>249</v>
      </c>
      <c r="L3267" s="30" t="s">
        <v>191</v>
      </c>
      <c r="M3267" s="68">
        <v>6</v>
      </c>
      <c r="N3267" s="181" t="str">
        <f t="shared" si="52"/>
        <v>да</v>
      </c>
      <c r="O3267" s="23">
        <v>44155</v>
      </c>
      <c r="P3267" s="23">
        <v>44277</v>
      </c>
      <c r="Q3267" s="106" t="s">
        <v>57</v>
      </c>
      <c r="R3267" s="37">
        <v>763</v>
      </c>
      <c r="S3267" s="39" t="s">
        <v>1172</v>
      </c>
      <c r="T3267" s="37">
        <v>1849</v>
      </c>
      <c r="U3267" s="38" t="s">
        <v>2041</v>
      </c>
      <c r="V3267" s="89" t="s">
        <v>272</v>
      </c>
      <c r="W3267" s="89" t="s">
        <v>137</v>
      </c>
      <c r="X3267" s="106" t="s">
        <v>297</v>
      </c>
      <c r="Y3267" s="107" t="s">
        <v>12</v>
      </c>
      <c r="Z3267" s="67">
        <f>IF(База_КР_КК[[#This Row],[Таб.номер резервиста]]="-","-",IF(OR(База_КР_КК[[#This Row],[Уровень КК]]=2,База_КР_КК[[#This Row],[Уровень КК]]=3),IF(COUNTIFS($U$2:$U3267,$U3267,$F$2:$F3267,$F3267)=1,1,0),IF(COUNTIFS($U$2:$U3267,$U3267,$L$2:$L3267,$L3267)=1,1,0)))</f>
        <v>0</v>
      </c>
      <c r="AA32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7" s="106"/>
      <c r="AC3267" s="51"/>
      <c r="AD3267" s="106" t="s">
        <v>15</v>
      </c>
      <c r="AE3267" s="38" t="s">
        <v>376</v>
      </c>
    </row>
    <row r="3268" spans="1:31" ht="18" customHeight="1" x14ac:dyDescent="0.25">
      <c r="A32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8" s="79">
        <v>4</v>
      </c>
      <c r="C3268" s="23">
        <v>44859</v>
      </c>
      <c r="D3268" s="67">
        <f>IF(COUNTIF($G$2:$G3268,$G3268)=1,1,0)</f>
        <v>0</v>
      </c>
      <c r="E3268" s="67" t="str">
        <f>IFERROR(VLOOKUP(База_КР_КК[[#This Row],[ИД штатной должности (S)]],'уровень защищенности'!$B$7:$F$1095,5,0),"не защищена")</f>
        <v>средний</v>
      </c>
      <c r="F3268" s="68">
        <v>500177</v>
      </c>
      <c r="G3268" s="74" t="s">
        <v>2944</v>
      </c>
      <c r="H3268" s="181">
        <f>INDEX('Списки данных'!$D$2:$D$1048576,MATCH(База_КР_КК[[#This Row],[Структурное подразделение]],'Списки данных'!$C$2:$C$1048576,0))</f>
        <v>7</v>
      </c>
      <c r="I3268" s="80" t="s">
        <v>137</v>
      </c>
      <c r="J3268" s="80" t="s">
        <v>248</v>
      </c>
      <c r="K3268" s="80" t="s">
        <v>249</v>
      </c>
      <c r="L3268" s="30" t="s">
        <v>191</v>
      </c>
      <c r="M3268" s="68">
        <v>6</v>
      </c>
      <c r="N3268" s="181" t="str">
        <f t="shared" si="52"/>
        <v>да</v>
      </c>
      <c r="O3268" s="23">
        <v>44155</v>
      </c>
      <c r="P3268" s="23">
        <v>44277</v>
      </c>
      <c r="Q3268" s="106" t="s">
        <v>57</v>
      </c>
      <c r="R3268" s="37">
        <v>763</v>
      </c>
      <c r="S3268" s="39" t="s">
        <v>1172</v>
      </c>
      <c r="T3268" s="37">
        <v>1850</v>
      </c>
      <c r="U3268" s="38" t="s">
        <v>2059</v>
      </c>
      <c r="V3268" s="89" t="s">
        <v>272</v>
      </c>
      <c r="W3268" s="89" t="s">
        <v>137</v>
      </c>
      <c r="X3268" s="106" t="s">
        <v>296</v>
      </c>
      <c r="Y3268" s="107" t="s">
        <v>12</v>
      </c>
      <c r="Z3268" s="67">
        <f>IF(База_КР_КК[[#This Row],[Таб.номер резервиста]]="-","-",IF(OR(База_КР_КК[[#This Row],[Уровень КК]]=2,База_КР_КК[[#This Row],[Уровень КК]]=3),IF(COUNTIFS($U$2:$U3268,$U3268,$F$2:$F3268,$F3268)=1,1,0),IF(COUNTIFS($U$2:$U3268,$U3268,$L$2:$L3268,$L3268)=1,1,0)))</f>
        <v>0</v>
      </c>
      <c r="AA32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8" s="106"/>
      <c r="AC3268" s="51"/>
      <c r="AD3268" s="106" t="s">
        <v>15</v>
      </c>
      <c r="AE3268" s="38" t="s">
        <v>376</v>
      </c>
    </row>
    <row r="3269" spans="1:31" ht="18" customHeight="1" x14ac:dyDescent="0.25">
      <c r="A32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69" s="79">
        <v>4</v>
      </c>
      <c r="C3269" s="23">
        <v>44859</v>
      </c>
      <c r="D3269" s="67">
        <f>IF(COUNTIF($G$2:$G3269,$G3269)=1,1,0)</f>
        <v>0</v>
      </c>
      <c r="E3269" s="67" t="str">
        <f>IFERROR(VLOOKUP(База_КР_КК[[#This Row],[ИД штатной должности (S)]],'уровень защищенности'!$B$7:$F$1095,5,0),"не защищена")</f>
        <v>средний</v>
      </c>
      <c r="F3269" s="68">
        <v>500177</v>
      </c>
      <c r="G3269" s="74" t="s">
        <v>2944</v>
      </c>
      <c r="H3269" s="181">
        <f>INDEX('Списки данных'!$D$2:$D$1048576,MATCH(База_КР_КК[[#This Row],[Структурное подразделение]],'Списки данных'!$C$2:$C$1048576,0))</f>
        <v>7</v>
      </c>
      <c r="I3269" s="80" t="s">
        <v>137</v>
      </c>
      <c r="J3269" s="80" t="s">
        <v>248</v>
      </c>
      <c r="K3269" s="80" t="s">
        <v>249</v>
      </c>
      <c r="L3269" s="30" t="s">
        <v>191</v>
      </c>
      <c r="M3269" s="68">
        <v>6</v>
      </c>
      <c r="N3269" s="181" t="str">
        <f t="shared" si="52"/>
        <v>да</v>
      </c>
      <c r="O3269" s="23">
        <v>44155</v>
      </c>
      <c r="P3269" s="23">
        <v>44277</v>
      </c>
      <c r="Q3269" s="106" t="s">
        <v>57</v>
      </c>
      <c r="R3269" s="37">
        <v>763</v>
      </c>
      <c r="S3269" s="39" t="s">
        <v>1172</v>
      </c>
      <c r="T3269" s="37">
        <v>1851</v>
      </c>
      <c r="U3269" s="38" t="s">
        <v>2025</v>
      </c>
      <c r="V3269" s="89" t="s">
        <v>272</v>
      </c>
      <c r="W3269" s="89" t="s">
        <v>137</v>
      </c>
      <c r="X3269" s="106" t="s">
        <v>296</v>
      </c>
      <c r="Y3269" s="107" t="s">
        <v>12</v>
      </c>
      <c r="Z3269" s="67">
        <f>IF(База_КР_КК[[#This Row],[Таб.номер резервиста]]="-","-",IF(OR(База_КР_КК[[#This Row],[Уровень КК]]=2,База_КР_КК[[#This Row],[Уровень КК]]=3),IF(COUNTIFS($U$2:$U3269,$U3269,$F$2:$F3269,$F3269)=1,1,0),IF(COUNTIFS($U$2:$U3269,$U3269,$L$2:$L3269,$L3269)=1,1,0)))</f>
        <v>0</v>
      </c>
      <c r="AA32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69" s="106"/>
      <c r="AC3269" s="51"/>
      <c r="AD3269" s="106" t="s">
        <v>15</v>
      </c>
      <c r="AE3269" s="38" t="s">
        <v>376</v>
      </c>
    </row>
    <row r="3270" spans="1:31" ht="18" customHeight="1" x14ac:dyDescent="0.25">
      <c r="A32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0" s="79">
        <v>4</v>
      </c>
      <c r="C3270" s="23">
        <v>44859</v>
      </c>
      <c r="D3270" s="67">
        <f>IF(COUNTIF($G$2:$G3270,$G3270)=1,1,0)</f>
        <v>0</v>
      </c>
      <c r="E3270" s="67" t="str">
        <f>IFERROR(VLOOKUP(База_КР_КК[[#This Row],[ИД штатной должности (S)]],'уровень защищенности'!$B$7:$F$1095,5,0),"не защищена")</f>
        <v>средний</v>
      </c>
      <c r="F3270" s="68">
        <v>500177</v>
      </c>
      <c r="G3270" s="74" t="s">
        <v>2944</v>
      </c>
      <c r="H3270" s="181">
        <f>INDEX('Списки данных'!$D$2:$D$1048576,MATCH(База_КР_КК[[#This Row],[Структурное подразделение]],'Списки данных'!$C$2:$C$1048576,0))</f>
        <v>7</v>
      </c>
      <c r="I3270" s="80" t="s">
        <v>137</v>
      </c>
      <c r="J3270" s="80" t="s">
        <v>248</v>
      </c>
      <c r="K3270" s="80" t="s">
        <v>249</v>
      </c>
      <c r="L3270" s="30" t="s">
        <v>191</v>
      </c>
      <c r="M3270" s="68">
        <v>6</v>
      </c>
      <c r="N3270" s="181" t="str">
        <f t="shared" si="52"/>
        <v>да</v>
      </c>
      <c r="O3270" s="23">
        <v>44155</v>
      </c>
      <c r="P3270" s="23">
        <v>44277</v>
      </c>
      <c r="Q3270" s="106" t="s">
        <v>57</v>
      </c>
      <c r="R3270" s="37">
        <v>763</v>
      </c>
      <c r="S3270" s="39" t="s">
        <v>1172</v>
      </c>
      <c r="T3270" s="37">
        <v>1852</v>
      </c>
      <c r="U3270" s="38" t="s">
        <v>2074</v>
      </c>
      <c r="V3270" s="89" t="s">
        <v>272</v>
      </c>
      <c r="W3270" s="89" t="s">
        <v>137</v>
      </c>
      <c r="X3270" s="106" t="s">
        <v>296</v>
      </c>
      <c r="Y3270" s="107" t="s">
        <v>12</v>
      </c>
      <c r="Z3270" s="67">
        <f>IF(База_КР_КК[[#This Row],[Таб.номер резервиста]]="-","-",IF(OR(База_КР_КК[[#This Row],[Уровень КК]]=2,База_КР_КК[[#This Row],[Уровень КК]]=3),IF(COUNTIFS($U$2:$U3270,$U3270,$F$2:$F3270,$F3270)=1,1,0),IF(COUNTIFS($U$2:$U3270,$U3270,$L$2:$L3270,$L3270)=1,1,0)))</f>
        <v>0</v>
      </c>
      <c r="AA32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0" s="106"/>
      <c r="AC3270" s="51"/>
      <c r="AD3270" s="106" t="s">
        <v>15</v>
      </c>
      <c r="AE3270" s="38" t="s">
        <v>376</v>
      </c>
    </row>
    <row r="3271" spans="1:31" ht="18" customHeight="1" x14ac:dyDescent="0.25">
      <c r="A32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1" s="79">
        <v>4</v>
      </c>
      <c r="C3271" s="23">
        <v>44859</v>
      </c>
      <c r="D3271" s="67">
        <f>IF(COUNTIF($G$2:$G3271,$G3271)=1,1,0)</f>
        <v>0</v>
      </c>
      <c r="E3271" s="67" t="str">
        <f>IFERROR(VLOOKUP(База_КР_КК[[#This Row],[ИД штатной должности (S)]],'уровень защищенности'!$B$7:$F$1095,5,0),"не защищена")</f>
        <v>средний</v>
      </c>
      <c r="F3271" s="68">
        <v>500177</v>
      </c>
      <c r="G3271" s="74" t="s">
        <v>2944</v>
      </c>
      <c r="H3271" s="181">
        <f>INDEX('Списки данных'!$D$2:$D$1048576,MATCH(База_КР_КК[[#This Row],[Структурное подразделение]],'Списки данных'!$C$2:$C$1048576,0))</f>
        <v>7</v>
      </c>
      <c r="I3271" s="80" t="s">
        <v>137</v>
      </c>
      <c r="J3271" s="80" t="s">
        <v>248</v>
      </c>
      <c r="K3271" s="80" t="s">
        <v>249</v>
      </c>
      <c r="L3271" s="30" t="s">
        <v>191</v>
      </c>
      <c r="M3271" s="68">
        <v>6</v>
      </c>
      <c r="N3271" s="181" t="str">
        <f t="shared" si="52"/>
        <v>да</v>
      </c>
      <c r="O3271" s="23">
        <v>44155</v>
      </c>
      <c r="P3271" s="23">
        <v>44277</v>
      </c>
      <c r="Q3271" s="106" t="s">
        <v>57</v>
      </c>
      <c r="R3271" s="37">
        <v>763</v>
      </c>
      <c r="S3271" s="39" t="s">
        <v>1172</v>
      </c>
      <c r="T3271" s="37">
        <v>1853</v>
      </c>
      <c r="U3271" s="38" t="s">
        <v>1582</v>
      </c>
      <c r="V3271" s="89" t="s">
        <v>272</v>
      </c>
      <c r="W3271" s="89" t="s">
        <v>137</v>
      </c>
      <c r="X3271" s="106" t="s">
        <v>296</v>
      </c>
      <c r="Y3271" s="107" t="s">
        <v>12</v>
      </c>
      <c r="Z3271" s="67">
        <f>IF(База_КР_КК[[#This Row],[Таб.номер резервиста]]="-","-",IF(OR(База_КР_КК[[#This Row],[Уровень КК]]=2,База_КР_КК[[#This Row],[Уровень КК]]=3),IF(COUNTIFS($U$2:$U3271,$U3271,$F$2:$F3271,$F3271)=1,1,0),IF(COUNTIFS($U$2:$U3271,$U3271,$L$2:$L3271,$L3271)=1,1,0)))</f>
        <v>0</v>
      </c>
      <c r="AA32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1" s="106"/>
      <c r="AC3271" s="51"/>
      <c r="AD3271" s="106" t="s">
        <v>15</v>
      </c>
      <c r="AE3271" s="38" t="s">
        <v>376</v>
      </c>
    </row>
    <row r="3272" spans="1:31" ht="18" customHeight="1" x14ac:dyDescent="0.25">
      <c r="A32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2" s="79">
        <v>4</v>
      </c>
      <c r="C3272" s="23">
        <v>44859</v>
      </c>
      <c r="D3272" s="67">
        <f>IF(COUNTIF($G$2:$G3272,$G3272)=1,1,0)</f>
        <v>0</v>
      </c>
      <c r="E3272" s="67" t="str">
        <f>IFERROR(VLOOKUP(База_КР_КК[[#This Row],[ИД штатной должности (S)]],'уровень защищенности'!$B$7:$F$1095,5,0),"не защищена")</f>
        <v>средний</v>
      </c>
      <c r="F3272" s="68">
        <v>500177</v>
      </c>
      <c r="G3272" s="74" t="s">
        <v>2944</v>
      </c>
      <c r="H3272" s="181">
        <f>INDEX('Списки данных'!$D$2:$D$1048576,MATCH(База_КР_КК[[#This Row],[Структурное подразделение]],'Списки данных'!$C$2:$C$1048576,0))</f>
        <v>7</v>
      </c>
      <c r="I3272" s="80" t="s">
        <v>137</v>
      </c>
      <c r="J3272" s="80" t="s">
        <v>248</v>
      </c>
      <c r="K3272" s="80" t="s">
        <v>249</v>
      </c>
      <c r="L3272" s="30" t="s">
        <v>191</v>
      </c>
      <c r="M3272" s="68">
        <v>6</v>
      </c>
      <c r="N3272" s="181" t="str">
        <f t="shared" si="52"/>
        <v>да</v>
      </c>
      <c r="O3272" s="23">
        <v>44155</v>
      </c>
      <c r="P3272" s="23">
        <v>44277</v>
      </c>
      <c r="Q3272" s="106" t="s">
        <v>57</v>
      </c>
      <c r="R3272" s="37">
        <v>763</v>
      </c>
      <c r="S3272" s="39" t="s">
        <v>1172</v>
      </c>
      <c r="T3272" s="37">
        <v>1854</v>
      </c>
      <c r="U3272" s="38" t="s">
        <v>2059</v>
      </c>
      <c r="V3272" s="89" t="s">
        <v>272</v>
      </c>
      <c r="W3272" s="89" t="s">
        <v>137</v>
      </c>
      <c r="X3272" s="106" t="s">
        <v>296</v>
      </c>
      <c r="Y3272" s="107" t="s">
        <v>12</v>
      </c>
      <c r="Z3272" s="67">
        <f>IF(База_КР_КК[[#This Row],[Таб.номер резервиста]]="-","-",IF(OR(База_КР_КК[[#This Row],[Уровень КК]]=2,База_КР_КК[[#This Row],[Уровень КК]]=3),IF(COUNTIFS($U$2:$U3272,$U3272,$F$2:$F3272,$F3272)=1,1,0),IF(COUNTIFS($U$2:$U3272,$U3272,$L$2:$L3272,$L3272)=1,1,0)))</f>
        <v>0</v>
      </c>
      <c r="AA32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2" s="106"/>
      <c r="AC3272" s="51"/>
      <c r="AD3272" s="106" t="s">
        <v>15</v>
      </c>
      <c r="AE3272" s="38" t="s">
        <v>376</v>
      </c>
    </row>
    <row r="3273" spans="1:31" ht="18" customHeight="1" x14ac:dyDescent="0.25">
      <c r="A32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3" s="79">
        <v>4</v>
      </c>
      <c r="C3273" s="23">
        <v>44469</v>
      </c>
      <c r="D3273" s="67">
        <f>IF(COUNTIF($G$2:$G3273,$G3273)=1,1,0)</f>
        <v>0</v>
      </c>
      <c r="E3273" s="67" t="str">
        <f>IFERROR(VLOOKUP(База_КР_КК[[#This Row],[ИД штатной должности (S)]],'уровень защищенности'!$B$7:$F$1095,5,0),"не защищена")</f>
        <v>средний</v>
      </c>
      <c r="F3273" s="68">
        <v>500177</v>
      </c>
      <c r="G3273" s="74" t="s">
        <v>2944</v>
      </c>
      <c r="H3273" s="181">
        <f>INDEX('Списки данных'!$D$2:$D$1048576,MATCH(База_КР_КК[[#This Row],[Структурное подразделение]],'Списки данных'!$C$2:$C$1048576,0))</f>
        <v>7</v>
      </c>
      <c r="I3273" s="80" t="s">
        <v>137</v>
      </c>
      <c r="J3273" s="80" t="s">
        <v>248</v>
      </c>
      <c r="K3273" s="80" t="s">
        <v>249</v>
      </c>
      <c r="L3273" s="30" t="s">
        <v>191</v>
      </c>
      <c r="M3273" s="68">
        <v>6</v>
      </c>
      <c r="N3273" s="181" t="str">
        <f t="shared" si="52"/>
        <v>да</v>
      </c>
      <c r="O3273" s="23">
        <v>44155</v>
      </c>
      <c r="P3273" s="23">
        <v>44277</v>
      </c>
      <c r="Q3273" s="106" t="s">
        <v>57</v>
      </c>
      <c r="R3273" s="37">
        <v>763</v>
      </c>
      <c r="S3273" s="38" t="s">
        <v>1172</v>
      </c>
      <c r="T3273" s="37">
        <v>760</v>
      </c>
      <c r="U3273" s="39" t="s">
        <v>1169</v>
      </c>
      <c r="V3273" s="89" t="s">
        <v>192</v>
      </c>
      <c r="W3273" s="89" t="s">
        <v>137</v>
      </c>
      <c r="X3273" s="106" t="s">
        <v>297</v>
      </c>
      <c r="Y3273" s="107" t="s">
        <v>14</v>
      </c>
      <c r="Z3273" s="67">
        <f>IF(База_КР_КК[[#This Row],[Таб.номер резервиста]]="-","-",IF(OR(База_КР_КК[[#This Row],[Уровень КК]]=2,База_КР_КК[[#This Row],[Уровень КК]]=3),IF(COUNTIFS($U$2:$U3273,$U3273,$F$2:$F3273,$F3273)=1,1,0),IF(COUNTIFS($U$2:$U3273,$U3273,$L$2:$L3273,$L3273)=1,1,0)))</f>
        <v>0</v>
      </c>
      <c r="AA32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3" s="106" t="s">
        <v>24</v>
      </c>
      <c r="AC3273" s="51">
        <v>44692</v>
      </c>
      <c r="AD3273" s="106" t="s">
        <v>15</v>
      </c>
      <c r="AE3273" s="38" t="s">
        <v>380</v>
      </c>
    </row>
    <row r="3274" spans="1:31" ht="18" customHeight="1" x14ac:dyDescent="0.25">
      <c r="A32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4" s="79">
        <v>4</v>
      </c>
      <c r="C3274" s="23">
        <v>44125</v>
      </c>
      <c r="D3274" s="67">
        <f>IF(COUNTIF($G$2:$G3274,$G3274)=1,1,0)</f>
        <v>0</v>
      </c>
      <c r="E3274" s="67" t="str">
        <f>IFERROR(VLOOKUP(База_КР_КК[[#This Row],[ИД штатной должности (S)]],'уровень защищенности'!$B$7:$F$1095,5,0),"не защищена")</f>
        <v>средний</v>
      </c>
      <c r="F3274" s="68">
        <v>500177</v>
      </c>
      <c r="G3274" s="74" t="s">
        <v>2944</v>
      </c>
      <c r="H3274" s="181">
        <f>INDEX('Списки данных'!$D$2:$D$1048576,MATCH(База_КР_КК[[#This Row],[Структурное подразделение]],'Списки данных'!$C$2:$C$1048576,0))</f>
        <v>7</v>
      </c>
      <c r="I3274" s="80" t="s">
        <v>137</v>
      </c>
      <c r="J3274" s="80" t="s">
        <v>248</v>
      </c>
      <c r="K3274" s="80" t="s">
        <v>249</v>
      </c>
      <c r="L3274" s="30" t="s">
        <v>191</v>
      </c>
      <c r="M3274" s="68">
        <v>6</v>
      </c>
      <c r="N3274" s="181" t="str">
        <f t="shared" si="52"/>
        <v>да</v>
      </c>
      <c r="O3274" s="23">
        <v>44155</v>
      </c>
      <c r="P3274" s="23">
        <v>44277</v>
      </c>
      <c r="Q3274" s="106" t="s">
        <v>57</v>
      </c>
      <c r="R3274" s="37">
        <v>763</v>
      </c>
      <c r="S3274" s="38" t="s">
        <v>1172</v>
      </c>
      <c r="T3274" s="37">
        <v>1846</v>
      </c>
      <c r="U3274" s="39" t="s">
        <v>2049</v>
      </c>
      <c r="V3274" s="89" t="s">
        <v>272</v>
      </c>
      <c r="W3274" s="89" t="s">
        <v>137</v>
      </c>
      <c r="X3274" s="106" t="s">
        <v>297</v>
      </c>
      <c r="Y3274" s="107" t="s">
        <v>18</v>
      </c>
      <c r="Z3274" s="67">
        <f>IF(База_КР_КК[[#This Row],[Таб.номер резервиста]]="-","-",IF(OR(База_КР_КК[[#This Row],[Уровень КК]]=2,База_КР_КК[[#This Row],[Уровень КК]]=3),IF(COUNTIFS($U$2:$U3274,$U3274,$F$2:$F3274,$F3274)=1,1,0),IF(COUNTIFS($U$2:$U3274,$U3274,$L$2:$L3274,$L3274)=1,1,0)))</f>
        <v>0</v>
      </c>
      <c r="AA32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4" s="106" t="s">
        <v>38</v>
      </c>
      <c r="AC3274" s="51">
        <v>44662</v>
      </c>
      <c r="AD3274" s="106" t="s">
        <v>31</v>
      </c>
      <c r="AE3274" s="38" t="s">
        <v>382</v>
      </c>
    </row>
    <row r="3275" spans="1:31" ht="18" customHeight="1" x14ac:dyDescent="0.25">
      <c r="A32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5" s="79">
        <v>4</v>
      </c>
      <c r="C3275" s="23">
        <v>44125</v>
      </c>
      <c r="D3275" s="67">
        <f>IF(COUNTIF($G$2:$G3275,$G3275)=1,1,0)</f>
        <v>0</v>
      </c>
      <c r="E3275" s="67" t="str">
        <f>IFERROR(VLOOKUP(База_КР_КК[[#This Row],[ИД штатной должности (S)]],'уровень защищенности'!$B$7:$F$1095,5,0),"не защищена")</f>
        <v>средний</v>
      </c>
      <c r="F3275" s="68">
        <v>500177</v>
      </c>
      <c r="G3275" s="74" t="s">
        <v>2944</v>
      </c>
      <c r="H3275" s="181">
        <f>INDEX('Списки данных'!$D$2:$D$1048576,MATCH(База_КР_КК[[#This Row],[Структурное подразделение]],'Списки данных'!$C$2:$C$1048576,0))</f>
        <v>7</v>
      </c>
      <c r="I3275" s="80" t="s">
        <v>137</v>
      </c>
      <c r="J3275" s="80" t="s">
        <v>248</v>
      </c>
      <c r="K3275" s="80" t="s">
        <v>249</v>
      </c>
      <c r="L3275" s="30" t="s">
        <v>191</v>
      </c>
      <c r="M3275" s="68">
        <v>6</v>
      </c>
      <c r="N3275" s="181" t="str">
        <f t="shared" si="52"/>
        <v>да</v>
      </c>
      <c r="O3275" s="23">
        <v>44155</v>
      </c>
      <c r="P3275" s="23">
        <v>44277</v>
      </c>
      <c r="Q3275" s="106" t="s">
        <v>57</v>
      </c>
      <c r="R3275" s="37">
        <v>763</v>
      </c>
      <c r="S3275" s="38" t="s">
        <v>1172</v>
      </c>
      <c r="T3275" s="37">
        <v>1847</v>
      </c>
      <c r="U3275" s="39" t="s">
        <v>1883</v>
      </c>
      <c r="V3275" s="89" t="s">
        <v>272</v>
      </c>
      <c r="W3275" s="89" t="s">
        <v>137</v>
      </c>
      <c r="X3275" s="106" t="s">
        <v>297</v>
      </c>
      <c r="Y3275" s="107" t="s">
        <v>18</v>
      </c>
      <c r="Z3275" s="67">
        <f>IF(База_КР_КК[[#This Row],[Таб.номер резервиста]]="-","-",IF(OR(База_КР_КК[[#This Row],[Уровень КК]]=2,База_КР_КК[[#This Row],[Уровень КК]]=3),IF(COUNTIFS($U$2:$U3275,$U3275,$F$2:$F3275,$F3275)=1,1,0),IF(COUNTIFS($U$2:$U3275,$U3275,$L$2:$L3275,$L3275)=1,1,0)))</f>
        <v>0</v>
      </c>
      <c r="AA32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5" s="106" t="s">
        <v>38</v>
      </c>
      <c r="AC3275" s="51">
        <v>44662</v>
      </c>
      <c r="AD3275" s="106" t="s">
        <v>31</v>
      </c>
      <c r="AE3275" s="38" t="s">
        <v>382</v>
      </c>
    </row>
    <row r="3276" spans="1:31" ht="18" customHeight="1" x14ac:dyDescent="0.25">
      <c r="A32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6" s="79">
        <v>4</v>
      </c>
      <c r="C3276" s="23">
        <v>44125</v>
      </c>
      <c r="D3276" s="67">
        <f>IF(COUNTIF($G$2:$G3276,$G3276)=1,1,0)</f>
        <v>0</v>
      </c>
      <c r="E3276" s="67" t="str">
        <f>IFERROR(VLOOKUP(База_КР_КК[[#This Row],[ИД штатной должности (S)]],'уровень защищенности'!$B$7:$F$1095,5,0),"не защищена")</f>
        <v>средний</v>
      </c>
      <c r="F3276" s="68">
        <v>500177</v>
      </c>
      <c r="G3276" s="74" t="s">
        <v>2944</v>
      </c>
      <c r="H3276" s="181">
        <f>INDEX('Списки данных'!$D$2:$D$1048576,MATCH(База_КР_КК[[#This Row],[Структурное подразделение]],'Списки данных'!$C$2:$C$1048576,0))</f>
        <v>7</v>
      </c>
      <c r="I3276" s="80" t="s">
        <v>137</v>
      </c>
      <c r="J3276" s="80" t="s">
        <v>248</v>
      </c>
      <c r="K3276" s="80" t="s">
        <v>249</v>
      </c>
      <c r="L3276" s="30" t="s">
        <v>191</v>
      </c>
      <c r="M3276" s="68">
        <v>6</v>
      </c>
      <c r="N3276" s="181" t="str">
        <f t="shared" si="52"/>
        <v>да</v>
      </c>
      <c r="O3276" s="23">
        <v>44155</v>
      </c>
      <c r="P3276" s="23">
        <v>44277</v>
      </c>
      <c r="Q3276" s="106" t="s">
        <v>57</v>
      </c>
      <c r="R3276" s="37">
        <v>763</v>
      </c>
      <c r="S3276" s="38" t="s">
        <v>1172</v>
      </c>
      <c r="T3276" s="37">
        <v>1845</v>
      </c>
      <c r="U3276" s="39" t="s">
        <v>2027</v>
      </c>
      <c r="V3276" s="69" t="s">
        <v>272</v>
      </c>
      <c r="W3276" s="89" t="s">
        <v>137</v>
      </c>
      <c r="X3276" s="106" t="s">
        <v>295</v>
      </c>
      <c r="Y3276" s="107" t="s">
        <v>18</v>
      </c>
      <c r="Z3276" s="67">
        <f>IF(База_КР_КК[[#This Row],[Таб.номер резервиста]]="-","-",IF(OR(База_КР_КК[[#This Row],[Уровень КК]]=2,База_КР_КК[[#This Row],[Уровень КК]]=3),IF(COUNTIFS($U$2:$U3276,$U3276,$F$2:$F3276,$F3276)=1,1,0),IF(COUNTIFS($U$2:$U3276,$U3276,$L$2:$L3276,$L3276)=1,1,0)))</f>
        <v>0</v>
      </c>
      <c r="AA32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6" s="106" t="s">
        <v>38</v>
      </c>
      <c r="AC3276" s="51">
        <v>44662</v>
      </c>
      <c r="AD3276" s="106" t="s">
        <v>31</v>
      </c>
      <c r="AE3276" s="38" t="s">
        <v>382</v>
      </c>
    </row>
    <row r="3277" spans="1:31" ht="18" customHeight="1" x14ac:dyDescent="0.25">
      <c r="A32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7" s="79">
        <v>4</v>
      </c>
      <c r="C3277" s="23">
        <v>44469</v>
      </c>
      <c r="D3277" s="67">
        <f>IF(COUNTIF($G$2:$G3277,$G3277)=1,1,0)</f>
        <v>0</v>
      </c>
      <c r="E3277" s="67" t="str">
        <f>IFERROR(VLOOKUP(База_КР_КК[[#This Row],[ИД штатной должности (S)]],'уровень защищенности'!$B$7:$F$1095,5,0),"не защищена")</f>
        <v>средний</v>
      </c>
      <c r="F3277" s="68">
        <v>500177</v>
      </c>
      <c r="G3277" s="74" t="s">
        <v>2944</v>
      </c>
      <c r="H3277" s="181">
        <f>INDEX('Списки данных'!$D$2:$D$1048576,MATCH(База_КР_КК[[#This Row],[Структурное подразделение]],'Списки данных'!$C$2:$C$1048576,0))</f>
        <v>7</v>
      </c>
      <c r="I3277" s="80" t="s">
        <v>137</v>
      </c>
      <c r="J3277" s="80" t="s">
        <v>248</v>
      </c>
      <c r="K3277" s="80" t="s">
        <v>249</v>
      </c>
      <c r="L3277" s="30" t="s">
        <v>191</v>
      </c>
      <c r="M3277" s="68">
        <v>6</v>
      </c>
      <c r="N3277" s="181" t="str">
        <f t="shared" si="52"/>
        <v>да</v>
      </c>
      <c r="O3277" s="23">
        <v>44155</v>
      </c>
      <c r="P3277" s="23">
        <v>44277</v>
      </c>
      <c r="Q3277" s="106" t="s">
        <v>57</v>
      </c>
      <c r="R3277" s="37">
        <v>763</v>
      </c>
      <c r="S3277" s="38" t="s">
        <v>1172</v>
      </c>
      <c r="T3277" s="37">
        <v>1848</v>
      </c>
      <c r="U3277" s="39" t="s">
        <v>1839</v>
      </c>
      <c r="V3277" s="69" t="s">
        <v>192</v>
      </c>
      <c r="W3277" s="89" t="s">
        <v>137</v>
      </c>
      <c r="X3277" s="106" t="s">
        <v>295</v>
      </c>
      <c r="Y3277" s="107" t="s">
        <v>18</v>
      </c>
      <c r="Z3277" s="67">
        <f>IF(База_КР_КК[[#This Row],[Таб.номер резервиста]]="-","-",IF(OR(База_КР_КК[[#This Row],[Уровень КК]]=2,База_КР_КК[[#This Row],[Уровень КК]]=3),IF(COUNTIFS($U$2:$U3277,$U3277,$F$2:$F3277,$F3277)=1,1,0),IF(COUNTIFS($U$2:$U3277,$U3277,$L$2:$L3277,$L3277)=1,1,0)))</f>
        <v>0</v>
      </c>
      <c r="AA32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7" s="106" t="s">
        <v>38</v>
      </c>
      <c r="AC3277" s="51">
        <v>44662</v>
      </c>
      <c r="AD3277" s="106" t="s">
        <v>31</v>
      </c>
      <c r="AE3277" s="38" t="s">
        <v>382</v>
      </c>
    </row>
    <row r="3278" spans="1:31" ht="18" customHeight="1" x14ac:dyDescent="0.25">
      <c r="A32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8" s="79">
        <v>4</v>
      </c>
      <c r="C3278" s="23">
        <v>44125</v>
      </c>
      <c r="D3278" s="67">
        <f>IF(COUNTIF($G$2:$G3278,$G3278)=1,1,0)</f>
        <v>1</v>
      </c>
      <c r="E3278" s="67" t="str">
        <f>IFERROR(VLOOKUP(База_КР_КК[[#This Row],[ИД штатной должности (S)]],'уровень защищенности'!$B$7:$F$1095,5,0),"не защищена")</f>
        <v>средний</v>
      </c>
      <c r="F3278" s="68">
        <v>500178</v>
      </c>
      <c r="G3278" s="74" t="s">
        <v>2945</v>
      </c>
      <c r="H3278" s="181">
        <f>INDEX('Списки данных'!$D$2:$D$1048576,MATCH(База_КР_КК[[#This Row],[Структурное подразделение]],'Списки данных'!$C$2:$C$1048576,0))</f>
        <v>7</v>
      </c>
      <c r="I3278" s="80" t="s">
        <v>137</v>
      </c>
      <c r="J3278" s="80" t="s">
        <v>248</v>
      </c>
      <c r="K3278" s="80" t="s">
        <v>249</v>
      </c>
      <c r="L3278" s="30" t="s">
        <v>191</v>
      </c>
      <c r="M3278" s="68">
        <v>6</v>
      </c>
      <c r="N3278" s="181" t="str">
        <f t="shared" si="52"/>
        <v>да</v>
      </c>
      <c r="O3278" s="23">
        <v>44804</v>
      </c>
      <c r="P3278" s="23">
        <v>44998</v>
      </c>
      <c r="Q3278" s="106" t="s">
        <v>66</v>
      </c>
      <c r="R3278" s="37">
        <v>764</v>
      </c>
      <c r="S3278" s="38" t="s">
        <v>1173</v>
      </c>
      <c r="T3278" s="37">
        <v>1856</v>
      </c>
      <c r="U3278" s="39" t="s">
        <v>2046</v>
      </c>
      <c r="V3278" s="89" t="s">
        <v>272</v>
      </c>
      <c r="W3278" s="89" t="s">
        <v>137</v>
      </c>
      <c r="X3278" s="106" t="s">
        <v>297</v>
      </c>
      <c r="Y3278" s="107" t="s">
        <v>12</v>
      </c>
      <c r="Z3278" s="67">
        <f>IF(База_КР_КК[[#This Row],[Таб.номер резервиста]]="-","-",IF(OR(База_КР_КК[[#This Row],[Уровень КК]]=2,База_КР_КК[[#This Row],[Уровень КК]]=3),IF(COUNTIFS($U$2:$U3278,$U3278,$F$2:$F3278,$F3278)=1,1,0),IF(COUNTIFS($U$2:$U3278,$U3278,$L$2:$L3278,$L3278)=1,1,0)))</f>
        <v>1</v>
      </c>
      <c r="AA32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8" s="106"/>
      <c r="AC3278" s="51"/>
      <c r="AD3278" s="106" t="s">
        <v>13</v>
      </c>
      <c r="AE3278" s="38" t="s">
        <v>376</v>
      </c>
    </row>
    <row r="3279" spans="1:31" ht="18" customHeight="1" x14ac:dyDescent="0.25">
      <c r="A32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79" s="79">
        <v>4</v>
      </c>
      <c r="C3279" s="23">
        <v>44859</v>
      </c>
      <c r="D3279" s="67">
        <f>IF(COUNTIF($G$2:$G3279,$G3279)=1,1,0)</f>
        <v>0</v>
      </c>
      <c r="E3279" s="67" t="str">
        <f>IFERROR(VLOOKUP(База_КР_КК[[#This Row],[ИД штатной должности (S)]],'уровень защищенности'!$B$7:$F$1095,5,0),"не защищена")</f>
        <v>средний</v>
      </c>
      <c r="F3279" s="68">
        <v>500178</v>
      </c>
      <c r="G3279" s="74" t="s">
        <v>2945</v>
      </c>
      <c r="H3279" s="181">
        <f>INDEX('Списки данных'!$D$2:$D$1048576,MATCH(База_КР_КК[[#This Row],[Структурное подразделение]],'Списки данных'!$C$2:$C$1048576,0))</f>
        <v>7</v>
      </c>
      <c r="I3279" s="80" t="s">
        <v>137</v>
      </c>
      <c r="J3279" s="80" t="s">
        <v>248</v>
      </c>
      <c r="K3279" s="80" t="s">
        <v>249</v>
      </c>
      <c r="L3279" s="30" t="s">
        <v>191</v>
      </c>
      <c r="M3279" s="68">
        <v>6</v>
      </c>
      <c r="N3279" s="181" t="str">
        <f t="shared" si="52"/>
        <v>да</v>
      </c>
      <c r="O3279" s="23">
        <v>44804</v>
      </c>
      <c r="P3279" s="23">
        <v>44998</v>
      </c>
      <c r="Q3279" s="106" t="s">
        <v>66</v>
      </c>
      <c r="R3279" s="37">
        <v>764</v>
      </c>
      <c r="S3279" s="38" t="s">
        <v>1173</v>
      </c>
      <c r="T3279" s="37">
        <v>1857</v>
      </c>
      <c r="U3279" s="38" t="s">
        <v>1837</v>
      </c>
      <c r="V3279" s="69" t="s">
        <v>272</v>
      </c>
      <c r="W3279" s="89" t="s">
        <v>137</v>
      </c>
      <c r="X3279" s="106" t="s">
        <v>296</v>
      </c>
      <c r="Y3279" s="107" t="s">
        <v>12</v>
      </c>
      <c r="Z3279" s="67">
        <f>IF(База_КР_КК[[#This Row],[Таб.номер резервиста]]="-","-",IF(OR(База_КР_КК[[#This Row],[Уровень КК]]=2,База_КР_КК[[#This Row],[Уровень КК]]=3),IF(COUNTIFS($U$2:$U3279,$U3279,$F$2:$F3279,$F3279)=1,1,0),IF(COUNTIFS($U$2:$U3279,$U3279,$L$2:$L3279,$L3279)=1,1,0)))</f>
        <v>0</v>
      </c>
      <c r="AA32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79" s="106"/>
      <c r="AC3279" s="51"/>
      <c r="AD3279" s="106" t="s">
        <v>15</v>
      </c>
      <c r="AE3279" s="38" t="s">
        <v>376</v>
      </c>
    </row>
    <row r="3280" spans="1:31" ht="18" customHeight="1" x14ac:dyDescent="0.25">
      <c r="A32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0" s="79">
        <v>4</v>
      </c>
      <c r="C3280" s="23">
        <v>44859</v>
      </c>
      <c r="D3280" s="67">
        <f>IF(COUNTIF($G$2:$G3280,$G3280)=1,1,0)</f>
        <v>0</v>
      </c>
      <c r="E3280" s="67" t="str">
        <f>IFERROR(VLOOKUP(База_КР_КК[[#This Row],[ИД штатной должности (S)]],'уровень защищенности'!$B$7:$F$1095,5,0),"не защищена")</f>
        <v>средний</v>
      </c>
      <c r="F3280" s="68">
        <v>500178</v>
      </c>
      <c r="G3280" s="74" t="s">
        <v>2945</v>
      </c>
      <c r="H3280" s="181">
        <f>INDEX('Списки данных'!$D$2:$D$1048576,MATCH(База_КР_КК[[#This Row],[Структурное подразделение]],'Списки данных'!$C$2:$C$1048576,0))</f>
        <v>7</v>
      </c>
      <c r="I3280" s="80" t="s">
        <v>137</v>
      </c>
      <c r="J3280" s="80" t="s">
        <v>248</v>
      </c>
      <c r="K3280" s="80" t="s">
        <v>249</v>
      </c>
      <c r="L3280" s="30" t="s">
        <v>191</v>
      </c>
      <c r="M3280" s="68">
        <v>6</v>
      </c>
      <c r="N3280" s="181" t="str">
        <f t="shared" si="52"/>
        <v>да</v>
      </c>
      <c r="O3280" s="23">
        <v>44804</v>
      </c>
      <c r="P3280" s="23">
        <v>44998</v>
      </c>
      <c r="Q3280" s="106" t="s">
        <v>66</v>
      </c>
      <c r="R3280" s="37">
        <v>764</v>
      </c>
      <c r="S3280" s="38" t="s">
        <v>1173</v>
      </c>
      <c r="T3280" s="37">
        <v>1858</v>
      </c>
      <c r="U3280" s="38" t="s">
        <v>2075</v>
      </c>
      <c r="V3280" s="89" t="s">
        <v>272</v>
      </c>
      <c r="W3280" s="89" t="s">
        <v>137</v>
      </c>
      <c r="X3280" s="106" t="s">
        <v>296</v>
      </c>
      <c r="Y3280" s="107" t="s">
        <v>12</v>
      </c>
      <c r="Z3280" s="67">
        <f>IF(База_КР_КК[[#This Row],[Таб.номер резервиста]]="-","-",IF(OR(База_КР_КК[[#This Row],[Уровень КК]]=2,База_КР_КК[[#This Row],[Уровень КК]]=3),IF(COUNTIFS($U$2:$U3280,$U3280,$F$2:$F3280,$F3280)=1,1,0),IF(COUNTIFS($U$2:$U3280,$U3280,$L$2:$L3280,$L3280)=1,1,0)))</f>
        <v>1</v>
      </c>
      <c r="AA32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0" s="106"/>
      <c r="AC3280" s="51"/>
      <c r="AD3280" s="106" t="s">
        <v>15</v>
      </c>
      <c r="AE3280" s="38" t="s">
        <v>376</v>
      </c>
    </row>
    <row r="3281" spans="1:31" ht="18" customHeight="1" x14ac:dyDescent="0.25">
      <c r="A32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1" s="79">
        <v>4</v>
      </c>
      <c r="C3281" s="23">
        <v>44859</v>
      </c>
      <c r="D3281" s="67">
        <f>IF(COUNTIF($G$2:$G3281,$G3281)=1,1,0)</f>
        <v>0</v>
      </c>
      <c r="E3281" s="67" t="str">
        <f>IFERROR(VLOOKUP(База_КР_КК[[#This Row],[ИД штатной должности (S)]],'уровень защищенности'!$B$7:$F$1095,5,0),"не защищена")</f>
        <v>средний</v>
      </c>
      <c r="F3281" s="68">
        <v>500178</v>
      </c>
      <c r="G3281" s="74" t="s">
        <v>2945</v>
      </c>
      <c r="H3281" s="181">
        <f>INDEX('Списки данных'!$D$2:$D$1048576,MATCH(База_КР_КК[[#This Row],[Структурное подразделение]],'Списки данных'!$C$2:$C$1048576,0))</f>
        <v>7</v>
      </c>
      <c r="I3281" s="80" t="s">
        <v>137</v>
      </c>
      <c r="J3281" s="80" t="s">
        <v>248</v>
      </c>
      <c r="K3281" s="80" t="s">
        <v>249</v>
      </c>
      <c r="L3281" s="30" t="s">
        <v>191</v>
      </c>
      <c r="M3281" s="68">
        <v>6</v>
      </c>
      <c r="N3281" s="181" t="str">
        <f t="shared" si="52"/>
        <v>да</v>
      </c>
      <c r="O3281" s="23">
        <v>44804</v>
      </c>
      <c r="P3281" s="23">
        <v>44998</v>
      </c>
      <c r="Q3281" s="106" t="s">
        <v>66</v>
      </c>
      <c r="R3281" s="37">
        <v>764</v>
      </c>
      <c r="S3281" s="38" t="s">
        <v>1173</v>
      </c>
      <c r="T3281" s="37">
        <v>1859</v>
      </c>
      <c r="U3281" s="38" t="s">
        <v>2076</v>
      </c>
      <c r="V3281" s="89" t="s">
        <v>272</v>
      </c>
      <c r="W3281" s="89" t="s">
        <v>137</v>
      </c>
      <c r="X3281" s="106" t="s">
        <v>296</v>
      </c>
      <c r="Y3281" s="107" t="s">
        <v>12</v>
      </c>
      <c r="Z3281" s="67">
        <f>IF(База_КР_КК[[#This Row],[Таб.номер резервиста]]="-","-",IF(OR(База_КР_КК[[#This Row],[Уровень КК]]=2,База_КР_КК[[#This Row],[Уровень КК]]=3),IF(COUNTIFS($U$2:$U3281,$U3281,$F$2:$F3281,$F3281)=1,1,0),IF(COUNTIFS($U$2:$U3281,$U3281,$L$2:$L3281,$L3281)=1,1,0)))</f>
        <v>1</v>
      </c>
      <c r="AA32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1" s="106"/>
      <c r="AC3281" s="51"/>
      <c r="AD3281" s="106" t="s">
        <v>15</v>
      </c>
      <c r="AE3281" s="38" t="s">
        <v>376</v>
      </c>
    </row>
    <row r="3282" spans="1:31" ht="18" customHeight="1" x14ac:dyDescent="0.25">
      <c r="A32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2" s="79">
        <v>4</v>
      </c>
      <c r="C3282" s="23">
        <v>44859</v>
      </c>
      <c r="D3282" s="67">
        <f>IF(COUNTIF($G$2:$G3282,$G3282)=1,1,0)</f>
        <v>0</v>
      </c>
      <c r="E3282" s="67" t="str">
        <f>IFERROR(VLOOKUP(База_КР_КК[[#This Row],[ИД штатной должности (S)]],'уровень защищенности'!$B$7:$F$1095,5,0),"не защищена")</f>
        <v>средний</v>
      </c>
      <c r="F3282" s="68">
        <v>500178</v>
      </c>
      <c r="G3282" s="74" t="s">
        <v>2945</v>
      </c>
      <c r="H3282" s="181">
        <f>INDEX('Списки данных'!$D$2:$D$1048576,MATCH(База_КР_КК[[#This Row],[Структурное подразделение]],'Списки данных'!$C$2:$C$1048576,0))</f>
        <v>7</v>
      </c>
      <c r="I3282" s="80" t="s">
        <v>137</v>
      </c>
      <c r="J3282" s="80" t="s">
        <v>248</v>
      </c>
      <c r="K3282" s="80" t="s">
        <v>249</v>
      </c>
      <c r="L3282" s="30" t="s">
        <v>191</v>
      </c>
      <c r="M3282" s="68">
        <v>6</v>
      </c>
      <c r="N3282" s="181" t="str">
        <f t="shared" si="52"/>
        <v>да</v>
      </c>
      <c r="O3282" s="23">
        <v>44804</v>
      </c>
      <c r="P3282" s="23">
        <v>44998</v>
      </c>
      <c r="Q3282" s="106" t="s">
        <v>66</v>
      </c>
      <c r="R3282" s="37">
        <v>764</v>
      </c>
      <c r="S3282" s="38" t="s">
        <v>1173</v>
      </c>
      <c r="T3282" s="37">
        <v>764</v>
      </c>
      <c r="U3282" s="38" t="s">
        <v>1173</v>
      </c>
      <c r="V3282" s="69" t="s">
        <v>272</v>
      </c>
      <c r="W3282" s="89" t="s">
        <v>137</v>
      </c>
      <c r="X3282" s="106" t="s">
        <v>295</v>
      </c>
      <c r="Y3282" s="107" t="s">
        <v>14</v>
      </c>
      <c r="Z3282" s="67">
        <f>IF(База_КР_КК[[#This Row],[Таб.номер резервиста]]="-","-",IF(OR(База_КР_КК[[#This Row],[Уровень КК]]=2,База_КР_КК[[#This Row],[Уровень КК]]=3),IF(COUNTIFS($U$2:$U3282,$U3282,$F$2:$F3282,$F3282)=1,1,0),IF(COUNTIFS($U$2:$U3282,$U3282,$L$2:$L3282,$L3282)=1,1,0)))</f>
        <v>1</v>
      </c>
      <c r="AA32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282" s="106" t="s">
        <v>24</v>
      </c>
      <c r="AC3282" s="51">
        <v>44998</v>
      </c>
      <c r="AD3282" s="106" t="s">
        <v>15</v>
      </c>
      <c r="AE3282" s="38" t="s">
        <v>376</v>
      </c>
    </row>
    <row r="3283" spans="1:31" ht="18" customHeight="1" x14ac:dyDescent="0.25">
      <c r="A32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3" s="79">
        <v>4</v>
      </c>
      <c r="C3283" s="23">
        <v>44125</v>
      </c>
      <c r="D3283" s="67">
        <f>IF(COUNTIF($G$2:$G3283,$G3283)=1,1,0)</f>
        <v>0</v>
      </c>
      <c r="E3283" s="67" t="str">
        <f>IFERROR(VLOOKUP(База_КР_КК[[#This Row],[ИД штатной должности (S)]],'уровень защищенности'!$B$7:$F$1095,5,0),"не защищена")</f>
        <v>средний</v>
      </c>
      <c r="F3283" s="68">
        <v>500178</v>
      </c>
      <c r="G3283" s="74" t="s">
        <v>2945</v>
      </c>
      <c r="H3283" s="181">
        <f>INDEX('Списки данных'!$D$2:$D$1048576,MATCH(База_КР_КК[[#This Row],[Структурное подразделение]],'Списки данных'!$C$2:$C$1048576,0))</f>
        <v>7</v>
      </c>
      <c r="I3283" s="80" t="s">
        <v>137</v>
      </c>
      <c r="J3283" s="80" t="s">
        <v>248</v>
      </c>
      <c r="K3283" s="80" t="s">
        <v>249</v>
      </c>
      <c r="L3283" s="30" t="s">
        <v>191</v>
      </c>
      <c r="M3283" s="68">
        <v>6</v>
      </c>
      <c r="N3283" s="181" t="str">
        <f t="shared" si="52"/>
        <v>да</v>
      </c>
      <c r="O3283" s="23">
        <v>44804</v>
      </c>
      <c r="P3283" s="23">
        <v>44998</v>
      </c>
      <c r="Q3283" s="106" t="s">
        <v>66</v>
      </c>
      <c r="R3283" s="37">
        <v>764</v>
      </c>
      <c r="S3283" s="38" t="s">
        <v>1173</v>
      </c>
      <c r="T3283" s="37">
        <v>1861</v>
      </c>
      <c r="U3283" s="39" t="s">
        <v>1833</v>
      </c>
      <c r="V3283" s="89" t="s">
        <v>272</v>
      </c>
      <c r="W3283" s="89" t="s">
        <v>137</v>
      </c>
      <c r="X3283" s="106" t="s">
        <v>295</v>
      </c>
      <c r="Y3283" s="107" t="s">
        <v>18</v>
      </c>
      <c r="Z3283" s="67">
        <f>IF(База_КР_КК[[#This Row],[Таб.номер резервиста]]="-","-",IF(OR(База_КР_КК[[#This Row],[Уровень КК]]=2,База_КР_КК[[#This Row],[Уровень КК]]=3),IF(COUNTIFS($U$2:$U3283,$U3283,$F$2:$F3283,$F3283)=1,1,0),IF(COUNTIFS($U$2:$U3283,$U3283,$L$2:$L3283,$L3283)=1,1,0)))</f>
        <v>0</v>
      </c>
      <c r="AA32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3" s="106" t="s">
        <v>19</v>
      </c>
      <c r="AC3283" s="51">
        <v>44798</v>
      </c>
      <c r="AD3283" s="106" t="s">
        <v>15</v>
      </c>
      <c r="AE3283" s="38" t="s">
        <v>318</v>
      </c>
    </row>
    <row r="3284" spans="1:31" ht="18" customHeight="1" x14ac:dyDescent="0.25">
      <c r="A32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4" s="79">
        <v>4</v>
      </c>
      <c r="C3284" s="23">
        <v>44469</v>
      </c>
      <c r="D3284" s="67">
        <f>IF(COUNTIF($G$2:$G3284,$G3284)=1,1,0)</f>
        <v>0</v>
      </c>
      <c r="E3284" s="67" t="str">
        <f>IFERROR(VLOOKUP(База_КР_КК[[#This Row],[ИД штатной должности (S)]],'уровень защищенности'!$B$7:$F$1095,5,0),"не защищена")</f>
        <v>средний</v>
      </c>
      <c r="F3284" s="68">
        <v>500178</v>
      </c>
      <c r="G3284" s="74" t="s">
        <v>2945</v>
      </c>
      <c r="H3284" s="181">
        <f>INDEX('Списки данных'!$D$2:$D$1048576,MATCH(База_КР_КК[[#This Row],[Структурное подразделение]],'Списки данных'!$C$2:$C$1048576,0))</f>
        <v>7</v>
      </c>
      <c r="I3284" s="80" t="s">
        <v>137</v>
      </c>
      <c r="J3284" s="80" t="s">
        <v>248</v>
      </c>
      <c r="K3284" s="80" t="s">
        <v>249</v>
      </c>
      <c r="L3284" s="30" t="s">
        <v>191</v>
      </c>
      <c r="M3284" s="68">
        <v>6</v>
      </c>
      <c r="N3284" s="181" t="str">
        <f t="shared" si="52"/>
        <v>да</v>
      </c>
      <c r="O3284" s="23">
        <v>44804</v>
      </c>
      <c r="P3284" s="23">
        <v>44998</v>
      </c>
      <c r="Q3284" s="106" t="s">
        <v>66</v>
      </c>
      <c r="R3284" s="37">
        <v>764</v>
      </c>
      <c r="S3284" s="38" t="s">
        <v>1173</v>
      </c>
      <c r="T3284" s="37">
        <v>1862</v>
      </c>
      <c r="U3284" s="39" t="s">
        <v>2077</v>
      </c>
      <c r="V3284" s="69" t="s">
        <v>272</v>
      </c>
      <c r="W3284" s="89" t="s">
        <v>137</v>
      </c>
      <c r="X3284" s="106" t="s">
        <v>295</v>
      </c>
      <c r="Y3284" s="107" t="s">
        <v>18</v>
      </c>
      <c r="Z3284" s="67">
        <f>IF(База_КР_КК[[#This Row],[Таб.номер резервиста]]="-","-",IF(OR(База_КР_КК[[#This Row],[Уровень КК]]=2,База_КР_КК[[#This Row],[Уровень КК]]=3),IF(COUNTIFS($U$2:$U3284,$U3284,$F$2:$F3284,$F3284)=1,1,0),IF(COUNTIFS($U$2:$U3284,$U3284,$L$2:$L3284,$L3284)=1,1,0)))</f>
        <v>1</v>
      </c>
      <c r="AA32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4" s="106" t="s">
        <v>38</v>
      </c>
      <c r="AC3284" s="51">
        <v>44859</v>
      </c>
      <c r="AD3284" s="106" t="s">
        <v>31</v>
      </c>
      <c r="AE3284" s="38" t="s">
        <v>376</v>
      </c>
    </row>
    <row r="3285" spans="1:31" ht="18" customHeight="1" x14ac:dyDescent="0.25">
      <c r="A32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5" s="79">
        <v>4</v>
      </c>
      <c r="C3285" s="23">
        <v>44469</v>
      </c>
      <c r="D3285" s="67">
        <f>IF(COUNTIF($G$2:$G3285,$G3285)=1,1,0)</f>
        <v>0</v>
      </c>
      <c r="E3285" s="67" t="str">
        <f>IFERROR(VLOOKUP(База_КР_КК[[#This Row],[ИД штатной должности (S)]],'уровень защищенности'!$B$7:$F$1095,5,0),"не защищена")</f>
        <v>средний</v>
      </c>
      <c r="F3285" s="68">
        <v>500178</v>
      </c>
      <c r="G3285" s="74" t="s">
        <v>2945</v>
      </c>
      <c r="H3285" s="181">
        <f>INDEX('Списки данных'!$D$2:$D$1048576,MATCH(База_КР_КК[[#This Row],[Структурное подразделение]],'Списки данных'!$C$2:$C$1048576,0))</f>
        <v>7</v>
      </c>
      <c r="I3285" s="80" t="s">
        <v>137</v>
      </c>
      <c r="J3285" s="80" t="s">
        <v>248</v>
      </c>
      <c r="K3285" s="80" t="s">
        <v>249</v>
      </c>
      <c r="L3285" s="30" t="s">
        <v>191</v>
      </c>
      <c r="M3285" s="68">
        <v>6</v>
      </c>
      <c r="N3285" s="181" t="str">
        <f t="shared" si="52"/>
        <v>да</v>
      </c>
      <c r="O3285" s="23">
        <v>44804</v>
      </c>
      <c r="P3285" s="23">
        <v>44998</v>
      </c>
      <c r="Q3285" s="106" t="s">
        <v>66</v>
      </c>
      <c r="R3285" s="37">
        <v>764</v>
      </c>
      <c r="S3285" s="38" t="s">
        <v>1173</v>
      </c>
      <c r="T3285" s="37">
        <v>1863</v>
      </c>
      <c r="U3285" s="39" t="s">
        <v>1965</v>
      </c>
      <c r="V3285" s="69" t="s">
        <v>272</v>
      </c>
      <c r="W3285" s="89" t="s">
        <v>291</v>
      </c>
      <c r="X3285" s="106" t="s">
        <v>297</v>
      </c>
      <c r="Y3285" s="107" t="s">
        <v>18</v>
      </c>
      <c r="Z3285" s="67">
        <f>IF(База_КР_КК[[#This Row],[Таб.номер резервиста]]="-","-",IF(OR(База_КР_КК[[#This Row],[Уровень КК]]=2,База_КР_КК[[#This Row],[Уровень КК]]=3),IF(COUNTIFS($U$2:$U3285,$U3285,$F$2:$F3285,$F3285)=1,1,0),IF(COUNTIFS($U$2:$U3285,$U3285,$L$2:$L3285,$L3285)=1,1,0)))</f>
        <v>0</v>
      </c>
      <c r="AA32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5" s="106" t="s">
        <v>33</v>
      </c>
      <c r="AC3285" s="51">
        <v>44571</v>
      </c>
      <c r="AD3285" s="106" t="s">
        <v>15</v>
      </c>
      <c r="AE3285" s="38" t="s">
        <v>380</v>
      </c>
    </row>
    <row r="3286" spans="1:31" ht="18" customHeight="1" x14ac:dyDescent="0.25">
      <c r="A32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6" s="79">
        <v>4</v>
      </c>
      <c r="C3286" s="23">
        <v>44125</v>
      </c>
      <c r="D3286" s="67">
        <f>IF(COUNTIF($G$2:$G3286,$G3286)=1,1,0)</f>
        <v>1</v>
      </c>
      <c r="E3286" s="67" t="str">
        <f>IFERROR(VLOOKUP(База_КР_КК[[#This Row],[ИД штатной должности (S)]],'уровень защищенности'!$B$7:$F$1095,5,0),"не защищена")</f>
        <v>средний</v>
      </c>
      <c r="F3286" s="68">
        <v>500178</v>
      </c>
      <c r="G3286" s="74" t="s">
        <v>2946</v>
      </c>
      <c r="H3286" s="181">
        <f>INDEX('Списки данных'!$D$2:$D$1048576,MATCH(База_КР_КК[[#This Row],[Структурное подразделение]],'Списки данных'!$C$2:$C$1048576,0))</f>
        <v>7</v>
      </c>
      <c r="I3286" s="80" t="s">
        <v>137</v>
      </c>
      <c r="J3286" s="80" t="s">
        <v>248</v>
      </c>
      <c r="K3286" s="80" t="s">
        <v>249</v>
      </c>
      <c r="L3286" s="30" t="s">
        <v>191</v>
      </c>
      <c r="M3286" s="68">
        <v>6</v>
      </c>
      <c r="N3286" s="181" t="str">
        <f t="shared" si="52"/>
        <v>нет</v>
      </c>
      <c r="O3286" s="23"/>
      <c r="P3286" s="23"/>
      <c r="Q3286" s="106"/>
      <c r="R3286" s="37">
        <v>765</v>
      </c>
      <c r="S3286" s="38" t="s">
        <v>1174</v>
      </c>
      <c r="T3286" s="37">
        <v>1856</v>
      </c>
      <c r="U3286" s="39" t="s">
        <v>2046</v>
      </c>
      <c r="V3286" s="89" t="s">
        <v>272</v>
      </c>
      <c r="W3286" s="89" t="s">
        <v>137</v>
      </c>
      <c r="X3286" s="106" t="s">
        <v>297</v>
      </c>
      <c r="Y3286" s="107" t="s">
        <v>12</v>
      </c>
      <c r="Z3286" s="67">
        <f>IF(База_КР_КК[[#This Row],[Таб.номер резервиста]]="-","-",IF(OR(База_КР_КК[[#This Row],[Уровень КК]]=2,База_КР_КК[[#This Row],[Уровень КК]]=3),IF(COUNTIFS($U$2:$U3286,$U3286,$F$2:$F3286,$F3286)=1,1,0),IF(COUNTIFS($U$2:$U3286,$U3286,$L$2:$L3286,$L3286)=1,1,0)))</f>
        <v>0</v>
      </c>
      <c r="AA32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6" s="106"/>
      <c r="AC3286" s="51"/>
      <c r="AD3286" s="106" t="s">
        <v>13</v>
      </c>
      <c r="AE3286" s="38" t="s">
        <v>376</v>
      </c>
    </row>
    <row r="3287" spans="1:31" ht="18" customHeight="1" x14ac:dyDescent="0.25">
      <c r="A32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7" s="79">
        <v>4</v>
      </c>
      <c r="C3287" s="23">
        <v>44859</v>
      </c>
      <c r="D3287" s="67">
        <f>IF(COUNTIF($G$2:$G3287,$G3287)=1,1,0)</f>
        <v>0</v>
      </c>
      <c r="E3287" s="67" t="str">
        <f>IFERROR(VLOOKUP(База_КР_КК[[#This Row],[ИД штатной должности (S)]],'уровень защищенности'!$B$7:$F$1095,5,0),"не защищена")</f>
        <v>средний</v>
      </c>
      <c r="F3287" s="68">
        <v>500178</v>
      </c>
      <c r="G3287" s="74" t="s">
        <v>2946</v>
      </c>
      <c r="H3287" s="181">
        <f>INDEX('Списки данных'!$D$2:$D$1048576,MATCH(База_КР_КК[[#This Row],[Структурное подразделение]],'Списки данных'!$C$2:$C$1048576,0))</f>
        <v>7</v>
      </c>
      <c r="I3287" s="80" t="s">
        <v>137</v>
      </c>
      <c r="J3287" s="80" t="s">
        <v>248</v>
      </c>
      <c r="K3287" s="80" t="s">
        <v>249</v>
      </c>
      <c r="L3287" s="30" t="s">
        <v>191</v>
      </c>
      <c r="M3287" s="68">
        <v>6</v>
      </c>
      <c r="N3287" s="181" t="str">
        <f t="shared" si="52"/>
        <v>нет</v>
      </c>
      <c r="O3287" s="23"/>
      <c r="P3287" s="23"/>
      <c r="Q3287" s="106"/>
      <c r="R3287" s="37">
        <v>765</v>
      </c>
      <c r="S3287" s="39" t="s">
        <v>1174</v>
      </c>
      <c r="T3287" s="37">
        <v>1857</v>
      </c>
      <c r="U3287" s="38" t="s">
        <v>1837</v>
      </c>
      <c r="V3287" s="69" t="s">
        <v>272</v>
      </c>
      <c r="W3287" s="89" t="s">
        <v>137</v>
      </c>
      <c r="X3287" s="106" t="s">
        <v>296</v>
      </c>
      <c r="Y3287" s="107" t="s">
        <v>12</v>
      </c>
      <c r="Z3287" s="67">
        <f>IF(База_КР_КК[[#This Row],[Таб.номер резервиста]]="-","-",IF(OR(База_КР_КК[[#This Row],[Уровень КК]]=2,База_КР_КК[[#This Row],[Уровень КК]]=3),IF(COUNTIFS($U$2:$U3287,$U3287,$F$2:$F3287,$F3287)=1,1,0),IF(COUNTIFS($U$2:$U3287,$U3287,$L$2:$L3287,$L3287)=1,1,0)))</f>
        <v>0</v>
      </c>
      <c r="AA32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7" s="106"/>
      <c r="AC3287" s="51"/>
      <c r="AD3287" s="106" t="s">
        <v>15</v>
      </c>
      <c r="AE3287" s="38" t="s">
        <v>376</v>
      </c>
    </row>
    <row r="3288" spans="1:31" ht="18" customHeight="1" x14ac:dyDescent="0.25">
      <c r="A32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8" s="79">
        <v>4</v>
      </c>
      <c r="C3288" s="23">
        <v>44859</v>
      </c>
      <c r="D3288" s="67">
        <f>IF(COUNTIF($G$2:$G3288,$G3288)=1,1,0)</f>
        <v>0</v>
      </c>
      <c r="E3288" s="67" t="str">
        <f>IFERROR(VLOOKUP(База_КР_КК[[#This Row],[ИД штатной должности (S)]],'уровень защищенности'!$B$7:$F$1095,5,0),"не защищена")</f>
        <v>средний</v>
      </c>
      <c r="F3288" s="68">
        <v>500178</v>
      </c>
      <c r="G3288" s="74" t="s">
        <v>2946</v>
      </c>
      <c r="H3288" s="181">
        <f>INDEX('Списки данных'!$D$2:$D$1048576,MATCH(База_КР_КК[[#This Row],[Структурное подразделение]],'Списки данных'!$C$2:$C$1048576,0))</f>
        <v>7</v>
      </c>
      <c r="I3288" s="80" t="s">
        <v>137</v>
      </c>
      <c r="J3288" s="80" t="s">
        <v>248</v>
      </c>
      <c r="K3288" s="80" t="s">
        <v>249</v>
      </c>
      <c r="L3288" s="30" t="s">
        <v>191</v>
      </c>
      <c r="M3288" s="68">
        <v>6</v>
      </c>
      <c r="N3288" s="181" t="str">
        <f t="shared" si="52"/>
        <v>нет</v>
      </c>
      <c r="O3288" s="23"/>
      <c r="P3288" s="23"/>
      <c r="Q3288" s="106"/>
      <c r="R3288" s="37">
        <v>765</v>
      </c>
      <c r="S3288" s="39" t="s">
        <v>1174</v>
      </c>
      <c r="T3288" s="37">
        <v>1858</v>
      </c>
      <c r="U3288" s="38" t="s">
        <v>2075</v>
      </c>
      <c r="V3288" s="89" t="s">
        <v>272</v>
      </c>
      <c r="W3288" s="89" t="s">
        <v>137</v>
      </c>
      <c r="X3288" s="106" t="s">
        <v>296</v>
      </c>
      <c r="Y3288" s="107" t="s">
        <v>12</v>
      </c>
      <c r="Z3288" s="67">
        <f>IF(База_КР_КК[[#This Row],[Таб.номер резервиста]]="-","-",IF(OR(База_КР_КК[[#This Row],[Уровень КК]]=2,База_КР_КК[[#This Row],[Уровень КК]]=3),IF(COUNTIFS($U$2:$U3288,$U3288,$F$2:$F3288,$F3288)=1,1,0),IF(COUNTIFS($U$2:$U3288,$U3288,$L$2:$L3288,$L3288)=1,1,0)))</f>
        <v>0</v>
      </c>
      <c r="AA32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8" s="106"/>
      <c r="AC3288" s="51"/>
      <c r="AD3288" s="106" t="s">
        <v>15</v>
      </c>
      <c r="AE3288" s="38" t="s">
        <v>376</v>
      </c>
    </row>
    <row r="3289" spans="1:31" ht="18" customHeight="1" x14ac:dyDescent="0.25">
      <c r="A32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89" s="79">
        <v>4</v>
      </c>
      <c r="C3289" s="23">
        <v>44859</v>
      </c>
      <c r="D3289" s="67">
        <f>IF(COUNTIF($G$2:$G3289,$G3289)=1,1,0)</f>
        <v>0</v>
      </c>
      <c r="E3289" s="67" t="str">
        <f>IFERROR(VLOOKUP(База_КР_КК[[#This Row],[ИД штатной должности (S)]],'уровень защищенности'!$B$7:$F$1095,5,0),"не защищена")</f>
        <v>средний</v>
      </c>
      <c r="F3289" s="68">
        <v>500178</v>
      </c>
      <c r="G3289" s="74" t="s">
        <v>2946</v>
      </c>
      <c r="H3289" s="181">
        <f>INDEX('Списки данных'!$D$2:$D$1048576,MATCH(База_КР_КК[[#This Row],[Структурное подразделение]],'Списки данных'!$C$2:$C$1048576,0))</f>
        <v>7</v>
      </c>
      <c r="I3289" s="80" t="s">
        <v>137</v>
      </c>
      <c r="J3289" s="80" t="s">
        <v>248</v>
      </c>
      <c r="K3289" s="80" t="s">
        <v>249</v>
      </c>
      <c r="L3289" s="30" t="s">
        <v>191</v>
      </c>
      <c r="M3289" s="68">
        <v>6</v>
      </c>
      <c r="N3289" s="181" t="str">
        <f t="shared" si="52"/>
        <v>нет</v>
      </c>
      <c r="O3289" s="23"/>
      <c r="P3289" s="23"/>
      <c r="Q3289" s="106"/>
      <c r="R3289" s="37">
        <v>765</v>
      </c>
      <c r="S3289" s="39" t="s">
        <v>1174</v>
      </c>
      <c r="T3289" s="37">
        <v>1859</v>
      </c>
      <c r="U3289" s="38" t="s">
        <v>2076</v>
      </c>
      <c r="V3289" s="89" t="s">
        <v>272</v>
      </c>
      <c r="W3289" s="89" t="s">
        <v>137</v>
      </c>
      <c r="X3289" s="106" t="s">
        <v>296</v>
      </c>
      <c r="Y3289" s="107" t="s">
        <v>12</v>
      </c>
      <c r="Z3289" s="67">
        <f>IF(База_КР_КК[[#This Row],[Таб.номер резервиста]]="-","-",IF(OR(База_КР_КК[[#This Row],[Уровень КК]]=2,База_КР_КК[[#This Row],[Уровень КК]]=3),IF(COUNTIFS($U$2:$U3289,$U3289,$F$2:$F3289,$F3289)=1,1,0),IF(COUNTIFS($U$2:$U3289,$U3289,$L$2:$L3289,$L3289)=1,1,0)))</f>
        <v>0</v>
      </c>
      <c r="AA32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89" s="106"/>
      <c r="AC3289" s="51"/>
      <c r="AD3289" s="106" t="s">
        <v>15</v>
      </c>
      <c r="AE3289" s="38" t="s">
        <v>376</v>
      </c>
    </row>
    <row r="3290" spans="1:31" ht="18" customHeight="1" x14ac:dyDescent="0.25">
      <c r="A32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0" s="79">
        <v>4</v>
      </c>
      <c r="C3290" s="23">
        <v>44859</v>
      </c>
      <c r="D3290" s="67">
        <f>IF(COUNTIF($G$2:$G3290,$G3290)=1,1,0)</f>
        <v>0</v>
      </c>
      <c r="E3290" s="67" t="str">
        <f>IFERROR(VLOOKUP(База_КР_КК[[#This Row],[ИД штатной должности (S)]],'уровень защищенности'!$B$7:$F$1095,5,0),"не защищена")</f>
        <v>средний</v>
      </c>
      <c r="F3290" s="68">
        <v>500178</v>
      </c>
      <c r="G3290" s="74" t="s">
        <v>2946</v>
      </c>
      <c r="H3290" s="181">
        <f>INDEX('Списки данных'!$D$2:$D$1048576,MATCH(База_КР_КК[[#This Row],[Структурное подразделение]],'Списки данных'!$C$2:$C$1048576,0))</f>
        <v>7</v>
      </c>
      <c r="I3290" s="80" t="s">
        <v>137</v>
      </c>
      <c r="J3290" s="80" t="s">
        <v>248</v>
      </c>
      <c r="K3290" s="80" t="s">
        <v>249</v>
      </c>
      <c r="L3290" s="30" t="s">
        <v>191</v>
      </c>
      <c r="M3290" s="68">
        <v>6</v>
      </c>
      <c r="N3290" s="181" t="str">
        <f t="shared" si="52"/>
        <v>нет</v>
      </c>
      <c r="O3290" s="23"/>
      <c r="P3290" s="23"/>
      <c r="Q3290" s="106"/>
      <c r="R3290" s="37">
        <v>765</v>
      </c>
      <c r="S3290" s="39" t="s">
        <v>1174</v>
      </c>
      <c r="T3290" s="37">
        <v>764</v>
      </c>
      <c r="U3290" s="38" t="s">
        <v>1173</v>
      </c>
      <c r="V3290" s="69" t="s">
        <v>272</v>
      </c>
      <c r="W3290" s="89" t="s">
        <v>137</v>
      </c>
      <c r="X3290" s="106" t="s">
        <v>295</v>
      </c>
      <c r="Y3290" s="107" t="s">
        <v>14</v>
      </c>
      <c r="Z3290" s="67">
        <f>IF(База_КР_КК[[#This Row],[Таб.номер резервиста]]="-","-",IF(OR(База_КР_КК[[#This Row],[Уровень КК]]=2,База_КР_КК[[#This Row],[Уровень КК]]=3),IF(COUNTIFS($U$2:$U3290,$U3290,$F$2:$F3290,$F3290)=1,1,0),IF(COUNTIFS($U$2:$U3290,$U3290,$L$2:$L3290,$L3290)=1,1,0)))</f>
        <v>0</v>
      </c>
      <c r="AA32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0" s="106" t="s">
        <v>24</v>
      </c>
      <c r="AC3290" s="51">
        <v>44998</v>
      </c>
      <c r="AD3290" s="106" t="s">
        <v>15</v>
      </c>
      <c r="AE3290" s="38" t="s">
        <v>376</v>
      </c>
    </row>
    <row r="3291" spans="1:31" ht="18" customHeight="1" x14ac:dyDescent="0.25">
      <c r="A32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1" s="79">
        <v>4</v>
      </c>
      <c r="C3291" s="23">
        <v>44125</v>
      </c>
      <c r="D3291" s="67">
        <f>IF(COUNTIF($G$2:$G3291,$G3291)=1,1,0)</f>
        <v>0</v>
      </c>
      <c r="E3291" s="67" t="str">
        <f>IFERROR(VLOOKUP(База_КР_КК[[#This Row],[ИД штатной должности (S)]],'уровень защищенности'!$B$7:$F$1095,5,0),"не защищена")</f>
        <v>средний</v>
      </c>
      <c r="F3291" s="68">
        <v>500178</v>
      </c>
      <c r="G3291" s="74" t="s">
        <v>2946</v>
      </c>
      <c r="H3291" s="181">
        <f>INDEX('Списки данных'!$D$2:$D$1048576,MATCH(База_КР_КК[[#This Row],[Структурное подразделение]],'Списки данных'!$C$2:$C$1048576,0))</f>
        <v>7</v>
      </c>
      <c r="I3291" s="80" t="s">
        <v>137</v>
      </c>
      <c r="J3291" s="80" t="s">
        <v>248</v>
      </c>
      <c r="K3291" s="80" t="s">
        <v>249</v>
      </c>
      <c r="L3291" s="30" t="s">
        <v>191</v>
      </c>
      <c r="M3291" s="68">
        <v>6</v>
      </c>
      <c r="N3291" s="181" t="str">
        <f t="shared" si="52"/>
        <v>нет</v>
      </c>
      <c r="O3291" s="23"/>
      <c r="P3291" s="23"/>
      <c r="Q3291" s="106"/>
      <c r="R3291" s="37">
        <v>765</v>
      </c>
      <c r="S3291" s="38" t="s">
        <v>1174</v>
      </c>
      <c r="T3291" s="37">
        <v>1861</v>
      </c>
      <c r="U3291" s="39" t="s">
        <v>1833</v>
      </c>
      <c r="V3291" s="89" t="s">
        <v>272</v>
      </c>
      <c r="W3291" s="89" t="s">
        <v>137</v>
      </c>
      <c r="X3291" s="106" t="s">
        <v>295</v>
      </c>
      <c r="Y3291" s="107" t="s">
        <v>18</v>
      </c>
      <c r="Z3291" s="67">
        <f>IF(База_КР_КК[[#This Row],[Таб.номер резервиста]]="-","-",IF(OR(База_КР_КК[[#This Row],[Уровень КК]]=2,База_КР_КК[[#This Row],[Уровень КК]]=3),IF(COUNTIFS($U$2:$U3291,$U3291,$F$2:$F3291,$F3291)=1,1,0),IF(COUNTIFS($U$2:$U3291,$U3291,$L$2:$L3291,$L3291)=1,1,0)))</f>
        <v>0</v>
      </c>
      <c r="AA32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1" s="106" t="s">
        <v>19</v>
      </c>
      <c r="AC3291" s="51">
        <v>44798</v>
      </c>
      <c r="AD3291" s="106" t="s">
        <v>15</v>
      </c>
      <c r="AE3291" s="38" t="s">
        <v>318</v>
      </c>
    </row>
    <row r="3292" spans="1:31" ht="18" customHeight="1" x14ac:dyDescent="0.25">
      <c r="A32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2" s="79">
        <v>4</v>
      </c>
      <c r="C3292" s="23">
        <v>44469</v>
      </c>
      <c r="D3292" s="67">
        <f>IF(COUNTIF($G$2:$G3292,$G3292)=1,1,0)</f>
        <v>0</v>
      </c>
      <c r="E3292" s="67" t="str">
        <f>IFERROR(VLOOKUP(База_КР_КК[[#This Row],[ИД штатной должности (S)]],'уровень защищенности'!$B$7:$F$1095,5,0),"не защищена")</f>
        <v>средний</v>
      </c>
      <c r="F3292" s="68">
        <v>500178</v>
      </c>
      <c r="G3292" s="74" t="s">
        <v>2946</v>
      </c>
      <c r="H3292" s="181">
        <f>INDEX('Списки данных'!$D$2:$D$1048576,MATCH(База_КР_КК[[#This Row],[Структурное подразделение]],'Списки данных'!$C$2:$C$1048576,0))</f>
        <v>7</v>
      </c>
      <c r="I3292" s="80" t="s">
        <v>137</v>
      </c>
      <c r="J3292" s="80" t="s">
        <v>248</v>
      </c>
      <c r="K3292" s="80" t="s">
        <v>249</v>
      </c>
      <c r="L3292" s="30" t="s">
        <v>191</v>
      </c>
      <c r="M3292" s="68">
        <v>6</v>
      </c>
      <c r="N3292" s="181" t="str">
        <f t="shared" si="52"/>
        <v>нет</v>
      </c>
      <c r="O3292" s="23"/>
      <c r="P3292" s="23"/>
      <c r="Q3292" s="106"/>
      <c r="R3292" s="37">
        <v>765</v>
      </c>
      <c r="S3292" s="38" t="s">
        <v>1174</v>
      </c>
      <c r="T3292" s="37">
        <v>1862</v>
      </c>
      <c r="U3292" s="39" t="s">
        <v>2077</v>
      </c>
      <c r="V3292" s="69" t="s">
        <v>272</v>
      </c>
      <c r="W3292" s="89" t="s">
        <v>137</v>
      </c>
      <c r="X3292" s="106" t="s">
        <v>295</v>
      </c>
      <c r="Y3292" s="107" t="s">
        <v>18</v>
      </c>
      <c r="Z3292" s="67">
        <f>IF(База_КР_КК[[#This Row],[Таб.номер резервиста]]="-","-",IF(OR(База_КР_КК[[#This Row],[Уровень КК]]=2,База_КР_КК[[#This Row],[Уровень КК]]=3),IF(COUNTIFS($U$2:$U3292,$U3292,$F$2:$F3292,$F3292)=1,1,0),IF(COUNTIFS($U$2:$U3292,$U3292,$L$2:$L3292,$L3292)=1,1,0)))</f>
        <v>0</v>
      </c>
      <c r="AA32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2" s="106" t="s">
        <v>38</v>
      </c>
      <c r="AC3292" s="51">
        <v>44859</v>
      </c>
      <c r="AD3292" s="106" t="s">
        <v>31</v>
      </c>
      <c r="AE3292" s="38" t="s">
        <v>376</v>
      </c>
    </row>
    <row r="3293" spans="1:31" ht="18" customHeight="1" x14ac:dyDescent="0.25">
      <c r="A32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3" s="79">
        <v>4</v>
      </c>
      <c r="C3293" s="23">
        <v>44469</v>
      </c>
      <c r="D3293" s="67">
        <f>IF(COUNTIF($G$2:$G3293,$G3293)=1,1,0)</f>
        <v>0</v>
      </c>
      <c r="E3293" s="67" t="str">
        <f>IFERROR(VLOOKUP(База_КР_КК[[#This Row],[ИД штатной должности (S)]],'уровень защищенности'!$B$7:$F$1095,5,0),"не защищена")</f>
        <v>средний</v>
      </c>
      <c r="F3293" s="68">
        <v>500178</v>
      </c>
      <c r="G3293" s="74" t="s">
        <v>2946</v>
      </c>
      <c r="H3293" s="181">
        <f>INDEX('Списки данных'!$D$2:$D$1048576,MATCH(База_КР_КК[[#This Row],[Структурное подразделение]],'Списки данных'!$C$2:$C$1048576,0))</f>
        <v>7</v>
      </c>
      <c r="I3293" s="80" t="s">
        <v>137</v>
      </c>
      <c r="J3293" s="80" t="s">
        <v>248</v>
      </c>
      <c r="K3293" s="80" t="s">
        <v>249</v>
      </c>
      <c r="L3293" s="30" t="s">
        <v>191</v>
      </c>
      <c r="M3293" s="68">
        <v>6</v>
      </c>
      <c r="N3293" s="181" t="str">
        <f t="shared" si="52"/>
        <v>нет</v>
      </c>
      <c r="O3293" s="23"/>
      <c r="P3293" s="23"/>
      <c r="Q3293" s="106"/>
      <c r="R3293" s="37">
        <v>765</v>
      </c>
      <c r="S3293" s="38" t="s">
        <v>1174</v>
      </c>
      <c r="T3293" s="37">
        <v>1863</v>
      </c>
      <c r="U3293" s="39" t="s">
        <v>1965</v>
      </c>
      <c r="V3293" s="69" t="s">
        <v>272</v>
      </c>
      <c r="W3293" s="89" t="s">
        <v>291</v>
      </c>
      <c r="X3293" s="106" t="s">
        <v>297</v>
      </c>
      <c r="Y3293" s="107" t="s">
        <v>18</v>
      </c>
      <c r="Z3293" s="67">
        <f>IF(База_КР_КК[[#This Row],[Таб.номер резервиста]]="-","-",IF(OR(База_КР_КК[[#This Row],[Уровень КК]]=2,База_КР_КК[[#This Row],[Уровень КК]]=3),IF(COUNTIFS($U$2:$U3293,$U3293,$F$2:$F3293,$F3293)=1,1,0),IF(COUNTIFS($U$2:$U3293,$U3293,$L$2:$L3293,$L3293)=1,1,0)))</f>
        <v>0</v>
      </c>
      <c r="AA32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3" s="106" t="s">
        <v>33</v>
      </c>
      <c r="AC3293" s="51">
        <v>44571</v>
      </c>
      <c r="AD3293" s="106" t="s">
        <v>15</v>
      </c>
      <c r="AE3293" s="38" t="s">
        <v>380</v>
      </c>
    </row>
    <row r="3294" spans="1:31" ht="18" customHeight="1" x14ac:dyDescent="0.25">
      <c r="A32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4" s="79">
        <v>4</v>
      </c>
      <c r="C3294" s="23">
        <v>44125</v>
      </c>
      <c r="D3294" s="67">
        <f>IF(COUNTIF($G$2:$G3294,$G3294)=1,1,0)</f>
        <v>1</v>
      </c>
      <c r="E3294" s="67" t="str">
        <f>IFERROR(VLOOKUP(База_КР_КК[[#This Row],[ИД штатной должности (S)]],'уровень защищенности'!$B$7:$F$1095,5,0),"не защищена")</f>
        <v>средний</v>
      </c>
      <c r="F3294" s="68">
        <v>500178</v>
      </c>
      <c r="G3294" s="74" t="s">
        <v>2947</v>
      </c>
      <c r="H3294" s="181">
        <f>INDEX('Списки данных'!$D$2:$D$1048576,MATCH(База_КР_КК[[#This Row],[Структурное подразделение]],'Списки данных'!$C$2:$C$1048576,0))</f>
        <v>7</v>
      </c>
      <c r="I3294" s="80" t="s">
        <v>137</v>
      </c>
      <c r="J3294" s="80" t="s">
        <v>248</v>
      </c>
      <c r="K3294" s="80" t="s">
        <v>249</v>
      </c>
      <c r="L3294" s="30" t="s">
        <v>191</v>
      </c>
      <c r="M3294" s="68">
        <v>6</v>
      </c>
      <c r="N3294" s="181" t="str">
        <f t="shared" si="52"/>
        <v>нет</v>
      </c>
      <c r="O3294" s="23"/>
      <c r="P3294" s="23"/>
      <c r="Q3294" s="106"/>
      <c r="R3294" s="37">
        <v>766</v>
      </c>
      <c r="S3294" s="38" t="s">
        <v>1175</v>
      </c>
      <c r="T3294" s="37">
        <v>1856</v>
      </c>
      <c r="U3294" s="39" t="s">
        <v>2046</v>
      </c>
      <c r="V3294" s="89" t="s">
        <v>272</v>
      </c>
      <c r="W3294" s="89" t="s">
        <v>137</v>
      </c>
      <c r="X3294" s="106" t="s">
        <v>297</v>
      </c>
      <c r="Y3294" s="107" t="s">
        <v>12</v>
      </c>
      <c r="Z3294" s="67">
        <f>IF(База_КР_КК[[#This Row],[Таб.номер резервиста]]="-","-",IF(OR(База_КР_КК[[#This Row],[Уровень КК]]=2,База_КР_КК[[#This Row],[Уровень КК]]=3),IF(COUNTIFS($U$2:$U3294,$U3294,$F$2:$F3294,$F3294)=1,1,0),IF(COUNTIFS($U$2:$U3294,$U3294,$L$2:$L3294,$L3294)=1,1,0)))</f>
        <v>0</v>
      </c>
      <c r="AA32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4" s="106"/>
      <c r="AC3294" s="51"/>
      <c r="AD3294" s="106" t="s">
        <v>13</v>
      </c>
      <c r="AE3294" s="38" t="s">
        <v>376</v>
      </c>
    </row>
    <row r="3295" spans="1:31" ht="18" customHeight="1" x14ac:dyDescent="0.25">
      <c r="A32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5" s="79">
        <v>4</v>
      </c>
      <c r="C3295" s="23">
        <v>44859</v>
      </c>
      <c r="D3295" s="67">
        <f>IF(COUNTIF($G$2:$G3295,$G3295)=1,1,0)</f>
        <v>0</v>
      </c>
      <c r="E3295" s="67" t="str">
        <f>IFERROR(VLOOKUP(База_КР_КК[[#This Row],[ИД штатной должности (S)]],'уровень защищенности'!$B$7:$F$1095,5,0),"не защищена")</f>
        <v>средний</v>
      </c>
      <c r="F3295" s="68">
        <v>500178</v>
      </c>
      <c r="G3295" s="74" t="s">
        <v>2947</v>
      </c>
      <c r="H3295" s="181">
        <f>INDEX('Списки данных'!$D$2:$D$1048576,MATCH(База_КР_КК[[#This Row],[Структурное подразделение]],'Списки данных'!$C$2:$C$1048576,0))</f>
        <v>7</v>
      </c>
      <c r="I3295" s="80" t="s">
        <v>137</v>
      </c>
      <c r="J3295" s="80" t="s">
        <v>248</v>
      </c>
      <c r="K3295" s="80" t="s">
        <v>249</v>
      </c>
      <c r="L3295" s="30" t="s">
        <v>191</v>
      </c>
      <c r="M3295" s="68">
        <v>6</v>
      </c>
      <c r="N3295" s="181" t="str">
        <f t="shared" si="52"/>
        <v>нет</v>
      </c>
      <c r="O3295" s="23"/>
      <c r="P3295" s="23"/>
      <c r="Q3295" s="106"/>
      <c r="R3295" s="37">
        <v>766</v>
      </c>
      <c r="S3295" s="39" t="s">
        <v>1175</v>
      </c>
      <c r="T3295" s="37">
        <v>1857</v>
      </c>
      <c r="U3295" s="38" t="s">
        <v>1837</v>
      </c>
      <c r="V3295" s="69" t="s">
        <v>272</v>
      </c>
      <c r="W3295" s="89" t="s">
        <v>137</v>
      </c>
      <c r="X3295" s="106" t="s">
        <v>296</v>
      </c>
      <c r="Y3295" s="107" t="s">
        <v>12</v>
      </c>
      <c r="Z3295" s="67">
        <f>IF(База_КР_КК[[#This Row],[Таб.номер резервиста]]="-","-",IF(OR(База_КР_КК[[#This Row],[Уровень КК]]=2,База_КР_КК[[#This Row],[Уровень КК]]=3),IF(COUNTIFS($U$2:$U3295,$U3295,$F$2:$F3295,$F3295)=1,1,0),IF(COUNTIFS($U$2:$U3295,$U3295,$L$2:$L3295,$L3295)=1,1,0)))</f>
        <v>0</v>
      </c>
      <c r="AA32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5" s="106"/>
      <c r="AC3295" s="51"/>
      <c r="AD3295" s="106" t="s">
        <v>15</v>
      </c>
      <c r="AE3295" s="38" t="s">
        <v>376</v>
      </c>
    </row>
    <row r="3296" spans="1:31" ht="18" customHeight="1" x14ac:dyDescent="0.25">
      <c r="A32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6" s="79">
        <v>4</v>
      </c>
      <c r="C3296" s="23">
        <v>44859</v>
      </c>
      <c r="D3296" s="67">
        <f>IF(COUNTIF($G$2:$G3296,$G3296)=1,1,0)</f>
        <v>0</v>
      </c>
      <c r="E3296" s="67" t="str">
        <f>IFERROR(VLOOKUP(База_КР_КК[[#This Row],[ИД штатной должности (S)]],'уровень защищенности'!$B$7:$F$1095,5,0),"не защищена")</f>
        <v>средний</v>
      </c>
      <c r="F3296" s="68">
        <v>500178</v>
      </c>
      <c r="G3296" s="74" t="s">
        <v>2947</v>
      </c>
      <c r="H3296" s="181">
        <f>INDEX('Списки данных'!$D$2:$D$1048576,MATCH(База_КР_КК[[#This Row],[Структурное подразделение]],'Списки данных'!$C$2:$C$1048576,0))</f>
        <v>7</v>
      </c>
      <c r="I3296" s="80" t="s">
        <v>137</v>
      </c>
      <c r="J3296" s="80" t="s">
        <v>248</v>
      </c>
      <c r="K3296" s="80" t="s">
        <v>249</v>
      </c>
      <c r="L3296" s="30" t="s">
        <v>191</v>
      </c>
      <c r="M3296" s="68">
        <v>6</v>
      </c>
      <c r="N3296" s="181" t="str">
        <f t="shared" si="52"/>
        <v>нет</v>
      </c>
      <c r="O3296" s="23"/>
      <c r="P3296" s="23"/>
      <c r="Q3296" s="106"/>
      <c r="R3296" s="37">
        <v>766</v>
      </c>
      <c r="S3296" s="39" t="s">
        <v>1175</v>
      </c>
      <c r="T3296" s="37">
        <v>1858</v>
      </c>
      <c r="U3296" s="38" t="s">
        <v>2075</v>
      </c>
      <c r="V3296" s="89" t="s">
        <v>272</v>
      </c>
      <c r="W3296" s="89" t="s">
        <v>137</v>
      </c>
      <c r="X3296" s="106" t="s">
        <v>296</v>
      </c>
      <c r="Y3296" s="107" t="s">
        <v>12</v>
      </c>
      <c r="Z3296" s="67">
        <f>IF(База_КР_КК[[#This Row],[Таб.номер резервиста]]="-","-",IF(OR(База_КР_КК[[#This Row],[Уровень КК]]=2,База_КР_КК[[#This Row],[Уровень КК]]=3),IF(COUNTIFS($U$2:$U3296,$U3296,$F$2:$F3296,$F3296)=1,1,0),IF(COUNTIFS($U$2:$U3296,$U3296,$L$2:$L3296,$L3296)=1,1,0)))</f>
        <v>0</v>
      </c>
      <c r="AA32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6" s="106"/>
      <c r="AC3296" s="51"/>
      <c r="AD3296" s="106" t="s">
        <v>15</v>
      </c>
      <c r="AE3296" s="38" t="s">
        <v>376</v>
      </c>
    </row>
    <row r="3297" spans="1:31" ht="18" customHeight="1" x14ac:dyDescent="0.25">
      <c r="A32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7" s="79">
        <v>4</v>
      </c>
      <c r="C3297" s="23">
        <v>44859</v>
      </c>
      <c r="D3297" s="67">
        <f>IF(COUNTIF($G$2:$G3297,$G3297)=1,1,0)</f>
        <v>0</v>
      </c>
      <c r="E3297" s="67" t="str">
        <f>IFERROR(VLOOKUP(База_КР_КК[[#This Row],[ИД штатной должности (S)]],'уровень защищенности'!$B$7:$F$1095,5,0),"не защищена")</f>
        <v>средний</v>
      </c>
      <c r="F3297" s="68">
        <v>500178</v>
      </c>
      <c r="G3297" s="74" t="s">
        <v>2947</v>
      </c>
      <c r="H3297" s="181">
        <f>INDEX('Списки данных'!$D$2:$D$1048576,MATCH(База_КР_КК[[#This Row],[Структурное подразделение]],'Списки данных'!$C$2:$C$1048576,0))</f>
        <v>7</v>
      </c>
      <c r="I3297" s="80" t="s">
        <v>137</v>
      </c>
      <c r="J3297" s="80" t="s">
        <v>248</v>
      </c>
      <c r="K3297" s="80" t="s">
        <v>249</v>
      </c>
      <c r="L3297" s="30" t="s">
        <v>191</v>
      </c>
      <c r="M3297" s="68">
        <v>6</v>
      </c>
      <c r="N3297" s="181" t="str">
        <f t="shared" si="52"/>
        <v>нет</v>
      </c>
      <c r="O3297" s="23"/>
      <c r="P3297" s="23"/>
      <c r="Q3297" s="106"/>
      <c r="R3297" s="37">
        <v>766</v>
      </c>
      <c r="S3297" s="39" t="s">
        <v>1175</v>
      </c>
      <c r="T3297" s="37">
        <v>1859</v>
      </c>
      <c r="U3297" s="38" t="s">
        <v>2076</v>
      </c>
      <c r="V3297" s="89" t="s">
        <v>272</v>
      </c>
      <c r="W3297" s="89" t="s">
        <v>137</v>
      </c>
      <c r="X3297" s="106" t="s">
        <v>296</v>
      </c>
      <c r="Y3297" s="107" t="s">
        <v>12</v>
      </c>
      <c r="Z3297" s="67">
        <f>IF(База_КР_КК[[#This Row],[Таб.номер резервиста]]="-","-",IF(OR(База_КР_КК[[#This Row],[Уровень КК]]=2,База_КР_КК[[#This Row],[Уровень КК]]=3),IF(COUNTIFS($U$2:$U3297,$U3297,$F$2:$F3297,$F3297)=1,1,0),IF(COUNTIFS($U$2:$U3297,$U3297,$L$2:$L3297,$L3297)=1,1,0)))</f>
        <v>0</v>
      </c>
      <c r="AA32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7" s="106"/>
      <c r="AC3297" s="51"/>
      <c r="AD3297" s="106" t="s">
        <v>15</v>
      </c>
      <c r="AE3297" s="38" t="s">
        <v>376</v>
      </c>
    </row>
    <row r="3298" spans="1:31" ht="18" customHeight="1" x14ac:dyDescent="0.25">
      <c r="A32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8" s="79">
        <v>4</v>
      </c>
      <c r="C3298" s="23">
        <v>44859</v>
      </c>
      <c r="D3298" s="67">
        <f>IF(COUNTIF($G$2:$G3298,$G3298)=1,1,0)</f>
        <v>0</v>
      </c>
      <c r="E3298" s="67" t="str">
        <f>IFERROR(VLOOKUP(База_КР_КК[[#This Row],[ИД штатной должности (S)]],'уровень защищенности'!$B$7:$F$1095,5,0),"не защищена")</f>
        <v>средний</v>
      </c>
      <c r="F3298" s="68">
        <v>500178</v>
      </c>
      <c r="G3298" s="74" t="s">
        <v>2947</v>
      </c>
      <c r="H3298" s="181">
        <f>INDEX('Списки данных'!$D$2:$D$1048576,MATCH(База_КР_КК[[#This Row],[Структурное подразделение]],'Списки данных'!$C$2:$C$1048576,0))</f>
        <v>7</v>
      </c>
      <c r="I3298" s="80" t="s">
        <v>137</v>
      </c>
      <c r="J3298" s="80" t="s">
        <v>248</v>
      </c>
      <c r="K3298" s="80" t="s">
        <v>249</v>
      </c>
      <c r="L3298" s="30" t="s">
        <v>191</v>
      </c>
      <c r="M3298" s="68">
        <v>6</v>
      </c>
      <c r="N3298" s="181" t="str">
        <f t="shared" si="52"/>
        <v>нет</v>
      </c>
      <c r="O3298" s="23"/>
      <c r="P3298" s="23"/>
      <c r="Q3298" s="106"/>
      <c r="R3298" s="37">
        <v>766</v>
      </c>
      <c r="S3298" s="39" t="s">
        <v>1175</v>
      </c>
      <c r="T3298" s="37">
        <v>764</v>
      </c>
      <c r="U3298" s="38" t="s">
        <v>1173</v>
      </c>
      <c r="V3298" s="69" t="s">
        <v>272</v>
      </c>
      <c r="W3298" s="89" t="s">
        <v>137</v>
      </c>
      <c r="X3298" s="106" t="s">
        <v>295</v>
      </c>
      <c r="Y3298" s="107" t="s">
        <v>14</v>
      </c>
      <c r="Z3298" s="67">
        <f>IF(База_КР_КК[[#This Row],[Таб.номер резервиста]]="-","-",IF(OR(База_КР_КК[[#This Row],[Уровень КК]]=2,База_КР_КК[[#This Row],[Уровень КК]]=3),IF(COUNTIFS($U$2:$U3298,$U3298,$F$2:$F3298,$F3298)=1,1,0),IF(COUNTIFS($U$2:$U3298,$U3298,$L$2:$L3298,$L3298)=1,1,0)))</f>
        <v>0</v>
      </c>
      <c r="AA32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8" s="106" t="s">
        <v>24</v>
      </c>
      <c r="AC3298" s="51">
        <v>44998</v>
      </c>
      <c r="AD3298" s="106" t="s">
        <v>15</v>
      </c>
      <c r="AE3298" s="38" t="s">
        <v>376</v>
      </c>
    </row>
    <row r="3299" spans="1:31" ht="18" customHeight="1" x14ac:dyDescent="0.25">
      <c r="A32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299" s="79">
        <v>4</v>
      </c>
      <c r="C3299" s="23">
        <v>44125</v>
      </c>
      <c r="D3299" s="67">
        <f>IF(COUNTIF($G$2:$G3299,$G3299)=1,1,0)</f>
        <v>0</v>
      </c>
      <c r="E3299" s="67" t="str">
        <f>IFERROR(VLOOKUP(База_КР_КК[[#This Row],[ИД штатной должности (S)]],'уровень защищенности'!$B$7:$F$1095,5,0),"не защищена")</f>
        <v>средний</v>
      </c>
      <c r="F3299" s="68">
        <v>500178</v>
      </c>
      <c r="G3299" s="74" t="s">
        <v>2947</v>
      </c>
      <c r="H3299" s="181">
        <f>INDEX('Списки данных'!$D$2:$D$1048576,MATCH(База_КР_КК[[#This Row],[Структурное подразделение]],'Списки данных'!$C$2:$C$1048576,0))</f>
        <v>7</v>
      </c>
      <c r="I3299" s="80" t="s">
        <v>137</v>
      </c>
      <c r="J3299" s="80" t="s">
        <v>248</v>
      </c>
      <c r="K3299" s="80" t="s">
        <v>249</v>
      </c>
      <c r="L3299" s="30" t="s">
        <v>191</v>
      </c>
      <c r="M3299" s="68">
        <v>6</v>
      </c>
      <c r="N3299" s="181" t="str">
        <f t="shared" si="52"/>
        <v>нет</v>
      </c>
      <c r="O3299" s="23"/>
      <c r="P3299" s="23"/>
      <c r="Q3299" s="106"/>
      <c r="R3299" s="37">
        <v>766</v>
      </c>
      <c r="S3299" s="38" t="s">
        <v>1175</v>
      </c>
      <c r="T3299" s="37">
        <v>1861</v>
      </c>
      <c r="U3299" s="39" t="s">
        <v>1833</v>
      </c>
      <c r="V3299" s="89" t="s">
        <v>272</v>
      </c>
      <c r="W3299" s="89" t="s">
        <v>137</v>
      </c>
      <c r="X3299" s="106" t="s">
        <v>295</v>
      </c>
      <c r="Y3299" s="107" t="s">
        <v>18</v>
      </c>
      <c r="Z3299" s="67">
        <f>IF(База_КР_КК[[#This Row],[Таб.номер резервиста]]="-","-",IF(OR(База_КР_КК[[#This Row],[Уровень КК]]=2,База_КР_КК[[#This Row],[Уровень КК]]=3),IF(COUNTIFS($U$2:$U3299,$U3299,$F$2:$F3299,$F3299)=1,1,0),IF(COUNTIFS($U$2:$U3299,$U3299,$L$2:$L3299,$L3299)=1,1,0)))</f>
        <v>0</v>
      </c>
      <c r="AA32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299" s="106" t="s">
        <v>19</v>
      </c>
      <c r="AC3299" s="51">
        <v>44798</v>
      </c>
      <c r="AD3299" s="106" t="s">
        <v>15</v>
      </c>
      <c r="AE3299" s="38" t="s">
        <v>318</v>
      </c>
    </row>
    <row r="3300" spans="1:31" ht="18" customHeight="1" x14ac:dyDescent="0.25">
      <c r="A33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0" s="79">
        <v>4</v>
      </c>
      <c r="C3300" s="23">
        <v>44469</v>
      </c>
      <c r="D3300" s="67">
        <f>IF(COUNTIF($G$2:$G3300,$G3300)=1,1,0)</f>
        <v>0</v>
      </c>
      <c r="E3300" s="67" t="str">
        <f>IFERROR(VLOOKUP(База_КР_КК[[#This Row],[ИД штатной должности (S)]],'уровень защищенности'!$B$7:$F$1095,5,0),"не защищена")</f>
        <v>средний</v>
      </c>
      <c r="F3300" s="68">
        <v>500178</v>
      </c>
      <c r="G3300" s="74" t="s">
        <v>2947</v>
      </c>
      <c r="H3300" s="181">
        <f>INDEX('Списки данных'!$D$2:$D$1048576,MATCH(База_КР_КК[[#This Row],[Структурное подразделение]],'Списки данных'!$C$2:$C$1048576,0))</f>
        <v>7</v>
      </c>
      <c r="I3300" s="80" t="s">
        <v>137</v>
      </c>
      <c r="J3300" s="80" t="s">
        <v>248</v>
      </c>
      <c r="K3300" s="80" t="s">
        <v>249</v>
      </c>
      <c r="L3300" s="30" t="s">
        <v>191</v>
      </c>
      <c r="M3300" s="68">
        <v>6</v>
      </c>
      <c r="N3300" s="181" t="str">
        <f t="shared" si="52"/>
        <v>нет</v>
      </c>
      <c r="O3300" s="23"/>
      <c r="P3300" s="23"/>
      <c r="Q3300" s="106"/>
      <c r="R3300" s="37">
        <v>766</v>
      </c>
      <c r="S3300" s="38" t="s">
        <v>1175</v>
      </c>
      <c r="T3300" s="37">
        <v>1862</v>
      </c>
      <c r="U3300" s="39" t="s">
        <v>2077</v>
      </c>
      <c r="V3300" s="69" t="s">
        <v>272</v>
      </c>
      <c r="W3300" s="89" t="s">
        <v>137</v>
      </c>
      <c r="X3300" s="106" t="s">
        <v>295</v>
      </c>
      <c r="Y3300" s="107" t="s">
        <v>18</v>
      </c>
      <c r="Z3300" s="67">
        <f>IF(База_КР_КК[[#This Row],[Таб.номер резервиста]]="-","-",IF(OR(База_КР_КК[[#This Row],[Уровень КК]]=2,База_КР_КК[[#This Row],[Уровень КК]]=3),IF(COUNTIFS($U$2:$U3300,$U3300,$F$2:$F3300,$F3300)=1,1,0),IF(COUNTIFS($U$2:$U3300,$U3300,$L$2:$L3300,$L3300)=1,1,0)))</f>
        <v>0</v>
      </c>
      <c r="AA33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0" s="106" t="s">
        <v>38</v>
      </c>
      <c r="AC3300" s="51">
        <v>44859</v>
      </c>
      <c r="AD3300" s="106" t="s">
        <v>31</v>
      </c>
      <c r="AE3300" s="38" t="s">
        <v>376</v>
      </c>
    </row>
    <row r="3301" spans="1:31" ht="18" customHeight="1" x14ac:dyDescent="0.25">
      <c r="A33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1" s="79">
        <v>4</v>
      </c>
      <c r="C3301" s="23">
        <v>44469</v>
      </c>
      <c r="D3301" s="67">
        <f>IF(COUNTIF($G$2:$G3301,$G3301)=1,1,0)</f>
        <v>0</v>
      </c>
      <c r="E3301" s="67" t="str">
        <f>IFERROR(VLOOKUP(База_КР_КК[[#This Row],[ИД штатной должности (S)]],'уровень защищенности'!$B$7:$F$1095,5,0),"не защищена")</f>
        <v>средний</v>
      </c>
      <c r="F3301" s="68">
        <v>500178</v>
      </c>
      <c r="G3301" s="74" t="s">
        <v>2947</v>
      </c>
      <c r="H3301" s="181">
        <f>INDEX('Списки данных'!$D$2:$D$1048576,MATCH(База_КР_КК[[#This Row],[Структурное подразделение]],'Списки данных'!$C$2:$C$1048576,0))</f>
        <v>7</v>
      </c>
      <c r="I3301" s="80" t="s">
        <v>137</v>
      </c>
      <c r="J3301" s="80" t="s">
        <v>248</v>
      </c>
      <c r="K3301" s="80" t="s">
        <v>249</v>
      </c>
      <c r="L3301" s="30" t="s">
        <v>191</v>
      </c>
      <c r="M3301" s="68">
        <v>6</v>
      </c>
      <c r="N3301" s="181" t="str">
        <f t="shared" si="52"/>
        <v>нет</v>
      </c>
      <c r="O3301" s="23"/>
      <c r="P3301" s="23"/>
      <c r="Q3301" s="106"/>
      <c r="R3301" s="37">
        <v>766</v>
      </c>
      <c r="S3301" s="38" t="s">
        <v>1175</v>
      </c>
      <c r="T3301" s="37">
        <v>1863</v>
      </c>
      <c r="U3301" s="39" t="s">
        <v>1965</v>
      </c>
      <c r="V3301" s="69" t="s">
        <v>272</v>
      </c>
      <c r="W3301" s="89" t="s">
        <v>291</v>
      </c>
      <c r="X3301" s="106" t="s">
        <v>297</v>
      </c>
      <c r="Y3301" s="107" t="s">
        <v>18</v>
      </c>
      <c r="Z3301" s="67">
        <f>IF(База_КР_КК[[#This Row],[Таб.номер резервиста]]="-","-",IF(OR(База_КР_КК[[#This Row],[Уровень КК]]=2,База_КР_КК[[#This Row],[Уровень КК]]=3),IF(COUNTIFS($U$2:$U3301,$U3301,$F$2:$F3301,$F3301)=1,1,0),IF(COUNTIFS($U$2:$U3301,$U3301,$L$2:$L3301,$L3301)=1,1,0)))</f>
        <v>0</v>
      </c>
      <c r="AA33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1" s="106" t="s">
        <v>33</v>
      </c>
      <c r="AC3301" s="51">
        <v>44571</v>
      </c>
      <c r="AD3301" s="106" t="s">
        <v>15</v>
      </c>
      <c r="AE3301" s="38" t="s">
        <v>380</v>
      </c>
    </row>
    <row r="3302" spans="1:31" ht="18" customHeight="1" x14ac:dyDescent="0.25">
      <c r="A33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2" s="79">
        <v>4</v>
      </c>
      <c r="C3302" s="23">
        <v>44125</v>
      </c>
      <c r="D3302" s="67">
        <f>IF(COUNTIF($G$2:$G3302,$G3302)=1,1,0)</f>
        <v>1</v>
      </c>
      <c r="E3302" s="67" t="str">
        <f>IFERROR(VLOOKUP(База_КР_КК[[#This Row],[ИД штатной должности (S)]],'уровень защищенности'!$B$7:$F$1095,5,0),"не защищена")</f>
        <v>средний</v>
      </c>
      <c r="F3302" s="68">
        <v>500178</v>
      </c>
      <c r="G3302" s="74" t="s">
        <v>2948</v>
      </c>
      <c r="H3302" s="181">
        <f>INDEX('Списки данных'!$D$2:$D$1048576,MATCH(База_КР_КК[[#This Row],[Структурное подразделение]],'Списки данных'!$C$2:$C$1048576,0))</f>
        <v>7</v>
      </c>
      <c r="I3302" s="80" t="s">
        <v>137</v>
      </c>
      <c r="J3302" s="80" t="s">
        <v>248</v>
      </c>
      <c r="K3302" s="80" t="s">
        <v>249</v>
      </c>
      <c r="L3302" s="30" t="s">
        <v>191</v>
      </c>
      <c r="M3302" s="68">
        <v>6</v>
      </c>
      <c r="N3302" s="181" t="str">
        <f t="shared" si="52"/>
        <v>нет</v>
      </c>
      <c r="O3302" s="23"/>
      <c r="P3302" s="23"/>
      <c r="Q3302" s="106"/>
      <c r="R3302" s="37">
        <v>767</v>
      </c>
      <c r="S3302" s="38" t="s">
        <v>1176</v>
      </c>
      <c r="T3302" s="37">
        <v>1856</v>
      </c>
      <c r="U3302" s="39" t="s">
        <v>2046</v>
      </c>
      <c r="V3302" s="89" t="s">
        <v>272</v>
      </c>
      <c r="W3302" s="89" t="s">
        <v>137</v>
      </c>
      <c r="X3302" s="106" t="s">
        <v>297</v>
      </c>
      <c r="Y3302" s="107" t="s">
        <v>12</v>
      </c>
      <c r="Z3302" s="67">
        <f>IF(База_КР_КК[[#This Row],[Таб.номер резервиста]]="-","-",IF(OR(База_КР_КК[[#This Row],[Уровень КК]]=2,База_КР_КК[[#This Row],[Уровень КК]]=3),IF(COUNTIFS($U$2:$U3302,$U3302,$F$2:$F3302,$F3302)=1,1,0),IF(COUNTIFS($U$2:$U3302,$U3302,$L$2:$L3302,$L3302)=1,1,0)))</f>
        <v>0</v>
      </c>
      <c r="AA33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2" s="106"/>
      <c r="AC3302" s="51"/>
      <c r="AD3302" s="106" t="s">
        <v>13</v>
      </c>
      <c r="AE3302" s="38" t="s">
        <v>376</v>
      </c>
    </row>
    <row r="3303" spans="1:31" ht="18" customHeight="1" x14ac:dyDescent="0.25">
      <c r="A33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3" s="79">
        <v>4</v>
      </c>
      <c r="C3303" s="23">
        <v>44859</v>
      </c>
      <c r="D3303" s="67">
        <f>IF(COUNTIF($G$2:$G3303,$G3303)=1,1,0)</f>
        <v>0</v>
      </c>
      <c r="E3303" s="67" t="str">
        <f>IFERROR(VLOOKUP(База_КР_КК[[#This Row],[ИД штатной должности (S)]],'уровень защищенности'!$B$7:$F$1095,5,0),"не защищена")</f>
        <v>средний</v>
      </c>
      <c r="F3303" s="68">
        <v>500178</v>
      </c>
      <c r="G3303" s="74" t="s">
        <v>2948</v>
      </c>
      <c r="H3303" s="181">
        <f>INDEX('Списки данных'!$D$2:$D$1048576,MATCH(База_КР_КК[[#This Row],[Структурное подразделение]],'Списки данных'!$C$2:$C$1048576,0))</f>
        <v>7</v>
      </c>
      <c r="I3303" s="80" t="s">
        <v>137</v>
      </c>
      <c r="J3303" s="80" t="s">
        <v>248</v>
      </c>
      <c r="K3303" s="80" t="s">
        <v>249</v>
      </c>
      <c r="L3303" s="30" t="s">
        <v>191</v>
      </c>
      <c r="M3303" s="68">
        <v>6</v>
      </c>
      <c r="N3303" s="181" t="str">
        <f t="shared" si="52"/>
        <v>нет</v>
      </c>
      <c r="O3303" s="23"/>
      <c r="P3303" s="23"/>
      <c r="Q3303" s="106"/>
      <c r="R3303" s="37">
        <v>767</v>
      </c>
      <c r="S3303" s="39" t="s">
        <v>1176</v>
      </c>
      <c r="T3303" s="37">
        <v>1857</v>
      </c>
      <c r="U3303" s="38" t="s">
        <v>1837</v>
      </c>
      <c r="V3303" s="69" t="s">
        <v>272</v>
      </c>
      <c r="W3303" s="89" t="s">
        <v>137</v>
      </c>
      <c r="X3303" s="106" t="s">
        <v>296</v>
      </c>
      <c r="Y3303" s="107" t="s">
        <v>12</v>
      </c>
      <c r="Z3303" s="67">
        <f>IF(База_КР_КК[[#This Row],[Таб.номер резервиста]]="-","-",IF(OR(База_КР_КК[[#This Row],[Уровень КК]]=2,База_КР_КК[[#This Row],[Уровень КК]]=3),IF(COUNTIFS($U$2:$U3303,$U3303,$F$2:$F3303,$F3303)=1,1,0),IF(COUNTIFS($U$2:$U3303,$U3303,$L$2:$L3303,$L3303)=1,1,0)))</f>
        <v>0</v>
      </c>
      <c r="AA33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3" s="106"/>
      <c r="AC3303" s="51"/>
      <c r="AD3303" s="106" t="s">
        <v>15</v>
      </c>
      <c r="AE3303" s="38" t="s">
        <v>376</v>
      </c>
    </row>
    <row r="3304" spans="1:31" ht="18" customHeight="1" x14ac:dyDescent="0.25">
      <c r="A33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4" s="79">
        <v>4</v>
      </c>
      <c r="C3304" s="23">
        <v>44859</v>
      </c>
      <c r="D3304" s="67">
        <f>IF(COUNTIF($G$2:$G3304,$G3304)=1,1,0)</f>
        <v>0</v>
      </c>
      <c r="E3304" s="67" t="str">
        <f>IFERROR(VLOOKUP(База_КР_КК[[#This Row],[ИД штатной должности (S)]],'уровень защищенности'!$B$7:$F$1095,5,0),"не защищена")</f>
        <v>средний</v>
      </c>
      <c r="F3304" s="68">
        <v>500178</v>
      </c>
      <c r="G3304" s="74" t="s">
        <v>2948</v>
      </c>
      <c r="H3304" s="181">
        <f>INDEX('Списки данных'!$D$2:$D$1048576,MATCH(База_КР_КК[[#This Row],[Структурное подразделение]],'Списки данных'!$C$2:$C$1048576,0))</f>
        <v>7</v>
      </c>
      <c r="I3304" s="80" t="s">
        <v>137</v>
      </c>
      <c r="J3304" s="80" t="s">
        <v>248</v>
      </c>
      <c r="K3304" s="80" t="s">
        <v>249</v>
      </c>
      <c r="L3304" s="30" t="s">
        <v>191</v>
      </c>
      <c r="M3304" s="68">
        <v>6</v>
      </c>
      <c r="N3304" s="181" t="str">
        <f t="shared" si="52"/>
        <v>нет</v>
      </c>
      <c r="O3304" s="23"/>
      <c r="P3304" s="23"/>
      <c r="Q3304" s="106"/>
      <c r="R3304" s="37">
        <v>767</v>
      </c>
      <c r="S3304" s="39" t="s">
        <v>1176</v>
      </c>
      <c r="T3304" s="37">
        <v>1858</v>
      </c>
      <c r="U3304" s="38" t="s">
        <v>2075</v>
      </c>
      <c r="V3304" s="89" t="s">
        <v>272</v>
      </c>
      <c r="W3304" s="89" t="s">
        <v>137</v>
      </c>
      <c r="X3304" s="106" t="s">
        <v>296</v>
      </c>
      <c r="Y3304" s="107" t="s">
        <v>12</v>
      </c>
      <c r="Z3304" s="67">
        <f>IF(База_КР_КК[[#This Row],[Таб.номер резервиста]]="-","-",IF(OR(База_КР_КК[[#This Row],[Уровень КК]]=2,База_КР_КК[[#This Row],[Уровень КК]]=3),IF(COUNTIFS($U$2:$U3304,$U3304,$F$2:$F3304,$F3304)=1,1,0),IF(COUNTIFS($U$2:$U3304,$U3304,$L$2:$L3304,$L3304)=1,1,0)))</f>
        <v>0</v>
      </c>
      <c r="AA33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4" s="106"/>
      <c r="AC3304" s="51"/>
      <c r="AD3304" s="106" t="s">
        <v>15</v>
      </c>
      <c r="AE3304" s="38" t="s">
        <v>376</v>
      </c>
    </row>
    <row r="3305" spans="1:31" ht="18" customHeight="1" x14ac:dyDescent="0.25">
      <c r="A33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5" s="79">
        <v>4</v>
      </c>
      <c r="C3305" s="23">
        <v>44859</v>
      </c>
      <c r="D3305" s="67">
        <f>IF(COUNTIF($G$2:$G3305,$G3305)=1,1,0)</f>
        <v>0</v>
      </c>
      <c r="E3305" s="67" t="str">
        <f>IFERROR(VLOOKUP(База_КР_КК[[#This Row],[ИД штатной должности (S)]],'уровень защищенности'!$B$7:$F$1095,5,0),"не защищена")</f>
        <v>средний</v>
      </c>
      <c r="F3305" s="68">
        <v>500178</v>
      </c>
      <c r="G3305" s="74" t="s">
        <v>2948</v>
      </c>
      <c r="H3305" s="181">
        <f>INDEX('Списки данных'!$D$2:$D$1048576,MATCH(База_КР_КК[[#This Row],[Структурное подразделение]],'Списки данных'!$C$2:$C$1048576,0))</f>
        <v>7</v>
      </c>
      <c r="I3305" s="80" t="s">
        <v>137</v>
      </c>
      <c r="J3305" s="80" t="s">
        <v>248</v>
      </c>
      <c r="K3305" s="80" t="s">
        <v>249</v>
      </c>
      <c r="L3305" s="30" t="s">
        <v>191</v>
      </c>
      <c r="M3305" s="68">
        <v>6</v>
      </c>
      <c r="N3305" s="181" t="str">
        <f t="shared" si="52"/>
        <v>нет</v>
      </c>
      <c r="O3305" s="23"/>
      <c r="P3305" s="23"/>
      <c r="Q3305" s="106"/>
      <c r="R3305" s="37">
        <v>767</v>
      </c>
      <c r="S3305" s="39" t="s">
        <v>1176</v>
      </c>
      <c r="T3305" s="37">
        <v>1859</v>
      </c>
      <c r="U3305" s="38" t="s">
        <v>2076</v>
      </c>
      <c r="V3305" s="89" t="s">
        <v>272</v>
      </c>
      <c r="W3305" s="89" t="s">
        <v>137</v>
      </c>
      <c r="X3305" s="106" t="s">
        <v>296</v>
      </c>
      <c r="Y3305" s="107" t="s">
        <v>12</v>
      </c>
      <c r="Z3305" s="67">
        <f>IF(База_КР_КК[[#This Row],[Таб.номер резервиста]]="-","-",IF(OR(База_КР_КК[[#This Row],[Уровень КК]]=2,База_КР_КК[[#This Row],[Уровень КК]]=3),IF(COUNTIFS($U$2:$U3305,$U3305,$F$2:$F3305,$F3305)=1,1,0),IF(COUNTIFS($U$2:$U3305,$U3305,$L$2:$L3305,$L3305)=1,1,0)))</f>
        <v>0</v>
      </c>
      <c r="AA33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5" s="106"/>
      <c r="AC3305" s="51"/>
      <c r="AD3305" s="106" t="s">
        <v>15</v>
      </c>
      <c r="AE3305" s="38" t="s">
        <v>376</v>
      </c>
    </row>
    <row r="3306" spans="1:31" ht="18" customHeight="1" x14ac:dyDescent="0.25">
      <c r="A33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6" s="79">
        <v>4</v>
      </c>
      <c r="C3306" s="23">
        <v>44859</v>
      </c>
      <c r="D3306" s="67">
        <f>IF(COUNTIF($G$2:$G3306,$G3306)=1,1,0)</f>
        <v>0</v>
      </c>
      <c r="E3306" s="67" t="str">
        <f>IFERROR(VLOOKUP(База_КР_КК[[#This Row],[ИД штатной должности (S)]],'уровень защищенности'!$B$7:$F$1095,5,0),"не защищена")</f>
        <v>средний</v>
      </c>
      <c r="F3306" s="68">
        <v>500178</v>
      </c>
      <c r="G3306" s="74" t="s">
        <v>2948</v>
      </c>
      <c r="H3306" s="181">
        <f>INDEX('Списки данных'!$D$2:$D$1048576,MATCH(База_КР_КК[[#This Row],[Структурное подразделение]],'Списки данных'!$C$2:$C$1048576,0))</f>
        <v>7</v>
      </c>
      <c r="I3306" s="80" t="s">
        <v>137</v>
      </c>
      <c r="J3306" s="80" t="s">
        <v>248</v>
      </c>
      <c r="K3306" s="80" t="s">
        <v>249</v>
      </c>
      <c r="L3306" s="30" t="s">
        <v>191</v>
      </c>
      <c r="M3306" s="68">
        <v>6</v>
      </c>
      <c r="N3306" s="181" t="str">
        <f t="shared" si="52"/>
        <v>нет</v>
      </c>
      <c r="O3306" s="23"/>
      <c r="P3306" s="23"/>
      <c r="Q3306" s="106"/>
      <c r="R3306" s="37">
        <v>767</v>
      </c>
      <c r="S3306" s="39" t="s">
        <v>1176</v>
      </c>
      <c r="T3306" s="37">
        <v>764</v>
      </c>
      <c r="U3306" s="38" t="s">
        <v>1173</v>
      </c>
      <c r="V3306" s="69" t="s">
        <v>272</v>
      </c>
      <c r="W3306" s="89" t="s">
        <v>137</v>
      </c>
      <c r="X3306" s="106" t="s">
        <v>295</v>
      </c>
      <c r="Y3306" s="107" t="s">
        <v>14</v>
      </c>
      <c r="Z3306" s="67">
        <f>IF(База_КР_КК[[#This Row],[Таб.номер резервиста]]="-","-",IF(OR(База_КР_КК[[#This Row],[Уровень КК]]=2,База_КР_КК[[#This Row],[Уровень КК]]=3),IF(COUNTIFS($U$2:$U3306,$U3306,$F$2:$F3306,$F3306)=1,1,0),IF(COUNTIFS($U$2:$U3306,$U3306,$L$2:$L3306,$L3306)=1,1,0)))</f>
        <v>0</v>
      </c>
      <c r="AA33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6" s="106" t="s">
        <v>24</v>
      </c>
      <c r="AC3306" s="51">
        <v>44998</v>
      </c>
      <c r="AD3306" s="106" t="s">
        <v>15</v>
      </c>
      <c r="AE3306" s="38" t="s">
        <v>376</v>
      </c>
    </row>
    <row r="3307" spans="1:31" ht="18" customHeight="1" x14ac:dyDescent="0.25">
      <c r="A33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7" s="79">
        <v>4</v>
      </c>
      <c r="C3307" s="23">
        <v>44125</v>
      </c>
      <c r="D3307" s="67">
        <f>IF(COUNTIF($G$2:$G3307,$G3307)=1,1,0)</f>
        <v>0</v>
      </c>
      <c r="E3307" s="67" t="str">
        <f>IFERROR(VLOOKUP(База_КР_КК[[#This Row],[ИД штатной должности (S)]],'уровень защищенности'!$B$7:$F$1095,5,0),"не защищена")</f>
        <v>средний</v>
      </c>
      <c r="F3307" s="68">
        <v>500178</v>
      </c>
      <c r="G3307" s="74" t="s">
        <v>2948</v>
      </c>
      <c r="H3307" s="181">
        <f>INDEX('Списки данных'!$D$2:$D$1048576,MATCH(База_КР_КК[[#This Row],[Структурное подразделение]],'Списки данных'!$C$2:$C$1048576,0))</f>
        <v>7</v>
      </c>
      <c r="I3307" s="80" t="s">
        <v>137</v>
      </c>
      <c r="J3307" s="80" t="s">
        <v>248</v>
      </c>
      <c r="K3307" s="80" t="s">
        <v>249</v>
      </c>
      <c r="L3307" s="30" t="s">
        <v>191</v>
      </c>
      <c r="M3307" s="68">
        <v>6</v>
      </c>
      <c r="N3307" s="181" t="str">
        <f t="shared" si="52"/>
        <v>нет</v>
      </c>
      <c r="O3307" s="23"/>
      <c r="P3307" s="23"/>
      <c r="Q3307" s="106"/>
      <c r="R3307" s="37">
        <v>767</v>
      </c>
      <c r="S3307" s="38" t="s">
        <v>1176</v>
      </c>
      <c r="T3307" s="37">
        <v>1861</v>
      </c>
      <c r="U3307" s="39" t="s">
        <v>1833</v>
      </c>
      <c r="V3307" s="89" t="s">
        <v>272</v>
      </c>
      <c r="W3307" s="89" t="s">
        <v>137</v>
      </c>
      <c r="X3307" s="106" t="s">
        <v>295</v>
      </c>
      <c r="Y3307" s="107" t="s">
        <v>18</v>
      </c>
      <c r="Z3307" s="67">
        <f>IF(База_КР_КК[[#This Row],[Таб.номер резервиста]]="-","-",IF(OR(База_КР_КК[[#This Row],[Уровень КК]]=2,База_КР_КК[[#This Row],[Уровень КК]]=3),IF(COUNTIFS($U$2:$U3307,$U3307,$F$2:$F3307,$F3307)=1,1,0),IF(COUNTIFS($U$2:$U3307,$U3307,$L$2:$L3307,$L3307)=1,1,0)))</f>
        <v>0</v>
      </c>
      <c r="AA33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7" s="106" t="s">
        <v>19</v>
      </c>
      <c r="AC3307" s="51">
        <v>44798</v>
      </c>
      <c r="AD3307" s="106" t="s">
        <v>15</v>
      </c>
      <c r="AE3307" s="38" t="s">
        <v>318</v>
      </c>
    </row>
    <row r="3308" spans="1:31" ht="18" customHeight="1" x14ac:dyDescent="0.25">
      <c r="A33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8" s="79">
        <v>4</v>
      </c>
      <c r="C3308" s="23">
        <v>44469</v>
      </c>
      <c r="D3308" s="67">
        <f>IF(COUNTIF($G$2:$G3308,$G3308)=1,1,0)</f>
        <v>0</v>
      </c>
      <c r="E3308" s="67" t="str">
        <f>IFERROR(VLOOKUP(База_КР_КК[[#This Row],[ИД штатной должности (S)]],'уровень защищенности'!$B$7:$F$1095,5,0),"не защищена")</f>
        <v>средний</v>
      </c>
      <c r="F3308" s="68">
        <v>500178</v>
      </c>
      <c r="G3308" s="74" t="s">
        <v>2948</v>
      </c>
      <c r="H3308" s="181">
        <f>INDEX('Списки данных'!$D$2:$D$1048576,MATCH(База_КР_КК[[#This Row],[Структурное подразделение]],'Списки данных'!$C$2:$C$1048576,0))</f>
        <v>7</v>
      </c>
      <c r="I3308" s="80" t="s">
        <v>137</v>
      </c>
      <c r="J3308" s="80" t="s">
        <v>248</v>
      </c>
      <c r="K3308" s="80" t="s">
        <v>249</v>
      </c>
      <c r="L3308" s="30" t="s">
        <v>191</v>
      </c>
      <c r="M3308" s="68">
        <v>6</v>
      </c>
      <c r="N3308" s="181" t="str">
        <f t="shared" si="52"/>
        <v>нет</v>
      </c>
      <c r="O3308" s="23"/>
      <c r="P3308" s="23"/>
      <c r="Q3308" s="106"/>
      <c r="R3308" s="37">
        <v>767</v>
      </c>
      <c r="S3308" s="38" t="s">
        <v>1176</v>
      </c>
      <c r="T3308" s="37">
        <v>1862</v>
      </c>
      <c r="U3308" s="39" t="s">
        <v>2077</v>
      </c>
      <c r="V3308" s="69" t="s">
        <v>272</v>
      </c>
      <c r="W3308" s="89" t="s">
        <v>137</v>
      </c>
      <c r="X3308" s="106" t="s">
        <v>295</v>
      </c>
      <c r="Y3308" s="107" t="s">
        <v>18</v>
      </c>
      <c r="Z3308" s="67">
        <f>IF(База_КР_КК[[#This Row],[Таб.номер резервиста]]="-","-",IF(OR(База_КР_КК[[#This Row],[Уровень КК]]=2,База_КР_КК[[#This Row],[Уровень КК]]=3),IF(COUNTIFS($U$2:$U3308,$U3308,$F$2:$F3308,$F3308)=1,1,0),IF(COUNTIFS($U$2:$U3308,$U3308,$L$2:$L3308,$L3308)=1,1,0)))</f>
        <v>0</v>
      </c>
      <c r="AA33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8" s="106" t="s">
        <v>38</v>
      </c>
      <c r="AC3308" s="51">
        <v>44859</v>
      </c>
      <c r="AD3308" s="106" t="s">
        <v>31</v>
      </c>
      <c r="AE3308" s="38" t="s">
        <v>376</v>
      </c>
    </row>
    <row r="3309" spans="1:31" ht="18" customHeight="1" x14ac:dyDescent="0.25">
      <c r="A33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09" s="79">
        <v>4</v>
      </c>
      <c r="C3309" s="23">
        <v>44469</v>
      </c>
      <c r="D3309" s="67">
        <f>IF(COUNTIF($G$2:$G3309,$G3309)=1,1,0)</f>
        <v>0</v>
      </c>
      <c r="E3309" s="67" t="str">
        <f>IFERROR(VLOOKUP(База_КР_КК[[#This Row],[ИД штатной должности (S)]],'уровень защищенности'!$B$7:$F$1095,5,0),"не защищена")</f>
        <v>средний</v>
      </c>
      <c r="F3309" s="68">
        <v>500178</v>
      </c>
      <c r="G3309" s="74" t="s">
        <v>2948</v>
      </c>
      <c r="H3309" s="181">
        <f>INDEX('Списки данных'!$D$2:$D$1048576,MATCH(База_КР_КК[[#This Row],[Структурное подразделение]],'Списки данных'!$C$2:$C$1048576,0))</f>
        <v>7</v>
      </c>
      <c r="I3309" s="80" t="s">
        <v>137</v>
      </c>
      <c r="J3309" s="80" t="s">
        <v>248</v>
      </c>
      <c r="K3309" s="80" t="s">
        <v>249</v>
      </c>
      <c r="L3309" s="30" t="s">
        <v>191</v>
      </c>
      <c r="M3309" s="68">
        <v>6</v>
      </c>
      <c r="N3309" s="181" t="str">
        <f t="shared" si="52"/>
        <v>нет</v>
      </c>
      <c r="O3309" s="23"/>
      <c r="P3309" s="23"/>
      <c r="Q3309" s="106"/>
      <c r="R3309" s="37">
        <v>767</v>
      </c>
      <c r="S3309" s="38" t="s">
        <v>1176</v>
      </c>
      <c r="T3309" s="37">
        <v>1863</v>
      </c>
      <c r="U3309" s="39" t="s">
        <v>1965</v>
      </c>
      <c r="V3309" s="69" t="s">
        <v>272</v>
      </c>
      <c r="W3309" s="89" t="s">
        <v>291</v>
      </c>
      <c r="X3309" s="106" t="s">
        <v>297</v>
      </c>
      <c r="Y3309" s="107" t="s">
        <v>18</v>
      </c>
      <c r="Z3309" s="67">
        <f>IF(База_КР_КК[[#This Row],[Таб.номер резервиста]]="-","-",IF(OR(База_КР_КК[[#This Row],[Уровень КК]]=2,База_КР_КК[[#This Row],[Уровень КК]]=3),IF(COUNTIFS($U$2:$U3309,$U3309,$F$2:$F3309,$F3309)=1,1,0),IF(COUNTIFS($U$2:$U3309,$U3309,$L$2:$L3309,$L3309)=1,1,0)))</f>
        <v>0</v>
      </c>
      <c r="AA33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09" s="106" t="s">
        <v>33</v>
      </c>
      <c r="AC3309" s="51">
        <v>44571</v>
      </c>
      <c r="AD3309" s="106" t="s">
        <v>15</v>
      </c>
      <c r="AE3309" s="38" t="s">
        <v>380</v>
      </c>
    </row>
    <row r="3310" spans="1:31" ht="18" customHeight="1" x14ac:dyDescent="0.25">
      <c r="A33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0" s="79">
        <v>4</v>
      </c>
      <c r="C3310" s="23">
        <v>44125</v>
      </c>
      <c r="D3310" s="67">
        <f>IF(COUNTIF($G$2:$G3310,$G3310)=1,1,0)</f>
        <v>1</v>
      </c>
      <c r="E3310" s="67" t="str">
        <f>IFERROR(VLOOKUP(База_КР_КК[[#This Row],[ИД штатной должности (S)]],'уровень защищенности'!$B$7:$F$1095,5,0),"не защищена")</f>
        <v>высокий</v>
      </c>
      <c r="F3310" s="68">
        <v>500179</v>
      </c>
      <c r="G3310" s="74" t="s">
        <v>2949</v>
      </c>
      <c r="H3310" s="181">
        <f>INDEX('Списки данных'!$D$2:$D$1048576,MATCH(База_КР_КК[[#This Row],[Структурное подразделение]],'Списки данных'!$C$2:$C$1048576,0))</f>
        <v>7</v>
      </c>
      <c r="I3310" s="80" t="s">
        <v>137</v>
      </c>
      <c r="J3310" s="80" t="s">
        <v>248</v>
      </c>
      <c r="K3310" s="80" t="s">
        <v>249</v>
      </c>
      <c r="L3310" s="30" t="s">
        <v>192</v>
      </c>
      <c r="M3310" s="68">
        <v>6</v>
      </c>
      <c r="N3310" s="181" t="str">
        <f t="shared" si="52"/>
        <v>нет</v>
      </c>
      <c r="O3310" s="23"/>
      <c r="P3310" s="23"/>
      <c r="Q3310" s="106"/>
      <c r="R3310" s="37">
        <v>768</v>
      </c>
      <c r="S3310" s="38" t="s">
        <v>1177</v>
      </c>
      <c r="T3310" s="37">
        <v>769</v>
      </c>
      <c r="U3310" s="39" t="s">
        <v>1178</v>
      </c>
      <c r="V3310" s="89" t="s">
        <v>192</v>
      </c>
      <c r="W3310" s="89" t="s">
        <v>137</v>
      </c>
      <c r="X3310" s="106" t="s">
        <v>296</v>
      </c>
      <c r="Y3310" s="107" t="s">
        <v>12</v>
      </c>
      <c r="Z3310" s="67">
        <f>IF(База_КР_КК[[#This Row],[Таб.номер резервиста]]="-","-",IF(OR(База_КР_КК[[#This Row],[Уровень КК]]=2,База_КР_КК[[#This Row],[Уровень КК]]=3),IF(COUNTIFS($U$2:$U3310,$U3310,$F$2:$F3310,$F3310)=1,1,0),IF(COUNTIFS($U$2:$U3310,$U3310,$L$2:$L3310,$L3310)=1,1,0)))</f>
        <v>1</v>
      </c>
      <c r="AA33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0" s="106"/>
      <c r="AC3310" s="51"/>
      <c r="AD3310" s="106" t="s">
        <v>15</v>
      </c>
      <c r="AE3310" s="38" t="s">
        <v>318</v>
      </c>
    </row>
    <row r="3311" spans="1:31" ht="18" customHeight="1" x14ac:dyDescent="0.25">
      <c r="A33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1" s="79">
        <v>4</v>
      </c>
      <c r="C3311" s="23">
        <v>44299</v>
      </c>
      <c r="D3311" s="67">
        <f>IF(COUNTIF($G$2:$G3311,$G3311)=1,1,0)</f>
        <v>0</v>
      </c>
      <c r="E3311" s="67" t="str">
        <f>IFERROR(VLOOKUP(База_КР_КК[[#This Row],[ИД штатной должности (S)]],'уровень защищенности'!$B$7:$F$1095,5,0),"не защищена")</f>
        <v>высокий</v>
      </c>
      <c r="F3311" s="68">
        <v>500179</v>
      </c>
      <c r="G3311" s="74" t="s">
        <v>2949</v>
      </c>
      <c r="H3311" s="181">
        <f>INDEX('Списки данных'!$D$2:$D$1048576,MATCH(База_КР_КК[[#This Row],[Структурное подразделение]],'Списки данных'!$C$2:$C$1048576,0))</f>
        <v>7</v>
      </c>
      <c r="I3311" s="80" t="s">
        <v>137</v>
      </c>
      <c r="J3311" s="80" t="s">
        <v>248</v>
      </c>
      <c r="K3311" s="80" t="s">
        <v>249</v>
      </c>
      <c r="L3311" s="30" t="s">
        <v>192</v>
      </c>
      <c r="M3311" s="68">
        <v>6</v>
      </c>
      <c r="N3311" s="181" t="str">
        <f t="shared" si="52"/>
        <v>нет</v>
      </c>
      <c r="O3311" s="23"/>
      <c r="P3311" s="23"/>
      <c r="Q3311" s="106"/>
      <c r="R3311" s="37">
        <v>768</v>
      </c>
      <c r="S3311" s="38" t="s">
        <v>1177</v>
      </c>
      <c r="T3311" s="37">
        <v>770</v>
      </c>
      <c r="U3311" s="39" t="s">
        <v>1179</v>
      </c>
      <c r="V3311" s="89" t="s">
        <v>192</v>
      </c>
      <c r="W3311" s="89" t="s">
        <v>137</v>
      </c>
      <c r="X3311" s="106" t="s">
        <v>297</v>
      </c>
      <c r="Y3311" s="107" t="s">
        <v>12</v>
      </c>
      <c r="Z3311" s="67">
        <f>IF(База_КР_КК[[#This Row],[Таб.номер резервиста]]="-","-",IF(OR(База_КР_КК[[#This Row],[Уровень КК]]=2,База_КР_КК[[#This Row],[Уровень КК]]=3),IF(COUNTIFS($U$2:$U3311,$U3311,$F$2:$F3311,$F3311)=1,1,0),IF(COUNTIFS($U$2:$U3311,$U3311,$L$2:$L3311,$L3311)=1,1,0)))</f>
        <v>1</v>
      </c>
      <c r="AA33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1" s="106"/>
      <c r="AC3311" s="51"/>
      <c r="AD3311" s="106" t="s">
        <v>15</v>
      </c>
      <c r="AE3311" s="38" t="s">
        <v>383</v>
      </c>
    </row>
    <row r="3312" spans="1:31" ht="18" customHeight="1" x14ac:dyDescent="0.25">
      <c r="A33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2" s="79">
        <v>4</v>
      </c>
      <c r="C3312" s="23">
        <v>44469</v>
      </c>
      <c r="D3312" s="67">
        <f>IF(COUNTIF($G$2:$G3312,$G3312)=1,1,0)</f>
        <v>0</v>
      </c>
      <c r="E3312" s="67" t="str">
        <f>IFERROR(VLOOKUP(База_КР_КК[[#This Row],[ИД штатной должности (S)]],'уровень защищенности'!$B$7:$F$1095,5,0),"не защищена")</f>
        <v>высокий</v>
      </c>
      <c r="F3312" s="68">
        <v>500179</v>
      </c>
      <c r="G3312" s="74" t="s">
        <v>2949</v>
      </c>
      <c r="H3312" s="181">
        <f>INDEX('Списки данных'!$D$2:$D$1048576,MATCH(База_КР_КК[[#This Row],[Структурное подразделение]],'Списки данных'!$C$2:$C$1048576,0))</f>
        <v>7</v>
      </c>
      <c r="I3312" s="80" t="s">
        <v>137</v>
      </c>
      <c r="J3312" s="80" t="s">
        <v>248</v>
      </c>
      <c r="K3312" s="80" t="s">
        <v>249</v>
      </c>
      <c r="L3312" s="30" t="s">
        <v>192</v>
      </c>
      <c r="M3312" s="68">
        <v>6</v>
      </c>
      <c r="N3312" s="181" t="str">
        <f t="shared" si="52"/>
        <v>нет</v>
      </c>
      <c r="O3312" s="23"/>
      <c r="P3312" s="23"/>
      <c r="Q3312" s="106"/>
      <c r="R3312" s="37">
        <v>768</v>
      </c>
      <c r="S3312" s="38" t="s">
        <v>1177</v>
      </c>
      <c r="T3312" s="37">
        <v>1864</v>
      </c>
      <c r="U3312" s="39" t="s">
        <v>2078</v>
      </c>
      <c r="V3312" s="89" t="s">
        <v>272</v>
      </c>
      <c r="W3312" s="89" t="s">
        <v>137</v>
      </c>
      <c r="X3312" s="106" t="s">
        <v>295</v>
      </c>
      <c r="Y3312" s="107" t="s">
        <v>12</v>
      </c>
      <c r="Z3312" s="67">
        <f>IF(База_КР_КК[[#This Row],[Таб.номер резервиста]]="-","-",IF(OR(База_КР_КК[[#This Row],[Уровень КК]]=2,База_КР_КК[[#This Row],[Уровень КК]]=3),IF(COUNTIFS($U$2:$U3312,$U3312,$F$2:$F3312,$F3312)=1,1,0),IF(COUNTIFS($U$2:$U3312,$U3312,$L$2:$L3312,$L3312)=1,1,0)))</f>
        <v>1</v>
      </c>
      <c r="AA33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2" s="106"/>
      <c r="AC3312" s="51"/>
      <c r="AD3312" s="106" t="s">
        <v>17</v>
      </c>
      <c r="AE3312" s="38" t="s">
        <v>376</v>
      </c>
    </row>
    <row r="3313" spans="1:31" ht="18" customHeight="1" x14ac:dyDescent="0.25">
      <c r="A33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3" s="79">
        <v>4</v>
      </c>
      <c r="C3313" s="23">
        <v>44469</v>
      </c>
      <c r="D3313" s="67">
        <f>IF(COUNTIF($G$2:$G3313,$G3313)=1,1,0)</f>
        <v>0</v>
      </c>
      <c r="E3313" s="67" t="str">
        <f>IFERROR(VLOOKUP(База_КР_КК[[#This Row],[ИД штатной должности (S)]],'уровень защищенности'!$B$7:$F$1095,5,0),"не защищена")</f>
        <v>высокий</v>
      </c>
      <c r="F3313" s="68">
        <v>500179</v>
      </c>
      <c r="G3313" s="74" t="s">
        <v>2949</v>
      </c>
      <c r="H3313" s="181">
        <f>INDEX('Списки данных'!$D$2:$D$1048576,MATCH(База_КР_КК[[#This Row],[Структурное подразделение]],'Списки данных'!$C$2:$C$1048576,0))</f>
        <v>7</v>
      </c>
      <c r="I3313" s="80" t="s">
        <v>137</v>
      </c>
      <c r="J3313" s="80" t="s">
        <v>248</v>
      </c>
      <c r="K3313" s="80" t="s">
        <v>249</v>
      </c>
      <c r="L3313" s="30" t="s">
        <v>192</v>
      </c>
      <c r="M3313" s="68">
        <v>6</v>
      </c>
      <c r="N3313" s="181" t="str">
        <f t="shared" si="52"/>
        <v>нет</v>
      </c>
      <c r="O3313" s="23"/>
      <c r="P3313" s="23"/>
      <c r="Q3313" s="106"/>
      <c r="R3313" s="37">
        <v>768</v>
      </c>
      <c r="S3313" s="38" t="s">
        <v>1177</v>
      </c>
      <c r="T3313" s="37">
        <v>1865</v>
      </c>
      <c r="U3313" s="39" t="s">
        <v>2001</v>
      </c>
      <c r="V3313" s="89" t="s">
        <v>272</v>
      </c>
      <c r="W3313" s="89" t="s">
        <v>137</v>
      </c>
      <c r="X3313" s="106" t="s">
        <v>297</v>
      </c>
      <c r="Y3313" s="107" t="s">
        <v>12</v>
      </c>
      <c r="Z3313" s="67">
        <f>IF(База_КР_КК[[#This Row],[Таб.номер резервиста]]="-","-",IF(OR(База_КР_КК[[#This Row],[Уровень КК]]=2,База_КР_КК[[#This Row],[Уровень КК]]=3),IF(COUNTIFS($U$2:$U3313,$U3313,$F$2:$F3313,$F3313)=1,1,0),IF(COUNTIFS($U$2:$U3313,$U3313,$L$2:$L3313,$L3313)=1,1,0)))</f>
        <v>0</v>
      </c>
      <c r="AA33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3" s="106"/>
      <c r="AC3313" s="51"/>
      <c r="AD3313" s="106" t="s">
        <v>15</v>
      </c>
      <c r="AE3313" s="38" t="s">
        <v>380</v>
      </c>
    </row>
    <row r="3314" spans="1:31" ht="18" customHeight="1" x14ac:dyDescent="0.25">
      <c r="A33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4" s="79">
        <v>4</v>
      </c>
      <c r="C3314" s="23">
        <v>44469</v>
      </c>
      <c r="D3314" s="67">
        <f>IF(COUNTIF($G$2:$G3314,$G3314)=1,1,0)</f>
        <v>0</v>
      </c>
      <c r="E3314" s="67" t="str">
        <f>IFERROR(VLOOKUP(База_КР_КК[[#This Row],[ИД штатной должности (S)]],'уровень защищенности'!$B$7:$F$1095,5,0),"не защищена")</f>
        <v>высокий</v>
      </c>
      <c r="F3314" s="68">
        <v>500179</v>
      </c>
      <c r="G3314" s="74" t="s">
        <v>2949</v>
      </c>
      <c r="H3314" s="181">
        <f>INDEX('Списки данных'!$D$2:$D$1048576,MATCH(База_КР_КК[[#This Row],[Структурное подразделение]],'Списки данных'!$C$2:$C$1048576,0))</f>
        <v>7</v>
      </c>
      <c r="I3314" s="80" t="s">
        <v>137</v>
      </c>
      <c r="J3314" s="80" t="s">
        <v>248</v>
      </c>
      <c r="K3314" s="80" t="s">
        <v>249</v>
      </c>
      <c r="L3314" s="30" t="s">
        <v>192</v>
      </c>
      <c r="M3314" s="68">
        <v>6</v>
      </c>
      <c r="N3314" s="181" t="str">
        <f t="shared" si="52"/>
        <v>нет</v>
      </c>
      <c r="O3314" s="23"/>
      <c r="P3314" s="23"/>
      <c r="Q3314" s="106"/>
      <c r="R3314" s="37">
        <v>768</v>
      </c>
      <c r="S3314" s="38" t="s">
        <v>1177</v>
      </c>
      <c r="T3314" s="37">
        <v>1866</v>
      </c>
      <c r="U3314" s="39" t="s">
        <v>2027</v>
      </c>
      <c r="V3314" s="69" t="s">
        <v>272</v>
      </c>
      <c r="W3314" s="89" t="s">
        <v>137</v>
      </c>
      <c r="X3314" s="106" t="s">
        <v>297</v>
      </c>
      <c r="Y3314" s="107" t="s">
        <v>12</v>
      </c>
      <c r="Z3314" s="67">
        <f>IF(База_КР_КК[[#This Row],[Таб.номер резервиста]]="-","-",IF(OR(База_КР_КК[[#This Row],[Уровень КК]]=2,База_КР_КК[[#This Row],[Уровень КК]]=3),IF(COUNTIFS($U$2:$U3314,$U3314,$F$2:$F3314,$F3314)=1,1,0),IF(COUNTIFS($U$2:$U3314,$U3314,$L$2:$L3314,$L3314)=1,1,0)))</f>
        <v>1</v>
      </c>
      <c r="AA33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4" s="106"/>
      <c r="AC3314" s="51"/>
      <c r="AD3314" s="106" t="s">
        <v>13</v>
      </c>
      <c r="AE3314" s="38" t="s">
        <v>376</v>
      </c>
    </row>
    <row r="3315" spans="1:31" ht="18" customHeight="1" x14ac:dyDescent="0.25">
      <c r="A33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5" s="79">
        <v>4</v>
      </c>
      <c r="C3315" s="23">
        <v>44469</v>
      </c>
      <c r="D3315" s="67">
        <f>IF(COUNTIF($G$2:$G3315,$G3315)=1,1,0)</f>
        <v>0</v>
      </c>
      <c r="E3315" s="67" t="str">
        <f>IFERROR(VLOOKUP(База_КР_КК[[#This Row],[ИД штатной должности (S)]],'уровень защищенности'!$B$7:$F$1095,5,0),"не защищена")</f>
        <v>высокий</v>
      </c>
      <c r="F3315" s="68">
        <v>500179</v>
      </c>
      <c r="G3315" s="74" t="s">
        <v>2949</v>
      </c>
      <c r="H3315" s="181">
        <f>INDEX('Списки данных'!$D$2:$D$1048576,MATCH(База_КР_КК[[#This Row],[Структурное подразделение]],'Списки данных'!$C$2:$C$1048576,0))</f>
        <v>7</v>
      </c>
      <c r="I3315" s="80" t="s">
        <v>137</v>
      </c>
      <c r="J3315" s="80" t="s">
        <v>248</v>
      </c>
      <c r="K3315" s="80" t="s">
        <v>249</v>
      </c>
      <c r="L3315" s="30" t="s">
        <v>192</v>
      </c>
      <c r="M3315" s="68">
        <v>6</v>
      </c>
      <c r="N3315" s="181" t="str">
        <f t="shared" si="52"/>
        <v>нет</v>
      </c>
      <c r="O3315" s="23"/>
      <c r="P3315" s="23"/>
      <c r="Q3315" s="106"/>
      <c r="R3315" s="37">
        <v>768</v>
      </c>
      <c r="S3315" s="38" t="s">
        <v>1177</v>
      </c>
      <c r="T3315" s="37">
        <v>1867</v>
      </c>
      <c r="U3315" s="39" t="s">
        <v>1935</v>
      </c>
      <c r="V3315" s="89" t="s">
        <v>272</v>
      </c>
      <c r="W3315" s="89" t="s">
        <v>137</v>
      </c>
      <c r="X3315" s="106" t="s">
        <v>297</v>
      </c>
      <c r="Y3315" s="107" t="s">
        <v>12</v>
      </c>
      <c r="Z3315" s="67">
        <f>IF(База_КР_КК[[#This Row],[Таб.номер резервиста]]="-","-",IF(OR(База_КР_КК[[#This Row],[Уровень КК]]=2,База_КР_КК[[#This Row],[Уровень КК]]=3),IF(COUNTIFS($U$2:$U3315,$U3315,$F$2:$F3315,$F3315)=1,1,0),IF(COUNTIFS($U$2:$U3315,$U3315,$L$2:$L3315,$L3315)=1,1,0)))</f>
        <v>1</v>
      </c>
      <c r="AA33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5" s="106"/>
      <c r="AC3315" s="51"/>
      <c r="AD3315" s="106" t="s">
        <v>13</v>
      </c>
      <c r="AE3315" s="38" t="s">
        <v>376</v>
      </c>
    </row>
    <row r="3316" spans="1:31" ht="18" customHeight="1" x14ac:dyDescent="0.25">
      <c r="A33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6" s="79">
        <v>4</v>
      </c>
      <c r="C3316" s="23">
        <v>44859</v>
      </c>
      <c r="D3316" s="67">
        <f>IF(COUNTIF($G$2:$G3316,$G3316)=1,1,0)</f>
        <v>0</v>
      </c>
      <c r="E3316" s="67" t="str">
        <f>IFERROR(VLOOKUP(База_КР_КК[[#This Row],[ИД штатной должности (S)]],'уровень защищенности'!$B$7:$F$1095,5,0),"не защищена")</f>
        <v>высокий</v>
      </c>
      <c r="F3316" s="68">
        <v>500179</v>
      </c>
      <c r="G3316" s="74" t="s">
        <v>2949</v>
      </c>
      <c r="H3316" s="181">
        <f>INDEX('Списки данных'!$D$2:$D$1048576,MATCH(База_КР_КК[[#This Row],[Структурное подразделение]],'Списки данных'!$C$2:$C$1048576,0))</f>
        <v>7</v>
      </c>
      <c r="I3316" s="80" t="s">
        <v>137</v>
      </c>
      <c r="J3316" s="80" t="s">
        <v>248</v>
      </c>
      <c r="K3316" s="80" t="s">
        <v>249</v>
      </c>
      <c r="L3316" s="30" t="s">
        <v>192</v>
      </c>
      <c r="M3316" s="68">
        <v>6</v>
      </c>
      <c r="N3316" s="181" t="str">
        <f t="shared" si="52"/>
        <v>нет</v>
      </c>
      <c r="O3316" s="23"/>
      <c r="P3316" s="23"/>
      <c r="Q3316" s="106"/>
      <c r="R3316" s="37">
        <v>768</v>
      </c>
      <c r="S3316" s="39" t="s">
        <v>1177</v>
      </c>
      <c r="T3316" s="37">
        <v>1868</v>
      </c>
      <c r="U3316" s="38" t="s">
        <v>1735</v>
      </c>
      <c r="V3316" s="89" t="s">
        <v>272</v>
      </c>
      <c r="W3316" s="89" t="s">
        <v>137</v>
      </c>
      <c r="X3316" s="106" t="s">
        <v>297</v>
      </c>
      <c r="Y3316" s="107" t="s">
        <v>12</v>
      </c>
      <c r="Z3316" s="67">
        <f>IF(База_КР_КК[[#This Row],[Таб.номер резервиста]]="-","-",IF(OR(База_КР_КК[[#This Row],[Уровень КК]]=2,База_КР_КК[[#This Row],[Уровень КК]]=3),IF(COUNTIFS($U$2:$U3316,$U3316,$F$2:$F3316,$F3316)=1,1,0),IF(COUNTIFS($U$2:$U3316,$U3316,$L$2:$L3316,$L3316)=1,1,0)))</f>
        <v>0</v>
      </c>
      <c r="AA33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6" s="106"/>
      <c r="AC3316" s="51"/>
      <c r="AD3316" s="106" t="s">
        <v>15</v>
      </c>
      <c r="AE3316" s="38" t="s">
        <v>376</v>
      </c>
    </row>
    <row r="3317" spans="1:31" ht="18" customHeight="1" x14ac:dyDescent="0.25">
      <c r="A33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7" s="79">
        <v>4</v>
      </c>
      <c r="C3317" s="23">
        <v>44859</v>
      </c>
      <c r="D3317" s="67">
        <f>IF(COUNTIF($G$2:$G3317,$G3317)=1,1,0)</f>
        <v>0</v>
      </c>
      <c r="E3317" s="67" t="str">
        <f>IFERROR(VLOOKUP(База_КР_КК[[#This Row],[ИД штатной должности (S)]],'уровень защищенности'!$B$7:$F$1095,5,0),"не защищена")</f>
        <v>высокий</v>
      </c>
      <c r="F3317" s="68">
        <v>500179</v>
      </c>
      <c r="G3317" s="74" t="s">
        <v>2949</v>
      </c>
      <c r="H3317" s="181">
        <f>INDEX('Списки данных'!$D$2:$D$1048576,MATCH(База_КР_КК[[#This Row],[Структурное подразделение]],'Списки данных'!$C$2:$C$1048576,0))</f>
        <v>7</v>
      </c>
      <c r="I3317" s="80" t="s">
        <v>137</v>
      </c>
      <c r="J3317" s="80" t="s">
        <v>248</v>
      </c>
      <c r="K3317" s="80" t="s">
        <v>249</v>
      </c>
      <c r="L3317" s="30" t="s">
        <v>192</v>
      </c>
      <c r="M3317" s="68">
        <v>6</v>
      </c>
      <c r="N3317" s="181" t="str">
        <f t="shared" si="52"/>
        <v>нет</v>
      </c>
      <c r="O3317" s="23"/>
      <c r="P3317" s="23"/>
      <c r="Q3317" s="106"/>
      <c r="R3317" s="37">
        <v>768</v>
      </c>
      <c r="S3317" s="39" t="s">
        <v>1177</v>
      </c>
      <c r="T3317" s="37">
        <v>1869</v>
      </c>
      <c r="U3317" s="38" t="s">
        <v>1913</v>
      </c>
      <c r="V3317" s="89" t="s">
        <v>272</v>
      </c>
      <c r="W3317" s="89" t="s">
        <v>137</v>
      </c>
      <c r="X3317" s="106" t="s">
        <v>297</v>
      </c>
      <c r="Y3317" s="107" t="s">
        <v>12</v>
      </c>
      <c r="Z3317" s="67">
        <f>IF(База_КР_КК[[#This Row],[Таб.номер резервиста]]="-","-",IF(OR(База_КР_КК[[#This Row],[Уровень КК]]=2,База_КР_КК[[#This Row],[Уровень КК]]=3),IF(COUNTIFS($U$2:$U3317,$U3317,$F$2:$F3317,$F3317)=1,1,0),IF(COUNTIFS($U$2:$U3317,$U3317,$L$2:$L3317,$L3317)=1,1,0)))</f>
        <v>0</v>
      </c>
      <c r="AA33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7" s="106"/>
      <c r="AC3317" s="51"/>
      <c r="AD3317" s="106" t="s">
        <v>15</v>
      </c>
      <c r="AE3317" s="38" t="s">
        <v>376</v>
      </c>
    </row>
    <row r="3318" spans="1:31" ht="18" customHeight="1" x14ac:dyDescent="0.25">
      <c r="A33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8" s="79">
        <v>4</v>
      </c>
      <c r="C3318" s="23">
        <v>44469</v>
      </c>
      <c r="D3318" s="67">
        <f>IF(COUNTIF($G$2:$G3318,$G3318)=1,1,0)</f>
        <v>1</v>
      </c>
      <c r="E3318" s="67" t="str">
        <f>IFERROR(VLOOKUP(База_КР_КК[[#This Row],[ИД штатной должности (S)]],'уровень защищенности'!$B$7:$F$1095,5,0),"не защищена")</f>
        <v>высокий</v>
      </c>
      <c r="F3318" s="68">
        <v>500180</v>
      </c>
      <c r="G3318" s="74" t="s">
        <v>2950</v>
      </c>
      <c r="H3318" s="181">
        <f>INDEX('Списки данных'!$D$2:$D$1048576,MATCH(База_КР_КК[[#This Row],[Структурное подразделение]],'Списки данных'!$C$2:$C$1048576,0))</f>
        <v>7</v>
      </c>
      <c r="I3318" s="80" t="s">
        <v>137</v>
      </c>
      <c r="J3318" s="80" t="s">
        <v>248</v>
      </c>
      <c r="K3318" s="80" t="s">
        <v>249</v>
      </c>
      <c r="L3318" s="30" t="s">
        <v>191</v>
      </c>
      <c r="M3318" s="68">
        <v>6</v>
      </c>
      <c r="N3318" s="181" t="str">
        <f t="shared" si="52"/>
        <v>да</v>
      </c>
      <c r="O3318" s="23">
        <v>44298</v>
      </c>
      <c r="P3318" s="23">
        <v>44334</v>
      </c>
      <c r="Q3318" s="106" t="s">
        <v>57</v>
      </c>
      <c r="R3318" s="37">
        <v>769</v>
      </c>
      <c r="S3318" s="38" t="s">
        <v>1178</v>
      </c>
      <c r="T3318" s="37">
        <v>1864</v>
      </c>
      <c r="U3318" s="39" t="s">
        <v>2078</v>
      </c>
      <c r="V3318" s="89" t="s">
        <v>272</v>
      </c>
      <c r="W3318" s="89" t="s">
        <v>137</v>
      </c>
      <c r="X3318" s="106" t="s">
        <v>295</v>
      </c>
      <c r="Y3318" s="107" t="s">
        <v>12</v>
      </c>
      <c r="Z3318" s="67">
        <f>IF(База_КР_КК[[#This Row],[Таб.номер резервиста]]="-","-",IF(OR(База_КР_КК[[#This Row],[Уровень КК]]=2,База_КР_КК[[#This Row],[Уровень КК]]=3),IF(COUNTIFS($U$2:$U3318,$U3318,$F$2:$F3318,$F3318)=1,1,0),IF(COUNTIFS($U$2:$U3318,$U3318,$L$2:$L3318,$L3318)=1,1,0)))</f>
        <v>1</v>
      </c>
      <c r="AA33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8" s="106"/>
      <c r="AC3318" s="51"/>
      <c r="AD3318" s="106" t="s">
        <v>17</v>
      </c>
      <c r="AE3318" s="38" t="s">
        <v>376</v>
      </c>
    </row>
    <row r="3319" spans="1:31" ht="18" customHeight="1" x14ac:dyDescent="0.25">
      <c r="A33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19" s="79">
        <v>4</v>
      </c>
      <c r="C3319" s="23">
        <v>44469</v>
      </c>
      <c r="D3319" s="67">
        <f>IF(COUNTIF($G$2:$G3319,$G3319)=1,1,0)</f>
        <v>0</v>
      </c>
      <c r="E3319" s="67" t="str">
        <f>IFERROR(VLOOKUP(База_КР_КК[[#This Row],[ИД штатной должности (S)]],'уровень защищенности'!$B$7:$F$1095,5,0),"не защищена")</f>
        <v>высокий</v>
      </c>
      <c r="F3319" s="68">
        <v>500180</v>
      </c>
      <c r="G3319" s="74" t="s">
        <v>2950</v>
      </c>
      <c r="H3319" s="181">
        <f>INDEX('Списки данных'!$D$2:$D$1048576,MATCH(База_КР_КК[[#This Row],[Структурное подразделение]],'Списки данных'!$C$2:$C$1048576,0))</f>
        <v>7</v>
      </c>
      <c r="I3319" s="80" t="s">
        <v>137</v>
      </c>
      <c r="J3319" s="80" t="s">
        <v>248</v>
      </c>
      <c r="K3319" s="80" t="s">
        <v>249</v>
      </c>
      <c r="L3319" s="30" t="s">
        <v>191</v>
      </c>
      <c r="M3319" s="68">
        <v>6</v>
      </c>
      <c r="N3319" s="181" t="str">
        <f t="shared" si="52"/>
        <v>да</v>
      </c>
      <c r="O3319" s="23">
        <v>44298</v>
      </c>
      <c r="P3319" s="23">
        <v>44334</v>
      </c>
      <c r="Q3319" s="106" t="s">
        <v>57</v>
      </c>
      <c r="R3319" s="37">
        <v>769</v>
      </c>
      <c r="S3319" s="38" t="s">
        <v>1178</v>
      </c>
      <c r="T3319" s="37">
        <v>1865</v>
      </c>
      <c r="U3319" s="39" t="s">
        <v>2001</v>
      </c>
      <c r="V3319" s="89" t="s">
        <v>272</v>
      </c>
      <c r="W3319" s="89" t="s">
        <v>137</v>
      </c>
      <c r="X3319" s="106" t="s">
        <v>297</v>
      </c>
      <c r="Y3319" s="107" t="s">
        <v>12</v>
      </c>
      <c r="Z3319" s="67">
        <f>IF(База_КР_КК[[#This Row],[Таб.номер резервиста]]="-","-",IF(OR(База_КР_КК[[#This Row],[Уровень КК]]=2,База_КР_КК[[#This Row],[Уровень КК]]=3),IF(COUNTIFS($U$2:$U3319,$U3319,$F$2:$F3319,$F3319)=1,1,0),IF(COUNTIFS($U$2:$U3319,$U3319,$L$2:$L3319,$L3319)=1,1,0)))</f>
        <v>1</v>
      </c>
      <c r="AA33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19" s="106"/>
      <c r="AC3319" s="51"/>
      <c r="AD3319" s="106" t="s">
        <v>15</v>
      </c>
      <c r="AE3319" s="38" t="s">
        <v>380</v>
      </c>
    </row>
    <row r="3320" spans="1:31" ht="18" customHeight="1" x14ac:dyDescent="0.25">
      <c r="A33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0" s="79">
        <v>4</v>
      </c>
      <c r="C3320" s="23">
        <v>44469</v>
      </c>
      <c r="D3320" s="67">
        <f>IF(COUNTIF($G$2:$G3320,$G3320)=1,1,0)</f>
        <v>0</v>
      </c>
      <c r="E3320" s="67" t="str">
        <f>IFERROR(VLOOKUP(База_КР_КК[[#This Row],[ИД штатной должности (S)]],'уровень защищенности'!$B$7:$F$1095,5,0),"не защищена")</f>
        <v>высокий</v>
      </c>
      <c r="F3320" s="68">
        <v>500180</v>
      </c>
      <c r="G3320" s="74" t="s">
        <v>2950</v>
      </c>
      <c r="H3320" s="181">
        <f>INDEX('Списки данных'!$D$2:$D$1048576,MATCH(База_КР_КК[[#This Row],[Структурное подразделение]],'Списки данных'!$C$2:$C$1048576,0))</f>
        <v>7</v>
      </c>
      <c r="I3320" s="80" t="s">
        <v>137</v>
      </c>
      <c r="J3320" s="80" t="s">
        <v>248</v>
      </c>
      <c r="K3320" s="80" t="s">
        <v>249</v>
      </c>
      <c r="L3320" s="30" t="s">
        <v>191</v>
      </c>
      <c r="M3320" s="68">
        <v>6</v>
      </c>
      <c r="N3320" s="181" t="str">
        <f t="shared" si="52"/>
        <v>да</v>
      </c>
      <c r="O3320" s="23">
        <v>44298</v>
      </c>
      <c r="P3320" s="23">
        <v>44334</v>
      </c>
      <c r="Q3320" s="106" t="s">
        <v>57</v>
      </c>
      <c r="R3320" s="37">
        <v>769</v>
      </c>
      <c r="S3320" s="38" t="s">
        <v>1178</v>
      </c>
      <c r="T3320" s="37">
        <v>1866</v>
      </c>
      <c r="U3320" s="39" t="s">
        <v>2027</v>
      </c>
      <c r="V3320" s="69" t="s">
        <v>272</v>
      </c>
      <c r="W3320" s="89" t="s">
        <v>137</v>
      </c>
      <c r="X3320" s="106" t="s">
        <v>297</v>
      </c>
      <c r="Y3320" s="107" t="s">
        <v>12</v>
      </c>
      <c r="Z3320" s="67">
        <f>IF(База_КР_КК[[#This Row],[Таб.номер резервиста]]="-","-",IF(OR(База_КР_КК[[#This Row],[Уровень КК]]=2,База_КР_КК[[#This Row],[Уровень КК]]=3),IF(COUNTIFS($U$2:$U3320,$U3320,$F$2:$F3320,$F3320)=1,1,0),IF(COUNTIFS($U$2:$U3320,$U3320,$L$2:$L3320,$L3320)=1,1,0)))</f>
        <v>0</v>
      </c>
      <c r="AA33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0" s="106"/>
      <c r="AC3320" s="51"/>
      <c r="AD3320" s="106" t="s">
        <v>13</v>
      </c>
      <c r="AE3320" s="38" t="s">
        <v>376</v>
      </c>
    </row>
    <row r="3321" spans="1:31" ht="18" customHeight="1" x14ac:dyDescent="0.25">
      <c r="A33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1" s="79">
        <v>4</v>
      </c>
      <c r="C3321" s="23">
        <v>44469</v>
      </c>
      <c r="D3321" s="67">
        <f>IF(COUNTIF($G$2:$G3321,$G3321)=1,1,0)</f>
        <v>0</v>
      </c>
      <c r="E3321" s="67" t="str">
        <f>IFERROR(VLOOKUP(База_КР_КК[[#This Row],[ИД штатной должности (S)]],'уровень защищенности'!$B$7:$F$1095,5,0),"не защищена")</f>
        <v>высокий</v>
      </c>
      <c r="F3321" s="68">
        <v>500180</v>
      </c>
      <c r="G3321" s="74" t="s">
        <v>2950</v>
      </c>
      <c r="H3321" s="181">
        <f>INDEX('Списки данных'!$D$2:$D$1048576,MATCH(База_КР_КК[[#This Row],[Структурное подразделение]],'Списки данных'!$C$2:$C$1048576,0))</f>
        <v>7</v>
      </c>
      <c r="I3321" s="80" t="s">
        <v>137</v>
      </c>
      <c r="J3321" s="80" t="s">
        <v>248</v>
      </c>
      <c r="K3321" s="80" t="s">
        <v>249</v>
      </c>
      <c r="L3321" s="30" t="s">
        <v>191</v>
      </c>
      <c r="M3321" s="68">
        <v>6</v>
      </c>
      <c r="N3321" s="181" t="str">
        <f t="shared" si="52"/>
        <v>да</v>
      </c>
      <c r="O3321" s="23">
        <v>44298</v>
      </c>
      <c r="P3321" s="23">
        <v>44334</v>
      </c>
      <c r="Q3321" s="106" t="s">
        <v>57</v>
      </c>
      <c r="R3321" s="37">
        <v>769</v>
      </c>
      <c r="S3321" s="38" t="s">
        <v>1178</v>
      </c>
      <c r="T3321" s="37">
        <v>1867</v>
      </c>
      <c r="U3321" s="39" t="s">
        <v>1935</v>
      </c>
      <c r="V3321" s="89" t="s">
        <v>272</v>
      </c>
      <c r="W3321" s="89" t="s">
        <v>137</v>
      </c>
      <c r="X3321" s="106" t="s">
        <v>297</v>
      </c>
      <c r="Y3321" s="107" t="s">
        <v>12</v>
      </c>
      <c r="Z3321" s="67">
        <f>IF(База_КР_КК[[#This Row],[Таб.номер резервиста]]="-","-",IF(OR(База_КР_КК[[#This Row],[Уровень КК]]=2,База_КР_КК[[#This Row],[Уровень КК]]=3),IF(COUNTIFS($U$2:$U3321,$U3321,$F$2:$F3321,$F3321)=1,1,0),IF(COUNTIFS($U$2:$U3321,$U3321,$L$2:$L3321,$L3321)=1,1,0)))</f>
        <v>1</v>
      </c>
      <c r="AA33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1" s="106"/>
      <c r="AC3321" s="51"/>
      <c r="AD3321" s="106" t="s">
        <v>13</v>
      </c>
      <c r="AE3321" s="38" t="s">
        <v>376</v>
      </c>
    </row>
    <row r="3322" spans="1:31" ht="18" customHeight="1" x14ac:dyDescent="0.25">
      <c r="A33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2" s="79">
        <v>4</v>
      </c>
      <c r="C3322" s="23">
        <v>44859</v>
      </c>
      <c r="D3322" s="67">
        <f>IF(COUNTIF($G$2:$G3322,$G3322)=1,1,0)</f>
        <v>0</v>
      </c>
      <c r="E3322" s="67" t="str">
        <f>IFERROR(VLOOKUP(База_КР_КК[[#This Row],[ИД штатной должности (S)]],'уровень защищенности'!$B$7:$F$1095,5,0),"не защищена")</f>
        <v>высокий</v>
      </c>
      <c r="F3322" s="68">
        <v>500180</v>
      </c>
      <c r="G3322" s="74" t="s">
        <v>2950</v>
      </c>
      <c r="H3322" s="181">
        <f>INDEX('Списки данных'!$D$2:$D$1048576,MATCH(База_КР_КК[[#This Row],[Структурное подразделение]],'Списки данных'!$C$2:$C$1048576,0))</f>
        <v>7</v>
      </c>
      <c r="I3322" s="80" t="s">
        <v>137</v>
      </c>
      <c r="J3322" s="80" t="s">
        <v>248</v>
      </c>
      <c r="K3322" s="80" t="s">
        <v>249</v>
      </c>
      <c r="L3322" s="30" t="s">
        <v>191</v>
      </c>
      <c r="M3322" s="68">
        <v>6</v>
      </c>
      <c r="N3322" s="181" t="str">
        <f t="shared" si="52"/>
        <v>да</v>
      </c>
      <c r="O3322" s="23">
        <v>44298</v>
      </c>
      <c r="P3322" s="23">
        <v>44334</v>
      </c>
      <c r="Q3322" s="106" t="s">
        <v>66</v>
      </c>
      <c r="R3322" s="37">
        <v>769</v>
      </c>
      <c r="S3322" s="39" t="s">
        <v>1178</v>
      </c>
      <c r="T3322" s="37">
        <v>1868</v>
      </c>
      <c r="U3322" s="38" t="s">
        <v>1735</v>
      </c>
      <c r="V3322" s="89" t="s">
        <v>272</v>
      </c>
      <c r="W3322" s="89" t="s">
        <v>137</v>
      </c>
      <c r="X3322" s="106" t="s">
        <v>297</v>
      </c>
      <c r="Y3322" s="107" t="s">
        <v>12</v>
      </c>
      <c r="Z3322" s="67">
        <f>IF(База_КР_КК[[#This Row],[Таб.номер резервиста]]="-","-",IF(OR(База_КР_КК[[#This Row],[Уровень КК]]=2,База_КР_КК[[#This Row],[Уровень КК]]=3),IF(COUNTIFS($U$2:$U3322,$U3322,$F$2:$F3322,$F3322)=1,1,0),IF(COUNTIFS($U$2:$U3322,$U3322,$L$2:$L3322,$L3322)=1,1,0)))</f>
        <v>1</v>
      </c>
      <c r="AA33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2" s="106"/>
      <c r="AC3322" s="51"/>
      <c r="AD3322" s="106" t="s">
        <v>15</v>
      </c>
      <c r="AE3322" s="38" t="s">
        <v>376</v>
      </c>
    </row>
    <row r="3323" spans="1:31" ht="18" customHeight="1" x14ac:dyDescent="0.25">
      <c r="A33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3" s="79">
        <v>4</v>
      </c>
      <c r="C3323" s="23">
        <v>44859</v>
      </c>
      <c r="D3323" s="67">
        <f>IF(COUNTIF($G$2:$G3323,$G3323)=1,1,0)</f>
        <v>0</v>
      </c>
      <c r="E3323" s="67" t="str">
        <f>IFERROR(VLOOKUP(База_КР_КК[[#This Row],[ИД штатной должности (S)]],'уровень защищенности'!$B$7:$F$1095,5,0),"не защищена")</f>
        <v>высокий</v>
      </c>
      <c r="F3323" s="68">
        <v>500180</v>
      </c>
      <c r="G3323" s="74" t="s">
        <v>2950</v>
      </c>
      <c r="H3323" s="181">
        <f>INDEX('Списки данных'!$D$2:$D$1048576,MATCH(База_КР_КК[[#This Row],[Структурное подразделение]],'Списки данных'!$C$2:$C$1048576,0))</f>
        <v>7</v>
      </c>
      <c r="I3323" s="80" t="s">
        <v>137</v>
      </c>
      <c r="J3323" s="80" t="s">
        <v>248</v>
      </c>
      <c r="K3323" s="80" t="s">
        <v>249</v>
      </c>
      <c r="L3323" s="30" t="s">
        <v>191</v>
      </c>
      <c r="M3323" s="68">
        <v>6</v>
      </c>
      <c r="N3323" s="181" t="str">
        <f t="shared" si="52"/>
        <v>да</v>
      </c>
      <c r="O3323" s="23">
        <v>44298</v>
      </c>
      <c r="P3323" s="23">
        <v>44334</v>
      </c>
      <c r="Q3323" s="106" t="s">
        <v>66</v>
      </c>
      <c r="R3323" s="37">
        <v>769</v>
      </c>
      <c r="S3323" s="39" t="s">
        <v>1178</v>
      </c>
      <c r="T3323" s="37">
        <v>1869</v>
      </c>
      <c r="U3323" s="38" t="s">
        <v>1913</v>
      </c>
      <c r="V3323" s="89" t="s">
        <v>272</v>
      </c>
      <c r="W3323" s="89" t="s">
        <v>137</v>
      </c>
      <c r="X3323" s="106" t="s">
        <v>297</v>
      </c>
      <c r="Y3323" s="107" t="s">
        <v>12</v>
      </c>
      <c r="Z3323" s="67">
        <f>IF(База_КР_КК[[#This Row],[Таб.номер резервиста]]="-","-",IF(OR(База_КР_КК[[#This Row],[Уровень КК]]=2,База_КР_КК[[#This Row],[Уровень КК]]=3),IF(COUNTIFS($U$2:$U3323,$U3323,$F$2:$F3323,$F3323)=1,1,0),IF(COUNTIFS($U$2:$U3323,$U3323,$L$2:$L3323,$L3323)=1,1,0)))</f>
        <v>0</v>
      </c>
      <c r="AA33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3" s="106"/>
      <c r="AC3323" s="51"/>
      <c r="AD3323" s="106" t="s">
        <v>15</v>
      </c>
      <c r="AE3323" s="38" t="s">
        <v>376</v>
      </c>
    </row>
    <row r="3324" spans="1:31" ht="18" customHeight="1" x14ac:dyDescent="0.25">
      <c r="A33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4" s="79">
        <v>4</v>
      </c>
      <c r="C3324" s="23">
        <v>44125</v>
      </c>
      <c r="D3324" s="67">
        <f>IF(COUNTIF($G$2:$G3324,$G3324)=1,1,0)</f>
        <v>0</v>
      </c>
      <c r="E3324" s="67" t="str">
        <f>IFERROR(VLOOKUP(База_КР_КК[[#This Row],[ИД штатной должности (S)]],'уровень защищенности'!$B$7:$F$1095,5,0),"не защищена")</f>
        <v>высокий</v>
      </c>
      <c r="F3324" s="68">
        <v>500180</v>
      </c>
      <c r="G3324" s="74" t="s">
        <v>2950</v>
      </c>
      <c r="H3324" s="181">
        <f>INDEX('Списки данных'!$D$2:$D$1048576,MATCH(База_КР_КК[[#This Row],[Структурное подразделение]],'Списки данных'!$C$2:$C$1048576,0))</f>
        <v>7</v>
      </c>
      <c r="I3324" s="80" t="s">
        <v>137</v>
      </c>
      <c r="J3324" s="80" t="s">
        <v>248</v>
      </c>
      <c r="K3324" s="80" t="s">
        <v>249</v>
      </c>
      <c r="L3324" s="30" t="s">
        <v>191</v>
      </c>
      <c r="M3324" s="68">
        <v>6</v>
      </c>
      <c r="N3324" s="181" t="str">
        <f t="shared" si="52"/>
        <v>да</v>
      </c>
      <c r="O3324" s="23">
        <v>44298</v>
      </c>
      <c r="P3324" s="23">
        <v>44334</v>
      </c>
      <c r="Q3324" s="106" t="s">
        <v>66</v>
      </c>
      <c r="R3324" s="37">
        <v>769</v>
      </c>
      <c r="S3324" s="39" t="s">
        <v>1178</v>
      </c>
      <c r="T3324" s="37">
        <v>769</v>
      </c>
      <c r="U3324" s="39" t="s">
        <v>1178</v>
      </c>
      <c r="V3324" s="89" t="s">
        <v>192</v>
      </c>
      <c r="W3324" s="89" t="s">
        <v>137</v>
      </c>
      <c r="X3324" s="106" t="s">
        <v>296</v>
      </c>
      <c r="Y3324" s="107" t="s">
        <v>14</v>
      </c>
      <c r="Z3324" s="67">
        <f>IF(База_КР_КК[[#This Row],[Таб.номер резервиста]]="-","-",IF(OR(База_КР_КК[[#This Row],[Уровень КК]]=2,База_КР_КК[[#This Row],[Уровень КК]]=3),IF(COUNTIFS($U$2:$U3324,$U3324,$F$2:$F3324,$F3324)=1,1,0),IF(COUNTIFS($U$2:$U3324,$U3324,$L$2:$L3324,$L3324)=1,1,0)))</f>
        <v>1</v>
      </c>
      <c r="AA33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324" s="106" t="s">
        <v>24</v>
      </c>
      <c r="AC3324" s="51">
        <v>44334</v>
      </c>
      <c r="AD3324" s="106" t="s">
        <v>15</v>
      </c>
      <c r="AE3324" s="38" t="s">
        <v>318</v>
      </c>
    </row>
    <row r="3325" spans="1:31" ht="18" customHeight="1" x14ac:dyDescent="0.25">
      <c r="A33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5" s="79">
        <v>4</v>
      </c>
      <c r="C3325" s="23">
        <v>44299</v>
      </c>
      <c r="D3325" s="67">
        <f>IF(COUNTIF($G$2:$G3325,$G3325)=1,1,0)</f>
        <v>0</v>
      </c>
      <c r="E3325" s="67" t="str">
        <f>IFERROR(VLOOKUP(База_КР_КК[[#This Row],[ИД штатной должности (S)]],'уровень защищенности'!$B$7:$F$1095,5,0),"не защищена")</f>
        <v>высокий</v>
      </c>
      <c r="F3325" s="68">
        <v>500180</v>
      </c>
      <c r="G3325" s="74" t="s">
        <v>2950</v>
      </c>
      <c r="H3325" s="181">
        <f>INDEX('Списки данных'!$D$2:$D$1048576,MATCH(База_КР_КК[[#This Row],[Структурное подразделение]],'Списки данных'!$C$2:$C$1048576,0))</f>
        <v>7</v>
      </c>
      <c r="I3325" s="80" t="s">
        <v>137</v>
      </c>
      <c r="J3325" s="80" t="s">
        <v>248</v>
      </c>
      <c r="K3325" s="80" t="s">
        <v>249</v>
      </c>
      <c r="L3325" s="30" t="s">
        <v>191</v>
      </c>
      <c r="M3325" s="68">
        <v>6</v>
      </c>
      <c r="N3325" s="181" t="str">
        <f t="shared" si="52"/>
        <v>да</v>
      </c>
      <c r="O3325" s="23">
        <v>44298</v>
      </c>
      <c r="P3325" s="23">
        <v>44334</v>
      </c>
      <c r="Q3325" s="106" t="s">
        <v>66</v>
      </c>
      <c r="R3325" s="37">
        <v>769</v>
      </c>
      <c r="S3325" s="38" t="s">
        <v>1178</v>
      </c>
      <c r="T3325" s="37">
        <v>770</v>
      </c>
      <c r="U3325" s="39" t="s">
        <v>1179</v>
      </c>
      <c r="V3325" s="89" t="s">
        <v>192</v>
      </c>
      <c r="W3325" s="89" t="s">
        <v>137</v>
      </c>
      <c r="X3325" s="106" t="s">
        <v>297</v>
      </c>
      <c r="Y3325" s="107" t="s">
        <v>14</v>
      </c>
      <c r="Z3325" s="67">
        <f>IF(База_КР_КК[[#This Row],[Таб.номер резервиста]]="-","-",IF(OR(База_КР_КК[[#This Row],[Уровень КК]]=2,База_КР_КК[[#This Row],[Уровень КК]]=3),IF(COUNTIFS($U$2:$U3325,$U3325,$F$2:$F3325,$F3325)=1,1,0),IF(COUNTIFS($U$2:$U3325,$U3325,$L$2:$L3325,$L3325)=1,1,0)))</f>
        <v>1</v>
      </c>
      <c r="AA33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5" s="106" t="s">
        <v>24</v>
      </c>
      <c r="AC3325" s="51">
        <v>44343</v>
      </c>
      <c r="AD3325" s="106" t="s">
        <v>15</v>
      </c>
      <c r="AE3325" s="38" t="s">
        <v>383</v>
      </c>
    </row>
    <row r="3326" spans="1:31" ht="18" customHeight="1" x14ac:dyDescent="0.25">
      <c r="A33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6" s="79">
        <v>4</v>
      </c>
      <c r="C3326" s="23">
        <v>44469</v>
      </c>
      <c r="D3326" s="67">
        <f>IF(COUNTIF($G$2:$G3326,$G3326)=1,1,0)</f>
        <v>1</v>
      </c>
      <c r="E3326" s="67" t="str">
        <f>IFERROR(VLOOKUP(База_КР_КК[[#This Row],[ИД штатной должности (S)]],'уровень защищенности'!$B$7:$F$1095,5,0),"не защищена")</f>
        <v>высокий</v>
      </c>
      <c r="F3326" s="68">
        <v>500180</v>
      </c>
      <c r="G3326" s="74" t="s">
        <v>2951</v>
      </c>
      <c r="H3326" s="181">
        <f>INDEX('Списки данных'!$D$2:$D$1048576,MATCH(База_КР_КК[[#This Row],[Структурное подразделение]],'Списки данных'!$C$2:$C$1048576,0))</f>
        <v>7</v>
      </c>
      <c r="I3326" s="80" t="s">
        <v>137</v>
      </c>
      <c r="J3326" s="80" t="s">
        <v>248</v>
      </c>
      <c r="K3326" s="80" t="s">
        <v>249</v>
      </c>
      <c r="L3326" s="30" t="s">
        <v>191</v>
      </c>
      <c r="M3326" s="68">
        <v>6</v>
      </c>
      <c r="N3326" s="181" t="str">
        <f t="shared" ref="N3326:N3389" si="53">IF(ISBLANK(O3326),"нет","да")</f>
        <v>да</v>
      </c>
      <c r="O3326" s="23">
        <v>44260</v>
      </c>
      <c r="P3326" s="23">
        <v>44343</v>
      </c>
      <c r="Q3326" s="106" t="s">
        <v>57</v>
      </c>
      <c r="R3326" s="37">
        <v>770</v>
      </c>
      <c r="S3326" s="38" t="s">
        <v>1179</v>
      </c>
      <c r="T3326" s="37">
        <v>1864</v>
      </c>
      <c r="U3326" s="39" t="s">
        <v>2078</v>
      </c>
      <c r="V3326" s="89" t="s">
        <v>272</v>
      </c>
      <c r="W3326" s="89" t="s">
        <v>137</v>
      </c>
      <c r="X3326" s="106" t="s">
        <v>295</v>
      </c>
      <c r="Y3326" s="107" t="s">
        <v>12</v>
      </c>
      <c r="Z3326" s="67">
        <f>IF(База_КР_КК[[#This Row],[Таб.номер резервиста]]="-","-",IF(OR(База_КР_КК[[#This Row],[Уровень КК]]=2,База_КР_КК[[#This Row],[Уровень КК]]=3),IF(COUNTIFS($U$2:$U3326,$U3326,$F$2:$F3326,$F3326)=1,1,0),IF(COUNTIFS($U$2:$U3326,$U3326,$L$2:$L3326,$L3326)=1,1,0)))</f>
        <v>0</v>
      </c>
      <c r="AA33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6" s="106"/>
      <c r="AC3326" s="51"/>
      <c r="AD3326" s="106" t="s">
        <v>17</v>
      </c>
      <c r="AE3326" s="38" t="s">
        <v>376</v>
      </c>
    </row>
    <row r="3327" spans="1:31" ht="18" customHeight="1" x14ac:dyDescent="0.25">
      <c r="A33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7" s="79">
        <v>4</v>
      </c>
      <c r="C3327" s="23">
        <v>44469</v>
      </c>
      <c r="D3327" s="67">
        <f>IF(COUNTIF($G$2:$G3327,$G3327)=1,1,0)</f>
        <v>0</v>
      </c>
      <c r="E3327" s="67" t="str">
        <f>IFERROR(VLOOKUP(База_КР_КК[[#This Row],[ИД штатной должности (S)]],'уровень защищенности'!$B$7:$F$1095,5,0),"не защищена")</f>
        <v>высокий</v>
      </c>
      <c r="F3327" s="68">
        <v>500180</v>
      </c>
      <c r="G3327" s="74" t="s">
        <v>2951</v>
      </c>
      <c r="H3327" s="181">
        <f>INDEX('Списки данных'!$D$2:$D$1048576,MATCH(База_КР_КК[[#This Row],[Структурное подразделение]],'Списки данных'!$C$2:$C$1048576,0))</f>
        <v>7</v>
      </c>
      <c r="I3327" s="80" t="s">
        <v>137</v>
      </c>
      <c r="J3327" s="80" t="s">
        <v>248</v>
      </c>
      <c r="K3327" s="80" t="s">
        <v>249</v>
      </c>
      <c r="L3327" s="30" t="s">
        <v>191</v>
      </c>
      <c r="M3327" s="68">
        <v>6</v>
      </c>
      <c r="N3327" s="181" t="str">
        <f t="shared" si="53"/>
        <v>да</v>
      </c>
      <c r="O3327" s="23">
        <v>44260</v>
      </c>
      <c r="P3327" s="23">
        <v>44343</v>
      </c>
      <c r="Q3327" s="106" t="s">
        <v>57</v>
      </c>
      <c r="R3327" s="37">
        <v>770</v>
      </c>
      <c r="S3327" s="38" t="s">
        <v>1179</v>
      </c>
      <c r="T3327" s="37">
        <v>1865</v>
      </c>
      <c r="U3327" s="39" t="s">
        <v>2001</v>
      </c>
      <c r="V3327" s="89" t="s">
        <v>272</v>
      </c>
      <c r="W3327" s="89" t="s">
        <v>137</v>
      </c>
      <c r="X3327" s="106" t="s">
        <v>297</v>
      </c>
      <c r="Y3327" s="107" t="s">
        <v>12</v>
      </c>
      <c r="Z3327" s="67">
        <f>IF(База_КР_КК[[#This Row],[Таб.номер резервиста]]="-","-",IF(OR(База_КР_КК[[#This Row],[Уровень КК]]=2,База_КР_КК[[#This Row],[Уровень КК]]=3),IF(COUNTIFS($U$2:$U3327,$U3327,$F$2:$F3327,$F3327)=1,1,0),IF(COUNTIFS($U$2:$U3327,$U3327,$L$2:$L3327,$L3327)=1,1,0)))</f>
        <v>0</v>
      </c>
      <c r="AA33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7" s="106"/>
      <c r="AC3327" s="51"/>
      <c r="AD3327" s="106" t="s">
        <v>15</v>
      </c>
      <c r="AE3327" s="38" t="s">
        <v>380</v>
      </c>
    </row>
    <row r="3328" spans="1:31" ht="18" customHeight="1" x14ac:dyDescent="0.25">
      <c r="A33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8" s="79">
        <v>4</v>
      </c>
      <c r="C3328" s="23">
        <v>44469</v>
      </c>
      <c r="D3328" s="67">
        <f>IF(COUNTIF($G$2:$G3328,$G3328)=1,1,0)</f>
        <v>0</v>
      </c>
      <c r="E3328" s="67" t="str">
        <f>IFERROR(VLOOKUP(База_КР_КК[[#This Row],[ИД штатной должности (S)]],'уровень защищенности'!$B$7:$F$1095,5,0),"не защищена")</f>
        <v>высокий</v>
      </c>
      <c r="F3328" s="68">
        <v>500180</v>
      </c>
      <c r="G3328" s="74" t="s">
        <v>2951</v>
      </c>
      <c r="H3328" s="181">
        <f>INDEX('Списки данных'!$D$2:$D$1048576,MATCH(База_КР_КК[[#This Row],[Структурное подразделение]],'Списки данных'!$C$2:$C$1048576,0))</f>
        <v>7</v>
      </c>
      <c r="I3328" s="80" t="s">
        <v>137</v>
      </c>
      <c r="J3328" s="80" t="s">
        <v>248</v>
      </c>
      <c r="K3328" s="80" t="s">
        <v>249</v>
      </c>
      <c r="L3328" s="30" t="s">
        <v>191</v>
      </c>
      <c r="M3328" s="68">
        <v>6</v>
      </c>
      <c r="N3328" s="181" t="str">
        <f t="shared" si="53"/>
        <v>да</v>
      </c>
      <c r="O3328" s="23">
        <v>44260</v>
      </c>
      <c r="P3328" s="23">
        <v>44343</v>
      </c>
      <c r="Q3328" s="106" t="s">
        <v>57</v>
      </c>
      <c r="R3328" s="37">
        <v>770</v>
      </c>
      <c r="S3328" s="38" t="s">
        <v>1179</v>
      </c>
      <c r="T3328" s="37">
        <v>1866</v>
      </c>
      <c r="U3328" s="39" t="s">
        <v>2027</v>
      </c>
      <c r="V3328" s="69" t="s">
        <v>272</v>
      </c>
      <c r="W3328" s="89" t="s">
        <v>137</v>
      </c>
      <c r="X3328" s="106" t="s">
        <v>297</v>
      </c>
      <c r="Y3328" s="107" t="s">
        <v>12</v>
      </c>
      <c r="Z3328" s="67">
        <f>IF(База_КР_КК[[#This Row],[Таб.номер резервиста]]="-","-",IF(OR(База_КР_КК[[#This Row],[Уровень КК]]=2,База_КР_КК[[#This Row],[Уровень КК]]=3),IF(COUNTIFS($U$2:$U3328,$U3328,$F$2:$F3328,$F3328)=1,1,0),IF(COUNTIFS($U$2:$U3328,$U3328,$L$2:$L3328,$L3328)=1,1,0)))</f>
        <v>0</v>
      </c>
      <c r="AA33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8" s="106"/>
      <c r="AC3328" s="51"/>
      <c r="AD3328" s="106" t="s">
        <v>13</v>
      </c>
      <c r="AE3328" s="38" t="s">
        <v>376</v>
      </c>
    </row>
    <row r="3329" spans="1:31" ht="18" customHeight="1" x14ac:dyDescent="0.25">
      <c r="A33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29" s="79">
        <v>4</v>
      </c>
      <c r="C3329" s="23">
        <v>44469</v>
      </c>
      <c r="D3329" s="67">
        <f>IF(COUNTIF($G$2:$G3329,$G3329)=1,1,0)</f>
        <v>0</v>
      </c>
      <c r="E3329" s="67" t="str">
        <f>IFERROR(VLOOKUP(База_КР_КК[[#This Row],[ИД штатной должности (S)]],'уровень защищенности'!$B$7:$F$1095,5,0),"не защищена")</f>
        <v>высокий</v>
      </c>
      <c r="F3329" s="68">
        <v>500180</v>
      </c>
      <c r="G3329" s="74" t="s">
        <v>2951</v>
      </c>
      <c r="H3329" s="181">
        <f>INDEX('Списки данных'!$D$2:$D$1048576,MATCH(База_КР_КК[[#This Row],[Структурное подразделение]],'Списки данных'!$C$2:$C$1048576,0))</f>
        <v>7</v>
      </c>
      <c r="I3329" s="80" t="s">
        <v>137</v>
      </c>
      <c r="J3329" s="80" t="s">
        <v>248</v>
      </c>
      <c r="K3329" s="80" t="s">
        <v>249</v>
      </c>
      <c r="L3329" s="30" t="s">
        <v>191</v>
      </c>
      <c r="M3329" s="68">
        <v>6</v>
      </c>
      <c r="N3329" s="181" t="str">
        <f t="shared" si="53"/>
        <v>да</v>
      </c>
      <c r="O3329" s="23">
        <v>44260</v>
      </c>
      <c r="P3329" s="23">
        <v>44343</v>
      </c>
      <c r="Q3329" s="106" t="s">
        <v>57</v>
      </c>
      <c r="R3329" s="37">
        <v>770</v>
      </c>
      <c r="S3329" s="38" t="s">
        <v>1179</v>
      </c>
      <c r="T3329" s="37">
        <v>1867</v>
      </c>
      <c r="U3329" s="39" t="s">
        <v>1935</v>
      </c>
      <c r="V3329" s="89" t="s">
        <v>272</v>
      </c>
      <c r="W3329" s="89" t="s">
        <v>137</v>
      </c>
      <c r="X3329" s="106" t="s">
        <v>297</v>
      </c>
      <c r="Y3329" s="107" t="s">
        <v>12</v>
      </c>
      <c r="Z3329" s="67">
        <f>IF(База_КР_КК[[#This Row],[Таб.номер резервиста]]="-","-",IF(OR(База_КР_КК[[#This Row],[Уровень КК]]=2,База_КР_КК[[#This Row],[Уровень КК]]=3),IF(COUNTIFS($U$2:$U3329,$U3329,$F$2:$F3329,$F3329)=1,1,0),IF(COUNTIFS($U$2:$U3329,$U3329,$L$2:$L3329,$L3329)=1,1,0)))</f>
        <v>0</v>
      </c>
      <c r="AA33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29" s="106"/>
      <c r="AC3329" s="51"/>
      <c r="AD3329" s="106" t="s">
        <v>13</v>
      </c>
      <c r="AE3329" s="38" t="s">
        <v>376</v>
      </c>
    </row>
    <row r="3330" spans="1:31" ht="18" customHeight="1" x14ac:dyDescent="0.25">
      <c r="A33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0" s="79">
        <v>4</v>
      </c>
      <c r="C3330" s="23">
        <v>44859</v>
      </c>
      <c r="D3330" s="67">
        <f>IF(COUNTIF($G$2:$G3330,$G3330)=1,1,0)</f>
        <v>0</v>
      </c>
      <c r="E3330" s="67" t="str">
        <f>IFERROR(VLOOKUP(База_КР_КК[[#This Row],[ИД штатной должности (S)]],'уровень защищенности'!$B$7:$F$1095,5,0),"не защищена")</f>
        <v>высокий</v>
      </c>
      <c r="F3330" s="68">
        <v>500180</v>
      </c>
      <c r="G3330" s="74" t="s">
        <v>2951</v>
      </c>
      <c r="H3330" s="181">
        <f>INDEX('Списки данных'!$D$2:$D$1048576,MATCH(База_КР_КК[[#This Row],[Структурное подразделение]],'Списки данных'!$C$2:$C$1048576,0))</f>
        <v>7</v>
      </c>
      <c r="I3330" s="80" t="s">
        <v>137</v>
      </c>
      <c r="J3330" s="80" t="s">
        <v>248</v>
      </c>
      <c r="K3330" s="80" t="s">
        <v>249</v>
      </c>
      <c r="L3330" s="30" t="s">
        <v>191</v>
      </c>
      <c r="M3330" s="68">
        <v>6</v>
      </c>
      <c r="N3330" s="181" t="str">
        <f t="shared" si="53"/>
        <v>да</v>
      </c>
      <c r="O3330" s="23">
        <v>44260</v>
      </c>
      <c r="P3330" s="23">
        <v>44343</v>
      </c>
      <c r="Q3330" s="106" t="s">
        <v>66</v>
      </c>
      <c r="R3330" s="37">
        <v>770</v>
      </c>
      <c r="S3330" s="39" t="s">
        <v>1179</v>
      </c>
      <c r="T3330" s="37">
        <v>1868</v>
      </c>
      <c r="U3330" s="38" t="s">
        <v>1735</v>
      </c>
      <c r="V3330" s="89" t="s">
        <v>272</v>
      </c>
      <c r="W3330" s="89" t="s">
        <v>137</v>
      </c>
      <c r="X3330" s="106" t="s">
        <v>297</v>
      </c>
      <c r="Y3330" s="107" t="s">
        <v>12</v>
      </c>
      <c r="Z3330" s="67">
        <f>IF(База_КР_КК[[#This Row],[Таб.номер резервиста]]="-","-",IF(OR(База_КР_КК[[#This Row],[Уровень КК]]=2,База_КР_КК[[#This Row],[Уровень КК]]=3),IF(COUNTIFS($U$2:$U3330,$U3330,$F$2:$F3330,$F3330)=1,1,0),IF(COUNTIFS($U$2:$U3330,$U3330,$L$2:$L3330,$L3330)=1,1,0)))</f>
        <v>0</v>
      </c>
      <c r="AA33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0" s="106"/>
      <c r="AC3330" s="51"/>
      <c r="AD3330" s="106" t="s">
        <v>15</v>
      </c>
      <c r="AE3330" s="38" t="s">
        <v>376</v>
      </c>
    </row>
    <row r="3331" spans="1:31" ht="18" customHeight="1" x14ac:dyDescent="0.25">
      <c r="A33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1" s="79">
        <v>4</v>
      </c>
      <c r="C3331" s="23">
        <v>44859</v>
      </c>
      <c r="D3331" s="67">
        <f>IF(COUNTIF($G$2:$G3331,$G3331)=1,1,0)</f>
        <v>0</v>
      </c>
      <c r="E3331" s="67" t="str">
        <f>IFERROR(VLOOKUP(База_КР_КК[[#This Row],[ИД штатной должности (S)]],'уровень защищенности'!$B$7:$F$1095,5,0),"не защищена")</f>
        <v>высокий</v>
      </c>
      <c r="F3331" s="68">
        <v>500180</v>
      </c>
      <c r="G3331" s="74" t="s">
        <v>2951</v>
      </c>
      <c r="H3331" s="181">
        <f>INDEX('Списки данных'!$D$2:$D$1048576,MATCH(База_КР_КК[[#This Row],[Структурное подразделение]],'Списки данных'!$C$2:$C$1048576,0))</f>
        <v>7</v>
      </c>
      <c r="I3331" s="80" t="s">
        <v>137</v>
      </c>
      <c r="J3331" s="80" t="s">
        <v>248</v>
      </c>
      <c r="K3331" s="80" t="s">
        <v>249</v>
      </c>
      <c r="L3331" s="30" t="s">
        <v>191</v>
      </c>
      <c r="M3331" s="68">
        <v>6</v>
      </c>
      <c r="N3331" s="181" t="str">
        <f t="shared" si="53"/>
        <v>да</v>
      </c>
      <c r="O3331" s="23">
        <v>44260</v>
      </c>
      <c r="P3331" s="23">
        <v>44343</v>
      </c>
      <c r="Q3331" s="106" t="s">
        <v>66</v>
      </c>
      <c r="R3331" s="37">
        <v>770</v>
      </c>
      <c r="S3331" s="39" t="s">
        <v>1179</v>
      </c>
      <c r="T3331" s="37">
        <v>1869</v>
      </c>
      <c r="U3331" s="38" t="s">
        <v>1913</v>
      </c>
      <c r="V3331" s="89" t="s">
        <v>272</v>
      </c>
      <c r="W3331" s="89" t="s">
        <v>137</v>
      </c>
      <c r="X3331" s="106" t="s">
        <v>297</v>
      </c>
      <c r="Y3331" s="107" t="s">
        <v>12</v>
      </c>
      <c r="Z3331" s="67">
        <f>IF(База_КР_КК[[#This Row],[Таб.номер резервиста]]="-","-",IF(OR(База_КР_КК[[#This Row],[Уровень КК]]=2,База_КР_КК[[#This Row],[Уровень КК]]=3),IF(COUNTIFS($U$2:$U3331,$U3331,$F$2:$F3331,$F3331)=1,1,0),IF(COUNTIFS($U$2:$U3331,$U3331,$L$2:$L3331,$L3331)=1,1,0)))</f>
        <v>0</v>
      </c>
      <c r="AA33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1" s="106"/>
      <c r="AC3331" s="51"/>
      <c r="AD3331" s="106" t="s">
        <v>15</v>
      </c>
      <c r="AE3331" s="38" t="s">
        <v>376</v>
      </c>
    </row>
    <row r="3332" spans="1:31" ht="18" customHeight="1" x14ac:dyDescent="0.25">
      <c r="A33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2" s="79">
        <v>4</v>
      </c>
      <c r="C3332" s="23">
        <v>44125</v>
      </c>
      <c r="D3332" s="67">
        <f>IF(COUNTIF($G$2:$G3332,$G3332)=1,1,0)</f>
        <v>0</v>
      </c>
      <c r="E3332" s="67" t="str">
        <f>IFERROR(VLOOKUP(База_КР_КК[[#This Row],[ИД штатной должности (S)]],'уровень защищенности'!$B$7:$F$1095,5,0),"не защищена")</f>
        <v>высокий</v>
      </c>
      <c r="F3332" s="68">
        <v>500180</v>
      </c>
      <c r="G3332" s="74" t="s">
        <v>2951</v>
      </c>
      <c r="H3332" s="181">
        <f>INDEX('Списки данных'!$D$2:$D$1048576,MATCH(База_КР_КК[[#This Row],[Структурное подразделение]],'Списки данных'!$C$2:$C$1048576,0))</f>
        <v>7</v>
      </c>
      <c r="I3332" s="80" t="s">
        <v>137</v>
      </c>
      <c r="J3332" s="80" t="s">
        <v>248</v>
      </c>
      <c r="K3332" s="80" t="s">
        <v>249</v>
      </c>
      <c r="L3332" s="30" t="s">
        <v>191</v>
      </c>
      <c r="M3332" s="68">
        <v>6</v>
      </c>
      <c r="N3332" s="181" t="str">
        <f t="shared" si="53"/>
        <v>да</v>
      </c>
      <c r="O3332" s="23">
        <v>44260</v>
      </c>
      <c r="P3332" s="23">
        <v>44343</v>
      </c>
      <c r="Q3332" s="106" t="s">
        <v>66</v>
      </c>
      <c r="R3332" s="37">
        <v>770</v>
      </c>
      <c r="S3332" s="39" t="s">
        <v>1179</v>
      </c>
      <c r="T3332" s="37">
        <v>769</v>
      </c>
      <c r="U3332" s="39" t="s">
        <v>1178</v>
      </c>
      <c r="V3332" s="89" t="s">
        <v>192</v>
      </c>
      <c r="W3332" s="89" t="s">
        <v>137</v>
      </c>
      <c r="X3332" s="106" t="s">
        <v>296</v>
      </c>
      <c r="Y3332" s="107" t="s">
        <v>14</v>
      </c>
      <c r="Z3332" s="67">
        <f>IF(База_КР_КК[[#This Row],[Таб.номер резервиста]]="-","-",IF(OR(База_КР_КК[[#This Row],[Уровень КК]]=2,База_КР_КК[[#This Row],[Уровень КК]]=3),IF(COUNTIFS($U$2:$U3332,$U3332,$F$2:$F3332,$F3332)=1,1,0),IF(COUNTIFS($U$2:$U3332,$U3332,$L$2:$L3332,$L3332)=1,1,0)))</f>
        <v>0</v>
      </c>
      <c r="AA33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2" s="106" t="s">
        <v>24</v>
      </c>
      <c r="AC3332" s="51">
        <v>44334</v>
      </c>
      <c r="AD3332" s="106" t="s">
        <v>15</v>
      </c>
      <c r="AE3332" s="38" t="s">
        <v>318</v>
      </c>
    </row>
    <row r="3333" spans="1:31" ht="18" customHeight="1" x14ac:dyDescent="0.25">
      <c r="A33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3" s="79">
        <v>4</v>
      </c>
      <c r="C3333" s="23">
        <v>44299</v>
      </c>
      <c r="D3333" s="67">
        <f>IF(COUNTIF($G$2:$G3333,$G3333)=1,1,0)</f>
        <v>0</v>
      </c>
      <c r="E3333" s="67" t="str">
        <f>IFERROR(VLOOKUP(База_КР_КК[[#This Row],[ИД штатной должности (S)]],'уровень защищенности'!$B$7:$F$1095,5,0),"не защищена")</f>
        <v>высокий</v>
      </c>
      <c r="F3333" s="68">
        <v>500180</v>
      </c>
      <c r="G3333" s="74" t="s">
        <v>2951</v>
      </c>
      <c r="H3333" s="181">
        <f>INDEX('Списки данных'!$D$2:$D$1048576,MATCH(База_КР_КК[[#This Row],[Структурное подразделение]],'Списки данных'!$C$2:$C$1048576,0))</f>
        <v>7</v>
      </c>
      <c r="I3333" s="80" t="s">
        <v>137</v>
      </c>
      <c r="J3333" s="80" t="s">
        <v>248</v>
      </c>
      <c r="K3333" s="80" t="s">
        <v>249</v>
      </c>
      <c r="L3333" s="30" t="s">
        <v>191</v>
      </c>
      <c r="M3333" s="68">
        <v>6</v>
      </c>
      <c r="N3333" s="181" t="str">
        <f t="shared" si="53"/>
        <v>да</v>
      </c>
      <c r="O3333" s="23">
        <v>44260</v>
      </c>
      <c r="P3333" s="23">
        <v>44343</v>
      </c>
      <c r="Q3333" s="106" t="s">
        <v>66</v>
      </c>
      <c r="R3333" s="37">
        <v>770</v>
      </c>
      <c r="S3333" s="38" t="s">
        <v>1179</v>
      </c>
      <c r="T3333" s="37">
        <v>770</v>
      </c>
      <c r="U3333" s="39" t="s">
        <v>1179</v>
      </c>
      <c r="V3333" s="89" t="s">
        <v>192</v>
      </c>
      <c r="W3333" s="89" t="s">
        <v>137</v>
      </c>
      <c r="X3333" s="106" t="s">
        <v>297</v>
      </c>
      <c r="Y3333" s="107" t="s">
        <v>14</v>
      </c>
      <c r="Z3333" s="67">
        <f>IF(База_КР_КК[[#This Row],[Таб.номер резервиста]]="-","-",IF(OR(База_КР_КК[[#This Row],[Уровень КК]]=2,База_КР_КК[[#This Row],[Уровень КК]]=3),IF(COUNTIFS($U$2:$U3333,$U3333,$F$2:$F3333,$F3333)=1,1,0),IF(COUNTIFS($U$2:$U3333,$U3333,$L$2:$L3333,$L3333)=1,1,0)))</f>
        <v>0</v>
      </c>
      <c r="AA33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333" s="106" t="s">
        <v>24</v>
      </c>
      <c r="AC3333" s="51">
        <v>44343</v>
      </c>
      <c r="AD3333" s="106" t="s">
        <v>15</v>
      </c>
      <c r="AE3333" s="38" t="s">
        <v>383</v>
      </c>
    </row>
    <row r="3334" spans="1:31" ht="18" customHeight="1" x14ac:dyDescent="0.25">
      <c r="A33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4" s="79">
        <v>4</v>
      </c>
      <c r="C3334" s="23">
        <v>44469</v>
      </c>
      <c r="D3334" s="67">
        <f>IF(COUNTIF($G$2:$G3334,$G3334)=1,1,0)</f>
        <v>1</v>
      </c>
      <c r="E3334" s="67" t="str">
        <f>IFERROR(VLOOKUP(База_КР_КК[[#This Row],[ИД штатной должности (S)]],'уровень защищенности'!$B$7:$F$1095,5,0),"не защищена")</f>
        <v>высокий</v>
      </c>
      <c r="F3334" s="68">
        <v>500180</v>
      </c>
      <c r="G3334" s="74" t="s">
        <v>2952</v>
      </c>
      <c r="H3334" s="181">
        <f>INDEX('Списки данных'!$D$2:$D$1048576,MATCH(База_КР_КК[[#This Row],[Структурное подразделение]],'Списки данных'!$C$2:$C$1048576,0))</f>
        <v>7</v>
      </c>
      <c r="I3334" s="80" t="s">
        <v>137</v>
      </c>
      <c r="J3334" s="80" t="s">
        <v>248</v>
      </c>
      <c r="K3334" s="80" t="s">
        <v>249</v>
      </c>
      <c r="L3334" s="30" t="s">
        <v>191</v>
      </c>
      <c r="M3334" s="68">
        <v>6</v>
      </c>
      <c r="N3334" s="181" t="str">
        <f t="shared" si="53"/>
        <v>да</v>
      </c>
      <c r="O3334" s="23">
        <v>44734</v>
      </c>
      <c r="P3334" s="23">
        <v>44757</v>
      </c>
      <c r="Q3334" s="106" t="s">
        <v>57</v>
      </c>
      <c r="R3334" s="37">
        <v>771</v>
      </c>
      <c r="S3334" s="38" t="s">
        <v>1180</v>
      </c>
      <c r="T3334" s="37">
        <v>1864</v>
      </c>
      <c r="U3334" s="39" t="s">
        <v>2078</v>
      </c>
      <c r="V3334" s="89" t="s">
        <v>272</v>
      </c>
      <c r="W3334" s="89" t="s">
        <v>137</v>
      </c>
      <c r="X3334" s="106" t="s">
        <v>295</v>
      </c>
      <c r="Y3334" s="107" t="s">
        <v>12</v>
      </c>
      <c r="Z3334" s="67">
        <f>IF(База_КР_КК[[#This Row],[Таб.номер резервиста]]="-","-",IF(OR(База_КР_КК[[#This Row],[Уровень КК]]=2,База_КР_КК[[#This Row],[Уровень КК]]=3),IF(COUNTIFS($U$2:$U3334,$U3334,$F$2:$F3334,$F3334)=1,1,0),IF(COUNTIFS($U$2:$U3334,$U3334,$L$2:$L3334,$L3334)=1,1,0)))</f>
        <v>0</v>
      </c>
      <c r="AA33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4" s="106"/>
      <c r="AC3334" s="51"/>
      <c r="AD3334" s="106" t="s">
        <v>17</v>
      </c>
      <c r="AE3334" s="38" t="s">
        <v>376</v>
      </c>
    </row>
    <row r="3335" spans="1:31" ht="18" customHeight="1" x14ac:dyDescent="0.25">
      <c r="A33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5" s="79">
        <v>4</v>
      </c>
      <c r="C3335" s="23">
        <v>44469</v>
      </c>
      <c r="D3335" s="67">
        <f>IF(COUNTIF($G$2:$G3335,$G3335)=1,1,0)</f>
        <v>0</v>
      </c>
      <c r="E3335" s="67" t="str">
        <f>IFERROR(VLOOKUP(База_КР_КК[[#This Row],[ИД штатной должности (S)]],'уровень защищенности'!$B$7:$F$1095,5,0),"не защищена")</f>
        <v>высокий</v>
      </c>
      <c r="F3335" s="68">
        <v>500180</v>
      </c>
      <c r="G3335" s="74" t="s">
        <v>2952</v>
      </c>
      <c r="H3335" s="181">
        <f>INDEX('Списки данных'!$D$2:$D$1048576,MATCH(База_КР_КК[[#This Row],[Структурное подразделение]],'Списки данных'!$C$2:$C$1048576,0))</f>
        <v>7</v>
      </c>
      <c r="I3335" s="80" t="s">
        <v>137</v>
      </c>
      <c r="J3335" s="80" t="s">
        <v>248</v>
      </c>
      <c r="K3335" s="80" t="s">
        <v>249</v>
      </c>
      <c r="L3335" s="30" t="s">
        <v>191</v>
      </c>
      <c r="M3335" s="68">
        <v>6</v>
      </c>
      <c r="N3335" s="181" t="str">
        <f t="shared" si="53"/>
        <v>да</v>
      </c>
      <c r="O3335" s="23">
        <v>44734</v>
      </c>
      <c r="P3335" s="23">
        <v>44757</v>
      </c>
      <c r="Q3335" s="106" t="s">
        <v>57</v>
      </c>
      <c r="R3335" s="37">
        <v>771</v>
      </c>
      <c r="S3335" s="38" t="s">
        <v>1180</v>
      </c>
      <c r="T3335" s="37">
        <v>1865</v>
      </c>
      <c r="U3335" s="39" t="s">
        <v>2001</v>
      </c>
      <c r="V3335" s="89" t="s">
        <v>272</v>
      </c>
      <c r="W3335" s="89" t="s">
        <v>137</v>
      </c>
      <c r="X3335" s="106" t="s">
        <v>297</v>
      </c>
      <c r="Y3335" s="107" t="s">
        <v>12</v>
      </c>
      <c r="Z3335" s="67">
        <f>IF(База_КР_КК[[#This Row],[Таб.номер резервиста]]="-","-",IF(OR(База_КР_КК[[#This Row],[Уровень КК]]=2,База_КР_КК[[#This Row],[Уровень КК]]=3),IF(COUNTIFS($U$2:$U3335,$U3335,$F$2:$F3335,$F3335)=1,1,0),IF(COUNTIFS($U$2:$U3335,$U3335,$L$2:$L3335,$L3335)=1,1,0)))</f>
        <v>0</v>
      </c>
      <c r="AA33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5" s="106"/>
      <c r="AC3335" s="51"/>
      <c r="AD3335" s="106" t="s">
        <v>15</v>
      </c>
      <c r="AE3335" s="38" t="s">
        <v>380</v>
      </c>
    </row>
    <row r="3336" spans="1:31" ht="18" customHeight="1" x14ac:dyDescent="0.25">
      <c r="A33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6" s="79">
        <v>4</v>
      </c>
      <c r="C3336" s="23">
        <v>44469</v>
      </c>
      <c r="D3336" s="67">
        <f>IF(COUNTIF($G$2:$G3336,$G3336)=1,1,0)</f>
        <v>0</v>
      </c>
      <c r="E3336" s="67" t="str">
        <f>IFERROR(VLOOKUP(База_КР_КК[[#This Row],[ИД штатной должности (S)]],'уровень защищенности'!$B$7:$F$1095,5,0),"не защищена")</f>
        <v>высокий</v>
      </c>
      <c r="F3336" s="68">
        <v>500180</v>
      </c>
      <c r="G3336" s="74" t="s">
        <v>2952</v>
      </c>
      <c r="H3336" s="181">
        <f>INDEX('Списки данных'!$D$2:$D$1048576,MATCH(База_КР_КК[[#This Row],[Структурное подразделение]],'Списки данных'!$C$2:$C$1048576,0))</f>
        <v>7</v>
      </c>
      <c r="I3336" s="80" t="s">
        <v>137</v>
      </c>
      <c r="J3336" s="80" t="s">
        <v>248</v>
      </c>
      <c r="K3336" s="80" t="s">
        <v>249</v>
      </c>
      <c r="L3336" s="30" t="s">
        <v>191</v>
      </c>
      <c r="M3336" s="68">
        <v>6</v>
      </c>
      <c r="N3336" s="181" t="str">
        <f t="shared" si="53"/>
        <v>да</v>
      </c>
      <c r="O3336" s="23">
        <v>44734</v>
      </c>
      <c r="P3336" s="23">
        <v>44757</v>
      </c>
      <c r="Q3336" s="106" t="s">
        <v>57</v>
      </c>
      <c r="R3336" s="37">
        <v>771</v>
      </c>
      <c r="S3336" s="38" t="s">
        <v>1180</v>
      </c>
      <c r="T3336" s="37">
        <v>1866</v>
      </c>
      <c r="U3336" s="39" t="s">
        <v>2027</v>
      </c>
      <c r="V3336" s="69" t="s">
        <v>272</v>
      </c>
      <c r="W3336" s="89" t="s">
        <v>137</v>
      </c>
      <c r="X3336" s="106" t="s">
        <v>297</v>
      </c>
      <c r="Y3336" s="107" t="s">
        <v>12</v>
      </c>
      <c r="Z3336" s="67">
        <f>IF(База_КР_КК[[#This Row],[Таб.номер резервиста]]="-","-",IF(OR(База_КР_КК[[#This Row],[Уровень КК]]=2,База_КР_КК[[#This Row],[Уровень КК]]=3),IF(COUNTIFS($U$2:$U3336,$U3336,$F$2:$F3336,$F3336)=1,1,0),IF(COUNTIFS($U$2:$U3336,$U3336,$L$2:$L3336,$L3336)=1,1,0)))</f>
        <v>0</v>
      </c>
      <c r="AA33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6" s="106"/>
      <c r="AC3336" s="51"/>
      <c r="AD3336" s="106" t="s">
        <v>13</v>
      </c>
      <c r="AE3336" s="38" t="s">
        <v>376</v>
      </c>
    </row>
    <row r="3337" spans="1:31" ht="18" customHeight="1" x14ac:dyDescent="0.25">
      <c r="A33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7" s="79">
        <v>4</v>
      </c>
      <c r="C3337" s="23">
        <v>44469</v>
      </c>
      <c r="D3337" s="67">
        <f>IF(COUNTIF($G$2:$G3337,$G3337)=1,1,0)</f>
        <v>0</v>
      </c>
      <c r="E3337" s="67" t="str">
        <f>IFERROR(VLOOKUP(База_КР_КК[[#This Row],[ИД штатной должности (S)]],'уровень защищенности'!$B$7:$F$1095,5,0),"не защищена")</f>
        <v>высокий</v>
      </c>
      <c r="F3337" s="68">
        <v>500180</v>
      </c>
      <c r="G3337" s="74" t="s">
        <v>2952</v>
      </c>
      <c r="H3337" s="181">
        <f>INDEX('Списки данных'!$D$2:$D$1048576,MATCH(База_КР_КК[[#This Row],[Структурное подразделение]],'Списки данных'!$C$2:$C$1048576,0))</f>
        <v>7</v>
      </c>
      <c r="I3337" s="80" t="s">
        <v>137</v>
      </c>
      <c r="J3337" s="80" t="s">
        <v>248</v>
      </c>
      <c r="K3337" s="80" t="s">
        <v>249</v>
      </c>
      <c r="L3337" s="30" t="s">
        <v>191</v>
      </c>
      <c r="M3337" s="68">
        <v>6</v>
      </c>
      <c r="N3337" s="181" t="str">
        <f t="shared" si="53"/>
        <v>да</v>
      </c>
      <c r="O3337" s="23">
        <v>44734</v>
      </c>
      <c r="P3337" s="23">
        <v>44757</v>
      </c>
      <c r="Q3337" s="106" t="s">
        <v>57</v>
      </c>
      <c r="R3337" s="37">
        <v>771</v>
      </c>
      <c r="S3337" s="38" t="s">
        <v>1180</v>
      </c>
      <c r="T3337" s="37">
        <v>1867</v>
      </c>
      <c r="U3337" s="39" t="s">
        <v>1935</v>
      </c>
      <c r="V3337" s="89" t="s">
        <v>272</v>
      </c>
      <c r="W3337" s="89" t="s">
        <v>137</v>
      </c>
      <c r="X3337" s="106" t="s">
        <v>297</v>
      </c>
      <c r="Y3337" s="107" t="s">
        <v>12</v>
      </c>
      <c r="Z3337" s="67">
        <f>IF(База_КР_КК[[#This Row],[Таб.номер резервиста]]="-","-",IF(OR(База_КР_КК[[#This Row],[Уровень КК]]=2,База_КР_КК[[#This Row],[Уровень КК]]=3),IF(COUNTIFS($U$2:$U3337,$U3337,$F$2:$F3337,$F3337)=1,1,0),IF(COUNTIFS($U$2:$U3337,$U3337,$L$2:$L3337,$L3337)=1,1,0)))</f>
        <v>0</v>
      </c>
      <c r="AA33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7" s="106"/>
      <c r="AC3337" s="51"/>
      <c r="AD3337" s="106" t="s">
        <v>13</v>
      </c>
      <c r="AE3337" s="38" t="s">
        <v>376</v>
      </c>
    </row>
    <row r="3338" spans="1:31" ht="18" customHeight="1" x14ac:dyDescent="0.25">
      <c r="A33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8" s="79">
        <v>4</v>
      </c>
      <c r="C3338" s="23">
        <v>44859</v>
      </c>
      <c r="D3338" s="67">
        <f>IF(COUNTIF($G$2:$G3338,$G3338)=1,1,0)</f>
        <v>0</v>
      </c>
      <c r="E3338" s="67" t="str">
        <f>IFERROR(VLOOKUP(База_КР_КК[[#This Row],[ИД штатной должности (S)]],'уровень защищенности'!$B$7:$F$1095,5,0),"не защищена")</f>
        <v>высокий</v>
      </c>
      <c r="F3338" s="68">
        <v>500180</v>
      </c>
      <c r="G3338" s="74" t="s">
        <v>2952</v>
      </c>
      <c r="H3338" s="181">
        <f>INDEX('Списки данных'!$D$2:$D$1048576,MATCH(База_КР_КК[[#This Row],[Структурное подразделение]],'Списки данных'!$C$2:$C$1048576,0))</f>
        <v>7</v>
      </c>
      <c r="I3338" s="80" t="s">
        <v>137</v>
      </c>
      <c r="J3338" s="80" t="s">
        <v>248</v>
      </c>
      <c r="K3338" s="80" t="s">
        <v>249</v>
      </c>
      <c r="L3338" s="30" t="s">
        <v>191</v>
      </c>
      <c r="M3338" s="68">
        <v>6</v>
      </c>
      <c r="N3338" s="181" t="str">
        <f t="shared" si="53"/>
        <v>да</v>
      </c>
      <c r="O3338" s="23">
        <v>44734</v>
      </c>
      <c r="P3338" s="23">
        <v>44757</v>
      </c>
      <c r="Q3338" s="106" t="s">
        <v>57</v>
      </c>
      <c r="R3338" s="37">
        <v>771</v>
      </c>
      <c r="S3338" s="39" t="s">
        <v>1180</v>
      </c>
      <c r="T3338" s="37">
        <v>1868</v>
      </c>
      <c r="U3338" s="38" t="s">
        <v>1735</v>
      </c>
      <c r="V3338" s="89" t="s">
        <v>272</v>
      </c>
      <c r="W3338" s="89" t="s">
        <v>137</v>
      </c>
      <c r="X3338" s="106" t="s">
        <v>297</v>
      </c>
      <c r="Y3338" s="107" t="s">
        <v>12</v>
      </c>
      <c r="Z3338" s="67">
        <f>IF(База_КР_КК[[#This Row],[Таб.номер резервиста]]="-","-",IF(OR(База_КР_КК[[#This Row],[Уровень КК]]=2,База_КР_КК[[#This Row],[Уровень КК]]=3),IF(COUNTIFS($U$2:$U3338,$U3338,$F$2:$F3338,$F3338)=1,1,0),IF(COUNTIFS($U$2:$U3338,$U3338,$L$2:$L3338,$L3338)=1,1,0)))</f>
        <v>0</v>
      </c>
      <c r="AA33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8" s="106"/>
      <c r="AC3338" s="51"/>
      <c r="AD3338" s="106" t="s">
        <v>15</v>
      </c>
      <c r="AE3338" s="38" t="s">
        <v>376</v>
      </c>
    </row>
    <row r="3339" spans="1:31" ht="18" customHeight="1" x14ac:dyDescent="0.25">
      <c r="A33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39" s="79">
        <v>4</v>
      </c>
      <c r="C3339" s="23">
        <v>44859</v>
      </c>
      <c r="D3339" s="67">
        <f>IF(COUNTIF($G$2:$G3339,$G3339)=1,1,0)</f>
        <v>0</v>
      </c>
      <c r="E3339" s="67" t="str">
        <f>IFERROR(VLOOKUP(База_КР_КК[[#This Row],[ИД штатной должности (S)]],'уровень защищенности'!$B$7:$F$1095,5,0),"не защищена")</f>
        <v>высокий</v>
      </c>
      <c r="F3339" s="68">
        <v>500180</v>
      </c>
      <c r="G3339" s="74" t="s">
        <v>2952</v>
      </c>
      <c r="H3339" s="181">
        <f>INDEX('Списки данных'!$D$2:$D$1048576,MATCH(База_КР_КК[[#This Row],[Структурное подразделение]],'Списки данных'!$C$2:$C$1048576,0))</f>
        <v>7</v>
      </c>
      <c r="I3339" s="80" t="s">
        <v>137</v>
      </c>
      <c r="J3339" s="80" t="s">
        <v>248</v>
      </c>
      <c r="K3339" s="80" t="s">
        <v>249</v>
      </c>
      <c r="L3339" s="30" t="s">
        <v>191</v>
      </c>
      <c r="M3339" s="68">
        <v>6</v>
      </c>
      <c r="N3339" s="181" t="str">
        <f t="shared" si="53"/>
        <v>да</v>
      </c>
      <c r="O3339" s="23">
        <v>44734</v>
      </c>
      <c r="P3339" s="23">
        <v>44757</v>
      </c>
      <c r="Q3339" s="106" t="s">
        <v>57</v>
      </c>
      <c r="R3339" s="37">
        <v>771</v>
      </c>
      <c r="S3339" s="39" t="s">
        <v>1180</v>
      </c>
      <c r="T3339" s="37">
        <v>1869</v>
      </c>
      <c r="U3339" s="38" t="s">
        <v>1913</v>
      </c>
      <c r="V3339" s="89" t="s">
        <v>272</v>
      </c>
      <c r="W3339" s="89" t="s">
        <v>137</v>
      </c>
      <c r="X3339" s="106" t="s">
        <v>297</v>
      </c>
      <c r="Y3339" s="107" t="s">
        <v>12</v>
      </c>
      <c r="Z3339" s="67">
        <f>IF(База_КР_КК[[#This Row],[Таб.номер резервиста]]="-","-",IF(OR(База_КР_КК[[#This Row],[Уровень КК]]=2,База_КР_КК[[#This Row],[Уровень КК]]=3),IF(COUNTIFS($U$2:$U3339,$U3339,$F$2:$F3339,$F3339)=1,1,0),IF(COUNTIFS($U$2:$U3339,$U3339,$L$2:$L3339,$L3339)=1,1,0)))</f>
        <v>0</v>
      </c>
      <c r="AA33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39" s="106"/>
      <c r="AC3339" s="51"/>
      <c r="AD3339" s="106" t="s">
        <v>15</v>
      </c>
      <c r="AE3339" s="38" t="s">
        <v>376</v>
      </c>
    </row>
    <row r="3340" spans="1:31" ht="18" customHeight="1" x14ac:dyDescent="0.25">
      <c r="A33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0" s="79">
        <v>4</v>
      </c>
      <c r="C3340" s="23">
        <v>44125</v>
      </c>
      <c r="D3340" s="67">
        <f>IF(COUNTIF($G$2:$G3340,$G3340)=1,1,0)</f>
        <v>0</v>
      </c>
      <c r="E3340" s="67" t="str">
        <f>IFERROR(VLOOKUP(База_КР_КК[[#This Row],[ИД штатной должности (S)]],'уровень защищенности'!$B$7:$F$1095,5,0),"не защищена")</f>
        <v>высокий</v>
      </c>
      <c r="F3340" s="68">
        <v>500180</v>
      </c>
      <c r="G3340" s="74" t="s">
        <v>2952</v>
      </c>
      <c r="H3340" s="181">
        <f>INDEX('Списки данных'!$D$2:$D$1048576,MATCH(База_КР_КК[[#This Row],[Структурное подразделение]],'Списки данных'!$C$2:$C$1048576,0))</f>
        <v>7</v>
      </c>
      <c r="I3340" s="80" t="s">
        <v>137</v>
      </c>
      <c r="J3340" s="80" t="s">
        <v>248</v>
      </c>
      <c r="K3340" s="80" t="s">
        <v>249</v>
      </c>
      <c r="L3340" s="30" t="s">
        <v>191</v>
      </c>
      <c r="M3340" s="68">
        <v>6</v>
      </c>
      <c r="N3340" s="181" t="str">
        <f t="shared" si="53"/>
        <v>да</v>
      </c>
      <c r="O3340" s="23">
        <v>44734</v>
      </c>
      <c r="P3340" s="23">
        <v>44757</v>
      </c>
      <c r="Q3340" s="106" t="s">
        <v>57</v>
      </c>
      <c r="R3340" s="37">
        <v>771</v>
      </c>
      <c r="S3340" s="38" t="s">
        <v>1180</v>
      </c>
      <c r="T3340" s="37">
        <v>769</v>
      </c>
      <c r="U3340" s="39" t="s">
        <v>1178</v>
      </c>
      <c r="V3340" s="89" t="s">
        <v>192</v>
      </c>
      <c r="W3340" s="89" t="s">
        <v>137</v>
      </c>
      <c r="X3340" s="106" t="s">
        <v>296</v>
      </c>
      <c r="Y3340" s="107" t="s">
        <v>14</v>
      </c>
      <c r="Z3340" s="67">
        <f>IF(База_КР_КК[[#This Row],[Таб.номер резервиста]]="-","-",IF(OR(База_КР_КК[[#This Row],[Уровень КК]]=2,База_КР_КК[[#This Row],[Уровень КК]]=3),IF(COUNTIFS($U$2:$U3340,$U3340,$F$2:$F3340,$F3340)=1,1,0),IF(COUNTIFS($U$2:$U3340,$U3340,$L$2:$L3340,$L3340)=1,1,0)))</f>
        <v>0</v>
      </c>
      <c r="AA33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0" s="106" t="s">
        <v>24</v>
      </c>
      <c r="AC3340" s="51">
        <v>44334</v>
      </c>
      <c r="AD3340" s="106" t="s">
        <v>15</v>
      </c>
      <c r="AE3340" s="38" t="s">
        <v>318</v>
      </c>
    </row>
    <row r="3341" spans="1:31" ht="18" customHeight="1" x14ac:dyDescent="0.25">
      <c r="A33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1" s="79">
        <v>4</v>
      </c>
      <c r="C3341" s="23">
        <v>44299</v>
      </c>
      <c r="D3341" s="67">
        <f>IF(COUNTIF($G$2:$G3341,$G3341)=1,1,0)</f>
        <v>0</v>
      </c>
      <c r="E3341" s="67" t="str">
        <f>IFERROR(VLOOKUP(База_КР_КК[[#This Row],[ИД штатной должности (S)]],'уровень защищенности'!$B$7:$F$1095,5,0),"не защищена")</f>
        <v>высокий</v>
      </c>
      <c r="F3341" s="68">
        <v>500180</v>
      </c>
      <c r="G3341" s="74" t="s">
        <v>2952</v>
      </c>
      <c r="H3341" s="181">
        <f>INDEX('Списки данных'!$D$2:$D$1048576,MATCH(База_КР_КК[[#This Row],[Структурное подразделение]],'Списки данных'!$C$2:$C$1048576,0))</f>
        <v>7</v>
      </c>
      <c r="I3341" s="80" t="s">
        <v>137</v>
      </c>
      <c r="J3341" s="80" t="s">
        <v>248</v>
      </c>
      <c r="K3341" s="80" t="s">
        <v>249</v>
      </c>
      <c r="L3341" s="30" t="s">
        <v>191</v>
      </c>
      <c r="M3341" s="68">
        <v>6</v>
      </c>
      <c r="N3341" s="181" t="str">
        <f t="shared" si="53"/>
        <v>да</v>
      </c>
      <c r="O3341" s="23">
        <v>44734</v>
      </c>
      <c r="P3341" s="23">
        <v>44757</v>
      </c>
      <c r="Q3341" s="106" t="s">
        <v>57</v>
      </c>
      <c r="R3341" s="37">
        <v>771</v>
      </c>
      <c r="S3341" s="38" t="s">
        <v>1180</v>
      </c>
      <c r="T3341" s="37">
        <v>770</v>
      </c>
      <c r="U3341" s="39" t="s">
        <v>1179</v>
      </c>
      <c r="V3341" s="89" t="s">
        <v>192</v>
      </c>
      <c r="W3341" s="89" t="s">
        <v>137</v>
      </c>
      <c r="X3341" s="106" t="s">
        <v>297</v>
      </c>
      <c r="Y3341" s="107" t="s">
        <v>14</v>
      </c>
      <c r="Z3341" s="67">
        <f>IF(База_КР_КК[[#This Row],[Таб.номер резервиста]]="-","-",IF(OR(База_КР_КК[[#This Row],[Уровень КК]]=2,База_КР_КК[[#This Row],[Уровень КК]]=3),IF(COUNTIFS($U$2:$U3341,$U3341,$F$2:$F3341,$F3341)=1,1,0),IF(COUNTIFS($U$2:$U3341,$U3341,$L$2:$L3341,$L3341)=1,1,0)))</f>
        <v>0</v>
      </c>
      <c r="AA33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1" s="106" t="s">
        <v>24</v>
      </c>
      <c r="AC3341" s="51">
        <v>44343</v>
      </c>
      <c r="AD3341" s="106" t="s">
        <v>15</v>
      </c>
      <c r="AE3341" s="38" t="s">
        <v>383</v>
      </c>
    </row>
    <row r="3342" spans="1:31" ht="18" customHeight="1" x14ac:dyDescent="0.25">
      <c r="A33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2" s="79">
        <v>4</v>
      </c>
      <c r="C3342" s="23">
        <v>44469</v>
      </c>
      <c r="D3342" s="67">
        <f>IF(COUNTIF($G$2:$G3342,$G3342)=1,1,0)</f>
        <v>1</v>
      </c>
      <c r="E3342" s="67" t="str">
        <f>IFERROR(VLOOKUP(База_КР_КК[[#This Row],[ИД штатной должности (S)]],'уровень защищенности'!$B$7:$F$1095,5,0),"не защищена")</f>
        <v>высокий</v>
      </c>
      <c r="F3342" s="68">
        <v>500180</v>
      </c>
      <c r="G3342" s="74" t="s">
        <v>2953</v>
      </c>
      <c r="H3342" s="181">
        <f>INDEX('Списки данных'!$D$2:$D$1048576,MATCH(База_КР_КК[[#This Row],[Структурное подразделение]],'Списки данных'!$C$2:$C$1048576,0))</f>
        <v>7</v>
      </c>
      <c r="I3342" s="80" t="s">
        <v>137</v>
      </c>
      <c r="J3342" s="80" t="s">
        <v>248</v>
      </c>
      <c r="K3342" s="80" t="s">
        <v>249</v>
      </c>
      <c r="L3342" s="30" t="s">
        <v>191</v>
      </c>
      <c r="M3342" s="68">
        <v>6</v>
      </c>
      <c r="N3342" s="181" t="str">
        <f t="shared" si="53"/>
        <v>нет</v>
      </c>
      <c r="O3342" s="23"/>
      <c r="P3342" s="23"/>
      <c r="Q3342" s="106"/>
      <c r="R3342" s="37">
        <v>772</v>
      </c>
      <c r="S3342" s="38" t="s">
        <v>1181</v>
      </c>
      <c r="T3342" s="37">
        <v>1864</v>
      </c>
      <c r="U3342" s="39" t="s">
        <v>2078</v>
      </c>
      <c r="V3342" s="89" t="s">
        <v>272</v>
      </c>
      <c r="W3342" s="89" t="s">
        <v>137</v>
      </c>
      <c r="X3342" s="106" t="s">
        <v>295</v>
      </c>
      <c r="Y3342" s="107" t="s">
        <v>12</v>
      </c>
      <c r="Z3342" s="67">
        <f>IF(База_КР_КК[[#This Row],[Таб.номер резервиста]]="-","-",IF(OR(База_КР_КК[[#This Row],[Уровень КК]]=2,База_КР_КК[[#This Row],[Уровень КК]]=3),IF(COUNTIFS($U$2:$U3342,$U3342,$F$2:$F3342,$F3342)=1,1,0),IF(COUNTIFS($U$2:$U3342,$U3342,$L$2:$L3342,$L3342)=1,1,0)))</f>
        <v>0</v>
      </c>
      <c r="AA33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2" s="106"/>
      <c r="AC3342" s="51"/>
      <c r="AD3342" s="106" t="s">
        <v>17</v>
      </c>
      <c r="AE3342" s="38" t="s">
        <v>376</v>
      </c>
    </row>
    <row r="3343" spans="1:31" ht="18" customHeight="1" x14ac:dyDescent="0.25">
      <c r="A33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3" s="79">
        <v>4</v>
      </c>
      <c r="C3343" s="23">
        <v>44469</v>
      </c>
      <c r="D3343" s="67">
        <f>IF(COUNTIF($G$2:$G3343,$G3343)=1,1,0)</f>
        <v>0</v>
      </c>
      <c r="E3343" s="67" t="str">
        <f>IFERROR(VLOOKUP(База_КР_КК[[#This Row],[ИД штатной должности (S)]],'уровень защищенности'!$B$7:$F$1095,5,0),"не защищена")</f>
        <v>высокий</v>
      </c>
      <c r="F3343" s="68">
        <v>500180</v>
      </c>
      <c r="G3343" s="74" t="s">
        <v>2953</v>
      </c>
      <c r="H3343" s="181">
        <f>INDEX('Списки данных'!$D$2:$D$1048576,MATCH(База_КР_КК[[#This Row],[Структурное подразделение]],'Списки данных'!$C$2:$C$1048576,0))</f>
        <v>7</v>
      </c>
      <c r="I3343" s="80" t="s">
        <v>137</v>
      </c>
      <c r="J3343" s="80" t="s">
        <v>248</v>
      </c>
      <c r="K3343" s="80" t="s">
        <v>249</v>
      </c>
      <c r="L3343" s="30" t="s">
        <v>191</v>
      </c>
      <c r="M3343" s="68">
        <v>6</v>
      </c>
      <c r="N3343" s="181" t="str">
        <f t="shared" si="53"/>
        <v>нет</v>
      </c>
      <c r="O3343" s="23"/>
      <c r="P3343" s="23"/>
      <c r="Q3343" s="106"/>
      <c r="R3343" s="37">
        <v>772</v>
      </c>
      <c r="S3343" s="38" t="s">
        <v>1181</v>
      </c>
      <c r="T3343" s="37">
        <v>1865</v>
      </c>
      <c r="U3343" s="39" t="s">
        <v>2001</v>
      </c>
      <c r="V3343" s="89" t="s">
        <v>272</v>
      </c>
      <c r="W3343" s="89" t="s">
        <v>137</v>
      </c>
      <c r="X3343" s="106" t="s">
        <v>297</v>
      </c>
      <c r="Y3343" s="107" t="s">
        <v>12</v>
      </c>
      <c r="Z3343" s="67">
        <f>IF(База_КР_КК[[#This Row],[Таб.номер резервиста]]="-","-",IF(OR(База_КР_КК[[#This Row],[Уровень КК]]=2,База_КР_КК[[#This Row],[Уровень КК]]=3),IF(COUNTIFS($U$2:$U3343,$U3343,$F$2:$F3343,$F3343)=1,1,0),IF(COUNTIFS($U$2:$U3343,$U3343,$L$2:$L3343,$L3343)=1,1,0)))</f>
        <v>0</v>
      </c>
      <c r="AA33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3" s="106"/>
      <c r="AC3343" s="51"/>
      <c r="AD3343" s="106" t="s">
        <v>15</v>
      </c>
      <c r="AE3343" s="38" t="s">
        <v>380</v>
      </c>
    </row>
    <row r="3344" spans="1:31" ht="18" customHeight="1" x14ac:dyDescent="0.25">
      <c r="A33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4" s="79">
        <v>4</v>
      </c>
      <c r="C3344" s="23">
        <v>44469</v>
      </c>
      <c r="D3344" s="67">
        <f>IF(COUNTIF($G$2:$G3344,$G3344)=1,1,0)</f>
        <v>0</v>
      </c>
      <c r="E3344" s="67" t="str">
        <f>IFERROR(VLOOKUP(База_КР_КК[[#This Row],[ИД штатной должности (S)]],'уровень защищенности'!$B$7:$F$1095,5,0),"не защищена")</f>
        <v>высокий</v>
      </c>
      <c r="F3344" s="68">
        <v>500180</v>
      </c>
      <c r="G3344" s="74" t="s">
        <v>2953</v>
      </c>
      <c r="H3344" s="181">
        <f>INDEX('Списки данных'!$D$2:$D$1048576,MATCH(База_КР_КК[[#This Row],[Структурное подразделение]],'Списки данных'!$C$2:$C$1048576,0))</f>
        <v>7</v>
      </c>
      <c r="I3344" s="80" t="s">
        <v>137</v>
      </c>
      <c r="J3344" s="80" t="s">
        <v>248</v>
      </c>
      <c r="K3344" s="80" t="s">
        <v>249</v>
      </c>
      <c r="L3344" s="30" t="s">
        <v>191</v>
      </c>
      <c r="M3344" s="68">
        <v>6</v>
      </c>
      <c r="N3344" s="181" t="str">
        <f t="shared" si="53"/>
        <v>нет</v>
      </c>
      <c r="O3344" s="23"/>
      <c r="P3344" s="23"/>
      <c r="Q3344" s="106"/>
      <c r="R3344" s="37">
        <v>772</v>
      </c>
      <c r="S3344" s="38" t="s">
        <v>1181</v>
      </c>
      <c r="T3344" s="37">
        <v>1866</v>
      </c>
      <c r="U3344" s="39" t="s">
        <v>2027</v>
      </c>
      <c r="V3344" s="69" t="s">
        <v>272</v>
      </c>
      <c r="W3344" s="89" t="s">
        <v>137</v>
      </c>
      <c r="X3344" s="106" t="s">
        <v>297</v>
      </c>
      <c r="Y3344" s="107" t="s">
        <v>12</v>
      </c>
      <c r="Z3344" s="67">
        <f>IF(База_КР_КК[[#This Row],[Таб.номер резервиста]]="-","-",IF(OR(База_КР_КК[[#This Row],[Уровень КК]]=2,База_КР_КК[[#This Row],[Уровень КК]]=3),IF(COUNTIFS($U$2:$U3344,$U3344,$F$2:$F3344,$F3344)=1,1,0),IF(COUNTIFS($U$2:$U3344,$U3344,$L$2:$L3344,$L3344)=1,1,0)))</f>
        <v>0</v>
      </c>
      <c r="AA33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4" s="106"/>
      <c r="AC3344" s="51"/>
      <c r="AD3344" s="106" t="s">
        <v>13</v>
      </c>
      <c r="AE3344" s="38" t="s">
        <v>376</v>
      </c>
    </row>
    <row r="3345" spans="1:31" ht="18" customHeight="1" x14ac:dyDescent="0.25">
      <c r="A33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5" s="79">
        <v>4</v>
      </c>
      <c r="C3345" s="23">
        <v>44469</v>
      </c>
      <c r="D3345" s="67">
        <f>IF(COUNTIF($G$2:$G3345,$G3345)=1,1,0)</f>
        <v>0</v>
      </c>
      <c r="E3345" s="67" t="str">
        <f>IFERROR(VLOOKUP(База_КР_КК[[#This Row],[ИД штатной должности (S)]],'уровень защищенности'!$B$7:$F$1095,5,0),"не защищена")</f>
        <v>высокий</v>
      </c>
      <c r="F3345" s="68">
        <v>500180</v>
      </c>
      <c r="G3345" s="74" t="s">
        <v>2953</v>
      </c>
      <c r="H3345" s="181">
        <f>INDEX('Списки данных'!$D$2:$D$1048576,MATCH(База_КР_КК[[#This Row],[Структурное подразделение]],'Списки данных'!$C$2:$C$1048576,0))</f>
        <v>7</v>
      </c>
      <c r="I3345" s="80" t="s">
        <v>137</v>
      </c>
      <c r="J3345" s="80" t="s">
        <v>248</v>
      </c>
      <c r="K3345" s="80" t="s">
        <v>249</v>
      </c>
      <c r="L3345" s="30" t="s">
        <v>191</v>
      </c>
      <c r="M3345" s="68">
        <v>6</v>
      </c>
      <c r="N3345" s="181" t="str">
        <f t="shared" si="53"/>
        <v>нет</v>
      </c>
      <c r="O3345" s="23"/>
      <c r="P3345" s="23"/>
      <c r="Q3345" s="106"/>
      <c r="R3345" s="37">
        <v>772</v>
      </c>
      <c r="S3345" s="38" t="s">
        <v>1181</v>
      </c>
      <c r="T3345" s="37">
        <v>1867</v>
      </c>
      <c r="U3345" s="39" t="s">
        <v>1935</v>
      </c>
      <c r="V3345" s="89" t="s">
        <v>272</v>
      </c>
      <c r="W3345" s="89" t="s">
        <v>137</v>
      </c>
      <c r="X3345" s="106" t="s">
        <v>297</v>
      </c>
      <c r="Y3345" s="107" t="s">
        <v>12</v>
      </c>
      <c r="Z3345" s="67">
        <f>IF(База_КР_КК[[#This Row],[Таб.номер резервиста]]="-","-",IF(OR(База_КР_КК[[#This Row],[Уровень КК]]=2,База_КР_КК[[#This Row],[Уровень КК]]=3),IF(COUNTIFS($U$2:$U3345,$U3345,$F$2:$F3345,$F3345)=1,1,0),IF(COUNTIFS($U$2:$U3345,$U3345,$L$2:$L3345,$L3345)=1,1,0)))</f>
        <v>0</v>
      </c>
      <c r="AA33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5" s="106"/>
      <c r="AC3345" s="51"/>
      <c r="AD3345" s="106" t="s">
        <v>13</v>
      </c>
      <c r="AE3345" s="38" t="s">
        <v>376</v>
      </c>
    </row>
    <row r="3346" spans="1:31" ht="18" customHeight="1" x14ac:dyDescent="0.25">
      <c r="A33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6" s="79">
        <v>4</v>
      </c>
      <c r="C3346" s="23">
        <v>44859</v>
      </c>
      <c r="D3346" s="67">
        <f>IF(COUNTIF($G$2:$G3346,$G3346)=1,1,0)</f>
        <v>0</v>
      </c>
      <c r="E3346" s="67" t="str">
        <f>IFERROR(VLOOKUP(База_КР_КК[[#This Row],[ИД штатной должности (S)]],'уровень защищенности'!$B$7:$F$1095,5,0),"не защищена")</f>
        <v>высокий</v>
      </c>
      <c r="F3346" s="68">
        <v>500180</v>
      </c>
      <c r="G3346" s="74" t="s">
        <v>2953</v>
      </c>
      <c r="H3346" s="181">
        <f>INDEX('Списки данных'!$D$2:$D$1048576,MATCH(База_КР_КК[[#This Row],[Структурное подразделение]],'Списки данных'!$C$2:$C$1048576,0))</f>
        <v>7</v>
      </c>
      <c r="I3346" s="80" t="s">
        <v>137</v>
      </c>
      <c r="J3346" s="80" t="s">
        <v>248</v>
      </c>
      <c r="K3346" s="80" t="s">
        <v>249</v>
      </c>
      <c r="L3346" s="30" t="s">
        <v>191</v>
      </c>
      <c r="M3346" s="68">
        <v>6</v>
      </c>
      <c r="N3346" s="181" t="str">
        <f t="shared" si="53"/>
        <v>нет</v>
      </c>
      <c r="O3346" s="23"/>
      <c r="P3346" s="23"/>
      <c r="Q3346" s="106"/>
      <c r="R3346" s="37">
        <v>772</v>
      </c>
      <c r="S3346" s="39" t="s">
        <v>1181</v>
      </c>
      <c r="T3346" s="37">
        <v>1868</v>
      </c>
      <c r="U3346" s="38" t="s">
        <v>1735</v>
      </c>
      <c r="V3346" s="89" t="s">
        <v>272</v>
      </c>
      <c r="W3346" s="89" t="s">
        <v>137</v>
      </c>
      <c r="X3346" s="106" t="s">
        <v>297</v>
      </c>
      <c r="Y3346" s="107" t="s">
        <v>12</v>
      </c>
      <c r="Z3346" s="67">
        <f>IF(База_КР_КК[[#This Row],[Таб.номер резервиста]]="-","-",IF(OR(База_КР_КК[[#This Row],[Уровень КК]]=2,База_КР_КК[[#This Row],[Уровень КК]]=3),IF(COUNTIFS($U$2:$U3346,$U3346,$F$2:$F3346,$F3346)=1,1,0),IF(COUNTIFS($U$2:$U3346,$U3346,$L$2:$L3346,$L3346)=1,1,0)))</f>
        <v>0</v>
      </c>
      <c r="AA33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6" s="106"/>
      <c r="AC3346" s="51"/>
      <c r="AD3346" s="106" t="s">
        <v>15</v>
      </c>
      <c r="AE3346" s="38" t="s">
        <v>376</v>
      </c>
    </row>
    <row r="3347" spans="1:31" ht="18" customHeight="1" x14ac:dyDescent="0.25">
      <c r="A33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7" s="79">
        <v>4</v>
      </c>
      <c r="C3347" s="23">
        <v>44859</v>
      </c>
      <c r="D3347" s="67">
        <f>IF(COUNTIF($G$2:$G3347,$G3347)=1,1,0)</f>
        <v>0</v>
      </c>
      <c r="E3347" s="67" t="str">
        <f>IFERROR(VLOOKUP(База_КР_КК[[#This Row],[ИД штатной должности (S)]],'уровень защищенности'!$B$7:$F$1095,5,0),"не защищена")</f>
        <v>высокий</v>
      </c>
      <c r="F3347" s="68">
        <v>500180</v>
      </c>
      <c r="G3347" s="74" t="s">
        <v>2953</v>
      </c>
      <c r="H3347" s="181">
        <f>INDEX('Списки данных'!$D$2:$D$1048576,MATCH(База_КР_КК[[#This Row],[Структурное подразделение]],'Списки данных'!$C$2:$C$1048576,0))</f>
        <v>7</v>
      </c>
      <c r="I3347" s="80" t="s">
        <v>137</v>
      </c>
      <c r="J3347" s="80" t="s">
        <v>248</v>
      </c>
      <c r="K3347" s="80" t="s">
        <v>249</v>
      </c>
      <c r="L3347" s="30" t="s">
        <v>191</v>
      </c>
      <c r="M3347" s="68">
        <v>6</v>
      </c>
      <c r="N3347" s="181" t="str">
        <f t="shared" si="53"/>
        <v>нет</v>
      </c>
      <c r="O3347" s="23"/>
      <c r="P3347" s="23"/>
      <c r="Q3347" s="106"/>
      <c r="R3347" s="37">
        <v>772</v>
      </c>
      <c r="S3347" s="39" t="s">
        <v>1181</v>
      </c>
      <c r="T3347" s="37">
        <v>1869</v>
      </c>
      <c r="U3347" s="38" t="s">
        <v>1913</v>
      </c>
      <c r="V3347" s="89" t="s">
        <v>272</v>
      </c>
      <c r="W3347" s="89" t="s">
        <v>137</v>
      </c>
      <c r="X3347" s="106" t="s">
        <v>297</v>
      </c>
      <c r="Y3347" s="107" t="s">
        <v>12</v>
      </c>
      <c r="Z3347" s="67">
        <f>IF(База_КР_КК[[#This Row],[Таб.номер резервиста]]="-","-",IF(OR(База_КР_КК[[#This Row],[Уровень КК]]=2,База_КР_КК[[#This Row],[Уровень КК]]=3),IF(COUNTIFS($U$2:$U3347,$U3347,$F$2:$F3347,$F3347)=1,1,0),IF(COUNTIFS($U$2:$U3347,$U3347,$L$2:$L3347,$L3347)=1,1,0)))</f>
        <v>0</v>
      </c>
      <c r="AA33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7" s="106"/>
      <c r="AC3347" s="51"/>
      <c r="AD3347" s="106" t="s">
        <v>15</v>
      </c>
      <c r="AE3347" s="38" t="s">
        <v>376</v>
      </c>
    </row>
    <row r="3348" spans="1:31" ht="18" customHeight="1" x14ac:dyDescent="0.25">
      <c r="A33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8" s="79">
        <v>4</v>
      </c>
      <c r="C3348" s="23">
        <v>44125</v>
      </c>
      <c r="D3348" s="67">
        <f>IF(COUNTIF($G$2:$G3348,$G3348)=1,1,0)</f>
        <v>0</v>
      </c>
      <c r="E3348" s="67" t="str">
        <f>IFERROR(VLOOKUP(База_КР_КК[[#This Row],[ИД штатной должности (S)]],'уровень защищенности'!$B$7:$F$1095,5,0),"не защищена")</f>
        <v>высокий</v>
      </c>
      <c r="F3348" s="68">
        <v>500180</v>
      </c>
      <c r="G3348" s="74" t="s">
        <v>2953</v>
      </c>
      <c r="H3348" s="181">
        <f>INDEX('Списки данных'!$D$2:$D$1048576,MATCH(База_КР_КК[[#This Row],[Структурное подразделение]],'Списки данных'!$C$2:$C$1048576,0))</f>
        <v>7</v>
      </c>
      <c r="I3348" s="80" t="s">
        <v>137</v>
      </c>
      <c r="J3348" s="80" t="s">
        <v>248</v>
      </c>
      <c r="K3348" s="80" t="s">
        <v>249</v>
      </c>
      <c r="L3348" s="30" t="s">
        <v>191</v>
      </c>
      <c r="M3348" s="68">
        <v>6</v>
      </c>
      <c r="N3348" s="181" t="str">
        <f t="shared" si="53"/>
        <v>нет</v>
      </c>
      <c r="O3348" s="23"/>
      <c r="P3348" s="23"/>
      <c r="Q3348" s="106"/>
      <c r="R3348" s="37">
        <v>772</v>
      </c>
      <c r="S3348" s="38" t="s">
        <v>1181</v>
      </c>
      <c r="T3348" s="37">
        <v>769</v>
      </c>
      <c r="U3348" s="39" t="s">
        <v>1178</v>
      </c>
      <c r="V3348" s="89" t="s">
        <v>192</v>
      </c>
      <c r="W3348" s="89" t="s">
        <v>137</v>
      </c>
      <c r="X3348" s="106" t="s">
        <v>296</v>
      </c>
      <c r="Y3348" s="107" t="s">
        <v>14</v>
      </c>
      <c r="Z3348" s="67">
        <f>IF(База_КР_КК[[#This Row],[Таб.номер резервиста]]="-","-",IF(OR(База_КР_КК[[#This Row],[Уровень КК]]=2,База_КР_КК[[#This Row],[Уровень КК]]=3),IF(COUNTIFS($U$2:$U3348,$U3348,$F$2:$F3348,$F3348)=1,1,0),IF(COUNTIFS($U$2:$U3348,$U3348,$L$2:$L3348,$L3348)=1,1,0)))</f>
        <v>0</v>
      </c>
      <c r="AA33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8" s="106" t="s">
        <v>24</v>
      </c>
      <c r="AC3348" s="51">
        <v>44334</v>
      </c>
      <c r="AD3348" s="106" t="s">
        <v>15</v>
      </c>
      <c r="AE3348" s="38" t="s">
        <v>318</v>
      </c>
    </row>
    <row r="3349" spans="1:31" ht="18" customHeight="1" x14ac:dyDescent="0.25">
      <c r="A33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49" s="79">
        <v>4</v>
      </c>
      <c r="C3349" s="23">
        <v>44299</v>
      </c>
      <c r="D3349" s="67">
        <f>IF(COUNTIF($G$2:$G3349,$G3349)=1,1,0)</f>
        <v>0</v>
      </c>
      <c r="E3349" s="67" t="str">
        <f>IFERROR(VLOOKUP(База_КР_КК[[#This Row],[ИД штатной должности (S)]],'уровень защищенности'!$B$7:$F$1095,5,0),"не защищена")</f>
        <v>высокий</v>
      </c>
      <c r="F3349" s="68">
        <v>500180</v>
      </c>
      <c r="G3349" s="74" t="s">
        <v>2953</v>
      </c>
      <c r="H3349" s="181">
        <f>INDEX('Списки данных'!$D$2:$D$1048576,MATCH(База_КР_КК[[#This Row],[Структурное подразделение]],'Списки данных'!$C$2:$C$1048576,0))</f>
        <v>7</v>
      </c>
      <c r="I3349" s="80" t="s">
        <v>137</v>
      </c>
      <c r="J3349" s="80" t="s">
        <v>248</v>
      </c>
      <c r="K3349" s="80" t="s">
        <v>249</v>
      </c>
      <c r="L3349" s="30" t="s">
        <v>191</v>
      </c>
      <c r="M3349" s="68">
        <v>6</v>
      </c>
      <c r="N3349" s="181" t="str">
        <f t="shared" si="53"/>
        <v>нет</v>
      </c>
      <c r="O3349" s="23"/>
      <c r="P3349" s="23"/>
      <c r="Q3349" s="106"/>
      <c r="R3349" s="37">
        <v>772</v>
      </c>
      <c r="S3349" s="38" t="s">
        <v>1181</v>
      </c>
      <c r="T3349" s="37">
        <v>770</v>
      </c>
      <c r="U3349" s="39" t="s">
        <v>1179</v>
      </c>
      <c r="V3349" s="89" t="s">
        <v>192</v>
      </c>
      <c r="W3349" s="89" t="s">
        <v>137</v>
      </c>
      <c r="X3349" s="106" t="s">
        <v>297</v>
      </c>
      <c r="Y3349" s="107" t="s">
        <v>14</v>
      </c>
      <c r="Z3349" s="67">
        <f>IF(База_КР_КК[[#This Row],[Таб.номер резервиста]]="-","-",IF(OR(База_КР_КК[[#This Row],[Уровень КК]]=2,База_КР_КК[[#This Row],[Уровень КК]]=3),IF(COUNTIFS($U$2:$U3349,$U3349,$F$2:$F3349,$F3349)=1,1,0),IF(COUNTIFS($U$2:$U3349,$U3349,$L$2:$L3349,$L3349)=1,1,0)))</f>
        <v>0</v>
      </c>
      <c r="AA33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49" s="106" t="s">
        <v>24</v>
      </c>
      <c r="AC3349" s="51">
        <v>44343</v>
      </c>
      <c r="AD3349" s="106" t="s">
        <v>15</v>
      </c>
      <c r="AE3349" s="38" t="s">
        <v>383</v>
      </c>
    </row>
    <row r="3350" spans="1:31" ht="18" customHeight="1" x14ac:dyDescent="0.25">
      <c r="A33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0" s="79">
        <v>4</v>
      </c>
      <c r="C3350" s="23">
        <v>44859</v>
      </c>
      <c r="D3350" s="67">
        <f>IF(COUNTIF($G$2:$G3350,$G3350)=1,1,0)</f>
        <v>1</v>
      </c>
      <c r="E3350" s="67" t="str">
        <f>IFERROR(VLOOKUP(База_КР_КК[[#This Row],[ИД штатной должности (S)]],'уровень защищенности'!$B$7:$F$1095,5,0),"не защищена")</f>
        <v>высокий</v>
      </c>
      <c r="F3350" s="68">
        <v>500181</v>
      </c>
      <c r="G3350" s="74" t="s">
        <v>2954</v>
      </c>
      <c r="H3350" s="181">
        <f>INDEX('Списки данных'!$D$2:$D$1048576,MATCH(База_КР_КК[[#This Row],[Структурное подразделение]],'Списки данных'!$C$2:$C$1048576,0))</f>
        <v>7</v>
      </c>
      <c r="I3350" s="80" t="s">
        <v>137</v>
      </c>
      <c r="J3350" s="80" t="s">
        <v>248</v>
      </c>
      <c r="K3350" s="80" t="s">
        <v>249</v>
      </c>
      <c r="L3350" s="30" t="s">
        <v>192</v>
      </c>
      <c r="M3350" s="68">
        <v>6</v>
      </c>
      <c r="N3350" s="181" t="str">
        <f t="shared" si="53"/>
        <v>нет</v>
      </c>
      <c r="O3350" s="23"/>
      <c r="P3350" s="23"/>
      <c r="Q3350" s="106"/>
      <c r="R3350" s="37">
        <v>773</v>
      </c>
      <c r="S3350" s="39" t="s">
        <v>1182</v>
      </c>
      <c r="T3350" s="37">
        <v>1866</v>
      </c>
      <c r="U3350" s="38" t="s">
        <v>2027</v>
      </c>
      <c r="V3350" s="69" t="s">
        <v>272</v>
      </c>
      <c r="W3350" s="89" t="s">
        <v>137</v>
      </c>
      <c r="X3350" s="106" t="s">
        <v>297</v>
      </c>
      <c r="Y3350" s="107" t="s">
        <v>12</v>
      </c>
      <c r="Z3350" s="67">
        <f>IF(База_КР_КК[[#This Row],[Таб.номер резервиста]]="-","-",IF(OR(База_КР_КК[[#This Row],[Уровень КК]]=2,База_КР_КК[[#This Row],[Уровень КК]]=3),IF(COUNTIFS($U$2:$U3350,$U3350,$F$2:$F3350,$F3350)=1,1,0),IF(COUNTIFS($U$2:$U3350,$U3350,$L$2:$L3350,$L3350)=1,1,0)))</f>
        <v>0</v>
      </c>
      <c r="AA33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0" s="106"/>
      <c r="AC3350" s="51"/>
      <c r="AD3350" s="106" t="s">
        <v>13</v>
      </c>
      <c r="AE3350" s="38" t="s">
        <v>376</v>
      </c>
    </row>
    <row r="3351" spans="1:31" ht="18" customHeight="1" x14ac:dyDescent="0.25">
      <c r="A33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1" s="79">
        <v>4</v>
      </c>
      <c r="C3351" s="23">
        <v>44859</v>
      </c>
      <c r="D3351" s="67">
        <f>IF(COUNTIF($G$2:$G3351,$G3351)=1,1,0)</f>
        <v>0</v>
      </c>
      <c r="E3351" s="67" t="str">
        <f>IFERROR(VLOOKUP(База_КР_КК[[#This Row],[ИД штатной должности (S)]],'уровень защищенности'!$B$7:$F$1095,5,0),"не защищена")</f>
        <v>высокий</v>
      </c>
      <c r="F3351" s="68">
        <v>500181</v>
      </c>
      <c r="G3351" s="74" t="s">
        <v>2954</v>
      </c>
      <c r="H3351" s="181">
        <f>INDEX('Списки данных'!$D$2:$D$1048576,MATCH(База_КР_КК[[#This Row],[Структурное подразделение]],'Списки данных'!$C$2:$C$1048576,0))</f>
        <v>7</v>
      </c>
      <c r="I3351" s="80" t="s">
        <v>137</v>
      </c>
      <c r="J3351" s="80" t="s">
        <v>248</v>
      </c>
      <c r="K3351" s="80" t="s">
        <v>249</v>
      </c>
      <c r="L3351" s="30" t="s">
        <v>192</v>
      </c>
      <c r="M3351" s="68">
        <v>6</v>
      </c>
      <c r="N3351" s="181" t="str">
        <f t="shared" si="53"/>
        <v>нет</v>
      </c>
      <c r="O3351" s="23"/>
      <c r="P3351" s="23"/>
      <c r="Q3351" s="106"/>
      <c r="R3351" s="37">
        <v>773</v>
      </c>
      <c r="S3351" s="39" t="s">
        <v>1182</v>
      </c>
      <c r="T3351" s="37">
        <v>1867</v>
      </c>
      <c r="U3351" s="38" t="s">
        <v>1935</v>
      </c>
      <c r="V3351" s="69" t="s">
        <v>272</v>
      </c>
      <c r="W3351" s="89" t="s">
        <v>137</v>
      </c>
      <c r="X3351" s="106" t="s">
        <v>297</v>
      </c>
      <c r="Y3351" s="107" t="s">
        <v>12</v>
      </c>
      <c r="Z3351" s="67">
        <f>IF(База_КР_КК[[#This Row],[Таб.номер резервиста]]="-","-",IF(OR(База_КР_КК[[#This Row],[Уровень КК]]=2,База_КР_КК[[#This Row],[Уровень КК]]=3),IF(COUNTIFS($U$2:$U3351,$U3351,$F$2:$F3351,$F3351)=1,1,0),IF(COUNTIFS($U$2:$U3351,$U3351,$L$2:$L3351,$L3351)=1,1,0)))</f>
        <v>0</v>
      </c>
      <c r="AA33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1" s="106"/>
      <c r="AC3351" s="51"/>
      <c r="AD3351" s="106" t="s">
        <v>13</v>
      </c>
      <c r="AE3351" s="38" t="s">
        <v>376</v>
      </c>
    </row>
    <row r="3352" spans="1:31" ht="18" customHeight="1" x14ac:dyDescent="0.25">
      <c r="A33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2" s="79">
        <v>4</v>
      </c>
      <c r="C3352" s="23">
        <v>44859</v>
      </c>
      <c r="D3352" s="67">
        <f>IF(COUNTIF($G$2:$G3352,$G3352)=1,1,0)</f>
        <v>0</v>
      </c>
      <c r="E3352" s="67" t="str">
        <f>IFERROR(VLOOKUP(База_КР_КК[[#This Row],[ИД штатной должности (S)]],'уровень защищенности'!$B$7:$F$1095,5,0),"не защищена")</f>
        <v>высокий</v>
      </c>
      <c r="F3352" s="68">
        <v>500181</v>
      </c>
      <c r="G3352" s="74" t="s">
        <v>2954</v>
      </c>
      <c r="H3352" s="181">
        <f>INDEX('Списки данных'!$D$2:$D$1048576,MATCH(База_КР_КК[[#This Row],[Структурное подразделение]],'Списки данных'!$C$2:$C$1048576,0))</f>
        <v>7</v>
      </c>
      <c r="I3352" s="80" t="s">
        <v>137</v>
      </c>
      <c r="J3352" s="80" t="s">
        <v>248</v>
      </c>
      <c r="K3352" s="80" t="s">
        <v>249</v>
      </c>
      <c r="L3352" s="30" t="s">
        <v>192</v>
      </c>
      <c r="M3352" s="68">
        <v>6</v>
      </c>
      <c r="N3352" s="181" t="str">
        <f t="shared" si="53"/>
        <v>нет</v>
      </c>
      <c r="O3352" s="23"/>
      <c r="P3352" s="23"/>
      <c r="Q3352" s="106"/>
      <c r="R3352" s="37">
        <v>773</v>
      </c>
      <c r="S3352" s="39" t="s">
        <v>1182</v>
      </c>
      <c r="T3352" s="37">
        <v>1864</v>
      </c>
      <c r="U3352" s="38" t="s">
        <v>2078</v>
      </c>
      <c r="V3352" s="89" t="s">
        <v>272</v>
      </c>
      <c r="W3352" s="89" t="s">
        <v>137</v>
      </c>
      <c r="X3352" s="106" t="s">
        <v>295</v>
      </c>
      <c r="Y3352" s="107" t="s">
        <v>12</v>
      </c>
      <c r="Z3352" s="67">
        <f>IF(База_КР_КК[[#This Row],[Таб.номер резервиста]]="-","-",IF(OR(База_КР_КК[[#This Row],[Уровень КК]]=2,База_КР_КК[[#This Row],[Уровень КК]]=3),IF(COUNTIFS($U$2:$U3352,$U3352,$F$2:$F3352,$F3352)=1,1,0),IF(COUNTIFS($U$2:$U3352,$U3352,$L$2:$L3352,$L3352)=1,1,0)))</f>
        <v>0</v>
      </c>
      <c r="AA33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2" s="106"/>
      <c r="AC3352" s="51"/>
      <c r="AD3352" s="106" t="s">
        <v>17</v>
      </c>
      <c r="AE3352" s="38" t="s">
        <v>376</v>
      </c>
    </row>
    <row r="3353" spans="1:31" ht="18" customHeight="1" x14ac:dyDescent="0.25">
      <c r="A33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3" s="79">
        <v>4</v>
      </c>
      <c r="C3353" s="23">
        <v>44859</v>
      </c>
      <c r="D3353" s="67">
        <f>IF(COUNTIF($G$2:$G3353,$G3353)=1,1,0)</f>
        <v>0</v>
      </c>
      <c r="E3353" s="67" t="str">
        <f>IFERROR(VLOOKUP(База_КР_КК[[#This Row],[ИД штатной должности (S)]],'уровень защищенности'!$B$7:$F$1095,5,0),"не защищена")</f>
        <v>высокий</v>
      </c>
      <c r="F3353" s="68">
        <v>500181</v>
      </c>
      <c r="G3353" s="74" t="s">
        <v>2954</v>
      </c>
      <c r="H3353" s="181">
        <f>INDEX('Списки данных'!$D$2:$D$1048576,MATCH(База_КР_КК[[#This Row],[Структурное подразделение]],'Списки данных'!$C$2:$C$1048576,0))</f>
        <v>7</v>
      </c>
      <c r="I3353" s="80" t="s">
        <v>137</v>
      </c>
      <c r="J3353" s="80" t="s">
        <v>248</v>
      </c>
      <c r="K3353" s="80" t="s">
        <v>249</v>
      </c>
      <c r="L3353" s="30" t="s">
        <v>192</v>
      </c>
      <c r="M3353" s="68">
        <v>6</v>
      </c>
      <c r="N3353" s="181" t="str">
        <f t="shared" si="53"/>
        <v>нет</v>
      </c>
      <c r="O3353" s="23"/>
      <c r="P3353" s="23"/>
      <c r="Q3353" s="106"/>
      <c r="R3353" s="37">
        <v>773</v>
      </c>
      <c r="S3353" s="39" t="s">
        <v>1182</v>
      </c>
      <c r="T3353" s="37">
        <v>1868</v>
      </c>
      <c r="U3353" s="38" t="s">
        <v>1735</v>
      </c>
      <c r="V3353" s="89" t="s">
        <v>272</v>
      </c>
      <c r="W3353" s="89" t="s">
        <v>137</v>
      </c>
      <c r="X3353" s="106" t="s">
        <v>297</v>
      </c>
      <c r="Y3353" s="107" t="s">
        <v>12</v>
      </c>
      <c r="Z3353" s="67">
        <f>IF(База_КР_КК[[#This Row],[Таб.номер резервиста]]="-","-",IF(OR(База_КР_КК[[#This Row],[Уровень КК]]=2,База_КР_КК[[#This Row],[Уровень КК]]=3),IF(COUNTIFS($U$2:$U3353,$U3353,$F$2:$F3353,$F3353)=1,1,0),IF(COUNTIFS($U$2:$U3353,$U3353,$L$2:$L3353,$L3353)=1,1,0)))</f>
        <v>0</v>
      </c>
      <c r="AA33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3" s="106"/>
      <c r="AC3353" s="51"/>
      <c r="AD3353" s="106" t="s">
        <v>15</v>
      </c>
      <c r="AE3353" s="38" t="s">
        <v>376</v>
      </c>
    </row>
    <row r="3354" spans="1:31" ht="18" customHeight="1" x14ac:dyDescent="0.25">
      <c r="A33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4" s="79">
        <v>4</v>
      </c>
      <c r="C3354" s="23">
        <v>44859</v>
      </c>
      <c r="D3354" s="67">
        <f>IF(COUNTIF($G$2:$G3354,$G3354)=1,1,0)</f>
        <v>0</v>
      </c>
      <c r="E3354" s="67" t="str">
        <f>IFERROR(VLOOKUP(База_КР_КК[[#This Row],[ИД штатной должности (S)]],'уровень защищенности'!$B$7:$F$1095,5,0),"не защищена")</f>
        <v>высокий</v>
      </c>
      <c r="F3354" s="68">
        <v>500181</v>
      </c>
      <c r="G3354" s="74" t="s">
        <v>2954</v>
      </c>
      <c r="H3354" s="181">
        <f>INDEX('Списки данных'!$D$2:$D$1048576,MATCH(База_КР_КК[[#This Row],[Структурное подразделение]],'Списки данных'!$C$2:$C$1048576,0))</f>
        <v>7</v>
      </c>
      <c r="I3354" s="80" t="s">
        <v>137</v>
      </c>
      <c r="J3354" s="80" t="s">
        <v>248</v>
      </c>
      <c r="K3354" s="80" t="s">
        <v>249</v>
      </c>
      <c r="L3354" s="30" t="s">
        <v>192</v>
      </c>
      <c r="M3354" s="68">
        <v>6</v>
      </c>
      <c r="N3354" s="181" t="str">
        <f t="shared" si="53"/>
        <v>нет</v>
      </c>
      <c r="O3354" s="23"/>
      <c r="P3354" s="23"/>
      <c r="Q3354" s="106"/>
      <c r="R3354" s="37">
        <v>773</v>
      </c>
      <c r="S3354" s="39" t="s">
        <v>1182</v>
      </c>
      <c r="T3354" s="37">
        <v>1869</v>
      </c>
      <c r="U3354" s="38" t="s">
        <v>1913</v>
      </c>
      <c r="V3354" s="89" t="s">
        <v>272</v>
      </c>
      <c r="W3354" s="89" t="s">
        <v>137</v>
      </c>
      <c r="X3354" s="106" t="s">
        <v>297</v>
      </c>
      <c r="Y3354" s="107" t="s">
        <v>12</v>
      </c>
      <c r="Z3354" s="67">
        <f>IF(База_КР_КК[[#This Row],[Таб.номер резервиста]]="-","-",IF(OR(База_КР_КК[[#This Row],[Уровень КК]]=2,База_КР_КК[[#This Row],[Уровень КК]]=3),IF(COUNTIFS($U$2:$U3354,$U3354,$F$2:$F3354,$F3354)=1,1,0),IF(COUNTIFS($U$2:$U3354,$U3354,$L$2:$L3354,$L3354)=1,1,0)))</f>
        <v>0</v>
      </c>
      <c r="AA33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4" s="106"/>
      <c r="AC3354" s="51"/>
      <c r="AD3354" s="106" t="s">
        <v>15</v>
      </c>
      <c r="AE3354" s="38" t="s">
        <v>376</v>
      </c>
    </row>
    <row r="3355" spans="1:31" ht="18" customHeight="1" x14ac:dyDescent="0.25">
      <c r="A33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5" s="79">
        <v>4</v>
      </c>
      <c r="C3355" s="23">
        <v>44125</v>
      </c>
      <c r="D3355" s="67">
        <f>IF(COUNTIF($G$2:$G3355,$G3355)=1,1,0)</f>
        <v>1</v>
      </c>
      <c r="E3355" s="67" t="str">
        <f>IFERROR(VLOOKUP(База_КР_КК[[#This Row],[ИД штатной должности (S)]],'уровень защищенности'!$B$7:$F$1095,5,0),"не защищена")</f>
        <v>высокий</v>
      </c>
      <c r="F3355" s="68">
        <v>500182</v>
      </c>
      <c r="G3355" s="74" t="s">
        <v>2955</v>
      </c>
      <c r="H3355" s="181">
        <f>INDEX('Списки данных'!$D$2:$D$1048576,MATCH(База_КР_КК[[#This Row],[Структурное подразделение]],'Списки данных'!$C$2:$C$1048576,0))</f>
        <v>7</v>
      </c>
      <c r="I3355" s="80" t="s">
        <v>137</v>
      </c>
      <c r="J3355" s="80" t="s">
        <v>248</v>
      </c>
      <c r="K3355" s="80" t="s">
        <v>249</v>
      </c>
      <c r="L3355" s="30" t="s">
        <v>191</v>
      </c>
      <c r="M3355" s="68">
        <v>6</v>
      </c>
      <c r="N3355" s="181" t="str">
        <f t="shared" si="53"/>
        <v>нет</v>
      </c>
      <c r="O3355" s="23"/>
      <c r="P3355" s="23"/>
      <c r="Q3355" s="106"/>
      <c r="R3355" s="37">
        <v>774</v>
      </c>
      <c r="S3355" s="38" t="s">
        <v>1183</v>
      </c>
      <c r="T3355" s="37">
        <v>1824</v>
      </c>
      <c r="U3355" s="39" t="s">
        <v>1988</v>
      </c>
      <c r="V3355" s="89" t="s">
        <v>272</v>
      </c>
      <c r="W3355" s="89" t="s">
        <v>137</v>
      </c>
      <c r="X3355" s="106" t="s">
        <v>295</v>
      </c>
      <c r="Y3355" s="107" t="s">
        <v>12</v>
      </c>
      <c r="Z3355" s="67">
        <f>IF(База_КР_КК[[#This Row],[Таб.номер резервиста]]="-","-",IF(OR(База_КР_КК[[#This Row],[Уровень КК]]=2,База_КР_КК[[#This Row],[Уровень КК]]=3),IF(COUNTIFS($U$2:$U3355,$U3355,$F$2:$F3355,$F3355)=1,1,0),IF(COUNTIFS($U$2:$U3355,$U3355,$L$2:$L3355,$L3355)=1,1,0)))</f>
        <v>0</v>
      </c>
      <c r="AA33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5" s="106"/>
      <c r="AC3355" s="51"/>
      <c r="AD3355" s="106" t="s">
        <v>17</v>
      </c>
      <c r="AE3355" s="38" t="s">
        <v>376</v>
      </c>
    </row>
    <row r="3356" spans="1:31" ht="18" customHeight="1" x14ac:dyDescent="0.25">
      <c r="A33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6" s="79">
        <v>4</v>
      </c>
      <c r="C3356" s="23">
        <v>44125</v>
      </c>
      <c r="D3356" s="67">
        <f>IF(COUNTIF($G$2:$G3356,$G3356)=1,1,0)</f>
        <v>0</v>
      </c>
      <c r="E3356" s="67" t="str">
        <f>IFERROR(VLOOKUP(База_КР_КК[[#This Row],[ИД штатной должности (S)]],'уровень защищенности'!$B$7:$F$1095,5,0),"не защищена")</f>
        <v>высокий</v>
      </c>
      <c r="F3356" s="68">
        <v>500182</v>
      </c>
      <c r="G3356" s="74" t="s">
        <v>2955</v>
      </c>
      <c r="H3356" s="181">
        <f>INDEX('Списки данных'!$D$2:$D$1048576,MATCH(База_КР_КК[[#This Row],[Структурное подразделение]],'Списки данных'!$C$2:$C$1048576,0))</f>
        <v>7</v>
      </c>
      <c r="I3356" s="80" t="s">
        <v>137</v>
      </c>
      <c r="J3356" s="80" t="s">
        <v>248</v>
      </c>
      <c r="K3356" s="80" t="s">
        <v>249</v>
      </c>
      <c r="L3356" s="30" t="s">
        <v>191</v>
      </c>
      <c r="M3356" s="68">
        <v>6</v>
      </c>
      <c r="N3356" s="181" t="str">
        <f t="shared" si="53"/>
        <v>нет</v>
      </c>
      <c r="O3356" s="23"/>
      <c r="P3356" s="23"/>
      <c r="Q3356" s="106"/>
      <c r="R3356" s="37">
        <v>774</v>
      </c>
      <c r="S3356" s="38" t="s">
        <v>1183</v>
      </c>
      <c r="T3356" s="37">
        <v>1870</v>
      </c>
      <c r="U3356" s="39" t="s">
        <v>2079</v>
      </c>
      <c r="V3356" s="89" t="s">
        <v>272</v>
      </c>
      <c r="W3356" s="89" t="s">
        <v>137</v>
      </c>
      <c r="X3356" s="106" t="s">
        <v>295</v>
      </c>
      <c r="Y3356" s="107" t="s">
        <v>12</v>
      </c>
      <c r="Z3356" s="67">
        <f>IF(База_КР_КК[[#This Row],[Таб.номер резервиста]]="-","-",IF(OR(База_КР_КК[[#This Row],[Уровень КК]]=2,База_КР_КК[[#This Row],[Уровень КК]]=3),IF(COUNTIFS($U$2:$U3356,$U3356,$F$2:$F3356,$F3356)=1,1,0),IF(COUNTIFS($U$2:$U3356,$U3356,$L$2:$L3356,$L3356)=1,1,0)))</f>
        <v>1</v>
      </c>
      <c r="AA33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6" s="106"/>
      <c r="AC3356" s="51"/>
      <c r="AD3356" s="106" t="s">
        <v>17</v>
      </c>
      <c r="AE3356" s="38" t="s">
        <v>376</v>
      </c>
    </row>
    <row r="3357" spans="1:31" ht="18" customHeight="1" x14ac:dyDescent="0.25">
      <c r="A33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7" s="79">
        <v>4</v>
      </c>
      <c r="C3357" s="23">
        <v>44125</v>
      </c>
      <c r="D3357" s="67">
        <f>IF(COUNTIF($G$2:$G3357,$G3357)=1,1,0)</f>
        <v>0</v>
      </c>
      <c r="E3357" s="67" t="str">
        <f>IFERROR(VLOOKUP(База_КР_КК[[#This Row],[ИД штатной должности (S)]],'уровень защищенности'!$B$7:$F$1095,5,0),"не защищена")</f>
        <v>высокий</v>
      </c>
      <c r="F3357" s="68">
        <v>500182</v>
      </c>
      <c r="G3357" s="74" t="s">
        <v>2955</v>
      </c>
      <c r="H3357" s="181">
        <f>INDEX('Списки данных'!$D$2:$D$1048576,MATCH(База_КР_КК[[#This Row],[Структурное подразделение]],'Списки данных'!$C$2:$C$1048576,0))</f>
        <v>7</v>
      </c>
      <c r="I3357" s="80" t="s">
        <v>137</v>
      </c>
      <c r="J3357" s="80" t="s">
        <v>248</v>
      </c>
      <c r="K3357" s="80" t="s">
        <v>249</v>
      </c>
      <c r="L3357" s="30" t="s">
        <v>191</v>
      </c>
      <c r="M3357" s="68">
        <v>6</v>
      </c>
      <c r="N3357" s="181" t="str">
        <f t="shared" si="53"/>
        <v>нет</v>
      </c>
      <c r="O3357" s="23"/>
      <c r="P3357" s="23"/>
      <c r="Q3357" s="106"/>
      <c r="R3357" s="37">
        <v>774</v>
      </c>
      <c r="S3357" s="38" t="s">
        <v>1183</v>
      </c>
      <c r="T3357" s="37">
        <v>1871</v>
      </c>
      <c r="U3357" s="39" t="s">
        <v>1986</v>
      </c>
      <c r="V3357" s="89" t="s">
        <v>272</v>
      </c>
      <c r="W3357" s="89" t="s">
        <v>137</v>
      </c>
      <c r="X3357" s="106" t="s">
        <v>297</v>
      </c>
      <c r="Y3357" s="107" t="s">
        <v>12</v>
      </c>
      <c r="Z3357" s="67">
        <f>IF(База_КР_КК[[#This Row],[Таб.номер резервиста]]="-","-",IF(OR(База_КР_КК[[#This Row],[Уровень КК]]=2,База_КР_КК[[#This Row],[Уровень КК]]=3),IF(COUNTIFS($U$2:$U3357,$U3357,$F$2:$F3357,$F3357)=1,1,0),IF(COUNTIFS($U$2:$U3357,$U3357,$L$2:$L3357,$L3357)=1,1,0)))</f>
        <v>1</v>
      </c>
      <c r="AA33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7" s="106"/>
      <c r="AC3357" s="51"/>
      <c r="AD3357" s="106" t="s">
        <v>17</v>
      </c>
      <c r="AE3357" s="38" t="s">
        <v>376</v>
      </c>
    </row>
    <row r="3358" spans="1:31" ht="18" customHeight="1" x14ac:dyDescent="0.25">
      <c r="A33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8" s="79">
        <v>4</v>
      </c>
      <c r="C3358" s="23">
        <v>44125</v>
      </c>
      <c r="D3358" s="67">
        <f>IF(COUNTIF($G$2:$G3358,$G3358)=1,1,0)</f>
        <v>0</v>
      </c>
      <c r="E3358" s="67" t="str">
        <f>IFERROR(VLOOKUP(База_КР_КК[[#This Row],[ИД штатной должности (S)]],'уровень защищенности'!$B$7:$F$1095,5,0),"не защищена")</f>
        <v>высокий</v>
      </c>
      <c r="F3358" s="68">
        <v>500182</v>
      </c>
      <c r="G3358" s="74" t="s">
        <v>2955</v>
      </c>
      <c r="H3358" s="181">
        <f>INDEX('Списки данных'!$D$2:$D$1048576,MATCH(База_КР_КК[[#This Row],[Структурное подразделение]],'Списки данных'!$C$2:$C$1048576,0))</f>
        <v>7</v>
      </c>
      <c r="I3358" s="80" t="s">
        <v>137</v>
      </c>
      <c r="J3358" s="80" t="s">
        <v>248</v>
      </c>
      <c r="K3358" s="80" t="s">
        <v>249</v>
      </c>
      <c r="L3358" s="30" t="s">
        <v>191</v>
      </c>
      <c r="M3358" s="68">
        <v>6</v>
      </c>
      <c r="N3358" s="181" t="str">
        <f t="shared" si="53"/>
        <v>нет</v>
      </c>
      <c r="O3358" s="23"/>
      <c r="P3358" s="23"/>
      <c r="Q3358" s="106"/>
      <c r="R3358" s="37">
        <v>774</v>
      </c>
      <c r="S3358" s="38" t="s">
        <v>1183</v>
      </c>
      <c r="T3358" s="37">
        <v>1872</v>
      </c>
      <c r="U3358" s="39" t="s">
        <v>1868</v>
      </c>
      <c r="V3358" s="89" t="s">
        <v>272</v>
      </c>
      <c r="W3358" s="89" t="s">
        <v>137</v>
      </c>
      <c r="X3358" s="106" t="s">
        <v>296</v>
      </c>
      <c r="Y3358" s="107" t="s">
        <v>12</v>
      </c>
      <c r="Z3358" s="67">
        <f>IF(База_КР_КК[[#This Row],[Таб.номер резервиста]]="-","-",IF(OR(База_КР_КК[[#This Row],[Уровень КК]]=2,База_КР_КК[[#This Row],[Уровень КК]]=3),IF(COUNTIFS($U$2:$U3358,$U3358,$F$2:$F3358,$F3358)=1,1,0),IF(COUNTIFS($U$2:$U3358,$U3358,$L$2:$L3358,$L3358)=1,1,0)))</f>
        <v>0</v>
      </c>
      <c r="AA33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8" s="106"/>
      <c r="AC3358" s="51"/>
      <c r="AD3358" s="106" t="s">
        <v>13</v>
      </c>
      <c r="AE3358" s="38" t="s">
        <v>376</v>
      </c>
    </row>
    <row r="3359" spans="1:31" ht="18" customHeight="1" x14ac:dyDescent="0.25">
      <c r="A33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59" s="79">
        <v>4</v>
      </c>
      <c r="C3359" s="23">
        <v>44859</v>
      </c>
      <c r="D3359" s="67">
        <f>IF(COUNTIF($G$2:$G3359,$G3359)=1,1,0)</f>
        <v>0</v>
      </c>
      <c r="E3359" s="67" t="str">
        <f>IFERROR(VLOOKUP(База_КР_КК[[#This Row],[ИД штатной должности (S)]],'уровень защищенности'!$B$7:$F$1095,5,0),"не защищена")</f>
        <v>высокий</v>
      </c>
      <c r="F3359" s="68">
        <v>500182</v>
      </c>
      <c r="G3359" s="74" t="s">
        <v>2955</v>
      </c>
      <c r="H3359" s="181">
        <f>INDEX('Списки данных'!$D$2:$D$1048576,MATCH(База_КР_КК[[#This Row],[Структурное подразделение]],'Списки данных'!$C$2:$C$1048576,0))</f>
        <v>7</v>
      </c>
      <c r="I3359" s="80" t="s">
        <v>137</v>
      </c>
      <c r="J3359" s="80" t="s">
        <v>248</v>
      </c>
      <c r="K3359" s="80" t="s">
        <v>249</v>
      </c>
      <c r="L3359" s="30" t="s">
        <v>191</v>
      </c>
      <c r="M3359" s="68">
        <v>6</v>
      </c>
      <c r="N3359" s="181" t="str">
        <f t="shared" si="53"/>
        <v>нет</v>
      </c>
      <c r="O3359" s="23"/>
      <c r="P3359" s="23"/>
      <c r="Q3359" s="106"/>
      <c r="R3359" s="37">
        <v>774</v>
      </c>
      <c r="S3359" s="39" t="s">
        <v>1183</v>
      </c>
      <c r="T3359" s="37">
        <v>1873</v>
      </c>
      <c r="U3359" s="38" t="s">
        <v>2037</v>
      </c>
      <c r="V3359" s="89" t="s">
        <v>272</v>
      </c>
      <c r="W3359" s="89" t="s">
        <v>137</v>
      </c>
      <c r="X3359" s="106" t="s">
        <v>296</v>
      </c>
      <c r="Y3359" s="107" t="s">
        <v>12</v>
      </c>
      <c r="Z3359" s="67">
        <f>IF(База_КР_КК[[#This Row],[Таб.номер резервиста]]="-","-",IF(OR(База_КР_КК[[#This Row],[Уровень КК]]=2,База_КР_КК[[#This Row],[Уровень КК]]=3),IF(COUNTIFS($U$2:$U3359,$U3359,$F$2:$F3359,$F3359)=1,1,0),IF(COUNTIFS($U$2:$U3359,$U3359,$L$2:$L3359,$L3359)=1,1,0)))</f>
        <v>0</v>
      </c>
      <c r="AA33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59" s="106"/>
      <c r="AC3359" s="51"/>
      <c r="AD3359" s="106" t="s">
        <v>15</v>
      </c>
      <c r="AE3359" s="38" t="s">
        <v>376</v>
      </c>
    </row>
    <row r="3360" spans="1:31" ht="18" customHeight="1" x14ac:dyDescent="0.25">
      <c r="A33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0" s="79">
        <v>4</v>
      </c>
      <c r="C3360" s="23">
        <v>44859</v>
      </c>
      <c r="D3360" s="67">
        <f>IF(COUNTIF($G$2:$G3360,$G3360)=1,1,0)</f>
        <v>0</v>
      </c>
      <c r="E3360" s="67" t="str">
        <f>IFERROR(VLOOKUP(База_КР_КК[[#This Row],[ИД штатной должности (S)]],'уровень защищенности'!$B$7:$F$1095,5,0),"не защищена")</f>
        <v>высокий</v>
      </c>
      <c r="F3360" s="68">
        <v>500182</v>
      </c>
      <c r="G3360" s="74" t="s">
        <v>2955</v>
      </c>
      <c r="H3360" s="181">
        <f>INDEX('Списки данных'!$D$2:$D$1048576,MATCH(База_КР_КК[[#This Row],[Структурное подразделение]],'Списки данных'!$C$2:$C$1048576,0))</f>
        <v>7</v>
      </c>
      <c r="I3360" s="80" t="s">
        <v>137</v>
      </c>
      <c r="J3360" s="80" t="s">
        <v>248</v>
      </c>
      <c r="K3360" s="80" t="s">
        <v>249</v>
      </c>
      <c r="L3360" s="30" t="s">
        <v>191</v>
      </c>
      <c r="M3360" s="68">
        <v>6</v>
      </c>
      <c r="N3360" s="181" t="str">
        <f t="shared" si="53"/>
        <v>нет</v>
      </c>
      <c r="O3360" s="23"/>
      <c r="P3360" s="23"/>
      <c r="Q3360" s="106"/>
      <c r="R3360" s="37">
        <v>774</v>
      </c>
      <c r="S3360" s="39" t="s">
        <v>1183</v>
      </c>
      <c r="T3360" s="37">
        <v>1874</v>
      </c>
      <c r="U3360" s="38" t="s">
        <v>1966</v>
      </c>
      <c r="V3360" s="89" t="s">
        <v>272</v>
      </c>
      <c r="W3360" s="89" t="s">
        <v>137</v>
      </c>
      <c r="X3360" s="106" t="s">
        <v>297</v>
      </c>
      <c r="Y3360" s="107" t="s">
        <v>12</v>
      </c>
      <c r="Z3360" s="67">
        <f>IF(База_КР_КК[[#This Row],[Таб.номер резервиста]]="-","-",IF(OR(База_КР_КК[[#This Row],[Уровень КК]]=2,База_КР_КК[[#This Row],[Уровень КК]]=3),IF(COUNTIFS($U$2:$U3360,$U3360,$F$2:$F3360,$F3360)=1,1,0),IF(COUNTIFS($U$2:$U3360,$U3360,$L$2:$L3360,$L3360)=1,1,0)))</f>
        <v>1</v>
      </c>
      <c r="AA33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0" s="106"/>
      <c r="AC3360" s="51"/>
      <c r="AD3360" s="106" t="s">
        <v>15</v>
      </c>
      <c r="AE3360" s="38" t="s">
        <v>376</v>
      </c>
    </row>
    <row r="3361" spans="1:31" ht="18" customHeight="1" x14ac:dyDescent="0.25">
      <c r="A33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1" s="79">
        <v>4</v>
      </c>
      <c r="C3361" s="23">
        <v>44859</v>
      </c>
      <c r="D3361" s="67">
        <f>IF(COUNTIF($G$2:$G3361,$G3361)=1,1,0)</f>
        <v>0</v>
      </c>
      <c r="E3361" s="67" t="str">
        <f>IFERROR(VLOOKUP(База_КР_КК[[#This Row],[ИД штатной должности (S)]],'уровень защищенности'!$B$7:$F$1095,5,0),"не защищена")</f>
        <v>высокий</v>
      </c>
      <c r="F3361" s="68">
        <v>500182</v>
      </c>
      <c r="G3361" s="74" t="s">
        <v>2955</v>
      </c>
      <c r="H3361" s="181">
        <f>INDEX('Списки данных'!$D$2:$D$1048576,MATCH(База_КР_КК[[#This Row],[Структурное подразделение]],'Списки данных'!$C$2:$C$1048576,0))</f>
        <v>7</v>
      </c>
      <c r="I3361" s="80" t="s">
        <v>137</v>
      </c>
      <c r="J3361" s="80" t="s">
        <v>248</v>
      </c>
      <c r="K3361" s="80" t="s">
        <v>249</v>
      </c>
      <c r="L3361" s="30" t="s">
        <v>191</v>
      </c>
      <c r="M3361" s="68">
        <v>6</v>
      </c>
      <c r="N3361" s="181" t="str">
        <f t="shared" si="53"/>
        <v>нет</v>
      </c>
      <c r="O3361" s="23"/>
      <c r="P3361" s="23"/>
      <c r="Q3361" s="106"/>
      <c r="R3361" s="37">
        <v>774</v>
      </c>
      <c r="S3361" s="39" t="s">
        <v>1183</v>
      </c>
      <c r="T3361" s="37">
        <v>1875</v>
      </c>
      <c r="U3361" s="38" t="s">
        <v>2014</v>
      </c>
      <c r="V3361" s="89" t="s">
        <v>272</v>
      </c>
      <c r="W3361" s="89" t="s">
        <v>137</v>
      </c>
      <c r="X3361" s="106" t="s">
        <v>296</v>
      </c>
      <c r="Y3361" s="107" t="s">
        <v>12</v>
      </c>
      <c r="Z3361" s="67">
        <f>IF(База_КР_КК[[#This Row],[Таб.номер резервиста]]="-","-",IF(OR(База_КР_КК[[#This Row],[Уровень КК]]=2,База_КР_КК[[#This Row],[Уровень КК]]=3),IF(COUNTIFS($U$2:$U3361,$U3361,$F$2:$F3361,$F3361)=1,1,0),IF(COUNTIFS($U$2:$U3361,$U3361,$L$2:$L3361,$L3361)=1,1,0)))</f>
        <v>1</v>
      </c>
      <c r="AA33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1" s="106"/>
      <c r="AC3361" s="51"/>
      <c r="AD3361" s="106" t="s">
        <v>15</v>
      </c>
      <c r="AE3361" s="38" t="s">
        <v>376</v>
      </c>
    </row>
    <row r="3362" spans="1:31" ht="18" customHeight="1" x14ac:dyDescent="0.25">
      <c r="A33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2" s="79">
        <v>4</v>
      </c>
      <c r="C3362" s="23">
        <v>44859</v>
      </c>
      <c r="D3362" s="67">
        <f>IF(COUNTIF($G$2:$G3362,$G3362)=1,1,0)</f>
        <v>0</v>
      </c>
      <c r="E3362" s="67" t="str">
        <f>IFERROR(VLOOKUP(База_КР_КК[[#This Row],[ИД штатной должности (S)]],'уровень защищенности'!$B$7:$F$1095,5,0),"не защищена")</f>
        <v>высокий</v>
      </c>
      <c r="F3362" s="68">
        <v>500182</v>
      </c>
      <c r="G3362" s="74" t="s">
        <v>2955</v>
      </c>
      <c r="H3362" s="181">
        <f>INDEX('Списки данных'!$D$2:$D$1048576,MATCH(База_КР_КК[[#This Row],[Структурное подразделение]],'Списки данных'!$C$2:$C$1048576,0))</f>
        <v>7</v>
      </c>
      <c r="I3362" s="80" t="s">
        <v>137</v>
      </c>
      <c r="J3362" s="80" t="s">
        <v>248</v>
      </c>
      <c r="K3362" s="80" t="s">
        <v>249</v>
      </c>
      <c r="L3362" s="30" t="s">
        <v>191</v>
      </c>
      <c r="M3362" s="68">
        <v>6</v>
      </c>
      <c r="N3362" s="181" t="str">
        <f t="shared" si="53"/>
        <v>нет</v>
      </c>
      <c r="O3362" s="23"/>
      <c r="P3362" s="23"/>
      <c r="Q3362" s="106"/>
      <c r="R3362" s="37">
        <v>774</v>
      </c>
      <c r="S3362" s="39" t="s">
        <v>1183</v>
      </c>
      <c r="T3362" s="37">
        <v>1876</v>
      </c>
      <c r="U3362" s="38" t="s">
        <v>1925</v>
      </c>
      <c r="V3362" s="89" t="s">
        <v>272</v>
      </c>
      <c r="W3362" s="89" t="s">
        <v>137</v>
      </c>
      <c r="X3362" s="106" t="s">
        <v>296</v>
      </c>
      <c r="Y3362" s="107" t="s">
        <v>12</v>
      </c>
      <c r="Z3362" s="67">
        <f>IF(База_КР_КК[[#This Row],[Таб.номер резервиста]]="-","-",IF(OR(База_КР_КК[[#This Row],[Уровень КК]]=2,База_КР_КК[[#This Row],[Уровень КК]]=3),IF(COUNTIFS($U$2:$U3362,$U3362,$F$2:$F3362,$F3362)=1,1,0),IF(COUNTIFS($U$2:$U3362,$U3362,$L$2:$L3362,$L3362)=1,1,0)))</f>
        <v>0</v>
      </c>
      <c r="AA33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2" s="106"/>
      <c r="AC3362" s="51"/>
      <c r="AD3362" s="106" t="s">
        <v>15</v>
      </c>
      <c r="AE3362" s="38" t="s">
        <v>376</v>
      </c>
    </row>
    <row r="3363" spans="1:31" ht="18" customHeight="1" x14ac:dyDescent="0.25">
      <c r="A33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3" s="79">
        <v>4</v>
      </c>
      <c r="C3363" s="23">
        <v>44125</v>
      </c>
      <c r="D3363" s="67">
        <f>IF(COUNTIF($G$2:$G3363,$G3363)=1,1,0)</f>
        <v>1</v>
      </c>
      <c r="E3363" s="67" t="str">
        <f>IFERROR(VLOOKUP(База_КР_КК[[#This Row],[ИД штатной должности (S)]],'уровень защищенности'!$B$7:$F$1095,5,0),"не защищена")</f>
        <v>высокий</v>
      </c>
      <c r="F3363" s="68">
        <v>500182</v>
      </c>
      <c r="G3363" s="74" t="s">
        <v>2956</v>
      </c>
      <c r="H3363" s="181">
        <f>INDEX('Списки данных'!$D$2:$D$1048576,MATCH(База_КР_КК[[#This Row],[Структурное подразделение]],'Списки данных'!$C$2:$C$1048576,0))</f>
        <v>7</v>
      </c>
      <c r="I3363" s="80" t="s">
        <v>137</v>
      </c>
      <c r="J3363" s="80" t="s">
        <v>248</v>
      </c>
      <c r="K3363" s="80" t="s">
        <v>249</v>
      </c>
      <c r="L3363" s="30" t="s">
        <v>191</v>
      </c>
      <c r="M3363" s="68">
        <v>6</v>
      </c>
      <c r="N3363" s="181" t="str">
        <f t="shared" si="53"/>
        <v>нет</v>
      </c>
      <c r="O3363" s="23"/>
      <c r="P3363" s="23"/>
      <c r="Q3363" s="106"/>
      <c r="R3363" s="37">
        <v>775</v>
      </c>
      <c r="S3363" s="38" t="s">
        <v>1184</v>
      </c>
      <c r="T3363" s="37">
        <v>1824</v>
      </c>
      <c r="U3363" s="39" t="s">
        <v>1988</v>
      </c>
      <c r="V3363" s="89" t="s">
        <v>272</v>
      </c>
      <c r="W3363" s="89" t="s">
        <v>137</v>
      </c>
      <c r="X3363" s="106" t="s">
        <v>295</v>
      </c>
      <c r="Y3363" s="107" t="s">
        <v>12</v>
      </c>
      <c r="Z3363" s="67">
        <f>IF(База_КР_КК[[#This Row],[Таб.номер резервиста]]="-","-",IF(OR(База_КР_КК[[#This Row],[Уровень КК]]=2,База_КР_КК[[#This Row],[Уровень КК]]=3),IF(COUNTIFS($U$2:$U3363,$U3363,$F$2:$F3363,$F3363)=1,1,0),IF(COUNTIFS($U$2:$U3363,$U3363,$L$2:$L3363,$L3363)=1,1,0)))</f>
        <v>0</v>
      </c>
      <c r="AA33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3" s="106"/>
      <c r="AC3363" s="51"/>
      <c r="AD3363" s="106" t="s">
        <v>17</v>
      </c>
      <c r="AE3363" s="38" t="s">
        <v>376</v>
      </c>
    </row>
    <row r="3364" spans="1:31" ht="18" customHeight="1" x14ac:dyDescent="0.25">
      <c r="A33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4" s="79">
        <v>4</v>
      </c>
      <c r="C3364" s="23">
        <v>44125</v>
      </c>
      <c r="D3364" s="67">
        <f>IF(COUNTIF($G$2:$G3364,$G3364)=1,1,0)</f>
        <v>0</v>
      </c>
      <c r="E3364" s="67" t="str">
        <f>IFERROR(VLOOKUP(База_КР_КК[[#This Row],[ИД штатной должности (S)]],'уровень защищенности'!$B$7:$F$1095,5,0),"не защищена")</f>
        <v>высокий</v>
      </c>
      <c r="F3364" s="68">
        <v>500182</v>
      </c>
      <c r="G3364" s="74" t="s">
        <v>2956</v>
      </c>
      <c r="H3364" s="181">
        <f>INDEX('Списки данных'!$D$2:$D$1048576,MATCH(База_КР_КК[[#This Row],[Структурное подразделение]],'Списки данных'!$C$2:$C$1048576,0))</f>
        <v>7</v>
      </c>
      <c r="I3364" s="80" t="s">
        <v>137</v>
      </c>
      <c r="J3364" s="80" t="s">
        <v>248</v>
      </c>
      <c r="K3364" s="80" t="s">
        <v>249</v>
      </c>
      <c r="L3364" s="30" t="s">
        <v>191</v>
      </c>
      <c r="M3364" s="68">
        <v>6</v>
      </c>
      <c r="N3364" s="181" t="str">
        <f t="shared" si="53"/>
        <v>нет</v>
      </c>
      <c r="O3364" s="23"/>
      <c r="P3364" s="23"/>
      <c r="Q3364" s="106"/>
      <c r="R3364" s="37">
        <v>775</v>
      </c>
      <c r="S3364" s="38" t="s">
        <v>1184</v>
      </c>
      <c r="T3364" s="37">
        <v>1870</v>
      </c>
      <c r="U3364" s="39" t="s">
        <v>2079</v>
      </c>
      <c r="V3364" s="89" t="s">
        <v>272</v>
      </c>
      <c r="W3364" s="89" t="s">
        <v>137</v>
      </c>
      <c r="X3364" s="106" t="s">
        <v>295</v>
      </c>
      <c r="Y3364" s="107" t="s">
        <v>12</v>
      </c>
      <c r="Z3364" s="67">
        <f>IF(База_КР_КК[[#This Row],[Таб.номер резервиста]]="-","-",IF(OR(База_КР_КК[[#This Row],[Уровень КК]]=2,База_КР_КК[[#This Row],[Уровень КК]]=3),IF(COUNTIFS($U$2:$U3364,$U3364,$F$2:$F3364,$F3364)=1,1,0),IF(COUNTIFS($U$2:$U3364,$U3364,$L$2:$L3364,$L3364)=1,1,0)))</f>
        <v>0</v>
      </c>
      <c r="AA33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4" s="106"/>
      <c r="AC3364" s="51"/>
      <c r="AD3364" s="106" t="s">
        <v>17</v>
      </c>
      <c r="AE3364" s="38" t="s">
        <v>376</v>
      </c>
    </row>
    <row r="3365" spans="1:31" ht="18" customHeight="1" x14ac:dyDescent="0.25">
      <c r="A33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5" s="79">
        <v>4</v>
      </c>
      <c r="C3365" s="23">
        <v>44125</v>
      </c>
      <c r="D3365" s="67">
        <f>IF(COUNTIF($G$2:$G3365,$G3365)=1,1,0)</f>
        <v>0</v>
      </c>
      <c r="E3365" s="67" t="str">
        <f>IFERROR(VLOOKUP(База_КР_КК[[#This Row],[ИД штатной должности (S)]],'уровень защищенности'!$B$7:$F$1095,5,0),"не защищена")</f>
        <v>высокий</v>
      </c>
      <c r="F3365" s="68">
        <v>500182</v>
      </c>
      <c r="G3365" s="74" t="s">
        <v>2956</v>
      </c>
      <c r="H3365" s="181">
        <f>INDEX('Списки данных'!$D$2:$D$1048576,MATCH(База_КР_КК[[#This Row],[Структурное подразделение]],'Списки данных'!$C$2:$C$1048576,0))</f>
        <v>7</v>
      </c>
      <c r="I3365" s="80" t="s">
        <v>137</v>
      </c>
      <c r="J3365" s="80" t="s">
        <v>248</v>
      </c>
      <c r="K3365" s="80" t="s">
        <v>249</v>
      </c>
      <c r="L3365" s="30" t="s">
        <v>191</v>
      </c>
      <c r="M3365" s="68">
        <v>6</v>
      </c>
      <c r="N3365" s="181" t="str">
        <f t="shared" si="53"/>
        <v>нет</v>
      </c>
      <c r="O3365" s="23"/>
      <c r="P3365" s="23"/>
      <c r="Q3365" s="106"/>
      <c r="R3365" s="37">
        <v>775</v>
      </c>
      <c r="S3365" s="38" t="s">
        <v>1184</v>
      </c>
      <c r="T3365" s="37">
        <v>1871</v>
      </c>
      <c r="U3365" s="39" t="s">
        <v>1986</v>
      </c>
      <c r="V3365" s="89" t="s">
        <v>272</v>
      </c>
      <c r="W3365" s="89" t="s">
        <v>137</v>
      </c>
      <c r="X3365" s="106" t="s">
        <v>297</v>
      </c>
      <c r="Y3365" s="107" t="s">
        <v>12</v>
      </c>
      <c r="Z3365" s="67">
        <f>IF(База_КР_КК[[#This Row],[Таб.номер резервиста]]="-","-",IF(OR(База_КР_КК[[#This Row],[Уровень КК]]=2,База_КР_КК[[#This Row],[Уровень КК]]=3),IF(COUNTIFS($U$2:$U3365,$U3365,$F$2:$F3365,$F3365)=1,1,0),IF(COUNTIFS($U$2:$U3365,$U3365,$L$2:$L3365,$L3365)=1,1,0)))</f>
        <v>0</v>
      </c>
      <c r="AA33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5" s="106"/>
      <c r="AC3365" s="51"/>
      <c r="AD3365" s="106" t="s">
        <v>17</v>
      </c>
      <c r="AE3365" s="38" t="s">
        <v>376</v>
      </c>
    </row>
    <row r="3366" spans="1:31" ht="18" customHeight="1" x14ac:dyDescent="0.25">
      <c r="A33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6" s="79">
        <v>4</v>
      </c>
      <c r="C3366" s="23">
        <v>44125</v>
      </c>
      <c r="D3366" s="67">
        <f>IF(COUNTIF($G$2:$G3366,$G3366)=1,1,0)</f>
        <v>0</v>
      </c>
      <c r="E3366" s="67" t="str">
        <f>IFERROR(VLOOKUP(База_КР_КК[[#This Row],[ИД штатной должности (S)]],'уровень защищенности'!$B$7:$F$1095,5,0),"не защищена")</f>
        <v>высокий</v>
      </c>
      <c r="F3366" s="68">
        <v>500182</v>
      </c>
      <c r="G3366" s="74" t="s">
        <v>2956</v>
      </c>
      <c r="H3366" s="181">
        <f>INDEX('Списки данных'!$D$2:$D$1048576,MATCH(База_КР_КК[[#This Row],[Структурное подразделение]],'Списки данных'!$C$2:$C$1048576,0))</f>
        <v>7</v>
      </c>
      <c r="I3366" s="80" t="s">
        <v>137</v>
      </c>
      <c r="J3366" s="80" t="s">
        <v>248</v>
      </c>
      <c r="K3366" s="80" t="s">
        <v>249</v>
      </c>
      <c r="L3366" s="30" t="s">
        <v>191</v>
      </c>
      <c r="M3366" s="68">
        <v>6</v>
      </c>
      <c r="N3366" s="181" t="str">
        <f t="shared" si="53"/>
        <v>нет</v>
      </c>
      <c r="O3366" s="23"/>
      <c r="P3366" s="23"/>
      <c r="Q3366" s="106"/>
      <c r="R3366" s="37">
        <v>775</v>
      </c>
      <c r="S3366" s="38" t="s">
        <v>1184</v>
      </c>
      <c r="T3366" s="37">
        <v>1872</v>
      </c>
      <c r="U3366" s="39" t="s">
        <v>1868</v>
      </c>
      <c r="V3366" s="89" t="s">
        <v>272</v>
      </c>
      <c r="W3366" s="89" t="s">
        <v>137</v>
      </c>
      <c r="X3366" s="106" t="s">
        <v>296</v>
      </c>
      <c r="Y3366" s="107" t="s">
        <v>12</v>
      </c>
      <c r="Z3366" s="67">
        <f>IF(База_КР_КК[[#This Row],[Таб.номер резервиста]]="-","-",IF(OR(База_КР_КК[[#This Row],[Уровень КК]]=2,База_КР_КК[[#This Row],[Уровень КК]]=3),IF(COUNTIFS($U$2:$U3366,$U3366,$F$2:$F3366,$F3366)=1,1,0),IF(COUNTIFS($U$2:$U3366,$U3366,$L$2:$L3366,$L3366)=1,1,0)))</f>
        <v>0</v>
      </c>
      <c r="AA33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6" s="106"/>
      <c r="AC3366" s="51"/>
      <c r="AD3366" s="106" t="s">
        <v>13</v>
      </c>
      <c r="AE3366" s="38" t="s">
        <v>376</v>
      </c>
    </row>
    <row r="3367" spans="1:31" ht="18" customHeight="1" x14ac:dyDescent="0.25">
      <c r="A33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7" s="79">
        <v>4</v>
      </c>
      <c r="C3367" s="23">
        <v>44859</v>
      </c>
      <c r="D3367" s="67">
        <f>IF(COUNTIF($G$2:$G3367,$G3367)=1,1,0)</f>
        <v>0</v>
      </c>
      <c r="E3367" s="67" t="str">
        <f>IFERROR(VLOOKUP(База_КР_КК[[#This Row],[ИД штатной должности (S)]],'уровень защищенности'!$B$7:$F$1095,5,0),"не защищена")</f>
        <v>высокий</v>
      </c>
      <c r="F3367" s="68">
        <v>500182</v>
      </c>
      <c r="G3367" s="74" t="s">
        <v>2956</v>
      </c>
      <c r="H3367" s="181">
        <f>INDEX('Списки данных'!$D$2:$D$1048576,MATCH(База_КР_КК[[#This Row],[Структурное подразделение]],'Списки данных'!$C$2:$C$1048576,0))</f>
        <v>7</v>
      </c>
      <c r="I3367" s="80" t="s">
        <v>137</v>
      </c>
      <c r="J3367" s="80" t="s">
        <v>248</v>
      </c>
      <c r="K3367" s="80" t="s">
        <v>249</v>
      </c>
      <c r="L3367" s="30" t="s">
        <v>191</v>
      </c>
      <c r="M3367" s="68">
        <v>6</v>
      </c>
      <c r="N3367" s="181" t="str">
        <f t="shared" si="53"/>
        <v>нет</v>
      </c>
      <c r="O3367" s="23"/>
      <c r="P3367" s="23"/>
      <c r="Q3367" s="106"/>
      <c r="R3367" s="37">
        <v>775</v>
      </c>
      <c r="S3367" s="39" t="s">
        <v>1184</v>
      </c>
      <c r="T3367" s="37">
        <v>1873</v>
      </c>
      <c r="U3367" s="38" t="s">
        <v>2037</v>
      </c>
      <c r="V3367" s="89" t="s">
        <v>272</v>
      </c>
      <c r="W3367" s="89" t="s">
        <v>137</v>
      </c>
      <c r="X3367" s="106" t="s">
        <v>296</v>
      </c>
      <c r="Y3367" s="107" t="s">
        <v>12</v>
      </c>
      <c r="Z3367" s="67">
        <f>IF(База_КР_КК[[#This Row],[Таб.номер резервиста]]="-","-",IF(OR(База_КР_КК[[#This Row],[Уровень КК]]=2,База_КР_КК[[#This Row],[Уровень КК]]=3),IF(COUNTIFS($U$2:$U3367,$U3367,$F$2:$F3367,$F3367)=1,1,0),IF(COUNTIFS($U$2:$U3367,$U3367,$L$2:$L3367,$L3367)=1,1,0)))</f>
        <v>0</v>
      </c>
      <c r="AA33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7" s="106"/>
      <c r="AC3367" s="51"/>
      <c r="AD3367" s="106" t="s">
        <v>15</v>
      </c>
      <c r="AE3367" s="38" t="s">
        <v>376</v>
      </c>
    </row>
    <row r="3368" spans="1:31" ht="18" customHeight="1" x14ac:dyDescent="0.25">
      <c r="A33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8" s="79">
        <v>4</v>
      </c>
      <c r="C3368" s="23">
        <v>44859</v>
      </c>
      <c r="D3368" s="67">
        <f>IF(COUNTIF($G$2:$G3368,$G3368)=1,1,0)</f>
        <v>0</v>
      </c>
      <c r="E3368" s="67" t="str">
        <f>IFERROR(VLOOKUP(База_КР_КК[[#This Row],[ИД штатной должности (S)]],'уровень защищенности'!$B$7:$F$1095,5,0),"не защищена")</f>
        <v>высокий</v>
      </c>
      <c r="F3368" s="68">
        <v>500182</v>
      </c>
      <c r="G3368" s="74" t="s">
        <v>2956</v>
      </c>
      <c r="H3368" s="181">
        <f>INDEX('Списки данных'!$D$2:$D$1048576,MATCH(База_КР_КК[[#This Row],[Структурное подразделение]],'Списки данных'!$C$2:$C$1048576,0))</f>
        <v>7</v>
      </c>
      <c r="I3368" s="80" t="s">
        <v>137</v>
      </c>
      <c r="J3368" s="80" t="s">
        <v>248</v>
      </c>
      <c r="K3368" s="80" t="s">
        <v>249</v>
      </c>
      <c r="L3368" s="30" t="s">
        <v>191</v>
      </c>
      <c r="M3368" s="68">
        <v>6</v>
      </c>
      <c r="N3368" s="181" t="str">
        <f t="shared" si="53"/>
        <v>нет</v>
      </c>
      <c r="O3368" s="23"/>
      <c r="P3368" s="23"/>
      <c r="Q3368" s="106"/>
      <c r="R3368" s="37">
        <v>775</v>
      </c>
      <c r="S3368" s="39" t="s">
        <v>1184</v>
      </c>
      <c r="T3368" s="37">
        <v>1874</v>
      </c>
      <c r="U3368" s="38" t="s">
        <v>1966</v>
      </c>
      <c r="V3368" s="89" t="s">
        <v>272</v>
      </c>
      <c r="W3368" s="89" t="s">
        <v>137</v>
      </c>
      <c r="X3368" s="106" t="s">
        <v>297</v>
      </c>
      <c r="Y3368" s="107" t="s">
        <v>12</v>
      </c>
      <c r="Z3368" s="67">
        <f>IF(База_КР_КК[[#This Row],[Таб.номер резервиста]]="-","-",IF(OR(База_КР_КК[[#This Row],[Уровень КК]]=2,База_КР_КК[[#This Row],[Уровень КК]]=3),IF(COUNTIFS($U$2:$U3368,$U3368,$F$2:$F3368,$F3368)=1,1,0),IF(COUNTIFS($U$2:$U3368,$U3368,$L$2:$L3368,$L3368)=1,1,0)))</f>
        <v>0</v>
      </c>
      <c r="AA33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8" s="106"/>
      <c r="AC3368" s="51"/>
      <c r="AD3368" s="106" t="s">
        <v>15</v>
      </c>
      <c r="AE3368" s="38" t="s">
        <v>376</v>
      </c>
    </row>
    <row r="3369" spans="1:31" ht="18" customHeight="1" x14ac:dyDescent="0.25">
      <c r="A33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69" s="79">
        <v>4</v>
      </c>
      <c r="C3369" s="23">
        <v>44859</v>
      </c>
      <c r="D3369" s="67">
        <f>IF(COUNTIF($G$2:$G3369,$G3369)=1,1,0)</f>
        <v>0</v>
      </c>
      <c r="E3369" s="67" t="str">
        <f>IFERROR(VLOOKUP(База_КР_КК[[#This Row],[ИД штатной должности (S)]],'уровень защищенности'!$B$7:$F$1095,5,0),"не защищена")</f>
        <v>высокий</v>
      </c>
      <c r="F3369" s="68">
        <v>500182</v>
      </c>
      <c r="G3369" s="74" t="s">
        <v>2956</v>
      </c>
      <c r="H3369" s="181">
        <f>INDEX('Списки данных'!$D$2:$D$1048576,MATCH(База_КР_КК[[#This Row],[Структурное подразделение]],'Списки данных'!$C$2:$C$1048576,0))</f>
        <v>7</v>
      </c>
      <c r="I3369" s="80" t="s">
        <v>137</v>
      </c>
      <c r="J3369" s="80" t="s">
        <v>248</v>
      </c>
      <c r="K3369" s="80" t="s">
        <v>249</v>
      </c>
      <c r="L3369" s="30" t="s">
        <v>191</v>
      </c>
      <c r="M3369" s="68">
        <v>6</v>
      </c>
      <c r="N3369" s="181" t="str">
        <f t="shared" si="53"/>
        <v>нет</v>
      </c>
      <c r="O3369" s="23"/>
      <c r="P3369" s="23"/>
      <c r="Q3369" s="106"/>
      <c r="R3369" s="37">
        <v>775</v>
      </c>
      <c r="S3369" s="39" t="s">
        <v>1184</v>
      </c>
      <c r="T3369" s="37">
        <v>1875</v>
      </c>
      <c r="U3369" s="38" t="s">
        <v>2014</v>
      </c>
      <c r="V3369" s="89" t="s">
        <v>272</v>
      </c>
      <c r="W3369" s="89" t="s">
        <v>137</v>
      </c>
      <c r="X3369" s="106" t="s">
        <v>296</v>
      </c>
      <c r="Y3369" s="107" t="s">
        <v>12</v>
      </c>
      <c r="Z3369" s="67">
        <f>IF(База_КР_КК[[#This Row],[Таб.номер резервиста]]="-","-",IF(OR(База_КР_КК[[#This Row],[Уровень КК]]=2,База_КР_КК[[#This Row],[Уровень КК]]=3),IF(COUNTIFS($U$2:$U3369,$U3369,$F$2:$F3369,$F3369)=1,1,0),IF(COUNTIFS($U$2:$U3369,$U3369,$L$2:$L3369,$L3369)=1,1,0)))</f>
        <v>0</v>
      </c>
      <c r="AA33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69" s="106"/>
      <c r="AC3369" s="51"/>
      <c r="AD3369" s="106" t="s">
        <v>15</v>
      </c>
      <c r="AE3369" s="38" t="s">
        <v>376</v>
      </c>
    </row>
    <row r="3370" spans="1:31" ht="18" customHeight="1" x14ac:dyDescent="0.25">
      <c r="A33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0" s="79">
        <v>4</v>
      </c>
      <c r="C3370" s="23">
        <v>44859</v>
      </c>
      <c r="D3370" s="67">
        <f>IF(COUNTIF($G$2:$G3370,$G3370)=1,1,0)</f>
        <v>0</v>
      </c>
      <c r="E3370" s="67" t="str">
        <f>IFERROR(VLOOKUP(База_КР_КК[[#This Row],[ИД штатной должности (S)]],'уровень защищенности'!$B$7:$F$1095,5,0),"не защищена")</f>
        <v>высокий</v>
      </c>
      <c r="F3370" s="68">
        <v>500182</v>
      </c>
      <c r="G3370" s="74" t="s">
        <v>2956</v>
      </c>
      <c r="H3370" s="181">
        <f>INDEX('Списки данных'!$D$2:$D$1048576,MATCH(База_КР_КК[[#This Row],[Структурное подразделение]],'Списки данных'!$C$2:$C$1048576,0))</f>
        <v>7</v>
      </c>
      <c r="I3370" s="80" t="s">
        <v>137</v>
      </c>
      <c r="J3370" s="80" t="s">
        <v>248</v>
      </c>
      <c r="K3370" s="80" t="s">
        <v>249</v>
      </c>
      <c r="L3370" s="30" t="s">
        <v>191</v>
      </c>
      <c r="M3370" s="68">
        <v>6</v>
      </c>
      <c r="N3370" s="181" t="str">
        <f t="shared" si="53"/>
        <v>нет</v>
      </c>
      <c r="O3370" s="23"/>
      <c r="P3370" s="23"/>
      <c r="Q3370" s="106"/>
      <c r="R3370" s="37">
        <v>775</v>
      </c>
      <c r="S3370" s="39" t="s">
        <v>1184</v>
      </c>
      <c r="T3370" s="37">
        <v>1876</v>
      </c>
      <c r="U3370" s="38" t="s">
        <v>1925</v>
      </c>
      <c r="V3370" s="89" t="s">
        <v>272</v>
      </c>
      <c r="W3370" s="89" t="s">
        <v>137</v>
      </c>
      <c r="X3370" s="106" t="s">
        <v>296</v>
      </c>
      <c r="Y3370" s="107" t="s">
        <v>12</v>
      </c>
      <c r="Z3370" s="67">
        <f>IF(База_КР_КК[[#This Row],[Таб.номер резервиста]]="-","-",IF(OR(База_КР_КК[[#This Row],[Уровень КК]]=2,База_КР_КК[[#This Row],[Уровень КК]]=3),IF(COUNTIFS($U$2:$U3370,$U3370,$F$2:$F3370,$F3370)=1,1,0),IF(COUNTIFS($U$2:$U3370,$U3370,$L$2:$L3370,$L3370)=1,1,0)))</f>
        <v>0</v>
      </c>
      <c r="AA33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0" s="106"/>
      <c r="AC3370" s="51"/>
      <c r="AD3370" s="106" t="s">
        <v>15</v>
      </c>
      <c r="AE3370" s="38" t="s">
        <v>376</v>
      </c>
    </row>
    <row r="3371" spans="1:31" ht="18" customHeight="1" x14ac:dyDescent="0.25">
      <c r="A33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1" s="79">
        <v>4</v>
      </c>
      <c r="C3371" s="23">
        <v>44125</v>
      </c>
      <c r="D3371" s="67">
        <f>IF(COUNTIF($G$2:$G3371,$G3371)=1,1,0)</f>
        <v>1</v>
      </c>
      <c r="E3371" s="67" t="str">
        <f>IFERROR(VLOOKUP(База_КР_КК[[#This Row],[ИД штатной должности (S)]],'уровень защищенности'!$B$7:$F$1095,5,0),"не защищена")</f>
        <v>высокий</v>
      </c>
      <c r="F3371" s="68">
        <v>500182</v>
      </c>
      <c r="G3371" s="74" t="s">
        <v>2957</v>
      </c>
      <c r="H3371" s="181">
        <f>INDEX('Списки данных'!$D$2:$D$1048576,MATCH(База_КР_КК[[#This Row],[Структурное подразделение]],'Списки данных'!$C$2:$C$1048576,0))</f>
        <v>7</v>
      </c>
      <c r="I3371" s="80" t="s">
        <v>137</v>
      </c>
      <c r="J3371" s="80" t="s">
        <v>248</v>
      </c>
      <c r="K3371" s="80" t="s">
        <v>249</v>
      </c>
      <c r="L3371" s="30" t="s">
        <v>191</v>
      </c>
      <c r="M3371" s="68">
        <v>6</v>
      </c>
      <c r="N3371" s="181" t="str">
        <f t="shared" si="53"/>
        <v>нет</v>
      </c>
      <c r="O3371" s="23"/>
      <c r="P3371" s="23"/>
      <c r="Q3371" s="106"/>
      <c r="R3371" s="37">
        <v>776</v>
      </c>
      <c r="S3371" s="38" t="s">
        <v>1185</v>
      </c>
      <c r="T3371" s="37">
        <v>1824</v>
      </c>
      <c r="U3371" s="39" t="s">
        <v>1988</v>
      </c>
      <c r="V3371" s="89" t="s">
        <v>272</v>
      </c>
      <c r="W3371" s="89" t="s">
        <v>137</v>
      </c>
      <c r="X3371" s="106" t="s">
        <v>295</v>
      </c>
      <c r="Y3371" s="107" t="s">
        <v>12</v>
      </c>
      <c r="Z3371" s="67">
        <f>IF(База_КР_КК[[#This Row],[Таб.номер резервиста]]="-","-",IF(OR(База_КР_КК[[#This Row],[Уровень КК]]=2,База_КР_КК[[#This Row],[Уровень КК]]=3),IF(COUNTIFS($U$2:$U3371,$U3371,$F$2:$F3371,$F3371)=1,1,0),IF(COUNTIFS($U$2:$U3371,$U3371,$L$2:$L3371,$L3371)=1,1,0)))</f>
        <v>0</v>
      </c>
      <c r="AA33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1" s="106"/>
      <c r="AC3371" s="51"/>
      <c r="AD3371" s="106" t="s">
        <v>17</v>
      </c>
      <c r="AE3371" s="38" t="s">
        <v>376</v>
      </c>
    </row>
    <row r="3372" spans="1:31" ht="18" customHeight="1" x14ac:dyDescent="0.25">
      <c r="A33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2" s="79">
        <v>4</v>
      </c>
      <c r="C3372" s="23">
        <v>44125</v>
      </c>
      <c r="D3372" s="67">
        <f>IF(COUNTIF($G$2:$G3372,$G3372)=1,1,0)</f>
        <v>0</v>
      </c>
      <c r="E3372" s="67" t="str">
        <f>IFERROR(VLOOKUP(База_КР_КК[[#This Row],[ИД штатной должности (S)]],'уровень защищенности'!$B$7:$F$1095,5,0),"не защищена")</f>
        <v>высокий</v>
      </c>
      <c r="F3372" s="68">
        <v>500182</v>
      </c>
      <c r="G3372" s="74" t="s">
        <v>2957</v>
      </c>
      <c r="H3372" s="181">
        <f>INDEX('Списки данных'!$D$2:$D$1048576,MATCH(База_КР_КК[[#This Row],[Структурное подразделение]],'Списки данных'!$C$2:$C$1048576,0))</f>
        <v>7</v>
      </c>
      <c r="I3372" s="80" t="s">
        <v>137</v>
      </c>
      <c r="J3372" s="80" t="s">
        <v>248</v>
      </c>
      <c r="K3372" s="80" t="s">
        <v>249</v>
      </c>
      <c r="L3372" s="30" t="s">
        <v>191</v>
      </c>
      <c r="M3372" s="68">
        <v>6</v>
      </c>
      <c r="N3372" s="181" t="str">
        <f t="shared" si="53"/>
        <v>нет</v>
      </c>
      <c r="O3372" s="23"/>
      <c r="P3372" s="23"/>
      <c r="Q3372" s="106"/>
      <c r="R3372" s="37">
        <v>776</v>
      </c>
      <c r="S3372" s="38" t="s">
        <v>1185</v>
      </c>
      <c r="T3372" s="37">
        <v>1870</v>
      </c>
      <c r="U3372" s="39" t="s">
        <v>2079</v>
      </c>
      <c r="V3372" s="89" t="s">
        <v>272</v>
      </c>
      <c r="W3372" s="89" t="s">
        <v>137</v>
      </c>
      <c r="X3372" s="106" t="s">
        <v>295</v>
      </c>
      <c r="Y3372" s="107" t="s">
        <v>12</v>
      </c>
      <c r="Z3372" s="67">
        <f>IF(База_КР_КК[[#This Row],[Таб.номер резервиста]]="-","-",IF(OR(База_КР_КК[[#This Row],[Уровень КК]]=2,База_КР_КК[[#This Row],[Уровень КК]]=3),IF(COUNTIFS($U$2:$U3372,$U3372,$F$2:$F3372,$F3372)=1,1,0),IF(COUNTIFS($U$2:$U3372,$U3372,$L$2:$L3372,$L3372)=1,1,0)))</f>
        <v>0</v>
      </c>
      <c r="AA33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2" s="106"/>
      <c r="AC3372" s="51"/>
      <c r="AD3372" s="106" t="s">
        <v>17</v>
      </c>
      <c r="AE3372" s="38" t="s">
        <v>376</v>
      </c>
    </row>
    <row r="3373" spans="1:31" ht="18" customHeight="1" x14ac:dyDescent="0.25">
      <c r="A33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3" s="79">
        <v>4</v>
      </c>
      <c r="C3373" s="23">
        <v>44125</v>
      </c>
      <c r="D3373" s="67">
        <f>IF(COUNTIF($G$2:$G3373,$G3373)=1,1,0)</f>
        <v>0</v>
      </c>
      <c r="E3373" s="67" t="str">
        <f>IFERROR(VLOOKUP(База_КР_КК[[#This Row],[ИД штатной должности (S)]],'уровень защищенности'!$B$7:$F$1095,5,0),"не защищена")</f>
        <v>высокий</v>
      </c>
      <c r="F3373" s="68">
        <v>500182</v>
      </c>
      <c r="G3373" s="74" t="s">
        <v>2957</v>
      </c>
      <c r="H3373" s="181">
        <f>INDEX('Списки данных'!$D$2:$D$1048576,MATCH(База_КР_КК[[#This Row],[Структурное подразделение]],'Списки данных'!$C$2:$C$1048576,0))</f>
        <v>7</v>
      </c>
      <c r="I3373" s="80" t="s">
        <v>137</v>
      </c>
      <c r="J3373" s="80" t="s">
        <v>248</v>
      </c>
      <c r="K3373" s="80" t="s">
        <v>249</v>
      </c>
      <c r="L3373" s="30" t="s">
        <v>191</v>
      </c>
      <c r="M3373" s="68">
        <v>6</v>
      </c>
      <c r="N3373" s="181" t="str">
        <f t="shared" si="53"/>
        <v>нет</v>
      </c>
      <c r="O3373" s="23"/>
      <c r="P3373" s="23"/>
      <c r="Q3373" s="106"/>
      <c r="R3373" s="37">
        <v>776</v>
      </c>
      <c r="S3373" s="38" t="s">
        <v>1185</v>
      </c>
      <c r="T3373" s="37">
        <v>1871</v>
      </c>
      <c r="U3373" s="39" t="s">
        <v>1986</v>
      </c>
      <c r="V3373" s="89" t="s">
        <v>272</v>
      </c>
      <c r="W3373" s="89" t="s">
        <v>137</v>
      </c>
      <c r="X3373" s="106" t="s">
        <v>297</v>
      </c>
      <c r="Y3373" s="107" t="s">
        <v>12</v>
      </c>
      <c r="Z3373" s="67">
        <f>IF(База_КР_КК[[#This Row],[Таб.номер резервиста]]="-","-",IF(OR(База_КР_КК[[#This Row],[Уровень КК]]=2,База_КР_КК[[#This Row],[Уровень КК]]=3),IF(COUNTIFS($U$2:$U3373,$U3373,$F$2:$F3373,$F3373)=1,1,0),IF(COUNTIFS($U$2:$U3373,$U3373,$L$2:$L3373,$L3373)=1,1,0)))</f>
        <v>0</v>
      </c>
      <c r="AA33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3" s="106"/>
      <c r="AC3373" s="51"/>
      <c r="AD3373" s="106" t="s">
        <v>17</v>
      </c>
      <c r="AE3373" s="38" t="s">
        <v>376</v>
      </c>
    </row>
    <row r="3374" spans="1:31" ht="18" customHeight="1" x14ac:dyDescent="0.25">
      <c r="A33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4" s="79">
        <v>4</v>
      </c>
      <c r="C3374" s="23">
        <v>44125</v>
      </c>
      <c r="D3374" s="67">
        <f>IF(COUNTIF($G$2:$G3374,$G3374)=1,1,0)</f>
        <v>0</v>
      </c>
      <c r="E3374" s="67" t="str">
        <f>IFERROR(VLOOKUP(База_КР_КК[[#This Row],[ИД штатной должности (S)]],'уровень защищенности'!$B$7:$F$1095,5,0),"не защищена")</f>
        <v>высокий</v>
      </c>
      <c r="F3374" s="68">
        <v>500182</v>
      </c>
      <c r="G3374" s="74" t="s">
        <v>2957</v>
      </c>
      <c r="H3374" s="181">
        <f>INDEX('Списки данных'!$D$2:$D$1048576,MATCH(База_КР_КК[[#This Row],[Структурное подразделение]],'Списки данных'!$C$2:$C$1048576,0))</f>
        <v>7</v>
      </c>
      <c r="I3374" s="80" t="s">
        <v>137</v>
      </c>
      <c r="J3374" s="80" t="s">
        <v>248</v>
      </c>
      <c r="K3374" s="80" t="s">
        <v>249</v>
      </c>
      <c r="L3374" s="30" t="s">
        <v>191</v>
      </c>
      <c r="M3374" s="68">
        <v>6</v>
      </c>
      <c r="N3374" s="181" t="str">
        <f t="shared" si="53"/>
        <v>нет</v>
      </c>
      <c r="O3374" s="23"/>
      <c r="P3374" s="23"/>
      <c r="Q3374" s="106"/>
      <c r="R3374" s="37">
        <v>776</v>
      </c>
      <c r="S3374" s="38" t="s">
        <v>1185</v>
      </c>
      <c r="T3374" s="37">
        <v>1872</v>
      </c>
      <c r="U3374" s="39" t="s">
        <v>1868</v>
      </c>
      <c r="V3374" s="89" t="s">
        <v>272</v>
      </c>
      <c r="W3374" s="89" t="s">
        <v>137</v>
      </c>
      <c r="X3374" s="106" t="s">
        <v>296</v>
      </c>
      <c r="Y3374" s="107" t="s">
        <v>12</v>
      </c>
      <c r="Z3374" s="67">
        <f>IF(База_КР_КК[[#This Row],[Таб.номер резервиста]]="-","-",IF(OR(База_КР_КК[[#This Row],[Уровень КК]]=2,База_КР_КК[[#This Row],[Уровень КК]]=3),IF(COUNTIFS($U$2:$U3374,$U3374,$F$2:$F3374,$F3374)=1,1,0),IF(COUNTIFS($U$2:$U3374,$U3374,$L$2:$L3374,$L3374)=1,1,0)))</f>
        <v>0</v>
      </c>
      <c r="AA33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4" s="106"/>
      <c r="AC3374" s="51"/>
      <c r="AD3374" s="106" t="s">
        <v>13</v>
      </c>
      <c r="AE3374" s="38" t="s">
        <v>376</v>
      </c>
    </row>
    <row r="3375" spans="1:31" ht="18" customHeight="1" x14ac:dyDescent="0.25">
      <c r="A33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5" s="79">
        <v>4</v>
      </c>
      <c r="C3375" s="23">
        <v>44859</v>
      </c>
      <c r="D3375" s="67">
        <f>IF(COUNTIF($G$2:$G3375,$G3375)=1,1,0)</f>
        <v>0</v>
      </c>
      <c r="E3375" s="67" t="str">
        <f>IFERROR(VLOOKUP(База_КР_КК[[#This Row],[ИД штатной должности (S)]],'уровень защищенности'!$B$7:$F$1095,5,0),"не защищена")</f>
        <v>высокий</v>
      </c>
      <c r="F3375" s="68">
        <v>500182</v>
      </c>
      <c r="G3375" s="74" t="s">
        <v>2957</v>
      </c>
      <c r="H3375" s="181">
        <f>INDEX('Списки данных'!$D$2:$D$1048576,MATCH(База_КР_КК[[#This Row],[Структурное подразделение]],'Списки данных'!$C$2:$C$1048576,0))</f>
        <v>7</v>
      </c>
      <c r="I3375" s="80" t="s">
        <v>137</v>
      </c>
      <c r="J3375" s="80" t="s">
        <v>248</v>
      </c>
      <c r="K3375" s="80" t="s">
        <v>249</v>
      </c>
      <c r="L3375" s="30" t="s">
        <v>191</v>
      </c>
      <c r="M3375" s="68">
        <v>6</v>
      </c>
      <c r="N3375" s="181" t="str">
        <f t="shared" si="53"/>
        <v>нет</v>
      </c>
      <c r="O3375" s="23"/>
      <c r="P3375" s="23"/>
      <c r="Q3375" s="106"/>
      <c r="R3375" s="37">
        <v>776</v>
      </c>
      <c r="S3375" s="39" t="s">
        <v>1185</v>
      </c>
      <c r="T3375" s="37">
        <v>1873</v>
      </c>
      <c r="U3375" s="38" t="s">
        <v>2037</v>
      </c>
      <c r="V3375" s="89" t="s">
        <v>272</v>
      </c>
      <c r="W3375" s="89" t="s">
        <v>137</v>
      </c>
      <c r="X3375" s="106" t="s">
        <v>296</v>
      </c>
      <c r="Y3375" s="107" t="s">
        <v>12</v>
      </c>
      <c r="Z3375" s="67">
        <f>IF(База_КР_КК[[#This Row],[Таб.номер резервиста]]="-","-",IF(OR(База_КР_КК[[#This Row],[Уровень КК]]=2,База_КР_КК[[#This Row],[Уровень КК]]=3),IF(COUNTIFS($U$2:$U3375,$U3375,$F$2:$F3375,$F3375)=1,1,0),IF(COUNTIFS($U$2:$U3375,$U3375,$L$2:$L3375,$L3375)=1,1,0)))</f>
        <v>0</v>
      </c>
      <c r="AA33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5" s="106"/>
      <c r="AC3375" s="51"/>
      <c r="AD3375" s="106" t="s">
        <v>15</v>
      </c>
      <c r="AE3375" s="38" t="s">
        <v>376</v>
      </c>
    </row>
    <row r="3376" spans="1:31" ht="18" customHeight="1" x14ac:dyDescent="0.25">
      <c r="A33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6" s="79">
        <v>4</v>
      </c>
      <c r="C3376" s="23">
        <v>44859</v>
      </c>
      <c r="D3376" s="67">
        <f>IF(COUNTIF($G$2:$G3376,$G3376)=1,1,0)</f>
        <v>0</v>
      </c>
      <c r="E3376" s="67" t="str">
        <f>IFERROR(VLOOKUP(База_КР_КК[[#This Row],[ИД штатной должности (S)]],'уровень защищенности'!$B$7:$F$1095,5,0),"не защищена")</f>
        <v>высокий</v>
      </c>
      <c r="F3376" s="68">
        <v>500182</v>
      </c>
      <c r="G3376" s="74" t="s">
        <v>2957</v>
      </c>
      <c r="H3376" s="181">
        <f>INDEX('Списки данных'!$D$2:$D$1048576,MATCH(База_КР_КК[[#This Row],[Структурное подразделение]],'Списки данных'!$C$2:$C$1048576,0))</f>
        <v>7</v>
      </c>
      <c r="I3376" s="80" t="s">
        <v>137</v>
      </c>
      <c r="J3376" s="80" t="s">
        <v>248</v>
      </c>
      <c r="K3376" s="80" t="s">
        <v>249</v>
      </c>
      <c r="L3376" s="30" t="s">
        <v>191</v>
      </c>
      <c r="M3376" s="68">
        <v>6</v>
      </c>
      <c r="N3376" s="181" t="str">
        <f t="shared" si="53"/>
        <v>нет</v>
      </c>
      <c r="O3376" s="23"/>
      <c r="P3376" s="23"/>
      <c r="Q3376" s="106"/>
      <c r="R3376" s="37">
        <v>776</v>
      </c>
      <c r="S3376" s="39" t="s">
        <v>1185</v>
      </c>
      <c r="T3376" s="37">
        <v>1874</v>
      </c>
      <c r="U3376" s="38" t="s">
        <v>1966</v>
      </c>
      <c r="V3376" s="89" t="s">
        <v>272</v>
      </c>
      <c r="W3376" s="89" t="s">
        <v>137</v>
      </c>
      <c r="X3376" s="106" t="s">
        <v>297</v>
      </c>
      <c r="Y3376" s="107" t="s">
        <v>12</v>
      </c>
      <c r="Z3376" s="67">
        <f>IF(База_КР_КК[[#This Row],[Таб.номер резервиста]]="-","-",IF(OR(База_КР_КК[[#This Row],[Уровень КК]]=2,База_КР_КК[[#This Row],[Уровень КК]]=3),IF(COUNTIFS($U$2:$U3376,$U3376,$F$2:$F3376,$F3376)=1,1,0),IF(COUNTIFS($U$2:$U3376,$U3376,$L$2:$L3376,$L3376)=1,1,0)))</f>
        <v>0</v>
      </c>
      <c r="AA33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6" s="106"/>
      <c r="AC3376" s="51"/>
      <c r="AD3376" s="106" t="s">
        <v>15</v>
      </c>
      <c r="AE3376" s="38" t="s">
        <v>376</v>
      </c>
    </row>
    <row r="3377" spans="1:31" ht="18" customHeight="1" x14ac:dyDescent="0.25">
      <c r="A33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7" s="79">
        <v>4</v>
      </c>
      <c r="C3377" s="23">
        <v>44859</v>
      </c>
      <c r="D3377" s="67">
        <f>IF(COUNTIF($G$2:$G3377,$G3377)=1,1,0)</f>
        <v>0</v>
      </c>
      <c r="E3377" s="67" t="str">
        <f>IFERROR(VLOOKUP(База_КР_КК[[#This Row],[ИД штатной должности (S)]],'уровень защищенности'!$B$7:$F$1095,5,0),"не защищена")</f>
        <v>высокий</v>
      </c>
      <c r="F3377" s="68">
        <v>500182</v>
      </c>
      <c r="G3377" s="74" t="s">
        <v>2957</v>
      </c>
      <c r="H3377" s="181">
        <f>INDEX('Списки данных'!$D$2:$D$1048576,MATCH(База_КР_КК[[#This Row],[Структурное подразделение]],'Списки данных'!$C$2:$C$1048576,0))</f>
        <v>7</v>
      </c>
      <c r="I3377" s="80" t="s">
        <v>137</v>
      </c>
      <c r="J3377" s="80" t="s">
        <v>248</v>
      </c>
      <c r="K3377" s="80" t="s">
        <v>249</v>
      </c>
      <c r="L3377" s="30" t="s">
        <v>191</v>
      </c>
      <c r="M3377" s="68">
        <v>6</v>
      </c>
      <c r="N3377" s="181" t="str">
        <f t="shared" si="53"/>
        <v>нет</v>
      </c>
      <c r="O3377" s="23"/>
      <c r="P3377" s="23"/>
      <c r="Q3377" s="106"/>
      <c r="R3377" s="37">
        <v>776</v>
      </c>
      <c r="S3377" s="39" t="s">
        <v>1185</v>
      </c>
      <c r="T3377" s="37">
        <v>1875</v>
      </c>
      <c r="U3377" s="38" t="s">
        <v>2014</v>
      </c>
      <c r="V3377" s="89" t="s">
        <v>272</v>
      </c>
      <c r="W3377" s="89" t="s">
        <v>137</v>
      </c>
      <c r="X3377" s="106" t="s">
        <v>296</v>
      </c>
      <c r="Y3377" s="107" t="s">
        <v>12</v>
      </c>
      <c r="Z3377" s="67">
        <f>IF(База_КР_КК[[#This Row],[Таб.номер резервиста]]="-","-",IF(OR(База_КР_КК[[#This Row],[Уровень КК]]=2,База_КР_КК[[#This Row],[Уровень КК]]=3),IF(COUNTIFS($U$2:$U3377,$U3377,$F$2:$F3377,$F3377)=1,1,0),IF(COUNTIFS($U$2:$U3377,$U3377,$L$2:$L3377,$L3377)=1,1,0)))</f>
        <v>0</v>
      </c>
      <c r="AA33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7" s="106"/>
      <c r="AC3377" s="51"/>
      <c r="AD3377" s="106" t="s">
        <v>15</v>
      </c>
      <c r="AE3377" s="38" t="s">
        <v>376</v>
      </c>
    </row>
    <row r="3378" spans="1:31" ht="18" customHeight="1" x14ac:dyDescent="0.25">
      <c r="A33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8" s="79">
        <v>4</v>
      </c>
      <c r="C3378" s="23">
        <v>44859</v>
      </c>
      <c r="D3378" s="67">
        <f>IF(COUNTIF($G$2:$G3378,$G3378)=1,1,0)</f>
        <v>0</v>
      </c>
      <c r="E3378" s="67" t="str">
        <f>IFERROR(VLOOKUP(База_КР_КК[[#This Row],[ИД штатной должности (S)]],'уровень защищенности'!$B$7:$F$1095,5,0),"не защищена")</f>
        <v>высокий</v>
      </c>
      <c r="F3378" s="68">
        <v>500182</v>
      </c>
      <c r="G3378" s="74" t="s">
        <v>2957</v>
      </c>
      <c r="H3378" s="181">
        <f>INDEX('Списки данных'!$D$2:$D$1048576,MATCH(База_КР_КК[[#This Row],[Структурное подразделение]],'Списки данных'!$C$2:$C$1048576,0))</f>
        <v>7</v>
      </c>
      <c r="I3378" s="80" t="s">
        <v>137</v>
      </c>
      <c r="J3378" s="80" t="s">
        <v>248</v>
      </c>
      <c r="K3378" s="80" t="s">
        <v>249</v>
      </c>
      <c r="L3378" s="30" t="s">
        <v>191</v>
      </c>
      <c r="M3378" s="68">
        <v>6</v>
      </c>
      <c r="N3378" s="181" t="str">
        <f t="shared" si="53"/>
        <v>нет</v>
      </c>
      <c r="O3378" s="23"/>
      <c r="P3378" s="23"/>
      <c r="Q3378" s="106"/>
      <c r="R3378" s="37">
        <v>776</v>
      </c>
      <c r="S3378" s="39" t="s">
        <v>1185</v>
      </c>
      <c r="T3378" s="37">
        <v>1876</v>
      </c>
      <c r="U3378" s="38" t="s">
        <v>1925</v>
      </c>
      <c r="V3378" s="89" t="s">
        <v>272</v>
      </c>
      <c r="W3378" s="89" t="s">
        <v>137</v>
      </c>
      <c r="X3378" s="106" t="s">
        <v>296</v>
      </c>
      <c r="Y3378" s="107" t="s">
        <v>12</v>
      </c>
      <c r="Z3378" s="67">
        <f>IF(База_КР_КК[[#This Row],[Таб.номер резервиста]]="-","-",IF(OR(База_КР_КК[[#This Row],[Уровень КК]]=2,База_КР_КК[[#This Row],[Уровень КК]]=3),IF(COUNTIFS($U$2:$U3378,$U3378,$F$2:$F3378,$F3378)=1,1,0),IF(COUNTIFS($U$2:$U3378,$U3378,$L$2:$L3378,$L3378)=1,1,0)))</f>
        <v>0</v>
      </c>
      <c r="AA33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8" s="106"/>
      <c r="AC3378" s="51"/>
      <c r="AD3378" s="106" t="s">
        <v>15</v>
      </c>
      <c r="AE3378" s="38" t="s">
        <v>376</v>
      </c>
    </row>
    <row r="3379" spans="1:31" ht="18" customHeight="1" x14ac:dyDescent="0.25">
      <c r="A33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79" s="79">
        <v>4</v>
      </c>
      <c r="C3379" s="23">
        <v>44125</v>
      </c>
      <c r="D3379" s="67">
        <f>IF(COUNTIF($G$2:$G3379,$G3379)=1,1,0)</f>
        <v>1</v>
      </c>
      <c r="E3379" s="67" t="str">
        <f>IFERROR(VLOOKUP(База_КР_КК[[#This Row],[ИД штатной должности (S)]],'уровень защищенности'!$B$7:$F$1095,5,0),"не защищена")</f>
        <v>высокий</v>
      </c>
      <c r="F3379" s="68">
        <v>500182</v>
      </c>
      <c r="G3379" s="74" t="s">
        <v>2958</v>
      </c>
      <c r="H3379" s="181">
        <f>INDEX('Списки данных'!$D$2:$D$1048576,MATCH(База_КР_КК[[#This Row],[Структурное подразделение]],'Списки данных'!$C$2:$C$1048576,0))</f>
        <v>7</v>
      </c>
      <c r="I3379" s="80" t="s">
        <v>137</v>
      </c>
      <c r="J3379" s="80" t="s">
        <v>248</v>
      </c>
      <c r="K3379" s="80" t="s">
        <v>249</v>
      </c>
      <c r="L3379" s="30" t="s">
        <v>191</v>
      </c>
      <c r="M3379" s="68">
        <v>6</v>
      </c>
      <c r="N3379" s="181" t="str">
        <f t="shared" si="53"/>
        <v>нет</v>
      </c>
      <c r="O3379" s="23"/>
      <c r="P3379" s="23"/>
      <c r="Q3379" s="106"/>
      <c r="R3379" s="37">
        <v>777</v>
      </c>
      <c r="S3379" s="38" t="s">
        <v>1186</v>
      </c>
      <c r="T3379" s="37">
        <v>1824</v>
      </c>
      <c r="U3379" s="39" t="s">
        <v>1988</v>
      </c>
      <c r="V3379" s="89" t="s">
        <v>272</v>
      </c>
      <c r="W3379" s="89" t="s">
        <v>137</v>
      </c>
      <c r="X3379" s="106" t="s">
        <v>295</v>
      </c>
      <c r="Y3379" s="107" t="s">
        <v>12</v>
      </c>
      <c r="Z3379" s="67">
        <f>IF(База_КР_КК[[#This Row],[Таб.номер резервиста]]="-","-",IF(OR(База_КР_КК[[#This Row],[Уровень КК]]=2,База_КР_КК[[#This Row],[Уровень КК]]=3),IF(COUNTIFS($U$2:$U3379,$U3379,$F$2:$F3379,$F3379)=1,1,0),IF(COUNTIFS($U$2:$U3379,$U3379,$L$2:$L3379,$L3379)=1,1,0)))</f>
        <v>0</v>
      </c>
      <c r="AA33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79" s="106"/>
      <c r="AC3379" s="51"/>
      <c r="AD3379" s="106" t="s">
        <v>17</v>
      </c>
      <c r="AE3379" s="38" t="s">
        <v>376</v>
      </c>
    </row>
    <row r="3380" spans="1:31" ht="18" customHeight="1" x14ac:dyDescent="0.25">
      <c r="A33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0" s="79">
        <v>4</v>
      </c>
      <c r="C3380" s="23">
        <v>44125</v>
      </c>
      <c r="D3380" s="67">
        <f>IF(COUNTIF($G$2:$G3380,$G3380)=1,1,0)</f>
        <v>0</v>
      </c>
      <c r="E3380" s="67" t="str">
        <f>IFERROR(VLOOKUP(База_КР_КК[[#This Row],[ИД штатной должности (S)]],'уровень защищенности'!$B$7:$F$1095,5,0),"не защищена")</f>
        <v>высокий</v>
      </c>
      <c r="F3380" s="68">
        <v>500182</v>
      </c>
      <c r="G3380" s="74" t="s">
        <v>2958</v>
      </c>
      <c r="H3380" s="181">
        <f>INDEX('Списки данных'!$D$2:$D$1048576,MATCH(База_КР_КК[[#This Row],[Структурное подразделение]],'Списки данных'!$C$2:$C$1048576,0))</f>
        <v>7</v>
      </c>
      <c r="I3380" s="80" t="s">
        <v>137</v>
      </c>
      <c r="J3380" s="80" t="s">
        <v>248</v>
      </c>
      <c r="K3380" s="80" t="s">
        <v>249</v>
      </c>
      <c r="L3380" s="30" t="s">
        <v>191</v>
      </c>
      <c r="M3380" s="68">
        <v>6</v>
      </c>
      <c r="N3380" s="181" t="str">
        <f t="shared" si="53"/>
        <v>нет</v>
      </c>
      <c r="O3380" s="23"/>
      <c r="P3380" s="23"/>
      <c r="Q3380" s="106"/>
      <c r="R3380" s="37">
        <v>777</v>
      </c>
      <c r="S3380" s="38" t="s">
        <v>1186</v>
      </c>
      <c r="T3380" s="37">
        <v>1870</v>
      </c>
      <c r="U3380" s="39" t="s">
        <v>2079</v>
      </c>
      <c r="V3380" s="89" t="s">
        <v>272</v>
      </c>
      <c r="W3380" s="89" t="s">
        <v>137</v>
      </c>
      <c r="X3380" s="106" t="s">
        <v>295</v>
      </c>
      <c r="Y3380" s="107" t="s">
        <v>12</v>
      </c>
      <c r="Z3380" s="67">
        <f>IF(База_КР_КК[[#This Row],[Таб.номер резервиста]]="-","-",IF(OR(База_КР_КК[[#This Row],[Уровень КК]]=2,База_КР_КК[[#This Row],[Уровень КК]]=3),IF(COUNTIFS($U$2:$U3380,$U3380,$F$2:$F3380,$F3380)=1,1,0),IF(COUNTIFS($U$2:$U3380,$U3380,$L$2:$L3380,$L3380)=1,1,0)))</f>
        <v>0</v>
      </c>
      <c r="AA33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0" s="106"/>
      <c r="AC3380" s="51"/>
      <c r="AD3380" s="106" t="s">
        <v>17</v>
      </c>
      <c r="AE3380" s="38" t="s">
        <v>376</v>
      </c>
    </row>
    <row r="3381" spans="1:31" ht="18" customHeight="1" x14ac:dyDescent="0.25">
      <c r="A33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1" s="79">
        <v>4</v>
      </c>
      <c r="C3381" s="23">
        <v>44125</v>
      </c>
      <c r="D3381" s="67">
        <f>IF(COUNTIF($G$2:$G3381,$G3381)=1,1,0)</f>
        <v>0</v>
      </c>
      <c r="E3381" s="67" t="str">
        <f>IFERROR(VLOOKUP(База_КР_КК[[#This Row],[ИД штатной должности (S)]],'уровень защищенности'!$B$7:$F$1095,5,0),"не защищена")</f>
        <v>высокий</v>
      </c>
      <c r="F3381" s="68">
        <v>500182</v>
      </c>
      <c r="G3381" s="74" t="s">
        <v>2958</v>
      </c>
      <c r="H3381" s="181">
        <f>INDEX('Списки данных'!$D$2:$D$1048576,MATCH(База_КР_КК[[#This Row],[Структурное подразделение]],'Списки данных'!$C$2:$C$1048576,0))</f>
        <v>7</v>
      </c>
      <c r="I3381" s="80" t="s">
        <v>137</v>
      </c>
      <c r="J3381" s="80" t="s">
        <v>248</v>
      </c>
      <c r="K3381" s="80" t="s">
        <v>249</v>
      </c>
      <c r="L3381" s="30" t="s">
        <v>191</v>
      </c>
      <c r="M3381" s="68">
        <v>6</v>
      </c>
      <c r="N3381" s="181" t="str">
        <f t="shared" si="53"/>
        <v>нет</v>
      </c>
      <c r="O3381" s="23"/>
      <c r="P3381" s="23"/>
      <c r="Q3381" s="106"/>
      <c r="R3381" s="37">
        <v>777</v>
      </c>
      <c r="S3381" s="38" t="s">
        <v>1186</v>
      </c>
      <c r="T3381" s="37">
        <v>1871</v>
      </c>
      <c r="U3381" s="39" t="s">
        <v>1986</v>
      </c>
      <c r="V3381" s="89" t="s">
        <v>272</v>
      </c>
      <c r="W3381" s="89" t="s">
        <v>137</v>
      </c>
      <c r="X3381" s="106" t="s">
        <v>297</v>
      </c>
      <c r="Y3381" s="107" t="s">
        <v>12</v>
      </c>
      <c r="Z3381" s="67">
        <f>IF(База_КР_КК[[#This Row],[Таб.номер резервиста]]="-","-",IF(OR(База_КР_КК[[#This Row],[Уровень КК]]=2,База_КР_КК[[#This Row],[Уровень КК]]=3),IF(COUNTIFS($U$2:$U3381,$U3381,$F$2:$F3381,$F3381)=1,1,0),IF(COUNTIFS($U$2:$U3381,$U3381,$L$2:$L3381,$L3381)=1,1,0)))</f>
        <v>0</v>
      </c>
      <c r="AA33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1" s="106"/>
      <c r="AC3381" s="51"/>
      <c r="AD3381" s="106" t="s">
        <v>17</v>
      </c>
      <c r="AE3381" s="38" t="s">
        <v>376</v>
      </c>
    </row>
    <row r="3382" spans="1:31" ht="18" customHeight="1" x14ac:dyDescent="0.25">
      <c r="A33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2" s="79">
        <v>4</v>
      </c>
      <c r="C3382" s="23">
        <v>44125</v>
      </c>
      <c r="D3382" s="67">
        <f>IF(COUNTIF($G$2:$G3382,$G3382)=1,1,0)</f>
        <v>0</v>
      </c>
      <c r="E3382" s="67" t="str">
        <f>IFERROR(VLOOKUP(База_КР_КК[[#This Row],[ИД штатной должности (S)]],'уровень защищенности'!$B$7:$F$1095,5,0),"не защищена")</f>
        <v>высокий</v>
      </c>
      <c r="F3382" s="68">
        <v>500182</v>
      </c>
      <c r="G3382" s="74" t="s">
        <v>2958</v>
      </c>
      <c r="H3382" s="181">
        <f>INDEX('Списки данных'!$D$2:$D$1048576,MATCH(База_КР_КК[[#This Row],[Структурное подразделение]],'Списки данных'!$C$2:$C$1048576,0))</f>
        <v>7</v>
      </c>
      <c r="I3382" s="80" t="s">
        <v>137</v>
      </c>
      <c r="J3382" s="80" t="s">
        <v>248</v>
      </c>
      <c r="K3382" s="80" t="s">
        <v>249</v>
      </c>
      <c r="L3382" s="30" t="s">
        <v>191</v>
      </c>
      <c r="M3382" s="68">
        <v>6</v>
      </c>
      <c r="N3382" s="181" t="str">
        <f t="shared" si="53"/>
        <v>нет</v>
      </c>
      <c r="O3382" s="23"/>
      <c r="P3382" s="23"/>
      <c r="Q3382" s="106"/>
      <c r="R3382" s="37">
        <v>777</v>
      </c>
      <c r="S3382" s="38" t="s">
        <v>1186</v>
      </c>
      <c r="T3382" s="37">
        <v>1872</v>
      </c>
      <c r="U3382" s="39" t="s">
        <v>1868</v>
      </c>
      <c r="V3382" s="89" t="s">
        <v>272</v>
      </c>
      <c r="W3382" s="89" t="s">
        <v>137</v>
      </c>
      <c r="X3382" s="106" t="s">
        <v>296</v>
      </c>
      <c r="Y3382" s="107" t="s">
        <v>12</v>
      </c>
      <c r="Z3382" s="67">
        <f>IF(База_КР_КК[[#This Row],[Таб.номер резервиста]]="-","-",IF(OR(База_КР_КК[[#This Row],[Уровень КК]]=2,База_КР_КК[[#This Row],[Уровень КК]]=3),IF(COUNTIFS($U$2:$U3382,$U3382,$F$2:$F3382,$F3382)=1,1,0),IF(COUNTIFS($U$2:$U3382,$U3382,$L$2:$L3382,$L3382)=1,1,0)))</f>
        <v>0</v>
      </c>
      <c r="AA33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2" s="106"/>
      <c r="AC3382" s="51"/>
      <c r="AD3382" s="106" t="s">
        <v>13</v>
      </c>
      <c r="AE3382" s="38" t="s">
        <v>376</v>
      </c>
    </row>
    <row r="3383" spans="1:31" ht="18" customHeight="1" x14ac:dyDescent="0.25">
      <c r="A33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3" s="79">
        <v>4</v>
      </c>
      <c r="C3383" s="23">
        <v>44859</v>
      </c>
      <c r="D3383" s="67">
        <f>IF(COUNTIF($G$2:$G3383,$G3383)=1,1,0)</f>
        <v>0</v>
      </c>
      <c r="E3383" s="67" t="str">
        <f>IFERROR(VLOOKUP(База_КР_КК[[#This Row],[ИД штатной должности (S)]],'уровень защищенности'!$B$7:$F$1095,5,0),"не защищена")</f>
        <v>высокий</v>
      </c>
      <c r="F3383" s="68">
        <v>500182</v>
      </c>
      <c r="G3383" s="74" t="s">
        <v>2958</v>
      </c>
      <c r="H3383" s="181">
        <f>INDEX('Списки данных'!$D$2:$D$1048576,MATCH(База_КР_КК[[#This Row],[Структурное подразделение]],'Списки данных'!$C$2:$C$1048576,0))</f>
        <v>7</v>
      </c>
      <c r="I3383" s="80" t="s">
        <v>137</v>
      </c>
      <c r="J3383" s="80" t="s">
        <v>248</v>
      </c>
      <c r="K3383" s="80" t="s">
        <v>249</v>
      </c>
      <c r="L3383" s="30" t="s">
        <v>191</v>
      </c>
      <c r="M3383" s="68">
        <v>6</v>
      </c>
      <c r="N3383" s="181" t="str">
        <f t="shared" si="53"/>
        <v>нет</v>
      </c>
      <c r="O3383" s="23"/>
      <c r="P3383" s="23"/>
      <c r="Q3383" s="106"/>
      <c r="R3383" s="37">
        <v>777</v>
      </c>
      <c r="S3383" s="39" t="s">
        <v>1186</v>
      </c>
      <c r="T3383" s="37">
        <v>1873</v>
      </c>
      <c r="U3383" s="38" t="s">
        <v>2037</v>
      </c>
      <c r="V3383" s="89" t="s">
        <v>272</v>
      </c>
      <c r="W3383" s="89" t="s">
        <v>137</v>
      </c>
      <c r="X3383" s="106" t="s">
        <v>296</v>
      </c>
      <c r="Y3383" s="107" t="s">
        <v>12</v>
      </c>
      <c r="Z3383" s="67">
        <f>IF(База_КР_КК[[#This Row],[Таб.номер резервиста]]="-","-",IF(OR(База_КР_КК[[#This Row],[Уровень КК]]=2,База_КР_КК[[#This Row],[Уровень КК]]=3),IF(COUNTIFS($U$2:$U3383,$U3383,$F$2:$F3383,$F3383)=1,1,0),IF(COUNTIFS($U$2:$U3383,$U3383,$L$2:$L3383,$L3383)=1,1,0)))</f>
        <v>0</v>
      </c>
      <c r="AA33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3" s="106"/>
      <c r="AC3383" s="51"/>
      <c r="AD3383" s="106" t="s">
        <v>15</v>
      </c>
      <c r="AE3383" s="38" t="s">
        <v>376</v>
      </c>
    </row>
    <row r="3384" spans="1:31" ht="18" customHeight="1" x14ac:dyDescent="0.25">
      <c r="A33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4" s="79">
        <v>4</v>
      </c>
      <c r="C3384" s="23">
        <v>44859</v>
      </c>
      <c r="D3384" s="67">
        <f>IF(COUNTIF($G$2:$G3384,$G3384)=1,1,0)</f>
        <v>0</v>
      </c>
      <c r="E3384" s="67" t="str">
        <f>IFERROR(VLOOKUP(База_КР_КК[[#This Row],[ИД штатной должности (S)]],'уровень защищенности'!$B$7:$F$1095,5,0),"не защищена")</f>
        <v>высокий</v>
      </c>
      <c r="F3384" s="68">
        <v>500182</v>
      </c>
      <c r="G3384" s="74" t="s">
        <v>2958</v>
      </c>
      <c r="H3384" s="181">
        <f>INDEX('Списки данных'!$D$2:$D$1048576,MATCH(База_КР_КК[[#This Row],[Структурное подразделение]],'Списки данных'!$C$2:$C$1048576,0))</f>
        <v>7</v>
      </c>
      <c r="I3384" s="80" t="s">
        <v>137</v>
      </c>
      <c r="J3384" s="80" t="s">
        <v>248</v>
      </c>
      <c r="K3384" s="80" t="s">
        <v>249</v>
      </c>
      <c r="L3384" s="30" t="s">
        <v>191</v>
      </c>
      <c r="M3384" s="68">
        <v>6</v>
      </c>
      <c r="N3384" s="181" t="str">
        <f t="shared" si="53"/>
        <v>нет</v>
      </c>
      <c r="O3384" s="23"/>
      <c r="P3384" s="23"/>
      <c r="Q3384" s="106"/>
      <c r="R3384" s="37">
        <v>777</v>
      </c>
      <c r="S3384" s="39" t="s">
        <v>1186</v>
      </c>
      <c r="T3384" s="37">
        <v>1874</v>
      </c>
      <c r="U3384" s="38" t="s">
        <v>1966</v>
      </c>
      <c r="V3384" s="89" t="s">
        <v>272</v>
      </c>
      <c r="W3384" s="89" t="s">
        <v>137</v>
      </c>
      <c r="X3384" s="106" t="s">
        <v>297</v>
      </c>
      <c r="Y3384" s="107" t="s">
        <v>12</v>
      </c>
      <c r="Z3384" s="67">
        <f>IF(База_КР_КК[[#This Row],[Таб.номер резервиста]]="-","-",IF(OR(База_КР_КК[[#This Row],[Уровень КК]]=2,База_КР_КК[[#This Row],[Уровень КК]]=3),IF(COUNTIFS($U$2:$U3384,$U3384,$F$2:$F3384,$F3384)=1,1,0),IF(COUNTIFS($U$2:$U3384,$U3384,$L$2:$L3384,$L3384)=1,1,0)))</f>
        <v>0</v>
      </c>
      <c r="AA33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4" s="106"/>
      <c r="AC3384" s="51"/>
      <c r="AD3384" s="106" t="s">
        <v>15</v>
      </c>
      <c r="AE3384" s="38" t="s">
        <v>376</v>
      </c>
    </row>
    <row r="3385" spans="1:31" ht="18" customHeight="1" x14ac:dyDescent="0.25">
      <c r="A33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5" s="79">
        <v>4</v>
      </c>
      <c r="C3385" s="23">
        <v>44859</v>
      </c>
      <c r="D3385" s="67">
        <f>IF(COUNTIF($G$2:$G3385,$G3385)=1,1,0)</f>
        <v>0</v>
      </c>
      <c r="E3385" s="67" t="str">
        <f>IFERROR(VLOOKUP(База_КР_КК[[#This Row],[ИД штатной должности (S)]],'уровень защищенности'!$B$7:$F$1095,5,0),"не защищена")</f>
        <v>высокий</v>
      </c>
      <c r="F3385" s="68">
        <v>500182</v>
      </c>
      <c r="G3385" s="74" t="s">
        <v>2958</v>
      </c>
      <c r="H3385" s="181">
        <f>INDEX('Списки данных'!$D$2:$D$1048576,MATCH(База_КР_КК[[#This Row],[Структурное подразделение]],'Списки данных'!$C$2:$C$1048576,0))</f>
        <v>7</v>
      </c>
      <c r="I3385" s="80" t="s">
        <v>137</v>
      </c>
      <c r="J3385" s="80" t="s">
        <v>248</v>
      </c>
      <c r="K3385" s="80" t="s">
        <v>249</v>
      </c>
      <c r="L3385" s="30" t="s">
        <v>191</v>
      </c>
      <c r="M3385" s="68">
        <v>6</v>
      </c>
      <c r="N3385" s="181" t="str">
        <f t="shared" si="53"/>
        <v>нет</v>
      </c>
      <c r="O3385" s="23"/>
      <c r="P3385" s="23"/>
      <c r="Q3385" s="106"/>
      <c r="R3385" s="37">
        <v>777</v>
      </c>
      <c r="S3385" s="39" t="s">
        <v>1186</v>
      </c>
      <c r="T3385" s="37">
        <v>1875</v>
      </c>
      <c r="U3385" s="38" t="s">
        <v>2014</v>
      </c>
      <c r="V3385" s="89" t="s">
        <v>272</v>
      </c>
      <c r="W3385" s="89" t="s">
        <v>137</v>
      </c>
      <c r="X3385" s="106" t="s">
        <v>296</v>
      </c>
      <c r="Y3385" s="107" t="s">
        <v>12</v>
      </c>
      <c r="Z3385" s="67">
        <f>IF(База_КР_КК[[#This Row],[Таб.номер резервиста]]="-","-",IF(OR(База_КР_КК[[#This Row],[Уровень КК]]=2,База_КР_КК[[#This Row],[Уровень КК]]=3),IF(COUNTIFS($U$2:$U3385,$U3385,$F$2:$F3385,$F3385)=1,1,0),IF(COUNTIFS($U$2:$U3385,$U3385,$L$2:$L3385,$L3385)=1,1,0)))</f>
        <v>0</v>
      </c>
      <c r="AA33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5" s="106"/>
      <c r="AC3385" s="51"/>
      <c r="AD3385" s="106" t="s">
        <v>15</v>
      </c>
      <c r="AE3385" s="38" t="s">
        <v>376</v>
      </c>
    </row>
    <row r="3386" spans="1:31" ht="18" customHeight="1" x14ac:dyDescent="0.25">
      <c r="A33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6" s="79">
        <v>4</v>
      </c>
      <c r="C3386" s="23">
        <v>44859</v>
      </c>
      <c r="D3386" s="67">
        <f>IF(COUNTIF($G$2:$G3386,$G3386)=1,1,0)</f>
        <v>0</v>
      </c>
      <c r="E3386" s="67" t="str">
        <f>IFERROR(VLOOKUP(База_КР_КК[[#This Row],[ИД штатной должности (S)]],'уровень защищенности'!$B$7:$F$1095,5,0),"не защищена")</f>
        <v>высокий</v>
      </c>
      <c r="F3386" s="68">
        <v>500182</v>
      </c>
      <c r="G3386" s="74" t="s">
        <v>2958</v>
      </c>
      <c r="H3386" s="181">
        <f>INDEX('Списки данных'!$D$2:$D$1048576,MATCH(База_КР_КК[[#This Row],[Структурное подразделение]],'Списки данных'!$C$2:$C$1048576,0))</f>
        <v>7</v>
      </c>
      <c r="I3386" s="80" t="s">
        <v>137</v>
      </c>
      <c r="J3386" s="80" t="s">
        <v>248</v>
      </c>
      <c r="K3386" s="80" t="s">
        <v>249</v>
      </c>
      <c r="L3386" s="30" t="s">
        <v>191</v>
      </c>
      <c r="M3386" s="68">
        <v>6</v>
      </c>
      <c r="N3386" s="181" t="str">
        <f t="shared" si="53"/>
        <v>нет</v>
      </c>
      <c r="O3386" s="23"/>
      <c r="P3386" s="23"/>
      <c r="Q3386" s="106"/>
      <c r="R3386" s="37">
        <v>777</v>
      </c>
      <c r="S3386" s="39" t="s">
        <v>1186</v>
      </c>
      <c r="T3386" s="37">
        <v>1876</v>
      </c>
      <c r="U3386" s="38" t="s">
        <v>1925</v>
      </c>
      <c r="V3386" s="89" t="s">
        <v>272</v>
      </c>
      <c r="W3386" s="89" t="s">
        <v>137</v>
      </c>
      <c r="X3386" s="106" t="s">
        <v>296</v>
      </c>
      <c r="Y3386" s="107" t="s">
        <v>12</v>
      </c>
      <c r="Z3386" s="67">
        <f>IF(База_КР_КК[[#This Row],[Таб.номер резервиста]]="-","-",IF(OR(База_КР_КК[[#This Row],[Уровень КК]]=2,База_КР_КК[[#This Row],[Уровень КК]]=3),IF(COUNTIFS($U$2:$U3386,$U3386,$F$2:$F3386,$F3386)=1,1,0),IF(COUNTIFS($U$2:$U3386,$U3386,$L$2:$L3386,$L3386)=1,1,0)))</f>
        <v>0</v>
      </c>
      <c r="AA33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6" s="106"/>
      <c r="AC3386" s="51"/>
      <c r="AD3386" s="106" t="s">
        <v>15</v>
      </c>
      <c r="AE3386" s="38" t="s">
        <v>376</v>
      </c>
    </row>
    <row r="3387" spans="1:31" ht="18" customHeight="1" x14ac:dyDescent="0.25">
      <c r="A33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7" s="79">
        <v>4</v>
      </c>
      <c r="C3387" s="23">
        <v>44125</v>
      </c>
      <c r="D3387" s="67">
        <f>IF(COUNTIF($G$2:$G3387,$G3387)=1,1,0)</f>
        <v>1</v>
      </c>
      <c r="E3387" s="67" t="str">
        <f>IFERROR(VLOOKUP(База_КР_КК[[#This Row],[ИД штатной должности (S)]],'уровень защищенности'!$B$7:$F$1095,5,0),"не защищена")</f>
        <v>высокий</v>
      </c>
      <c r="F3387" s="68">
        <v>500183</v>
      </c>
      <c r="G3387" s="74" t="s">
        <v>2959</v>
      </c>
      <c r="H3387" s="181">
        <f>INDEX('Списки данных'!$D$2:$D$1048576,MATCH(База_КР_КК[[#This Row],[Структурное подразделение]],'Списки данных'!$C$2:$C$1048576,0))</f>
        <v>7</v>
      </c>
      <c r="I3387" s="80" t="s">
        <v>137</v>
      </c>
      <c r="J3387" s="80" t="s">
        <v>248</v>
      </c>
      <c r="K3387" s="80" t="s">
        <v>249</v>
      </c>
      <c r="L3387" s="30" t="s">
        <v>191</v>
      </c>
      <c r="M3387" s="68">
        <v>6</v>
      </c>
      <c r="N3387" s="181" t="str">
        <f t="shared" si="53"/>
        <v>нет</v>
      </c>
      <c r="O3387" s="23"/>
      <c r="P3387" s="23"/>
      <c r="Q3387" s="106"/>
      <c r="R3387" s="37">
        <v>778</v>
      </c>
      <c r="S3387" s="38" t="s">
        <v>1187</v>
      </c>
      <c r="T3387" s="37">
        <v>1877</v>
      </c>
      <c r="U3387" s="39" t="s">
        <v>2080</v>
      </c>
      <c r="V3387" s="89" t="s">
        <v>272</v>
      </c>
      <c r="W3387" s="89" t="s">
        <v>137</v>
      </c>
      <c r="X3387" s="106" t="s">
        <v>295</v>
      </c>
      <c r="Y3387" s="107" t="s">
        <v>12</v>
      </c>
      <c r="Z3387" s="67">
        <f>IF(База_КР_КК[[#This Row],[Таб.номер резервиста]]="-","-",IF(OR(База_КР_КК[[#This Row],[Уровень КК]]=2,База_КР_КК[[#This Row],[Уровень КК]]=3),IF(COUNTIFS($U$2:$U3387,$U3387,$F$2:$F3387,$F3387)=1,1,0),IF(COUNTIFS($U$2:$U3387,$U3387,$L$2:$L3387,$L3387)=1,1,0)))</f>
        <v>1</v>
      </c>
      <c r="AA33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7" s="106"/>
      <c r="AC3387" s="51"/>
      <c r="AD3387" s="106" t="s">
        <v>13</v>
      </c>
      <c r="AE3387" s="38" t="s">
        <v>376</v>
      </c>
    </row>
    <row r="3388" spans="1:31" ht="18" customHeight="1" x14ac:dyDescent="0.25">
      <c r="A33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8" s="79">
        <v>4</v>
      </c>
      <c r="C3388" s="23">
        <v>44125</v>
      </c>
      <c r="D3388" s="67">
        <f>IF(COUNTIF($G$2:$G3388,$G3388)=1,1,0)</f>
        <v>0</v>
      </c>
      <c r="E3388" s="67" t="str">
        <f>IFERROR(VLOOKUP(База_КР_КК[[#This Row],[ИД штатной должности (S)]],'уровень защищенности'!$B$7:$F$1095,5,0),"не защищена")</f>
        <v>высокий</v>
      </c>
      <c r="F3388" s="68">
        <v>500183</v>
      </c>
      <c r="G3388" s="74" t="s">
        <v>2959</v>
      </c>
      <c r="H3388" s="181">
        <f>INDEX('Списки данных'!$D$2:$D$1048576,MATCH(База_КР_КК[[#This Row],[Структурное подразделение]],'Списки данных'!$C$2:$C$1048576,0))</f>
        <v>7</v>
      </c>
      <c r="I3388" s="80" t="s">
        <v>137</v>
      </c>
      <c r="J3388" s="80" t="s">
        <v>248</v>
      </c>
      <c r="K3388" s="80" t="s">
        <v>249</v>
      </c>
      <c r="L3388" s="30" t="s">
        <v>191</v>
      </c>
      <c r="M3388" s="68">
        <v>6</v>
      </c>
      <c r="N3388" s="181" t="str">
        <f t="shared" si="53"/>
        <v>нет</v>
      </c>
      <c r="O3388" s="23"/>
      <c r="P3388" s="23"/>
      <c r="Q3388" s="106"/>
      <c r="R3388" s="37">
        <v>778</v>
      </c>
      <c r="S3388" s="38" t="s">
        <v>1187</v>
      </c>
      <c r="T3388" s="37">
        <v>1878</v>
      </c>
      <c r="U3388" s="38" t="s">
        <v>2081</v>
      </c>
      <c r="V3388" s="89" t="s">
        <v>272</v>
      </c>
      <c r="W3388" s="89" t="s">
        <v>137</v>
      </c>
      <c r="X3388" s="106" t="s">
        <v>295</v>
      </c>
      <c r="Y3388" s="107" t="s">
        <v>12</v>
      </c>
      <c r="Z3388" s="67">
        <f>IF(База_КР_КК[[#This Row],[Таб.номер резервиста]]="-","-",IF(OR(База_КР_КК[[#This Row],[Уровень КК]]=2,База_КР_КК[[#This Row],[Уровень КК]]=3),IF(COUNTIFS($U$2:$U3388,$U3388,$F$2:$F3388,$F3388)=1,1,0),IF(COUNTIFS($U$2:$U3388,$U3388,$L$2:$L3388,$L3388)=1,1,0)))</f>
        <v>1</v>
      </c>
      <c r="AA33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8" s="106"/>
      <c r="AC3388" s="51"/>
      <c r="AD3388" s="106" t="s">
        <v>17</v>
      </c>
      <c r="AE3388" s="38" t="s">
        <v>376</v>
      </c>
    </row>
    <row r="3389" spans="1:31" ht="18" customHeight="1" x14ac:dyDescent="0.25">
      <c r="A33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89" s="79">
        <v>4</v>
      </c>
      <c r="C3389" s="23">
        <v>44125</v>
      </c>
      <c r="D3389" s="67">
        <f>IF(COUNTIF($G$2:$G3389,$G3389)=1,1,0)</f>
        <v>0</v>
      </c>
      <c r="E3389" s="67" t="str">
        <f>IFERROR(VLOOKUP(База_КР_КК[[#This Row],[ИД штатной должности (S)]],'уровень защищенности'!$B$7:$F$1095,5,0),"не защищена")</f>
        <v>высокий</v>
      </c>
      <c r="F3389" s="68">
        <v>500183</v>
      </c>
      <c r="G3389" s="74" t="s">
        <v>2959</v>
      </c>
      <c r="H3389" s="181">
        <f>INDEX('Списки данных'!$D$2:$D$1048576,MATCH(База_КР_КК[[#This Row],[Структурное подразделение]],'Списки данных'!$C$2:$C$1048576,0))</f>
        <v>7</v>
      </c>
      <c r="I3389" s="80" t="s">
        <v>137</v>
      </c>
      <c r="J3389" s="80" t="s">
        <v>248</v>
      </c>
      <c r="K3389" s="80" t="s">
        <v>249</v>
      </c>
      <c r="L3389" s="30" t="s">
        <v>191</v>
      </c>
      <c r="M3389" s="68">
        <v>6</v>
      </c>
      <c r="N3389" s="181" t="str">
        <f t="shared" si="53"/>
        <v>нет</v>
      </c>
      <c r="O3389" s="23"/>
      <c r="P3389" s="23"/>
      <c r="Q3389" s="106"/>
      <c r="R3389" s="37">
        <v>778</v>
      </c>
      <c r="S3389" s="38" t="s">
        <v>1187</v>
      </c>
      <c r="T3389" s="37">
        <v>1879</v>
      </c>
      <c r="U3389" s="39" t="s">
        <v>2080</v>
      </c>
      <c r="V3389" s="89" t="s">
        <v>272</v>
      </c>
      <c r="W3389" s="89" t="s">
        <v>137</v>
      </c>
      <c r="X3389" s="106" t="s">
        <v>295</v>
      </c>
      <c r="Y3389" s="107" t="s">
        <v>12</v>
      </c>
      <c r="Z3389" s="67">
        <f>IF(База_КР_КК[[#This Row],[Таб.номер резервиста]]="-","-",IF(OR(База_КР_КК[[#This Row],[Уровень КК]]=2,База_КР_КК[[#This Row],[Уровень КК]]=3),IF(COUNTIFS($U$2:$U3389,$U3389,$F$2:$F3389,$F3389)=1,1,0),IF(COUNTIFS($U$2:$U3389,$U3389,$L$2:$L3389,$L3389)=1,1,0)))</f>
        <v>0</v>
      </c>
      <c r="AA33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89" s="106"/>
      <c r="AC3389" s="51"/>
      <c r="AD3389" s="106" t="s">
        <v>17</v>
      </c>
      <c r="AE3389" s="38" t="s">
        <v>376</v>
      </c>
    </row>
    <row r="3390" spans="1:31" ht="18" customHeight="1" x14ac:dyDescent="0.25">
      <c r="A33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0" s="79">
        <v>4</v>
      </c>
      <c r="C3390" s="23">
        <v>44125</v>
      </c>
      <c r="D3390" s="67">
        <f>IF(COUNTIF($G$2:$G3390,$G3390)=1,1,0)</f>
        <v>0</v>
      </c>
      <c r="E3390" s="67" t="str">
        <f>IFERROR(VLOOKUP(База_КР_КК[[#This Row],[ИД штатной должности (S)]],'уровень защищенности'!$B$7:$F$1095,5,0),"не защищена")</f>
        <v>высокий</v>
      </c>
      <c r="F3390" s="68">
        <v>500183</v>
      </c>
      <c r="G3390" s="74" t="s">
        <v>2959</v>
      </c>
      <c r="H3390" s="181">
        <f>INDEX('Списки данных'!$D$2:$D$1048576,MATCH(База_КР_КК[[#This Row],[Структурное подразделение]],'Списки данных'!$C$2:$C$1048576,0))</f>
        <v>7</v>
      </c>
      <c r="I3390" s="80" t="s">
        <v>137</v>
      </c>
      <c r="J3390" s="80" t="s">
        <v>248</v>
      </c>
      <c r="K3390" s="80" t="s">
        <v>249</v>
      </c>
      <c r="L3390" s="30" t="s">
        <v>191</v>
      </c>
      <c r="M3390" s="68">
        <v>6</v>
      </c>
      <c r="N3390" s="181" t="str">
        <f t="shared" ref="N3390:N3453" si="54">IF(ISBLANK(O3390),"нет","да")</f>
        <v>нет</v>
      </c>
      <c r="O3390" s="23"/>
      <c r="P3390" s="23"/>
      <c r="Q3390" s="106"/>
      <c r="R3390" s="37">
        <v>778</v>
      </c>
      <c r="S3390" s="38" t="s">
        <v>1187</v>
      </c>
      <c r="T3390" s="37">
        <v>1880</v>
      </c>
      <c r="U3390" s="39" t="s">
        <v>2082</v>
      </c>
      <c r="V3390" s="89" t="s">
        <v>272</v>
      </c>
      <c r="W3390" s="89" t="s">
        <v>137</v>
      </c>
      <c r="X3390" s="106" t="s">
        <v>295</v>
      </c>
      <c r="Y3390" s="107" t="s">
        <v>12</v>
      </c>
      <c r="Z3390" s="67">
        <f>IF(База_КР_КК[[#This Row],[Таб.номер резервиста]]="-","-",IF(OR(База_КР_КК[[#This Row],[Уровень КК]]=2,База_КР_КК[[#This Row],[Уровень КК]]=3),IF(COUNTIFS($U$2:$U3390,$U3390,$F$2:$F3390,$F3390)=1,1,0),IF(COUNTIFS($U$2:$U3390,$U3390,$L$2:$L3390,$L3390)=1,1,0)))</f>
        <v>1</v>
      </c>
      <c r="AA33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0" s="106"/>
      <c r="AC3390" s="51"/>
      <c r="AD3390" s="106" t="s">
        <v>17</v>
      </c>
      <c r="AE3390" s="38" t="s">
        <v>376</v>
      </c>
    </row>
    <row r="3391" spans="1:31" ht="18" customHeight="1" x14ac:dyDescent="0.25">
      <c r="A33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1" s="79">
        <v>4</v>
      </c>
      <c r="C3391" s="23">
        <v>44859</v>
      </c>
      <c r="D3391" s="67">
        <f>IF(COUNTIF($G$2:$G3391,$G3391)=1,1,0)</f>
        <v>0</v>
      </c>
      <c r="E3391" s="67" t="str">
        <f>IFERROR(VLOOKUP(База_КР_КК[[#This Row],[ИД штатной должности (S)]],'уровень защищенности'!$B$7:$F$1095,5,0),"не защищена")</f>
        <v>высокий</v>
      </c>
      <c r="F3391" s="68">
        <v>500183</v>
      </c>
      <c r="G3391" s="74" t="s">
        <v>2959</v>
      </c>
      <c r="H3391" s="181">
        <f>INDEX('Списки данных'!$D$2:$D$1048576,MATCH(База_КР_КК[[#This Row],[Структурное подразделение]],'Списки данных'!$C$2:$C$1048576,0))</f>
        <v>7</v>
      </c>
      <c r="I3391" s="80" t="s">
        <v>137</v>
      </c>
      <c r="J3391" s="80" t="s">
        <v>248</v>
      </c>
      <c r="K3391" s="80" t="s">
        <v>249</v>
      </c>
      <c r="L3391" s="30" t="s">
        <v>191</v>
      </c>
      <c r="M3391" s="68">
        <v>6</v>
      </c>
      <c r="N3391" s="181" t="str">
        <f t="shared" si="54"/>
        <v>нет</v>
      </c>
      <c r="O3391" s="23"/>
      <c r="P3391" s="23"/>
      <c r="Q3391" s="106"/>
      <c r="R3391" s="37">
        <v>778</v>
      </c>
      <c r="S3391" s="39" t="s">
        <v>1187</v>
      </c>
      <c r="T3391" s="37">
        <v>1881</v>
      </c>
      <c r="U3391" s="38" t="s">
        <v>1859</v>
      </c>
      <c r="V3391" s="89" t="s">
        <v>272</v>
      </c>
      <c r="W3391" s="89" t="s">
        <v>137</v>
      </c>
      <c r="X3391" s="106" t="s">
        <v>297</v>
      </c>
      <c r="Y3391" s="107" t="s">
        <v>12</v>
      </c>
      <c r="Z3391" s="67">
        <f>IF(База_КР_КК[[#This Row],[Таб.номер резервиста]]="-","-",IF(OR(База_КР_КК[[#This Row],[Уровень КК]]=2,База_КР_КК[[#This Row],[Уровень КК]]=3),IF(COUNTIFS($U$2:$U3391,$U3391,$F$2:$F3391,$F3391)=1,1,0),IF(COUNTIFS($U$2:$U3391,$U3391,$L$2:$L3391,$L3391)=1,1,0)))</f>
        <v>1</v>
      </c>
      <c r="AA33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1" s="106"/>
      <c r="AC3391" s="51"/>
      <c r="AD3391" s="106" t="s">
        <v>15</v>
      </c>
      <c r="AE3391" s="38" t="s">
        <v>376</v>
      </c>
    </row>
    <row r="3392" spans="1:31" ht="18" customHeight="1" x14ac:dyDescent="0.25">
      <c r="A33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2" s="79">
        <v>4</v>
      </c>
      <c r="C3392" s="23">
        <v>44859</v>
      </c>
      <c r="D3392" s="67">
        <f>IF(COUNTIF($G$2:$G3392,$G3392)=1,1,0)</f>
        <v>0</v>
      </c>
      <c r="E3392" s="67" t="str">
        <f>IFERROR(VLOOKUP(База_КР_КК[[#This Row],[ИД штатной должности (S)]],'уровень защищенности'!$B$7:$F$1095,5,0),"не защищена")</f>
        <v>высокий</v>
      </c>
      <c r="F3392" s="68">
        <v>500183</v>
      </c>
      <c r="G3392" s="74" t="s">
        <v>2959</v>
      </c>
      <c r="H3392" s="181">
        <f>INDEX('Списки данных'!$D$2:$D$1048576,MATCH(База_КР_КК[[#This Row],[Структурное подразделение]],'Списки данных'!$C$2:$C$1048576,0))</f>
        <v>7</v>
      </c>
      <c r="I3392" s="80" t="s">
        <v>137</v>
      </c>
      <c r="J3392" s="80" t="s">
        <v>248</v>
      </c>
      <c r="K3392" s="80" t="s">
        <v>249</v>
      </c>
      <c r="L3392" s="30" t="s">
        <v>191</v>
      </c>
      <c r="M3392" s="68">
        <v>6</v>
      </c>
      <c r="N3392" s="181" t="str">
        <f t="shared" si="54"/>
        <v>нет</v>
      </c>
      <c r="O3392" s="23"/>
      <c r="P3392" s="23"/>
      <c r="Q3392" s="106"/>
      <c r="R3392" s="37">
        <v>778</v>
      </c>
      <c r="S3392" s="39" t="s">
        <v>1187</v>
      </c>
      <c r="T3392" s="37">
        <v>1882</v>
      </c>
      <c r="U3392" s="38" t="s">
        <v>2083</v>
      </c>
      <c r="V3392" s="89" t="s">
        <v>272</v>
      </c>
      <c r="W3392" s="89" t="s">
        <v>137</v>
      </c>
      <c r="X3392" s="106" t="s">
        <v>297</v>
      </c>
      <c r="Y3392" s="107" t="s">
        <v>12</v>
      </c>
      <c r="Z3392" s="67">
        <f>IF(База_КР_КК[[#This Row],[Таб.номер резервиста]]="-","-",IF(OR(База_КР_КК[[#This Row],[Уровень КК]]=2,База_КР_КК[[#This Row],[Уровень КК]]=3),IF(COUNTIFS($U$2:$U3392,$U3392,$F$2:$F3392,$F3392)=1,1,0),IF(COUNTIFS($U$2:$U3392,$U3392,$L$2:$L3392,$L3392)=1,1,0)))</f>
        <v>1</v>
      </c>
      <c r="AA33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2" s="106"/>
      <c r="AC3392" s="51"/>
      <c r="AD3392" s="106" t="s">
        <v>15</v>
      </c>
      <c r="AE3392" s="38" t="s">
        <v>376</v>
      </c>
    </row>
    <row r="3393" spans="1:31" ht="18" customHeight="1" x14ac:dyDescent="0.25">
      <c r="A33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3" s="79">
        <v>4</v>
      </c>
      <c r="C3393" s="23">
        <v>44859</v>
      </c>
      <c r="D3393" s="67">
        <f>IF(COUNTIF($G$2:$G3393,$G3393)=1,1,0)</f>
        <v>0</v>
      </c>
      <c r="E3393" s="67" t="str">
        <f>IFERROR(VLOOKUP(База_КР_КК[[#This Row],[ИД штатной должности (S)]],'уровень защищенности'!$B$7:$F$1095,5,0),"не защищена")</f>
        <v>высокий</v>
      </c>
      <c r="F3393" s="68">
        <v>500183</v>
      </c>
      <c r="G3393" s="74" t="s">
        <v>2959</v>
      </c>
      <c r="H3393" s="181">
        <f>INDEX('Списки данных'!$D$2:$D$1048576,MATCH(База_КР_КК[[#This Row],[Структурное подразделение]],'Списки данных'!$C$2:$C$1048576,0))</f>
        <v>7</v>
      </c>
      <c r="I3393" s="80" t="s">
        <v>137</v>
      </c>
      <c r="J3393" s="80" t="s">
        <v>248</v>
      </c>
      <c r="K3393" s="80" t="s">
        <v>249</v>
      </c>
      <c r="L3393" s="30" t="s">
        <v>191</v>
      </c>
      <c r="M3393" s="68">
        <v>6</v>
      </c>
      <c r="N3393" s="181" t="str">
        <f t="shared" si="54"/>
        <v>нет</v>
      </c>
      <c r="O3393" s="23"/>
      <c r="P3393" s="23"/>
      <c r="Q3393" s="106"/>
      <c r="R3393" s="37">
        <v>778</v>
      </c>
      <c r="S3393" s="39" t="s">
        <v>1187</v>
      </c>
      <c r="T3393" s="37">
        <v>1883</v>
      </c>
      <c r="U3393" s="38" t="s">
        <v>1849</v>
      </c>
      <c r="V3393" s="89" t="s">
        <v>272</v>
      </c>
      <c r="W3393" s="89" t="s">
        <v>137</v>
      </c>
      <c r="X3393" s="106" t="s">
        <v>297</v>
      </c>
      <c r="Y3393" s="107" t="s">
        <v>12</v>
      </c>
      <c r="Z3393" s="67">
        <f>IF(База_КР_КК[[#This Row],[Таб.номер резервиста]]="-","-",IF(OR(База_КР_КК[[#This Row],[Уровень КК]]=2,База_КР_КК[[#This Row],[Уровень КК]]=3),IF(COUNTIFS($U$2:$U3393,$U3393,$F$2:$F3393,$F3393)=1,1,0),IF(COUNTIFS($U$2:$U3393,$U3393,$L$2:$L3393,$L3393)=1,1,0)))</f>
        <v>1</v>
      </c>
      <c r="AA33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3" s="106"/>
      <c r="AC3393" s="51"/>
      <c r="AD3393" s="106" t="s">
        <v>15</v>
      </c>
      <c r="AE3393" s="38" t="s">
        <v>376</v>
      </c>
    </row>
    <row r="3394" spans="1:31" ht="18" customHeight="1" x14ac:dyDescent="0.25">
      <c r="A33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4" s="79">
        <v>4</v>
      </c>
      <c r="C3394" s="23">
        <v>44125</v>
      </c>
      <c r="D3394" s="67">
        <f>IF(COUNTIF($G$2:$G3394,$G3394)=1,1,0)</f>
        <v>1</v>
      </c>
      <c r="E3394" s="67" t="str">
        <f>IFERROR(VLOOKUP(База_КР_КК[[#This Row],[ИД штатной должности (S)]],'уровень защищенности'!$B$7:$F$1095,5,0),"не защищена")</f>
        <v>высокий</v>
      </c>
      <c r="F3394" s="68">
        <v>500183</v>
      </c>
      <c r="G3394" s="74" t="s">
        <v>2960</v>
      </c>
      <c r="H3394" s="181">
        <f>INDEX('Списки данных'!$D$2:$D$1048576,MATCH(База_КР_КК[[#This Row],[Структурное подразделение]],'Списки данных'!$C$2:$C$1048576,0))</f>
        <v>7</v>
      </c>
      <c r="I3394" s="80" t="s">
        <v>137</v>
      </c>
      <c r="J3394" s="80" t="s">
        <v>248</v>
      </c>
      <c r="K3394" s="80" t="s">
        <v>249</v>
      </c>
      <c r="L3394" s="30" t="s">
        <v>191</v>
      </c>
      <c r="M3394" s="68">
        <v>6</v>
      </c>
      <c r="N3394" s="181" t="str">
        <f t="shared" si="54"/>
        <v>нет</v>
      </c>
      <c r="O3394" s="23"/>
      <c r="P3394" s="23"/>
      <c r="Q3394" s="106"/>
      <c r="R3394" s="37">
        <v>779</v>
      </c>
      <c r="S3394" s="38" t="s">
        <v>1188</v>
      </c>
      <c r="T3394" s="37">
        <v>1877</v>
      </c>
      <c r="U3394" s="39" t="s">
        <v>2080</v>
      </c>
      <c r="V3394" s="89" t="s">
        <v>272</v>
      </c>
      <c r="W3394" s="89" t="s">
        <v>137</v>
      </c>
      <c r="X3394" s="106" t="s">
        <v>295</v>
      </c>
      <c r="Y3394" s="107" t="s">
        <v>12</v>
      </c>
      <c r="Z3394" s="67">
        <f>IF(База_КР_КК[[#This Row],[Таб.номер резервиста]]="-","-",IF(OR(База_КР_КК[[#This Row],[Уровень КК]]=2,База_КР_КК[[#This Row],[Уровень КК]]=3),IF(COUNTIFS($U$2:$U3394,$U3394,$F$2:$F3394,$F3394)=1,1,0),IF(COUNTIFS($U$2:$U3394,$U3394,$L$2:$L3394,$L3394)=1,1,0)))</f>
        <v>0</v>
      </c>
      <c r="AA33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4" s="106"/>
      <c r="AC3394" s="51"/>
      <c r="AD3394" s="106" t="s">
        <v>13</v>
      </c>
      <c r="AE3394" s="38" t="s">
        <v>376</v>
      </c>
    </row>
    <row r="3395" spans="1:31" ht="18" customHeight="1" x14ac:dyDescent="0.25">
      <c r="A33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5" s="79">
        <v>4</v>
      </c>
      <c r="C3395" s="23">
        <v>44125</v>
      </c>
      <c r="D3395" s="67">
        <f>IF(COUNTIF($G$2:$G3395,$G3395)=1,1,0)</f>
        <v>0</v>
      </c>
      <c r="E3395" s="67" t="str">
        <f>IFERROR(VLOOKUP(База_КР_КК[[#This Row],[ИД штатной должности (S)]],'уровень защищенности'!$B$7:$F$1095,5,0),"не защищена")</f>
        <v>высокий</v>
      </c>
      <c r="F3395" s="68">
        <v>500183</v>
      </c>
      <c r="G3395" s="74" t="s">
        <v>2960</v>
      </c>
      <c r="H3395" s="181">
        <f>INDEX('Списки данных'!$D$2:$D$1048576,MATCH(База_КР_КК[[#This Row],[Структурное подразделение]],'Списки данных'!$C$2:$C$1048576,0))</f>
        <v>7</v>
      </c>
      <c r="I3395" s="80" t="s">
        <v>137</v>
      </c>
      <c r="J3395" s="80" t="s">
        <v>248</v>
      </c>
      <c r="K3395" s="80" t="s">
        <v>249</v>
      </c>
      <c r="L3395" s="30" t="s">
        <v>191</v>
      </c>
      <c r="M3395" s="68">
        <v>6</v>
      </c>
      <c r="N3395" s="181" t="str">
        <f t="shared" si="54"/>
        <v>нет</v>
      </c>
      <c r="O3395" s="23"/>
      <c r="P3395" s="23"/>
      <c r="Q3395" s="106"/>
      <c r="R3395" s="37">
        <v>779</v>
      </c>
      <c r="S3395" s="38" t="s">
        <v>1188</v>
      </c>
      <c r="T3395" s="37">
        <v>1878</v>
      </c>
      <c r="U3395" s="38" t="s">
        <v>2081</v>
      </c>
      <c r="V3395" s="89" t="s">
        <v>272</v>
      </c>
      <c r="W3395" s="89" t="s">
        <v>137</v>
      </c>
      <c r="X3395" s="106" t="s">
        <v>295</v>
      </c>
      <c r="Y3395" s="107" t="s">
        <v>12</v>
      </c>
      <c r="Z3395" s="67">
        <f>IF(База_КР_КК[[#This Row],[Таб.номер резервиста]]="-","-",IF(OR(База_КР_КК[[#This Row],[Уровень КК]]=2,База_КР_КК[[#This Row],[Уровень КК]]=3),IF(COUNTIFS($U$2:$U3395,$U3395,$F$2:$F3395,$F3395)=1,1,0),IF(COUNTIFS($U$2:$U3395,$U3395,$L$2:$L3395,$L3395)=1,1,0)))</f>
        <v>0</v>
      </c>
      <c r="AA33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5" s="106"/>
      <c r="AC3395" s="51"/>
      <c r="AD3395" s="106" t="s">
        <v>17</v>
      </c>
      <c r="AE3395" s="38" t="s">
        <v>376</v>
      </c>
    </row>
    <row r="3396" spans="1:31" ht="18" customHeight="1" x14ac:dyDescent="0.25">
      <c r="A33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6" s="79">
        <v>4</v>
      </c>
      <c r="C3396" s="23">
        <v>44125</v>
      </c>
      <c r="D3396" s="67">
        <f>IF(COUNTIF($G$2:$G3396,$G3396)=1,1,0)</f>
        <v>0</v>
      </c>
      <c r="E3396" s="67" t="str">
        <f>IFERROR(VLOOKUP(База_КР_КК[[#This Row],[ИД штатной должности (S)]],'уровень защищенности'!$B$7:$F$1095,5,0),"не защищена")</f>
        <v>высокий</v>
      </c>
      <c r="F3396" s="68">
        <v>500183</v>
      </c>
      <c r="G3396" s="74" t="s">
        <v>2960</v>
      </c>
      <c r="H3396" s="181">
        <f>INDEX('Списки данных'!$D$2:$D$1048576,MATCH(База_КР_КК[[#This Row],[Структурное подразделение]],'Списки данных'!$C$2:$C$1048576,0))</f>
        <v>7</v>
      </c>
      <c r="I3396" s="80" t="s">
        <v>137</v>
      </c>
      <c r="J3396" s="80" t="s">
        <v>248</v>
      </c>
      <c r="K3396" s="80" t="s">
        <v>249</v>
      </c>
      <c r="L3396" s="30" t="s">
        <v>191</v>
      </c>
      <c r="M3396" s="68">
        <v>6</v>
      </c>
      <c r="N3396" s="181" t="str">
        <f t="shared" si="54"/>
        <v>нет</v>
      </c>
      <c r="O3396" s="23"/>
      <c r="P3396" s="23"/>
      <c r="Q3396" s="106"/>
      <c r="R3396" s="37">
        <v>779</v>
      </c>
      <c r="S3396" s="38" t="s">
        <v>1188</v>
      </c>
      <c r="T3396" s="37">
        <v>1879</v>
      </c>
      <c r="U3396" s="39" t="s">
        <v>2080</v>
      </c>
      <c r="V3396" s="89" t="s">
        <v>272</v>
      </c>
      <c r="W3396" s="89" t="s">
        <v>137</v>
      </c>
      <c r="X3396" s="106" t="s">
        <v>295</v>
      </c>
      <c r="Y3396" s="107" t="s">
        <v>12</v>
      </c>
      <c r="Z3396" s="67">
        <f>IF(База_КР_КК[[#This Row],[Таб.номер резервиста]]="-","-",IF(OR(База_КР_КК[[#This Row],[Уровень КК]]=2,База_КР_КК[[#This Row],[Уровень КК]]=3),IF(COUNTIFS($U$2:$U3396,$U3396,$F$2:$F3396,$F3396)=1,1,0),IF(COUNTIFS($U$2:$U3396,$U3396,$L$2:$L3396,$L3396)=1,1,0)))</f>
        <v>0</v>
      </c>
      <c r="AA33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6" s="106"/>
      <c r="AC3396" s="51"/>
      <c r="AD3396" s="106" t="s">
        <v>17</v>
      </c>
      <c r="AE3396" s="38" t="s">
        <v>376</v>
      </c>
    </row>
    <row r="3397" spans="1:31" ht="18" customHeight="1" x14ac:dyDescent="0.25">
      <c r="A33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7" s="79">
        <v>4</v>
      </c>
      <c r="C3397" s="23">
        <v>44125</v>
      </c>
      <c r="D3397" s="67">
        <f>IF(COUNTIF($G$2:$G3397,$G3397)=1,1,0)</f>
        <v>0</v>
      </c>
      <c r="E3397" s="67" t="str">
        <f>IFERROR(VLOOKUP(База_КР_КК[[#This Row],[ИД штатной должности (S)]],'уровень защищенности'!$B$7:$F$1095,5,0),"не защищена")</f>
        <v>высокий</v>
      </c>
      <c r="F3397" s="68">
        <v>500183</v>
      </c>
      <c r="G3397" s="74" t="s">
        <v>2960</v>
      </c>
      <c r="H3397" s="181">
        <f>INDEX('Списки данных'!$D$2:$D$1048576,MATCH(База_КР_КК[[#This Row],[Структурное подразделение]],'Списки данных'!$C$2:$C$1048576,0))</f>
        <v>7</v>
      </c>
      <c r="I3397" s="80" t="s">
        <v>137</v>
      </c>
      <c r="J3397" s="80" t="s">
        <v>248</v>
      </c>
      <c r="K3397" s="80" t="s">
        <v>249</v>
      </c>
      <c r="L3397" s="30" t="s">
        <v>191</v>
      </c>
      <c r="M3397" s="68">
        <v>6</v>
      </c>
      <c r="N3397" s="181" t="str">
        <f t="shared" si="54"/>
        <v>нет</v>
      </c>
      <c r="O3397" s="23"/>
      <c r="P3397" s="23"/>
      <c r="Q3397" s="106"/>
      <c r="R3397" s="37">
        <v>779</v>
      </c>
      <c r="S3397" s="38" t="s">
        <v>1188</v>
      </c>
      <c r="T3397" s="37">
        <v>1880</v>
      </c>
      <c r="U3397" s="39" t="s">
        <v>2082</v>
      </c>
      <c r="V3397" s="89" t="s">
        <v>272</v>
      </c>
      <c r="W3397" s="89" t="s">
        <v>137</v>
      </c>
      <c r="X3397" s="106" t="s">
        <v>295</v>
      </c>
      <c r="Y3397" s="107" t="s">
        <v>12</v>
      </c>
      <c r="Z3397" s="67">
        <f>IF(База_КР_КК[[#This Row],[Таб.номер резервиста]]="-","-",IF(OR(База_КР_КК[[#This Row],[Уровень КК]]=2,База_КР_КК[[#This Row],[Уровень КК]]=3),IF(COUNTIFS($U$2:$U3397,$U3397,$F$2:$F3397,$F3397)=1,1,0),IF(COUNTIFS($U$2:$U3397,$U3397,$L$2:$L3397,$L3397)=1,1,0)))</f>
        <v>0</v>
      </c>
      <c r="AA33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7" s="106"/>
      <c r="AC3397" s="51"/>
      <c r="AD3397" s="106" t="s">
        <v>17</v>
      </c>
      <c r="AE3397" s="38" t="s">
        <v>376</v>
      </c>
    </row>
    <row r="3398" spans="1:31" ht="18" customHeight="1" x14ac:dyDescent="0.25">
      <c r="A33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8" s="79">
        <v>4</v>
      </c>
      <c r="C3398" s="23">
        <v>44859</v>
      </c>
      <c r="D3398" s="67">
        <f>IF(COUNTIF($G$2:$G3398,$G3398)=1,1,0)</f>
        <v>0</v>
      </c>
      <c r="E3398" s="67" t="str">
        <f>IFERROR(VLOOKUP(База_КР_КК[[#This Row],[ИД штатной должности (S)]],'уровень защищенности'!$B$7:$F$1095,5,0),"не защищена")</f>
        <v>высокий</v>
      </c>
      <c r="F3398" s="68">
        <v>500183</v>
      </c>
      <c r="G3398" s="74" t="s">
        <v>2960</v>
      </c>
      <c r="H3398" s="181">
        <f>INDEX('Списки данных'!$D$2:$D$1048576,MATCH(База_КР_КК[[#This Row],[Структурное подразделение]],'Списки данных'!$C$2:$C$1048576,0))</f>
        <v>7</v>
      </c>
      <c r="I3398" s="80" t="s">
        <v>137</v>
      </c>
      <c r="J3398" s="80" t="s">
        <v>248</v>
      </c>
      <c r="K3398" s="80" t="s">
        <v>249</v>
      </c>
      <c r="L3398" s="30" t="s">
        <v>191</v>
      </c>
      <c r="M3398" s="68">
        <v>6</v>
      </c>
      <c r="N3398" s="181" t="str">
        <f t="shared" si="54"/>
        <v>нет</v>
      </c>
      <c r="O3398" s="23"/>
      <c r="P3398" s="23"/>
      <c r="Q3398" s="106"/>
      <c r="R3398" s="37">
        <v>779</v>
      </c>
      <c r="S3398" s="39" t="s">
        <v>1188</v>
      </c>
      <c r="T3398" s="37">
        <v>1881</v>
      </c>
      <c r="U3398" s="38" t="s">
        <v>1859</v>
      </c>
      <c r="V3398" s="89" t="s">
        <v>272</v>
      </c>
      <c r="W3398" s="89" t="s">
        <v>137</v>
      </c>
      <c r="X3398" s="106" t="s">
        <v>297</v>
      </c>
      <c r="Y3398" s="107" t="s">
        <v>12</v>
      </c>
      <c r="Z3398" s="67">
        <f>IF(База_КР_КК[[#This Row],[Таб.номер резервиста]]="-","-",IF(OR(База_КР_КК[[#This Row],[Уровень КК]]=2,База_КР_КК[[#This Row],[Уровень КК]]=3),IF(COUNTIFS($U$2:$U3398,$U3398,$F$2:$F3398,$F3398)=1,1,0),IF(COUNTIFS($U$2:$U3398,$U3398,$L$2:$L3398,$L3398)=1,1,0)))</f>
        <v>0</v>
      </c>
      <c r="AA33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8" s="106"/>
      <c r="AC3398" s="51"/>
      <c r="AD3398" s="106" t="s">
        <v>15</v>
      </c>
      <c r="AE3398" s="38" t="s">
        <v>376</v>
      </c>
    </row>
    <row r="3399" spans="1:31" ht="18" customHeight="1" x14ac:dyDescent="0.25">
      <c r="A33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399" s="79">
        <v>4</v>
      </c>
      <c r="C3399" s="23">
        <v>44859</v>
      </c>
      <c r="D3399" s="67">
        <f>IF(COUNTIF($G$2:$G3399,$G3399)=1,1,0)</f>
        <v>0</v>
      </c>
      <c r="E3399" s="67" t="str">
        <f>IFERROR(VLOOKUP(База_КР_КК[[#This Row],[ИД штатной должности (S)]],'уровень защищенности'!$B$7:$F$1095,5,0),"не защищена")</f>
        <v>высокий</v>
      </c>
      <c r="F3399" s="68">
        <v>500183</v>
      </c>
      <c r="G3399" s="74" t="s">
        <v>2960</v>
      </c>
      <c r="H3399" s="181">
        <f>INDEX('Списки данных'!$D$2:$D$1048576,MATCH(База_КР_КК[[#This Row],[Структурное подразделение]],'Списки данных'!$C$2:$C$1048576,0))</f>
        <v>7</v>
      </c>
      <c r="I3399" s="80" t="s">
        <v>137</v>
      </c>
      <c r="J3399" s="80" t="s">
        <v>248</v>
      </c>
      <c r="K3399" s="80" t="s">
        <v>249</v>
      </c>
      <c r="L3399" s="30" t="s">
        <v>191</v>
      </c>
      <c r="M3399" s="68">
        <v>6</v>
      </c>
      <c r="N3399" s="181" t="str">
        <f t="shared" si="54"/>
        <v>нет</v>
      </c>
      <c r="O3399" s="23"/>
      <c r="P3399" s="23"/>
      <c r="Q3399" s="106"/>
      <c r="R3399" s="37">
        <v>779</v>
      </c>
      <c r="S3399" s="39" t="s">
        <v>1188</v>
      </c>
      <c r="T3399" s="37">
        <v>1882</v>
      </c>
      <c r="U3399" s="38" t="s">
        <v>2083</v>
      </c>
      <c r="V3399" s="89" t="s">
        <v>272</v>
      </c>
      <c r="W3399" s="89" t="s">
        <v>137</v>
      </c>
      <c r="X3399" s="106" t="s">
        <v>297</v>
      </c>
      <c r="Y3399" s="107" t="s">
        <v>12</v>
      </c>
      <c r="Z3399" s="67">
        <f>IF(База_КР_КК[[#This Row],[Таб.номер резервиста]]="-","-",IF(OR(База_КР_КК[[#This Row],[Уровень КК]]=2,База_КР_КК[[#This Row],[Уровень КК]]=3),IF(COUNTIFS($U$2:$U3399,$U3399,$F$2:$F3399,$F3399)=1,1,0),IF(COUNTIFS($U$2:$U3399,$U3399,$L$2:$L3399,$L3399)=1,1,0)))</f>
        <v>0</v>
      </c>
      <c r="AA33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399" s="106"/>
      <c r="AC3399" s="51"/>
      <c r="AD3399" s="106" t="s">
        <v>15</v>
      </c>
      <c r="AE3399" s="38" t="s">
        <v>376</v>
      </c>
    </row>
    <row r="3400" spans="1:31" ht="18" customHeight="1" x14ac:dyDescent="0.25">
      <c r="A34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0" s="79">
        <v>4</v>
      </c>
      <c r="C3400" s="23">
        <v>44859</v>
      </c>
      <c r="D3400" s="67">
        <f>IF(COUNTIF($G$2:$G3400,$G3400)=1,1,0)</f>
        <v>0</v>
      </c>
      <c r="E3400" s="67" t="str">
        <f>IFERROR(VLOOKUP(База_КР_КК[[#This Row],[ИД штатной должности (S)]],'уровень защищенности'!$B$7:$F$1095,5,0),"не защищена")</f>
        <v>высокий</v>
      </c>
      <c r="F3400" s="68">
        <v>500183</v>
      </c>
      <c r="G3400" s="74" t="s">
        <v>2960</v>
      </c>
      <c r="H3400" s="181">
        <f>INDEX('Списки данных'!$D$2:$D$1048576,MATCH(База_КР_КК[[#This Row],[Структурное подразделение]],'Списки данных'!$C$2:$C$1048576,0))</f>
        <v>7</v>
      </c>
      <c r="I3400" s="80" t="s">
        <v>137</v>
      </c>
      <c r="J3400" s="80" t="s">
        <v>248</v>
      </c>
      <c r="K3400" s="80" t="s">
        <v>249</v>
      </c>
      <c r="L3400" s="30" t="s">
        <v>191</v>
      </c>
      <c r="M3400" s="68">
        <v>6</v>
      </c>
      <c r="N3400" s="181" t="str">
        <f t="shared" si="54"/>
        <v>нет</v>
      </c>
      <c r="O3400" s="23"/>
      <c r="P3400" s="23"/>
      <c r="Q3400" s="106"/>
      <c r="R3400" s="37">
        <v>779</v>
      </c>
      <c r="S3400" s="39" t="s">
        <v>1188</v>
      </c>
      <c r="T3400" s="37">
        <v>1883</v>
      </c>
      <c r="U3400" s="38" t="s">
        <v>1849</v>
      </c>
      <c r="V3400" s="89" t="s">
        <v>272</v>
      </c>
      <c r="W3400" s="89" t="s">
        <v>137</v>
      </c>
      <c r="X3400" s="106" t="s">
        <v>297</v>
      </c>
      <c r="Y3400" s="107" t="s">
        <v>12</v>
      </c>
      <c r="Z3400" s="67">
        <f>IF(База_КР_КК[[#This Row],[Таб.номер резервиста]]="-","-",IF(OR(База_КР_КК[[#This Row],[Уровень КК]]=2,База_КР_КК[[#This Row],[Уровень КК]]=3),IF(COUNTIFS($U$2:$U3400,$U3400,$F$2:$F3400,$F3400)=1,1,0),IF(COUNTIFS($U$2:$U3400,$U3400,$L$2:$L3400,$L3400)=1,1,0)))</f>
        <v>0</v>
      </c>
      <c r="AA34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0" s="106"/>
      <c r="AC3400" s="51"/>
      <c r="AD3400" s="106" t="s">
        <v>15</v>
      </c>
      <c r="AE3400" s="38" t="s">
        <v>376</v>
      </c>
    </row>
    <row r="3401" spans="1:31" ht="18" customHeight="1" x14ac:dyDescent="0.25">
      <c r="A34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1" s="79">
        <v>4</v>
      </c>
      <c r="C3401" s="23">
        <v>44125</v>
      </c>
      <c r="D3401" s="67">
        <f>IF(COUNTIF($G$2:$G3401,$G3401)=1,1,0)</f>
        <v>1</v>
      </c>
      <c r="E3401" s="67" t="str">
        <f>IFERROR(VLOOKUP(База_КР_КК[[#This Row],[ИД штатной должности (S)]],'уровень защищенности'!$B$7:$F$1095,5,0),"не защищена")</f>
        <v>высокий</v>
      </c>
      <c r="F3401" s="68">
        <v>500183</v>
      </c>
      <c r="G3401" s="74" t="s">
        <v>2961</v>
      </c>
      <c r="H3401" s="181">
        <f>INDEX('Списки данных'!$D$2:$D$1048576,MATCH(База_КР_КК[[#This Row],[Структурное подразделение]],'Списки данных'!$C$2:$C$1048576,0))</f>
        <v>7</v>
      </c>
      <c r="I3401" s="80" t="s">
        <v>137</v>
      </c>
      <c r="J3401" s="80" t="s">
        <v>248</v>
      </c>
      <c r="K3401" s="80" t="s">
        <v>249</v>
      </c>
      <c r="L3401" s="30" t="s">
        <v>191</v>
      </c>
      <c r="M3401" s="68">
        <v>6</v>
      </c>
      <c r="N3401" s="181" t="str">
        <f t="shared" si="54"/>
        <v>нет</v>
      </c>
      <c r="O3401" s="23"/>
      <c r="P3401" s="23"/>
      <c r="Q3401" s="106"/>
      <c r="R3401" s="37">
        <v>780</v>
      </c>
      <c r="S3401" s="38" t="s">
        <v>1189</v>
      </c>
      <c r="T3401" s="37">
        <v>1877</v>
      </c>
      <c r="U3401" s="39" t="s">
        <v>2080</v>
      </c>
      <c r="V3401" s="89" t="s">
        <v>272</v>
      </c>
      <c r="W3401" s="89" t="s">
        <v>137</v>
      </c>
      <c r="X3401" s="106" t="s">
        <v>295</v>
      </c>
      <c r="Y3401" s="107" t="s">
        <v>12</v>
      </c>
      <c r="Z3401" s="67">
        <f>IF(База_КР_КК[[#This Row],[Таб.номер резервиста]]="-","-",IF(OR(База_КР_КК[[#This Row],[Уровень КК]]=2,База_КР_КК[[#This Row],[Уровень КК]]=3),IF(COUNTIFS($U$2:$U3401,$U3401,$F$2:$F3401,$F3401)=1,1,0),IF(COUNTIFS($U$2:$U3401,$U3401,$L$2:$L3401,$L3401)=1,1,0)))</f>
        <v>0</v>
      </c>
      <c r="AA34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1" s="106"/>
      <c r="AC3401" s="51"/>
      <c r="AD3401" s="106" t="s">
        <v>13</v>
      </c>
      <c r="AE3401" s="38" t="s">
        <v>376</v>
      </c>
    </row>
    <row r="3402" spans="1:31" ht="18" customHeight="1" x14ac:dyDescent="0.25">
      <c r="A34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2" s="79">
        <v>4</v>
      </c>
      <c r="C3402" s="23">
        <v>44125</v>
      </c>
      <c r="D3402" s="67">
        <f>IF(COUNTIF($G$2:$G3402,$G3402)=1,1,0)</f>
        <v>0</v>
      </c>
      <c r="E3402" s="67" t="str">
        <f>IFERROR(VLOOKUP(База_КР_КК[[#This Row],[ИД штатной должности (S)]],'уровень защищенности'!$B$7:$F$1095,5,0),"не защищена")</f>
        <v>высокий</v>
      </c>
      <c r="F3402" s="68">
        <v>500183</v>
      </c>
      <c r="G3402" s="74" t="s">
        <v>2961</v>
      </c>
      <c r="H3402" s="181">
        <f>INDEX('Списки данных'!$D$2:$D$1048576,MATCH(База_КР_КК[[#This Row],[Структурное подразделение]],'Списки данных'!$C$2:$C$1048576,0))</f>
        <v>7</v>
      </c>
      <c r="I3402" s="80" t="s">
        <v>137</v>
      </c>
      <c r="J3402" s="80" t="s">
        <v>248</v>
      </c>
      <c r="K3402" s="80" t="s">
        <v>249</v>
      </c>
      <c r="L3402" s="30" t="s">
        <v>191</v>
      </c>
      <c r="M3402" s="68">
        <v>6</v>
      </c>
      <c r="N3402" s="181" t="str">
        <f t="shared" si="54"/>
        <v>нет</v>
      </c>
      <c r="O3402" s="23"/>
      <c r="P3402" s="23"/>
      <c r="Q3402" s="106"/>
      <c r="R3402" s="37">
        <v>780</v>
      </c>
      <c r="S3402" s="38" t="s">
        <v>1189</v>
      </c>
      <c r="T3402" s="37">
        <v>1878</v>
      </c>
      <c r="U3402" s="38" t="s">
        <v>2081</v>
      </c>
      <c r="V3402" s="89" t="s">
        <v>272</v>
      </c>
      <c r="W3402" s="89" t="s">
        <v>137</v>
      </c>
      <c r="X3402" s="106" t="s">
        <v>295</v>
      </c>
      <c r="Y3402" s="107" t="s">
        <v>12</v>
      </c>
      <c r="Z3402" s="67">
        <f>IF(База_КР_КК[[#This Row],[Таб.номер резервиста]]="-","-",IF(OR(База_КР_КК[[#This Row],[Уровень КК]]=2,База_КР_КК[[#This Row],[Уровень КК]]=3),IF(COUNTIFS($U$2:$U3402,$U3402,$F$2:$F3402,$F3402)=1,1,0),IF(COUNTIFS($U$2:$U3402,$U3402,$L$2:$L3402,$L3402)=1,1,0)))</f>
        <v>0</v>
      </c>
      <c r="AA34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2" s="106"/>
      <c r="AC3402" s="51"/>
      <c r="AD3402" s="106" t="s">
        <v>17</v>
      </c>
      <c r="AE3402" s="38" t="s">
        <v>376</v>
      </c>
    </row>
    <row r="3403" spans="1:31" ht="18" customHeight="1" x14ac:dyDescent="0.25">
      <c r="A34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3" s="79">
        <v>4</v>
      </c>
      <c r="C3403" s="23">
        <v>44125</v>
      </c>
      <c r="D3403" s="67">
        <f>IF(COUNTIF($G$2:$G3403,$G3403)=1,1,0)</f>
        <v>0</v>
      </c>
      <c r="E3403" s="67" t="str">
        <f>IFERROR(VLOOKUP(База_КР_КК[[#This Row],[ИД штатной должности (S)]],'уровень защищенности'!$B$7:$F$1095,5,0),"не защищена")</f>
        <v>высокий</v>
      </c>
      <c r="F3403" s="68">
        <v>500183</v>
      </c>
      <c r="G3403" s="74" t="s">
        <v>2961</v>
      </c>
      <c r="H3403" s="181">
        <f>INDEX('Списки данных'!$D$2:$D$1048576,MATCH(База_КР_КК[[#This Row],[Структурное подразделение]],'Списки данных'!$C$2:$C$1048576,0))</f>
        <v>7</v>
      </c>
      <c r="I3403" s="80" t="s">
        <v>137</v>
      </c>
      <c r="J3403" s="80" t="s">
        <v>248</v>
      </c>
      <c r="K3403" s="80" t="s">
        <v>249</v>
      </c>
      <c r="L3403" s="30" t="s">
        <v>191</v>
      </c>
      <c r="M3403" s="68">
        <v>6</v>
      </c>
      <c r="N3403" s="181" t="str">
        <f t="shared" si="54"/>
        <v>нет</v>
      </c>
      <c r="O3403" s="23"/>
      <c r="P3403" s="23"/>
      <c r="Q3403" s="106"/>
      <c r="R3403" s="37">
        <v>780</v>
      </c>
      <c r="S3403" s="38" t="s">
        <v>1189</v>
      </c>
      <c r="T3403" s="37">
        <v>1879</v>
      </c>
      <c r="U3403" s="39" t="s">
        <v>2080</v>
      </c>
      <c r="V3403" s="89" t="s">
        <v>272</v>
      </c>
      <c r="W3403" s="89" t="s">
        <v>137</v>
      </c>
      <c r="X3403" s="106" t="s">
        <v>295</v>
      </c>
      <c r="Y3403" s="107" t="s">
        <v>12</v>
      </c>
      <c r="Z3403" s="67">
        <f>IF(База_КР_КК[[#This Row],[Таб.номер резервиста]]="-","-",IF(OR(База_КР_КК[[#This Row],[Уровень КК]]=2,База_КР_КК[[#This Row],[Уровень КК]]=3),IF(COUNTIFS($U$2:$U3403,$U3403,$F$2:$F3403,$F3403)=1,1,0),IF(COUNTIFS($U$2:$U3403,$U3403,$L$2:$L3403,$L3403)=1,1,0)))</f>
        <v>0</v>
      </c>
      <c r="AA34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3" s="106"/>
      <c r="AC3403" s="51"/>
      <c r="AD3403" s="106" t="s">
        <v>17</v>
      </c>
      <c r="AE3403" s="38" t="s">
        <v>376</v>
      </c>
    </row>
    <row r="3404" spans="1:31" ht="18" customHeight="1" x14ac:dyDescent="0.25">
      <c r="A34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4" s="79">
        <v>4</v>
      </c>
      <c r="C3404" s="23">
        <v>44125</v>
      </c>
      <c r="D3404" s="67">
        <f>IF(COUNTIF($G$2:$G3404,$G3404)=1,1,0)</f>
        <v>0</v>
      </c>
      <c r="E3404" s="67" t="str">
        <f>IFERROR(VLOOKUP(База_КР_КК[[#This Row],[ИД штатной должности (S)]],'уровень защищенности'!$B$7:$F$1095,5,0),"не защищена")</f>
        <v>высокий</v>
      </c>
      <c r="F3404" s="68">
        <v>500183</v>
      </c>
      <c r="G3404" s="74" t="s">
        <v>2961</v>
      </c>
      <c r="H3404" s="181">
        <f>INDEX('Списки данных'!$D$2:$D$1048576,MATCH(База_КР_КК[[#This Row],[Структурное подразделение]],'Списки данных'!$C$2:$C$1048576,0))</f>
        <v>7</v>
      </c>
      <c r="I3404" s="80" t="s">
        <v>137</v>
      </c>
      <c r="J3404" s="80" t="s">
        <v>248</v>
      </c>
      <c r="K3404" s="80" t="s">
        <v>249</v>
      </c>
      <c r="L3404" s="30" t="s">
        <v>191</v>
      </c>
      <c r="M3404" s="68">
        <v>6</v>
      </c>
      <c r="N3404" s="181" t="str">
        <f t="shared" si="54"/>
        <v>нет</v>
      </c>
      <c r="O3404" s="23"/>
      <c r="P3404" s="23"/>
      <c r="Q3404" s="106"/>
      <c r="R3404" s="37">
        <v>780</v>
      </c>
      <c r="S3404" s="38" t="s">
        <v>1189</v>
      </c>
      <c r="T3404" s="37">
        <v>1880</v>
      </c>
      <c r="U3404" s="39" t="s">
        <v>2082</v>
      </c>
      <c r="V3404" s="89" t="s">
        <v>272</v>
      </c>
      <c r="W3404" s="89" t="s">
        <v>137</v>
      </c>
      <c r="X3404" s="106" t="s">
        <v>295</v>
      </c>
      <c r="Y3404" s="107" t="s">
        <v>12</v>
      </c>
      <c r="Z3404" s="67">
        <f>IF(База_КР_КК[[#This Row],[Таб.номер резервиста]]="-","-",IF(OR(База_КР_КК[[#This Row],[Уровень КК]]=2,База_КР_КК[[#This Row],[Уровень КК]]=3),IF(COUNTIFS($U$2:$U3404,$U3404,$F$2:$F3404,$F3404)=1,1,0),IF(COUNTIFS($U$2:$U3404,$U3404,$L$2:$L3404,$L3404)=1,1,0)))</f>
        <v>0</v>
      </c>
      <c r="AA34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4" s="106"/>
      <c r="AC3404" s="51"/>
      <c r="AD3404" s="106" t="s">
        <v>17</v>
      </c>
      <c r="AE3404" s="38" t="s">
        <v>376</v>
      </c>
    </row>
    <row r="3405" spans="1:31" ht="18" customHeight="1" x14ac:dyDescent="0.25">
      <c r="A34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5" s="79">
        <v>4</v>
      </c>
      <c r="C3405" s="23">
        <v>44859</v>
      </c>
      <c r="D3405" s="67">
        <f>IF(COUNTIF($G$2:$G3405,$G3405)=1,1,0)</f>
        <v>0</v>
      </c>
      <c r="E3405" s="67" t="str">
        <f>IFERROR(VLOOKUP(База_КР_КК[[#This Row],[ИД штатной должности (S)]],'уровень защищенности'!$B$7:$F$1095,5,0),"не защищена")</f>
        <v>высокий</v>
      </c>
      <c r="F3405" s="68">
        <v>500183</v>
      </c>
      <c r="G3405" s="74" t="s">
        <v>2961</v>
      </c>
      <c r="H3405" s="181">
        <f>INDEX('Списки данных'!$D$2:$D$1048576,MATCH(База_КР_КК[[#This Row],[Структурное подразделение]],'Списки данных'!$C$2:$C$1048576,0))</f>
        <v>7</v>
      </c>
      <c r="I3405" s="80" t="s">
        <v>137</v>
      </c>
      <c r="J3405" s="80" t="s">
        <v>248</v>
      </c>
      <c r="K3405" s="80" t="s">
        <v>249</v>
      </c>
      <c r="L3405" s="30" t="s">
        <v>191</v>
      </c>
      <c r="M3405" s="68">
        <v>6</v>
      </c>
      <c r="N3405" s="181" t="str">
        <f t="shared" si="54"/>
        <v>нет</v>
      </c>
      <c r="O3405" s="23"/>
      <c r="P3405" s="23"/>
      <c r="Q3405" s="106"/>
      <c r="R3405" s="37">
        <v>780</v>
      </c>
      <c r="S3405" s="39" t="s">
        <v>1189</v>
      </c>
      <c r="T3405" s="37">
        <v>1881</v>
      </c>
      <c r="U3405" s="38" t="s">
        <v>1859</v>
      </c>
      <c r="V3405" s="89" t="s">
        <v>272</v>
      </c>
      <c r="W3405" s="89" t="s">
        <v>137</v>
      </c>
      <c r="X3405" s="106" t="s">
        <v>297</v>
      </c>
      <c r="Y3405" s="107" t="s">
        <v>12</v>
      </c>
      <c r="Z3405" s="67">
        <f>IF(База_КР_КК[[#This Row],[Таб.номер резервиста]]="-","-",IF(OR(База_КР_КК[[#This Row],[Уровень КК]]=2,База_КР_КК[[#This Row],[Уровень КК]]=3),IF(COUNTIFS($U$2:$U3405,$U3405,$F$2:$F3405,$F3405)=1,1,0),IF(COUNTIFS($U$2:$U3405,$U3405,$L$2:$L3405,$L3405)=1,1,0)))</f>
        <v>0</v>
      </c>
      <c r="AA34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5" s="106"/>
      <c r="AC3405" s="51"/>
      <c r="AD3405" s="106" t="s">
        <v>15</v>
      </c>
      <c r="AE3405" s="38" t="s">
        <v>376</v>
      </c>
    </row>
    <row r="3406" spans="1:31" ht="18" customHeight="1" x14ac:dyDescent="0.25">
      <c r="A34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6" s="79">
        <v>4</v>
      </c>
      <c r="C3406" s="23">
        <v>44859</v>
      </c>
      <c r="D3406" s="67">
        <f>IF(COUNTIF($G$2:$G3406,$G3406)=1,1,0)</f>
        <v>0</v>
      </c>
      <c r="E3406" s="67" t="str">
        <f>IFERROR(VLOOKUP(База_КР_КК[[#This Row],[ИД штатной должности (S)]],'уровень защищенности'!$B$7:$F$1095,5,0),"не защищена")</f>
        <v>высокий</v>
      </c>
      <c r="F3406" s="68">
        <v>500183</v>
      </c>
      <c r="G3406" s="74" t="s">
        <v>2961</v>
      </c>
      <c r="H3406" s="181">
        <f>INDEX('Списки данных'!$D$2:$D$1048576,MATCH(База_КР_КК[[#This Row],[Структурное подразделение]],'Списки данных'!$C$2:$C$1048576,0))</f>
        <v>7</v>
      </c>
      <c r="I3406" s="80" t="s">
        <v>137</v>
      </c>
      <c r="J3406" s="80" t="s">
        <v>248</v>
      </c>
      <c r="K3406" s="80" t="s">
        <v>249</v>
      </c>
      <c r="L3406" s="30" t="s">
        <v>191</v>
      </c>
      <c r="M3406" s="68">
        <v>6</v>
      </c>
      <c r="N3406" s="181" t="str">
        <f t="shared" si="54"/>
        <v>нет</v>
      </c>
      <c r="O3406" s="23"/>
      <c r="P3406" s="23"/>
      <c r="Q3406" s="106"/>
      <c r="R3406" s="37">
        <v>780</v>
      </c>
      <c r="S3406" s="39" t="s">
        <v>1189</v>
      </c>
      <c r="T3406" s="37">
        <v>1882</v>
      </c>
      <c r="U3406" s="38" t="s">
        <v>2083</v>
      </c>
      <c r="V3406" s="89" t="s">
        <v>272</v>
      </c>
      <c r="W3406" s="89" t="s">
        <v>137</v>
      </c>
      <c r="X3406" s="106" t="s">
        <v>297</v>
      </c>
      <c r="Y3406" s="107" t="s">
        <v>12</v>
      </c>
      <c r="Z3406" s="67">
        <f>IF(База_КР_КК[[#This Row],[Таб.номер резервиста]]="-","-",IF(OR(База_КР_КК[[#This Row],[Уровень КК]]=2,База_КР_КК[[#This Row],[Уровень КК]]=3),IF(COUNTIFS($U$2:$U3406,$U3406,$F$2:$F3406,$F3406)=1,1,0),IF(COUNTIFS($U$2:$U3406,$U3406,$L$2:$L3406,$L3406)=1,1,0)))</f>
        <v>0</v>
      </c>
      <c r="AA34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6" s="106"/>
      <c r="AC3406" s="51"/>
      <c r="AD3406" s="106" t="s">
        <v>15</v>
      </c>
      <c r="AE3406" s="38" t="s">
        <v>376</v>
      </c>
    </row>
    <row r="3407" spans="1:31" ht="18" customHeight="1" x14ac:dyDescent="0.25">
      <c r="A34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7" s="79">
        <v>4</v>
      </c>
      <c r="C3407" s="23">
        <v>44859</v>
      </c>
      <c r="D3407" s="67">
        <f>IF(COUNTIF($G$2:$G3407,$G3407)=1,1,0)</f>
        <v>0</v>
      </c>
      <c r="E3407" s="67" t="str">
        <f>IFERROR(VLOOKUP(База_КР_КК[[#This Row],[ИД штатной должности (S)]],'уровень защищенности'!$B$7:$F$1095,5,0),"не защищена")</f>
        <v>высокий</v>
      </c>
      <c r="F3407" s="68">
        <v>500183</v>
      </c>
      <c r="G3407" s="74" t="s">
        <v>2961</v>
      </c>
      <c r="H3407" s="181">
        <f>INDEX('Списки данных'!$D$2:$D$1048576,MATCH(База_КР_КК[[#This Row],[Структурное подразделение]],'Списки данных'!$C$2:$C$1048576,0))</f>
        <v>7</v>
      </c>
      <c r="I3407" s="80" t="s">
        <v>137</v>
      </c>
      <c r="J3407" s="80" t="s">
        <v>248</v>
      </c>
      <c r="K3407" s="80" t="s">
        <v>249</v>
      </c>
      <c r="L3407" s="30" t="s">
        <v>191</v>
      </c>
      <c r="M3407" s="68">
        <v>6</v>
      </c>
      <c r="N3407" s="181" t="str">
        <f t="shared" si="54"/>
        <v>нет</v>
      </c>
      <c r="O3407" s="23"/>
      <c r="P3407" s="23"/>
      <c r="Q3407" s="106"/>
      <c r="R3407" s="37">
        <v>780</v>
      </c>
      <c r="S3407" s="39" t="s">
        <v>1189</v>
      </c>
      <c r="T3407" s="37">
        <v>1883</v>
      </c>
      <c r="U3407" s="38" t="s">
        <v>1849</v>
      </c>
      <c r="V3407" s="89" t="s">
        <v>272</v>
      </c>
      <c r="W3407" s="89" t="s">
        <v>137</v>
      </c>
      <c r="X3407" s="106" t="s">
        <v>297</v>
      </c>
      <c r="Y3407" s="107" t="s">
        <v>12</v>
      </c>
      <c r="Z3407" s="67">
        <f>IF(База_КР_КК[[#This Row],[Таб.номер резервиста]]="-","-",IF(OR(База_КР_КК[[#This Row],[Уровень КК]]=2,База_КР_КК[[#This Row],[Уровень КК]]=3),IF(COUNTIFS($U$2:$U3407,$U3407,$F$2:$F3407,$F3407)=1,1,0),IF(COUNTIFS($U$2:$U3407,$U3407,$L$2:$L3407,$L3407)=1,1,0)))</f>
        <v>0</v>
      </c>
      <c r="AA34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7" s="106"/>
      <c r="AC3407" s="51"/>
      <c r="AD3407" s="106" t="s">
        <v>15</v>
      </c>
      <c r="AE3407" s="38" t="s">
        <v>376</v>
      </c>
    </row>
    <row r="3408" spans="1:31" ht="18" customHeight="1" x14ac:dyDescent="0.25">
      <c r="A34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8" s="79">
        <v>4</v>
      </c>
      <c r="C3408" s="23">
        <v>44125</v>
      </c>
      <c r="D3408" s="67">
        <f>IF(COUNTIF($G$2:$G3408,$G3408)=1,1,0)</f>
        <v>1</v>
      </c>
      <c r="E3408" s="67" t="str">
        <f>IFERROR(VLOOKUP(База_КР_КК[[#This Row],[ИД штатной должности (S)]],'уровень защищенности'!$B$7:$F$1095,5,0),"не защищена")</f>
        <v>высокий</v>
      </c>
      <c r="F3408" s="68">
        <v>500183</v>
      </c>
      <c r="G3408" s="74" t="s">
        <v>2962</v>
      </c>
      <c r="H3408" s="181">
        <f>INDEX('Списки данных'!$D$2:$D$1048576,MATCH(База_КР_КК[[#This Row],[Структурное подразделение]],'Списки данных'!$C$2:$C$1048576,0))</f>
        <v>7</v>
      </c>
      <c r="I3408" s="80" t="s">
        <v>137</v>
      </c>
      <c r="J3408" s="80" t="s">
        <v>248</v>
      </c>
      <c r="K3408" s="80" t="s">
        <v>249</v>
      </c>
      <c r="L3408" s="30" t="s">
        <v>191</v>
      </c>
      <c r="M3408" s="68">
        <v>6</v>
      </c>
      <c r="N3408" s="181" t="str">
        <f t="shared" si="54"/>
        <v>нет</v>
      </c>
      <c r="O3408" s="23"/>
      <c r="P3408" s="23"/>
      <c r="Q3408" s="106"/>
      <c r="R3408" s="37">
        <v>781</v>
      </c>
      <c r="S3408" s="38" t="s">
        <v>1190</v>
      </c>
      <c r="T3408" s="37">
        <v>1877</v>
      </c>
      <c r="U3408" s="39" t="s">
        <v>2080</v>
      </c>
      <c r="V3408" s="89" t="s">
        <v>272</v>
      </c>
      <c r="W3408" s="89" t="s">
        <v>137</v>
      </c>
      <c r="X3408" s="106" t="s">
        <v>295</v>
      </c>
      <c r="Y3408" s="107" t="s">
        <v>12</v>
      </c>
      <c r="Z3408" s="67">
        <f>IF(База_КР_КК[[#This Row],[Таб.номер резервиста]]="-","-",IF(OR(База_КР_КК[[#This Row],[Уровень КК]]=2,База_КР_КК[[#This Row],[Уровень КК]]=3),IF(COUNTIFS($U$2:$U3408,$U3408,$F$2:$F3408,$F3408)=1,1,0),IF(COUNTIFS($U$2:$U3408,$U3408,$L$2:$L3408,$L3408)=1,1,0)))</f>
        <v>0</v>
      </c>
      <c r="AA34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8" s="106"/>
      <c r="AC3408" s="51"/>
      <c r="AD3408" s="106" t="s">
        <v>13</v>
      </c>
      <c r="AE3408" s="38" t="s">
        <v>376</v>
      </c>
    </row>
    <row r="3409" spans="1:31" ht="18" customHeight="1" x14ac:dyDescent="0.25">
      <c r="A34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09" s="79">
        <v>4</v>
      </c>
      <c r="C3409" s="23">
        <v>44125</v>
      </c>
      <c r="D3409" s="67">
        <f>IF(COUNTIF($G$2:$G3409,$G3409)=1,1,0)</f>
        <v>0</v>
      </c>
      <c r="E3409" s="67" t="str">
        <f>IFERROR(VLOOKUP(База_КР_КК[[#This Row],[ИД штатной должности (S)]],'уровень защищенности'!$B$7:$F$1095,5,0),"не защищена")</f>
        <v>высокий</v>
      </c>
      <c r="F3409" s="68">
        <v>500183</v>
      </c>
      <c r="G3409" s="74" t="s">
        <v>2962</v>
      </c>
      <c r="H3409" s="181">
        <f>INDEX('Списки данных'!$D$2:$D$1048576,MATCH(База_КР_КК[[#This Row],[Структурное подразделение]],'Списки данных'!$C$2:$C$1048576,0))</f>
        <v>7</v>
      </c>
      <c r="I3409" s="80" t="s">
        <v>137</v>
      </c>
      <c r="J3409" s="80" t="s">
        <v>248</v>
      </c>
      <c r="K3409" s="80" t="s">
        <v>249</v>
      </c>
      <c r="L3409" s="30" t="s">
        <v>191</v>
      </c>
      <c r="M3409" s="68">
        <v>6</v>
      </c>
      <c r="N3409" s="181" t="str">
        <f t="shared" si="54"/>
        <v>нет</v>
      </c>
      <c r="O3409" s="23"/>
      <c r="P3409" s="23"/>
      <c r="Q3409" s="106"/>
      <c r="R3409" s="37">
        <v>781</v>
      </c>
      <c r="S3409" s="38" t="s">
        <v>1190</v>
      </c>
      <c r="T3409" s="37">
        <v>1878</v>
      </c>
      <c r="U3409" s="38" t="s">
        <v>2081</v>
      </c>
      <c r="V3409" s="89" t="s">
        <v>272</v>
      </c>
      <c r="W3409" s="89" t="s">
        <v>137</v>
      </c>
      <c r="X3409" s="106" t="s">
        <v>295</v>
      </c>
      <c r="Y3409" s="107" t="s">
        <v>12</v>
      </c>
      <c r="Z3409" s="67">
        <f>IF(База_КР_КК[[#This Row],[Таб.номер резервиста]]="-","-",IF(OR(База_КР_КК[[#This Row],[Уровень КК]]=2,База_КР_КК[[#This Row],[Уровень КК]]=3),IF(COUNTIFS($U$2:$U3409,$U3409,$F$2:$F3409,$F3409)=1,1,0),IF(COUNTIFS($U$2:$U3409,$U3409,$L$2:$L3409,$L3409)=1,1,0)))</f>
        <v>0</v>
      </c>
      <c r="AA34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09" s="106"/>
      <c r="AC3409" s="51"/>
      <c r="AD3409" s="106" t="s">
        <v>17</v>
      </c>
      <c r="AE3409" s="38" t="s">
        <v>376</v>
      </c>
    </row>
    <row r="3410" spans="1:31" ht="18" customHeight="1" x14ac:dyDescent="0.25">
      <c r="A34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0" s="79">
        <v>4</v>
      </c>
      <c r="C3410" s="23">
        <v>44125</v>
      </c>
      <c r="D3410" s="67">
        <f>IF(COUNTIF($G$2:$G3410,$G3410)=1,1,0)</f>
        <v>0</v>
      </c>
      <c r="E3410" s="67" t="str">
        <f>IFERROR(VLOOKUP(База_КР_КК[[#This Row],[ИД штатной должности (S)]],'уровень защищенности'!$B$7:$F$1095,5,0),"не защищена")</f>
        <v>высокий</v>
      </c>
      <c r="F3410" s="68">
        <v>500183</v>
      </c>
      <c r="G3410" s="74" t="s">
        <v>2962</v>
      </c>
      <c r="H3410" s="181">
        <f>INDEX('Списки данных'!$D$2:$D$1048576,MATCH(База_КР_КК[[#This Row],[Структурное подразделение]],'Списки данных'!$C$2:$C$1048576,0))</f>
        <v>7</v>
      </c>
      <c r="I3410" s="80" t="s">
        <v>137</v>
      </c>
      <c r="J3410" s="80" t="s">
        <v>248</v>
      </c>
      <c r="K3410" s="80" t="s">
        <v>249</v>
      </c>
      <c r="L3410" s="30" t="s">
        <v>191</v>
      </c>
      <c r="M3410" s="68">
        <v>6</v>
      </c>
      <c r="N3410" s="181" t="str">
        <f t="shared" si="54"/>
        <v>нет</v>
      </c>
      <c r="O3410" s="23"/>
      <c r="P3410" s="23"/>
      <c r="Q3410" s="106"/>
      <c r="R3410" s="37">
        <v>781</v>
      </c>
      <c r="S3410" s="38" t="s">
        <v>1190</v>
      </c>
      <c r="T3410" s="37">
        <v>1879</v>
      </c>
      <c r="U3410" s="39" t="s">
        <v>2080</v>
      </c>
      <c r="V3410" s="89" t="s">
        <v>272</v>
      </c>
      <c r="W3410" s="89" t="s">
        <v>137</v>
      </c>
      <c r="X3410" s="106" t="s">
        <v>295</v>
      </c>
      <c r="Y3410" s="107" t="s">
        <v>12</v>
      </c>
      <c r="Z3410" s="67">
        <f>IF(База_КР_КК[[#This Row],[Таб.номер резервиста]]="-","-",IF(OR(База_КР_КК[[#This Row],[Уровень КК]]=2,База_КР_КК[[#This Row],[Уровень КК]]=3),IF(COUNTIFS($U$2:$U3410,$U3410,$F$2:$F3410,$F3410)=1,1,0),IF(COUNTIFS($U$2:$U3410,$U3410,$L$2:$L3410,$L3410)=1,1,0)))</f>
        <v>0</v>
      </c>
      <c r="AA34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0" s="106"/>
      <c r="AC3410" s="51"/>
      <c r="AD3410" s="106" t="s">
        <v>17</v>
      </c>
      <c r="AE3410" s="38" t="s">
        <v>376</v>
      </c>
    </row>
    <row r="3411" spans="1:31" ht="18" customHeight="1" x14ac:dyDescent="0.25">
      <c r="A34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1" s="79">
        <v>4</v>
      </c>
      <c r="C3411" s="23">
        <v>44125</v>
      </c>
      <c r="D3411" s="67">
        <f>IF(COUNTIF($G$2:$G3411,$G3411)=1,1,0)</f>
        <v>0</v>
      </c>
      <c r="E3411" s="67" t="str">
        <f>IFERROR(VLOOKUP(База_КР_КК[[#This Row],[ИД штатной должности (S)]],'уровень защищенности'!$B$7:$F$1095,5,0),"не защищена")</f>
        <v>высокий</v>
      </c>
      <c r="F3411" s="68">
        <v>500183</v>
      </c>
      <c r="G3411" s="74" t="s">
        <v>2962</v>
      </c>
      <c r="H3411" s="181">
        <f>INDEX('Списки данных'!$D$2:$D$1048576,MATCH(База_КР_КК[[#This Row],[Структурное подразделение]],'Списки данных'!$C$2:$C$1048576,0))</f>
        <v>7</v>
      </c>
      <c r="I3411" s="80" t="s">
        <v>137</v>
      </c>
      <c r="J3411" s="80" t="s">
        <v>248</v>
      </c>
      <c r="K3411" s="80" t="s">
        <v>249</v>
      </c>
      <c r="L3411" s="30" t="s">
        <v>191</v>
      </c>
      <c r="M3411" s="68">
        <v>6</v>
      </c>
      <c r="N3411" s="181" t="str">
        <f t="shared" si="54"/>
        <v>нет</v>
      </c>
      <c r="O3411" s="23"/>
      <c r="P3411" s="23"/>
      <c r="Q3411" s="106"/>
      <c r="R3411" s="37">
        <v>781</v>
      </c>
      <c r="S3411" s="38" t="s">
        <v>1190</v>
      </c>
      <c r="T3411" s="37">
        <v>1880</v>
      </c>
      <c r="U3411" s="39" t="s">
        <v>2082</v>
      </c>
      <c r="V3411" s="89" t="s">
        <v>272</v>
      </c>
      <c r="W3411" s="89" t="s">
        <v>137</v>
      </c>
      <c r="X3411" s="106" t="s">
        <v>295</v>
      </c>
      <c r="Y3411" s="107" t="s">
        <v>12</v>
      </c>
      <c r="Z3411" s="67">
        <f>IF(База_КР_КК[[#This Row],[Таб.номер резервиста]]="-","-",IF(OR(База_КР_КК[[#This Row],[Уровень КК]]=2,База_КР_КК[[#This Row],[Уровень КК]]=3),IF(COUNTIFS($U$2:$U3411,$U3411,$F$2:$F3411,$F3411)=1,1,0),IF(COUNTIFS($U$2:$U3411,$U3411,$L$2:$L3411,$L3411)=1,1,0)))</f>
        <v>0</v>
      </c>
      <c r="AA34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1" s="106"/>
      <c r="AC3411" s="51"/>
      <c r="AD3411" s="106" t="s">
        <v>17</v>
      </c>
      <c r="AE3411" s="38" t="s">
        <v>376</v>
      </c>
    </row>
    <row r="3412" spans="1:31" ht="18" customHeight="1" x14ac:dyDescent="0.25">
      <c r="A34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2" s="79">
        <v>4</v>
      </c>
      <c r="C3412" s="23">
        <v>44859</v>
      </c>
      <c r="D3412" s="67">
        <f>IF(COUNTIF($G$2:$G3412,$G3412)=1,1,0)</f>
        <v>0</v>
      </c>
      <c r="E3412" s="67" t="str">
        <f>IFERROR(VLOOKUP(База_КР_КК[[#This Row],[ИД штатной должности (S)]],'уровень защищенности'!$B$7:$F$1095,5,0),"не защищена")</f>
        <v>высокий</v>
      </c>
      <c r="F3412" s="68">
        <v>500183</v>
      </c>
      <c r="G3412" s="74" t="s">
        <v>2962</v>
      </c>
      <c r="H3412" s="181">
        <f>INDEX('Списки данных'!$D$2:$D$1048576,MATCH(База_КР_КК[[#This Row],[Структурное подразделение]],'Списки данных'!$C$2:$C$1048576,0))</f>
        <v>7</v>
      </c>
      <c r="I3412" s="80" t="s">
        <v>137</v>
      </c>
      <c r="J3412" s="80" t="s">
        <v>248</v>
      </c>
      <c r="K3412" s="80" t="s">
        <v>249</v>
      </c>
      <c r="L3412" s="30" t="s">
        <v>191</v>
      </c>
      <c r="M3412" s="68">
        <v>6</v>
      </c>
      <c r="N3412" s="181" t="str">
        <f t="shared" si="54"/>
        <v>нет</v>
      </c>
      <c r="O3412" s="23"/>
      <c r="P3412" s="23"/>
      <c r="Q3412" s="106"/>
      <c r="R3412" s="37">
        <v>781</v>
      </c>
      <c r="S3412" s="39" t="s">
        <v>1190</v>
      </c>
      <c r="T3412" s="37">
        <v>1881</v>
      </c>
      <c r="U3412" s="38" t="s">
        <v>1859</v>
      </c>
      <c r="V3412" s="89" t="s">
        <v>272</v>
      </c>
      <c r="W3412" s="89" t="s">
        <v>137</v>
      </c>
      <c r="X3412" s="106" t="s">
        <v>297</v>
      </c>
      <c r="Y3412" s="107" t="s">
        <v>12</v>
      </c>
      <c r="Z3412" s="67">
        <f>IF(База_КР_КК[[#This Row],[Таб.номер резервиста]]="-","-",IF(OR(База_КР_КК[[#This Row],[Уровень КК]]=2,База_КР_КК[[#This Row],[Уровень КК]]=3),IF(COUNTIFS($U$2:$U3412,$U3412,$F$2:$F3412,$F3412)=1,1,0),IF(COUNTIFS($U$2:$U3412,$U3412,$L$2:$L3412,$L3412)=1,1,0)))</f>
        <v>0</v>
      </c>
      <c r="AA34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2" s="106"/>
      <c r="AC3412" s="51"/>
      <c r="AD3412" s="106" t="s">
        <v>15</v>
      </c>
      <c r="AE3412" s="38" t="s">
        <v>376</v>
      </c>
    </row>
    <row r="3413" spans="1:31" ht="18" customHeight="1" x14ac:dyDescent="0.25">
      <c r="A34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3" s="79">
        <v>4</v>
      </c>
      <c r="C3413" s="23">
        <v>44859</v>
      </c>
      <c r="D3413" s="67">
        <f>IF(COUNTIF($G$2:$G3413,$G3413)=1,1,0)</f>
        <v>0</v>
      </c>
      <c r="E3413" s="67" t="str">
        <f>IFERROR(VLOOKUP(База_КР_КК[[#This Row],[ИД штатной должности (S)]],'уровень защищенности'!$B$7:$F$1095,5,0),"не защищена")</f>
        <v>высокий</v>
      </c>
      <c r="F3413" s="68">
        <v>500183</v>
      </c>
      <c r="G3413" s="74" t="s">
        <v>2962</v>
      </c>
      <c r="H3413" s="181">
        <f>INDEX('Списки данных'!$D$2:$D$1048576,MATCH(База_КР_КК[[#This Row],[Структурное подразделение]],'Списки данных'!$C$2:$C$1048576,0))</f>
        <v>7</v>
      </c>
      <c r="I3413" s="80" t="s">
        <v>137</v>
      </c>
      <c r="J3413" s="80" t="s">
        <v>248</v>
      </c>
      <c r="K3413" s="80" t="s">
        <v>249</v>
      </c>
      <c r="L3413" s="30" t="s">
        <v>191</v>
      </c>
      <c r="M3413" s="68">
        <v>6</v>
      </c>
      <c r="N3413" s="181" t="str">
        <f t="shared" si="54"/>
        <v>нет</v>
      </c>
      <c r="O3413" s="23"/>
      <c r="P3413" s="23"/>
      <c r="Q3413" s="106"/>
      <c r="R3413" s="37">
        <v>781</v>
      </c>
      <c r="S3413" s="39" t="s">
        <v>1190</v>
      </c>
      <c r="T3413" s="37">
        <v>1882</v>
      </c>
      <c r="U3413" s="38" t="s">
        <v>2083</v>
      </c>
      <c r="V3413" s="89" t="s">
        <v>272</v>
      </c>
      <c r="W3413" s="89" t="s">
        <v>137</v>
      </c>
      <c r="X3413" s="106" t="s">
        <v>297</v>
      </c>
      <c r="Y3413" s="107" t="s">
        <v>12</v>
      </c>
      <c r="Z3413" s="67">
        <f>IF(База_КР_КК[[#This Row],[Таб.номер резервиста]]="-","-",IF(OR(База_КР_КК[[#This Row],[Уровень КК]]=2,База_КР_КК[[#This Row],[Уровень КК]]=3),IF(COUNTIFS($U$2:$U3413,$U3413,$F$2:$F3413,$F3413)=1,1,0),IF(COUNTIFS($U$2:$U3413,$U3413,$L$2:$L3413,$L3413)=1,1,0)))</f>
        <v>0</v>
      </c>
      <c r="AA34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3" s="106"/>
      <c r="AC3413" s="51"/>
      <c r="AD3413" s="106" t="s">
        <v>15</v>
      </c>
      <c r="AE3413" s="38" t="s">
        <v>376</v>
      </c>
    </row>
    <row r="3414" spans="1:31" ht="18" customHeight="1" x14ac:dyDescent="0.25">
      <c r="A34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4" s="79">
        <v>4</v>
      </c>
      <c r="C3414" s="23">
        <v>44859</v>
      </c>
      <c r="D3414" s="67">
        <f>IF(COUNTIF($G$2:$G3414,$G3414)=1,1,0)</f>
        <v>0</v>
      </c>
      <c r="E3414" s="67" t="str">
        <f>IFERROR(VLOOKUP(База_КР_КК[[#This Row],[ИД штатной должности (S)]],'уровень защищенности'!$B$7:$F$1095,5,0),"не защищена")</f>
        <v>высокий</v>
      </c>
      <c r="F3414" s="68">
        <v>500183</v>
      </c>
      <c r="G3414" s="74" t="s">
        <v>2962</v>
      </c>
      <c r="H3414" s="181">
        <f>INDEX('Списки данных'!$D$2:$D$1048576,MATCH(База_КР_КК[[#This Row],[Структурное подразделение]],'Списки данных'!$C$2:$C$1048576,0))</f>
        <v>7</v>
      </c>
      <c r="I3414" s="80" t="s">
        <v>137</v>
      </c>
      <c r="J3414" s="80" t="s">
        <v>248</v>
      </c>
      <c r="K3414" s="80" t="s">
        <v>249</v>
      </c>
      <c r="L3414" s="30" t="s">
        <v>191</v>
      </c>
      <c r="M3414" s="68">
        <v>6</v>
      </c>
      <c r="N3414" s="181" t="str">
        <f t="shared" si="54"/>
        <v>нет</v>
      </c>
      <c r="O3414" s="23"/>
      <c r="P3414" s="23"/>
      <c r="Q3414" s="106"/>
      <c r="R3414" s="37">
        <v>781</v>
      </c>
      <c r="S3414" s="39" t="s">
        <v>1190</v>
      </c>
      <c r="T3414" s="37">
        <v>1883</v>
      </c>
      <c r="U3414" s="38" t="s">
        <v>1849</v>
      </c>
      <c r="V3414" s="89" t="s">
        <v>272</v>
      </c>
      <c r="W3414" s="89" t="s">
        <v>137</v>
      </c>
      <c r="X3414" s="106" t="s">
        <v>297</v>
      </c>
      <c r="Y3414" s="107" t="s">
        <v>12</v>
      </c>
      <c r="Z3414" s="67">
        <f>IF(База_КР_КК[[#This Row],[Таб.номер резервиста]]="-","-",IF(OR(База_КР_КК[[#This Row],[Уровень КК]]=2,База_КР_КК[[#This Row],[Уровень КК]]=3),IF(COUNTIFS($U$2:$U3414,$U3414,$F$2:$F3414,$F3414)=1,1,0),IF(COUNTIFS($U$2:$U3414,$U3414,$L$2:$L3414,$L3414)=1,1,0)))</f>
        <v>0</v>
      </c>
      <c r="AA34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4" s="106"/>
      <c r="AC3414" s="51"/>
      <c r="AD3414" s="106" t="s">
        <v>15</v>
      </c>
      <c r="AE3414" s="38" t="s">
        <v>376</v>
      </c>
    </row>
    <row r="3415" spans="1:31" ht="18" customHeight="1" x14ac:dyDescent="0.25">
      <c r="A34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5" s="79">
        <v>4</v>
      </c>
      <c r="C3415" s="23">
        <v>44125</v>
      </c>
      <c r="D3415" s="67">
        <f>IF(COUNTIF($G$2:$G3415,$G3415)=1,1,0)</f>
        <v>1</v>
      </c>
      <c r="E3415" s="67" t="str">
        <f>IFERROR(VLOOKUP(База_КР_КК[[#This Row],[ИД штатной должности (S)]],'уровень защищенности'!$B$7:$F$1095,5,0),"не защищена")</f>
        <v>высокий</v>
      </c>
      <c r="F3415" s="68">
        <v>500184</v>
      </c>
      <c r="G3415" s="74" t="s">
        <v>2963</v>
      </c>
      <c r="H3415" s="181">
        <f>INDEX('Списки данных'!$D$2:$D$1048576,MATCH(База_КР_КК[[#This Row],[Структурное подразделение]],'Списки данных'!$C$2:$C$1048576,0))</f>
        <v>7</v>
      </c>
      <c r="I3415" s="80" t="s">
        <v>137</v>
      </c>
      <c r="J3415" s="80" t="s">
        <v>248</v>
      </c>
      <c r="K3415" s="80" t="s">
        <v>249</v>
      </c>
      <c r="L3415" s="30" t="s">
        <v>192</v>
      </c>
      <c r="M3415" s="68">
        <v>6</v>
      </c>
      <c r="N3415" s="181" t="str">
        <f t="shared" si="54"/>
        <v>нет</v>
      </c>
      <c r="O3415" s="23"/>
      <c r="P3415" s="23"/>
      <c r="Q3415" s="106"/>
      <c r="R3415" s="37">
        <v>782</v>
      </c>
      <c r="S3415" s="38" t="s">
        <v>1191</v>
      </c>
      <c r="T3415" s="37">
        <v>1877</v>
      </c>
      <c r="U3415" s="39" t="s">
        <v>2080</v>
      </c>
      <c r="V3415" s="89" t="s">
        <v>272</v>
      </c>
      <c r="W3415" s="89" t="s">
        <v>137</v>
      </c>
      <c r="X3415" s="106" t="s">
        <v>295</v>
      </c>
      <c r="Y3415" s="107" t="s">
        <v>12</v>
      </c>
      <c r="Z3415" s="67">
        <f>IF(База_КР_КК[[#This Row],[Таб.номер резервиста]]="-","-",IF(OR(База_КР_КК[[#This Row],[Уровень КК]]=2,База_КР_КК[[#This Row],[Уровень КК]]=3),IF(COUNTIFS($U$2:$U3415,$U3415,$F$2:$F3415,$F3415)=1,1,0),IF(COUNTIFS($U$2:$U3415,$U3415,$L$2:$L3415,$L3415)=1,1,0)))</f>
        <v>1</v>
      </c>
      <c r="AA34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5" s="106"/>
      <c r="AC3415" s="51"/>
      <c r="AD3415" s="106" t="s">
        <v>13</v>
      </c>
      <c r="AE3415" s="38" t="s">
        <v>376</v>
      </c>
    </row>
    <row r="3416" spans="1:31" ht="18" customHeight="1" x14ac:dyDescent="0.25">
      <c r="A34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6" s="79">
        <v>4</v>
      </c>
      <c r="C3416" s="23">
        <v>44125</v>
      </c>
      <c r="D3416" s="67">
        <f>IF(COUNTIF($G$2:$G3416,$G3416)=1,1,0)</f>
        <v>0</v>
      </c>
      <c r="E3416" s="67" t="str">
        <f>IFERROR(VLOOKUP(База_КР_КК[[#This Row],[ИД штатной должности (S)]],'уровень защищенности'!$B$7:$F$1095,5,0),"не защищена")</f>
        <v>высокий</v>
      </c>
      <c r="F3416" s="68">
        <v>500184</v>
      </c>
      <c r="G3416" s="74" t="s">
        <v>2963</v>
      </c>
      <c r="H3416" s="181">
        <f>INDEX('Списки данных'!$D$2:$D$1048576,MATCH(База_КР_КК[[#This Row],[Структурное подразделение]],'Списки данных'!$C$2:$C$1048576,0))</f>
        <v>7</v>
      </c>
      <c r="I3416" s="80" t="s">
        <v>137</v>
      </c>
      <c r="J3416" s="80" t="s">
        <v>248</v>
      </c>
      <c r="K3416" s="80" t="s">
        <v>249</v>
      </c>
      <c r="L3416" s="30" t="s">
        <v>192</v>
      </c>
      <c r="M3416" s="68">
        <v>6</v>
      </c>
      <c r="N3416" s="181" t="str">
        <f t="shared" si="54"/>
        <v>нет</v>
      </c>
      <c r="O3416" s="23"/>
      <c r="P3416" s="23"/>
      <c r="Q3416" s="106"/>
      <c r="R3416" s="37">
        <v>782</v>
      </c>
      <c r="S3416" s="38" t="s">
        <v>1191</v>
      </c>
      <c r="T3416" s="37">
        <v>1878</v>
      </c>
      <c r="U3416" s="39" t="s">
        <v>2081</v>
      </c>
      <c r="V3416" s="89" t="s">
        <v>272</v>
      </c>
      <c r="W3416" s="89" t="s">
        <v>137</v>
      </c>
      <c r="X3416" s="106" t="s">
        <v>295</v>
      </c>
      <c r="Y3416" s="107" t="s">
        <v>12</v>
      </c>
      <c r="Z3416" s="67">
        <f>IF(База_КР_КК[[#This Row],[Таб.номер резервиста]]="-","-",IF(OR(База_КР_КК[[#This Row],[Уровень КК]]=2,База_КР_КК[[#This Row],[Уровень КК]]=3),IF(COUNTIFS($U$2:$U3416,$U3416,$F$2:$F3416,$F3416)=1,1,0),IF(COUNTIFS($U$2:$U3416,$U3416,$L$2:$L3416,$L3416)=1,1,0)))</f>
        <v>1</v>
      </c>
      <c r="AA34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6" s="106"/>
      <c r="AC3416" s="51"/>
      <c r="AD3416" s="106" t="s">
        <v>17</v>
      </c>
      <c r="AE3416" s="38" t="s">
        <v>376</v>
      </c>
    </row>
    <row r="3417" spans="1:31" ht="18" customHeight="1" x14ac:dyDescent="0.25">
      <c r="A34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7" s="79">
        <v>4</v>
      </c>
      <c r="C3417" s="23">
        <v>44125</v>
      </c>
      <c r="D3417" s="67">
        <f>IF(COUNTIF($G$2:$G3417,$G3417)=1,1,0)</f>
        <v>0</v>
      </c>
      <c r="E3417" s="67" t="str">
        <f>IFERROR(VLOOKUP(База_КР_КК[[#This Row],[ИД штатной должности (S)]],'уровень защищенности'!$B$7:$F$1095,5,0),"не защищена")</f>
        <v>высокий</v>
      </c>
      <c r="F3417" s="68">
        <v>500184</v>
      </c>
      <c r="G3417" s="74" t="s">
        <v>2963</v>
      </c>
      <c r="H3417" s="181">
        <f>INDEX('Списки данных'!$D$2:$D$1048576,MATCH(База_КР_КК[[#This Row],[Структурное подразделение]],'Списки данных'!$C$2:$C$1048576,0))</f>
        <v>7</v>
      </c>
      <c r="I3417" s="80" t="s">
        <v>137</v>
      </c>
      <c r="J3417" s="80" t="s">
        <v>248</v>
      </c>
      <c r="K3417" s="80" t="s">
        <v>249</v>
      </c>
      <c r="L3417" s="30" t="s">
        <v>192</v>
      </c>
      <c r="M3417" s="68">
        <v>6</v>
      </c>
      <c r="N3417" s="181" t="str">
        <f t="shared" si="54"/>
        <v>нет</v>
      </c>
      <c r="O3417" s="23"/>
      <c r="P3417" s="23"/>
      <c r="Q3417" s="106"/>
      <c r="R3417" s="37">
        <v>782</v>
      </c>
      <c r="S3417" s="38" t="s">
        <v>1191</v>
      </c>
      <c r="T3417" s="37">
        <v>1879</v>
      </c>
      <c r="U3417" s="39" t="s">
        <v>2080</v>
      </c>
      <c r="V3417" s="89" t="s">
        <v>272</v>
      </c>
      <c r="W3417" s="89" t="s">
        <v>137</v>
      </c>
      <c r="X3417" s="106" t="s">
        <v>295</v>
      </c>
      <c r="Y3417" s="107" t="s">
        <v>12</v>
      </c>
      <c r="Z3417" s="67">
        <f>IF(База_КР_КК[[#This Row],[Таб.номер резервиста]]="-","-",IF(OR(База_КР_КК[[#This Row],[Уровень КК]]=2,База_КР_КК[[#This Row],[Уровень КК]]=3),IF(COUNTIFS($U$2:$U3417,$U3417,$F$2:$F3417,$F3417)=1,1,0),IF(COUNTIFS($U$2:$U3417,$U3417,$L$2:$L3417,$L3417)=1,1,0)))</f>
        <v>0</v>
      </c>
      <c r="AA34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7" s="106"/>
      <c r="AC3417" s="51"/>
      <c r="AD3417" s="106" t="s">
        <v>17</v>
      </c>
      <c r="AE3417" s="38" t="s">
        <v>376</v>
      </c>
    </row>
    <row r="3418" spans="1:31" ht="18" customHeight="1" x14ac:dyDescent="0.25">
      <c r="A34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8" s="79">
        <v>4</v>
      </c>
      <c r="C3418" s="23">
        <v>44125</v>
      </c>
      <c r="D3418" s="67">
        <f>IF(COUNTIF($G$2:$G3418,$G3418)=1,1,0)</f>
        <v>0</v>
      </c>
      <c r="E3418" s="67" t="str">
        <f>IFERROR(VLOOKUP(База_КР_КК[[#This Row],[ИД штатной должности (S)]],'уровень защищенности'!$B$7:$F$1095,5,0),"не защищена")</f>
        <v>высокий</v>
      </c>
      <c r="F3418" s="68">
        <v>500184</v>
      </c>
      <c r="G3418" s="74" t="s">
        <v>2963</v>
      </c>
      <c r="H3418" s="181">
        <f>INDEX('Списки данных'!$D$2:$D$1048576,MATCH(База_КР_КК[[#This Row],[Структурное подразделение]],'Списки данных'!$C$2:$C$1048576,0))</f>
        <v>7</v>
      </c>
      <c r="I3418" s="80" t="s">
        <v>137</v>
      </c>
      <c r="J3418" s="80" t="s">
        <v>248</v>
      </c>
      <c r="K3418" s="80" t="s">
        <v>249</v>
      </c>
      <c r="L3418" s="30" t="s">
        <v>192</v>
      </c>
      <c r="M3418" s="68">
        <v>6</v>
      </c>
      <c r="N3418" s="181" t="str">
        <f t="shared" si="54"/>
        <v>нет</v>
      </c>
      <c r="O3418" s="23"/>
      <c r="P3418" s="23"/>
      <c r="Q3418" s="106"/>
      <c r="R3418" s="37">
        <v>782</v>
      </c>
      <c r="S3418" s="38" t="s">
        <v>1191</v>
      </c>
      <c r="T3418" s="37">
        <v>1880</v>
      </c>
      <c r="U3418" s="39" t="s">
        <v>2082</v>
      </c>
      <c r="V3418" s="89" t="s">
        <v>272</v>
      </c>
      <c r="W3418" s="89" t="s">
        <v>137</v>
      </c>
      <c r="X3418" s="106" t="s">
        <v>295</v>
      </c>
      <c r="Y3418" s="107" t="s">
        <v>12</v>
      </c>
      <c r="Z3418" s="67">
        <f>IF(База_КР_КК[[#This Row],[Таб.номер резервиста]]="-","-",IF(OR(База_КР_КК[[#This Row],[Уровень КК]]=2,База_КР_КК[[#This Row],[Уровень КК]]=3),IF(COUNTIFS($U$2:$U3418,$U3418,$F$2:$F3418,$F3418)=1,1,0),IF(COUNTIFS($U$2:$U3418,$U3418,$L$2:$L3418,$L3418)=1,1,0)))</f>
        <v>1</v>
      </c>
      <c r="AA34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8" s="106"/>
      <c r="AC3418" s="51"/>
      <c r="AD3418" s="106" t="s">
        <v>17</v>
      </c>
      <c r="AE3418" s="38" t="s">
        <v>376</v>
      </c>
    </row>
    <row r="3419" spans="1:31" ht="18" customHeight="1" x14ac:dyDescent="0.25">
      <c r="A34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19" s="79">
        <v>4</v>
      </c>
      <c r="C3419" s="23">
        <v>44859</v>
      </c>
      <c r="D3419" s="67">
        <f>IF(COUNTIF($G$2:$G3419,$G3419)=1,1,0)</f>
        <v>0</v>
      </c>
      <c r="E3419" s="67" t="str">
        <f>IFERROR(VLOOKUP(База_КР_КК[[#This Row],[ИД штатной должности (S)]],'уровень защищенности'!$B$7:$F$1095,5,0),"не защищена")</f>
        <v>высокий</v>
      </c>
      <c r="F3419" s="68">
        <v>500184</v>
      </c>
      <c r="G3419" s="74" t="s">
        <v>2963</v>
      </c>
      <c r="H3419" s="181">
        <f>INDEX('Списки данных'!$D$2:$D$1048576,MATCH(База_КР_КК[[#This Row],[Структурное подразделение]],'Списки данных'!$C$2:$C$1048576,0))</f>
        <v>7</v>
      </c>
      <c r="I3419" s="80" t="s">
        <v>137</v>
      </c>
      <c r="J3419" s="80" t="s">
        <v>248</v>
      </c>
      <c r="K3419" s="80" t="s">
        <v>249</v>
      </c>
      <c r="L3419" s="30" t="s">
        <v>192</v>
      </c>
      <c r="M3419" s="68">
        <v>6</v>
      </c>
      <c r="N3419" s="181" t="str">
        <f t="shared" si="54"/>
        <v>нет</v>
      </c>
      <c r="O3419" s="23"/>
      <c r="P3419" s="23"/>
      <c r="Q3419" s="106"/>
      <c r="R3419" s="37">
        <v>782</v>
      </c>
      <c r="S3419" s="39" t="s">
        <v>1191</v>
      </c>
      <c r="T3419" s="37">
        <v>1881</v>
      </c>
      <c r="U3419" s="38" t="s">
        <v>1859</v>
      </c>
      <c r="V3419" s="89" t="s">
        <v>272</v>
      </c>
      <c r="W3419" s="89" t="s">
        <v>137</v>
      </c>
      <c r="X3419" s="106" t="s">
        <v>297</v>
      </c>
      <c r="Y3419" s="107" t="s">
        <v>12</v>
      </c>
      <c r="Z3419" s="67">
        <f>IF(База_КР_КК[[#This Row],[Таб.номер резервиста]]="-","-",IF(OR(База_КР_КК[[#This Row],[Уровень КК]]=2,База_КР_КК[[#This Row],[Уровень КК]]=3),IF(COUNTIFS($U$2:$U3419,$U3419,$F$2:$F3419,$F3419)=1,1,0),IF(COUNTIFS($U$2:$U3419,$U3419,$L$2:$L3419,$L3419)=1,1,0)))</f>
        <v>0</v>
      </c>
      <c r="AA34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19" s="106"/>
      <c r="AC3419" s="51"/>
      <c r="AD3419" s="106" t="s">
        <v>15</v>
      </c>
      <c r="AE3419" s="38" t="s">
        <v>376</v>
      </c>
    </row>
    <row r="3420" spans="1:31" ht="18" customHeight="1" x14ac:dyDescent="0.25">
      <c r="A34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0" s="79">
        <v>4</v>
      </c>
      <c r="C3420" s="23">
        <v>44859</v>
      </c>
      <c r="D3420" s="67">
        <f>IF(COUNTIF($G$2:$G3420,$G3420)=1,1,0)</f>
        <v>0</v>
      </c>
      <c r="E3420" s="67" t="str">
        <f>IFERROR(VLOOKUP(База_КР_КК[[#This Row],[ИД штатной должности (S)]],'уровень защищенности'!$B$7:$F$1095,5,0),"не защищена")</f>
        <v>высокий</v>
      </c>
      <c r="F3420" s="68">
        <v>500184</v>
      </c>
      <c r="G3420" s="74" t="s">
        <v>2963</v>
      </c>
      <c r="H3420" s="181">
        <f>INDEX('Списки данных'!$D$2:$D$1048576,MATCH(База_КР_КК[[#This Row],[Структурное подразделение]],'Списки данных'!$C$2:$C$1048576,0))</f>
        <v>7</v>
      </c>
      <c r="I3420" s="80" t="s">
        <v>137</v>
      </c>
      <c r="J3420" s="80" t="s">
        <v>248</v>
      </c>
      <c r="K3420" s="80" t="s">
        <v>249</v>
      </c>
      <c r="L3420" s="30" t="s">
        <v>192</v>
      </c>
      <c r="M3420" s="68">
        <v>6</v>
      </c>
      <c r="N3420" s="181" t="str">
        <f t="shared" si="54"/>
        <v>нет</v>
      </c>
      <c r="O3420" s="23"/>
      <c r="P3420" s="23"/>
      <c r="Q3420" s="106"/>
      <c r="R3420" s="37">
        <v>782</v>
      </c>
      <c r="S3420" s="39" t="s">
        <v>1191</v>
      </c>
      <c r="T3420" s="37">
        <v>1882</v>
      </c>
      <c r="U3420" s="38" t="s">
        <v>2083</v>
      </c>
      <c r="V3420" s="89" t="s">
        <v>272</v>
      </c>
      <c r="W3420" s="89" t="s">
        <v>137</v>
      </c>
      <c r="X3420" s="106" t="s">
        <v>297</v>
      </c>
      <c r="Y3420" s="107" t="s">
        <v>12</v>
      </c>
      <c r="Z3420" s="67">
        <f>IF(База_КР_КК[[#This Row],[Таб.номер резервиста]]="-","-",IF(OR(База_КР_КК[[#This Row],[Уровень КК]]=2,База_КР_КК[[#This Row],[Уровень КК]]=3),IF(COUNTIFS($U$2:$U3420,$U3420,$F$2:$F3420,$F3420)=1,1,0),IF(COUNTIFS($U$2:$U3420,$U3420,$L$2:$L3420,$L3420)=1,1,0)))</f>
        <v>1</v>
      </c>
      <c r="AA34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0" s="106"/>
      <c r="AC3420" s="51"/>
      <c r="AD3420" s="106" t="s">
        <v>15</v>
      </c>
      <c r="AE3420" s="38" t="s">
        <v>376</v>
      </c>
    </row>
    <row r="3421" spans="1:31" ht="18" customHeight="1" x14ac:dyDescent="0.25">
      <c r="A34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1" s="79">
        <v>4</v>
      </c>
      <c r="C3421" s="23">
        <v>44859</v>
      </c>
      <c r="D3421" s="67">
        <f>IF(COUNTIF($G$2:$G3421,$G3421)=1,1,0)</f>
        <v>0</v>
      </c>
      <c r="E3421" s="67" t="str">
        <f>IFERROR(VLOOKUP(База_КР_КК[[#This Row],[ИД штатной должности (S)]],'уровень защищенности'!$B$7:$F$1095,5,0),"не защищена")</f>
        <v>высокий</v>
      </c>
      <c r="F3421" s="68">
        <v>500184</v>
      </c>
      <c r="G3421" s="74" t="s">
        <v>2963</v>
      </c>
      <c r="H3421" s="181">
        <f>INDEX('Списки данных'!$D$2:$D$1048576,MATCH(База_КР_КК[[#This Row],[Структурное подразделение]],'Списки данных'!$C$2:$C$1048576,0))</f>
        <v>7</v>
      </c>
      <c r="I3421" s="80" t="s">
        <v>137</v>
      </c>
      <c r="J3421" s="80" t="s">
        <v>248</v>
      </c>
      <c r="K3421" s="80" t="s">
        <v>249</v>
      </c>
      <c r="L3421" s="30" t="s">
        <v>192</v>
      </c>
      <c r="M3421" s="68">
        <v>6</v>
      </c>
      <c r="N3421" s="181" t="str">
        <f t="shared" si="54"/>
        <v>нет</v>
      </c>
      <c r="O3421" s="23"/>
      <c r="P3421" s="23"/>
      <c r="Q3421" s="106"/>
      <c r="R3421" s="37">
        <v>782</v>
      </c>
      <c r="S3421" s="39" t="s">
        <v>1191</v>
      </c>
      <c r="T3421" s="37">
        <v>1883</v>
      </c>
      <c r="U3421" s="38" t="s">
        <v>1849</v>
      </c>
      <c r="V3421" s="89" t="s">
        <v>272</v>
      </c>
      <c r="W3421" s="89" t="s">
        <v>137</v>
      </c>
      <c r="X3421" s="106" t="s">
        <v>297</v>
      </c>
      <c r="Y3421" s="107" t="s">
        <v>12</v>
      </c>
      <c r="Z3421" s="67">
        <f>IF(База_КР_КК[[#This Row],[Таб.номер резервиста]]="-","-",IF(OR(База_КР_КК[[#This Row],[Уровень КК]]=2,База_КР_КК[[#This Row],[Уровень КК]]=3),IF(COUNTIFS($U$2:$U3421,$U3421,$F$2:$F3421,$F3421)=1,1,0),IF(COUNTIFS($U$2:$U3421,$U3421,$L$2:$L3421,$L3421)=1,1,0)))</f>
        <v>1</v>
      </c>
      <c r="AA34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1" s="106"/>
      <c r="AC3421" s="51"/>
      <c r="AD3421" s="106" t="s">
        <v>15</v>
      </c>
      <c r="AE3421" s="38" t="s">
        <v>376</v>
      </c>
    </row>
    <row r="3422" spans="1:31" ht="18" customHeight="1" x14ac:dyDescent="0.25">
      <c r="A34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2" s="79">
        <v>4</v>
      </c>
      <c r="C3422" s="23">
        <v>44859</v>
      </c>
      <c r="D3422" s="67">
        <f>IF(COUNTIF($G$2:$G3422,$G3422)=1,1,0)</f>
        <v>1</v>
      </c>
      <c r="E3422" s="67" t="str">
        <f>IFERROR(VLOOKUP(База_КР_КК[[#This Row],[ИД штатной должности (S)]],'уровень защищенности'!$B$7:$F$1095,5,0),"не защищена")</f>
        <v>низкий</v>
      </c>
      <c r="F3422" s="68">
        <v>500185</v>
      </c>
      <c r="G3422" s="74" t="s">
        <v>2964</v>
      </c>
      <c r="H3422" s="181">
        <f>INDEX('Списки данных'!$D$2:$D$1048576,MATCH(База_КР_КК[[#This Row],[Структурное подразделение]],'Списки данных'!$C$2:$C$1048576,0))</f>
        <v>7</v>
      </c>
      <c r="I3422" s="80" t="s">
        <v>137</v>
      </c>
      <c r="J3422" s="80" t="s">
        <v>248</v>
      </c>
      <c r="K3422" s="80" t="s">
        <v>249</v>
      </c>
      <c r="L3422" s="30" t="s">
        <v>192</v>
      </c>
      <c r="M3422" s="68">
        <v>6</v>
      </c>
      <c r="N3422" s="181" t="str">
        <f t="shared" si="54"/>
        <v>нет</v>
      </c>
      <c r="O3422" s="23"/>
      <c r="P3422" s="23"/>
      <c r="Q3422" s="106"/>
      <c r="R3422" s="37">
        <v>783</v>
      </c>
      <c r="S3422" s="39" t="s">
        <v>1192</v>
      </c>
      <c r="T3422" s="37">
        <v>1875</v>
      </c>
      <c r="U3422" s="38" t="s">
        <v>2014</v>
      </c>
      <c r="V3422" s="89" t="s">
        <v>272</v>
      </c>
      <c r="W3422" s="89" t="s">
        <v>137</v>
      </c>
      <c r="X3422" s="106" t="s">
        <v>296</v>
      </c>
      <c r="Y3422" s="107" t="s">
        <v>12</v>
      </c>
      <c r="Z3422" s="67">
        <f>IF(База_КР_КК[[#This Row],[Таб.номер резервиста]]="-","-",IF(OR(База_КР_КК[[#This Row],[Уровень КК]]=2,База_КР_КК[[#This Row],[Уровень КК]]=3),IF(COUNTIFS($U$2:$U3422,$U3422,$F$2:$F3422,$F3422)=1,1,0),IF(COUNTIFS($U$2:$U3422,$U3422,$L$2:$L3422,$L3422)=1,1,0)))</f>
        <v>1</v>
      </c>
      <c r="AA34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2" s="106"/>
      <c r="AC3422" s="51"/>
      <c r="AD3422" s="106" t="s">
        <v>15</v>
      </c>
      <c r="AE3422" s="38" t="s">
        <v>376</v>
      </c>
    </row>
    <row r="3423" spans="1:31" ht="18" customHeight="1" x14ac:dyDescent="0.25">
      <c r="A34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3" s="79">
        <v>4</v>
      </c>
      <c r="C3423" s="23">
        <v>44859</v>
      </c>
      <c r="D3423" s="67">
        <f>IF(COUNTIF($G$2:$G3423,$G3423)=1,1,0)</f>
        <v>0</v>
      </c>
      <c r="E3423" s="67" t="str">
        <f>IFERROR(VLOOKUP(База_КР_КК[[#This Row],[ИД штатной должности (S)]],'уровень защищенности'!$B$7:$F$1095,5,0),"не защищена")</f>
        <v>низкий</v>
      </c>
      <c r="F3423" s="68">
        <v>500185</v>
      </c>
      <c r="G3423" s="74" t="s">
        <v>2964</v>
      </c>
      <c r="H3423" s="181">
        <f>INDEX('Списки данных'!$D$2:$D$1048576,MATCH(База_КР_КК[[#This Row],[Структурное подразделение]],'Списки данных'!$C$2:$C$1048576,0))</f>
        <v>7</v>
      </c>
      <c r="I3423" s="80" t="s">
        <v>137</v>
      </c>
      <c r="J3423" s="80" t="s">
        <v>248</v>
      </c>
      <c r="K3423" s="80" t="s">
        <v>249</v>
      </c>
      <c r="L3423" s="30" t="s">
        <v>192</v>
      </c>
      <c r="M3423" s="68">
        <v>6</v>
      </c>
      <c r="N3423" s="181" t="str">
        <f t="shared" si="54"/>
        <v>нет</v>
      </c>
      <c r="O3423" s="23"/>
      <c r="P3423" s="23"/>
      <c r="Q3423" s="106"/>
      <c r="R3423" s="37">
        <v>783</v>
      </c>
      <c r="S3423" s="39" t="s">
        <v>1192</v>
      </c>
      <c r="T3423" s="37">
        <v>1876</v>
      </c>
      <c r="U3423" s="38" t="s">
        <v>1925</v>
      </c>
      <c r="V3423" s="89" t="s">
        <v>272</v>
      </c>
      <c r="W3423" s="89" t="s">
        <v>137</v>
      </c>
      <c r="X3423" s="106" t="s">
        <v>296</v>
      </c>
      <c r="Y3423" s="107" t="s">
        <v>12</v>
      </c>
      <c r="Z3423" s="67">
        <f>IF(База_КР_КК[[#This Row],[Таб.номер резервиста]]="-","-",IF(OR(База_КР_КК[[#This Row],[Уровень КК]]=2,База_КР_КК[[#This Row],[Уровень КК]]=3),IF(COUNTIFS($U$2:$U3423,$U3423,$F$2:$F3423,$F3423)=1,1,0),IF(COUNTIFS($U$2:$U3423,$U3423,$L$2:$L3423,$L3423)=1,1,0)))</f>
        <v>1</v>
      </c>
      <c r="AA34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3" s="106"/>
      <c r="AC3423" s="51"/>
      <c r="AD3423" s="106" t="s">
        <v>15</v>
      </c>
      <c r="AE3423" s="38" t="s">
        <v>376</v>
      </c>
    </row>
    <row r="3424" spans="1:31" ht="18" customHeight="1" x14ac:dyDescent="0.25">
      <c r="A34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4" s="79">
        <v>4</v>
      </c>
      <c r="C3424" s="23">
        <v>44125</v>
      </c>
      <c r="D3424" s="67">
        <f>IF(COUNTIF($G$2:$G3424,$G3424)=1,1,0)</f>
        <v>0</v>
      </c>
      <c r="E3424" s="67" t="str">
        <f>IFERROR(VLOOKUP(База_КР_КК[[#This Row],[ИД штатной должности (S)]],'уровень защищенности'!$B$7:$F$1095,5,0),"не защищена")</f>
        <v>низкий</v>
      </c>
      <c r="F3424" s="68">
        <v>500185</v>
      </c>
      <c r="G3424" s="74" t="s">
        <v>2964</v>
      </c>
      <c r="H3424" s="181">
        <f>INDEX('Списки данных'!$D$2:$D$1048576,MATCH(База_КР_КК[[#This Row],[Структурное подразделение]],'Списки данных'!$C$2:$C$1048576,0))</f>
        <v>7</v>
      </c>
      <c r="I3424" s="80" t="s">
        <v>137</v>
      </c>
      <c r="J3424" s="80" t="s">
        <v>248</v>
      </c>
      <c r="K3424" s="80" t="s">
        <v>249</v>
      </c>
      <c r="L3424" s="30" t="s">
        <v>192</v>
      </c>
      <c r="M3424" s="68">
        <v>6</v>
      </c>
      <c r="N3424" s="181" t="str">
        <f t="shared" si="54"/>
        <v>нет</v>
      </c>
      <c r="O3424" s="23"/>
      <c r="P3424" s="23"/>
      <c r="Q3424" s="106"/>
      <c r="R3424" s="37">
        <v>783</v>
      </c>
      <c r="S3424" s="38" t="s">
        <v>1192</v>
      </c>
      <c r="T3424" s="37">
        <v>1884</v>
      </c>
      <c r="U3424" s="39" t="s">
        <v>2084</v>
      </c>
      <c r="V3424" s="89" t="s">
        <v>272</v>
      </c>
      <c r="W3424" s="89" t="s">
        <v>137</v>
      </c>
      <c r="X3424" s="106" t="s">
        <v>297</v>
      </c>
      <c r="Y3424" s="107" t="s">
        <v>18</v>
      </c>
      <c r="Z3424" s="67">
        <f>IF(База_КР_КК[[#This Row],[Таб.номер резервиста]]="-","-",IF(OR(База_КР_КК[[#This Row],[Уровень КК]]=2,База_КР_КК[[#This Row],[Уровень КК]]=3),IF(COUNTIFS($U$2:$U3424,$U3424,$F$2:$F3424,$F3424)=1,1,0),IF(COUNTIFS($U$2:$U3424,$U3424,$L$2:$L3424,$L3424)=1,1,0)))</f>
        <v>1</v>
      </c>
      <c r="AA34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4" s="106" t="s">
        <v>38</v>
      </c>
      <c r="AC3424" s="51">
        <v>44859</v>
      </c>
      <c r="AD3424" s="106" t="s">
        <v>31</v>
      </c>
      <c r="AE3424" s="38" t="s">
        <v>376</v>
      </c>
    </row>
    <row r="3425" spans="1:31" ht="18" customHeight="1" x14ac:dyDescent="0.25">
      <c r="A34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5" s="79">
        <v>4</v>
      </c>
      <c r="C3425" s="23">
        <v>44125</v>
      </c>
      <c r="D3425" s="67">
        <f>IF(COUNTIF($G$2:$G3425,$G3425)=1,1,0)</f>
        <v>1</v>
      </c>
      <c r="E3425" s="67" t="str">
        <f>IFERROR(VLOOKUP(База_КР_КК[[#This Row],[ИД штатной должности (S)]],'уровень защищенности'!$B$7:$F$1095,5,0),"не защищена")</f>
        <v>высокий</v>
      </c>
      <c r="F3425" s="68">
        <v>500187</v>
      </c>
      <c r="G3425" s="74" t="s">
        <v>2965</v>
      </c>
      <c r="H3425" s="181">
        <f>INDEX('Списки данных'!$D$2:$D$1048576,MATCH(База_КР_КК[[#This Row],[Структурное подразделение]],'Списки данных'!$C$2:$C$1048576,0))</f>
        <v>7</v>
      </c>
      <c r="I3425" s="80" t="s">
        <v>137</v>
      </c>
      <c r="J3425" s="80" t="s">
        <v>248</v>
      </c>
      <c r="K3425" s="80" t="s">
        <v>249</v>
      </c>
      <c r="L3425" s="30" t="s">
        <v>191</v>
      </c>
      <c r="M3425" s="68">
        <v>6</v>
      </c>
      <c r="N3425" s="181" t="str">
        <f t="shared" si="54"/>
        <v>нет</v>
      </c>
      <c r="O3425" s="23"/>
      <c r="P3425" s="23"/>
      <c r="Q3425" s="106"/>
      <c r="R3425" s="37">
        <v>784</v>
      </c>
      <c r="S3425" s="38" t="s">
        <v>1193</v>
      </c>
      <c r="T3425" s="37">
        <v>1885</v>
      </c>
      <c r="U3425" s="39" t="s">
        <v>2085</v>
      </c>
      <c r="V3425" s="69" t="s">
        <v>272</v>
      </c>
      <c r="W3425" s="89" t="s">
        <v>137</v>
      </c>
      <c r="X3425" s="106" t="s">
        <v>295</v>
      </c>
      <c r="Y3425" s="107" t="s">
        <v>12</v>
      </c>
      <c r="Z3425" s="67">
        <f>IF(База_КР_КК[[#This Row],[Таб.номер резервиста]]="-","-",IF(OR(База_КР_КК[[#This Row],[Уровень КК]]=2,База_КР_КК[[#This Row],[Уровень КК]]=3),IF(COUNTIFS($U$2:$U3425,$U3425,$F$2:$F3425,$F3425)=1,1,0),IF(COUNTIFS($U$2:$U3425,$U3425,$L$2:$L3425,$L3425)=1,1,0)))</f>
        <v>1</v>
      </c>
      <c r="AA34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5" s="106"/>
      <c r="AC3425" s="51"/>
      <c r="AD3425" s="106" t="s">
        <v>13</v>
      </c>
      <c r="AE3425" s="38" t="s">
        <v>376</v>
      </c>
    </row>
    <row r="3426" spans="1:31" ht="18" customHeight="1" x14ac:dyDescent="0.25">
      <c r="A34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6" s="79">
        <v>4</v>
      </c>
      <c r="C3426" s="23">
        <v>44125</v>
      </c>
      <c r="D3426" s="67">
        <f>IF(COUNTIF($G$2:$G3426,$G3426)=1,1,0)</f>
        <v>0</v>
      </c>
      <c r="E3426" s="67" t="str">
        <f>IFERROR(VLOOKUP(База_КР_КК[[#This Row],[ИД штатной должности (S)]],'уровень защищенности'!$B$7:$F$1095,5,0),"не защищена")</f>
        <v>высокий</v>
      </c>
      <c r="F3426" s="68">
        <v>500187</v>
      </c>
      <c r="G3426" s="74" t="s">
        <v>2965</v>
      </c>
      <c r="H3426" s="181">
        <f>INDEX('Списки данных'!$D$2:$D$1048576,MATCH(База_КР_КК[[#This Row],[Структурное подразделение]],'Списки данных'!$C$2:$C$1048576,0))</f>
        <v>7</v>
      </c>
      <c r="I3426" s="80" t="s">
        <v>137</v>
      </c>
      <c r="J3426" s="80" t="s">
        <v>248</v>
      </c>
      <c r="K3426" s="80" t="s">
        <v>249</v>
      </c>
      <c r="L3426" s="30" t="s">
        <v>191</v>
      </c>
      <c r="M3426" s="68">
        <v>6</v>
      </c>
      <c r="N3426" s="181" t="str">
        <f t="shared" si="54"/>
        <v>нет</v>
      </c>
      <c r="O3426" s="23"/>
      <c r="P3426" s="23"/>
      <c r="Q3426" s="106"/>
      <c r="R3426" s="37">
        <v>784</v>
      </c>
      <c r="S3426" s="38" t="s">
        <v>1193</v>
      </c>
      <c r="T3426" s="37">
        <v>786</v>
      </c>
      <c r="U3426" s="39" t="s">
        <v>1195</v>
      </c>
      <c r="V3426" s="69" t="s">
        <v>192</v>
      </c>
      <c r="W3426" s="89" t="s">
        <v>137</v>
      </c>
      <c r="X3426" s="106" t="s">
        <v>295</v>
      </c>
      <c r="Y3426" s="107" t="s">
        <v>18</v>
      </c>
      <c r="Z3426" s="67">
        <f>IF(База_КР_КК[[#This Row],[Таб.номер резервиста]]="-","-",IF(OR(База_КР_КК[[#This Row],[Уровень КК]]=2,База_КР_КК[[#This Row],[Уровень КК]]=3),IF(COUNTIFS($U$2:$U3426,$U3426,$F$2:$F3426,$F3426)=1,1,0),IF(COUNTIFS($U$2:$U3426,$U3426,$L$2:$L3426,$L3426)=1,1,0)))</f>
        <v>1</v>
      </c>
      <c r="AA34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6" s="106" t="s">
        <v>38</v>
      </c>
      <c r="AC3426" s="51">
        <v>44662</v>
      </c>
      <c r="AD3426" s="106" t="s">
        <v>31</v>
      </c>
      <c r="AE3426" s="38" t="s">
        <v>382</v>
      </c>
    </row>
    <row r="3427" spans="1:31" ht="18" customHeight="1" x14ac:dyDescent="0.25">
      <c r="A34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7" s="79">
        <v>4</v>
      </c>
      <c r="C3427" s="23">
        <v>44859</v>
      </c>
      <c r="D3427" s="67">
        <f>IF(COUNTIF($G$2:$G3427,$G3427)=1,1,0)</f>
        <v>1</v>
      </c>
      <c r="E3427" s="67" t="str">
        <f>IFERROR(VLOOKUP(База_КР_КК[[#This Row],[ИД штатной должности (S)]],'уровень защищенности'!$B$7:$F$1095,5,0),"не защищена")</f>
        <v>высокий</v>
      </c>
      <c r="F3427" s="68">
        <v>500188</v>
      </c>
      <c r="G3427" s="74" t="s">
        <v>2966</v>
      </c>
      <c r="H3427" s="181">
        <f>INDEX('Списки данных'!$D$2:$D$1048576,MATCH(База_КР_КК[[#This Row],[Структурное подразделение]],'Списки данных'!$C$2:$C$1048576,0))</f>
        <v>7</v>
      </c>
      <c r="I3427" s="80" t="s">
        <v>137</v>
      </c>
      <c r="J3427" s="80" t="s">
        <v>248</v>
      </c>
      <c r="K3427" s="80" t="s">
        <v>249</v>
      </c>
      <c r="L3427" s="30" t="s">
        <v>191</v>
      </c>
      <c r="M3427" s="68">
        <v>6</v>
      </c>
      <c r="N3427" s="181" t="str">
        <f t="shared" si="54"/>
        <v>да</v>
      </c>
      <c r="O3427" s="23">
        <v>44692</v>
      </c>
      <c r="P3427" s="23">
        <v>44692</v>
      </c>
      <c r="Q3427" s="106" t="s">
        <v>66</v>
      </c>
      <c r="R3427" s="37">
        <v>785</v>
      </c>
      <c r="S3427" s="39" t="s">
        <v>1194</v>
      </c>
      <c r="T3427" s="37">
        <v>1886</v>
      </c>
      <c r="U3427" s="38" t="s">
        <v>2059</v>
      </c>
      <c r="V3427" s="69" t="s">
        <v>272</v>
      </c>
      <c r="W3427" s="89" t="s">
        <v>137</v>
      </c>
      <c r="X3427" s="106" t="s">
        <v>295</v>
      </c>
      <c r="Y3427" s="107" t="s">
        <v>12</v>
      </c>
      <c r="Z3427" s="67">
        <f>IF(База_КР_КК[[#This Row],[Таб.номер резервиста]]="-","-",IF(OR(База_КР_КК[[#This Row],[Уровень КК]]=2,База_КР_КК[[#This Row],[Уровень КК]]=3),IF(COUNTIFS($U$2:$U3427,$U3427,$F$2:$F3427,$F3427)=1,1,0),IF(COUNTIFS($U$2:$U3427,$U3427,$L$2:$L3427,$L3427)=1,1,0)))</f>
        <v>0</v>
      </c>
      <c r="AA34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7" s="106"/>
      <c r="AC3427" s="51"/>
      <c r="AD3427" s="106" t="s">
        <v>15</v>
      </c>
      <c r="AE3427" s="38" t="s">
        <v>376</v>
      </c>
    </row>
    <row r="3428" spans="1:31" ht="18" customHeight="1" x14ac:dyDescent="0.25">
      <c r="A34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8" s="79">
        <v>4</v>
      </c>
      <c r="C3428" s="23">
        <v>44859</v>
      </c>
      <c r="D3428" s="67">
        <f>IF(COUNTIF($G$2:$G3428,$G3428)=1,1,0)</f>
        <v>0</v>
      </c>
      <c r="E3428" s="67" t="str">
        <f>IFERROR(VLOOKUP(База_КР_КК[[#This Row],[ИД штатной должности (S)]],'уровень защищенности'!$B$7:$F$1095,5,0),"не защищена")</f>
        <v>высокий</v>
      </c>
      <c r="F3428" s="68">
        <v>500188</v>
      </c>
      <c r="G3428" s="74" t="s">
        <v>2966</v>
      </c>
      <c r="H3428" s="181">
        <f>INDEX('Списки данных'!$D$2:$D$1048576,MATCH(База_КР_КК[[#This Row],[Структурное подразделение]],'Списки данных'!$C$2:$C$1048576,0))</f>
        <v>7</v>
      </c>
      <c r="I3428" s="80" t="s">
        <v>137</v>
      </c>
      <c r="J3428" s="80" t="s">
        <v>248</v>
      </c>
      <c r="K3428" s="80" t="s">
        <v>249</v>
      </c>
      <c r="L3428" s="30" t="s">
        <v>191</v>
      </c>
      <c r="M3428" s="68">
        <v>6</v>
      </c>
      <c r="N3428" s="181" t="str">
        <f t="shared" si="54"/>
        <v>да</v>
      </c>
      <c r="O3428" s="23">
        <v>44692</v>
      </c>
      <c r="P3428" s="23">
        <v>44692</v>
      </c>
      <c r="Q3428" s="106" t="s">
        <v>66</v>
      </c>
      <c r="R3428" s="37">
        <v>785</v>
      </c>
      <c r="S3428" s="39" t="s">
        <v>1194</v>
      </c>
      <c r="T3428" s="37">
        <v>1887</v>
      </c>
      <c r="U3428" s="38" t="s">
        <v>1647</v>
      </c>
      <c r="V3428" s="69" t="s">
        <v>272</v>
      </c>
      <c r="W3428" s="89" t="s">
        <v>137</v>
      </c>
      <c r="X3428" s="106" t="s">
        <v>296</v>
      </c>
      <c r="Y3428" s="107" t="s">
        <v>12</v>
      </c>
      <c r="Z3428" s="67">
        <f>IF(База_КР_КК[[#This Row],[Таб.номер резервиста]]="-","-",IF(OR(База_КР_КК[[#This Row],[Уровень КК]]=2,База_КР_КК[[#This Row],[Уровень КК]]=3),IF(COUNTIFS($U$2:$U3428,$U3428,$F$2:$F3428,$F3428)=1,1,0),IF(COUNTIFS($U$2:$U3428,$U3428,$L$2:$L3428,$L3428)=1,1,0)))</f>
        <v>1</v>
      </c>
      <c r="AA34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8" s="106"/>
      <c r="AC3428" s="51"/>
      <c r="AD3428" s="106" t="s">
        <v>15</v>
      </c>
      <c r="AE3428" s="38" t="s">
        <v>376</v>
      </c>
    </row>
    <row r="3429" spans="1:31" ht="18" customHeight="1" x14ac:dyDescent="0.25">
      <c r="A34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29" s="79">
        <v>4</v>
      </c>
      <c r="C3429" s="23">
        <v>44125</v>
      </c>
      <c r="D3429" s="67">
        <f>IF(COUNTIF($G$2:$G3429,$G3429)=1,1,0)</f>
        <v>0</v>
      </c>
      <c r="E3429" s="67" t="str">
        <f>IFERROR(VLOOKUP(База_КР_КК[[#This Row],[ИД штатной должности (S)]],'уровень защищенности'!$B$7:$F$1095,5,0),"не защищена")</f>
        <v>высокий</v>
      </c>
      <c r="F3429" s="68">
        <v>500188</v>
      </c>
      <c r="G3429" s="74" t="s">
        <v>2966</v>
      </c>
      <c r="H3429" s="181">
        <f>INDEX('Списки данных'!$D$2:$D$1048576,MATCH(База_КР_КК[[#This Row],[Структурное подразделение]],'Списки данных'!$C$2:$C$1048576,0))</f>
        <v>7</v>
      </c>
      <c r="I3429" s="80" t="s">
        <v>137</v>
      </c>
      <c r="J3429" s="80" t="s">
        <v>248</v>
      </c>
      <c r="K3429" s="80" t="s">
        <v>249</v>
      </c>
      <c r="L3429" s="30" t="s">
        <v>191</v>
      </c>
      <c r="M3429" s="68">
        <v>6</v>
      </c>
      <c r="N3429" s="181" t="str">
        <f t="shared" si="54"/>
        <v>да</v>
      </c>
      <c r="O3429" s="23">
        <v>44692</v>
      </c>
      <c r="P3429" s="23">
        <v>44692</v>
      </c>
      <c r="Q3429" s="106" t="s">
        <v>66</v>
      </c>
      <c r="R3429" s="37">
        <v>785</v>
      </c>
      <c r="S3429" s="39" t="s">
        <v>1194</v>
      </c>
      <c r="T3429" s="37">
        <v>786</v>
      </c>
      <c r="U3429" s="38" t="s">
        <v>1195</v>
      </c>
      <c r="V3429" s="69" t="s">
        <v>192</v>
      </c>
      <c r="W3429" s="89" t="s">
        <v>137</v>
      </c>
      <c r="X3429" s="106" t="s">
        <v>295</v>
      </c>
      <c r="Y3429" s="107" t="s">
        <v>14</v>
      </c>
      <c r="Z3429" s="67">
        <f>IF(База_КР_КК[[#This Row],[Таб.номер резервиста]]="-","-",IF(OR(База_КР_КК[[#This Row],[Уровень КК]]=2,База_КР_КК[[#This Row],[Уровень КК]]=3),IF(COUNTIFS($U$2:$U3429,$U3429,$F$2:$F3429,$F3429)=1,1,0),IF(COUNTIFS($U$2:$U3429,$U3429,$L$2:$L3429,$L3429)=1,1,0)))</f>
        <v>0</v>
      </c>
      <c r="AA34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29" s="106" t="s">
        <v>24</v>
      </c>
      <c r="AC3429" s="51">
        <v>44230</v>
      </c>
      <c r="AD3429" s="106" t="s">
        <v>15</v>
      </c>
      <c r="AE3429" s="38" t="s">
        <v>382</v>
      </c>
    </row>
    <row r="3430" spans="1:31" ht="18" customHeight="1" x14ac:dyDescent="0.25">
      <c r="A34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0" s="79">
        <v>4</v>
      </c>
      <c r="C3430" s="23">
        <v>44125</v>
      </c>
      <c r="D3430" s="67">
        <f>IF(COUNTIF($G$2:$G3430,$G3430)=1,1,0)</f>
        <v>0</v>
      </c>
      <c r="E3430" s="67" t="str">
        <f>IFERROR(VLOOKUP(База_КР_КК[[#This Row],[ИД штатной должности (S)]],'уровень защищенности'!$B$7:$F$1095,5,0),"не защищена")</f>
        <v>высокий</v>
      </c>
      <c r="F3430" s="68">
        <v>500188</v>
      </c>
      <c r="G3430" s="74" t="s">
        <v>2966</v>
      </c>
      <c r="H3430" s="181">
        <f>INDEX('Списки данных'!$D$2:$D$1048576,MATCH(База_КР_КК[[#This Row],[Структурное подразделение]],'Списки данных'!$C$2:$C$1048576,0))</f>
        <v>7</v>
      </c>
      <c r="I3430" s="80" t="s">
        <v>137</v>
      </c>
      <c r="J3430" s="80" t="s">
        <v>248</v>
      </c>
      <c r="K3430" s="80" t="s">
        <v>249</v>
      </c>
      <c r="L3430" s="30" t="s">
        <v>191</v>
      </c>
      <c r="M3430" s="68">
        <v>6</v>
      </c>
      <c r="N3430" s="181" t="str">
        <f t="shared" si="54"/>
        <v>да</v>
      </c>
      <c r="O3430" s="23">
        <v>44692</v>
      </c>
      <c r="P3430" s="23">
        <v>44692</v>
      </c>
      <c r="Q3430" s="106" t="s">
        <v>66</v>
      </c>
      <c r="R3430" s="37">
        <v>785</v>
      </c>
      <c r="S3430" s="39" t="s">
        <v>1194</v>
      </c>
      <c r="T3430" s="37">
        <v>785</v>
      </c>
      <c r="U3430" s="38" t="s">
        <v>1194</v>
      </c>
      <c r="V3430" s="69" t="s">
        <v>272</v>
      </c>
      <c r="W3430" s="89" t="s">
        <v>137</v>
      </c>
      <c r="X3430" s="106" t="s">
        <v>295</v>
      </c>
      <c r="Y3430" s="107" t="s">
        <v>14</v>
      </c>
      <c r="Z3430" s="67">
        <f>IF(База_КР_КК[[#This Row],[Таб.номер резервиста]]="-","-",IF(OR(База_КР_КК[[#This Row],[Уровень КК]]=2,База_КР_КК[[#This Row],[Уровень КК]]=3),IF(COUNTIFS($U$2:$U3430,$U3430,$F$2:$F3430,$F3430)=1,1,0),IF(COUNTIFS($U$2:$U3430,$U3430,$L$2:$L3430,$L3430)=1,1,0)))</f>
        <v>1</v>
      </c>
      <c r="AA34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430" s="106" t="s">
        <v>24</v>
      </c>
      <c r="AC3430" s="51">
        <v>44692</v>
      </c>
      <c r="AD3430" s="106" t="s">
        <v>15</v>
      </c>
      <c r="AE3430" s="38" t="s">
        <v>382</v>
      </c>
    </row>
    <row r="3431" spans="1:31" ht="18" customHeight="1" x14ac:dyDescent="0.25">
      <c r="A34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1" s="79">
        <v>4</v>
      </c>
      <c r="C3431" s="23">
        <v>44125</v>
      </c>
      <c r="D3431" s="67">
        <f>IF(COUNTIF($G$2:$G3431,$G3431)=1,1,0)</f>
        <v>0</v>
      </c>
      <c r="E3431" s="67" t="str">
        <f>IFERROR(VLOOKUP(База_КР_КК[[#This Row],[ИД штатной должности (S)]],'уровень защищенности'!$B$7:$F$1095,5,0),"не защищена")</f>
        <v>высокий</v>
      </c>
      <c r="F3431" s="68">
        <v>500188</v>
      </c>
      <c r="G3431" s="74" t="s">
        <v>2966</v>
      </c>
      <c r="H3431" s="181">
        <f>INDEX('Списки данных'!$D$2:$D$1048576,MATCH(База_КР_КК[[#This Row],[Структурное подразделение]],'Списки данных'!$C$2:$C$1048576,0))</f>
        <v>7</v>
      </c>
      <c r="I3431" s="80" t="s">
        <v>137</v>
      </c>
      <c r="J3431" s="80" t="s">
        <v>248</v>
      </c>
      <c r="K3431" s="80" t="s">
        <v>249</v>
      </c>
      <c r="L3431" s="30" t="s">
        <v>191</v>
      </c>
      <c r="M3431" s="68">
        <v>6</v>
      </c>
      <c r="N3431" s="181" t="str">
        <f t="shared" si="54"/>
        <v>да</v>
      </c>
      <c r="O3431" s="23">
        <v>44692</v>
      </c>
      <c r="P3431" s="23">
        <v>44692</v>
      </c>
      <c r="Q3431" s="106" t="s">
        <v>66</v>
      </c>
      <c r="R3431" s="37">
        <v>785</v>
      </c>
      <c r="S3431" s="39" t="s">
        <v>1194</v>
      </c>
      <c r="T3431" s="37">
        <v>1885</v>
      </c>
      <c r="U3431" s="39" t="s">
        <v>2085</v>
      </c>
      <c r="V3431" s="69" t="s">
        <v>272</v>
      </c>
      <c r="W3431" s="89" t="s">
        <v>137</v>
      </c>
      <c r="X3431" s="106" t="s">
        <v>295</v>
      </c>
      <c r="Y3431" s="107" t="s">
        <v>18</v>
      </c>
      <c r="Z3431" s="67">
        <f>IF(База_КР_КК[[#This Row],[Таб.номер резервиста]]="-","-",IF(OR(База_КР_КК[[#This Row],[Уровень КК]]=2,База_КР_КК[[#This Row],[Уровень КК]]=3),IF(COUNTIFS($U$2:$U3431,$U3431,$F$2:$F3431,$F3431)=1,1,0),IF(COUNTIFS($U$2:$U3431,$U3431,$L$2:$L3431,$L3431)=1,1,0)))</f>
        <v>0</v>
      </c>
      <c r="AA34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31" s="106" t="s">
        <v>38</v>
      </c>
      <c r="AC3431" s="51">
        <v>44662</v>
      </c>
      <c r="AD3431" s="106" t="s">
        <v>31</v>
      </c>
      <c r="AE3431" s="38" t="s">
        <v>382</v>
      </c>
    </row>
    <row r="3432" spans="1:31" ht="18" customHeight="1" x14ac:dyDescent="0.25">
      <c r="A34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2" s="79">
        <v>4</v>
      </c>
      <c r="C3432" s="23">
        <v>44859</v>
      </c>
      <c r="D3432" s="67">
        <f>IF(COUNTIF($G$2:$G3432,$G3432)=1,1,0)</f>
        <v>1</v>
      </c>
      <c r="E3432" s="67" t="str">
        <f>IFERROR(VLOOKUP(База_КР_КК[[#This Row],[ИД штатной должности (S)]],'уровень защищенности'!$B$7:$F$1095,5,0),"не защищена")</f>
        <v>высокий</v>
      </c>
      <c r="F3432" s="68">
        <v>500188</v>
      </c>
      <c r="G3432" s="74" t="s">
        <v>2967</v>
      </c>
      <c r="H3432" s="181">
        <f>INDEX('Списки данных'!$D$2:$D$1048576,MATCH(База_КР_КК[[#This Row],[Структурное подразделение]],'Списки данных'!$C$2:$C$1048576,0))</f>
        <v>7</v>
      </c>
      <c r="I3432" s="80" t="s">
        <v>137</v>
      </c>
      <c r="J3432" s="80" t="s">
        <v>248</v>
      </c>
      <c r="K3432" s="80" t="s">
        <v>249</v>
      </c>
      <c r="L3432" s="30" t="s">
        <v>191</v>
      </c>
      <c r="M3432" s="68">
        <v>6</v>
      </c>
      <c r="N3432" s="181" t="str">
        <f t="shared" si="54"/>
        <v>да</v>
      </c>
      <c r="O3432" s="23">
        <v>44230</v>
      </c>
      <c r="P3432" s="23">
        <v>44230</v>
      </c>
      <c r="Q3432" s="106" t="s">
        <v>66</v>
      </c>
      <c r="R3432" s="37">
        <v>786</v>
      </c>
      <c r="S3432" s="39" t="s">
        <v>1195</v>
      </c>
      <c r="T3432" s="37">
        <v>1886</v>
      </c>
      <c r="U3432" s="38" t="s">
        <v>2059</v>
      </c>
      <c r="V3432" s="69" t="s">
        <v>272</v>
      </c>
      <c r="W3432" s="89" t="s">
        <v>137</v>
      </c>
      <c r="X3432" s="106" t="s">
        <v>295</v>
      </c>
      <c r="Y3432" s="107" t="s">
        <v>12</v>
      </c>
      <c r="Z3432" s="67">
        <f>IF(База_КР_КК[[#This Row],[Таб.номер резервиста]]="-","-",IF(OR(База_КР_КК[[#This Row],[Уровень КК]]=2,База_КР_КК[[#This Row],[Уровень КК]]=3),IF(COUNTIFS($U$2:$U3432,$U3432,$F$2:$F3432,$F3432)=1,1,0),IF(COUNTIFS($U$2:$U3432,$U3432,$L$2:$L3432,$L3432)=1,1,0)))</f>
        <v>0</v>
      </c>
      <c r="AA34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32" s="106"/>
      <c r="AC3432" s="51"/>
      <c r="AD3432" s="106" t="s">
        <v>15</v>
      </c>
      <c r="AE3432" s="38" t="s">
        <v>376</v>
      </c>
    </row>
    <row r="3433" spans="1:31" ht="18" customHeight="1" x14ac:dyDescent="0.25">
      <c r="A34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3" s="79">
        <v>4</v>
      </c>
      <c r="C3433" s="23">
        <v>44859</v>
      </c>
      <c r="D3433" s="67">
        <f>IF(COUNTIF($G$2:$G3433,$G3433)=1,1,0)</f>
        <v>0</v>
      </c>
      <c r="E3433" s="67" t="str">
        <f>IFERROR(VLOOKUP(База_КР_КК[[#This Row],[ИД штатной должности (S)]],'уровень защищенности'!$B$7:$F$1095,5,0),"не защищена")</f>
        <v>высокий</v>
      </c>
      <c r="F3433" s="68">
        <v>500188</v>
      </c>
      <c r="G3433" s="74" t="s">
        <v>2967</v>
      </c>
      <c r="H3433" s="181">
        <f>INDEX('Списки данных'!$D$2:$D$1048576,MATCH(База_КР_КК[[#This Row],[Структурное подразделение]],'Списки данных'!$C$2:$C$1048576,0))</f>
        <v>7</v>
      </c>
      <c r="I3433" s="80" t="s">
        <v>137</v>
      </c>
      <c r="J3433" s="80" t="s">
        <v>248</v>
      </c>
      <c r="K3433" s="80" t="s">
        <v>249</v>
      </c>
      <c r="L3433" s="30" t="s">
        <v>191</v>
      </c>
      <c r="M3433" s="68">
        <v>6</v>
      </c>
      <c r="N3433" s="181" t="str">
        <f t="shared" si="54"/>
        <v>да</v>
      </c>
      <c r="O3433" s="23">
        <v>44230</v>
      </c>
      <c r="P3433" s="23">
        <v>44230</v>
      </c>
      <c r="Q3433" s="106" t="s">
        <v>66</v>
      </c>
      <c r="R3433" s="37">
        <v>786</v>
      </c>
      <c r="S3433" s="39" t="s">
        <v>1195</v>
      </c>
      <c r="T3433" s="37">
        <v>1887</v>
      </c>
      <c r="U3433" s="38" t="s">
        <v>1647</v>
      </c>
      <c r="V3433" s="69" t="s">
        <v>272</v>
      </c>
      <c r="W3433" s="89" t="s">
        <v>137</v>
      </c>
      <c r="X3433" s="106" t="s">
        <v>296</v>
      </c>
      <c r="Y3433" s="107" t="s">
        <v>12</v>
      </c>
      <c r="Z3433" s="67">
        <f>IF(База_КР_КК[[#This Row],[Таб.номер резервиста]]="-","-",IF(OR(База_КР_КК[[#This Row],[Уровень КК]]=2,База_КР_КК[[#This Row],[Уровень КК]]=3),IF(COUNTIFS($U$2:$U3433,$U3433,$F$2:$F3433,$F3433)=1,1,0),IF(COUNTIFS($U$2:$U3433,$U3433,$L$2:$L3433,$L3433)=1,1,0)))</f>
        <v>0</v>
      </c>
      <c r="AA34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33" s="106"/>
      <c r="AC3433" s="51"/>
      <c r="AD3433" s="106" t="s">
        <v>15</v>
      </c>
      <c r="AE3433" s="38" t="s">
        <v>376</v>
      </c>
    </row>
    <row r="3434" spans="1:31" ht="18" customHeight="1" x14ac:dyDescent="0.25">
      <c r="A34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4" s="79">
        <v>4</v>
      </c>
      <c r="C3434" s="23">
        <v>44125</v>
      </c>
      <c r="D3434" s="67">
        <f>IF(COUNTIF($G$2:$G3434,$G3434)=1,1,0)</f>
        <v>0</v>
      </c>
      <c r="E3434" s="67" t="str">
        <f>IFERROR(VLOOKUP(База_КР_КК[[#This Row],[ИД штатной должности (S)]],'уровень защищенности'!$B$7:$F$1095,5,0),"не защищена")</f>
        <v>высокий</v>
      </c>
      <c r="F3434" s="68">
        <v>500188</v>
      </c>
      <c r="G3434" s="74" t="s">
        <v>2967</v>
      </c>
      <c r="H3434" s="181">
        <f>INDEX('Списки данных'!$D$2:$D$1048576,MATCH(База_КР_КК[[#This Row],[Структурное подразделение]],'Списки данных'!$C$2:$C$1048576,0))</f>
        <v>7</v>
      </c>
      <c r="I3434" s="80" t="s">
        <v>137</v>
      </c>
      <c r="J3434" s="80" t="s">
        <v>248</v>
      </c>
      <c r="K3434" s="80" t="s">
        <v>249</v>
      </c>
      <c r="L3434" s="30" t="s">
        <v>191</v>
      </c>
      <c r="M3434" s="68">
        <v>6</v>
      </c>
      <c r="N3434" s="181" t="str">
        <f t="shared" si="54"/>
        <v>да</v>
      </c>
      <c r="O3434" s="23">
        <v>44230</v>
      </c>
      <c r="P3434" s="23">
        <v>44230</v>
      </c>
      <c r="Q3434" s="106" t="s">
        <v>66</v>
      </c>
      <c r="R3434" s="37">
        <v>786</v>
      </c>
      <c r="S3434" s="39" t="s">
        <v>1195</v>
      </c>
      <c r="T3434" s="37">
        <v>786</v>
      </c>
      <c r="U3434" s="39" t="s">
        <v>1195</v>
      </c>
      <c r="V3434" s="69" t="s">
        <v>192</v>
      </c>
      <c r="W3434" s="89" t="s">
        <v>137</v>
      </c>
      <c r="X3434" s="106" t="s">
        <v>295</v>
      </c>
      <c r="Y3434" s="107" t="s">
        <v>14</v>
      </c>
      <c r="Z3434" s="67">
        <f>IF(База_КР_КК[[#This Row],[Таб.номер резервиста]]="-","-",IF(OR(База_КР_КК[[#This Row],[Уровень КК]]=2,База_КР_КК[[#This Row],[Уровень КК]]=3),IF(COUNTIFS($U$2:$U3434,$U3434,$F$2:$F3434,$F3434)=1,1,0),IF(COUNTIFS($U$2:$U3434,$U3434,$L$2:$L3434,$L3434)=1,1,0)))</f>
        <v>0</v>
      </c>
      <c r="AA34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434" s="106" t="s">
        <v>24</v>
      </c>
      <c r="AC3434" s="51">
        <v>44230</v>
      </c>
      <c r="AD3434" s="106" t="s">
        <v>15</v>
      </c>
      <c r="AE3434" s="38" t="s">
        <v>382</v>
      </c>
    </row>
    <row r="3435" spans="1:31" ht="18" customHeight="1" x14ac:dyDescent="0.25">
      <c r="A34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5" s="79">
        <v>4</v>
      </c>
      <c r="C3435" s="23">
        <v>44125</v>
      </c>
      <c r="D3435" s="67">
        <f>IF(COUNTIF($G$2:$G3435,$G3435)=1,1,0)</f>
        <v>0</v>
      </c>
      <c r="E3435" s="67" t="str">
        <f>IFERROR(VLOOKUP(База_КР_КК[[#This Row],[ИД штатной должности (S)]],'уровень защищенности'!$B$7:$F$1095,5,0),"не защищена")</f>
        <v>высокий</v>
      </c>
      <c r="F3435" s="68">
        <v>500188</v>
      </c>
      <c r="G3435" s="74" t="s">
        <v>2967</v>
      </c>
      <c r="H3435" s="181">
        <f>INDEX('Списки данных'!$D$2:$D$1048576,MATCH(База_КР_КК[[#This Row],[Структурное подразделение]],'Списки данных'!$C$2:$C$1048576,0))</f>
        <v>7</v>
      </c>
      <c r="I3435" s="80" t="s">
        <v>137</v>
      </c>
      <c r="J3435" s="80" t="s">
        <v>248</v>
      </c>
      <c r="K3435" s="80" t="s">
        <v>249</v>
      </c>
      <c r="L3435" s="30" t="s">
        <v>191</v>
      </c>
      <c r="M3435" s="68">
        <v>6</v>
      </c>
      <c r="N3435" s="181" t="str">
        <f t="shared" si="54"/>
        <v>да</v>
      </c>
      <c r="O3435" s="23">
        <v>44230</v>
      </c>
      <c r="P3435" s="23">
        <v>44230</v>
      </c>
      <c r="Q3435" s="106" t="s">
        <v>66</v>
      </c>
      <c r="R3435" s="37">
        <v>786</v>
      </c>
      <c r="S3435" s="39" t="s">
        <v>1195</v>
      </c>
      <c r="T3435" s="37">
        <v>785</v>
      </c>
      <c r="U3435" s="38" t="s">
        <v>1194</v>
      </c>
      <c r="V3435" s="69" t="s">
        <v>272</v>
      </c>
      <c r="W3435" s="89" t="s">
        <v>137</v>
      </c>
      <c r="X3435" s="106" t="s">
        <v>295</v>
      </c>
      <c r="Y3435" s="107" t="s">
        <v>14</v>
      </c>
      <c r="Z3435" s="67">
        <f>IF(База_КР_КК[[#This Row],[Таб.номер резервиста]]="-","-",IF(OR(База_КР_КК[[#This Row],[Уровень КК]]=2,База_КР_КК[[#This Row],[Уровень КК]]=3),IF(COUNTIFS($U$2:$U3435,$U3435,$F$2:$F3435,$F3435)=1,1,0),IF(COUNTIFS($U$2:$U3435,$U3435,$L$2:$L3435,$L3435)=1,1,0)))</f>
        <v>0</v>
      </c>
      <c r="AA34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35" s="106" t="s">
        <v>24</v>
      </c>
      <c r="AC3435" s="51">
        <v>44692</v>
      </c>
      <c r="AD3435" s="106" t="s">
        <v>15</v>
      </c>
      <c r="AE3435" s="38" t="s">
        <v>382</v>
      </c>
    </row>
    <row r="3436" spans="1:31" ht="18" customHeight="1" x14ac:dyDescent="0.25">
      <c r="A34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6" s="79">
        <v>4</v>
      </c>
      <c r="C3436" s="23">
        <v>44125</v>
      </c>
      <c r="D3436" s="67">
        <f>IF(COUNTIF($G$2:$G3436,$G3436)=1,1,0)</f>
        <v>0</v>
      </c>
      <c r="E3436" s="67" t="str">
        <f>IFERROR(VLOOKUP(База_КР_КК[[#This Row],[ИД штатной должности (S)]],'уровень защищенности'!$B$7:$F$1095,5,0),"не защищена")</f>
        <v>высокий</v>
      </c>
      <c r="F3436" s="68">
        <v>500188</v>
      </c>
      <c r="G3436" s="74" t="s">
        <v>2967</v>
      </c>
      <c r="H3436" s="181">
        <f>INDEX('Списки данных'!$D$2:$D$1048576,MATCH(База_КР_КК[[#This Row],[Структурное подразделение]],'Списки данных'!$C$2:$C$1048576,0))</f>
        <v>7</v>
      </c>
      <c r="I3436" s="80" t="s">
        <v>137</v>
      </c>
      <c r="J3436" s="80" t="s">
        <v>248</v>
      </c>
      <c r="K3436" s="80" t="s">
        <v>249</v>
      </c>
      <c r="L3436" s="30" t="s">
        <v>191</v>
      </c>
      <c r="M3436" s="68">
        <v>6</v>
      </c>
      <c r="N3436" s="181" t="str">
        <f t="shared" si="54"/>
        <v>да</v>
      </c>
      <c r="O3436" s="23">
        <v>44230</v>
      </c>
      <c r="P3436" s="23">
        <v>44230</v>
      </c>
      <c r="Q3436" s="106" t="s">
        <v>66</v>
      </c>
      <c r="R3436" s="37">
        <v>786</v>
      </c>
      <c r="S3436" s="39" t="s">
        <v>1195</v>
      </c>
      <c r="T3436" s="37">
        <v>1885</v>
      </c>
      <c r="U3436" s="39" t="s">
        <v>2085</v>
      </c>
      <c r="V3436" s="69" t="s">
        <v>272</v>
      </c>
      <c r="W3436" s="89" t="s">
        <v>137</v>
      </c>
      <c r="X3436" s="106" t="s">
        <v>295</v>
      </c>
      <c r="Y3436" s="107" t="s">
        <v>18</v>
      </c>
      <c r="Z3436" s="67">
        <f>IF(База_КР_КК[[#This Row],[Таб.номер резервиста]]="-","-",IF(OR(База_КР_КК[[#This Row],[Уровень КК]]=2,База_КР_КК[[#This Row],[Уровень КК]]=3),IF(COUNTIFS($U$2:$U3436,$U3436,$F$2:$F3436,$F3436)=1,1,0),IF(COUNTIFS($U$2:$U3436,$U3436,$L$2:$L3436,$L3436)=1,1,0)))</f>
        <v>0</v>
      </c>
      <c r="AA34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36" s="106" t="s">
        <v>38</v>
      </c>
      <c r="AC3436" s="51">
        <v>44662</v>
      </c>
      <c r="AD3436" s="106" t="s">
        <v>31</v>
      </c>
      <c r="AE3436" s="38" t="s">
        <v>382</v>
      </c>
    </row>
    <row r="3437" spans="1:31" ht="18" customHeight="1" x14ac:dyDescent="0.25">
      <c r="A34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7" s="79">
        <v>4</v>
      </c>
      <c r="C3437" s="23">
        <v>44859</v>
      </c>
      <c r="D3437" s="67">
        <f>IF(COUNTIF($G$2:$G3437,$G3437)=1,1,0)</f>
        <v>1</v>
      </c>
      <c r="E3437" s="67" t="str">
        <f>IFERROR(VLOOKUP(База_КР_КК[[#This Row],[ИД штатной должности (S)]],'уровень защищенности'!$B$7:$F$1095,5,0),"не защищена")</f>
        <v>высокий</v>
      </c>
      <c r="F3437" s="68">
        <v>500188</v>
      </c>
      <c r="G3437" s="74" t="s">
        <v>2968</v>
      </c>
      <c r="H3437" s="181">
        <f>INDEX('Списки данных'!$D$2:$D$1048576,MATCH(База_КР_КК[[#This Row],[Структурное подразделение]],'Списки данных'!$C$2:$C$1048576,0))</f>
        <v>7</v>
      </c>
      <c r="I3437" s="80" t="s">
        <v>137</v>
      </c>
      <c r="J3437" s="80" t="s">
        <v>248</v>
      </c>
      <c r="K3437" s="80" t="s">
        <v>249</v>
      </c>
      <c r="L3437" s="30" t="s">
        <v>191</v>
      </c>
      <c r="M3437" s="68">
        <v>6</v>
      </c>
      <c r="N3437" s="181" t="str">
        <f t="shared" si="54"/>
        <v>нет</v>
      </c>
      <c r="O3437" s="23"/>
      <c r="P3437" s="23"/>
      <c r="Q3437" s="106"/>
      <c r="R3437" s="37">
        <v>787</v>
      </c>
      <c r="S3437" s="39" t="s">
        <v>1196</v>
      </c>
      <c r="T3437" s="37">
        <v>1886</v>
      </c>
      <c r="U3437" s="38" t="s">
        <v>2059</v>
      </c>
      <c r="V3437" s="69" t="s">
        <v>272</v>
      </c>
      <c r="W3437" s="89" t="s">
        <v>137</v>
      </c>
      <c r="X3437" s="106" t="s">
        <v>295</v>
      </c>
      <c r="Y3437" s="107" t="s">
        <v>12</v>
      </c>
      <c r="Z3437" s="67">
        <f>IF(База_КР_КК[[#This Row],[Таб.номер резервиста]]="-","-",IF(OR(База_КР_КК[[#This Row],[Уровень КК]]=2,База_КР_КК[[#This Row],[Уровень КК]]=3),IF(COUNTIFS($U$2:$U3437,$U3437,$F$2:$F3437,$F3437)=1,1,0),IF(COUNTIFS($U$2:$U3437,$U3437,$L$2:$L3437,$L3437)=1,1,0)))</f>
        <v>0</v>
      </c>
      <c r="AA34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37" s="106"/>
      <c r="AC3437" s="51"/>
      <c r="AD3437" s="106" t="s">
        <v>15</v>
      </c>
      <c r="AE3437" s="38" t="s">
        <v>376</v>
      </c>
    </row>
    <row r="3438" spans="1:31" ht="18" customHeight="1" x14ac:dyDescent="0.25">
      <c r="A34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8" s="79">
        <v>4</v>
      </c>
      <c r="C3438" s="23">
        <v>44859</v>
      </c>
      <c r="D3438" s="67">
        <f>IF(COUNTIF($G$2:$G3438,$G3438)=1,1,0)</f>
        <v>0</v>
      </c>
      <c r="E3438" s="67" t="str">
        <f>IFERROR(VLOOKUP(База_КР_КК[[#This Row],[ИД штатной должности (S)]],'уровень защищенности'!$B$7:$F$1095,5,0),"не защищена")</f>
        <v>высокий</v>
      </c>
      <c r="F3438" s="68">
        <v>500188</v>
      </c>
      <c r="G3438" s="74" t="s">
        <v>2968</v>
      </c>
      <c r="H3438" s="181">
        <f>INDEX('Списки данных'!$D$2:$D$1048576,MATCH(База_КР_КК[[#This Row],[Структурное подразделение]],'Списки данных'!$C$2:$C$1048576,0))</f>
        <v>7</v>
      </c>
      <c r="I3438" s="80" t="s">
        <v>137</v>
      </c>
      <c r="J3438" s="80" t="s">
        <v>248</v>
      </c>
      <c r="K3438" s="80" t="s">
        <v>249</v>
      </c>
      <c r="L3438" s="30" t="s">
        <v>191</v>
      </c>
      <c r="M3438" s="68">
        <v>6</v>
      </c>
      <c r="N3438" s="181" t="str">
        <f t="shared" si="54"/>
        <v>нет</v>
      </c>
      <c r="O3438" s="23"/>
      <c r="P3438" s="23"/>
      <c r="Q3438" s="106"/>
      <c r="R3438" s="37">
        <v>787</v>
      </c>
      <c r="S3438" s="39" t="s">
        <v>1196</v>
      </c>
      <c r="T3438" s="37">
        <v>1887</v>
      </c>
      <c r="U3438" s="38" t="s">
        <v>1647</v>
      </c>
      <c r="V3438" s="69" t="s">
        <v>272</v>
      </c>
      <c r="W3438" s="89" t="s">
        <v>137</v>
      </c>
      <c r="X3438" s="106" t="s">
        <v>296</v>
      </c>
      <c r="Y3438" s="107" t="s">
        <v>12</v>
      </c>
      <c r="Z3438" s="67">
        <f>IF(База_КР_КК[[#This Row],[Таб.номер резервиста]]="-","-",IF(OR(База_КР_КК[[#This Row],[Уровень КК]]=2,База_КР_КК[[#This Row],[Уровень КК]]=3),IF(COUNTIFS($U$2:$U3438,$U3438,$F$2:$F3438,$F3438)=1,1,0),IF(COUNTIFS($U$2:$U3438,$U3438,$L$2:$L3438,$L3438)=1,1,0)))</f>
        <v>0</v>
      </c>
      <c r="AA34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38" s="106"/>
      <c r="AC3438" s="51"/>
      <c r="AD3438" s="106" t="s">
        <v>15</v>
      </c>
      <c r="AE3438" s="38" t="s">
        <v>376</v>
      </c>
    </row>
    <row r="3439" spans="1:31" ht="18" customHeight="1" x14ac:dyDescent="0.25">
      <c r="A34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39" s="79">
        <v>4</v>
      </c>
      <c r="C3439" s="23">
        <v>44125</v>
      </c>
      <c r="D3439" s="67">
        <f>IF(COUNTIF($G$2:$G3439,$G3439)=1,1,0)</f>
        <v>0</v>
      </c>
      <c r="E3439" s="67" t="str">
        <f>IFERROR(VLOOKUP(База_КР_КК[[#This Row],[ИД штатной должности (S)]],'уровень защищенности'!$B$7:$F$1095,5,0),"не защищена")</f>
        <v>высокий</v>
      </c>
      <c r="F3439" s="68">
        <v>500188</v>
      </c>
      <c r="G3439" s="74" t="s">
        <v>2968</v>
      </c>
      <c r="H3439" s="181">
        <f>INDEX('Списки данных'!$D$2:$D$1048576,MATCH(База_КР_КК[[#This Row],[Структурное подразделение]],'Списки данных'!$C$2:$C$1048576,0))</f>
        <v>7</v>
      </c>
      <c r="I3439" s="80" t="s">
        <v>137</v>
      </c>
      <c r="J3439" s="80" t="s">
        <v>248</v>
      </c>
      <c r="K3439" s="80" t="s">
        <v>249</v>
      </c>
      <c r="L3439" s="30" t="s">
        <v>191</v>
      </c>
      <c r="M3439" s="68">
        <v>6</v>
      </c>
      <c r="N3439" s="181" t="str">
        <f t="shared" si="54"/>
        <v>нет</v>
      </c>
      <c r="O3439" s="51"/>
      <c r="P3439" s="51"/>
      <c r="Q3439" s="106"/>
      <c r="R3439" s="37">
        <v>787</v>
      </c>
      <c r="S3439" s="39" t="s">
        <v>1196</v>
      </c>
      <c r="T3439" s="37">
        <v>786</v>
      </c>
      <c r="U3439" s="38" t="s">
        <v>1195</v>
      </c>
      <c r="V3439" s="69" t="s">
        <v>192</v>
      </c>
      <c r="W3439" s="89" t="s">
        <v>137</v>
      </c>
      <c r="X3439" s="106" t="s">
        <v>295</v>
      </c>
      <c r="Y3439" s="107" t="s">
        <v>14</v>
      </c>
      <c r="Z3439" s="67">
        <f>IF(База_КР_КК[[#This Row],[Таб.номер резервиста]]="-","-",IF(OR(База_КР_КК[[#This Row],[Уровень КК]]=2,База_КР_КК[[#This Row],[Уровень КК]]=3),IF(COUNTIFS($U$2:$U3439,$U3439,$F$2:$F3439,$F3439)=1,1,0),IF(COUNTIFS($U$2:$U3439,$U3439,$L$2:$L3439,$L3439)=1,1,0)))</f>
        <v>0</v>
      </c>
      <c r="AA34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39" s="106" t="s">
        <v>24</v>
      </c>
      <c r="AC3439" s="51">
        <v>44230</v>
      </c>
      <c r="AD3439" s="106" t="s">
        <v>15</v>
      </c>
      <c r="AE3439" s="38" t="s">
        <v>382</v>
      </c>
    </row>
    <row r="3440" spans="1:31" ht="18" customHeight="1" x14ac:dyDescent="0.25">
      <c r="A34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0" s="79">
        <v>4</v>
      </c>
      <c r="C3440" s="23">
        <v>44125</v>
      </c>
      <c r="D3440" s="67">
        <f>IF(COUNTIF($G$2:$G3440,$G3440)=1,1,0)</f>
        <v>0</v>
      </c>
      <c r="E3440" s="67" t="str">
        <f>IFERROR(VLOOKUP(База_КР_КК[[#This Row],[ИД штатной должности (S)]],'уровень защищенности'!$B$7:$F$1095,5,0),"не защищена")</f>
        <v>высокий</v>
      </c>
      <c r="F3440" s="68">
        <v>500188</v>
      </c>
      <c r="G3440" s="74" t="s">
        <v>2968</v>
      </c>
      <c r="H3440" s="181">
        <f>INDEX('Списки данных'!$D$2:$D$1048576,MATCH(База_КР_КК[[#This Row],[Структурное подразделение]],'Списки данных'!$C$2:$C$1048576,0))</f>
        <v>7</v>
      </c>
      <c r="I3440" s="80" t="s">
        <v>137</v>
      </c>
      <c r="J3440" s="80" t="s">
        <v>248</v>
      </c>
      <c r="K3440" s="80" t="s">
        <v>249</v>
      </c>
      <c r="L3440" s="30" t="s">
        <v>191</v>
      </c>
      <c r="M3440" s="68">
        <v>6</v>
      </c>
      <c r="N3440" s="181" t="str">
        <f t="shared" si="54"/>
        <v>нет</v>
      </c>
      <c r="O3440" s="23"/>
      <c r="P3440" s="23"/>
      <c r="Q3440" s="106"/>
      <c r="R3440" s="37">
        <v>787</v>
      </c>
      <c r="S3440" s="39" t="s">
        <v>1196</v>
      </c>
      <c r="T3440" s="37">
        <v>785</v>
      </c>
      <c r="U3440" s="38" t="s">
        <v>1194</v>
      </c>
      <c r="V3440" s="69" t="s">
        <v>272</v>
      </c>
      <c r="W3440" s="89" t="s">
        <v>137</v>
      </c>
      <c r="X3440" s="106" t="s">
        <v>295</v>
      </c>
      <c r="Y3440" s="107" t="s">
        <v>14</v>
      </c>
      <c r="Z3440" s="67">
        <f>IF(База_КР_КК[[#This Row],[Таб.номер резервиста]]="-","-",IF(OR(База_КР_КК[[#This Row],[Уровень КК]]=2,База_КР_КК[[#This Row],[Уровень КК]]=3),IF(COUNTIFS($U$2:$U3440,$U3440,$F$2:$F3440,$F3440)=1,1,0),IF(COUNTIFS($U$2:$U3440,$U3440,$L$2:$L3440,$L3440)=1,1,0)))</f>
        <v>0</v>
      </c>
      <c r="AA34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0" s="106" t="s">
        <v>24</v>
      </c>
      <c r="AC3440" s="51">
        <v>44692</v>
      </c>
      <c r="AD3440" s="106" t="s">
        <v>15</v>
      </c>
      <c r="AE3440" s="38" t="s">
        <v>382</v>
      </c>
    </row>
    <row r="3441" spans="1:31" ht="18" customHeight="1" x14ac:dyDescent="0.25">
      <c r="A34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1" s="79">
        <v>4</v>
      </c>
      <c r="C3441" s="23">
        <v>44125</v>
      </c>
      <c r="D3441" s="67">
        <f>IF(COUNTIF($G$2:$G3441,$G3441)=1,1,0)</f>
        <v>0</v>
      </c>
      <c r="E3441" s="67" t="str">
        <f>IFERROR(VLOOKUP(База_КР_КК[[#This Row],[ИД штатной должности (S)]],'уровень защищенности'!$B$7:$F$1095,5,0),"не защищена")</f>
        <v>высокий</v>
      </c>
      <c r="F3441" s="68">
        <v>500188</v>
      </c>
      <c r="G3441" s="74" t="s">
        <v>2968</v>
      </c>
      <c r="H3441" s="181">
        <f>INDEX('Списки данных'!$D$2:$D$1048576,MATCH(База_КР_КК[[#This Row],[Структурное подразделение]],'Списки данных'!$C$2:$C$1048576,0))</f>
        <v>7</v>
      </c>
      <c r="I3441" s="80" t="s">
        <v>137</v>
      </c>
      <c r="J3441" s="80" t="s">
        <v>248</v>
      </c>
      <c r="K3441" s="80" t="s">
        <v>249</v>
      </c>
      <c r="L3441" s="30" t="s">
        <v>191</v>
      </c>
      <c r="M3441" s="68">
        <v>6</v>
      </c>
      <c r="N3441" s="181" t="str">
        <f t="shared" si="54"/>
        <v>нет</v>
      </c>
      <c r="O3441" s="23"/>
      <c r="P3441" s="23"/>
      <c r="Q3441" s="106"/>
      <c r="R3441" s="37">
        <v>787</v>
      </c>
      <c r="S3441" s="38" t="s">
        <v>1196</v>
      </c>
      <c r="T3441" s="37">
        <v>1885</v>
      </c>
      <c r="U3441" s="39" t="s">
        <v>2085</v>
      </c>
      <c r="V3441" s="69" t="s">
        <v>272</v>
      </c>
      <c r="W3441" s="89" t="s">
        <v>137</v>
      </c>
      <c r="X3441" s="106" t="s">
        <v>295</v>
      </c>
      <c r="Y3441" s="107" t="s">
        <v>18</v>
      </c>
      <c r="Z3441" s="67">
        <f>IF(База_КР_КК[[#This Row],[Таб.номер резервиста]]="-","-",IF(OR(База_КР_КК[[#This Row],[Уровень КК]]=2,База_КР_КК[[#This Row],[Уровень КК]]=3),IF(COUNTIFS($U$2:$U3441,$U3441,$F$2:$F3441,$F3441)=1,1,0),IF(COUNTIFS($U$2:$U3441,$U3441,$L$2:$L3441,$L3441)=1,1,0)))</f>
        <v>0</v>
      </c>
      <c r="AA34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1" s="106" t="s">
        <v>38</v>
      </c>
      <c r="AC3441" s="51">
        <v>44662</v>
      </c>
      <c r="AD3441" s="106" t="s">
        <v>31</v>
      </c>
      <c r="AE3441" s="38" t="s">
        <v>382</v>
      </c>
    </row>
    <row r="3442" spans="1:31" ht="18" customHeight="1" x14ac:dyDescent="0.25">
      <c r="A34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2" s="79">
        <v>4</v>
      </c>
      <c r="C3442" s="23">
        <v>44859</v>
      </c>
      <c r="D3442" s="67">
        <f>IF(COUNTIF($G$2:$G3442,$G3442)=1,1,0)</f>
        <v>1</v>
      </c>
      <c r="E3442" s="67" t="str">
        <f>IFERROR(VLOOKUP(База_КР_КК[[#This Row],[ИД штатной должности (S)]],'уровень защищенности'!$B$7:$F$1095,5,0),"не защищена")</f>
        <v>высокий</v>
      </c>
      <c r="F3442" s="68">
        <v>500188</v>
      </c>
      <c r="G3442" s="74" t="s">
        <v>2969</v>
      </c>
      <c r="H3442" s="181">
        <f>INDEX('Списки данных'!$D$2:$D$1048576,MATCH(База_КР_КК[[#This Row],[Структурное подразделение]],'Списки данных'!$C$2:$C$1048576,0))</f>
        <v>7</v>
      </c>
      <c r="I3442" s="80" t="s">
        <v>137</v>
      </c>
      <c r="J3442" s="80" t="s">
        <v>248</v>
      </c>
      <c r="K3442" s="80" t="s">
        <v>249</v>
      </c>
      <c r="L3442" s="30" t="s">
        <v>191</v>
      </c>
      <c r="M3442" s="68">
        <v>6</v>
      </c>
      <c r="N3442" s="181" t="str">
        <f t="shared" si="54"/>
        <v>нет</v>
      </c>
      <c r="O3442" s="23"/>
      <c r="P3442" s="23"/>
      <c r="Q3442" s="106"/>
      <c r="R3442" s="37">
        <v>788</v>
      </c>
      <c r="S3442" s="39" t="s">
        <v>1197</v>
      </c>
      <c r="T3442" s="37">
        <v>1886</v>
      </c>
      <c r="U3442" s="38" t="s">
        <v>2059</v>
      </c>
      <c r="V3442" s="69" t="s">
        <v>272</v>
      </c>
      <c r="W3442" s="89" t="s">
        <v>137</v>
      </c>
      <c r="X3442" s="106" t="s">
        <v>295</v>
      </c>
      <c r="Y3442" s="107" t="s">
        <v>12</v>
      </c>
      <c r="Z3442" s="67">
        <f>IF(База_КР_КК[[#This Row],[Таб.номер резервиста]]="-","-",IF(OR(База_КР_КК[[#This Row],[Уровень КК]]=2,База_КР_КК[[#This Row],[Уровень КК]]=3),IF(COUNTIFS($U$2:$U3442,$U3442,$F$2:$F3442,$F3442)=1,1,0),IF(COUNTIFS($U$2:$U3442,$U3442,$L$2:$L3442,$L3442)=1,1,0)))</f>
        <v>0</v>
      </c>
      <c r="AA34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2" s="106"/>
      <c r="AC3442" s="51"/>
      <c r="AD3442" s="106" t="s">
        <v>15</v>
      </c>
      <c r="AE3442" s="38" t="s">
        <v>376</v>
      </c>
    </row>
    <row r="3443" spans="1:31" ht="18" customHeight="1" x14ac:dyDescent="0.25">
      <c r="A34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3" s="79">
        <v>4</v>
      </c>
      <c r="C3443" s="23">
        <v>44859</v>
      </c>
      <c r="D3443" s="67">
        <f>IF(COUNTIF($G$2:$G3443,$G3443)=1,1,0)</f>
        <v>0</v>
      </c>
      <c r="E3443" s="67" t="str">
        <f>IFERROR(VLOOKUP(База_КР_КК[[#This Row],[ИД штатной должности (S)]],'уровень защищенности'!$B$7:$F$1095,5,0),"не защищена")</f>
        <v>высокий</v>
      </c>
      <c r="F3443" s="68">
        <v>500188</v>
      </c>
      <c r="G3443" s="74" t="s">
        <v>2969</v>
      </c>
      <c r="H3443" s="181">
        <f>INDEX('Списки данных'!$D$2:$D$1048576,MATCH(База_КР_КК[[#This Row],[Структурное подразделение]],'Списки данных'!$C$2:$C$1048576,0))</f>
        <v>7</v>
      </c>
      <c r="I3443" s="80" t="s">
        <v>137</v>
      </c>
      <c r="J3443" s="80" t="s">
        <v>248</v>
      </c>
      <c r="K3443" s="80" t="s">
        <v>249</v>
      </c>
      <c r="L3443" s="30" t="s">
        <v>191</v>
      </c>
      <c r="M3443" s="68">
        <v>6</v>
      </c>
      <c r="N3443" s="181" t="str">
        <f t="shared" si="54"/>
        <v>нет</v>
      </c>
      <c r="O3443" s="23"/>
      <c r="P3443" s="23"/>
      <c r="Q3443" s="106"/>
      <c r="R3443" s="37">
        <v>788</v>
      </c>
      <c r="S3443" s="39" t="s">
        <v>1197</v>
      </c>
      <c r="T3443" s="37">
        <v>1887</v>
      </c>
      <c r="U3443" s="38" t="s">
        <v>1647</v>
      </c>
      <c r="V3443" s="69" t="s">
        <v>272</v>
      </c>
      <c r="W3443" s="89" t="s">
        <v>137</v>
      </c>
      <c r="X3443" s="106" t="s">
        <v>296</v>
      </c>
      <c r="Y3443" s="107" t="s">
        <v>12</v>
      </c>
      <c r="Z3443" s="67">
        <f>IF(База_КР_КК[[#This Row],[Таб.номер резервиста]]="-","-",IF(OR(База_КР_КК[[#This Row],[Уровень КК]]=2,База_КР_КК[[#This Row],[Уровень КК]]=3),IF(COUNTIFS($U$2:$U3443,$U3443,$F$2:$F3443,$F3443)=1,1,0),IF(COUNTIFS($U$2:$U3443,$U3443,$L$2:$L3443,$L3443)=1,1,0)))</f>
        <v>0</v>
      </c>
      <c r="AA34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3" s="106"/>
      <c r="AC3443" s="51"/>
      <c r="AD3443" s="106" t="s">
        <v>15</v>
      </c>
      <c r="AE3443" s="38" t="s">
        <v>376</v>
      </c>
    </row>
    <row r="3444" spans="1:31" ht="18" customHeight="1" x14ac:dyDescent="0.25">
      <c r="A34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4" s="79">
        <v>4</v>
      </c>
      <c r="C3444" s="23">
        <v>44125</v>
      </c>
      <c r="D3444" s="67">
        <f>IF(COUNTIF($G$2:$G3444,$G3444)=1,1,0)</f>
        <v>0</v>
      </c>
      <c r="E3444" s="67" t="str">
        <f>IFERROR(VLOOKUP(База_КР_КК[[#This Row],[ИД штатной должности (S)]],'уровень защищенности'!$B$7:$F$1095,5,0),"не защищена")</f>
        <v>высокий</v>
      </c>
      <c r="F3444" s="68">
        <v>500188</v>
      </c>
      <c r="G3444" s="74" t="s">
        <v>2969</v>
      </c>
      <c r="H3444" s="181">
        <f>INDEX('Списки данных'!$D$2:$D$1048576,MATCH(База_КР_КК[[#This Row],[Структурное подразделение]],'Списки данных'!$C$2:$C$1048576,0))</f>
        <v>7</v>
      </c>
      <c r="I3444" s="80" t="s">
        <v>137</v>
      </c>
      <c r="J3444" s="80" t="s">
        <v>248</v>
      </c>
      <c r="K3444" s="80" t="s">
        <v>249</v>
      </c>
      <c r="L3444" s="30" t="s">
        <v>191</v>
      </c>
      <c r="M3444" s="68">
        <v>6</v>
      </c>
      <c r="N3444" s="181" t="str">
        <f t="shared" si="54"/>
        <v>нет</v>
      </c>
      <c r="O3444" s="51"/>
      <c r="P3444" s="51"/>
      <c r="Q3444" s="106"/>
      <c r="R3444" s="37">
        <v>788</v>
      </c>
      <c r="S3444" s="39" t="s">
        <v>1197</v>
      </c>
      <c r="T3444" s="37">
        <v>786</v>
      </c>
      <c r="U3444" s="38" t="s">
        <v>1195</v>
      </c>
      <c r="V3444" s="69" t="s">
        <v>192</v>
      </c>
      <c r="W3444" s="89" t="s">
        <v>137</v>
      </c>
      <c r="X3444" s="106" t="s">
        <v>295</v>
      </c>
      <c r="Y3444" s="107" t="s">
        <v>14</v>
      </c>
      <c r="Z3444" s="67">
        <f>IF(База_КР_КК[[#This Row],[Таб.номер резервиста]]="-","-",IF(OR(База_КР_КК[[#This Row],[Уровень КК]]=2,База_КР_КК[[#This Row],[Уровень КК]]=3),IF(COUNTIFS($U$2:$U3444,$U3444,$F$2:$F3444,$F3444)=1,1,0),IF(COUNTIFS($U$2:$U3444,$U3444,$L$2:$L3444,$L3444)=1,1,0)))</f>
        <v>0</v>
      </c>
      <c r="AA34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4" s="106" t="s">
        <v>24</v>
      </c>
      <c r="AC3444" s="51">
        <v>44230</v>
      </c>
      <c r="AD3444" s="106" t="s">
        <v>15</v>
      </c>
      <c r="AE3444" s="38" t="s">
        <v>382</v>
      </c>
    </row>
    <row r="3445" spans="1:31" ht="18" customHeight="1" x14ac:dyDescent="0.25">
      <c r="A34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5" s="79">
        <v>4</v>
      </c>
      <c r="C3445" s="23">
        <v>44125</v>
      </c>
      <c r="D3445" s="67">
        <f>IF(COUNTIF($G$2:$G3445,$G3445)=1,1,0)</f>
        <v>0</v>
      </c>
      <c r="E3445" s="67" t="str">
        <f>IFERROR(VLOOKUP(База_КР_КК[[#This Row],[ИД штатной должности (S)]],'уровень защищенности'!$B$7:$F$1095,5,0),"не защищена")</f>
        <v>высокий</v>
      </c>
      <c r="F3445" s="68">
        <v>500188</v>
      </c>
      <c r="G3445" s="74" t="s">
        <v>2969</v>
      </c>
      <c r="H3445" s="181">
        <f>INDEX('Списки данных'!$D$2:$D$1048576,MATCH(База_КР_КК[[#This Row],[Структурное подразделение]],'Списки данных'!$C$2:$C$1048576,0))</f>
        <v>7</v>
      </c>
      <c r="I3445" s="80" t="s">
        <v>137</v>
      </c>
      <c r="J3445" s="80" t="s">
        <v>248</v>
      </c>
      <c r="K3445" s="80" t="s">
        <v>249</v>
      </c>
      <c r="L3445" s="30" t="s">
        <v>191</v>
      </c>
      <c r="M3445" s="68">
        <v>6</v>
      </c>
      <c r="N3445" s="181" t="str">
        <f t="shared" si="54"/>
        <v>нет</v>
      </c>
      <c r="O3445" s="23"/>
      <c r="P3445" s="23"/>
      <c r="Q3445" s="106"/>
      <c r="R3445" s="37">
        <v>788</v>
      </c>
      <c r="S3445" s="39" t="s">
        <v>1197</v>
      </c>
      <c r="T3445" s="37">
        <v>785</v>
      </c>
      <c r="U3445" s="38" t="s">
        <v>1194</v>
      </c>
      <c r="V3445" s="69" t="s">
        <v>272</v>
      </c>
      <c r="W3445" s="89" t="s">
        <v>137</v>
      </c>
      <c r="X3445" s="106" t="s">
        <v>295</v>
      </c>
      <c r="Y3445" s="107" t="s">
        <v>14</v>
      </c>
      <c r="Z3445" s="67">
        <f>IF(База_КР_КК[[#This Row],[Таб.номер резервиста]]="-","-",IF(OR(База_КР_КК[[#This Row],[Уровень КК]]=2,База_КР_КК[[#This Row],[Уровень КК]]=3),IF(COUNTIFS($U$2:$U3445,$U3445,$F$2:$F3445,$F3445)=1,1,0),IF(COUNTIFS($U$2:$U3445,$U3445,$L$2:$L3445,$L3445)=1,1,0)))</f>
        <v>0</v>
      </c>
      <c r="AA34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5" s="106" t="s">
        <v>24</v>
      </c>
      <c r="AC3445" s="51">
        <v>44692</v>
      </c>
      <c r="AD3445" s="106" t="s">
        <v>15</v>
      </c>
      <c r="AE3445" s="38" t="s">
        <v>382</v>
      </c>
    </row>
    <row r="3446" spans="1:31" ht="18" customHeight="1" x14ac:dyDescent="0.25">
      <c r="A34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6" s="79">
        <v>4</v>
      </c>
      <c r="C3446" s="23">
        <v>44125</v>
      </c>
      <c r="D3446" s="67">
        <f>IF(COUNTIF($G$2:$G3446,$G3446)=1,1,0)</f>
        <v>0</v>
      </c>
      <c r="E3446" s="67" t="str">
        <f>IFERROR(VLOOKUP(База_КР_КК[[#This Row],[ИД штатной должности (S)]],'уровень защищенности'!$B$7:$F$1095,5,0),"не защищена")</f>
        <v>высокий</v>
      </c>
      <c r="F3446" s="68">
        <v>500188</v>
      </c>
      <c r="G3446" s="74" t="s">
        <v>2969</v>
      </c>
      <c r="H3446" s="181">
        <f>INDEX('Списки данных'!$D$2:$D$1048576,MATCH(База_КР_КК[[#This Row],[Структурное подразделение]],'Списки данных'!$C$2:$C$1048576,0))</f>
        <v>7</v>
      </c>
      <c r="I3446" s="80" t="s">
        <v>137</v>
      </c>
      <c r="J3446" s="80" t="s">
        <v>248</v>
      </c>
      <c r="K3446" s="80" t="s">
        <v>249</v>
      </c>
      <c r="L3446" s="30" t="s">
        <v>191</v>
      </c>
      <c r="M3446" s="68">
        <v>6</v>
      </c>
      <c r="N3446" s="181" t="str">
        <f t="shared" si="54"/>
        <v>нет</v>
      </c>
      <c r="O3446" s="23"/>
      <c r="P3446" s="23"/>
      <c r="Q3446" s="106"/>
      <c r="R3446" s="37">
        <v>788</v>
      </c>
      <c r="S3446" s="38" t="s">
        <v>1197</v>
      </c>
      <c r="T3446" s="37">
        <v>1885</v>
      </c>
      <c r="U3446" s="39" t="s">
        <v>2085</v>
      </c>
      <c r="V3446" s="69" t="s">
        <v>272</v>
      </c>
      <c r="W3446" s="89" t="s">
        <v>137</v>
      </c>
      <c r="X3446" s="106" t="s">
        <v>295</v>
      </c>
      <c r="Y3446" s="107" t="s">
        <v>18</v>
      </c>
      <c r="Z3446" s="67">
        <f>IF(База_КР_КК[[#This Row],[Таб.номер резервиста]]="-","-",IF(OR(База_КР_КК[[#This Row],[Уровень КК]]=2,База_КР_КК[[#This Row],[Уровень КК]]=3),IF(COUNTIFS($U$2:$U3446,$U3446,$F$2:$F3446,$F3446)=1,1,0),IF(COUNTIFS($U$2:$U3446,$U3446,$L$2:$L3446,$L3446)=1,1,0)))</f>
        <v>0</v>
      </c>
      <c r="AA34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6" s="106" t="s">
        <v>38</v>
      </c>
      <c r="AC3446" s="51">
        <v>44662</v>
      </c>
      <c r="AD3446" s="106" t="s">
        <v>31</v>
      </c>
      <c r="AE3446" s="38" t="s">
        <v>382</v>
      </c>
    </row>
    <row r="3447" spans="1:31" ht="18" customHeight="1" x14ac:dyDescent="0.25">
      <c r="A34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7" s="79">
        <v>4</v>
      </c>
      <c r="C3447" s="23">
        <v>44125</v>
      </c>
      <c r="D3447" s="67">
        <f>IF(COUNTIF($G$2:$G3447,$G3447)=1,1,0)</f>
        <v>1</v>
      </c>
      <c r="E3447" s="67" t="str">
        <f>IFERROR(VLOOKUP(База_КР_КК[[#This Row],[ИД штатной должности (S)]],'уровень защищенности'!$B$7:$F$1095,5,0),"не защищена")</f>
        <v>высокий</v>
      </c>
      <c r="F3447" s="68">
        <v>500189</v>
      </c>
      <c r="G3447" s="74" t="s">
        <v>2970</v>
      </c>
      <c r="H3447" s="181">
        <f>INDEX('Списки данных'!$D$2:$D$1048576,MATCH(База_КР_КК[[#This Row],[Структурное подразделение]],'Списки данных'!$C$2:$C$1048576,0))</f>
        <v>7</v>
      </c>
      <c r="I3447" s="80" t="s">
        <v>137</v>
      </c>
      <c r="J3447" s="80" t="s">
        <v>248</v>
      </c>
      <c r="K3447" s="80" t="s">
        <v>249</v>
      </c>
      <c r="L3447" s="30" t="s">
        <v>192</v>
      </c>
      <c r="M3447" s="68">
        <v>6</v>
      </c>
      <c r="N3447" s="181" t="str">
        <f t="shared" si="54"/>
        <v>нет</v>
      </c>
      <c r="O3447" s="23"/>
      <c r="P3447" s="23"/>
      <c r="Q3447" s="106"/>
      <c r="R3447" s="37">
        <v>789</v>
      </c>
      <c r="S3447" s="38" t="s">
        <v>1198</v>
      </c>
      <c r="T3447" s="37">
        <v>1885</v>
      </c>
      <c r="U3447" s="39" t="s">
        <v>2085</v>
      </c>
      <c r="V3447" s="69" t="s">
        <v>272</v>
      </c>
      <c r="W3447" s="89" t="s">
        <v>137</v>
      </c>
      <c r="X3447" s="106" t="s">
        <v>295</v>
      </c>
      <c r="Y3447" s="107" t="s">
        <v>12</v>
      </c>
      <c r="Z3447" s="67">
        <f>IF(База_КР_КК[[#This Row],[Таб.номер резервиста]]="-","-",IF(OR(База_КР_КК[[#This Row],[Уровень КК]]=2,База_КР_КК[[#This Row],[Уровень КК]]=3),IF(COUNTIFS($U$2:$U3447,$U3447,$F$2:$F3447,$F3447)=1,1,0),IF(COUNTIFS($U$2:$U3447,$U3447,$L$2:$L3447,$L3447)=1,1,0)))</f>
        <v>1</v>
      </c>
      <c r="AA34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7" s="106"/>
      <c r="AC3447" s="51"/>
      <c r="AD3447" s="106" t="s">
        <v>13</v>
      </c>
      <c r="AE3447" s="38" t="s">
        <v>376</v>
      </c>
    </row>
    <row r="3448" spans="1:31" ht="18" customHeight="1" x14ac:dyDescent="0.25">
      <c r="A34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8" s="79">
        <v>4</v>
      </c>
      <c r="C3448" s="23">
        <v>44125</v>
      </c>
      <c r="D3448" s="67">
        <f>IF(COUNTIF($G$2:$G3448,$G3448)=1,1,0)</f>
        <v>0</v>
      </c>
      <c r="E3448" s="67" t="str">
        <f>IFERROR(VLOOKUP(База_КР_КК[[#This Row],[ИД штатной должности (S)]],'уровень защищенности'!$B$7:$F$1095,5,0),"не защищена")</f>
        <v>высокий</v>
      </c>
      <c r="F3448" s="68">
        <v>500189</v>
      </c>
      <c r="G3448" s="74" t="s">
        <v>2970</v>
      </c>
      <c r="H3448" s="181">
        <f>INDEX('Списки данных'!$D$2:$D$1048576,MATCH(База_КР_КК[[#This Row],[Структурное подразделение]],'Списки данных'!$C$2:$C$1048576,0))</f>
        <v>7</v>
      </c>
      <c r="I3448" s="80" t="s">
        <v>137</v>
      </c>
      <c r="J3448" s="80" t="s">
        <v>248</v>
      </c>
      <c r="K3448" s="80" t="s">
        <v>249</v>
      </c>
      <c r="L3448" s="30" t="s">
        <v>192</v>
      </c>
      <c r="M3448" s="68">
        <v>6</v>
      </c>
      <c r="N3448" s="181" t="str">
        <f t="shared" si="54"/>
        <v>нет</v>
      </c>
      <c r="O3448" s="23"/>
      <c r="P3448" s="23"/>
      <c r="Q3448" s="106"/>
      <c r="R3448" s="37">
        <v>789</v>
      </c>
      <c r="S3448" s="38" t="s">
        <v>1198</v>
      </c>
      <c r="T3448" s="37">
        <v>786</v>
      </c>
      <c r="U3448" s="39" t="s">
        <v>1195</v>
      </c>
      <c r="V3448" s="69" t="s">
        <v>192</v>
      </c>
      <c r="W3448" s="89" t="s">
        <v>137</v>
      </c>
      <c r="X3448" s="106" t="s">
        <v>295</v>
      </c>
      <c r="Y3448" s="107" t="s">
        <v>18</v>
      </c>
      <c r="Z3448" s="67">
        <f>IF(База_КР_КК[[#This Row],[Таб.номер резервиста]]="-","-",IF(OR(База_КР_КК[[#This Row],[Уровень КК]]=2,База_КР_КК[[#This Row],[Уровень КК]]=3),IF(COUNTIFS($U$2:$U3448,$U3448,$F$2:$F3448,$F3448)=1,1,0),IF(COUNTIFS($U$2:$U3448,$U3448,$L$2:$L3448,$L3448)=1,1,0)))</f>
        <v>1</v>
      </c>
      <c r="AA34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8" s="106" t="s">
        <v>38</v>
      </c>
      <c r="AC3448" s="51">
        <v>44662</v>
      </c>
      <c r="AD3448" s="106" t="s">
        <v>31</v>
      </c>
      <c r="AE3448" s="38" t="s">
        <v>382</v>
      </c>
    </row>
    <row r="3449" spans="1:31" ht="18" customHeight="1" x14ac:dyDescent="0.25">
      <c r="A34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49" s="79">
        <v>4</v>
      </c>
      <c r="C3449" s="23">
        <v>44125</v>
      </c>
      <c r="D3449" s="67">
        <f>IF(COUNTIF($G$2:$G3449,$G3449)=1,1,0)</f>
        <v>1</v>
      </c>
      <c r="E3449" s="67" t="str">
        <f>IFERROR(VLOOKUP(База_КР_КК[[#This Row],[ИД штатной должности (S)]],'уровень защищенности'!$B$7:$F$1095,5,0),"не защищена")</f>
        <v>высокий</v>
      </c>
      <c r="F3449" s="68">
        <v>500190</v>
      </c>
      <c r="G3449" s="74" t="s">
        <v>2971</v>
      </c>
      <c r="H3449" s="181">
        <f>INDEX('Списки данных'!$D$2:$D$1048576,MATCH(База_КР_КК[[#This Row],[Структурное подразделение]],'Списки данных'!$C$2:$C$1048576,0))</f>
        <v>7</v>
      </c>
      <c r="I3449" s="80" t="s">
        <v>137</v>
      </c>
      <c r="J3449" s="80" t="s">
        <v>248</v>
      </c>
      <c r="K3449" s="80" t="s">
        <v>21</v>
      </c>
      <c r="L3449" s="30" t="s">
        <v>192</v>
      </c>
      <c r="M3449" s="68">
        <v>6</v>
      </c>
      <c r="N3449" s="181" t="str">
        <f t="shared" si="54"/>
        <v>нет</v>
      </c>
      <c r="O3449" s="23"/>
      <c r="P3449" s="23"/>
      <c r="Q3449" s="106"/>
      <c r="R3449" s="37">
        <v>790</v>
      </c>
      <c r="S3449" s="38" t="s">
        <v>1199</v>
      </c>
      <c r="T3449" s="37">
        <v>794</v>
      </c>
      <c r="U3449" s="39" t="s">
        <v>1203</v>
      </c>
      <c r="V3449" s="89" t="s">
        <v>192</v>
      </c>
      <c r="W3449" s="89" t="s">
        <v>137</v>
      </c>
      <c r="X3449" s="106" t="s">
        <v>297</v>
      </c>
      <c r="Y3449" s="107" t="s">
        <v>12</v>
      </c>
      <c r="Z3449" s="67">
        <f>IF(База_КР_КК[[#This Row],[Таб.номер резервиста]]="-","-",IF(OR(База_КР_КК[[#This Row],[Уровень КК]]=2,База_КР_КК[[#This Row],[Уровень КК]]=3),IF(COUNTIFS($U$2:$U3449,$U3449,$F$2:$F3449,$F3449)=1,1,0),IF(COUNTIFS($U$2:$U3449,$U3449,$L$2:$L3449,$L3449)=1,1,0)))</f>
        <v>1</v>
      </c>
      <c r="AA34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49" s="106"/>
      <c r="AC3449" s="51"/>
      <c r="AD3449" s="106" t="s">
        <v>15</v>
      </c>
      <c r="AE3449" s="38" t="s">
        <v>318</v>
      </c>
    </row>
    <row r="3450" spans="1:31" ht="18" customHeight="1" x14ac:dyDescent="0.25">
      <c r="A34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0" s="79">
        <v>4</v>
      </c>
      <c r="C3450" s="23">
        <v>44125</v>
      </c>
      <c r="D3450" s="67">
        <f>IF(COUNTIF($G$2:$G3450,$G3450)=1,1,0)</f>
        <v>0</v>
      </c>
      <c r="E3450" s="67" t="str">
        <f>IFERROR(VLOOKUP(База_КР_КК[[#This Row],[ИД штатной должности (S)]],'уровень защищенности'!$B$7:$F$1095,5,0),"не защищена")</f>
        <v>высокий</v>
      </c>
      <c r="F3450" s="68">
        <v>500190</v>
      </c>
      <c r="G3450" s="74" t="s">
        <v>2971</v>
      </c>
      <c r="H3450" s="181">
        <f>INDEX('Списки данных'!$D$2:$D$1048576,MATCH(База_КР_КК[[#This Row],[Структурное подразделение]],'Списки данных'!$C$2:$C$1048576,0))</f>
        <v>7</v>
      </c>
      <c r="I3450" s="80" t="s">
        <v>137</v>
      </c>
      <c r="J3450" s="80" t="s">
        <v>248</v>
      </c>
      <c r="K3450" s="80" t="s">
        <v>21</v>
      </c>
      <c r="L3450" s="30" t="s">
        <v>192</v>
      </c>
      <c r="M3450" s="68">
        <v>6</v>
      </c>
      <c r="N3450" s="181" t="str">
        <f t="shared" si="54"/>
        <v>нет</v>
      </c>
      <c r="O3450" s="23"/>
      <c r="P3450" s="23"/>
      <c r="Q3450" s="106"/>
      <c r="R3450" s="37">
        <v>790</v>
      </c>
      <c r="S3450" s="38" t="s">
        <v>1199</v>
      </c>
      <c r="T3450" s="37">
        <v>1888</v>
      </c>
      <c r="U3450" s="39" t="s">
        <v>1868</v>
      </c>
      <c r="V3450" s="89" t="s">
        <v>272</v>
      </c>
      <c r="W3450" s="89" t="s">
        <v>137</v>
      </c>
      <c r="X3450" s="106" t="s">
        <v>295</v>
      </c>
      <c r="Y3450" s="107" t="s">
        <v>12</v>
      </c>
      <c r="Z3450" s="67">
        <f>IF(База_КР_КК[[#This Row],[Таб.номер резервиста]]="-","-",IF(OR(База_КР_КК[[#This Row],[Уровень КК]]=2,База_КР_КК[[#This Row],[Уровень КК]]=3),IF(COUNTIFS($U$2:$U3450,$U3450,$F$2:$F3450,$F3450)=1,1,0),IF(COUNTIFS($U$2:$U3450,$U3450,$L$2:$L3450,$L3450)=1,1,0)))</f>
        <v>0</v>
      </c>
      <c r="AA34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0" s="106"/>
      <c r="AC3450" s="51"/>
      <c r="AD3450" s="106" t="s">
        <v>17</v>
      </c>
      <c r="AE3450" s="38" t="s">
        <v>376</v>
      </c>
    </row>
    <row r="3451" spans="1:31" ht="18" customHeight="1" x14ac:dyDescent="0.25">
      <c r="A34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1" s="79">
        <v>4</v>
      </c>
      <c r="C3451" s="23">
        <v>44859</v>
      </c>
      <c r="D3451" s="67">
        <f>IF(COUNTIF($G$2:$G3451,$G3451)=1,1,0)</f>
        <v>0</v>
      </c>
      <c r="E3451" s="67" t="str">
        <f>IFERROR(VLOOKUP(База_КР_КК[[#This Row],[ИД штатной должности (S)]],'уровень защищенности'!$B$7:$F$1095,5,0),"не защищена")</f>
        <v>высокий</v>
      </c>
      <c r="F3451" s="68">
        <v>500190</v>
      </c>
      <c r="G3451" s="74" t="s">
        <v>2971</v>
      </c>
      <c r="H3451" s="181">
        <f>INDEX('Списки данных'!$D$2:$D$1048576,MATCH(База_КР_КК[[#This Row],[Структурное подразделение]],'Списки данных'!$C$2:$C$1048576,0))</f>
        <v>7</v>
      </c>
      <c r="I3451" s="80" t="s">
        <v>137</v>
      </c>
      <c r="J3451" s="80" t="s">
        <v>248</v>
      </c>
      <c r="K3451" s="80" t="s">
        <v>21</v>
      </c>
      <c r="L3451" s="30" t="s">
        <v>192</v>
      </c>
      <c r="M3451" s="68">
        <v>6</v>
      </c>
      <c r="N3451" s="181" t="str">
        <f t="shared" si="54"/>
        <v>нет</v>
      </c>
      <c r="O3451" s="23"/>
      <c r="P3451" s="23"/>
      <c r="Q3451" s="106"/>
      <c r="R3451" s="37">
        <v>790</v>
      </c>
      <c r="S3451" s="39" t="s">
        <v>1199</v>
      </c>
      <c r="T3451" s="37">
        <v>1889</v>
      </c>
      <c r="U3451" s="38" t="s">
        <v>2086</v>
      </c>
      <c r="V3451" s="89" t="s">
        <v>272</v>
      </c>
      <c r="W3451" s="89" t="s">
        <v>137</v>
      </c>
      <c r="X3451" s="106" t="s">
        <v>297</v>
      </c>
      <c r="Y3451" s="107" t="s">
        <v>12</v>
      </c>
      <c r="Z3451" s="67">
        <f>IF(База_КР_КК[[#This Row],[Таб.номер резервиста]]="-","-",IF(OR(База_КР_КК[[#This Row],[Уровень КК]]=2,База_КР_КК[[#This Row],[Уровень КК]]=3),IF(COUNTIFS($U$2:$U3451,$U3451,$F$2:$F3451,$F3451)=1,1,0),IF(COUNTIFS($U$2:$U3451,$U3451,$L$2:$L3451,$L3451)=1,1,0)))</f>
        <v>1</v>
      </c>
      <c r="AA34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1" s="106"/>
      <c r="AC3451" s="51"/>
      <c r="AD3451" s="106" t="s">
        <v>15</v>
      </c>
      <c r="AE3451" s="38" t="s">
        <v>376</v>
      </c>
    </row>
    <row r="3452" spans="1:31" ht="18" customHeight="1" x14ac:dyDescent="0.25">
      <c r="A34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2" s="79">
        <v>4</v>
      </c>
      <c r="C3452" s="23">
        <v>44859</v>
      </c>
      <c r="D3452" s="67">
        <f>IF(COUNTIF($G$2:$G3452,$G3452)=1,1,0)</f>
        <v>0</v>
      </c>
      <c r="E3452" s="67" t="str">
        <f>IFERROR(VLOOKUP(База_КР_КК[[#This Row],[ИД штатной должности (S)]],'уровень защищенности'!$B$7:$F$1095,5,0),"не защищена")</f>
        <v>высокий</v>
      </c>
      <c r="F3452" s="68">
        <v>500190</v>
      </c>
      <c r="G3452" s="74" t="s">
        <v>2971</v>
      </c>
      <c r="H3452" s="181">
        <f>INDEX('Списки данных'!$D$2:$D$1048576,MATCH(База_КР_КК[[#This Row],[Структурное подразделение]],'Списки данных'!$C$2:$C$1048576,0))</f>
        <v>7</v>
      </c>
      <c r="I3452" s="80" t="s">
        <v>137</v>
      </c>
      <c r="J3452" s="80" t="s">
        <v>248</v>
      </c>
      <c r="K3452" s="80" t="s">
        <v>21</v>
      </c>
      <c r="L3452" s="30" t="s">
        <v>192</v>
      </c>
      <c r="M3452" s="68">
        <v>6</v>
      </c>
      <c r="N3452" s="181" t="str">
        <f t="shared" si="54"/>
        <v>нет</v>
      </c>
      <c r="O3452" s="23"/>
      <c r="P3452" s="23"/>
      <c r="Q3452" s="106"/>
      <c r="R3452" s="37">
        <v>790</v>
      </c>
      <c r="S3452" s="39" t="s">
        <v>1199</v>
      </c>
      <c r="T3452" s="37">
        <v>1890</v>
      </c>
      <c r="U3452" s="38" t="s">
        <v>2008</v>
      </c>
      <c r="V3452" s="89" t="s">
        <v>272</v>
      </c>
      <c r="W3452" s="89" t="s">
        <v>137</v>
      </c>
      <c r="X3452" s="106" t="s">
        <v>296</v>
      </c>
      <c r="Y3452" s="107" t="s">
        <v>12</v>
      </c>
      <c r="Z3452" s="67">
        <f>IF(База_КР_КК[[#This Row],[Таб.номер резервиста]]="-","-",IF(OR(База_КР_КК[[#This Row],[Уровень КК]]=2,База_КР_КК[[#This Row],[Уровень КК]]=3),IF(COUNTIFS($U$2:$U3452,$U3452,$F$2:$F3452,$F3452)=1,1,0),IF(COUNTIFS($U$2:$U3452,$U3452,$L$2:$L3452,$L3452)=1,1,0)))</f>
        <v>1</v>
      </c>
      <c r="AA34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2" s="106"/>
      <c r="AC3452" s="51"/>
      <c r="AD3452" s="106" t="s">
        <v>15</v>
      </c>
      <c r="AE3452" s="38" t="s">
        <v>376</v>
      </c>
    </row>
    <row r="3453" spans="1:31" ht="18" customHeight="1" x14ac:dyDescent="0.25">
      <c r="A34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3" s="79">
        <v>4</v>
      </c>
      <c r="C3453" s="23">
        <v>44125</v>
      </c>
      <c r="D3453" s="67">
        <f>IF(COUNTIF($G$2:$G3453,$G3453)=1,1,0)</f>
        <v>1</v>
      </c>
      <c r="E3453" s="67" t="str">
        <f>IFERROR(VLOOKUP(База_КР_КК[[#This Row],[ИД штатной должности (S)]],'уровень защищенности'!$B$7:$F$1095,5,0),"не защищена")</f>
        <v>высокий</v>
      </c>
      <c r="F3453" s="68">
        <v>500191</v>
      </c>
      <c r="G3453" s="74" t="s">
        <v>2972</v>
      </c>
      <c r="H3453" s="181">
        <f>INDEX('Списки данных'!$D$2:$D$1048576,MATCH(База_КР_КК[[#This Row],[Структурное подразделение]],'Списки данных'!$C$2:$C$1048576,0))</f>
        <v>7</v>
      </c>
      <c r="I3453" s="80" t="s">
        <v>137</v>
      </c>
      <c r="J3453" s="80" t="s">
        <v>248</v>
      </c>
      <c r="K3453" s="80" t="s">
        <v>21</v>
      </c>
      <c r="L3453" s="30" t="s">
        <v>191</v>
      </c>
      <c r="M3453" s="68">
        <v>6</v>
      </c>
      <c r="N3453" s="181" t="str">
        <f t="shared" si="54"/>
        <v>нет</v>
      </c>
      <c r="O3453" s="23"/>
      <c r="P3453" s="23"/>
      <c r="Q3453" s="106"/>
      <c r="R3453" s="37">
        <v>791</v>
      </c>
      <c r="S3453" s="38" t="s">
        <v>1200</v>
      </c>
      <c r="T3453" s="37">
        <v>1888</v>
      </c>
      <c r="U3453" s="39" t="s">
        <v>1868</v>
      </c>
      <c r="V3453" s="89" t="s">
        <v>272</v>
      </c>
      <c r="W3453" s="89" t="s">
        <v>137</v>
      </c>
      <c r="X3453" s="106" t="s">
        <v>295</v>
      </c>
      <c r="Y3453" s="107" t="s">
        <v>12</v>
      </c>
      <c r="Z3453" s="67">
        <f>IF(База_КР_КК[[#This Row],[Таб.номер резервиста]]="-","-",IF(OR(База_КР_КК[[#This Row],[Уровень КК]]=2,База_КР_КК[[#This Row],[Уровень КК]]=3),IF(COUNTIFS($U$2:$U3453,$U3453,$F$2:$F3453,$F3453)=1,1,0),IF(COUNTIFS($U$2:$U3453,$U3453,$L$2:$L3453,$L3453)=1,1,0)))</f>
        <v>0</v>
      </c>
      <c r="AA34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3" s="106"/>
      <c r="AC3453" s="51"/>
      <c r="AD3453" s="106" t="s">
        <v>17</v>
      </c>
      <c r="AE3453" s="38" t="s">
        <v>376</v>
      </c>
    </row>
    <row r="3454" spans="1:31" ht="18" customHeight="1" x14ac:dyDescent="0.25">
      <c r="A34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4" s="79">
        <v>4</v>
      </c>
      <c r="C3454" s="23">
        <v>44859</v>
      </c>
      <c r="D3454" s="67">
        <f>IF(COUNTIF($G$2:$G3454,$G3454)=1,1,0)</f>
        <v>0</v>
      </c>
      <c r="E3454" s="67" t="str">
        <f>IFERROR(VLOOKUP(База_КР_КК[[#This Row],[ИД штатной должности (S)]],'уровень защищенности'!$B$7:$F$1095,5,0),"не защищена")</f>
        <v>высокий</v>
      </c>
      <c r="F3454" s="68">
        <v>500191</v>
      </c>
      <c r="G3454" s="74" t="s">
        <v>2972</v>
      </c>
      <c r="H3454" s="181">
        <f>INDEX('Списки данных'!$D$2:$D$1048576,MATCH(База_КР_КК[[#This Row],[Структурное подразделение]],'Списки данных'!$C$2:$C$1048576,0))</f>
        <v>7</v>
      </c>
      <c r="I3454" s="80" t="s">
        <v>137</v>
      </c>
      <c r="J3454" s="80" t="s">
        <v>248</v>
      </c>
      <c r="K3454" s="80" t="s">
        <v>21</v>
      </c>
      <c r="L3454" s="30" t="s">
        <v>191</v>
      </c>
      <c r="M3454" s="68">
        <v>6</v>
      </c>
      <c r="N3454" s="181" t="str">
        <f t="shared" ref="N3454:N3517" si="55">IF(ISBLANK(O3454),"нет","да")</f>
        <v>нет</v>
      </c>
      <c r="O3454" s="23"/>
      <c r="P3454" s="23"/>
      <c r="Q3454" s="106"/>
      <c r="R3454" s="37">
        <v>791</v>
      </c>
      <c r="S3454" s="39" t="s">
        <v>1200</v>
      </c>
      <c r="T3454" s="37">
        <v>1890</v>
      </c>
      <c r="U3454" s="38" t="s">
        <v>2008</v>
      </c>
      <c r="V3454" s="89" t="s">
        <v>272</v>
      </c>
      <c r="W3454" s="89" t="s">
        <v>137</v>
      </c>
      <c r="X3454" s="106" t="s">
        <v>296</v>
      </c>
      <c r="Y3454" s="107" t="s">
        <v>12</v>
      </c>
      <c r="Z3454" s="67">
        <f>IF(База_КР_КК[[#This Row],[Таб.номер резервиста]]="-","-",IF(OR(База_КР_КК[[#This Row],[Уровень КК]]=2,База_КР_КК[[#This Row],[Уровень КК]]=3),IF(COUNTIFS($U$2:$U3454,$U3454,$F$2:$F3454,$F3454)=1,1,0),IF(COUNTIFS($U$2:$U3454,$U3454,$L$2:$L3454,$L3454)=1,1,0)))</f>
        <v>1</v>
      </c>
      <c r="AA34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4" s="106"/>
      <c r="AC3454" s="51"/>
      <c r="AD3454" s="106" t="s">
        <v>15</v>
      </c>
      <c r="AE3454" s="38" t="s">
        <v>376</v>
      </c>
    </row>
    <row r="3455" spans="1:31" ht="18" customHeight="1" x14ac:dyDescent="0.25">
      <c r="A34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5" s="79">
        <v>4</v>
      </c>
      <c r="C3455" s="23">
        <v>44859</v>
      </c>
      <c r="D3455" s="67">
        <f>IF(COUNTIF($G$2:$G3455,$G3455)=1,1,0)</f>
        <v>0</v>
      </c>
      <c r="E3455" s="67" t="str">
        <f>IFERROR(VLOOKUP(База_КР_КК[[#This Row],[ИД штатной должности (S)]],'уровень защищенности'!$B$7:$F$1095,5,0),"не защищена")</f>
        <v>высокий</v>
      </c>
      <c r="F3455" s="68">
        <v>500191</v>
      </c>
      <c r="G3455" s="74" t="s">
        <v>2972</v>
      </c>
      <c r="H3455" s="181">
        <f>INDEX('Списки данных'!$D$2:$D$1048576,MATCH(База_КР_КК[[#This Row],[Структурное подразделение]],'Списки данных'!$C$2:$C$1048576,0))</f>
        <v>7</v>
      </c>
      <c r="I3455" s="80" t="s">
        <v>137</v>
      </c>
      <c r="J3455" s="80" t="s">
        <v>248</v>
      </c>
      <c r="K3455" s="80" t="s">
        <v>21</v>
      </c>
      <c r="L3455" s="30" t="s">
        <v>191</v>
      </c>
      <c r="M3455" s="68">
        <v>6</v>
      </c>
      <c r="N3455" s="181" t="str">
        <f t="shared" si="55"/>
        <v>нет</v>
      </c>
      <c r="O3455" s="23"/>
      <c r="P3455" s="23"/>
      <c r="Q3455" s="106"/>
      <c r="R3455" s="37">
        <v>791</v>
      </c>
      <c r="S3455" s="39" t="s">
        <v>1200</v>
      </c>
      <c r="T3455" s="37">
        <v>1889</v>
      </c>
      <c r="U3455" s="38" t="s">
        <v>2086</v>
      </c>
      <c r="V3455" s="89" t="s">
        <v>272</v>
      </c>
      <c r="W3455" s="89" t="s">
        <v>137</v>
      </c>
      <c r="X3455" s="106" t="s">
        <v>297</v>
      </c>
      <c r="Y3455" s="107" t="s">
        <v>12</v>
      </c>
      <c r="Z3455" s="67">
        <f>IF(База_КР_КК[[#This Row],[Таб.номер резервиста]]="-","-",IF(OR(База_КР_КК[[#This Row],[Уровень КК]]=2,База_КР_КК[[#This Row],[Уровень КК]]=3),IF(COUNTIFS($U$2:$U3455,$U3455,$F$2:$F3455,$F3455)=1,1,0),IF(COUNTIFS($U$2:$U3455,$U3455,$L$2:$L3455,$L3455)=1,1,0)))</f>
        <v>1</v>
      </c>
      <c r="AA34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5" s="106"/>
      <c r="AC3455" s="51"/>
      <c r="AD3455" s="106" t="s">
        <v>15</v>
      </c>
      <c r="AE3455" s="38" t="s">
        <v>376</v>
      </c>
    </row>
    <row r="3456" spans="1:31" ht="18" customHeight="1" x14ac:dyDescent="0.25">
      <c r="A34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6" s="79">
        <v>4</v>
      </c>
      <c r="C3456" s="23">
        <v>44125</v>
      </c>
      <c r="D3456" s="67">
        <f>IF(COUNTIF($G$2:$G3456,$G3456)=1,1,0)</f>
        <v>0</v>
      </c>
      <c r="E3456" s="67" t="str">
        <f>IFERROR(VLOOKUP(База_КР_КК[[#This Row],[ИД штатной должности (S)]],'уровень защищенности'!$B$7:$F$1095,5,0),"не защищена")</f>
        <v>высокий</v>
      </c>
      <c r="F3456" s="68">
        <v>500191</v>
      </c>
      <c r="G3456" s="74" t="s">
        <v>2972</v>
      </c>
      <c r="H3456" s="181">
        <f>INDEX('Списки данных'!$D$2:$D$1048576,MATCH(База_КР_КК[[#This Row],[Структурное подразделение]],'Списки данных'!$C$2:$C$1048576,0))</f>
        <v>7</v>
      </c>
      <c r="I3456" s="80" t="s">
        <v>137</v>
      </c>
      <c r="J3456" s="80" t="s">
        <v>248</v>
      </c>
      <c r="K3456" s="80" t="s">
        <v>21</v>
      </c>
      <c r="L3456" s="30" t="s">
        <v>191</v>
      </c>
      <c r="M3456" s="68">
        <v>6</v>
      </c>
      <c r="N3456" s="181" t="str">
        <f t="shared" si="55"/>
        <v>нет</v>
      </c>
      <c r="O3456" s="23"/>
      <c r="P3456" s="23"/>
      <c r="Q3456" s="106"/>
      <c r="R3456" s="37">
        <v>791</v>
      </c>
      <c r="S3456" s="39" t="s">
        <v>1200</v>
      </c>
      <c r="T3456" s="37">
        <v>794</v>
      </c>
      <c r="U3456" s="38" t="s">
        <v>1203</v>
      </c>
      <c r="V3456" s="89" t="s">
        <v>192</v>
      </c>
      <c r="W3456" s="89" t="s">
        <v>137</v>
      </c>
      <c r="X3456" s="106" t="s">
        <v>297</v>
      </c>
      <c r="Y3456" s="107" t="s">
        <v>14</v>
      </c>
      <c r="Z3456" s="67">
        <f>IF(База_КР_КК[[#This Row],[Таб.номер резервиста]]="-","-",IF(OR(База_КР_КК[[#This Row],[Уровень КК]]=2,База_КР_КК[[#This Row],[Уровень КК]]=3),IF(COUNTIFS($U$2:$U3456,$U3456,$F$2:$F3456,$F3456)=1,1,0),IF(COUNTIFS($U$2:$U3456,$U3456,$L$2:$L3456,$L3456)=1,1,0)))</f>
        <v>1</v>
      </c>
      <c r="AA34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6" s="106" t="s">
        <v>24</v>
      </c>
      <c r="AC3456" s="51">
        <v>44630</v>
      </c>
      <c r="AD3456" s="106" t="s">
        <v>15</v>
      </c>
      <c r="AE3456" s="38" t="s">
        <v>318</v>
      </c>
    </row>
    <row r="3457" spans="1:31" ht="18" customHeight="1" x14ac:dyDescent="0.25">
      <c r="A34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7" s="79">
        <v>4</v>
      </c>
      <c r="C3457" s="23">
        <v>44125</v>
      </c>
      <c r="D3457" s="67">
        <f>IF(COUNTIF($G$2:$G3457,$G3457)=1,1,0)</f>
        <v>1</v>
      </c>
      <c r="E3457" s="67" t="str">
        <f>IFERROR(VLOOKUP(База_КР_КК[[#This Row],[ИД штатной должности (S)]],'уровень защищенности'!$B$7:$F$1095,5,0),"не защищена")</f>
        <v>высокий</v>
      </c>
      <c r="F3457" s="68">
        <v>500191</v>
      </c>
      <c r="G3457" s="74" t="s">
        <v>2973</v>
      </c>
      <c r="H3457" s="181">
        <f>INDEX('Списки данных'!$D$2:$D$1048576,MATCH(База_КР_КК[[#This Row],[Структурное подразделение]],'Списки данных'!$C$2:$C$1048576,0))</f>
        <v>7</v>
      </c>
      <c r="I3457" s="80" t="s">
        <v>137</v>
      </c>
      <c r="J3457" s="80" t="s">
        <v>248</v>
      </c>
      <c r="K3457" s="80" t="s">
        <v>21</v>
      </c>
      <c r="L3457" s="30" t="s">
        <v>191</v>
      </c>
      <c r="M3457" s="68">
        <v>6</v>
      </c>
      <c r="N3457" s="181" t="str">
        <f t="shared" si="55"/>
        <v>нет</v>
      </c>
      <c r="O3457" s="23"/>
      <c r="P3457" s="23"/>
      <c r="Q3457" s="106"/>
      <c r="R3457" s="37">
        <v>792</v>
      </c>
      <c r="S3457" s="38" t="s">
        <v>1201</v>
      </c>
      <c r="T3457" s="37">
        <v>1888</v>
      </c>
      <c r="U3457" s="39" t="s">
        <v>1868</v>
      </c>
      <c r="V3457" s="89" t="s">
        <v>272</v>
      </c>
      <c r="W3457" s="89" t="s">
        <v>137</v>
      </c>
      <c r="X3457" s="106" t="s">
        <v>295</v>
      </c>
      <c r="Y3457" s="107" t="s">
        <v>12</v>
      </c>
      <c r="Z3457" s="67">
        <f>IF(База_КР_КК[[#This Row],[Таб.номер резервиста]]="-","-",IF(OR(База_КР_КК[[#This Row],[Уровень КК]]=2,База_КР_КК[[#This Row],[Уровень КК]]=3),IF(COUNTIFS($U$2:$U3457,$U3457,$F$2:$F3457,$F3457)=1,1,0),IF(COUNTIFS($U$2:$U3457,$U3457,$L$2:$L3457,$L3457)=1,1,0)))</f>
        <v>0</v>
      </c>
      <c r="AA34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7" s="106"/>
      <c r="AC3457" s="51"/>
      <c r="AD3457" s="106" t="s">
        <v>17</v>
      </c>
      <c r="AE3457" s="38" t="s">
        <v>376</v>
      </c>
    </row>
    <row r="3458" spans="1:31" ht="18" customHeight="1" x14ac:dyDescent="0.25">
      <c r="A34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8" s="79">
        <v>4</v>
      </c>
      <c r="C3458" s="23">
        <v>44859</v>
      </c>
      <c r="D3458" s="67">
        <f>IF(COUNTIF($G$2:$G3458,$G3458)=1,1,0)</f>
        <v>0</v>
      </c>
      <c r="E3458" s="67" t="str">
        <f>IFERROR(VLOOKUP(База_КР_КК[[#This Row],[ИД штатной должности (S)]],'уровень защищенности'!$B$7:$F$1095,5,0),"не защищена")</f>
        <v>высокий</v>
      </c>
      <c r="F3458" s="68">
        <v>500191</v>
      </c>
      <c r="G3458" s="74" t="s">
        <v>2973</v>
      </c>
      <c r="H3458" s="181">
        <f>INDEX('Списки данных'!$D$2:$D$1048576,MATCH(База_КР_КК[[#This Row],[Структурное подразделение]],'Списки данных'!$C$2:$C$1048576,0))</f>
        <v>7</v>
      </c>
      <c r="I3458" s="80" t="s">
        <v>137</v>
      </c>
      <c r="J3458" s="80" t="s">
        <v>248</v>
      </c>
      <c r="K3458" s="80" t="s">
        <v>21</v>
      </c>
      <c r="L3458" s="30" t="s">
        <v>191</v>
      </c>
      <c r="M3458" s="68">
        <v>6</v>
      </c>
      <c r="N3458" s="181" t="str">
        <f t="shared" si="55"/>
        <v>нет</v>
      </c>
      <c r="O3458" s="23"/>
      <c r="P3458" s="23"/>
      <c r="Q3458" s="106"/>
      <c r="R3458" s="37">
        <v>792</v>
      </c>
      <c r="S3458" s="39" t="s">
        <v>1201</v>
      </c>
      <c r="T3458" s="37">
        <v>1890</v>
      </c>
      <c r="U3458" s="38" t="s">
        <v>2008</v>
      </c>
      <c r="V3458" s="89" t="s">
        <v>272</v>
      </c>
      <c r="W3458" s="89" t="s">
        <v>137</v>
      </c>
      <c r="X3458" s="106" t="s">
        <v>296</v>
      </c>
      <c r="Y3458" s="107" t="s">
        <v>12</v>
      </c>
      <c r="Z3458" s="67">
        <f>IF(База_КР_КК[[#This Row],[Таб.номер резервиста]]="-","-",IF(OR(База_КР_КК[[#This Row],[Уровень КК]]=2,База_КР_КК[[#This Row],[Уровень КК]]=3),IF(COUNTIFS($U$2:$U3458,$U3458,$F$2:$F3458,$F3458)=1,1,0),IF(COUNTIFS($U$2:$U3458,$U3458,$L$2:$L3458,$L3458)=1,1,0)))</f>
        <v>0</v>
      </c>
      <c r="AA34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8" s="106"/>
      <c r="AC3458" s="51"/>
      <c r="AD3458" s="106" t="s">
        <v>15</v>
      </c>
      <c r="AE3458" s="38" t="s">
        <v>376</v>
      </c>
    </row>
    <row r="3459" spans="1:31" ht="18" customHeight="1" x14ac:dyDescent="0.25">
      <c r="A34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59" s="79">
        <v>4</v>
      </c>
      <c r="C3459" s="23">
        <v>44859</v>
      </c>
      <c r="D3459" s="67">
        <f>IF(COUNTIF($G$2:$G3459,$G3459)=1,1,0)</f>
        <v>0</v>
      </c>
      <c r="E3459" s="67" t="str">
        <f>IFERROR(VLOOKUP(База_КР_КК[[#This Row],[ИД штатной должности (S)]],'уровень защищенности'!$B$7:$F$1095,5,0),"не защищена")</f>
        <v>высокий</v>
      </c>
      <c r="F3459" s="68">
        <v>500191</v>
      </c>
      <c r="G3459" s="74" t="s">
        <v>2973</v>
      </c>
      <c r="H3459" s="181">
        <f>INDEX('Списки данных'!$D$2:$D$1048576,MATCH(База_КР_КК[[#This Row],[Структурное подразделение]],'Списки данных'!$C$2:$C$1048576,0))</f>
        <v>7</v>
      </c>
      <c r="I3459" s="80" t="s">
        <v>137</v>
      </c>
      <c r="J3459" s="80" t="s">
        <v>248</v>
      </c>
      <c r="K3459" s="80" t="s">
        <v>21</v>
      </c>
      <c r="L3459" s="30" t="s">
        <v>191</v>
      </c>
      <c r="M3459" s="68">
        <v>6</v>
      </c>
      <c r="N3459" s="181" t="str">
        <f t="shared" si="55"/>
        <v>нет</v>
      </c>
      <c r="O3459" s="23"/>
      <c r="P3459" s="23"/>
      <c r="Q3459" s="106"/>
      <c r="R3459" s="37">
        <v>792</v>
      </c>
      <c r="S3459" s="39" t="s">
        <v>1201</v>
      </c>
      <c r="T3459" s="37">
        <v>1889</v>
      </c>
      <c r="U3459" s="38" t="s">
        <v>2086</v>
      </c>
      <c r="V3459" s="89" t="s">
        <v>272</v>
      </c>
      <c r="W3459" s="89" t="s">
        <v>137</v>
      </c>
      <c r="X3459" s="106" t="s">
        <v>297</v>
      </c>
      <c r="Y3459" s="107" t="s">
        <v>12</v>
      </c>
      <c r="Z3459" s="67">
        <f>IF(База_КР_КК[[#This Row],[Таб.номер резервиста]]="-","-",IF(OR(База_КР_КК[[#This Row],[Уровень КК]]=2,База_КР_КК[[#This Row],[Уровень КК]]=3),IF(COUNTIFS($U$2:$U3459,$U3459,$F$2:$F3459,$F3459)=1,1,0),IF(COUNTIFS($U$2:$U3459,$U3459,$L$2:$L3459,$L3459)=1,1,0)))</f>
        <v>0</v>
      </c>
      <c r="AA34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59" s="106"/>
      <c r="AC3459" s="51"/>
      <c r="AD3459" s="106" t="s">
        <v>15</v>
      </c>
      <c r="AE3459" s="38" t="s">
        <v>376</v>
      </c>
    </row>
    <row r="3460" spans="1:31" ht="18" customHeight="1" x14ac:dyDescent="0.25">
      <c r="A34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0" s="79">
        <v>4</v>
      </c>
      <c r="C3460" s="23">
        <v>44125</v>
      </c>
      <c r="D3460" s="67">
        <f>IF(COUNTIF($G$2:$G3460,$G3460)=1,1,0)</f>
        <v>0</v>
      </c>
      <c r="E3460" s="67" t="str">
        <f>IFERROR(VLOOKUP(База_КР_КК[[#This Row],[ИД штатной должности (S)]],'уровень защищенности'!$B$7:$F$1095,5,0),"не защищена")</f>
        <v>высокий</v>
      </c>
      <c r="F3460" s="68">
        <v>500191</v>
      </c>
      <c r="G3460" s="74" t="s">
        <v>2973</v>
      </c>
      <c r="H3460" s="181">
        <f>INDEX('Списки данных'!$D$2:$D$1048576,MATCH(База_КР_КК[[#This Row],[Структурное подразделение]],'Списки данных'!$C$2:$C$1048576,0))</f>
        <v>7</v>
      </c>
      <c r="I3460" s="80" t="s">
        <v>137</v>
      </c>
      <c r="J3460" s="80" t="s">
        <v>248</v>
      </c>
      <c r="K3460" s="80" t="s">
        <v>21</v>
      </c>
      <c r="L3460" s="30" t="s">
        <v>191</v>
      </c>
      <c r="M3460" s="68">
        <v>6</v>
      </c>
      <c r="N3460" s="181" t="str">
        <f t="shared" si="55"/>
        <v>нет</v>
      </c>
      <c r="O3460" s="23"/>
      <c r="P3460" s="23"/>
      <c r="Q3460" s="106"/>
      <c r="R3460" s="37">
        <v>792</v>
      </c>
      <c r="S3460" s="39" t="s">
        <v>1201</v>
      </c>
      <c r="T3460" s="37">
        <v>794</v>
      </c>
      <c r="U3460" s="38" t="s">
        <v>1203</v>
      </c>
      <c r="V3460" s="89" t="s">
        <v>192</v>
      </c>
      <c r="W3460" s="89" t="s">
        <v>137</v>
      </c>
      <c r="X3460" s="106" t="s">
        <v>297</v>
      </c>
      <c r="Y3460" s="107" t="s">
        <v>14</v>
      </c>
      <c r="Z3460" s="67">
        <f>IF(База_КР_КК[[#This Row],[Таб.номер резервиста]]="-","-",IF(OR(База_КР_КК[[#This Row],[Уровень КК]]=2,База_КР_КК[[#This Row],[Уровень КК]]=3),IF(COUNTIFS($U$2:$U3460,$U3460,$F$2:$F3460,$F3460)=1,1,0),IF(COUNTIFS($U$2:$U3460,$U3460,$L$2:$L3460,$L3460)=1,1,0)))</f>
        <v>0</v>
      </c>
      <c r="AA34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0" s="106" t="s">
        <v>24</v>
      </c>
      <c r="AC3460" s="51">
        <v>44630</v>
      </c>
      <c r="AD3460" s="106" t="s">
        <v>15</v>
      </c>
      <c r="AE3460" s="38" t="s">
        <v>318</v>
      </c>
    </row>
    <row r="3461" spans="1:31" ht="18" customHeight="1" x14ac:dyDescent="0.25">
      <c r="A34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1" s="79">
        <v>4</v>
      </c>
      <c r="C3461" s="23">
        <v>44125</v>
      </c>
      <c r="D3461" s="67">
        <f>IF(COUNTIF($G$2:$G3461,$G3461)=1,1,0)</f>
        <v>1</v>
      </c>
      <c r="E3461" s="67" t="str">
        <f>IFERROR(VLOOKUP(База_КР_КК[[#This Row],[ИД штатной должности (S)]],'уровень защищенности'!$B$7:$F$1095,5,0),"не защищена")</f>
        <v>высокий</v>
      </c>
      <c r="F3461" s="68">
        <v>500191</v>
      </c>
      <c r="G3461" s="74" t="s">
        <v>2974</v>
      </c>
      <c r="H3461" s="181">
        <f>INDEX('Списки данных'!$D$2:$D$1048576,MATCH(База_КР_КК[[#This Row],[Структурное подразделение]],'Списки данных'!$C$2:$C$1048576,0))</f>
        <v>7</v>
      </c>
      <c r="I3461" s="80" t="s">
        <v>137</v>
      </c>
      <c r="J3461" s="80" t="s">
        <v>248</v>
      </c>
      <c r="K3461" s="80" t="s">
        <v>21</v>
      </c>
      <c r="L3461" s="30" t="s">
        <v>191</v>
      </c>
      <c r="M3461" s="68">
        <v>6</v>
      </c>
      <c r="N3461" s="181" t="str">
        <f t="shared" si="55"/>
        <v>нет</v>
      </c>
      <c r="O3461" s="23"/>
      <c r="P3461" s="23"/>
      <c r="Q3461" s="106"/>
      <c r="R3461" s="37">
        <v>793</v>
      </c>
      <c r="S3461" s="38" t="s">
        <v>1202</v>
      </c>
      <c r="T3461" s="37">
        <v>1888</v>
      </c>
      <c r="U3461" s="39" t="s">
        <v>1868</v>
      </c>
      <c r="V3461" s="89" t="s">
        <v>272</v>
      </c>
      <c r="W3461" s="89" t="s">
        <v>137</v>
      </c>
      <c r="X3461" s="106" t="s">
        <v>295</v>
      </c>
      <c r="Y3461" s="107" t="s">
        <v>12</v>
      </c>
      <c r="Z3461" s="67">
        <f>IF(База_КР_КК[[#This Row],[Таб.номер резервиста]]="-","-",IF(OR(База_КР_КК[[#This Row],[Уровень КК]]=2,База_КР_КК[[#This Row],[Уровень КК]]=3),IF(COUNTIFS($U$2:$U3461,$U3461,$F$2:$F3461,$F3461)=1,1,0),IF(COUNTIFS($U$2:$U3461,$U3461,$L$2:$L3461,$L3461)=1,1,0)))</f>
        <v>0</v>
      </c>
      <c r="AA34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1" s="106"/>
      <c r="AC3461" s="51"/>
      <c r="AD3461" s="106" t="s">
        <v>17</v>
      </c>
      <c r="AE3461" s="38" t="s">
        <v>376</v>
      </c>
    </row>
    <row r="3462" spans="1:31" ht="18" customHeight="1" x14ac:dyDescent="0.25">
      <c r="A34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2" s="79">
        <v>4</v>
      </c>
      <c r="C3462" s="23">
        <v>44859</v>
      </c>
      <c r="D3462" s="67">
        <f>IF(COUNTIF($G$2:$G3462,$G3462)=1,1,0)</f>
        <v>0</v>
      </c>
      <c r="E3462" s="67" t="str">
        <f>IFERROR(VLOOKUP(База_КР_КК[[#This Row],[ИД штатной должности (S)]],'уровень защищенности'!$B$7:$F$1095,5,0),"не защищена")</f>
        <v>высокий</v>
      </c>
      <c r="F3462" s="68">
        <v>500191</v>
      </c>
      <c r="G3462" s="74" t="s">
        <v>2974</v>
      </c>
      <c r="H3462" s="181">
        <f>INDEX('Списки данных'!$D$2:$D$1048576,MATCH(База_КР_КК[[#This Row],[Структурное подразделение]],'Списки данных'!$C$2:$C$1048576,0))</f>
        <v>7</v>
      </c>
      <c r="I3462" s="80" t="s">
        <v>137</v>
      </c>
      <c r="J3462" s="80" t="s">
        <v>248</v>
      </c>
      <c r="K3462" s="80" t="s">
        <v>21</v>
      </c>
      <c r="L3462" s="30" t="s">
        <v>191</v>
      </c>
      <c r="M3462" s="68">
        <v>6</v>
      </c>
      <c r="N3462" s="181" t="str">
        <f t="shared" si="55"/>
        <v>нет</v>
      </c>
      <c r="O3462" s="23"/>
      <c r="P3462" s="23"/>
      <c r="Q3462" s="106"/>
      <c r="R3462" s="37">
        <v>793</v>
      </c>
      <c r="S3462" s="39" t="s">
        <v>1202</v>
      </c>
      <c r="T3462" s="37">
        <v>1890</v>
      </c>
      <c r="U3462" s="38" t="s">
        <v>2008</v>
      </c>
      <c r="V3462" s="89" t="s">
        <v>272</v>
      </c>
      <c r="W3462" s="89" t="s">
        <v>137</v>
      </c>
      <c r="X3462" s="106" t="s">
        <v>296</v>
      </c>
      <c r="Y3462" s="107" t="s">
        <v>12</v>
      </c>
      <c r="Z3462" s="67">
        <f>IF(База_КР_КК[[#This Row],[Таб.номер резервиста]]="-","-",IF(OR(База_КР_КК[[#This Row],[Уровень КК]]=2,База_КР_КК[[#This Row],[Уровень КК]]=3),IF(COUNTIFS($U$2:$U3462,$U3462,$F$2:$F3462,$F3462)=1,1,0),IF(COUNTIFS($U$2:$U3462,$U3462,$L$2:$L3462,$L3462)=1,1,0)))</f>
        <v>0</v>
      </c>
      <c r="AA34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2" s="106"/>
      <c r="AC3462" s="51"/>
      <c r="AD3462" s="106" t="s">
        <v>15</v>
      </c>
      <c r="AE3462" s="38" t="s">
        <v>376</v>
      </c>
    </row>
    <row r="3463" spans="1:31" ht="18" customHeight="1" x14ac:dyDescent="0.25">
      <c r="A34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3" s="79">
        <v>4</v>
      </c>
      <c r="C3463" s="23">
        <v>44859</v>
      </c>
      <c r="D3463" s="67">
        <f>IF(COUNTIF($G$2:$G3463,$G3463)=1,1,0)</f>
        <v>0</v>
      </c>
      <c r="E3463" s="67" t="str">
        <f>IFERROR(VLOOKUP(База_КР_КК[[#This Row],[ИД штатной должности (S)]],'уровень защищенности'!$B$7:$F$1095,5,0),"не защищена")</f>
        <v>высокий</v>
      </c>
      <c r="F3463" s="68">
        <v>500191</v>
      </c>
      <c r="G3463" s="74" t="s">
        <v>2974</v>
      </c>
      <c r="H3463" s="181">
        <f>INDEX('Списки данных'!$D$2:$D$1048576,MATCH(База_КР_КК[[#This Row],[Структурное подразделение]],'Списки данных'!$C$2:$C$1048576,0))</f>
        <v>7</v>
      </c>
      <c r="I3463" s="80" t="s">
        <v>137</v>
      </c>
      <c r="J3463" s="80" t="s">
        <v>248</v>
      </c>
      <c r="K3463" s="80" t="s">
        <v>21</v>
      </c>
      <c r="L3463" s="30" t="s">
        <v>191</v>
      </c>
      <c r="M3463" s="68">
        <v>6</v>
      </c>
      <c r="N3463" s="181" t="str">
        <f t="shared" si="55"/>
        <v>нет</v>
      </c>
      <c r="O3463" s="23"/>
      <c r="P3463" s="23"/>
      <c r="Q3463" s="106"/>
      <c r="R3463" s="37">
        <v>793</v>
      </c>
      <c r="S3463" s="39" t="s">
        <v>1202</v>
      </c>
      <c r="T3463" s="37">
        <v>1889</v>
      </c>
      <c r="U3463" s="38" t="s">
        <v>2086</v>
      </c>
      <c r="V3463" s="89" t="s">
        <v>272</v>
      </c>
      <c r="W3463" s="89" t="s">
        <v>137</v>
      </c>
      <c r="X3463" s="106" t="s">
        <v>297</v>
      </c>
      <c r="Y3463" s="107" t="s">
        <v>12</v>
      </c>
      <c r="Z3463" s="67">
        <f>IF(База_КР_КК[[#This Row],[Таб.номер резервиста]]="-","-",IF(OR(База_КР_КК[[#This Row],[Уровень КК]]=2,База_КР_КК[[#This Row],[Уровень КК]]=3),IF(COUNTIFS($U$2:$U3463,$U3463,$F$2:$F3463,$F3463)=1,1,0),IF(COUNTIFS($U$2:$U3463,$U3463,$L$2:$L3463,$L3463)=1,1,0)))</f>
        <v>0</v>
      </c>
      <c r="AA34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3" s="106"/>
      <c r="AC3463" s="51"/>
      <c r="AD3463" s="106" t="s">
        <v>15</v>
      </c>
      <c r="AE3463" s="38" t="s">
        <v>376</v>
      </c>
    </row>
    <row r="3464" spans="1:31" ht="18" customHeight="1" x14ac:dyDescent="0.25">
      <c r="A34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4" s="79">
        <v>4</v>
      </c>
      <c r="C3464" s="23">
        <v>44125</v>
      </c>
      <c r="D3464" s="67">
        <f>IF(COUNTIF($G$2:$G3464,$G3464)=1,1,0)</f>
        <v>0</v>
      </c>
      <c r="E3464" s="67" t="str">
        <f>IFERROR(VLOOKUP(База_КР_КК[[#This Row],[ИД штатной должности (S)]],'уровень защищенности'!$B$7:$F$1095,5,0),"не защищена")</f>
        <v>высокий</v>
      </c>
      <c r="F3464" s="68">
        <v>500191</v>
      </c>
      <c r="G3464" s="74" t="s">
        <v>2974</v>
      </c>
      <c r="H3464" s="181">
        <f>INDEX('Списки данных'!$D$2:$D$1048576,MATCH(База_КР_КК[[#This Row],[Структурное подразделение]],'Списки данных'!$C$2:$C$1048576,0))</f>
        <v>7</v>
      </c>
      <c r="I3464" s="80" t="s">
        <v>137</v>
      </c>
      <c r="J3464" s="80" t="s">
        <v>248</v>
      </c>
      <c r="K3464" s="80" t="s">
        <v>21</v>
      </c>
      <c r="L3464" s="30" t="s">
        <v>191</v>
      </c>
      <c r="M3464" s="68">
        <v>6</v>
      </c>
      <c r="N3464" s="181" t="str">
        <f t="shared" si="55"/>
        <v>нет</v>
      </c>
      <c r="O3464" s="23"/>
      <c r="P3464" s="23"/>
      <c r="Q3464" s="106"/>
      <c r="R3464" s="37">
        <v>793</v>
      </c>
      <c r="S3464" s="39" t="s">
        <v>1202</v>
      </c>
      <c r="T3464" s="37">
        <v>794</v>
      </c>
      <c r="U3464" s="38" t="s">
        <v>1203</v>
      </c>
      <c r="V3464" s="89" t="s">
        <v>192</v>
      </c>
      <c r="W3464" s="89" t="s">
        <v>137</v>
      </c>
      <c r="X3464" s="106" t="s">
        <v>297</v>
      </c>
      <c r="Y3464" s="107" t="s">
        <v>14</v>
      </c>
      <c r="Z3464" s="67">
        <f>IF(База_КР_КК[[#This Row],[Таб.номер резервиста]]="-","-",IF(OR(База_КР_КК[[#This Row],[Уровень КК]]=2,База_КР_КК[[#This Row],[Уровень КК]]=3),IF(COUNTIFS($U$2:$U3464,$U3464,$F$2:$F3464,$F3464)=1,1,0),IF(COUNTIFS($U$2:$U3464,$U3464,$L$2:$L3464,$L3464)=1,1,0)))</f>
        <v>0</v>
      </c>
      <c r="AA34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4" s="106" t="s">
        <v>24</v>
      </c>
      <c r="AC3464" s="51">
        <v>44630</v>
      </c>
      <c r="AD3464" s="106" t="s">
        <v>15</v>
      </c>
      <c r="AE3464" s="38" t="s">
        <v>318</v>
      </c>
    </row>
    <row r="3465" spans="1:31" ht="18" customHeight="1" x14ac:dyDescent="0.25">
      <c r="A34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5" s="79">
        <v>4</v>
      </c>
      <c r="C3465" s="23">
        <v>44125</v>
      </c>
      <c r="D3465" s="67">
        <f>IF(COUNTIF($G$2:$G3465,$G3465)=1,1,0)</f>
        <v>1</v>
      </c>
      <c r="E3465" s="67" t="str">
        <f>IFERROR(VLOOKUP(База_КР_КК[[#This Row],[ИД штатной должности (S)]],'уровень защищенности'!$B$7:$F$1095,5,0),"не защищена")</f>
        <v>высокий</v>
      </c>
      <c r="F3465" s="68">
        <v>500191</v>
      </c>
      <c r="G3465" s="74" t="s">
        <v>2975</v>
      </c>
      <c r="H3465" s="181">
        <f>INDEX('Списки данных'!$D$2:$D$1048576,MATCH(База_КР_КК[[#This Row],[Структурное подразделение]],'Списки данных'!$C$2:$C$1048576,0))</f>
        <v>7</v>
      </c>
      <c r="I3465" s="80" t="s">
        <v>137</v>
      </c>
      <c r="J3465" s="80" t="s">
        <v>248</v>
      </c>
      <c r="K3465" s="80" t="s">
        <v>21</v>
      </c>
      <c r="L3465" s="30" t="s">
        <v>191</v>
      </c>
      <c r="M3465" s="68">
        <v>6</v>
      </c>
      <c r="N3465" s="181" t="str">
        <f t="shared" si="55"/>
        <v>да</v>
      </c>
      <c r="O3465" s="23">
        <v>44630</v>
      </c>
      <c r="P3465" s="23">
        <v>44630</v>
      </c>
      <c r="Q3465" s="106" t="s">
        <v>66</v>
      </c>
      <c r="R3465" s="37">
        <v>794</v>
      </c>
      <c r="S3465" s="39" t="s">
        <v>1203</v>
      </c>
      <c r="T3465" s="37">
        <v>1888</v>
      </c>
      <c r="U3465" s="39" t="s">
        <v>1868</v>
      </c>
      <c r="V3465" s="89" t="s">
        <v>272</v>
      </c>
      <c r="W3465" s="89" t="s">
        <v>137</v>
      </c>
      <c r="X3465" s="106" t="s">
        <v>295</v>
      </c>
      <c r="Y3465" s="107" t="s">
        <v>12</v>
      </c>
      <c r="Z3465" s="67">
        <f>IF(База_КР_КК[[#This Row],[Таб.номер резервиста]]="-","-",IF(OR(База_КР_КК[[#This Row],[Уровень КК]]=2,База_КР_КК[[#This Row],[Уровень КК]]=3),IF(COUNTIFS($U$2:$U3465,$U3465,$F$2:$F3465,$F3465)=1,1,0),IF(COUNTIFS($U$2:$U3465,$U3465,$L$2:$L3465,$L3465)=1,1,0)))</f>
        <v>0</v>
      </c>
      <c r="AA34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5" s="106"/>
      <c r="AC3465" s="51"/>
      <c r="AD3465" s="106" t="s">
        <v>17</v>
      </c>
      <c r="AE3465" s="38" t="s">
        <v>376</v>
      </c>
    </row>
    <row r="3466" spans="1:31" ht="18" customHeight="1" x14ac:dyDescent="0.25">
      <c r="A34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6" s="79">
        <v>4</v>
      </c>
      <c r="C3466" s="23">
        <v>44859</v>
      </c>
      <c r="D3466" s="67">
        <f>IF(COUNTIF($G$2:$G3466,$G3466)=1,1,0)</f>
        <v>0</v>
      </c>
      <c r="E3466" s="67" t="str">
        <f>IFERROR(VLOOKUP(База_КР_КК[[#This Row],[ИД штатной должности (S)]],'уровень защищенности'!$B$7:$F$1095,5,0),"не защищена")</f>
        <v>высокий</v>
      </c>
      <c r="F3466" s="68">
        <v>500191</v>
      </c>
      <c r="G3466" s="74" t="s">
        <v>2975</v>
      </c>
      <c r="H3466" s="181">
        <f>INDEX('Списки данных'!$D$2:$D$1048576,MATCH(База_КР_КК[[#This Row],[Структурное подразделение]],'Списки данных'!$C$2:$C$1048576,0))</f>
        <v>7</v>
      </c>
      <c r="I3466" s="80" t="s">
        <v>137</v>
      </c>
      <c r="J3466" s="80" t="s">
        <v>248</v>
      </c>
      <c r="K3466" s="80" t="s">
        <v>21</v>
      </c>
      <c r="L3466" s="30" t="s">
        <v>191</v>
      </c>
      <c r="M3466" s="68">
        <v>6</v>
      </c>
      <c r="N3466" s="181" t="str">
        <f t="shared" si="55"/>
        <v>да</v>
      </c>
      <c r="O3466" s="23">
        <v>44630</v>
      </c>
      <c r="P3466" s="23">
        <v>44630</v>
      </c>
      <c r="Q3466" s="106" t="s">
        <v>66</v>
      </c>
      <c r="R3466" s="37">
        <v>794</v>
      </c>
      <c r="S3466" s="39" t="s">
        <v>1203</v>
      </c>
      <c r="T3466" s="37">
        <v>1890</v>
      </c>
      <c r="U3466" s="38" t="s">
        <v>2008</v>
      </c>
      <c r="V3466" s="89" t="s">
        <v>272</v>
      </c>
      <c r="W3466" s="89" t="s">
        <v>137</v>
      </c>
      <c r="X3466" s="106" t="s">
        <v>296</v>
      </c>
      <c r="Y3466" s="107" t="s">
        <v>12</v>
      </c>
      <c r="Z3466" s="67">
        <f>IF(База_КР_КК[[#This Row],[Таб.номер резервиста]]="-","-",IF(OR(База_КР_КК[[#This Row],[Уровень КК]]=2,База_КР_КК[[#This Row],[Уровень КК]]=3),IF(COUNTIFS($U$2:$U3466,$U3466,$F$2:$F3466,$F3466)=1,1,0),IF(COUNTIFS($U$2:$U3466,$U3466,$L$2:$L3466,$L3466)=1,1,0)))</f>
        <v>0</v>
      </c>
      <c r="AA34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6" s="106"/>
      <c r="AC3466" s="51"/>
      <c r="AD3466" s="106" t="s">
        <v>15</v>
      </c>
      <c r="AE3466" s="38" t="s">
        <v>376</v>
      </c>
    </row>
    <row r="3467" spans="1:31" ht="18" customHeight="1" x14ac:dyDescent="0.25">
      <c r="A34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7" s="79">
        <v>4</v>
      </c>
      <c r="C3467" s="23">
        <v>44859</v>
      </c>
      <c r="D3467" s="67">
        <f>IF(COUNTIF($G$2:$G3467,$G3467)=1,1,0)</f>
        <v>0</v>
      </c>
      <c r="E3467" s="67" t="str">
        <f>IFERROR(VLOOKUP(База_КР_КК[[#This Row],[ИД штатной должности (S)]],'уровень защищенности'!$B$7:$F$1095,5,0),"не защищена")</f>
        <v>высокий</v>
      </c>
      <c r="F3467" s="68">
        <v>500191</v>
      </c>
      <c r="G3467" s="74" t="s">
        <v>2975</v>
      </c>
      <c r="H3467" s="181">
        <f>INDEX('Списки данных'!$D$2:$D$1048576,MATCH(База_КР_КК[[#This Row],[Структурное подразделение]],'Списки данных'!$C$2:$C$1048576,0))</f>
        <v>7</v>
      </c>
      <c r="I3467" s="80" t="s">
        <v>137</v>
      </c>
      <c r="J3467" s="80" t="s">
        <v>248</v>
      </c>
      <c r="K3467" s="80" t="s">
        <v>21</v>
      </c>
      <c r="L3467" s="30" t="s">
        <v>191</v>
      </c>
      <c r="M3467" s="68">
        <v>6</v>
      </c>
      <c r="N3467" s="181" t="str">
        <f t="shared" si="55"/>
        <v>да</v>
      </c>
      <c r="O3467" s="23">
        <v>44630</v>
      </c>
      <c r="P3467" s="23">
        <v>44630</v>
      </c>
      <c r="Q3467" s="106" t="s">
        <v>66</v>
      </c>
      <c r="R3467" s="37">
        <v>794</v>
      </c>
      <c r="S3467" s="39" t="s">
        <v>1203</v>
      </c>
      <c r="T3467" s="37">
        <v>1889</v>
      </c>
      <c r="U3467" s="38" t="s">
        <v>2086</v>
      </c>
      <c r="V3467" s="89" t="s">
        <v>272</v>
      </c>
      <c r="W3467" s="89" t="s">
        <v>137</v>
      </c>
      <c r="X3467" s="106" t="s">
        <v>297</v>
      </c>
      <c r="Y3467" s="107" t="s">
        <v>12</v>
      </c>
      <c r="Z3467" s="67">
        <f>IF(База_КР_КК[[#This Row],[Таб.номер резервиста]]="-","-",IF(OR(База_КР_КК[[#This Row],[Уровень КК]]=2,База_КР_КК[[#This Row],[Уровень КК]]=3),IF(COUNTIFS($U$2:$U3467,$U3467,$F$2:$F3467,$F3467)=1,1,0),IF(COUNTIFS($U$2:$U3467,$U3467,$L$2:$L3467,$L3467)=1,1,0)))</f>
        <v>0</v>
      </c>
      <c r="AA34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7" s="106"/>
      <c r="AC3467" s="51"/>
      <c r="AD3467" s="106" t="s">
        <v>15</v>
      </c>
      <c r="AE3467" s="38" t="s">
        <v>376</v>
      </c>
    </row>
    <row r="3468" spans="1:31" ht="18" customHeight="1" x14ac:dyDescent="0.25">
      <c r="A34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8" s="79">
        <v>4</v>
      </c>
      <c r="C3468" s="23">
        <v>44125</v>
      </c>
      <c r="D3468" s="67">
        <f>IF(COUNTIF($G$2:$G3468,$G3468)=1,1,0)</f>
        <v>0</v>
      </c>
      <c r="E3468" s="67" t="str">
        <f>IFERROR(VLOOKUP(База_КР_КК[[#This Row],[ИД штатной должности (S)]],'уровень защищенности'!$B$7:$F$1095,5,0),"не защищена")</f>
        <v>высокий</v>
      </c>
      <c r="F3468" s="68">
        <v>500191</v>
      </c>
      <c r="G3468" s="74" t="s">
        <v>2975</v>
      </c>
      <c r="H3468" s="181">
        <f>INDEX('Списки данных'!$D$2:$D$1048576,MATCH(База_КР_КК[[#This Row],[Структурное подразделение]],'Списки данных'!$C$2:$C$1048576,0))</f>
        <v>7</v>
      </c>
      <c r="I3468" s="80" t="s">
        <v>137</v>
      </c>
      <c r="J3468" s="80" t="s">
        <v>248</v>
      </c>
      <c r="K3468" s="80" t="s">
        <v>21</v>
      </c>
      <c r="L3468" s="30" t="s">
        <v>191</v>
      </c>
      <c r="M3468" s="68">
        <v>6</v>
      </c>
      <c r="N3468" s="181" t="str">
        <f t="shared" si="55"/>
        <v>да</v>
      </c>
      <c r="O3468" s="23">
        <v>44630</v>
      </c>
      <c r="P3468" s="23">
        <v>44630</v>
      </c>
      <c r="Q3468" s="106" t="s">
        <v>66</v>
      </c>
      <c r="R3468" s="37">
        <v>794</v>
      </c>
      <c r="S3468" s="38" t="s">
        <v>1203</v>
      </c>
      <c r="T3468" s="37">
        <v>794</v>
      </c>
      <c r="U3468" s="39" t="s">
        <v>1203</v>
      </c>
      <c r="V3468" s="89" t="s">
        <v>192</v>
      </c>
      <c r="W3468" s="89" t="s">
        <v>137</v>
      </c>
      <c r="X3468" s="106" t="s">
        <v>297</v>
      </c>
      <c r="Y3468" s="107" t="s">
        <v>14</v>
      </c>
      <c r="Z3468" s="67">
        <f>IF(База_КР_КК[[#This Row],[Таб.номер резервиста]]="-","-",IF(OR(База_КР_КК[[#This Row],[Уровень КК]]=2,База_КР_КК[[#This Row],[Уровень КК]]=3),IF(COUNTIFS($U$2:$U3468,$U3468,$F$2:$F3468,$F3468)=1,1,0),IF(COUNTIFS($U$2:$U3468,$U3468,$L$2:$L3468,$L3468)=1,1,0)))</f>
        <v>0</v>
      </c>
      <c r="AA34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468" s="106" t="s">
        <v>24</v>
      </c>
      <c r="AC3468" s="51">
        <v>44630</v>
      </c>
      <c r="AD3468" s="106" t="s">
        <v>15</v>
      </c>
      <c r="AE3468" s="38" t="s">
        <v>318</v>
      </c>
    </row>
    <row r="3469" spans="1:31" ht="18" customHeight="1" x14ac:dyDescent="0.25">
      <c r="A34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69" s="79">
        <v>4</v>
      </c>
      <c r="C3469" s="23">
        <v>44859</v>
      </c>
      <c r="D3469" s="67">
        <f>IF(COUNTIF($G$2:$G3469,$G3469)=1,1,0)</f>
        <v>1</v>
      </c>
      <c r="E3469" s="67" t="str">
        <f>IFERROR(VLOOKUP(База_КР_КК[[#This Row],[ИД штатной должности (S)]],'уровень защищенности'!$B$7:$F$1095,5,0),"не защищена")</f>
        <v>средний</v>
      </c>
      <c r="F3469" s="68">
        <v>500515</v>
      </c>
      <c r="G3469" s="74" t="s">
        <v>2976</v>
      </c>
      <c r="H3469" s="181">
        <f>INDEX('Списки данных'!$D$2:$D$1048576,MATCH(База_КР_КК[[#This Row],[Структурное подразделение]],'Списки данных'!$C$2:$C$1048576,0))</f>
        <v>6</v>
      </c>
      <c r="I3469" s="80" t="s">
        <v>136</v>
      </c>
      <c r="J3469" s="80" t="s">
        <v>246</v>
      </c>
      <c r="K3469" s="80" t="s">
        <v>247</v>
      </c>
      <c r="L3469" s="30" t="s">
        <v>192</v>
      </c>
      <c r="M3469" s="68">
        <v>6</v>
      </c>
      <c r="N3469" s="181" t="str">
        <f t="shared" si="55"/>
        <v>нет</v>
      </c>
      <c r="O3469" s="23"/>
      <c r="P3469" s="23"/>
      <c r="Q3469" s="106"/>
      <c r="R3469" s="37">
        <v>795</v>
      </c>
      <c r="S3469" s="39" t="s">
        <v>1204</v>
      </c>
      <c r="T3469" s="37">
        <v>1891</v>
      </c>
      <c r="U3469" s="38" t="s">
        <v>2087</v>
      </c>
      <c r="V3469" s="89" t="s">
        <v>272</v>
      </c>
      <c r="W3469" s="89" t="s">
        <v>136</v>
      </c>
      <c r="X3469" s="106" t="s">
        <v>297</v>
      </c>
      <c r="Y3469" s="107" t="s">
        <v>12</v>
      </c>
      <c r="Z3469" s="67">
        <f>IF(База_КР_КК[[#This Row],[Таб.номер резервиста]]="-","-",IF(OR(База_КР_КК[[#This Row],[Уровень КК]]=2,База_КР_КК[[#This Row],[Уровень КК]]=3),IF(COUNTIFS($U$2:$U3469,$U3469,$F$2:$F3469,$F3469)=1,1,0),IF(COUNTIFS($U$2:$U3469,$U3469,$L$2:$L3469,$L3469)=1,1,0)))</f>
        <v>1</v>
      </c>
      <c r="AA34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69" s="106"/>
      <c r="AC3469" s="51"/>
      <c r="AD3469" s="106"/>
      <c r="AE3469" s="38" t="s">
        <v>376</v>
      </c>
    </row>
    <row r="3470" spans="1:31" ht="18" customHeight="1" x14ac:dyDescent="0.25">
      <c r="A34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0" s="79">
        <v>4</v>
      </c>
      <c r="C3470" s="23">
        <v>44109</v>
      </c>
      <c r="D3470" s="67">
        <f>IF(COUNTIF($G$2:$G3470,$G3470)=1,1,0)</f>
        <v>0</v>
      </c>
      <c r="E3470" s="67" t="str">
        <f>IFERROR(VLOOKUP(База_КР_КК[[#This Row],[ИД штатной должности (S)]],'уровень защищенности'!$B$7:$F$1095,5,0),"не защищена")</f>
        <v>средний</v>
      </c>
      <c r="F3470" s="68">
        <v>500515</v>
      </c>
      <c r="G3470" s="74" t="s">
        <v>2976</v>
      </c>
      <c r="H3470" s="181">
        <f>INDEX('Списки данных'!$D$2:$D$1048576,MATCH(База_КР_КК[[#This Row],[Структурное подразделение]],'Списки данных'!$C$2:$C$1048576,0))</f>
        <v>6</v>
      </c>
      <c r="I3470" s="80" t="s">
        <v>136</v>
      </c>
      <c r="J3470" s="80" t="s">
        <v>246</v>
      </c>
      <c r="K3470" s="80" t="s">
        <v>247</v>
      </c>
      <c r="L3470" s="30" t="s">
        <v>192</v>
      </c>
      <c r="M3470" s="68">
        <v>6</v>
      </c>
      <c r="N3470" s="181" t="str">
        <f t="shared" si="55"/>
        <v>нет</v>
      </c>
      <c r="O3470" s="23"/>
      <c r="P3470" s="23"/>
      <c r="Q3470" s="106"/>
      <c r="R3470" s="37">
        <v>795</v>
      </c>
      <c r="S3470" s="38" t="s">
        <v>1204</v>
      </c>
      <c r="T3470" s="37">
        <v>1892</v>
      </c>
      <c r="U3470" s="39" t="s">
        <v>2088</v>
      </c>
      <c r="V3470" s="89" t="s">
        <v>272</v>
      </c>
      <c r="W3470" s="89" t="s">
        <v>136</v>
      </c>
      <c r="X3470" s="106" t="s">
        <v>297</v>
      </c>
      <c r="Y3470" s="107" t="s">
        <v>18</v>
      </c>
      <c r="Z3470" s="67">
        <f>IF(База_КР_КК[[#This Row],[Таб.номер резервиста]]="-","-",IF(OR(База_КР_КК[[#This Row],[Уровень КК]]=2,База_КР_КК[[#This Row],[Уровень КК]]=3),IF(COUNTIFS($U$2:$U3470,$U3470,$F$2:$F3470,$F3470)=1,1,0),IF(COUNTIFS($U$2:$U3470,$U3470,$L$2:$L3470,$L3470)=1,1,0)))</f>
        <v>1</v>
      </c>
      <c r="AA34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0" s="106" t="s">
        <v>19</v>
      </c>
      <c r="AC3470" s="51">
        <v>44986</v>
      </c>
      <c r="AD3470" s="106" t="s">
        <v>17</v>
      </c>
      <c r="AE3470" s="38" t="s">
        <v>376</v>
      </c>
    </row>
    <row r="3471" spans="1:31" ht="18" customHeight="1" x14ac:dyDescent="0.25">
      <c r="A34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1" s="79">
        <v>4</v>
      </c>
      <c r="C3471" s="23">
        <v>44859</v>
      </c>
      <c r="D3471" s="67">
        <f>IF(COUNTIF($G$2:$G3471,$G3471)=1,1,0)</f>
        <v>1</v>
      </c>
      <c r="E3471" s="67" t="str">
        <f>IFERROR(VLOOKUP(База_КР_КК[[#This Row],[ИД штатной должности (S)]],'уровень защищенности'!$B$7:$F$1095,5,0),"не защищена")</f>
        <v>высокий</v>
      </c>
      <c r="F3471" s="68">
        <v>500516</v>
      </c>
      <c r="G3471" s="74" t="s">
        <v>2977</v>
      </c>
      <c r="H3471" s="181">
        <f>INDEX('Списки данных'!$D$2:$D$1048576,MATCH(База_КР_КК[[#This Row],[Структурное подразделение]],'Списки данных'!$C$2:$C$1048576,0))</f>
        <v>7</v>
      </c>
      <c r="I3471" s="80" t="s">
        <v>137</v>
      </c>
      <c r="J3471" s="80" t="s">
        <v>248</v>
      </c>
      <c r="K3471" s="80" t="s">
        <v>249</v>
      </c>
      <c r="L3471" s="30" t="s">
        <v>192</v>
      </c>
      <c r="M3471" s="68">
        <v>6</v>
      </c>
      <c r="N3471" s="181" t="str">
        <f t="shared" si="55"/>
        <v>нет</v>
      </c>
      <c r="O3471" s="23"/>
      <c r="P3471" s="23"/>
      <c r="Q3471" s="106"/>
      <c r="R3471" s="37">
        <v>796</v>
      </c>
      <c r="S3471" s="37" t="s">
        <v>1205</v>
      </c>
      <c r="T3471" s="37">
        <v>1893</v>
      </c>
      <c r="U3471" s="39" t="s">
        <v>1728</v>
      </c>
      <c r="V3471" s="89" t="s">
        <v>16</v>
      </c>
      <c r="W3471" s="89" t="s">
        <v>137</v>
      </c>
      <c r="X3471" s="106" t="s">
        <v>295</v>
      </c>
      <c r="Y3471" s="107" t="s">
        <v>12</v>
      </c>
      <c r="Z3471" s="67">
        <f>IF(База_КР_КК[[#This Row],[Таб.номер резервиста]]="-","-",IF(OR(База_КР_КК[[#This Row],[Уровень КК]]=2,База_КР_КК[[#This Row],[Уровень КК]]=3),IF(COUNTIFS($U$2:$U3471,$U3471,$F$2:$F3471,$F3471)=1,1,0),IF(COUNTIFS($U$2:$U3471,$U3471,$L$2:$L3471,$L3471)=1,1,0)))</f>
        <v>1</v>
      </c>
      <c r="AA34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1" s="106"/>
      <c r="AC3471" s="51"/>
      <c r="AD3471" s="106" t="s">
        <v>15</v>
      </c>
      <c r="AE3471" s="38" t="s">
        <v>376</v>
      </c>
    </row>
    <row r="3472" spans="1:31" ht="18" customHeight="1" x14ac:dyDescent="0.25">
      <c r="A34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2" s="79">
        <v>3</v>
      </c>
      <c r="C3472" s="23">
        <v>44039</v>
      </c>
      <c r="D3472" s="67">
        <f>IF(COUNTIF($G$2:$G3472,$G3472)=1,1,0)</f>
        <v>1</v>
      </c>
      <c r="E3472" s="67" t="str">
        <f>IFERROR(VLOOKUP(База_КР_КК[[#This Row],[ИД штатной должности (S)]],'уровень защищенности'!$B$7:$F$1095,5,0),"не защищена")</f>
        <v>высокий</v>
      </c>
      <c r="F3472" s="68">
        <v>500049</v>
      </c>
      <c r="G3472" s="74" t="s">
        <v>2978</v>
      </c>
      <c r="H3472" s="181">
        <f>INDEX('Списки данных'!$D$2:$D$1048576,MATCH(База_КР_КК[[#This Row],[Структурное подразделение]],'Списки данных'!$C$2:$C$1048576,0))</f>
        <v>6</v>
      </c>
      <c r="I3472" s="80" t="s">
        <v>136</v>
      </c>
      <c r="J3472" s="80" t="s">
        <v>246</v>
      </c>
      <c r="K3472" s="80" t="s">
        <v>21</v>
      </c>
      <c r="L3472" s="30" t="s">
        <v>189</v>
      </c>
      <c r="M3472" s="68">
        <v>6</v>
      </c>
      <c r="N3472" s="181" t="str">
        <f t="shared" si="55"/>
        <v>нет</v>
      </c>
      <c r="O3472" s="23"/>
      <c r="P3472" s="23"/>
      <c r="Q3472" s="106"/>
      <c r="R3472" s="37">
        <v>797</v>
      </c>
      <c r="S3472" s="38" t="s">
        <v>1206</v>
      </c>
      <c r="T3472" s="37">
        <v>1894</v>
      </c>
      <c r="U3472" s="39" t="s">
        <v>2089</v>
      </c>
      <c r="V3472" s="89" t="s">
        <v>16</v>
      </c>
      <c r="W3472" s="89" t="s">
        <v>136</v>
      </c>
      <c r="X3472" s="106" t="s">
        <v>295</v>
      </c>
      <c r="Y3472" s="107" t="s">
        <v>12</v>
      </c>
      <c r="Z3472" s="67">
        <f>IF(База_КР_КК[[#This Row],[Таб.номер резервиста]]="-","-",IF(OR(База_КР_КК[[#This Row],[Уровень КК]]=2,База_КР_КК[[#This Row],[Уровень КК]]=3),IF(COUNTIFS($U$2:$U3472,$U3472,$F$2:$F3472,$F3472)=1,1,0),IF(COUNTIFS($U$2:$U3472,$U3472,$L$2:$L3472,$L3472)=1,1,0)))</f>
        <v>1</v>
      </c>
      <c r="AA34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2" s="106"/>
      <c r="AC3472" s="51"/>
      <c r="AD3472" s="106" t="s">
        <v>13</v>
      </c>
      <c r="AE3472" s="38" t="s">
        <v>370</v>
      </c>
    </row>
    <row r="3473" spans="1:31" ht="18" customHeight="1" x14ac:dyDescent="0.25">
      <c r="A34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3" s="79">
        <v>3</v>
      </c>
      <c r="C3473" s="23">
        <v>44039</v>
      </c>
      <c r="D3473" s="67">
        <f>IF(COUNTIF($G$2:$G3473,$G3473)=1,1,0)</f>
        <v>1</v>
      </c>
      <c r="E3473" s="67" t="str">
        <f>IFERROR(VLOOKUP(База_КР_КК[[#This Row],[ИД штатной должности (S)]],'уровень защищенности'!$B$7:$F$1095,5,0),"не защищена")</f>
        <v>высокий</v>
      </c>
      <c r="F3473" s="68">
        <v>500050</v>
      </c>
      <c r="G3473" s="74" t="s">
        <v>2979</v>
      </c>
      <c r="H3473" s="181">
        <f>INDEX('Списки данных'!$D$2:$D$1048576,MATCH(База_КР_КК[[#This Row],[Структурное подразделение]],'Списки данных'!$C$2:$C$1048576,0))</f>
        <v>7</v>
      </c>
      <c r="I3473" s="80" t="s">
        <v>137</v>
      </c>
      <c r="J3473" s="80" t="s">
        <v>248</v>
      </c>
      <c r="K3473" s="80" t="s">
        <v>21</v>
      </c>
      <c r="L3473" s="30" t="s">
        <v>189</v>
      </c>
      <c r="M3473" s="68">
        <v>6</v>
      </c>
      <c r="N3473" s="181" t="str">
        <f t="shared" si="55"/>
        <v>нет</v>
      </c>
      <c r="O3473" s="23"/>
      <c r="P3473" s="23"/>
      <c r="Q3473" s="106"/>
      <c r="R3473" s="37">
        <v>798</v>
      </c>
      <c r="S3473" s="38" t="s">
        <v>1207</v>
      </c>
      <c r="T3473" s="37">
        <v>744</v>
      </c>
      <c r="U3473" s="39" t="s">
        <v>1153</v>
      </c>
      <c r="V3473" s="89" t="s">
        <v>193</v>
      </c>
      <c r="W3473" s="89" t="s">
        <v>137</v>
      </c>
      <c r="X3473" s="106" t="s">
        <v>295</v>
      </c>
      <c r="Y3473" s="107" t="s">
        <v>12</v>
      </c>
      <c r="Z3473" s="67">
        <f>IF(База_КР_КК[[#This Row],[Таб.номер резервиста]]="-","-",IF(OR(База_КР_КК[[#This Row],[Уровень КК]]=2,База_КР_КК[[#This Row],[Уровень КК]]=3),IF(COUNTIFS($U$2:$U3473,$U3473,$F$2:$F3473,$F3473)=1,1,0),IF(COUNTIFS($U$2:$U3473,$U3473,$L$2:$L3473,$L3473)=1,1,0)))</f>
        <v>1</v>
      </c>
      <c r="AA34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3" s="106"/>
      <c r="AC3473" s="51"/>
      <c r="AD3473" s="106" t="s">
        <v>13</v>
      </c>
      <c r="AE3473" s="38" t="s">
        <v>370</v>
      </c>
    </row>
    <row r="3474" spans="1:31" ht="18" customHeight="1" x14ac:dyDescent="0.25">
      <c r="A34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4" s="79">
        <v>3</v>
      </c>
      <c r="C3474" s="23">
        <v>44039</v>
      </c>
      <c r="D3474" s="67">
        <f>IF(COUNTIF($G$2:$G3474,$G3474)=1,1,0)</f>
        <v>1</v>
      </c>
      <c r="E3474" s="67" t="str">
        <f>IFERROR(VLOOKUP(База_КР_КК[[#This Row],[ИД штатной должности (S)]],'уровень защищенности'!$B$7:$F$1095,5,0),"не защищена")</f>
        <v>средний</v>
      </c>
      <c r="F3474" s="68">
        <v>500051</v>
      </c>
      <c r="G3474" s="74" t="s">
        <v>2980</v>
      </c>
      <c r="H3474" s="181">
        <f>INDEX('Списки данных'!$D$2:$D$1048576,MATCH(База_КР_КК[[#This Row],[Структурное подразделение]],'Списки данных'!$C$2:$C$1048576,0))</f>
        <v>7</v>
      </c>
      <c r="I3474" s="80" t="s">
        <v>137</v>
      </c>
      <c r="J3474" s="80" t="s">
        <v>248</v>
      </c>
      <c r="K3474" s="80" t="s">
        <v>21</v>
      </c>
      <c r="L3474" s="30" t="s">
        <v>189</v>
      </c>
      <c r="M3474" s="68">
        <v>6</v>
      </c>
      <c r="N3474" s="181" t="str">
        <f t="shared" si="55"/>
        <v>нет</v>
      </c>
      <c r="O3474" s="23"/>
      <c r="P3474" s="23"/>
      <c r="Q3474" s="106"/>
      <c r="R3474" s="37">
        <v>799</v>
      </c>
      <c r="S3474" s="38" t="s">
        <v>1208</v>
      </c>
      <c r="T3474" s="37">
        <v>1895</v>
      </c>
      <c r="U3474" s="39" t="s">
        <v>2090</v>
      </c>
      <c r="V3474" s="89" t="s">
        <v>16</v>
      </c>
      <c r="W3474" s="89" t="s">
        <v>137</v>
      </c>
      <c r="X3474" s="106" t="s">
        <v>297</v>
      </c>
      <c r="Y3474" s="107" t="s">
        <v>12</v>
      </c>
      <c r="Z3474" s="67">
        <f>IF(База_КР_КК[[#This Row],[Таб.номер резервиста]]="-","-",IF(OR(База_КР_КК[[#This Row],[Уровень КК]]=2,База_КР_КК[[#This Row],[Уровень КК]]=3),IF(COUNTIFS($U$2:$U3474,$U3474,$F$2:$F3474,$F3474)=1,1,0),IF(COUNTIFS($U$2:$U3474,$U3474,$L$2:$L3474,$L3474)=1,1,0)))</f>
        <v>1</v>
      </c>
      <c r="AA34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4" s="106"/>
      <c r="AC3474" s="51"/>
      <c r="AD3474" s="106" t="s">
        <v>17</v>
      </c>
      <c r="AE3474" s="38" t="s">
        <v>370</v>
      </c>
    </row>
    <row r="3475" spans="1:31" ht="18" customHeight="1" x14ac:dyDescent="0.25">
      <c r="A34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5" s="79">
        <v>4</v>
      </c>
      <c r="C3475" s="23">
        <v>44118</v>
      </c>
      <c r="D3475" s="67">
        <f>IF(COUNTIF($G$2:$G3475,$G3475)=1,1,0)</f>
        <v>1</v>
      </c>
      <c r="E3475" s="67" t="str">
        <f>IFERROR(VLOOKUP(База_КР_КК[[#This Row],[ИД штатной должности (S)]],'уровень защищенности'!$B$7:$F$1095,5,0),"не защищена")</f>
        <v>средний</v>
      </c>
      <c r="F3475" s="68">
        <v>500535</v>
      </c>
      <c r="G3475" s="74" t="s">
        <v>2981</v>
      </c>
      <c r="H3475" s="181">
        <f>INDEX('Списки данных'!$D$2:$D$1048576,MATCH(База_КР_КК[[#This Row],[Структурное подразделение]],'Списки данных'!$C$2:$C$1048576,0))</f>
        <v>21</v>
      </c>
      <c r="I3475" s="80" t="s">
        <v>138</v>
      </c>
      <c r="J3475" s="80" t="s">
        <v>243</v>
      </c>
      <c r="K3475" s="80" t="s">
        <v>21</v>
      </c>
      <c r="L3475" s="30" t="s">
        <v>191</v>
      </c>
      <c r="M3475" s="68">
        <v>7</v>
      </c>
      <c r="N3475" s="181" t="str">
        <f t="shared" si="55"/>
        <v>нет</v>
      </c>
      <c r="O3475" s="23"/>
      <c r="P3475" s="23"/>
      <c r="Q3475" s="106"/>
      <c r="R3475" s="37">
        <v>800</v>
      </c>
      <c r="S3475" s="38" t="s">
        <v>1209</v>
      </c>
      <c r="T3475" s="37">
        <v>1816</v>
      </c>
      <c r="U3475" s="39" t="s">
        <v>2034</v>
      </c>
      <c r="V3475" s="89" t="s">
        <v>272</v>
      </c>
      <c r="W3475" s="86" t="s">
        <v>138</v>
      </c>
      <c r="X3475" s="106" t="s">
        <v>297</v>
      </c>
      <c r="Y3475" s="107" t="s">
        <v>12</v>
      </c>
      <c r="Z3475" s="67">
        <f>IF(База_КР_КК[[#This Row],[Таб.номер резервиста]]="-","-",IF(OR(База_КР_КК[[#This Row],[Уровень КК]]=2,База_КР_КК[[#This Row],[Уровень КК]]=3),IF(COUNTIFS($U$2:$U3475,$U3475,$F$2:$F3475,$F3475)=1,1,0),IF(COUNTIFS($U$2:$U3475,$U3475,$L$2:$L3475,$L3475)=1,1,0)))</f>
        <v>0</v>
      </c>
      <c r="AA34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5" s="106"/>
      <c r="AC3475" s="51"/>
      <c r="AD3475" s="106" t="s">
        <v>17</v>
      </c>
      <c r="AE3475" s="38" t="s">
        <v>378</v>
      </c>
    </row>
    <row r="3476" spans="1:31" ht="18" customHeight="1" x14ac:dyDescent="0.25">
      <c r="A34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6" s="79">
        <v>4</v>
      </c>
      <c r="C3476" s="23">
        <v>44118</v>
      </c>
      <c r="D3476" s="67">
        <f>IF(COUNTIF($G$2:$G3476,$G3476)=1,1,0)</f>
        <v>1</v>
      </c>
      <c r="E3476" s="67" t="str">
        <f>IFERROR(VLOOKUP(База_КР_КК[[#This Row],[ИД штатной должности (S)]],'уровень защищенности'!$B$7:$F$1095,5,0),"не защищена")</f>
        <v>средний</v>
      </c>
      <c r="F3476" s="68">
        <v>500535</v>
      </c>
      <c r="G3476" s="74" t="s">
        <v>2982</v>
      </c>
      <c r="H3476" s="181">
        <f>INDEX('Списки данных'!$D$2:$D$1048576,MATCH(База_КР_КК[[#This Row],[Структурное подразделение]],'Списки данных'!$C$2:$C$1048576,0))</f>
        <v>21</v>
      </c>
      <c r="I3476" s="80" t="s">
        <v>138</v>
      </c>
      <c r="J3476" s="80" t="s">
        <v>243</v>
      </c>
      <c r="K3476" s="80" t="s">
        <v>21</v>
      </c>
      <c r="L3476" s="30" t="s">
        <v>191</v>
      </c>
      <c r="M3476" s="68">
        <v>7</v>
      </c>
      <c r="N3476" s="181" t="str">
        <f t="shared" si="55"/>
        <v>нет</v>
      </c>
      <c r="O3476" s="23"/>
      <c r="P3476" s="23"/>
      <c r="Q3476" s="106"/>
      <c r="R3476" s="37">
        <v>801</v>
      </c>
      <c r="S3476" s="38" t="s">
        <v>1210</v>
      </c>
      <c r="T3476" s="37">
        <v>1816</v>
      </c>
      <c r="U3476" s="39" t="s">
        <v>2034</v>
      </c>
      <c r="V3476" s="89" t="s">
        <v>272</v>
      </c>
      <c r="W3476" s="86" t="s">
        <v>138</v>
      </c>
      <c r="X3476" s="106" t="s">
        <v>297</v>
      </c>
      <c r="Y3476" s="107" t="s">
        <v>12</v>
      </c>
      <c r="Z3476" s="67">
        <f>IF(База_КР_КК[[#This Row],[Таб.номер резервиста]]="-","-",IF(OR(База_КР_КК[[#This Row],[Уровень КК]]=2,База_КР_КК[[#This Row],[Уровень КК]]=3),IF(COUNTIFS($U$2:$U3476,$U3476,$F$2:$F3476,$F3476)=1,1,0),IF(COUNTIFS($U$2:$U3476,$U3476,$L$2:$L3476,$L3476)=1,1,0)))</f>
        <v>0</v>
      </c>
      <c r="AA34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6" s="106"/>
      <c r="AC3476" s="51"/>
      <c r="AD3476" s="106" t="s">
        <v>17</v>
      </c>
      <c r="AE3476" s="38" t="s">
        <v>378</v>
      </c>
    </row>
    <row r="3477" spans="1:31" ht="18" customHeight="1" x14ac:dyDescent="0.25">
      <c r="A34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7" s="79">
        <v>3</v>
      </c>
      <c r="C3477" s="23">
        <v>44740</v>
      </c>
      <c r="D3477" s="67">
        <f>IF(COUNTIF($G$2:$G3477,$G3477)=1,1,0)</f>
        <v>1</v>
      </c>
      <c r="E3477" s="67" t="str">
        <f>IFERROR(VLOOKUP(База_КР_КК[[#This Row],[ИД штатной должности (S)]],'уровень защищенности'!$B$7:$F$1095,5,0),"не защищена")</f>
        <v>низкий</v>
      </c>
      <c r="F3477" s="68">
        <v>500539</v>
      </c>
      <c r="G3477" s="74" t="s">
        <v>2983</v>
      </c>
      <c r="H3477" s="181">
        <f>INDEX('Списки данных'!$D$2:$D$1048576,MATCH(База_КР_КК[[#This Row],[Структурное подразделение]],'Списки данных'!$C$2:$C$1048576,0))</f>
        <v>20</v>
      </c>
      <c r="I3477" s="80" t="s">
        <v>143</v>
      </c>
      <c r="J3477" s="80" t="s">
        <v>242</v>
      </c>
      <c r="K3477" s="80" t="s">
        <v>21</v>
      </c>
      <c r="L3477" s="30" t="s">
        <v>198</v>
      </c>
      <c r="M3477" s="68">
        <v>6</v>
      </c>
      <c r="N3477" s="181" t="str">
        <f t="shared" si="55"/>
        <v>нет</v>
      </c>
      <c r="O3477" s="23"/>
      <c r="P3477" s="23"/>
      <c r="Q3477" s="106"/>
      <c r="R3477" s="37">
        <v>802</v>
      </c>
      <c r="S3477" s="39" t="s">
        <v>1211</v>
      </c>
      <c r="T3477" s="37">
        <v>1896</v>
      </c>
      <c r="U3477" s="38" t="s">
        <v>2091</v>
      </c>
      <c r="V3477" s="89" t="s">
        <v>189</v>
      </c>
      <c r="W3477" s="89" t="s">
        <v>143</v>
      </c>
      <c r="X3477" s="106" t="s">
        <v>296</v>
      </c>
      <c r="Y3477" s="107" t="s">
        <v>12</v>
      </c>
      <c r="Z3477" s="67">
        <f>IF(База_КР_КК[[#This Row],[Таб.номер резервиста]]="-","-",IF(OR(База_КР_КК[[#This Row],[Уровень КК]]=2,База_КР_КК[[#This Row],[Уровень КК]]=3),IF(COUNTIFS($U$2:$U3477,$U3477,$F$2:$F3477,$F3477)=1,1,0),IF(COUNTIFS($U$2:$U3477,$U3477,$L$2:$L3477,$L3477)=1,1,0)))</f>
        <v>1</v>
      </c>
      <c r="AA34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7" s="106"/>
      <c r="AC3477" s="51"/>
      <c r="AD3477" s="106" t="s">
        <v>13</v>
      </c>
      <c r="AE3477" s="38" t="s">
        <v>370</v>
      </c>
    </row>
    <row r="3478" spans="1:31" ht="18" customHeight="1" x14ac:dyDescent="0.25">
      <c r="A34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8" s="79">
        <v>3</v>
      </c>
      <c r="C3478" s="23">
        <v>44039</v>
      </c>
      <c r="D3478" s="67">
        <f>IF(COUNTIF($G$2:$G3478,$G3478)=1,1,0)</f>
        <v>0</v>
      </c>
      <c r="E3478" s="67" t="str">
        <f>IFERROR(VLOOKUP(База_КР_КК[[#This Row],[ИД штатной должности (S)]],'уровень защищенности'!$B$7:$F$1095,5,0),"не защищена")</f>
        <v>низкий</v>
      </c>
      <c r="F3478" s="68">
        <v>500539</v>
      </c>
      <c r="G3478" s="74" t="s">
        <v>2983</v>
      </c>
      <c r="H3478" s="181">
        <f>INDEX('Списки данных'!$D$2:$D$1048576,MATCH(База_КР_КК[[#This Row],[Структурное подразделение]],'Списки данных'!$C$2:$C$1048576,0))</f>
        <v>20</v>
      </c>
      <c r="I3478" s="80" t="s">
        <v>143</v>
      </c>
      <c r="J3478" s="80" t="s">
        <v>242</v>
      </c>
      <c r="K3478" s="80" t="s">
        <v>21</v>
      </c>
      <c r="L3478" s="30" t="s">
        <v>198</v>
      </c>
      <c r="M3478" s="68">
        <v>6</v>
      </c>
      <c r="N3478" s="181" t="str">
        <f t="shared" si="55"/>
        <v>нет</v>
      </c>
      <c r="O3478" s="23"/>
      <c r="P3478" s="23"/>
      <c r="Q3478" s="106"/>
      <c r="R3478" s="37">
        <v>802</v>
      </c>
      <c r="S3478" s="39" t="s">
        <v>1211</v>
      </c>
      <c r="T3478" s="37">
        <v>1724</v>
      </c>
      <c r="U3478" s="39" t="s">
        <v>1868</v>
      </c>
      <c r="V3478" s="89" t="s">
        <v>189</v>
      </c>
      <c r="W3478" s="89" t="s">
        <v>143</v>
      </c>
      <c r="X3478" s="106" t="s">
        <v>296</v>
      </c>
      <c r="Y3478" s="107" t="s">
        <v>18</v>
      </c>
      <c r="Z3478" s="67">
        <f>IF(База_КР_КК[[#This Row],[Таб.номер резервиста]]="-","-",IF(OR(База_КР_КК[[#This Row],[Уровень КК]]=2,База_КР_КК[[#This Row],[Уровень КК]]=3),IF(COUNTIFS($U$2:$U3478,$U3478,$F$2:$F3478,$F3478)=1,1,0),IF(COUNTIFS($U$2:$U3478,$U3478,$L$2:$L3478,$L3478)=1,1,0)))</f>
        <v>1</v>
      </c>
      <c r="AA34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8" s="106" t="s">
        <v>38</v>
      </c>
      <c r="AC3478" s="51">
        <v>44740</v>
      </c>
      <c r="AD3478" s="106" t="s">
        <v>31</v>
      </c>
      <c r="AE3478" s="38" t="s">
        <v>370</v>
      </c>
    </row>
    <row r="3479" spans="1:31" ht="18" customHeight="1" x14ac:dyDescent="0.25">
      <c r="A34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79" s="79">
        <v>4</v>
      </c>
      <c r="C3479" s="23">
        <v>44116</v>
      </c>
      <c r="D3479" s="67">
        <f>IF(COUNTIF($G$2:$G3479,$G3479)=1,1,0)</f>
        <v>1</v>
      </c>
      <c r="E3479" s="67" t="str">
        <f>IFERROR(VLOOKUP(База_КР_КК[[#This Row],[ИД штатной должности (S)]],'уровень защищенности'!$B$7:$F$1095,5,0),"не защищена")</f>
        <v>низкий</v>
      </c>
      <c r="F3479" s="68">
        <v>500540</v>
      </c>
      <c r="G3479" s="74" t="s">
        <v>2984</v>
      </c>
      <c r="H3479" s="181">
        <f>INDEX('Списки данных'!$D$2:$D$1048576,MATCH(База_КР_КК[[#This Row],[Структурное подразделение]],'Списки данных'!$C$2:$C$1048576,0))</f>
        <v>20</v>
      </c>
      <c r="I3479" s="80" t="s">
        <v>143</v>
      </c>
      <c r="J3479" s="80" t="s">
        <v>242</v>
      </c>
      <c r="K3479" s="80" t="s">
        <v>21</v>
      </c>
      <c r="L3479" s="30" t="s">
        <v>191</v>
      </c>
      <c r="M3479" s="68">
        <v>7</v>
      </c>
      <c r="N3479" s="181" t="str">
        <f t="shared" si="55"/>
        <v>нет</v>
      </c>
      <c r="O3479" s="23"/>
      <c r="P3479" s="23"/>
      <c r="Q3479" s="106"/>
      <c r="R3479" s="37">
        <v>803</v>
      </c>
      <c r="S3479" s="38" t="s">
        <v>1212</v>
      </c>
      <c r="T3479" s="37">
        <v>1897</v>
      </c>
      <c r="U3479" s="39" t="s">
        <v>1582</v>
      </c>
      <c r="V3479" s="89" t="s">
        <v>272</v>
      </c>
      <c r="W3479" s="89" t="s">
        <v>143</v>
      </c>
      <c r="X3479" s="106" t="s">
        <v>296</v>
      </c>
      <c r="Y3479" s="107" t="s">
        <v>12</v>
      </c>
      <c r="Z3479" s="67">
        <f>IF(База_КР_КК[[#This Row],[Таб.номер резервиста]]="-","-",IF(OR(База_КР_КК[[#This Row],[Уровень КК]]=2,База_КР_КК[[#This Row],[Уровень КК]]=3),IF(COUNTIFS($U$2:$U3479,$U3479,$F$2:$F3479,$F3479)=1,1,0),IF(COUNTIFS($U$2:$U3479,$U3479,$L$2:$L3479,$L3479)=1,1,0)))</f>
        <v>0</v>
      </c>
      <c r="AA34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79" s="106"/>
      <c r="AC3479" s="51"/>
      <c r="AD3479" s="106" t="s">
        <v>13</v>
      </c>
      <c r="AE3479" s="38" t="s">
        <v>371</v>
      </c>
    </row>
    <row r="3480" spans="1:31" ht="18" customHeight="1" x14ac:dyDescent="0.25">
      <c r="A34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0" s="79">
        <v>4</v>
      </c>
      <c r="C3480" s="23">
        <v>44116</v>
      </c>
      <c r="D3480" s="67">
        <f>IF(COUNTIF($G$2:$G3480,$G3480)=1,1,0)</f>
        <v>0</v>
      </c>
      <c r="E3480" s="67" t="str">
        <f>IFERROR(VLOOKUP(База_КР_КК[[#This Row],[ИД штатной должности (S)]],'уровень защищенности'!$B$7:$F$1095,5,0),"не защищена")</f>
        <v>низкий</v>
      </c>
      <c r="F3480" s="68">
        <v>500540</v>
      </c>
      <c r="G3480" s="74" t="s">
        <v>2984</v>
      </c>
      <c r="H3480" s="181">
        <f>INDEX('Списки данных'!$D$2:$D$1048576,MATCH(База_КР_КК[[#This Row],[Структурное подразделение]],'Списки данных'!$C$2:$C$1048576,0))</f>
        <v>20</v>
      </c>
      <c r="I3480" s="80" t="s">
        <v>143</v>
      </c>
      <c r="J3480" s="80" t="s">
        <v>242</v>
      </c>
      <c r="K3480" s="80" t="s">
        <v>21</v>
      </c>
      <c r="L3480" s="30" t="s">
        <v>191</v>
      </c>
      <c r="M3480" s="68">
        <v>7</v>
      </c>
      <c r="N3480" s="181" t="str">
        <f t="shared" si="55"/>
        <v>нет</v>
      </c>
      <c r="O3480" s="23"/>
      <c r="P3480" s="23"/>
      <c r="Q3480" s="106"/>
      <c r="R3480" s="37">
        <v>803</v>
      </c>
      <c r="S3480" s="38" t="s">
        <v>1212</v>
      </c>
      <c r="T3480" s="37">
        <v>1898</v>
      </c>
      <c r="U3480" s="39" t="s">
        <v>2092</v>
      </c>
      <c r="V3480" s="89" t="s">
        <v>272</v>
      </c>
      <c r="W3480" s="89" t="s">
        <v>143</v>
      </c>
      <c r="X3480" s="106" t="s">
        <v>296</v>
      </c>
      <c r="Y3480" s="107" t="s">
        <v>12</v>
      </c>
      <c r="Z3480" s="67">
        <f>IF(База_КР_КК[[#This Row],[Таб.номер резервиста]]="-","-",IF(OR(База_КР_КК[[#This Row],[Уровень КК]]=2,База_КР_КК[[#This Row],[Уровень КК]]=3),IF(COUNTIFS($U$2:$U3480,$U3480,$F$2:$F3480,$F3480)=1,1,0),IF(COUNTIFS($U$2:$U3480,$U3480,$L$2:$L3480,$L3480)=1,1,0)))</f>
        <v>1</v>
      </c>
      <c r="AA34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0" s="106"/>
      <c r="AC3480" s="51"/>
      <c r="AD3480" s="106" t="s">
        <v>13</v>
      </c>
      <c r="AE3480" s="38" t="s">
        <v>371</v>
      </c>
    </row>
    <row r="3481" spans="1:31" ht="18" customHeight="1" x14ac:dyDescent="0.25">
      <c r="A34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1" s="79">
        <v>4</v>
      </c>
      <c r="C3481" s="23">
        <v>44116</v>
      </c>
      <c r="D3481" s="67">
        <f>IF(COUNTIF($G$2:$G3481,$G3481)=1,1,0)</f>
        <v>0</v>
      </c>
      <c r="E3481" s="67" t="str">
        <f>IFERROR(VLOOKUP(База_КР_КК[[#This Row],[ИД штатной должности (S)]],'уровень защищенности'!$B$7:$F$1095,5,0),"не защищена")</f>
        <v>низкий</v>
      </c>
      <c r="F3481" s="68">
        <v>500540</v>
      </c>
      <c r="G3481" s="74" t="s">
        <v>2984</v>
      </c>
      <c r="H3481" s="181">
        <f>INDEX('Списки данных'!$D$2:$D$1048576,MATCH(База_КР_КК[[#This Row],[Структурное подразделение]],'Списки данных'!$C$2:$C$1048576,0))</f>
        <v>20</v>
      </c>
      <c r="I3481" s="80" t="s">
        <v>143</v>
      </c>
      <c r="J3481" s="80" t="s">
        <v>242</v>
      </c>
      <c r="K3481" s="80" t="s">
        <v>21</v>
      </c>
      <c r="L3481" s="30" t="s">
        <v>191</v>
      </c>
      <c r="M3481" s="68">
        <v>7</v>
      </c>
      <c r="N3481" s="181" t="str">
        <f t="shared" si="55"/>
        <v>нет</v>
      </c>
      <c r="O3481" s="23"/>
      <c r="P3481" s="23"/>
      <c r="Q3481" s="106"/>
      <c r="R3481" s="37">
        <v>803</v>
      </c>
      <c r="S3481" s="38" t="s">
        <v>1212</v>
      </c>
      <c r="T3481" s="37">
        <v>1899</v>
      </c>
      <c r="U3481" s="39" t="s">
        <v>2093</v>
      </c>
      <c r="V3481" s="89" t="s">
        <v>272</v>
      </c>
      <c r="W3481" s="89" t="s">
        <v>143</v>
      </c>
      <c r="X3481" s="106" t="s">
        <v>296</v>
      </c>
      <c r="Y3481" s="107" t="s">
        <v>12</v>
      </c>
      <c r="Z3481" s="67">
        <f>IF(База_КР_КК[[#This Row],[Таб.номер резервиста]]="-","-",IF(OR(База_КР_КК[[#This Row],[Уровень КК]]=2,База_КР_КК[[#This Row],[Уровень КК]]=3),IF(COUNTIFS($U$2:$U3481,$U3481,$F$2:$F3481,$F3481)=1,1,0),IF(COUNTIFS($U$2:$U3481,$U3481,$L$2:$L3481,$L3481)=1,1,0)))</f>
        <v>1</v>
      </c>
      <c r="AA34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1" s="106"/>
      <c r="AC3481" s="51"/>
      <c r="AD3481" s="106" t="s">
        <v>13</v>
      </c>
      <c r="AE3481" s="38" t="s">
        <v>371</v>
      </c>
    </row>
    <row r="3482" spans="1:31" ht="18" customHeight="1" x14ac:dyDescent="0.25">
      <c r="A34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2" s="79">
        <v>4</v>
      </c>
      <c r="C3482" s="23">
        <v>44467</v>
      </c>
      <c r="D3482" s="67">
        <f>IF(COUNTIF($G$2:$G3482,$G3482)=1,1,0)</f>
        <v>0</v>
      </c>
      <c r="E3482" s="67" t="str">
        <f>IFERROR(VLOOKUP(База_КР_КК[[#This Row],[ИД штатной должности (S)]],'уровень защищенности'!$B$7:$F$1095,5,0),"не защищена")</f>
        <v>низкий</v>
      </c>
      <c r="F3482" s="68">
        <v>500540</v>
      </c>
      <c r="G3482" s="74" t="s">
        <v>2984</v>
      </c>
      <c r="H3482" s="181">
        <f>INDEX('Списки данных'!$D$2:$D$1048576,MATCH(База_КР_КК[[#This Row],[Структурное подразделение]],'Списки данных'!$C$2:$C$1048576,0))</f>
        <v>20</v>
      </c>
      <c r="I3482" s="80" t="s">
        <v>143</v>
      </c>
      <c r="J3482" s="80" t="s">
        <v>242</v>
      </c>
      <c r="K3482" s="80" t="s">
        <v>21</v>
      </c>
      <c r="L3482" s="30" t="s">
        <v>191</v>
      </c>
      <c r="M3482" s="68">
        <v>7</v>
      </c>
      <c r="N3482" s="181" t="str">
        <f t="shared" si="55"/>
        <v>нет</v>
      </c>
      <c r="O3482" s="23"/>
      <c r="P3482" s="23"/>
      <c r="Q3482" s="106"/>
      <c r="R3482" s="37">
        <v>803</v>
      </c>
      <c r="S3482" s="38" t="s">
        <v>1212</v>
      </c>
      <c r="T3482" s="37">
        <v>1900</v>
      </c>
      <c r="U3482" s="39" t="s">
        <v>2094</v>
      </c>
      <c r="V3482" s="89" t="s">
        <v>272</v>
      </c>
      <c r="W3482" s="89" t="s">
        <v>143</v>
      </c>
      <c r="X3482" s="106" t="s">
        <v>296</v>
      </c>
      <c r="Y3482" s="107" t="s">
        <v>12</v>
      </c>
      <c r="Z3482" s="67">
        <f>IF(База_КР_КК[[#This Row],[Таб.номер резервиста]]="-","-",IF(OR(База_КР_КК[[#This Row],[Уровень КК]]=2,База_КР_КК[[#This Row],[Уровень КК]]=3),IF(COUNTIFS($U$2:$U3482,$U3482,$F$2:$F3482,$F3482)=1,1,0),IF(COUNTIFS($U$2:$U3482,$U3482,$L$2:$L3482,$L3482)=1,1,0)))</f>
        <v>1</v>
      </c>
      <c r="AA34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2" s="106"/>
      <c r="AC3482" s="51"/>
      <c r="AD3482" s="106" t="s">
        <v>13</v>
      </c>
      <c r="AE3482" s="38" t="s">
        <v>371</v>
      </c>
    </row>
    <row r="3483" spans="1:31" ht="18" customHeight="1" x14ac:dyDescent="0.25">
      <c r="A34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3" s="79">
        <v>4</v>
      </c>
      <c r="C3483" s="23">
        <v>44116</v>
      </c>
      <c r="D3483" s="67">
        <f>IF(COUNTIF($G$2:$G3483,$G3483)=1,1,0)</f>
        <v>0</v>
      </c>
      <c r="E3483" s="67" t="str">
        <f>IFERROR(VLOOKUP(База_КР_КК[[#This Row],[ИД штатной должности (S)]],'уровень защищенности'!$B$7:$F$1095,5,0),"не защищена")</f>
        <v>низкий</v>
      </c>
      <c r="F3483" s="68">
        <v>500540</v>
      </c>
      <c r="G3483" s="74" t="s">
        <v>2984</v>
      </c>
      <c r="H3483" s="181">
        <f>INDEX('Списки данных'!$D$2:$D$1048576,MATCH(База_КР_КК[[#This Row],[Структурное подразделение]],'Списки данных'!$C$2:$C$1048576,0))</f>
        <v>20</v>
      </c>
      <c r="I3483" s="80" t="s">
        <v>143</v>
      </c>
      <c r="J3483" s="80" t="s">
        <v>242</v>
      </c>
      <c r="K3483" s="80" t="s">
        <v>21</v>
      </c>
      <c r="L3483" s="30" t="s">
        <v>191</v>
      </c>
      <c r="M3483" s="68">
        <v>7</v>
      </c>
      <c r="N3483" s="181" t="str">
        <f t="shared" si="55"/>
        <v>нет</v>
      </c>
      <c r="O3483" s="23"/>
      <c r="P3483" s="23"/>
      <c r="Q3483" s="106"/>
      <c r="R3483" s="37">
        <v>803</v>
      </c>
      <c r="S3483" s="38" t="s">
        <v>1212</v>
      </c>
      <c r="T3483" s="37">
        <v>1901</v>
      </c>
      <c r="U3483" s="39" t="s">
        <v>2095</v>
      </c>
      <c r="V3483" s="89" t="s">
        <v>272</v>
      </c>
      <c r="W3483" s="89" t="s">
        <v>143</v>
      </c>
      <c r="X3483" s="106" t="s">
        <v>296</v>
      </c>
      <c r="Y3483" s="107" t="s">
        <v>18</v>
      </c>
      <c r="Z3483" s="67">
        <f>IF(База_КР_КК[[#This Row],[Таб.номер резервиста]]="-","-",IF(OR(База_КР_КК[[#This Row],[Уровень КК]]=2,База_КР_КК[[#This Row],[Уровень КК]]=3),IF(COUNTIFS($U$2:$U3483,$U3483,$F$2:$F3483,$F3483)=1,1,0),IF(COUNTIFS($U$2:$U3483,$U3483,$L$2:$L3483,$L3483)=1,1,0)))</f>
        <v>1</v>
      </c>
      <c r="AA34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3" s="106" t="s">
        <v>19</v>
      </c>
      <c r="AC3483" s="51">
        <v>44999</v>
      </c>
      <c r="AD3483" s="106" t="s">
        <v>13</v>
      </c>
      <c r="AE3483" s="38" t="s">
        <v>371</v>
      </c>
    </row>
    <row r="3484" spans="1:31" ht="18" customHeight="1" x14ac:dyDescent="0.25">
      <c r="A34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4" s="79">
        <v>4</v>
      </c>
      <c r="C3484" s="23">
        <v>44116</v>
      </c>
      <c r="D3484" s="67">
        <f>IF(COUNTIF($G$2:$G3484,$G3484)=1,1,0)</f>
        <v>0</v>
      </c>
      <c r="E3484" s="67" t="str">
        <f>IFERROR(VLOOKUP(База_КР_КК[[#This Row],[ИД штатной должности (S)]],'уровень защищенности'!$B$7:$F$1095,5,0),"не защищена")</f>
        <v>низкий</v>
      </c>
      <c r="F3484" s="68">
        <v>500540</v>
      </c>
      <c r="G3484" s="74" t="s">
        <v>2984</v>
      </c>
      <c r="H3484" s="181">
        <f>INDEX('Списки данных'!$D$2:$D$1048576,MATCH(База_КР_КК[[#This Row],[Структурное подразделение]],'Списки данных'!$C$2:$C$1048576,0))</f>
        <v>20</v>
      </c>
      <c r="I3484" s="80" t="s">
        <v>143</v>
      </c>
      <c r="J3484" s="80" t="s">
        <v>242</v>
      </c>
      <c r="K3484" s="80" t="s">
        <v>21</v>
      </c>
      <c r="L3484" s="30" t="s">
        <v>191</v>
      </c>
      <c r="M3484" s="68">
        <v>7</v>
      </c>
      <c r="N3484" s="181" t="str">
        <f t="shared" si="55"/>
        <v>нет</v>
      </c>
      <c r="O3484" s="23"/>
      <c r="P3484" s="23"/>
      <c r="Q3484" s="106"/>
      <c r="R3484" s="37">
        <v>803</v>
      </c>
      <c r="S3484" s="38" t="s">
        <v>1212</v>
      </c>
      <c r="T3484" s="37">
        <v>1902</v>
      </c>
      <c r="U3484" s="39" t="s">
        <v>1925</v>
      </c>
      <c r="V3484" s="69" t="s">
        <v>272</v>
      </c>
      <c r="W3484" s="89" t="s">
        <v>143</v>
      </c>
      <c r="X3484" s="106" t="s">
        <v>296</v>
      </c>
      <c r="Y3484" s="107" t="s">
        <v>18</v>
      </c>
      <c r="Z3484" s="67">
        <f>IF(База_КР_КК[[#This Row],[Таб.номер резервиста]]="-","-",IF(OR(База_КР_КК[[#This Row],[Уровень КК]]=2,База_КР_КК[[#This Row],[Уровень КК]]=3),IF(COUNTIFS($U$2:$U3484,$U3484,$F$2:$F3484,$F3484)=1,1,0),IF(COUNTIFS($U$2:$U3484,$U3484,$L$2:$L3484,$L3484)=1,1,0)))</f>
        <v>0</v>
      </c>
      <c r="AA34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4" s="106" t="s">
        <v>19</v>
      </c>
      <c r="AC3484" s="51">
        <v>44547</v>
      </c>
      <c r="AD3484" s="106" t="s">
        <v>15</v>
      </c>
      <c r="AE3484" s="38" t="s">
        <v>373</v>
      </c>
    </row>
    <row r="3485" spans="1:31" ht="18" customHeight="1" x14ac:dyDescent="0.25">
      <c r="A34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5" s="79">
        <v>4</v>
      </c>
      <c r="C3485" s="23">
        <v>44467</v>
      </c>
      <c r="D3485" s="67">
        <f>IF(COUNTIF($G$2:$G3485,$G3485)=1,1,0)</f>
        <v>0</v>
      </c>
      <c r="E3485" s="67" t="str">
        <f>IFERROR(VLOOKUP(База_КР_КК[[#This Row],[ИД штатной должности (S)]],'уровень защищенности'!$B$7:$F$1095,5,0),"не защищена")</f>
        <v>низкий</v>
      </c>
      <c r="F3485" s="68">
        <v>500540</v>
      </c>
      <c r="G3485" s="74" t="s">
        <v>2984</v>
      </c>
      <c r="H3485" s="181">
        <f>INDEX('Списки данных'!$D$2:$D$1048576,MATCH(База_КР_КК[[#This Row],[Структурное подразделение]],'Списки данных'!$C$2:$C$1048576,0))</f>
        <v>20</v>
      </c>
      <c r="I3485" s="80" t="s">
        <v>143</v>
      </c>
      <c r="J3485" s="80" t="s">
        <v>242</v>
      </c>
      <c r="K3485" s="80" t="s">
        <v>21</v>
      </c>
      <c r="L3485" s="30" t="s">
        <v>191</v>
      </c>
      <c r="M3485" s="68">
        <v>7</v>
      </c>
      <c r="N3485" s="181" t="str">
        <f t="shared" si="55"/>
        <v>нет</v>
      </c>
      <c r="O3485" s="23"/>
      <c r="P3485" s="23"/>
      <c r="Q3485" s="106"/>
      <c r="R3485" s="37">
        <v>803</v>
      </c>
      <c r="S3485" s="38" t="s">
        <v>1212</v>
      </c>
      <c r="T3485" s="37">
        <v>1903</v>
      </c>
      <c r="U3485" s="39" t="s">
        <v>2013</v>
      </c>
      <c r="V3485" s="69" t="s">
        <v>192</v>
      </c>
      <c r="W3485" s="89" t="s">
        <v>143</v>
      </c>
      <c r="X3485" s="106" t="s">
        <v>296</v>
      </c>
      <c r="Y3485" s="107" t="s">
        <v>18</v>
      </c>
      <c r="Z3485" s="67">
        <f>IF(База_КР_КК[[#This Row],[Таб.номер резервиста]]="-","-",IF(OR(База_КР_КК[[#This Row],[Уровень КК]]=2,База_КР_КК[[#This Row],[Уровень КК]]=3),IF(COUNTIFS($U$2:$U3485,$U3485,$F$2:$F3485,$F3485)=1,1,0),IF(COUNTIFS($U$2:$U3485,$U3485,$L$2:$L3485,$L3485)=1,1,0)))</f>
        <v>1</v>
      </c>
      <c r="AA34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5" s="106" t="s">
        <v>38</v>
      </c>
      <c r="AC3485" s="51">
        <v>44855</v>
      </c>
      <c r="AD3485" s="106" t="s">
        <v>31</v>
      </c>
      <c r="AE3485" s="38" t="s">
        <v>371</v>
      </c>
    </row>
    <row r="3486" spans="1:31" ht="18" customHeight="1" x14ac:dyDescent="0.25">
      <c r="A34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6" s="79">
        <v>4</v>
      </c>
      <c r="C3486" s="23">
        <v>44116</v>
      </c>
      <c r="D3486" s="67">
        <f>IF(COUNTIF($G$2:$G3486,$G3486)=1,1,0)</f>
        <v>1</v>
      </c>
      <c r="E3486" s="67" t="str">
        <f>IFERROR(VLOOKUP(База_КР_КК[[#This Row],[ИД штатной должности (S)]],'уровень защищенности'!$B$7:$F$1095,5,0),"не защищена")</f>
        <v>низкий</v>
      </c>
      <c r="F3486" s="68">
        <v>500540</v>
      </c>
      <c r="G3486" s="74" t="s">
        <v>2985</v>
      </c>
      <c r="H3486" s="181">
        <f>INDEX('Списки данных'!$D$2:$D$1048576,MATCH(База_КР_КК[[#This Row],[Структурное подразделение]],'Списки данных'!$C$2:$C$1048576,0))</f>
        <v>20</v>
      </c>
      <c r="I3486" s="80" t="s">
        <v>143</v>
      </c>
      <c r="J3486" s="80" t="s">
        <v>242</v>
      </c>
      <c r="K3486" s="80" t="s">
        <v>21</v>
      </c>
      <c r="L3486" s="30" t="s">
        <v>191</v>
      </c>
      <c r="M3486" s="68">
        <v>7</v>
      </c>
      <c r="N3486" s="181" t="str">
        <f t="shared" si="55"/>
        <v>нет</v>
      </c>
      <c r="O3486" s="23"/>
      <c r="P3486" s="23"/>
      <c r="Q3486" s="106"/>
      <c r="R3486" s="37">
        <v>804</v>
      </c>
      <c r="S3486" s="38" t="s">
        <v>1213</v>
      </c>
      <c r="T3486" s="37">
        <v>1897</v>
      </c>
      <c r="U3486" s="39" t="s">
        <v>1582</v>
      </c>
      <c r="V3486" s="89" t="s">
        <v>272</v>
      </c>
      <c r="W3486" s="89" t="s">
        <v>143</v>
      </c>
      <c r="X3486" s="106" t="s">
        <v>296</v>
      </c>
      <c r="Y3486" s="107" t="s">
        <v>12</v>
      </c>
      <c r="Z3486" s="67">
        <f>IF(База_КР_КК[[#This Row],[Таб.номер резервиста]]="-","-",IF(OR(База_КР_КК[[#This Row],[Уровень КК]]=2,База_КР_КК[[#This Row],[Уровень КК]]=3),IF(COUNTIFS($U$2:$U3486,$U3486,$F$2:$F3486,$F3486)=1,1,0),IF(COUNTIFS($U$2:$U3486,$U3486,$L$2:$L3486,$L3486)=1,1,0)))</f>
        <v>0</v>
      </c>
      <c r="AA34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6" s="106"/>
      <c r="AC3486" s="51"/>
      <c r="AD3486" s="106" t="s">
        <v>13</v>
      </c>
      <c r="AE3486" s="38" t="s">
        <v>371</v>
      </c>
    </row>
    <row r="3487" spans="1:31" ht="18" customHeight="1" x14ac:dyDescent="0.25">
      <c r="A34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7" s="79">
        <v>4</v>
      </c>
      <c r="C3487" s="23">
        <v>44116</v>
      </c>
      <c r="D3487" s="67">
        <f>IF(COUNTIF($G$2:$G3487,$G3487)=1,1,0)</f>
        <v>0</v>
      </c>
      <c r="E3487" s="67" t="str">
        <f>IFERROR(VLOOKUP(База_КР_КК[[#This Row],[ИД штатной должности (S)]],'уровень защищенности'!$B$7:$F$1095,5,0),"не защищена")</f>
        <v>низкий</v>
      </c>
      <c r="F3487" s="68">
        <v>500540</v>
      </c>
      <c r="G3487" s="74" t="s">
        <v>2985</v>
      </c>
      <c r="H3487" s="181">
        <f>INDEX('Списки данных'!$D$2:$D$1048576,MATCH(База_КР_КК[[#This Row],[Структурное подразделение]],'Списки данных'!$C$2:$C$1048576,0))</f>
        <v>20</v>
      </c>
      <c r="I3487" s="80" t="s">
        <v>143</v>
      </c>
      <c r="J3487" s="80" t="s">
        <v>242</v>
      </c>
      <c r="K3487" s="80" t="s">
        <v>21</v>
      </c>
      <c r="L3487" s="30" t="s">
        <v>191</v>
      </c>
      <c r="M3487" s="68">
        <v>7</v>
      </c>
      <c r="N3487" s="181" t="str">
        <f t="shared" si="55"/>
        <v>нет</v>
      </c>
      <c r="O3487" s="23"/>
      <c r="P3487" s="23"/>
      <c r="Q3487" s="106"/>
      <c r="R3487" s="37">
        <v>804</v>
      </c>
      <c r="S3487" s="38" t="s">
        <v>1213</v>
      </c>
      <c r="T3487" s="37">
        <v>1898</v>
      </c>
      <c r="U3487" s="39" t="s">
        <v>2092</v>
      </c>
      <c r="V3487" s="89" t="s">
        <v>272</v>
      </c>
      <c r="W3487" s="89" t="s">
        <v>143</v>
      </c>
      <c r="X3487" s="106" t="s">
        <v>296</v>
      </c>
      <c r="Y3487" s="107" t="s">
        <v>12</v>
      </c>
      <c r="Z3487" s="67">
        <f>IF(База_КР_КК[[#This Row],[Таб.номер резервиста]]="-","-",IF(OR(База_КР_КК[[#This Row],[Уровень КК]]=2,База_КР_КК[[#This Row],[Уровень КК]]=3),IF(COUNTIFS($U$2:$U3487,$U3487,$F$2:$F3487,$F3487)=1,1,0),IF(COUNTIFS($U$2:$U3487,$U3487,$L$2:$L3487,$L3487)=1,1,0)))</f>
        <v>0</v>
      </c>
      <c r="AA34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7" s="106"/>
      <c r="AC3487" s="51"/>
      <c r="AD3487" s="106" t="s">
        <v>13</v>
      </c>
      <c r="AE3487" s="38" t="s">
        <v>371</v>
      </c>
    </row>
    <row r="3488" spans="1:31" ht="18" customHeight="1" x14ac:dyDescent="0.25">
      <c r="A34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8" s="79">
        <v>4</v>
      </c>
      <c r="C3488" s="23">
        <v>44116</v>
      </c>
      <c r="D3488" s="67">
        <f>IF(COUNTIF($G$2:$G3488,$G3488)=1,1,0)</f>
        <v>0</v>
      </c>
      <c r="E3488" s="67" t="str">
        <f>IFERROR(VLOOKUP(База_КР_КК[[#This Row],[ИД штатной должности (S)]],'уровень защищенности'!$B$7:$F$1095,5,0),"не защищена")</f>
        <v>низкий</v>
      </c>
      <c r="F3488" s="68">
        <v>500540</v>
      </c>
      <c r="G3488" s="74" t="s">
        <v>2985</v>
      </c>
      <c r="H3488" s="181">
        <f>INDEX('Списки данных'!$D$2:$D$1048576,MATCH(База_КР_КК[[#This Row],[Структурное подразделение]],'Списки данных'!$C$2:$C$1048576,0))</f>
        <v>20</v>
      </c>
      <c r="I3488" s="80" t="s">
        <v>143</v>
      </c>
      <c r="J3488" s="80" t="s">
        <v>242</v>
      </c>
      <c r="K3488" s="80" t="s">
        <v>21</v>
      </c>
      <c r="L3488" s="30" t="s">
        <v>191</v>
      </c>
      <c r="M3488" s="68">
        <v>7</v>
      </c>
      <c r="N3488" s="181" t="str">
        <f t="shared" si="55"/>
        <v>нет</v>
      </c>
      <c r="O3488" s="23"/>
      <c r="P3488" s="23"/>
      <c r="Q3488" s="106"/>
      <c r="R3488" s="37">
        <v>804</v>
      </c>
      <c r="S3488" s="38" t="s">
        <v>1213</v>
      </c>
      <c r="T3488" s="37">
        <v>1899</v>
      </c>
      <c r="U3488" s="39" t="s">
        <v>2093</v>
      </c>
      <c r="V3488" s="89" t="s">
        <v>272</v>
      </c>
      <c r="W3488" s="89" t="s">
        <v>143</v>
      </c>
      <c r="X3488" s="106" t="s">
        <v>296</v>
      </c>
      <c r="Y3488" s="107" t="s">
        <v>12</v>
      </c>
      <c r="Z3488" s="67">
        <f>IF(База_КР_КК[[#This Row],[Таб.номер резервиста]]="-","-",IF(OR(База_КР_КК[[#This Row],[Уровень КК]]=2,База_КР_КК[[#This Row],[Уровень КК]]=3),IF(COUNTIFS($U$2:$U3488,$U3488,$F$2:$F3488,$F3488)=1,1,0),IF(COUNTIFS($U$2:$U3488,$U3488,$L$2:$L3488,$L3488)=1,1,0)))</f>
        <v>0</v>
      </c>
      <c r="AA34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8" s="106"/>
      <c r="AC3488" s="51"/>
      <c r="AD3488" s="106" t="s">
        <v>13</v>
      </c>
      <c r="AE3488" s="38" t="s">
        <v>371</v>
      </c>
    </row>
    <row r="3489" spans="1:31" ht="18" customHeight="1" x14ac:dyDescent="0.25">
      <c r="A34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89" s="79">
        <v>4</v>
      </c>
      <c r="C3489" s="23">
        <v>44467</v>
      </c>
      <c r="D3489" s="67">
        <f>IF(COUNTIF($G$2:$G3489,$G3489)=1,1,0)</f>
        <v>0</v>
      </c>
      <c r="E3489" s="67" t="str">
        <f>IFERROR(VLOOKUP(База_КР_КК[[#This Row],[ИД штатной должности (S)]],'уровень защищенности'!$B$7:$F$1095,5,0),"не защищена")</f>
        <v>низкий</v>
      </c>
      <c r="F3489" s="68">
        <v>500540</v>
      </c>
      <c r="G3489" s="74" t="s">
        <v>2985</v>
      </c>
      <c r="H3489" s="181">
        <f>INDEX('Списки данных'!$D$2:$D$1048576,MATCH(База_КР_КК[[#This Row],[Структурное подразделение]],'Списки данных'!$C$2:$C$1048576,0))</f>
        <v>20</v>
      </c>
      <c r="I3489" s="80" t="s">
        <v>143</v>
      </c>
      <c r="J3489" s="80" t="s">
        <v>242</v>
      </c>
      <c r="K3489" s="80" t="s">
        <v>21</v>
      </c>
      <c r="L3489" s="30" t="s">
        <v>191</v>
      </c>
      <c r="M3489" s="68">
        <v>7</v>
      </c>
      <c r="N3489" s="181" t="str">
        <f t="shared" si="55"/>
        <v>нет</v>
      </c>
      <c r="O3489" s="23"/>
      <c r="P3489" s="23"/>
      <c r="Q3489" s="106"/>
      <c r="R3489" s="37">
        <v>804</v>
      </c>
      <c r="S3489" s="38" t="s">
        <v>1213</v>
      </c>
      <c r="T3489" s="37">
        <v>1900</v>
      </c>
      <c r="U3489" s="39" t="s">
        <v>2094</v>
      </c>
      <c r="V3489" s="89" t="s">
        <v>272</v>
      </c>
      <c r="W3489" s="89" t="s">
        <v>143</v>
      </c>
      <c r="X3489" s="106" t="s">
        <v>296</v>
      </c>
      <c r="Y3489" s="107" t="s">
        <v>12</v>
      </c>
      <c r="Z3489" s="67">
        <f>IF(База_КР_КК[[#This Row],[Таб.номер резервиста]]="-","-",IF(OR(База_КР_КК[[#This Row],[Уровень КК]]=2,База_КР_КК[[#This Row],[Уровень КК]]=3),IF(COUNTIFS($U$2:$U3489,$U3489,$F$2:$F3489,$F3489)=1,1,0),IF(COUNTIFS($U$2:$U3489,$U3489,$L$2:$L3489,$L3489)=1,1,0)))</f>
        <v>0</v>
      </c>
      <c r="AA34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89" s="106"/>
      <c r="AC3489" s="51"/>
      <c r="AD3489" s="106" t="s">
        <v>13</v>
      </c>
      <c r="AE3489" s="38" t="s">
        <v>371</v>
      </c>
    </row>
    <row r="3490" spans="1:31" ht="18" customHeight="1" x14ac:dyDescent="0.25">
      <c r="A34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0" s="79">
        <v>4</v>
      </c>
      <c r="C3490" s="23">
        <v>44116</v>
      </c>
      <c r="D3490" s="67">
        <f>IF(COUNTIF($G$2:$G3490,$G3490)=1,1,0)</f>
        <v>0</v>
      </c>
      <c r="E3490" s="67" t="str">
        <f>IFERROR(VLOOKUP(База_КР_КК[[#This Row],[ИД штатной должности (S)]],'уровень защищенности'!$B$7:$F$1095,5,0),"не защищена")</f>
        <v>низкий</v>
      </c>
      <c r="F3490" s="68">
        <v>500540</v>
      </c>
      <c r="G3490" s="74" t="s">
        <v>2985</v>
      </c>
      <c r="H3490" s="181">
        <f>INDEX('Списки данных'!$D$2:$D$1048576,MATCH(База_КР_КК[[#This Row],[Структурное подразделение]],'Списки данных'!$C$2:$C$1048576,0))</f>
        <v>20</v>
      </c>
      <c r="I3490" s="80" t="s">
        <v>143</v>
      </c>
      <c r="J3490" s="80" t="s">
        <v>242</v>
      </c>
      <c r="K3490" s="80" t="s">
        <v>21</v>
      </c>
      <c r="L3490" s="30" t="s">
        <v>191</v>
      </c>
      <c r="M3490" s="68">
        <v>7</v>
      </c>
      <c r="N3490" s="181" t="str">
        <f t="shared" si="55"/>
        <v>нет</v>
      </c>
      <c r="O3490" s="23"/>
      <c r="P3490" s="23"/>
      <c r="Q3490" s="106"/>
      <c r="R3490" s="37">
        <v>804</v>
      </c>
      <c r="S3490" s="38" t="s">
        <v>1213</v>
      </c>
      <c r="T3490" s="37">
        <v>1901</v>
      </c>
      <c r="U3490" s="39" t="s">
        <v>2095</v>
      </c>
      <c r="V3490" s="89" t="s">
        <v>272</v>
      </c>
      <c r="W3490" s="89" t="s">
        <v>143</v>
      </c>
      <c r="X3490" s="106" t="s">
        <v>296</v>
      </c>
      <c r="Y3490" s="107" t="s">
        <v>18</v>
      </c>
      <c r="Z3490" s="67">
        <f>IF(База_КР_КК[[#This Row],[Таб.номер резервиста]]="-","-",IF(OR(База_КР_КК[[#This Row],[Уровень КК]]=2,База_КР_КК[[#This Row],[Уровень КК]]=3),IF(COUNTIFS($U$2:$U3490,$U3490,$F$2:$F3490,$F3490)=1,1,0),IF(COUNTIFS($U$2:$U3490,$U3490,$L$2:$L3490,$L3490)=1,1,0)))</f>
        <v>0</v>
      </c>
      <c r="AA34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0" s="106" t="s">
        <v>19</v>
      </c>
      <c r="AC3490" s="51">
        <v>44999</v>
      </c>
      <c r="AD3490" s="106" t="s">
        <v>13</v>
      </c>
      <c r="AE3490" s="38" t="s">
        <v>371</v>
      </c>
    </row>
    <row r="3491" spans="1:31" ht="18" customHeight="1" x14ac:dyDescent="0.25">
      <c r="A34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1" s="79">
        <v>4</v>
      </c>
      <c r="C3491" s="23">
        <v>44116</v>
      </c>
      <c r="D3491" s="67">
        <f>IF(COUNTIF($G$2:$G3491,$G3491)=1,1,0)</f>
        <v>0</v>
      </c>
      <c r="E3491" s="67" t="str">
        <f>IFERROR(VLOOKUP(База_КР_КК[[#This Row],[ИД штатной должности (S)]],'уровень защищенности'!$B$7:$F$1095,5,0),"не защищена")</f>
        <v>низкий</v>
      </c>
      <c r="F3491" s="68">
        <v>500540</v>
      </c>
      <c r="G3491" s="74" t="s">
        <v>2985</v>
      </c>
      <c r="H3491" s="181">
        <f>INDEX('Списки данных'!$D$2:$D$1048576,MATCH(База_КР_КК[[#This Row],[Структурное подразделение]],'Списки данных'!$C$2:$C$1048576,0))</f>
        <v>20</v>
      </c>
      <c r="I3491" s="80" t="s">
        <v>143</v>
      </c>
      <c r="J3491" s="80" t="s">
        <v>242</v>
      </c>
      <c r="K3491" s="80" t="s">
        <v>21</v>
      </c>
      <c r="L3491" s="30" t="s">
        <v>191</v>
      </c>
      <c r="M3491" s="68">
        <v>7</v>
      </c>
      <c r="N3491" s="181" t="str">
        <f t="shared" si="55"/>
        <v>нет</v>
      </c>
      <c r="O3491" s="23"/>
      <c r="P3491" s="23"/>
      <c r="Q3491" s="106"/>
      <c r="R3491" s="37">
        <v>804</v>
      </c>
      <c r="S3491" s="38" t="s">
        <v>1213</v>
      </c>
      <c r="T3491" s="37">
        <v>1902</v>
      </c>
      <c r="U3491" s="39" t="s">
        <v>1925</v>
      </c>
      <c r="V3491" s="69" t="s">
        <v>272</v>
      </c>
      <c r="W3491" s="89" t="s">
        <v>143</v>
      </c>
      <c r="X3491" s="106" t="s">
        <v>296</v>
      </c>
      <c r="Y3491" s="107" t="s">
        <v>18</v>
      </c>
      <c r="Z3491" s="67">
        <f>IF(База_КР_КК[[#This Row],[Таб.номер резервиста]]="-","-",IF(OR(База_КР_КК[[#This Row],[Уровень КК]]=2,База_КР_КК[[#This Row],[Уровень КК]]=3),IF(COUNTIFS($U$2:$U3491,$U3491,$F$2:$F3491,$F3491)=1,1,0),IF(COUNTIFS($U$2:$U3491,$U3491,$L$2:$L3491,$L3491)=1,1,0)))</f>
        <v>0</v>
      </c>
      <c r="AA34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1" s="106" t="s">
        <v>19</v>
      </c>
      <c r="AC3491" s="51">
        <v>44547</v>
      </c>
      <c r="AD3491" s="106" t="s">
        <v>15</v>
      </c>
      <c r="AE3491" s="38" t="s">
        <v>373</v>
      </c>
    </row>
    <row r="3492" spans="1:31" ht="18" customHeight="1" x14ac:dyDescent="0.25">
      <c r="A34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2" s="79">
        <v>4</v>
      </c>
      <c r="C3492" s="23">
        <v>44467</v>
      </c>
      <c r="D3492" s="67">
        <f>IF(COUNTIF($G$2:$G3492,$G3492)=1,1,0)</f>
        <v>0</v>
      </c>
      <c r="E3492" s="67" t="str">
        <f>IFERROR(VLOOKUP(База_КР_КК[[#This Row],[ИД штатной должности (S)]],'уровень защищенности'!$B$7:$F$1095,5,0),"не защищена")</f>
        <v>низкий</v>
      </c>
      <c r="F3492" s="68">
        <v>500540</v>
      </c>
      <c r="G3492" s="74" t="s">
        <v>2985</v>
      </c>
      <c r="H3492" s="181">
        <f>INDEX('Списки данных'!$D$2:$D$1048576,MATCH(База_КР_КК[[#This Row],[Структурное подразделение]],'Списки данных'!$C$2:$C$1048576,0))</f>
        <v>20</v>
      </c>
      <c r="I3492" s="80" t="s">
        <v>143</v>
      </c>
      <c r="J3492" s="80" t="s">
        <v>242</v>
      </c>
      <c r="K3492" s="80" t="s">
        <v>21</v>
      </c>
      <c r="L3492" s="30" t="s">
        <v>191</v>
      </c>
      <c r="M3492" s="68">
        <v>7</v>
      </c>
      <c r="N3492" s="181" t="str">
        <f t="shared" si="55"/>
        <v>нет</v>
      </c>
      <c r="O3492" s="23"/>
      <c r="P3492" s="23"/>
      <c r="Q3492" s="106"/>
      <c r="R3492" s="37">
        <v>804</v>
      </c>
      <c r="S3492" s="38" t="s">
        <v>1213</v>
      </c>
      <c r="T3492" s="37">
        <v>1903</v>
      </c>
      <c r="U3492" s="39" t="s">
        <v>2013</v>
      </c>
      <c r="V3492" s="69" t="s">
        <v>192</v>
      </c>
      <c r="W3492" s="89" t="s">
        <v>143</v>
      </c>
      <c r="X3492" s="106" t="s">
        <v>296</v>
      </c>
      <c r="Y3492" s="107" t="s">
        <v>18</v>
      </c>
      <c r="Z3492" s="67">
        <f>IF(База_КР_КК[[#This Row],[Таб.номер резервиста]]="-","-",IF(OR(База_КР_КК[[#This Row],[Уровень КК]]=2,База_КР_КК[[#This Row],[Уровень КК]]=3),IF(COUNTIFS($U$2:$U3492,$U3492,$F$2:$F3492,$F3492)=1,1,0),IF(COUNTIFS($U$2:$U3492,$U3492,$L$2:$L3492,$L3492)=1,1,0)))</f>
        <v>0</v>
      </c>
      <c r="AA34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2" s="106" t="s">
        <v>38</v>
      </c>
      <c r="AC3492" s="51">
        <v>44855</v>
      </c>
      <c r="AD3492" s="106" t="s">
        <v>31</v>
      </c>
      <c r="AE3492" s="38" t="s">
        <v>371</v>
      </c>
    </row>
    <row r="3493" spans="1:31" ht="18" customHeight="1" x14ac:dyDescent="0.25">
      <c r="A34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3" s="79">
        <v>4</v>
      </c>
      <c r="C3493" s="23">
        <v>44116</v>
      </c>
      <c r="D3493" s="67">
        <f>IF(COUNTIF($G$2:$G3493,$G3493)=1,1,0)</f>
        <v>1</v>
      </c>
      <c r="E3493" s="67" t="str">
        <f>IFERROR(VLOOKUP(База_КР_КК[[#This Row],[ИД штатной должности (S)]],'уровень защищенности'!$B$7:$F$1095,5,0),"не защищена")</f>
        <v>низкий</v>
      </c>
      <c r="F3493" s="68">
        <v>500540</v>
      </c>
      <c r="G3493" s="74" t="s">
        <v>2986</v>
      </c>
      <c r="H3493" s="181">
        <f>INDEX('Списки данных'!$D$2:$D$1048576,MATCH(База_КР_КК[[#This Row],[Структурное подразделение]],'Списки данных'!$C$2:$C$1048576,0))</f>
        <v>20</v>
      </c>
      <c r="I3493" s="80" t="s">
        <v>143</v>
      </c>
      <c r="J3493" s="80" t="s">
        <v>242</v>
      </c>
      <c r="K3493" s="80" t="s">
        <v>21</v>
      </c>
      <c r="L3493" s="30" t="s">
        <v>191</v>
      </c>
      <c r="M3493" s="68">
        <v>7</v>
      </c>
      <c r="N3493" s="181" t="str">
        <f t="shared" si="55"/>
        <v>нет</v>
      </c>
      <c r="O3493" s="23"/>
      <c r="P3493" s="23"/>
      <c r="Q3493" s="106"/>
      <c r="R3493" s="37">
        <v>805</v>
      </c>
      <c r="S3493" s="38" t="s">
        <v>1214</v>
      </c>
      <c r="T3493" s="37">
        <v>1897</v>
      </c>
      <c r="U3493" s="39" t="s">
        <v>1582</v>
      </c>
      <c r="V3493" s="89" t="s">
        <v>272</v>
      </c>
      <c r="W3493" s="89" t="s">
        <v>143</v>
      </c>
      <c r="X3493" s="106" t="s">
        <v>296</v>
      </c>
      <c r="Y3493" s="107" t="s">
        <v>12</v>
      </c>
      <c r="Z3493" s="67">
        <f>IF(База_КР_КК[[#This Row],[Таб.номер резервиста]]="-","-",IF(OR(База_КР_КК[[#This Row],[Уровень КК]]=2,База_КР_КК[[#This Row],[Уровень КК]]=3),IF(COUNTIFS($U$2:$U3493,$U3493,$F$2:$F3493,$F3493)=1,1,0),IF(COUNTIFS($U$2:$U3493,$U3493,$L$2:$L3493,$L3493)=1,1,0)))</f>
        <v>0</v>
      </c>
      <c r="AA34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3" s="106"/>
      <c r="AC3493" s="51"/>
      <c r="AD3493" s="106" t="s">
        <v>13</v>
      </c>
      <c r="AE3493" s="38" t="s">
        <v>371</v>
      </c>
    </row>
    <row r="3494" spans="1:31" ht="18" customHeight="1" x14ac:dyDescent="0.25">
      <c r="A34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4" s="79">
        <v>4</v>
      </c>
      <c r="C3494" s="23">
        <v>44116</v>
      </c>
      <c r="D3494" s="67">
        <f>IF(COUNTIF($G$2:$G3494,$G3494)=1,1,0)</f>
        <v>0</v>
      </c>
      <c r="E3494" s="67" t="str">
        <f>IFERROR(VLOOKUP(База_КР_КК[[#This Row],[ИД штатной должности (S)]],'уровень защищенности'!$B$7:$F$1095,5,0),"не защищена")</f>
        <v>низкий</v>
      </c>
      <c r="F3494" s="68">
        <v>500540</v>
      </c>
      <c r="G3494" s="74" t="s">
        <v>2986</v>
      </c>
      <c r="H3494" s="181">
        <f>INDEX('Списки данных'!$D$2:$D$1048576,MATCH(База_КР_КК[[#This Row],[Структурное подразделение]],'Списки данных'!$C$2:$C$1048576,0))</f>
        <v>20</v>
      </c>
      <c r="I3494" s="80" t="s">
        <v>143</v>
      </c>
      <c r="J3494" s="80" t="s">
        <v>242</v>
      </c>
      <c r="K3494" s="80" t="s">
        <v>21</v>
      </c>
      <c r="L3494" s="30" t="s">
        <v>191</v>
      </c>
      <c r="M3494" s="68">
        <v>7</v>
      </c>
      <c r="N3494" s="181" t="str">
        <f t="shared" si="55"/>
        <v>нет</v>
      </c>
      <c r="O3494" s="23"/>
      <c r="P3494" s="23"/>
      <c r="Q3494" s="106"/>
      <c r="R3494" s="37">
        <v>805</v>
      </c>
      <c r="S3494" s="38" t="s">
        <v>1214</v>
      </c>
      <c r="T3494" s="37">
        <v>1898</v>
      </c>
      <c r="U3494" s="39" t="s">
        <v>2092</v>
      </c>
      <c r="V3494" s="89" t="s">
        <v>272</v>
      </c>
      <c r="W3494" s="89" t="s">
        <v>143</v>
      </c>
      <c r="X3494" s="106" t="s">
        <v>296</v>
      </c>
      <c r="Y3494" s="107" t="s">
        <v>12</v>
      </c>
      <c r="Z3494" s="67">
        <f>IF(База_КР_КК[[#This Row],[Таб.номер резервиста]]="-","-",IF(OR(База_КР_КК[[#This Row],[Уровень КК]]=2,База_КР_КК[[#This Row],[Уровень КК]]=3),IF(COUNTIFS($U$2:$U3494,$U3494,$F$2:$F3494,$F3494)=1,1,0),IF(COUNTIFS($U$2:$U3494,$U3494,$L$2:$L3494,$L3494)=1,1,0)))</f>
        <v>0</v>
      </c>
      <c r="AA34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4" s="106"/>
      <c r="AC3494" s="51"/>
      <c r="AD3494" s="106" t="s">
        <v>13</v>
      </c>
      <c r="AE3494" s="38" t="s">
        <v>371</v>
      </c>
    </row>
    <row r="3495" spans="1:31" ht="18" customHeight="1" x14ac:dyDescent="0.25">
      <c r="A34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5" s="79">
        <v>4</v>
      </c>
      <c r="C3495" s="23">
        <v>44116</v>
      </c>
      <c r="D3495" s="67">
        <f>IF(COUNTIF($G$2:$G3495,$G3495)=1,1,0)</f>
        <v>0</v>
      </c>
      <c r="E3495" s="67" t="str">
        <f>IFERROR(VLOOKUP(База_КР_КК[[#This Row],[ИД штатной должности (S)]],'уровень защищенности'!$B$7:$F$1095,5,0),"не защищена")</f>
        <v>низкий</v>
      </c>
      <c r="F3495" s="68">
        <v>500540</v>
      </c>
      <c r="G3495" s="74" t="s">
        <v>2986</v>
      </c>
      <c r="H3495" s="181">
        <f>INDEX('Списки данных'!$D$2:$D$1048576,MATCH(База_КР_КК[[#This Row],[Структурное подразделение]],'Списки данных'!$C$2:$C$1048576,0))</f>
        <v>20</v>
      </c>
      <c r="I3495" s="80" t="s">
        <v>143</v>
      </c>
      <c r="J3495" s="80" t="s">
        <v>242</v>
      </c>
      <c r="K3495" s="80" t="s">
        <v>21</v>
      </c>
      <c r="L3495" s="30" t="s">
        <v>191</v>
      </c>
      <c r="M3495" s="68">
        <v>7</v>
      </c>
      <c r="N3495" s="181" t="str">
        <f t="shared" si="55"/>
        <v>нет</v>
      </c>
      <c r="O3495" s="23"/>
      <c r="P3495" s="23"/>
      <c r="Q3495" s="106"/>
      <c r="R3495" s="37">
        <v>805</v>
      </c>
      <c r="S3495" s="38" t="s">
        <v>1214</v>
      </c>
      <c r="T3495" s="37">
        <v>1899</v>
      </c>
      <c r="U3495" s="39" t="s">
        <v>2093</v>
      </c>
      <c r="V3495" s="89" t="s">
        <v>272</v>
      </c>
      <c r="W3495" s="89" t="s">
        <v>143</v>
      </c>
      <c r="X3495" s="106" t="s">
        <v>296</v>
      </c>
      <c r="Y3495" s="107" t="s">
        <v>12</v>
      </c>
      <c r="Z3495" s="67">
        <f>IF(База_КР_КК[[#This Row],[Таб.номер резервиста]]="-","-",IF(OR(База_КР_КК[[#This Row],[Уровень КК]]=2,База_КР_КК[[#This Row],[Уровень КК]]=3),IF(COUNTIFS($U$2:$U3495,$U3495,$F$2:$F3495,$F3495)=1,1,0),IF(COUNTIFS($U$2:$U3495,$U3495,$L$2:$L3495,$L3495)=1,1,0)))</f>
        <v>0</v>
      </c>
      <c r="AA34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5" s="106"/>
      <c r="AC3495" s="51"/>
      <c r="AD3495" s="106" t="s">
        <v>13</v>
      </c>
      <c r="AE3495" s="38" t="s">
        <v>371</v>
      </c>
    </row>
    <row r="3496" spans="1:31" ht="18" customHeight="1" x14ac:dyDescent="0.25">
      <c r="A34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6" s="79">
        <v>4</v>
      </c>
      <c r="C3496" s="23">
        <v>44467</v>
      </c>
      <c r="D3496" s="67">
        <f>IF(COUNTIF($G$2:$G3496,$G3496)=1,1,0)</f>
        <v>0</v>
      </c>
      <c r="E3496" s="67" t="str">
        <f>IFERROR(VLOOKUP(База_КР_КК[[#This Row],[ИД штатной должности (S)]],'уровень защищенности'!$B$7:$F$1095,5,0),"не защищена")</f>
        <v>низкий</v>
      </c>
      <c r="F3496" s="68">
        <v>500540</v>
      </c>
      <c r="G3496" s="74" t="s">
        <v>2986</v>
      </c>
      <c r="H3496" s="181">
        <f>INDEX('Списки данных'!$D$2:$D$1048576,MATCH(База_КР_КК[[#This Row],[Структурное подразделение]],'Списки данных'!$C$2:$C$1048576,0))</f>
        <v>20</v>
      </c>
      <c r="I3496" s="80" t="s">
        <v>143</v>
      </c>
      <c r="J3496" s="80" t="s">
        <v>242</v>
      </c>
      <c r="K3496" s="80" t="s">
        <v>21</v>
      </c>
      <c r="L3496" s="30" t="s">
        <v>191</v>
      </c>
      <c r="M3496" s="68">
        <v>7</v>
      </c>
      <c r="N3496" s="181" t="str">
        <f t="shared" si="55"/>
        <v>нет</v>
      </c>
      <c r="O3496" s="23"/>
      <c r="P3496" s="23"/>
      <c r="Q3496" s="106"/>
      <c r="R3496" s="37">
        <v>805</v>
      </c>
      <c r="S3496" s="38" t="s">
        <v>1214</v>
      </c>
      <c r="T3496" s="37">
        <v>1900</v>
      </c>
      <c r="U3496" s="39" t="s">
        <v>2094</v>
      </c>
      <c r="V3496" s="89" t="s">
        <v>272</v>
      </c>
      <c r="W3496" s="89" t="s">
        <v>143</v>
      </c>
      <c r="X3496" s="106" t="s">
        <v>296</v>
      </c>
      <c r="Y3496" s="107" t="s">
        <v>12</v>
      </c>
      <c r="Z3496" s="67">
        <f>IF(База_КР_КК[[#This Row],[Таб.номер резервиста]]="-","-",IF(OR(База_КР_КК[[#This Row],[Уровень КК]]=2,База_КР_КК[[#This Row],[Уровень КК]]=3),IF(COUNTIFS($U$2:$U3496,$U3496,$F$2:$F3496,$F3496)=1,1,0),IF(COUNTIFS($U$2:$U3496,$U3496,$L$2:$L3496,$L3496)=1,1,0)))</f>
        <v>0</v>
      </c>
      <c r="AA34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6" s="106"/>
      <c r="AC3496" s="51"/>
      <c r="AD3496" s="106" t="s">
        <v>13</v>
      </c>
      <c r="AE3496" s="38" t="s">
        <v>371</v>
      </c>
    </row>
    <row r="3497" spans="1:31" ht="18" customHeight="1" x14ac:dyDescent="0.25">
      <c r="A34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7" s="79">
        <v>4</v>
      </c>
      <c r="C3497" s="23">
        <v>44116</v>
      </c>
      <c r="D3497" s="67">
        <f>IF(COUNTIF($G$2:$G3497,$G3497)=1,1,0)</f>
        <v>0</v>
      </c>
      <c r="E3497" s="67" t="str">
        <f>IFERROR(VLOOKUP(База_КР_КК[[#This Row],[ИД штатной должности (S)]],'уровень защищенности'!$B$7:$F$1095,5,0),"не защищена")</f>
        <v>низкий</v>
      </c>
      <c r="F3497" s="68">
        <v>500540</v>
      </c>
      <c r="G3497" s="74" t="s">
        <v>2986</v>
      </c>
      <c r="H3497" s="181">
        <f>INDEX('Списки данных'!$D$2:$D$1048576,MATCH(База_КР_КК[[#This Row],[Структурное подразделение]],'Списки данных'!$C$2:$C$1048576,0))</f>
        <v>20</v>
      </c>
      <c r="I3497" s="80" t="s">
        <v>143</v>
      </c>
      <c r="J3497" s="80" t="s">
        <v>242</v>
      </c>
      <c r="K3497" s="80" t="s">
        <v>21</v>
      </c>
      <c r="L3497" s="30" t="s">
        <v>191</v>
      </c>
      <c r="M3497" s="68">
        <v>7</v>
      </c>
      <c r="N3497" s="181" t="str">
        <f t="shared" si="55"/>
        <v>нет</v>
      </c>
      <c r="O3497" s="23"/>
      <c r="P3497" s="23"/>
      <c r="Q3497" s="106"/>
      <c r="R3497" s="37">
        <v>805</v>
      </c>
      <c r="S3497" s="38" t="s">
        <v>1214</v>
      </c>
      <c r="T3497" s="37">
        <v>1901</v>
      </c>
      <c r="U3497" s="39" t="s">
        <v>2095</v>
      </c>
      <c r="V3497" s="89" t="s">
        <v>272</v>
      </c>
      <c r="W3497" s="89" t="s">
        <v>143</v>
      </c>
      <c r="X3497" s="106" t="s">
        <v>296</v>
      </c>
      <c r="Y3497" s="107" t="s">
        <v>18</v>
      </c>
      <c r="Z3497" s="67">
        <f>IF(База_КР_КК[[#This Row],[Таб.номер резервиста]]="-","-",IF(OR(База_КР_КК[[#This Row],[Уровень КК]]=2,База_КР_КК[[#This Row],[Уровень КК]]=3),IF(COUNTIFS($U$2:$U3497,$U3497,$F$2:$F3497,$F3497)=1,1,0),IF(COUNTIFS($U$2:$U3497,$U3497,$L$2:$L3497,$L3497)=1,1,0)))</f>
        <v>0</v>
      </c>
      <c r="AA34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7" s="106" t="s">
        <v>19</v>
      </c>
      <c r="AC3497" s="51">
        <v>44999</v>
      </c>
      <c r="AD3497" s="106" t="s">
        <v>13</v>
      </c>
      <c r="AE3497" s="38" t="s">
        <v>371</v>
      </c>
    </row>
    <row r="3498" spans="1:31" ht="18" customHeight="1" x14ac:dyDescent="0.25">
      <c r="A34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8" s="79">
        <v>4</v>
      </c>
      <c r="C3498" s="23">
        <v>44116</v>
      </c>
      <c r="D3498" s="67">
        <f>IF(COUNTIF($G$2:$G3498,$G3498)=1,1,0)</f>
        <v>0</v>
      </c>
      <c r="E3498" s="67" t="str">
        <f>IFERROR(VLOOKUP(База_КР_КК[[#This Row],[ИД штатной должности (S)]],'уровень защищенности'!$B$7:$F$1095,5,0),"не защищена")</f>
        <v>низкий</v>
      </c>
      <c r="F3498" s="68">
        <v>500540</v>
      </c>
      <c r="G3498" s="74" t="s">
        <v>2986</v>
      </c>
      <c r="H3498" s="181">
        <f>INDEX('Списки данных'!$D$2:$D$1048576,MATCH(База_КР_КК[[#This Row],[Структурное подразделение]],'Списки данных'!$C$2:$C$1048576,0))</f>
        <v>20</v>
      </c>
      <c r="I3498" s="80" t="s">
        <v>143</v>
      </c>
      <c r="J3498" s="80" t="s">
        <v>242</v>
      </c>
      <c r="K3498" s="80" t="s">
        <v>21</v>
      </c>
      <c r="L3498" s="30" t="s">
        <v>191</v>
      </c>
      <c r="M3498" s="68">
        <v>7</v>
      </c>
      <c r="N3498" s="181" t="str">
        <f t="shared" si="55"/>
        <v>нет</v>
      </c>
      <c r="O3498" s="23"/>
      <c r="P3498" s="23"/>
      <c r="Q3498" s="106"/>
      <c r="R3498" s="37">
        <v>805</v>
      </c>
      <c r="S3498" s="38" t="s">
        <v>1214</v>
      </c>
      <c r="T3498" s="37">
        <v>1902</v>
      </c>
      <c r="U3498" s="39" t="s">
        <v>1925</v>
      </c>
      <c r="V3498" s="69" t="s">
        <v>272</v>
      </c>
      <c r="W3498" s="89" t="s">
        <v>143</v>
      </c>
      <c r="X3498" s="106" t="s">
        <v>296</v>
      </c>
      <c r="Y3498" s="107" t="s">
        <v>18</v>
      </c>
      <c r="Z3498" s="67">
        <f>IF(База_КР_КК[[#This Row],[Таб.номер резервиста]]="-","-",IF(OR(База_КР_КК[[#This Row],[Уровень КК]]=2,База_КР_КК[[#This Row],[Уровень КК]]=3),IF(COUNTIFS($U$2:$U3498,$U3498,$F$2:$F3498,$F3498)=1,1,0),IF(COUNTIFS($U$2:$U3498,$U3498,$L$2:$L3498,$L3498)=1,1,0)))</f>
        <v>0</v>
      </c>
      <c r="AA34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8" s="106" t="s">
        <v>19</v>
      </c>
      <c r="AC3498" s="51">
        <v>44547</v>
      </c>
      <c r="AD3498" s="106" t="s">
        <v>15</v>
      </c>
      <c r="AE3498" s="38" t="s">
        <v>373</v>
      </c>
    </row>
    <row r="3499" spans="1:31" ht="18" customHeight="1" x14ac:dyDescent="0.25">
      <c r="A34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499" s="79">
        <v>4</v>
      </c>
      <c r="C3499" s="23">
        <v>44467</v>
      </c>
      <c r="D3499" s="67">
        <f>IF(COUNTIF($G$2:$G3499,$G3499)=1,1,0)</f>
        <v>0</v>
      </c>
      <c r="E3499" s="67" t="str">
        <f>IFERROR(VLOOKUP(База_КР_КК[[#This Row],[ИД штатной должности (S)]],'уровень защищенности'!$B$7:$F$1095,5,0),"не защищена")</f>
        <v>низкий</v>
      </c>
      <c r="F3499" s="68">
        <v>500540</v>
      </c>
      <c r="G3499" s="74" t="s">
        <v>2986</v>
      </c>
      <c r="H3499" s="181">
        <f>INDEX('Списки данных'!$D$2:$D$1048576,MATCH(База_КР_КК[[#This Row],[Структурное подразделение]],'Списки данных'!$C$2:$C$1048576,0))</f>
        <v>20</v>
      </c>
      <c r="I3499" s="80" t="s">
        <v>143</v>
      </c>
      <c r="J3499" s="80" t="s">
        <v>242</v>
      </c>
      <c r="K3499" s="80" t="s">
        <v>21</v>
      </c>
      <c r="L3499" s="30" t="s">
        <v>191</v>
      </c>
      <c r="M3499" s="68">
        <v>7</v>
      </c>
      <c r="N3499" s="181" t="str">
        <f t="shared" si="55"/>
        <v>нет</v>
      </c>
      <c r="O3499" s="23"/>
      <c r="P3499" s="23"/>
      <c r="Q3499" s="106"/>
      <c r="R3499" s="37">
        <v>805</v>
      </c>
      <c r="S3499" s="38" t="s">
        <v>1214</v>
      </c>
      <c r="T3499" s="37">
        <v>1903</v>
      </c>
      <c r="U3499" s="39" t="s">
        <v>2013</v>
      </c>
      <c r="V3499" s="69" t="s">
        <v>192</v>
      </c>
      <c r="W3499" s="89" t="s">
        <v>143</v>
      </c>
      <c r="X3499" s="106" t="s">
        <v>296</v>
      </c>
      <c r="Y3499" s="107" t="s">
        <v>18</v>
      </c>
      <c r="Z3499" s="67">
        <f>IF(База_КР_КК[[#This Row],[Таб.номер резервиста]]="-","-",IF(OR(База_КР_КК[[#This Row],[Уровень КК]]=2,База_КР_КК[[#This Row],[Уровень КК]]=3),IF(COUNTIFS($U$2:$U3499,$U3499,$F$2:$F3499,$F3499)=1,1,0),IF(COUNTIFS($U$2:$U3499,$U3499,$L$2:$L3499,$L3499)=1,1,0)))</f>
        <v>0</v>
      </c>
      <c r="AA34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499" s="106" t="s">
        <v>38</v>
      </c>
      <c r="AC3499" s="51">
        <v>44855</v>
      </c>
      <c r="AD3499" s="106" t="s">
        <v>31</v>
      </c>
      <c r="AE3499" s="38" t="s">
        <v>371</v>
      </c>
    </row>
    <row r="3500" spans="1:31" ht="18" customHeight="1" x14ac:dyDescent="0.25">
      <c r="A35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0" s="79">
        <v>4</v>
      </c>
      <c r="C3500" s="23">
        <v>44116</v>
      </c>
      <c r="D3500" s="67">
        <f>IF(COUNTIF($G$2:$G3500,$G3500)=1,1,0)</f>
        <v>1</v>
      </c>
      <c r="E3500" s="67" t="str">
        <f>IFERROR(VLOOKUP(База_КР_КК[[#This Row],[ИД штатной должности (S)]],'уровень защищенности'!$B$7:$F$1095,5,0),"не защищена")</f>
        <v>низкий</v>
      </c>
      <c r="F3500" s="68">
        <v>500540</v>
      </c>
      <c r="G3500" s="74" t="s">
        <v>2987</v>
      </c>
      <c r="H3500" s="181">
        <f>INDEX('Списки данных'!$D$2:$D$1048576,MATCH(База_КР_КК[[#This Row],[Структурное подразделение]],'Списки данных'!$C$2:$C$1048576,0))</f>
        <v>20</v>
      </c>
      <c r="I3500" s="80" t="s">
        <v>143</v>
      </c>
      <c r="J3500" s="80" t="s">
        <v>242</v>
      </c>
      <c r="K3500" s="80" t="s">
        <v>21</v>
      </c>
      <c r="L3500" s="30" t="s">
        <v>191</v>
      </c>
      <c r="M3500" s="68">
        <v>7</v>
      </c>
      <c r="N3500" s="181" t="str">
        <f t="shared" si="55"/>
        <v>да</v>
      </c>
      <c r="O3500" s="23">
        <v>44908</v>
      </c>
      <c r="P3500" s="23"/>
      <c r="Q3500" s="106"/>
      <c r="R3500" s="37" t="s">
        <v>23</v>
      </c>
      <c r="S3500" s="37" t="s">
        <v>23</v>
      </c>
      <c r="T3500" s="37">
        <v>1897</v>
      </c>
      <c r="U3500" s="39" t="s">
        <v>1582</v>
      </c>
      <c r="V3500" s="89" t="s">
        <v>272</v>
      </c>
      <c r="W3500" s="89" t="s">
        <v>143</v>
      </c>
      <c r="X3500" s="106" t="s">
        <v>296</v>
      </c>
      <c r="Y3500" s="107" t="s">
        <v>12</v>
      </c>
      <c r="Z3500" s="67">
        <f>IF(База_КР_КК[[#This Row],[Таб.номер резервиста]]="-","-",IF(OR(База_КР_КК[[#This Row],[Уровень КК]]=2,База_КР_КК[[#This Row],[Уровень КК]]=3),IF(COUNTIFS($U$2:$U3500,$U3500,$F$2:$F3500,$F3500)=1,1,0),IF(COUNTIFS($U$2:$U3500,$U3500,$L$2:$L3500,$L3500)=1,1,0)))</f>
        <v>0</v>
      </c>
      <c r="AA35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0" s="106"/>
      <c r="AC3500" s="51"/>
      <c r="AD3500" s="106" t="s">
        <v>13</v>
      </c>
      <c r="AE3500" s="38" t="s">
        <v>371</v>
      </c>
    </row>
    <row r="3501" spans="1:31" ht="18" customHeight="1" x14ac:dyDescent="0.25">
      <c r="A35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1" s="79">
        <v>4</v>
      </c>
      <c r="C3501" s="23">
        <v>44116</v>
      </c>
      <c r="D3501" s="67">
        <f>IF(COUNTIF($G$2:$G3501,$G3501)=1,1,0)</f>
        <v>0</v>
      </c>
      <c r="E3501" s="67" t="str">
        <f>IFERROR(VLOOKUP(База_КР_КК[[#This Row],[ИД штатной должности (S)]],'уровень защищенности'!$B$7:$F$1095,5,0),"не защищена")</f>
        <v>низкий</v>
      </c>
      <c r="F3501" s="68">
        <v>500540</v>
      </c>
      <c r="G3501" s="74" t="s">
        <v>2987</v>
      </c>
      <c r="H3501" s="181">
        <f>INDEX('Списки данных'!$D$2:$D$1048576,MATCH(База_КР_КК[[#This Row],[Структурное подразделение]],'Списки данных'!$C$2:$C$1048576,0))</f>
        <v>20</v>
      </c>
      <c r="I3501" s="80" t="s">
        <v>143</v>
      </c>
      <c r="J3501" s="80" t="s">
        <v>242</v>
      </c>
      <c r="K3501" s="80" t="s">
        <v>21</v>
      </c>
      <c r="L3501" s="30" t="s">
        <v>191</v>
      </c>
      <c r="M3501" s="68">
        <v>7</v>
      </c>
      <c r="N3501" s="181" t="str">
        <f t="shared" si="55"/>
        <v>да</v>
      </c>
      <c r="O3501" s="23">
        <v>44908</v>
      </c>
      <c r="P3501" s="23"/>
      <c r="Q3501" s="106"/>
      <c r="R3501" s="37" t="s">
        <v>23</v>
      </c>
      <c r="S3501" s="37" t="s">
        <v>23</v>
      </c>
      <c r="T3501" s="37">
        <v>1898</v>
      </c>
      <c r="U3501" s="39" t="s">
        <v>2092</v>
      </c>
      <c r="V3501" s="89" t="s">
        <v>272</v>
      </c>
      <c r="W3501" s="89" t="s">
        <v>143</v>
      </c>
      <c r="X3501" s="106" t="s">
        <v>296</v>
      </c>
      <c r="Y3501" s="107" t="s">
        <v>12</v>
      </c>
      <c r="Z3501" s="67">
        <f>IF(База_КР_КК[[#This Row],[Таб.номер резервиста]]="-","-",IF(OR(База_КР_КК[[#This Row],[Уровень КК]]=2,База_КР_КК[[#This Row],[Уровень КК]]=3),IF(COUNTIFS($U$2:$U3501,$U3501,$F$2:$F3501,$F3501)=1,1,0),IF(COUNTIFS($U$2:$U3501,$U3501,$L$2:$L3501,$L3501)=1,1,0)))</f>
        <v>0</v>
      </c>
      <c r="AA35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1" s="106"/>
      <c r="AC3501" s="51"/>
      <c r="AD3501" s="106" t="s">
        <v>13</v>
      </c>
      <c r="AE3501" s="38" t="s">
        <v>371</v>
      </c>
    </row>
    <row r="3502" spans="1:31" ht="18" customHeight="1" x14ac:dyDescent="0.25">
      <c r="A35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2" s="79">
        <v>4</v>
      </c>
      <c r="C3502" s="23">
        <v>44116</v>
      </c>
      <c r="D3502" s="67">
        <f>IF(COUNTIF($G$2:$G3502,$G3502)=1,1,0)</f>
        <v>0</v>
      </c>
      <c r="E3502" s="67" t="str">
        <f>IFERROR(VLOOKUP(База_КР_КК[[#This Row],[ИД штатной должности (S)]],'уровень защищенности'!$B$7:$F$1095,5,0),"не защищена")</f>
        <v>низкий</v>
      </c>
      <c r="F3502" s="68">
        <v>500540</v>
      </c>
      <c r="G3502" s="74" t="s">
        <v>2987</v>
      </c>
      <c r="H3502" s="181">
        <f>INDEX('Списки данных'!$D$2:$D$1048576,MATCH(База_КР_КК[[#This Row],[Структурное подразделение]],'Списки данных'!$C$2:$C$1048576,0))</f>
        <v>20</v>
      </c>
      <c r="I3502" s="80" t="s">
        <v>143</v>
      </c>
      <c r="J3502" s="80" t="s">
        <v>242</v>
      </c>
      <c r="K3502" s="80" t="s">
        <v>21</v>
      </c>
      <c r="L3502" s="30" t="s">
        <v>191</v>
      </c>
      <c r="M3502" s="68">
        <v>7</v>
      </c>
      <c r="N3502" s="181" t="str">
        <f t="shared" si="55"/>
        <v>да</v>
      </c>
      <c r="O3502" s="23">
        <v>44908</v>
      </c>
      <c r="P3502" s="23"/>
      <c r="Q3502" s="106"/>
      <c r="R3502" s="37" t="s">
        <v>23</v>
      </c>
      <c r="S3502" s="37" t="s">
        <v>23</v>
      </c>
      <c r="T3502" s="37">
        <v>1899</v>
      </c>
      <c r="U3502" s="39" t="s">
        <v>2093</v>
      </c>
      <c r="V3502" s="89" t="s">
        <v>272</v>
      </c>
      <c r="W3502" s="89" t="s">
        <v>143</v>
      </c>
      <c r="X3502" s="106" t="s">
        <v>296</v>
      </c>
      <c r="Y3502" s="107" t="s">
        <v>12</v>
      </c>
      <c r="Z3502" s="67">
        <f>IF(База_КР_КК[[#This Row],[Таб.номер резервиста]]="-","-",IF(OR(База_КР_КК[[#This Row],[Уровень КК]]=2,База_КР_КК[[#This Row],[Уровень КК]]=3),IF(COUNTIFS($U$2:$U3502,$U3502,$F$2:$F3502,$F3502)=1,1,0),IF(COUNTIFS($U$2:$U3502,$U3502,$L$2:$L3502,$L3502)=1,1,0)))</f>
        <v>0</v>
      </c>
      <c r="AA35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2" s="106"/>
      <c r="AC3502" s="51"/>
      <c r="AD3502" s="106" t="s">
        <v>13</v>
      </c>
      <c r="AE3502" s="38" t="s">
        <v>371</v>
      </c>
    </row>
    <row r="3503" spans="1:31" ht="18" customHeight="1" x14ac:dyDescent="0.25">
      <c r="A35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3" s="79">
        <v>4</v>
      </c>
      <c r="C3503" s="23">
        <v>44467</v>
      </c>
      <c r="D3503" s="67">
        <f>IF(COUNTIF($G$2:$G3503,$G3503)=1,1,0)</f>
        <v>0</v>
      </c>
      <c r="E3503" s="67" t="str">
        <f>IFERROR(VLOOKUP(База_КР_КК[[#This Row],[ИД штатной должности (S)]],'уровень защищенности'!$B$7:$F$1095,5,0),"не защищена")</f>
        <v>низкий</v>
      </c>
      <c r="F3503" s="68">
        <v>500540</v>
      </c>
      <c r="G3503" s="74" t="s">
        <v>2987</v>
      </c>
      <c r="H3503" s="181">
        <f>INDEX('Списки данных'!$D$2:$D$1048576,MATCH(База_КР_КК[[#This Row],[Структурное подразделение]],'Списки данных'!$C$2:$C$1048576,0))</f>
        <v>20</v>
      </c>
      <c r="I3503" s="80" t="s">
        <v>143</v>
      </c>
      <c r="J3503" s="80" t="s">
        <v>242</v>
      </c>
      <c r="K3503" s="80" t="s">
        <v>21</v>
      </c>
      <c r="L3503" s="30" t="s">
        <v>191</v>
      </c>
      <c r="M3503" s="68">
        <v>7</v>
      </c>
      <c r="N3503" s="181" t="str">
        <f t="shared" si="55"/>
        <v>да</v>
      </c>
      <c r="O3503" s="23">
        <v>44908</v>
      </c>
      <c r="P3503" s="23"/>
      <c r="Q3503" s="106"/>
      <c r="R3503" s="37" t="s">
        <v>23</v>
      </c>
      <c r="S3503" s="37" t="s">
        <v>23</v>
      </c>
      <c r="T3503" s="37">
        <v>1900</v>
      </c>
      <c r="U3503" s="39" t="s">
        <v>2094</v>
      </c>
      <c r="V3503" s="89" t="s">
        <v>272</v>
      </c>
      <c r="W3503" s="89" t="s">
        <v>143</v>
      </c>
      <c r="X3503" s="106" t="s">
        <v>296</v>
      </c>
      <c r="Y3503" s="107" t="s">
        <v>12</v>
      </c>
      <c r="Z3503" s="67">
        <f>IF(База_КР_КК[[#This Row],[Таб.номер резервиста]]="-","-",IF(OR(База_КР_КК[[#This Row],[Уровень КК]]=2,База_КР_КК[[#This Row],[Уровень КК]]=3),IF(COUNTIFS($U$2:$U3503,$U3503,$F$2:$F3503,$F3503)=1,1,0),IF(COUNTIFS($U$2:$U3503,$U3503,$L$2:$L3503,$L3503)=1,1,0)))</f>
        <v>0</v>
      </c>
      <c r="AA35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3" s="106"/>
      <c r="AC3503" s="51"/>
      <c r="AD3503" s="106" t="s">
        <v>13</v>
      </c>
      <c r="AE3503" s="38" t="s">
        <v>371</v>
      </c>
    </row>
    <row r="3504" spans="1:31" ht="18" customHeight="1" x14ac:dyDescent="0.25">
      <c r="A35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4" s="79">
        <v>4</v>
      </c>
      <c r="C3504" s="23">
        <v>44116</v>
      </c>
      <c r="D3504" s="67">
        <f>IF(COUNTIF($G$2:$G3504,$G3504)=1,1,0)</f>
        <v>0</v>
      </c>
      <c r="E3504" s="67" t="str">
        <f>IFERROR(VLOOKUP(База_КР_КК[[#This Row],[ИД штатной должности (S)]],'уровень защищенности'!$B$7:$F$1095,5,0),"не защищена")</f>
        <v>низкий</v>
      </c>
      <c r="F3504" s="68">
        <v>500540</v>
      </c>
      <c r="G3504" s="74" t="s">
        <v>2987</v>
      </c>
      <c r="H3504" s="181">
        <f>INDEX('Списки данных'!$D$2:$D$1048576,MATCH(База_КР_КК[[#This Row],[Структурное подразделение]],'Списки данных'!$C$2:$C$1048576,0))</f>
        <v>20</v>
      </c>
      <c r="I3504" s="80" t="s">
        <v>143</v>
      </c>
      <c r="J3504" s="80" t="s">
        <v>242</v>
      </c>
      <c r="K3504" s="80" t="s">
        <v>21</v>
      </c>
      <c r="L3504" s="30" t="s">
        <v>191</v>
      </c>
      <c r="M3504" s="68">
        <v>7</v>
      </c>
      <c r="N3504" s="181" t="str">
        <f t="shared" si="55"/>
        <v>да</v>
      </c>
      <c r="O3504" s="23">
        <v>44908</v>
      </c>
      <c r="P3504" s="23"/>
      <c r="Q3504" s="106"/>
      <c r="R3504" s="37" t="s">
        <v>23</v>
      </c>
      <c r="S3504" s="37" t="s">
        <v>23</v>
      </c>
      <c r="T3504" s="37">
        <v>1901</v>
      </c>
      <c r="U3504" s="39" t="s">
        <v>2095</v>
      </c>
      <c r="V3504" s="89" t="s">
        <v>272</v>
      </c>
      <c r="W3504" s="89" t="s">
        <v>143</v>
      </c>
      <c r="X3504" s="106" t="s">
        <v>296</v>
      </c>
      <c r="Y3504" s="107" t="s">
        <v>18</v>
      </c>
      <c r="Z3504" s="67">
        <f>IF(База_КР_КК[[#This Row],[Таб.номер резервиста]]="-","-",IF(OR(База_КР_КК[[#This Row],[Уровень КК]]=2,База_КР_КК[[#This Row],[Уровень КК]]=3),IF(COUNTIFS($U$2:$U3504,$U3504,$F$2:$F3504,$F3504)=1,1,0),IF(COUNTIFS($U$2:$U3504,$U3504,$L$2:$L3504,$L3504)=1,1,0)))</f>
        <v>0</v>
      </c>
      <c r="AA35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4" s="106" t="s">
        <v>19</v>
      </c>
      <c r="AC3504" s="51">
        <v>44999</v>
      </c>
      <c r="AD3504" s="106" t="s">
        <v>13</v>
      </c>
      <c r="AE3504" s="38" t="s">
        <v>371</v>
      </c>
    </row>
    <row r="3505" spans="1:31" ht="18" customHeight="1" x14ac:dyDescent="0.25">
      <c r="A35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5" s="79">
        <v>4</v>
      </c>
      <c r="C3505" s="23">
        <v>44116</v>
      </c>
      <c r="D3505" s="67">
        <f>IF(COUNTIF($G$2:$G3505,$G3505)=1,1,0)</f>
        <v>0</v>
      </c>
      <c r="E3505" s="67" t="str">
        <f>IFERROR(VLOOKUP(База_КР_КК[[#This Row],[ИД штатной должности (S)]],'уровень защищенности'!$B$7:$F$1095,5,0),"не защищена")</f>
        <v>низкий</v>
      </c>
      <c r="F3505" s="68">
        <v>500540</v>
      </c>
      <c r="G3505" s="74" t="s">
        <v>2987</v>
      </c>
      <c r="H3505" s="181">
        <f>INDEX('Списки данных'!$D$2:$D$1048576,MATCH(База_КР_КК[[#This Row],[Структурное подразделение]],'Списки данных'!$C$2:$C$1048576,0))</f>
        <v>20</v>
      </c>
      <c r="I3505" s="80" t="s">
        <v>143</v>
      </c>
      <c r="J3505" s="80" t="s">
        <v>242</v>
      </c>
      <c r="K3505" s="80" t="s">
        <v>21</v>
      </c>
      <c r="L3505" s="30" t="s">
        <v>191</v>
      </c>
      <c r="M3505" s="68">
        <v>7</v>
      </c>
      <c r="N3505" s="181" t="str">
        <f t="shared" si="55"/>
        <v>да</v>
      </c>
      <c r="O3505" s="23">
        <v>44908</v>
      </c>
      <c r="P3505" s="23"/>
      <c r="Q3505" s="106"/>
      <c r="R3505" s="37" t="s">
        <v>23</v>
      </c>
      <c r="S3505" s="37" t="s">
        <v>23</v>
      </c>
      <c r="T3505" s="37">
        <v>1902</v>
      </c>
      <c r="U3505" s="39" t="s">
        <v>1925</v>
      </c>
      <c r="V3505" s="69" t="s">
        <v>272</v>
      </c>
      <c r="W3505" s="89" t="s">
        <v>143</v>
      </c>
      <c r="X3505" s="106" t="s">
        <v>296</v>
      </c>
      <c r="Y3505" s="107" t="s">
        <v>18</v>
      </c>
      <c r="Z3505" s="67">
        <f>IF(База_КР_КК[[#This Row],[Таб.номер резервиста]]="-","-",IF(OR(База_КР_КК[[#This Row],[Уровень КК]]=2,База_КР_КК[[#This Row],[Уровень КК]]=3),IF(COUNTIFS($U$2:$U3505,$U3505,$F$2:$F3505,$F3505)=1,1,0),IF(COUNTIFS($U$2:$U3505,$U3505,$L$2:$L3505,$L3505)=1,1,0)))</f>
        <v>0</v>
      </c>
      <c r="AA35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5" s="106" t="s">
        <v>19</v>
      </c>
      <c r="AC3505" s="51">
        <v>44547</v>
      </c>
      <c r="AD3505" s="106" t="s">
        <v>15</v>
      </c>
      <c r="AE3505" s="38" t="s">
        <v>373</v>
      </c>
    </row>
    <row r="3506" spans="1:31" ht="18" customHeight="1" x14ac:dyDescent="0.25">
      <c r="A35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6" s="79">
        <v>4</v>
      </c>
      <c r="C3506" s="23">
        <v>44467</v>
      </c>
      <c r="D3506" s="67">
        <f>IF(COUNTIF($G$2:$G3506,$G3506)=1,1,0)</f>
        <v>0</v>
      </c>
      <c r="E3506" s="67" t="str">
        <f>IFERROR(VLOOKUP(База_КР_КК[[#This Row],[ИД штатной должности (S)]],'уровень защищенности'!$B$7:$F$1095,5,0),"не защищена")</f>
        <v>низкий</v>
      </c>
      <c r="F3506" s="68">
        <v>500540</v>
      </c>
      <c r="G3506" s="74" t="s">
        <v>2987</v>
      </c>
      <c r="H3506" s="181">
        <f>INDEX('Списки данных'!$D$2:$D$1048576,MATCH(База_КР_КК[[#This Row],[Структурное подразделение]],'Списки данных'!$C$2:$C$1048576,0))</f>
        <v>20</v>
      </c>
      <c r="I3506" s="80" t="s">
        <v>143</v>
      </c>
      <c r="J3506" s="80" t="s">
        <v>242</v>
      </c>
      <c r="K3506" s="80" t="s">
        <v>21</v>
      </c>
      <c r="L3506" s="30" t="s">
        <v>191</v>
      </c>
      <c r="M3506" s="68">
        <v>7</v>
      </c>
      <c r="N3506" s="181" t="str">
        <f t="shared" si="55"/>
        <v>да</v>
      </c>
      <c r="O3506" s="23">
        <v>44908</v>
      </c>
      <c r="P3506" s="23"/>
      <c r="Q3506" s="106"/>
      <c r="R3506" s="37" t="s">
        <v>23</v>
      </c>
      <c r="S3506" s="37" t="s">
        <v>23</v>
      </c>
      <c r="T3506" s="37">
        <v>1903</v>
      </c>
      <c r="U3506" s="39" t="s">
        <v>2013</v>
      </c>
      <c r="V3506" s="69" t="s">
        <v>192</v>
      </c>
      <c r="W3506" s="89" t="s">
        <v>143</v>
      </c>
      <c r="X3506" s="106" t="s">
        <v>296</v>
      </c>
      <c r="Y3506" s="107" t="s">
        <v>18</v>
      </c>
      <c r="Z3506" s="67">
        <f>IF(База_КР_КК[[#This Row],[Таб.номер резервиста]]="-","-",IF(OR(База_КР_КК[[#This Row],[Уровень КК]]=2,База_КР_КК[[#This Row],[Уровень КК]]=3),IF(COUNTIFS($U$2:$U3506,$U3506,$F$2:$F3506,$F3506)=1,1,0),IF(COUNTIFS($U$2:$U3506,$U3506,$L$2:$L3506,$L3506)=1,1,0)))</f>
        <v>0</v>
      </c>
      <c r="AA35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6" s="106" t="s">
        <v>38</v>
      </c>
      <c r="AC3506" s="51">
        <v>44855</v>
      </c>
      <c r="AD3506" s="106" t="s">
        <v>31</v>
      </c>
      <c r="AE3506" s="38" t="s">
        <v>371</v>
      </c>
    </row>
    <row r="3507" spans="1:31" ht="18" customHeight="1" x14ac:dyDescent="0.25">
      <c r="A35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7" s="79">
        <v>4</v>
      </c>
      <c r="C3507" s="23">
        <v>44116</v>
      </c>
      <c r="D3507" s="67">
        <f>IF(COUNTIF($G$2:$G3507,$G3507)=1,1,0)</f>
        <v>1</v>
      </c>
      <c r="E3507" s="67" t="str">
        <f>IFERROR(VLOOKUP(База_КР_КК[[#This Row],[ИД штатной должности (S)]],'уровень защищенности'!$B$7:$F$1095,5,0),"не защищена")</f>
        <v>низкий</v>
      </c>
      <c r="F3507" s="68">
        <v>500541</v>
      </c>
      <c r="G3507" s="74" t="s">
        <v>2988</v>
      </c>
      <c r="H3507" s="181">
        <f>INDEX('Списки данных'!$D$2:$D$1048576,MATCH(База_КР_КК[[#This Row],[Структурное подразделение]],'Списки данных'!$C$2:$C$1048576,0))</f>
        <v>20</v>
      </c>
      <c r="I3507" s="80" t="s">
        <v>143</v>
      </c>
      <c r="J3507" s="80" t="s">
        <v>242</v>
      </c>
      <c r="K3507" s="80" t="s">
        <v>21</v>
      </c>
      <c r="L3507" s="30" t="s">
        <v>191</v>
      </c>
      <c r="M3507" s="68">
        <v>7</v>
      </c>
      <c r="N3507" s="181" t="str">
        <f t="shared" si="55"/>
        <v>нет</v>
      </c>
      <c r="O3507" s="23"/>
      <c r="P3507" s="23"/>
      <c r="Q3507" s="106"/>
      <c r="R3507" s="37">
        <v>806</v>
      </c>
      <c r="S3507" s="38" t="s">
        <v>1215</v>
      </c>
      <c r="T3507" s="37">
        <v>1899</v>
      </c>
      <c r="U3507" s="39" t="s">
        <v>2093</v>
      </c>
      <c r="V3507" s="89" t="s">
        <v>272</v>
      </c>
      <c r="W3507" s="89" t="s">
        <v>143</v>
      </c>
      <c r="X3507" s="106" t="s">
        <v>296</v>
      </c>
      <c r="Y3507" s="107" t="s">
        <v>12</v>
      </c>
      <c r="Z3507" s="67">
        <f>IF(База_КР_КК[[#This Row],[Таб.номер резервиста]]="-","-",IF(OR(База_КР_КК[[#This Row],[Уровень КК]]=2,База_КР_КК[[#This Row],[Уровень КК]]=3),IF(COUNTIFS($U$2:$U3507,$U3507,$F$2:$F3507,$F3507)=1,1,0),IF(COUNTIFS($U$2:$U3507,$U3507,$L$2:$L3507,$L3507)=1,1,0)))</f>
        <v>0</v>
      </c>
      <c r="AA35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7" s="106"/>
      <c r="AC3507" s="51"/>
      <c r="AD3507" s="106" t="s">
        <v>13</v>
      </c>
      <c r="AE3507" s="38" t="s">
        <v>371</v>
      </c>
    </row>
    <row r="3508" spans="1:31" ht="18" customHeight="1" x14ac:dyDescent="0.25">
      <c r="A35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8" s="79">
        <v>4</v>
      </c>
      <c r="C3508" s="23">
        <v>44116</v>
      </c>
      <c r="D3508" s="67">
        <f>IF(COUNTIF($G$2:$G3508,$G3508)=1,1,0)</f>
        <v>0</v>
      </c>
      <c r="E3508" s="67" t="str">
        <f>IFERROR(VLOOKUP(База_КР_КК[[#This Row],[ИД штатной должности (S)]],'уровень защищенности'!$B$7:$F$1095,5,0),"не защищена")</f>
        <v>низкий</v>
      </c>
      <c r="F3508" s="68">
        <v>500541</v>
      </c>
      <c r="G3508" s="74" t="s">
        <v>2988</v>
      </c>
      <c r="H3508" s="181">
        <f>INDEX('Списки данных'!$D$2:$D$1048576,MATCH(База_КР_КК[[#This Row],[Структурное подразделение]],'Списки данных'!$C$2:$C$1048576,0))</f>
        <v>20</v>
      </c>
      <c r="I3508" s="80" t="s">
        <v>143</v>
      </c>
      <c r="J3508" s="80" t="s">
        <v>242</v>
      </c>
      <c r="K3508" s="80" t="s">
        <v>21</v>
      </c>
      <c r="L3508" s="30" t="s">
        <v>191</v>
      </c>
      <c r="M3508" s="68">
        <v>7</v>
      </c>
      <c r="N3508" s="181" t="str">
        <f t="shared" si="55"/>
        <v>нет</v>
      </c>
      <c r="O3508" s="23"/>
      <c r="P3508" s="23"/>
      <c r="Q3508" s="106"/>
      <c r="R3508" s="37">
        <v>806</v>
      </c>
      <c r="S3508" s="38" t="s">
        <v>1215</v>
      </c>
      <c r="T3508" s="37">
        <v>1897</v>
      </c>
      <c r="U3508" s="39" t="s">
        <v>1582</v>
      </c>
      <c r="V3508" s="89" t="s">
        <v>272</v>
      </c>
      <c r="W3508" s="89" t="s">
        <v>143</v>
      </c>
      <c r="X3508" s="106" t="s">
        <v>296</v>
      </c>
      <c r="Y3508" s="107" t="s">
        <v>12</v>
      </c>
      <c r="Z3508" s="67">
        <f>IF(База_КР_КК[[#This Row],[Таб.номер резервиста]]="-","-",IF(OR(База_КР_КК[[#This Row],[Уровень КК]]=2,База_КР_КК[[#This Row],[Уровень КК]]=3),IF(COUNTIFS($U$2:$U3508,$U3508,$F$2:$F3508,$F3508)=1,1,0),IF(COUNTIFS($U$2:$U3508,$U3508,$L$2:$L3508,$L3508)=1,1,0)))</f>
        <v>0</v>
      </c>
      <c r="AA35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8" s="106"/>
      <c r="AC3508" s="51"/>
      <c r="AD3508" s="106" t="s">
        <v>13</v>
      </c>
      <c r="AE3508" s="38" t="s">
        <v>371</v>
      </c>
    </row>
    <row r="3509" spans="1:31" ht="18" customHeight="1" x14ac:dyDescent="0.25">
      <c r="A35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09" s="79">
        <v>4</v>
      </c>
      <c r="C3509" s="23">
        <v>44116</v>
      </c>
      <c r="D3509" s="67">
        <f>IF(COUNTIF($G$2:$G3509,$G3509)=1,1,0)</f>
        <v>0</v>
      </c>
      <c r="E3509" s="67" t="str">
        <f>IFERROR(VLOOKUP(База_КР_КК[[#This Row],[ИД штатной должности (S)]],'уровень защищенности'!$B$7:$F$1095,5,0),"не защищена")</f>
        <v>низкий</v>
      </c>
      <c r="F3509" s="68">
        <v>500541</v>
      </c>
      <c r="G3509" s="74" t="s">
        <v>2988</v>
      </c>
      <c r="H3509" s="181">
        <f>INDEX('Списки данных'!$D$2:$D$1048576,MATCH(База_КР_КК[[#This Row],[Структурное подразделение]],'Списки данных'!$C$2:$C$1048576,0))</f>
        <v>20</v>
      </c>
      <c r="I3509" s="80" t="s">
        <v>143</v>
      </c>
      <c r="J3509" s="80" t="s">
        <v>242</v>
      </c>
      <c r="K3509" s="80" t="s">
        <v>21</v>
      </c>
      <c r="L3509" s="30" t="s">
        <v>191</v>
      </c>
      <c r="M3509" s="68">
        <v>7</v>
      </c>
      <c r="N3509" s="181" t="str">
        <f t="shared" si="55"/>
        <v>нет</v>
      </c>
      <c r="O3509" s="23"/>
      <c r="P3509" s="23"/>
      <c r="Q3509" s="106"/>
      <c r="R3509" s="37">
        <v>806</v>
      </c>
      <c r="S3509" s="38" t="s">
        <v>1215</v>
      </c>
      <c r="T3509" s="37">
        <v>1898</v>
      </c>
      <c r="U3509" s="39" t="s">
        <v>2092</v>
      </c>
      <c r="V3509" s="89" t="s">
        <v>272</v>
      </c>
      <c r="W3509" s="89" t="s">
        <v>143</v>
      </c>
      <c r="X3509" s="106" t="s">
        <v>296</v>
      </c>
      <c r="Y3509" s="107" t="s">
        <v>12</v>
      </c>
      <c r="Z3509" s="67">
        <f>IF(База_КР_КК[[#This Row],[Таб.номер резервиста]]="-","-",IF(OR(База_КР_КК[[#This Row],[Уровень КК]]=2,База_КР_КК[[#This Row],[Уровень КК]]=3),IF(COUNTIFS($U$2:$U3509,$U3509,$F$2:$F3509,$F3509)=1,1,0),IF(COUNTIFS($U$2:$U3509,$U3509,$L$2:$L3509,$L3509)=1,1,0)))</f>
        <v>0</v>
      </c>
      <c r="AA35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09" s="106"/>
      <c r="AC3509" s="51"/>
      <c r="AD3509" s="106" t="s">
        <v>13</v>
      </c>
      <c r="AE3509" s="38" t="s">
        <v>371</v>
      </c>
    </row>
    <row r="3510" spans="1:31" ht="18" customHeight="1" x14ac:dyDescent="0.25">
      <c r="A35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0" s="79">
        <v>4</v>
      </c>
      <c r="C3510" s="23">
        <v>44467</v>
      </c>
      <c r="D3510" s="67">
        <f>IF(COUNTIF($G$2:$G3510,$G3510)=1,1,0)</f>
        <v>0</v>
      </c>
      <c r="E3510" s="67" t="str">
        <f>IFERROR(VLOOKUP(База_КР_КК[[#This Row],[ИД штатной должности (S)]],'уровень защищенности'!$B$7:$F$1095,5,0),"не защищена")</f>
        <v>низкий</v>
      </c>
      <c r="F3510" s="68">
        <v>500541</v>
      </c>
      <c r="G3510" s="74" t="s">
        <v>2988</v>
      </c>
      <c r="H3510" s="181">
        <f>INDEX('Списки данных'!$D$2:$D$1048576,MATCH(База_КР_КК[[#This Row],[Структурное подразделение]],'Списки данных'!$C$2:$C$1048576,0))</f>
        <v>20</v>
      </c>
      <c r="I3510" s="80" t="s">
        <v>143</v>
      </c>
      <c r="J3510" s="80" t="s">
        <v>242</v>
      </c>
      <c r="K3510" s="80" t="s">
        <v>21</v>
      </c>
      <c r="L3510" s="30" t="s">
        <v>191</v>
      </c>
      <c r="M3510" s="68">
        <v>7</v>
      </c>
      <c r="N3510" s="181" t="str">
        <f t="shared" si="55"/>
        <v>нет</v>
      </c>
      <c r="O3510" s="23"/>
      <c r="P3510" s="23"/>
      <c r="Q3510" s="106"/>
      <c r="R3510" s="37">
        <v>806</v>
      </c>
      <c r="S3510" s="38" t="s">
        <v>1215</v>
      </c>
      <c r="T3510" s="37">
        <v>1900</v>
      </c>
      <c r="U3510" s="39" t="s">
        <v>2094</v>
      </c>
      <c r="V3510" s="89" t="s">
        <v>272</v>
      </c>
      <c r="W3510" s="89" t="s">
        <v>143</v>
      </c>
      <c r="X3510" s="106" t="s">
        <v>296</v>
      </c>
      <c r="Y3510" s="107" t="s">
        <v>12</v>
      </c>
      <c r="Z3510" s="67">
        <f>IF(База_КР_КК[[#This Row],[Таб.номер резервиста]]="-","-",IF(OR(База_КР_КК[[#This Row],[Уровень КК]]=2,База_КР_КК[[#This Row],[Уровень КК]]=3),IF(COUNTIFS($U$2:$U3510,$U3510,$F$2:$F3510,$F3510)=1,1,0),IF(COUNTIFS($U$2:$U3510,$U3510,$L$2:$L3510,$L3510)=1,1,0)))</f>
        <v>0</v>
      </c>
      <c r="AA35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0" s="106"/>
      <c r="AC3510" s="51"/>
      <c r="AD3510" s="106" t="s">
        <v>13</v>
      </c>
      <c r="AE3510" s="38" t="s">
        <v>371</v>
      </c>
    </row>
    <row r="3511" spans="1:31" ht="18" customHeight="1" x14ac:dyDescent="0.25">
      <c r="A35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1" s="79">
        <v>4</v>
      </c>
      <c r="C3511" s="23">
        <v>44116</v>
      </c>
      <c r="D3511" s="67">
        <f>IF(COUNTIF($G$2:$G3511,$G3511)=1,1,0)</f>
        <v>0</v>
      </c>
      <c r="E3511" s="67" t="str">
        <f>IFERROR(VLOOKUP(База_КР_КК[[#This Row],[ИД штатной должности (S)]],'уровень защищенности'!$B$7:$F$1095,5,0),"не защищена")</f>
        <v>низкий</v>
      </c>
      <c r="F3511" s="68">
        <v>500541</v>
      </c>
      <c r="G3511" s="74" t="s">
        <v>2988</v>
      </c>
      <c r="H3511" s="181">
        <f>INDEX('Списки данных'!$D$2:$D$1048576,MATCH(База_КР_КК[[#This Row],[Структурное подразделение]],'Списки данных'!$C$2:$C$1048576,0))</f>
        <v>20</v>
      </c>
      <c r="I3511" s="80" t="s">
        <v>143</v>
      </c>
      <c r="J3511" s="80" t="s">
        <v>242</v>
      </c>
      <c r="K3511" s="80" t="s">
        <v>21</v>
      </c>
      <c r="L3511" s="30" t="s">
        <v>191</v>
      </c>
      <c r="M3511" s="68">
        <v>7</v>
      </c>
      <c r="N3511" s="181" t="str">
        <f t="shared" si="55"/>
        <v>нет</v>
      </c>
      <c r="O3511" s="23"/>
      <c r="P3511" s="23"/>
      <c r="Q3511" s="106"/>
      <c r="R3511" s="37">
        <v>806</v>
      </c>
      <c r="S3511" s="38" t="s">
        <v>1215</v>
      </c>
      <c r="T3511" s="37">
        <v>1902</v>
      </c>
      <c r="U3511" s="39" t="s">
        <v>1925</v>
      </c>
      <c r="V3511" s="89" t="s">
        <v>272</v>
      </c>
      <c r="W3511" s="89" t="s">
        <v>143</v>
      </c>
      <c r="X3511" s="106" t="s">
        <v>296</v>
      </c>
      <c r="Y3511" s="107" t="s">
        <v>18</v>
      </c>
      <c r="Z3511" s="67">
        <f>IF(База_КР_КК[[#This Row],[Таб.номер резервиста]]="-","-",IF(OR(База_КР_КК[[#This Row],[Уровень КК]]=2,База_КР_КК[[#This Row],[Уровень КК]]=3),IF(COUNTIFS($U$2:$U3511,$U3511,$F$2:$F3511,$F3511)=1,1,0),IF(COUNTIFS($U$2:$U3511,$U3511,$L$2:$L3511,$L3511)=1,1,0)))</f>
        <v>0</v>
      </c>
      <c r="AA35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1" s="106" t="s">
        <v>19</v>
      </c>
      <c r="AC3511" s="51">
        <v>44547</v>
      </c>
      <c r="AD3511" s="106" t="s">
        <v>15</v>
      </c>
      <c r="AE3511" s="38" t="s">
        <v>373</v>
      </c>
    </row>
    <row r="3512" spans="1:31" ht="18" customHeight="1" x14ac:dyDescent="0.25">
      <c r="A35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2" s="79">
        <v>4</v>
      </c>
      <c r="C3512" s="23">
        <v>44116</v>
      </c>
      <c r="D3512" s="67">
        <f>IF(COUNTIF($G$2:$G3512,$G3512)=1,1,0)</f>
        <v>0</v>
      </c>
      <c r="E3512" s="67" t="str">
        <f>IFERROR(VLOOKUP(База_КР_КК[[#This Row],[ИД штатной должности (S)]],'уровень защищенности'!$B$7:$F$1095,5,0),"не защищена")</f>
        <v>низкий</v>
      </c>
      <c r="F3512" s="68">
        <v>500541</v>
      </c>
      <c r="G3512" s="74" t="s">
        <v>2988</v>
      </c>
      <c r="H3512" s="181">
        <f>INDEX('Списки данных'!$D$2:$D$1048576,MATCH(База_КР_КК[[#This Row],[Структурное подразделение]],'Списки данных'!$C$2:$C$1048576,0))</f>
        <v>20</v>
      </c>
      <c r="I3512" s="80" t="s">
        <v>143</v>
      </c>
      <c r="J3512" s="80" t="s">
        <v>242</v>
      </c>
      <c r="K3512" s="80" t="s">
        <v>21</v>
      </c>
      <c r="L3512" s="30" t="s">
        <v>191</v>
      </c>
      <c r="M3512" s="68">
        <v>7</v>
      </c>
      <c r="N3512" s="181" t="str">
        <f t="shared" si="55"/>
        <v>нет</v>
      </c>
      <c r="O3512" s="23"/>
      <c r="P3512" s="23"/>
      <c r="Q3512" s="106"/>
      <c r="R3512" s="37">
        <v>806</v>
      </c>
      <c r="S3512" s="38" t="s">
        <v>1215</v>
      </c>
      <c r="T3512" s="37">
        <v>1901</v>
      </c>
      <c r="U3512" s="39" t="s">
        <v>2095</v>
      </c>
      <c r="V3512" s="69" t="s">
        <v>272</v>
      </c>
      <c r="W3512" s="89" t="s">
        <v>143</v>
      </c>
      <c r="X3512" s="106" t="s">
        <v>296</v>
      </c>
      <c r="Y3512" s="107" t="s">
        <v>18</v>
      </c>
      <c r="Z3512" s="67">
        <f>IF(База_КР_КК[[#This Row],[Таб.номер резервиста]]="-","-",IF(OR(База_КР_КК[[#This Row],[Уровень КК]]=2,База_КР_КК[[#This Row],[Уровень КК]]=3),IF(COUNTIFS($U$2:$U3512,$U3512,$F$2:$F3512,$F3512)=1,1,0),IF(COUNTIFS($U$2:$U3512,$U3512,$L$2:$L3512,$L3512)=1,1,0)))</f>
        <v>0</v>
      </c>
      <c r="AA35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2" s="106" t="s">
        <v>19</v>
      </c>
      <c r="AC3512" s="51">
        <v>44999</v>
      </c>
      <c r="AD3512" s="106" t="s">
        <v>13</v>
      </c>
      <c r="AE3512" s="38" t="s">
        <v>371</v>
      </c>
    </row>
    <row r="3513" spans="1:31" ht="18" customHeight="1" x14ac:dyDescent="0.25">
      <c r="A35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3" s="79">
        <v>4</v>
      </c>
      <c r="C3513" s="23">
        <v>44467</v>
      </c>
      <c r="D3513" s="67">
        <f>IF(COUNTIF($G$2:$G3513,$G3513)=1,1,0)</f>
        <v>0</v>
      </c>
      <c r="E3513" s="67" t="str">
        <f>IFERROR(VLOOKUP(База_КР_КК[[#This Row],[ИД штатной должности (S)]],'уровень защищенности'!$B$7:$F$1095,5,0),"не защищена")</f>
        <v>низкий</v>
      </c>
      <c r="F3513" s="68">
        <v>500541</v>
      </c>
      <c r="G3513" s="74" t="s">
        <v>2988</v>
      </c>
      <c r="H3513" s="181">
        <f>INDEX('Списки данных'!$D$2:$D$1048576,MATCH(База_КР_КК[[#This Row],[Структурное подразделение]],'Списки данных'!$C$2:$C$1048576,0))</f>
        <v>20</v>
      </c>
      <c r="I3513" s="80" t="s">
        <v>143</v>
      </c>
      <c r="J3513" s="80" t="s">
        <v>242</v>
      </c>
      <c r="K3513" s="80" t="s">
        <v>21</v>
      </c>
      <c r="L3513" s="30" t="s">
        <v>191</v>
      </c>
      <c r="M3513" s="68">
        <v>7</v>
      </c>
      <c r="N3513" s="181" t="str">
        <f t="shared" si="55"/>
        <v>нет</v>
      </c>
      <c r="O3513" s="23"/>
      <c r="P3513" s="23"/>
      <c r="Q3513" s="106"/>
      <c r="R3513" s="37">
        <v>806</v>
      </c>
      <c r="S3513" s="38" t="s">
        <v>1215</v>
      </c>
      <c r="T3513" s="37">
        <v>1903</v>
      </c>
      <c r="U3513" s="39" t="s">
        <v>2013</v>
      </c>
      <c r="V3513" s="69" t="s">
        <v>192</v>
      </c>
      <c r="W3513" s="89" t="s">
        <v>143</v>
      </c>
      <c r="X3513" s="106" t="s">
        <v>296</v>
      </c>
      <c r="Y3513" s="107" t="s">
        <v>18</v>
      </c>
      <c r="Z3513" s="67">
        <f>IF(База_КР_КК[[#This Row],[Таб.номер резервиста]]="-","-",IF(OR(База_КР_КК[[#This Row],[Уровень КК]]=2,База_КР_КК[[#This Row],[Уровень КК]]=3),IF(COUNTIFS($U$2:$U3513,$U3513,$F$2:$F3513,$F3513)=1,1,0),IF(COUNTIFS($U$2:$U3513,$U3513,$L$2:$L3513,$L3513)=1,1,0)))</f>
        <v>0</v>
      </c>
      <c r="AA35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3" s="106" t="s">
        <v>38</v>
      </c>
      <c r="AC3513" s="51">
        <v>44855</v>
      </c>
      <c r="AD3513" s="106" t="s">
        <v>31</v>
      </c>
      <c r="AE3513" s="38" t="s">
        <v>371</v>
      </c>
    </row>
    <row r="3514" spans="1:31" ht="18" customHeight="1" x14ac:dyDescent="0.25">
      <c r="A35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4" s="79">
        <v>4</v>
      </c>
      <c r="C3514" s="23">
        <v>44116</v>
      </c>
      <c r="D3514" s="67">
        <f>IF(COUNTIF($G$2:$G3514,$G3514)=1,1,0)</f>
        <v>1</v>
      </c>
      <c r="E3514" s="67" t="str">
        <f>IFERROR(VLOOKUP(База_КР_КК[[#This Row],[ИД штатной должности (S)]],'уровень защищенности'!$B$7:$F$1095,5,0),"не защищена")</f>
        <v>низкий</v>
      </c>
      <c r="F3514" s="68">
        <v>500541</v>
      </c>
      <c r="G3514" s="74" t="s">
        <v>2989</v>
      </c>
      <c r="H3514" s="181">
        <f>INDEX('Списки данных'!$D$2:$D$1048576,MATCH(База_КР_КК[[#This Row],[Структурное подразделение]],'Списки данных'!$C$2:$C$1048576,0))</f>
        <v>20</v>
      </c>
      <c r="I3514" s="80" t="s">
        <v>143</v>
      </c>
      <c r="J3514" s="80" t="s">
        <v>242</v>
      </c>
      <c r="K3514" s="80" t="s">
        <v>21</v>
      </c>
      <c r="L3514" s="30" t="s">
        <v>191</v>
      </c>
      <c r="M3514" s="68">
        <v>7</v>
      </c>
      <c r="N3514" s="181" t="str">
        <f t="shared" si="55"/>
        <v>нет</v>
      </c>
      <c r="O3514" s="23"/>
      <c r="P3514" s="23"/>
      <c r="Q3514" s="106"/>
      <c r="R3514" s="37">
        <v>807</v>
      </c>
      <c r="S3514" s="38" t="s">
        <v>1216</v>
      </c>
      <c r="T3514" s="37">
        <v>1899</v>
      </c>
      <c r="U3514" s="39" t="s">
        <v>2093</v>
      </c>
      <c r="V3514" s="89" t="s">
        <v>272</v>
      </c>
      <c r="W3514" s="89" t="s">
        <v>143</v>
      </c>
      <c r="X3514" s="106" t="s">
        <v>296</v>
      </c>
      <c r="Y3514" s="107" t="s">
        <v>12</v>
      </c>
      <c r="Z3514" s="67">
        <f>IF(База_КР_КК[[#This Row],[Таб.номер резервиста]]="-","-",IF(OR(База_КР_КК[[#This Row],[Уровень КК]]=2,База_КР_КК[[#This Row],[Уровень КК]]=3),IF(COUNTIFS($U$2:$U3514,$U3514,$F$2:$F3514,$F3514)=1,1,0),IF(COUNTIFS($U$2:$U3514,$U3514,$L$2:$L3514,$L3514)=1,1,0)))</f>
        <v>0</v>
      </c>
      <c r="AA35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4" s="106"/>
      <c r="AC3514" s="51"/>
      <c r="AD3514" s="106" t="s">
        <v>13</v>
      </c>
      <c r="AE3514" s="38" t="s">
        <v>371</v>
      </c>
    </row>
    <row r="3515" spans="1:31" ht="18" customHeight="1" x14ac:dyDescent="0.25">
      <c r="A35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5" s="79">
        <v>4</v>
      </c>
      <c r="C3515" s="23">
        <v>44116</v>
      </c>
      <c r="D3515" s="67">
        <f>IF(COUNTIF($G$2:$G3515,$G3515)=1,1,0)</f>
        <v>0</v>
      </c>
      <c r="E3515" s="67" t="str">
        <f>IFERROR(VLOOKUP(База_КР_КК[[#This Row],[ИД штатной должности (S)]],'уровень защищенности'!$B$7:$F$1095,5,0),"не защищена")</f>
        <v>низкий</v>
      </c>
      <c r="F3515" s="68">
        <v>500541</v>
      </c>
      <c r="G3515" s="74" t="s">
        <v>2989</v>
      </c>
      <c r="H3515" s="181">
        <f>INDEX('Списки данных'!$D$2:$D$1048576,MATCH(База_КР_КК[[#This Row],[Структурное подразделение]],'Списки данных'!$C$2:$C$1048576,0))</f>
        <v>20</v>
      </c>
      <c r="I3515" s="80" t="s">
        <v>143</v>
      </c>
      <c r="J3515" s="80" t="s">
        <v>242</v>
      </c>
      <c r="K3515" s="80" t="s">
        <v>21</v>
      </c>
      <c r="L3515" s="30" t="s">
        <v>191</v>
      </c>
      <c r="M3515" s="68">
        <v>7</v>
      </c>
      <c r="N3515" s="181" t="str">
        <f t="shared" si="55"/>
        <v>нет</v>
      </c>
      <c r="O3515" s="23"/>
      <c r="P3515" s="23"/>
      <c r="Q3515" s="106"/>
      <c r="R3515" s="37">
        <v>807</v>
      </c>
      <c r="S3515" s="38" t="s">
        <v>1216</v>
      </c>
      <c r="T3515" s="37">
        <v>1897</v>
      </c>
      <c r="U3515" s="39" t="s">
        <v>1582</v>
      </c>
      <c r="V3515" s="89" t="s">
        <v>272</v>
      </c>
      <c r="W3515" s="89" t="s">
        <v>143</v>
      </c>
      <c r="X3515" s="106" t="s">
        <v>296</v>
      </c>
      <c r="Y3515" s="107" t="s">
        <v>12</v>
      </c>
      <c r="Z3515" s="67">
        <f>IF(База_КР_КК[[#This Row],[Таб.номер резервиста]]="-","-",IF(OR(База_КР_КК[[#This Row],[Уровень КК]]=2,База_КР_КК[[#This Row],[Уровень КК]]=3),IF(COUNTIFS($U$2:$U3515,$U3515,$F$2:$F3515,$F3515)=1,1,0),IF(COUNTIFS($U$2:$U3515,$U3515,$L$2:$L3515,$L3515)=1,1,0)))</f>
        <v>0</v>
      </c>
      <c r="AA35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5" s="106"/>
      <c r="AC3515" s="51"/>
      <c r="AD3515" s="106" t="s">
        <v>13</v>
      </c>
      <c r="AE3515" s="38" t="s">
        <v>371</v>
      </c>
    </row>
    <row r="3516" spans="1:31" ht="18" customHeight="1" x14ac:dyDescent="0.25">
      <c r="A35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6" s="79">
        <v>4</v>
      </c>
      <c r="C3516" s="23">
        <v>44116</v>
      </c>
      <c r="D3516" s="67">
        <f>IF(COUNTIF($G$2:$G3516,$G3516)=1,1,0)</f>
        <v>0</v>
      </c>
      <c r="E3516" s="67" t="str">
        <f>IFERROR(VLOOKUP(База_КР_КК[[#This Row],[ИД штатной должности (S)]],'уровень защищенности'!$B$7:$F$1095,5,0),"не защищена")</f>
        <v>низкий</v>
      </c>
      <c r="F3516" s="68">
        <v>500541</v>
      </c>
      <c r="G3516" s="74" t="s">
        <v>2989</v>
      </c>
      <c r="H3516" s="181">
        <f>INDEX('Списки данных'!$D$2:$D$1048576,MATCH(База_КР_КК[[#This Row],[Структурное подразделение]],'Списки данных'!$C$2:$C$1048576,0))</f>
        <v>20</v>
      </c>
      <c r="I3516" s="80" t="s">
        <v>143</v>
      </c>
      <c r="J3516" s="80" t="s">
        <v>242</v>
      </c>
      <c r="K3516" s="80" t="s">
        <v>21</v>
      </c>
      <c r="L3516" s="30" t="s">
        <v>191</v>
      </c>
      <c r="M3516" s="68">
        <v>7</v>
      </c>
      <c r="N3516" s="181" t="str">
        <f t="shared" si="55"/>
        <v>нет</v>
      </c>
      <c r="O3516" s="23"/>
      <c r="P3516" s="23"/>
      <c r="Q3516" s="106"/>
      <c r="R3516" s="37">
        <v>807</v>
      </c>
      <c r="S3516" s="38" t="s">
        <v>1216</v>
      </c>
      <c r="T3516" s="37">
        <v>1898</v>
      </c>
      <c r="U3516" s="39" t="s">
        <v>2092</v>
      </c>
      <c r="V3516" s="89" t="s">
        <v>272</v>
      </c>
      <c r="W3516" s="89" t="s">
        <v>143</v>
      </c>
      <c r="X3516" s="106" t="s">
        <v>296</v>
      </c>
      <c r="Y3516" s="107" t="s">
        <v>12</v>
      </c>
      <c r="Z3516" s="67">
        <f>IF(База_КР_КК[[#This Row],[Таб.номер резервиста]]="-","-",IF(OR(База_КР_КК[[#This Row],[Уровень КК]]=2,База_КР_КК[[#This Row],[Уровень КК]]=3),IF(COUNTIFS($U$2:$U3516,$U3516,$F$2:$F3516,$F3516)=1,1,0),IF(COUNTIFS($U$2:$U3516,$U3516,$L$2:$L3516,$L3516)=1,1,0)))</f>
        <v>0</v>
      </c>
      <c r="AA35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6" s="106"/>
      <c r="AC3516" s="51"/>
      <c r="AD3516" s="106" t="s">
        <v>13</v>
      </c>
      <c r="AE3516" s="38" t="s">
        <v>371</v>
      </c>
    </row>
    <row r="3517" spans="1:31" ht="18" customHeight="1" x14ac:dyDescent="0.25">
      <c r="A35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7" s="79">
        <v>4</v>
      </c>
      <c r="C3517" s="23">
        <v>44467</v>
      </c>
      <c r="D3517" s="67">
        <f>IF(COUNTIF($G$2:$G3517,$G3517)=1,1,0)</f>
        <v>0</v>
      </c>
      <c r="E3517" s="67" t="str">
        <f>IFERROR(VLOOKUP(База_КР_КК[[#This Row],[ИД штатной должности (S)]],'уровень защищенности'!$B$7:$F$1095,5,0),"не защищена")</f>
        <v>низкий</v>
      </c>
      <c r="F3517" s="68">
        <v>500541</v>
      </c>
      <c r="G3517" s="74" t="s">
        <v>2989</v>
      </c>
      <c r="H3517" s="181">
        <f>INDEX('Списки данных'!$D$2:$D$1048576,MATCH(База_КР_КК[[#This Row],[Структурное подразделение]],'Списки данных'!$C$2:$C$1048576,0))</f>
        <v>20</v>
      </c>
      <c r="I3517" s="80" t="s">
        <v>143</v>
      </c>
      <c r="J3517" s="80" t="s">
        <v>242</v>
      </c>
      <c r="K3517" s="80" t="s">
        <v>21</v>
      </c>
      <c r="L3517" s="30" t="s">
        <v>191</v>
      </c>
      <c r="M3517" s="68">
        <v>7</v>
      </c>
      <c r="N3517" s="181" t="str">
        <f t="shared" si="55"/>
        <v>нет</v>
      </c>
      <c r="O3517" s="23"/>
      <c r="P3517" s="23"/>
      <c r="Q3517" s="106"/>
      <c r="R3517" s="37">
        <v>807</v>
      </c>
      <c r="S3517" s="38" t="s">
        <v>1216</v>
      </c>
      <c r="T3517" s="37">
        <v>1900</v>
      </c>
      <c r="U3517" s="39" t="s">
        <v>2094</v>
      </c>
      <c r="V3517" s="89" t="s">
        <v>272</v>
      </c>
      <c r="W3517" s="89" t="s">
        <v>143</v>
      </c>
      <c r="X3517" s="106" t="s">
        <v>296</v>
      </c>
      <c r="Y3517" s="107" t="s">
        <v>12</v>
      </c>
      <c r="Z3517" s="67">
        <f>IF(База_КР_КК[[#This Row],[Таб.номер резервиста]]="-","-",IF(OR(База_КР_КК[[#This Row],[Уровень КК]]=2,База_КР_КК[[#This Row],[Уровень КК]]=3),IF(COUNTIFS($U$2:$U3517,$U3517,$F$2:$F3517,$F3517)=1,1,0),IF(COUNTIFS($U$2:$U3517,$U3517,$L$2:$L3517,$L3517)=1,1,0)))</f>
        <v>0</v>
      </c>
      <c r="AA35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7" s="106"/>
      <c r="AC3517" s="51"/>
      <c r="AD3517" s="106" t="s">
        <v>13</v>
      </c>
      <c r="AE3517" s="38" t="s">
        <v>371</v>
      </c>
    </row>
    <row r="3518" spans="1:31" ht="18" customHeight="1" x14ac:dyDescent="0.25">
      <c r="A35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8" s="79">
        <v>4</v>
      </c>
      <c r="C3518" s="23">
        <v>44116</v>
      </c>
      <c r="D3518" s="67">
        <f>IF(COUNTIF($G$2:$G3518,$G3518)=1,1,0)</f>
        <v>0</v>
      </c>
      <c r="E3518" s="67" t="str">
        <f>IFERROR(VLOOKUP(База_КР_КК[[#This Row],[ИД штатной должности (S)]],'уровень защищенности'!$B$7:$F$1095,5,0),"не защищена")</f>
        <v>низкий</v>
      </c>
      <c r="F3518" s="68">
        <v>500541</v>
      </c>
      <c r="G3518" s="74" t="s">
        <v>2989</v>
      </c>
      <c r="H3518" s="181">
        <f>INDEX('Списки данных'!$D$2:$D$1048576,MATCH(База_КР_КК[[#This Row],[Структурное подразделение]],'Списки данных'!$C$2:$C$1048576,0))</f>
        <v>20</v>
      </c>
      <c r="I3518" s="80" t="s">
        <v>143</v>
      </c>
      <c r="J3518" s="80" t="s">
        <v>242</v>
      </c>
      <c r="K3518" s="80" t="s">
        <v>21</v>
      </c>
      <c r="L3518" s="30" t="s">
        <v>191</v>
      </c>
      <c r="M3518" s="68">
        <v>7</v>
      </c>
      <c r="N3518" s="181" t="str">
        <f t="shared" ref="N3518:N3581" si="56">IF(ISBLANK(O3518),"нет","да")</f>
        <v>нет</v>
      </c>
      <c r="O3518" s="23"/>
      <c r="P3518" s="23"/>
      <c r="Q3518" s="106"/>
      <c r="R3518" s="37">
        <v>807</v>
      </c>
      <c r="S3518" s="38" t="s">
        <v>1216</v>
      </c>
      <c r="T3518" s="37">
        <v>1902</v>
      </c>
      <c r="U3518" s="39" t="s">
        <v>1925</v>
      </c>
      <c r="V3518" s="89" t="s">
        <v>272</v>
      </c>
      <c r="W3518" s="89" t="s">
        <v>143</v>
      </c>
      <c r="X3518" s="106" t="s">
        <v>296</v>
      </c>
      <c r="Y3518" s="107" t="s">
        <v>18</v>
      </c>
      <c r="Z3518" s="67">
        <f>IF(База_КР_КК[[#This Row],[Таб.номер резервиста]]="-","-",IF(OR(База_КР_КК[[#This Row],[Уровень КК]]=2,База_КР_КК[[#This Row],[Уровень КК]]=3),IF(COUNTIFS($U$2:$U3518,$U3518,$F$2:$F3518,$F3518)=1,1,0),IF(COUNTIFS($U$2:$U3518,$U3518,$L$2:$L3518,$L3518)=1,1,0)))</f>
        <v>0</v>
      </c>
      <c r="AA35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8" s="106" t="s">
        <v>19</v>
      </c>
      <c r="AC3518" s="51">
        <v>44547</v>
      </c>
      <c r="AD3518" s="106" t="s">
        <v>15</v>
      </c>
      <c r="AE3518" s="38" t="s">
        <v>373</v>
      </c>
    </row>
    <row r="3519" spans="1:31" ht="18" customHeight="1" x14ac:dyDescent="0.25">
      <c r="A35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19" s="79">
        <v>4</v>
      </c>
      <c r="C3519" s="23">
        <v>44116</v>
      </c>
      <c r="D3519" s="67">
        <f>IF(COUNTIF($G$2:$G3519,$G3519)=1,1,0)</f>
        <v>0</v>
      </c>
      <c r="E3519" s="67" t="str">
        <f>IFERROR(VLOOKUP(База_КР_КК[[#This Row],[ИД штатной должности (S)]],'уровень защищенности'!$B$7:$F$1095,5,0),"не защищена")</f>
        <v>низкий</v>
      </c>
      <c r="F3519" s="68">
        <v>500541</v>
      </c>
      <c r="G3519" s="74" t="s">
        <v>2989</v>
      </c>
      <c r="H3519" s="181">
        <f>INDEX('Списки данных'!$D$2:$D$1048576,MATCH(База_КР_КК[[#This Row],[Структурное подразделение]],'Списки данных'!$C$2:$C$1048576,0))</f>
        <v>20</v>
      </c>
      <c r="I3519" s="80" t="s">
        <v>143</v>
      </c>
      <c r="J3519" s="80" t="s">
        <v>242</v>
      </c>
      <c r="K3519" s="80" t="s">
        <v>21</v>
      </c>
      <c r="L3519" s="30" t="s">
        <v>191</v>
      </c>
      <c r="M3519" s="68">
        <v>7</v>
      </c>
      <c r="N3519" s="181" t="str">
        <f t="shared" si="56"/>
        <v>нет</v>
      </c>
      <c r="O3519" s="23"/>
      <c r="P3519" s="23"/>
      <c r="Q3519" s="106"/>
      <c r="R3519" s="37">
        <v>807</v>
      </c>
      <c r="S3519" s="38" t="s">
        <v>1216</v>
      </c>
      <c r="T3519" s="37">
        <v>1901</v>
      </c>
      <c r="U3519" s="39" t="s">
        <v>2095</v>
      </c>
      <c r="V3519" s="69" t="s">
        <v>272</v>
      </c>
      <c r="W3519" s="89" t="s">
        <v>143</v>
      </c>
      <c r="X3519" s="106" t="s">
        <v>296</v>
      </c>
      <c r="Y3519" s="107" t="s">
        <v>18</v>
      </c>
      <c r="Z3519" s="67">
        <f>IF(База_КР_КК[[#This Row],[Таб.номер резервиста]]="-","-",IF(OR(База_КР_КК[[#This Row],[Уровень КК]]=2,База_КР_КК[[#This Row],[Уровень КК]]=3),IF(COUNTIFS($U$2:$U3519,$U3519,$F$2:$F3519,$F3519)=1,1,0),IF(COUNTIFS($U$2:$U3519,$U3519,$L$2:$L3519,$L3519)=1,1,0)))</f>
        <v>0</v>
      </c>
      <c r="AA35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19" s="106" t="s">
        <v>19</v>
      </c>
      <c r="AC3519" s="51">
        <v>44999</v>
      </c>
      <c r="AD3519" s="106" t="s">
        <v>13</v>
      </c>
      <c r="AE3519" s="38" t="s">
        <v>371</v>
      </c>
    </row>
    <row r="3520" spans="1:31" ht="18" customHeight="1" x14ac:dyDescent="0.25">
      <c r="A35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0" s="79">
        <v>4</v>
      </c>
      <c r="C3520" s="23">
        <v>44467</v>
      </c>
      <c r="D3520" s="67">
        <f>IF(COUNTIF($G$2:$G3520,$G3520)=1,1,0)</f>
        <v>0</v>
      </c>
      <c r="E3520" s="67" t="str">
        <f>IFERROR(VLOOKUP(База_КР_КК[[#This Row],[ИД штатной должности (S)]],'уровень защищенности'!$B$7:$F$1095,5,0),"не защищена")</f>
        <v>низкий</v>
      </c>
      <c r="F3520" s="68">
        <v>500541</v>
      </c>
      <c r="G3520" s="74" t="s">
        <v>2989</v>
      </c>
      <c r="H3520" s="181">
        <f>INDEX('Списки данных'!$D$2:$D$1048576,MATCH(База_КР_КК[[#This Row],[Структурное подразделение]],'Списки данных'!$C$2:$C$1048576,0))</f>
        <v>20</v>
      </c>
      <c r="I3520" s="80" t="s">
        <v>143</v>
      </c>
      <c r="J3520" s="80" t="s">
        <v>242</v>
      </c>
      <c r="K3520" s="80" t="s">
        <v>21</v>
      </c>
      <c r="L3520" s="30" t="s">
        <v>191</v>
      </c>
      <c r="M3520" s="68">
        <v>7</v>
      </c>
      <c r="N3520" s="181" t="str">
        <f t="shared" si="56"/>
        <v>нет</v>
      </c>
      <c r="O3520" s="23"/>
      <c r="P3520" s="23"/>
      <c r="Q3520" s="106"/>
      <c r="R3520" s="37">
        <v>807</v>
      </c>
      <c r="S3520" s="38" t="s">
        <v>1216</v>
      </c>
      <c r="T3520" s="37">
        <v>1903</v>
      </c>
      <c r="U3520" s="39" t="s">
        <v>2013</v>
      </c>
      <c r="V3520" s="69" t="s">
        <v>192</v>
      </c>
      <c r="W3520" s="89" t="s">
        <v>143</v>
      </c>
      <c r="X3520" s="106" t="s">
        <v>296</v>
      </c>
      <c r="Y3520" s="107" t="s">
        <v>18</v>
      </c>
      <c r="Z3520" s="67">
        <f>IF(База_КР_КК[[#This Row],[Таб.номер резервиста]]="-","-",IF(OR(База_КР_КК[[#This Row],[Уровень КК]]=2,База_КР_КК[[#This Row],[Уровень КК]]=3),IF(COUNTIFS($U$2:$U3520,$U3520,$F$2:$F3520,$F3520)=1,1,0),IF(COUNTIFS($U$2:$U3520,$U3520,$L$2:$L3520,$L3520)=1,1,0)))</f>
        <v>0</v>
      </c>
      <c r="AA35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0" s="106" t="s">
        <v>38</v>
      </c>
      <c r="AC3520" s="51">
        <v>44855</v>
      </c>
      <c r="AD3520" s="106" t="s">
        <v>31</v>
      </c>
      <c r="AE3520" s="38" t="s">
        <v>371</v>
      </c>
    </row>
    <row r="3521" spans="1:31" ht="18" customHeight="1" x14ac:dyDescent="0.25">
      <c r="A35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1" s="79">
        <v>4</v>
      </c>
      <c r="C3521" s="23">
        <v>44116</v>
      </c>
      <c r="D3521" s="67">
        <f>IF(COUNTIF($G$2:$G3521,$G3521)=1,1,0)</f>
        <v>1</v>
      </c>
      <c r="E3521" s="67" t="str">
        <f>IFERROR(VLOOKUP(База_КР_КК[[#This Row],[ИД штатной должности (S)]],'уровень защищенности'!$B$7:$F$1095,5,0),"не защищена")</f>
        <v>низкий</v>
      </c>
      <c r="F3521" s="68">
        <v>500541</v>
      </c>
      <c r="G3521" s="74" t="s">
        <v>2990</v>
      </c>
      <c r="H3521" s="181">
        <f>INDEX('Списки данных'!$D$2:$D$1048576,MATCH(База_КР_КК[[#This Row],[Структурное подразделение]],'Списки данных'!$C$2:$C$1048576,0))</f>
        <v>20</v>
      </c>
      <c r="I3521" s="80" t="s">
        <v>143</v>
      </c>
      <c r="J3521" s="80" t="s">
        <v>242</v>
      </c>
      <c r="K3521" s="80" t="s">
        <v>21</v>
      </c>
      <c r="L3521" s="30" t="s">
        <v>191</v>
      </c>
      <c r="M3521" s="68">
        <v>7</v>
      </c>
      <c r="N3521" s="181" t="str">
        <f t="shared" si="56"/>
        <v>нет</v>
      </c>
      <c r="O3521" s="23"/>
      <c r="P3521" s="23"/>
      <c r="Q3521" s="106"/>
      <c r="R3521" s="37">
        <v>808</v>
      </c>
      <c r="S3521" s="38" t="s">
        <v>1217</v>
      </c>
      <c r="T3521" s="37">
        <v>1899</v>
      </c>
      <c r="U3521" s="39" t="s">
        <v>2093</v>
      </c>
      <c r="V3521" s="89" t="s">
        <v>272</v>
      </c>
      <c r="W3521" s="89" t="s">
        <v>143</v>
      </c>
      <c r="X3521" s="106" t="s">
        <v>296</v>
      </c>
      <c r="Y3521" s="107" t="s">
        <v>12</v>
      </c>
      <c r="Z3521" s="67">
        <f>IF(База_КР_КК[[#This Row],[Таб.номер резервиста]]="-","-",IF(OR(База_КР_КК[[#This Row],[Уровень КК]]=2,База_КР_КК[[#This Row],[Уровень КК]]=3),IF(COUNTIFS($U$2:$U3521,$U3521,$F$2:$F3521,$F3521)=1,1,0),IF(COUNTIFS($U$2:$U3521,$U3521,$L$2:$L3521,$L3521)=1,1,0)))</f>
        <v>0</v>
      </c>
      <c r="AA35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1" s="106"/>
      <c r="AC3521" s="51"/>
      <c r="AD3521" s="106" t="s">
        <v>13</v>
      </c>
      <c r="AE3521" s="38" t="s">
        <v>371</v>
      </c>
    </row>
    <row r="3522" spans="1:31" ht="18" customHeight="1" x14ac:dyDescent="0.25">
      <c r="A35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2" s="79">
        <v>4</v>
      </c>
      <c r="C3522" s="23">
        <v>44116</v>
      </c>
      <c r="D3522" s="67">
        <f>IF(COUNTIF($G$2:$G3522,$G3522)=1,1,0)</f>
        <v>0</v>
      </c>
      <c r="E3522" s="67" t="str">
        <f>IFERROR(VLOOKUP(База_КР_КК[[#This Row],[ИД штатной должности (S)]],'уровень защищенности'!$B$7:$F$1095,5,0),"не защищена")</f>
        <v>низкий</v>
      </c>
      <c r="F3522" s="68">
        <v>500541</v>
      </c>
      <c r="G3522" s="74" t="s">
        <v>2990</v>
      </c>
      <c r="H3522" s="181">
        <f>INDEX('Списки данных'!$D$2:$D$1048576,MATCH(База_КР_КК[[#This Row],[Структурное подразделение]],'Списки данных'!$C$2:$C$1048576,0))</f>
        <v>20</v>
      </c>
      <c r="I3522" s="80" t="s">
        <v>143</v>
      </c>
      <c r="J3522" s="80" t="s">
        <v>242</v>
      </c>
      <c r="K3522" s="80" t="s">
        <v>21</v>
      </c>
      <c r="L3522" s="30" t="s">
        <v>191</v>
      </c>
      <c r="M3522" s="68">
        <v>7</v>
      </c>
      <c r="N3522" s="181" t="str">
        <f t="shared" si="56"/>
        <v>нет</v>
      </c>
      <c r="O3522" s="23"/>
      <c r="P3522" s="23"/>
      <c r="Q3522" s="106"/>
      <c r="R3522" s="37">
        <v>808</v>
      </c>
      <c r="S3522" s="38" t="s">
        <v>1217</v>
      </c>
      <c r="T3522" s="37">
        <v>1897</v>
      </c>
      <c r="U3522" s="39" t="s">
        <v>1582</v>
      </c>
      <c r="V3522" s="89" t="s">
        <v>272</v>
      </c>
      <c r="W3522" s="89" t="s">
        <v>143</v>
      </c>
      <c r="X3522" s="106" t="s">
        <v>296</v>
      </c>
      <c r="Y3522" s="107" t="s">
        <v>12</v>
      </c>
      <c r="Z3522" s="67">
        <f>IF(База_КР_КК[[#This Row],[Таб.номер резервиста]]="-","-",IF(OR(База_КР_КК[[#This Row],[Уровень КК]]=2,База_КР_КК[[#This Row],[Уровень КК]]=3),IF(COUNTIFS($U$2:$U3522,$U3522,$F$2:$F3522,$F3522)=1,1,0),IF(COUNTIFS($U$2:$U3522,$U3522,$L$2:$L3522,$L3522)=1,1,0)))</f>
        <v>0</v>
      </c>
      <c r="AA35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2" s="106"/>
      <c r="AC3522" s="51"/>
      <c r="AD3522" s="106" t="s">
        <v>13</v>
      </c>
      <c r="AE3522" s="38" t="s">
        <v>371</v>
      </c>
    </row>
    <row r="3523" spans="1:31" ht="18" customHeight="1" x14ac:dyDescent="0.25">
      <c r="A35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3" s="79">
        <v>4</v>
      </c>
      <c r="C3523" s="23">
        <v>44116</v>
      </c>
      <c r="D3523" s="67">
        <f>IF(COUNTIF($G$2:$G3523,$G3523)=1,1,0)</f>
        <v>0</v>
      </c>
      <c r="E3523" s="67" t="str">
        <f>IFERROR(VLOOKUP(База_КР_КК[[#This Row],[ИД штатной должности (S)]],'уровень защищенности'!$B$7:$F$1095,5,0),"не защищена")</f>
        <v>низкий</v>
      </c>
      <c r="F3523" s="68">
        <v>500541</v>
      </c>
      <c r="G3523" s="74" t="s">
        <v>2990</v>
      </c>
      <c r="H3523" s="181">
        <f>INDEX('Списки данных'!$D$2:$D$1048576,MATCH(База_КР_КК[[#This Row],[Структурное подразделение]],'Списки данных'!$C$2:$C$1048576,0))</f>
        <v>20</v>
      </c>
      <c r="I3523" s="80" t="s">
        <v>143</v>
      </c>
      <c r="J3523" s="80" t="s">
        <v>242</v>
      </c>
      <c r="K3523" s="80" t="s">
        <v>21</v>
      </c>
      <c r="L3523" s="30" t="s">
        <v>191</v>
      </c>
      <c r="M3523" s="68">
        <v>7</v>
      </c>
      <c r="N3523" s="181" t="str">
        <f t="shared" si="56"/>
        <v>нет</v>
      </c>
      <c r="O3523" s="23"/>
      <c r="P3523" s="23"/>
      <c r="Q3523" s="106"/>
      <c r="R3523" s="37">
        <v>808</v>
      </c>
      <c r="S3523" s="38" t="s">
        <v>1217</v>
      </c>
      <c r="T3523" s="37">
        <v>1898</v>
      </c>
      <c r="U3523" s="39" t="s">
        <v>2092</v>
      </c>
      <c r="V3523" s="89" t="s">
        <v>272</v>
      </c>
      <c r="W3523" s="89" t="s">
        <v>143</v>
      </c>
      <c r="X3523" s="106" t="s">
        <v>296</v>
      </c>
      <c r="Y3523" s="107" t="s">
        <v>12</v>
      </c>
      <c r="Z3523" s="67">
        <f>IF(База_КР_КК[[#This Row],[Таб.номер резервиста]]="-","-",IF(OR(База_КР_КК[[#This Row],[Уровень КК]]=2,База_КР_КК[[#This Row],[Уровень КК]]=3),IF(COUNTIFS($U$2:$U3523,$U3523,$F$2:$F3523,$F3523)=1,1,0),IF(COUNTIFS($U$2:$U3523,$U3523,$L$2:$L3523,$L3523)=1,1,0)))</f>
        <v>0</v>
      </c>
      <c r="AA35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3" s="106"/>
      <c r="AC3523" s="51"/>
      <c r="AD3523" s="106" t="s">
        <v>13</v>
      </c>
      <c r="AE3523" s="38" t="s">
        <v>371</v>
      </c>
    </row>
    <row r="3524" spans="1:31" ht="18" customHeight="1" x14ac:dyDescent="0.25">
      <c r="A35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4" s="79">
        <v>4</v>
      </c>
      <c r="C3524" s="23">
        <v>44467</v>
      </c>
      <c r="D3524" s="67">
        <f>IF(COUNTIF($G$2:$G3524,$G3524)=1,1,0)</f>
        <v>0</v>
      </c>
      <c r="E3524" s="67" t="str">
        <f>IFERROR(VLOOKUP(База_КР_КК[[#This Row],[ИД штатной должности (S)]],'уровень защищенности'!$B$7:$F$1095,5,0),"не защищена")</f>
        <v>низкий</v>
      </c>
      <c r="F3524" s="68">
        <v>500541</v>
      </c>
      <c r="G3524" s="74" t="s">
        <v>2990</v>
      </c>
      <c r="H3524" s="181">
        <f>INDEX('Списки данных'!$D$2:$D$1048576,MATCH(База_КР_КК[[#This Row],[Структурное подразделение]],'Списки данных'!$C$2:$C$1048576,0))</f>
        <v>20</v>
      </c>
      <c r="I3524" s="80" t="s">
        <v>143</v>
      </c>
      <c r="J3524" s="80" t="s">
        <v>242</v>
      </c>
      <c r="K3524" s="80" t="s">
        <v>21</v>
      </c>
      <c r="L3524" s="30" t="s">
        <v>191</v>
      </c>
      <c r="M3524" s="68">
        <v>7</v>
      </c>
      <c r="N3524" s="181" t="str">
        <f t="shared" si="56"/>
        <v>нет</v>
      </c>
      <c r="O3524" s="23"/>
      <c r="P3524" s="23"/>
      <c r="Q3524" s="106"/>
      <c r="R3524" s="37">
        <v>808</v>
      </c>
      <c r="S3524" s="38" t="s">
        <v>1217</v>
      </c>
      <c r="T3524" s="37">
        <v>1900</v>
      </c>
      <c r="U3524" s="39" t="s">
        <v>2094</v>
      </c>
      <c r="V3524" s="89" t="s">
        <v>272</v>
      </c>
      <c r="W3524" s="89" t="s">
        <v>143</v>
      </c>
      <c r="X3524" s="106" t="s">
        <v>296</v>
      </c>
      <c r="Y3524" s="107" t="s">
        <v>12</v>
      </c>
      <c r="Z3524" s="67">
        <f>IF(База_КР_КК[[#This Row],[Таб.номер резервиста]]="-","-",IF(OR(База_КР_КК[[#This Row],[Уровень КК]]=2,База_КР_КК[[#This Row],[Уровень КК]]=3),IF(COUNTIFS($U$2:$U3524,$U3524,$F$2:$F3524,$F3524)=1,1,0),IF(COUNTIFS($U$2:$U3524,$U3524,$L$2:$L3524,$L3524)=1,1,0)))</f>
        <v>0</v>
      </c>
      <c r="AA35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4" s="106"/>
      <c r="AC3524" s="51"/>
      <c r="AD3524" s="106" t="s">
        <v>13</v>
      </c>
      <c r="AE3524" s="38" t="s">
        <v>371</v>
      </c>
    </row>
    <row r="3525" spans="1:31" ht="18" customHeight="1" x14ac:dyDescent="0.25">
      <c r="A35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5" s="79">
        <v>4</v>
      </c>
      <c r="C3525" s="23">
        <v>44116</v>
      </c>
      <c r="D3525" s="67">
        <f>IF(COUNTIF($G$2:$G3525,$G3525)=1,1,0)</f>
        <v>0</v>
      </c>
      <c r="E3525" s="67" t="str">
        <f>IFERROR(VLOOKUP(База_КР_КК[[#This Row],[ИД штатной должности (S)]],'уровень защищенности'!$B$7:$F$1095,5,0),"не защищена")</f>
        <v>низкий</v>
      </c>
      <c r="F3525" s="68">
        <v>500541</v>
      </c>
      <c r="G3525" s="74" t="s">
        <v>2990</v>
      </c>
      <c r="H3525" s="181">
        <f>INDEX('Списки данных'!$D$2:$D$1048576,MATCH(База_КР_КК[[#This Row],[Структурное подразделение]],'Списки данных'!$C$2:$C$1048576,0))</f>
        <v>20</v>
      </c>
      <c r="I3525" s="80" t="s">
        <v>143</v>
      </c>
      <c r="J3525" s="80" t="s">
        <v>242</v>
      </c>
      <c r="K3525" s="80" t="s">
        <v>21</v>
      </c>
      <c r="L3525" s="30" t="s">
        <v>191</v>
      </c>
      <c r="M3525" s="68">
        <v>7</v>
      </c>
      <c r="N3525" s="181" t="str">
        <f t="shared" si="56"/>
        <v>нет</v>
      </c>
      <c r="O3525" s="23"/>
      <c r="P3525" s="23"/>
      <c r="Q3525" s="106"/>
      <c r="R3525" s="37">
        <v>808</v>
      </c>
      <c r="S3525" s="38" t="s">
        <v>1217</v>
      </c>
      <c r="T3525" s="37">
        <v>1902</v>
      </c>
      <c r="U3525" s="39" t="s">
        <v>1925</v>
      </c>
      <c r="V3525" s="89" t="s">
        <v>272</v>
      </c>
      <c r="W3525" s="89" t="s">
        <v>143</v>
      </c>
      <c r="X3525" s="106" t="s">
        <v>296</v>
      </c>
      <c r="Y3525" s="107" t="s">
        <v>18</v>
      </c>
      <c r="Z3525" s="67">
        <f>IF(База_КР_КК[[#This Row],[Таб.номер резервиста]]="-","-",IF(OR(База_КР_КК[[#This Row],[Уровень КК]]=2,База_КР_КК[[#This Row],[Уровень КК]]=3),IF(COUNTIFS($U$2:$U3525,$U3525,$F$2:$F3525,$F3525)=1,1,0),IF(COUNTIFS($U$2:$U3525,$U3525,$L$2:$L3525,$L3525)=1,1,0)))</f>
        <v>0</v>
      </c>
      <c r="AA35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5" s="106" t="s">
        <v>19</v>
      </c>
      <c r="AC3525" s="51">
        <v>44547</v>
      </c>
      <c r="AD3525" s="106" t="s">
        <v>15</v>
      </c>
      <c r="AE3525" s="38" t="s">
        <v>373</v>
      </c>
    </row>
    <row r="3526" spans="1:31" ht="18" customHeight="1" x14ac:dyDescent="0.25">
      <c r="A35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6" s="79">
        <v>4</v>
      </c>
      <c r="C3526" s="23">
        <v>44116</v>
      </c>
      <c r="D3526" s="67">
        <f>IF(COUNTIF($G$2:$G3526,$G3526)=1,1,0)</f>
        <v>0</v>
      </c>
      <c r="E3526" s="67" t="str">
        <f>IFERROR(VLOOKUP(База_КР_КК[[#This Row],[ИД штатной должности (S)]],'уровень защищенности'!$B$7:$F$1095,5,0),"не защищена")</f>
        <v>низкий</v>
      </c>
      <c r="F3526" s="68">
        <v>500541</v>
      </c>
      <c r="G3526" s="74" t="s">
        <v>2990</v>
      </c>
      <c r="H3526" s="181">
        <f>INDEX('Списки данных'!$D$2:$D$1048576,MATCH(База_КР_КК[[#This Row],[Структурное подразделение]],'Списки данных'!$C$2:$C$1048576,0))</f>
        <v>20</v>
      </c>
      <c r="I3526" s="80" t="s">
        <v>143</v>
      </c>
      <c r="J3526" s="80" t="s">
        <v>242</v>
      </c>
      <c r="K3526" s="80" t="s">
        <v>21</v>
      </c>
      <c r="L3526" s="30" t="s">
        <v>191</v>
      </c>
      <c r="M3526" s="68">
        <v>7</v>
      </c>
      <c r="N3526" s="181" t="str">
        <f t="shared" si="56"/>
        <v>нет</v>
      </c>
      <c r="O3526" s="23"/>
      <c r="P3526" s="23"/>
      <c r="Q3526" s="106"/>
      <c r="R3526" s="37">
        <v>808</v>
      </c>
      <c r="S3526" s="38" t="s">
        <v>1217</v>
      </c>
      <c r="T3526" s="37">
        <v>1901</v>
      </c>
      <c r="U3526" s="39" t="s">
        <v>2095</v>
      </c>
      <c r="V3526" s="69" t="s">
        <v>272</v>
      </c>
      <c r="W3526" s="89" t="s">
        <v>143</v>
      </c>
      <c r="X3526" s="106" t="s">
        <v>296</v>
      </c>
      <c r="Y3526" s="107" t="s">
        <v>18</v>
      </c>
      <c r="Z3526" s="67">
        <f>IF(База_КР_КК[[#This Row],[Таб.номер резервиста]]="-","-",IF(OR(База_КР_КК[[#This Row],[Уровень КК]]=2,База_КР_КК[[#This Row],[Уровень КК]]=3),IF(COUNTIFS($U$2:$U3526,$U3526,$F$2:$F3526,$F3526)=1,1,0),IF(COUNTIFS($U$2:$U3526,$U3526,$L$2:$L3526,$L3526)=1,1,0)))</f>
        <v>0</v>
      </c>
      <c r="AA35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6" s="106" t="s">
        <v>19</v>
      </c>
      <c r="AC3526" s="51">
        <v>44999</v>
      </c>
      <c r="AD3526" s="106" t="s">
        <v>13</v>
      </c>
      <c r="AE3526" s="38" t="s">
        <v>371</v>
      </c>
    </row>
    <row r="3527" spans="1:31" ht="18" customHeight="1" x14ac:dyDescent="0.25">
      <c r="A35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7" s="79">
        <v>4</v>
      </c>
      <c r="C3527" s="23">
        <v>44467</v>
      </c>
      <c r="D3527" s="67">
        <f>IF(COUNTIF($G$2:$G3527,$G3527)=1,1,0)</f>
        <v>0</v>
      </c>
      <c r="E3527" s="67" t="str">
        <f>IFERROR(VLOOKUP(База_КР_КК[[#This Row],[ИД штатной должности (S)]],'уровень защищенности'!$B$7:$F$1095,5,0),"не защищена")</f>
        <v>низкий</v>
      </c>
      <c r="F3527" s="68">
        <v>500541</v>
      </c>
      <c r="G3527" s="74" t="s">
        <v>2990</v>
      </c>
      <c r="H3527" s="181">
        <f>INDEX('Списки данных'!$D$2:$D$1048576,MATCH(База_КР_КК[[#This Row],[Структурное подразделение]],'Списки данных'!$C$2:$C$1048576,0))</f>
        <v>20</v>
      </c>
      <c r="I3527" s="80" t="s">
        <v>143</v>
      </c>
      <c r="J3527" s="80" t="s">
        <v>242</v>
      </c>
      <c r="K3527" s="80" t="s">
        <v>21</v>
      </c>
      <c r="L3527" s="30" t="s">
        <v>191</v>
      </c>
      <c r="M3527" s="68">
        <v>7</v>
      </c>
      <c r="N3527" s="181" t="str">
        <f t="shared" si="56"/>
        <v>нет</v>
      </c>
      <c r="O3527" s="23"/>
      <c r="P3527" s="23"/>
      <c r="Q3527" s="106"/>
      <c r="R3527" s="37">
        <v>808</v>
      </c>
      <c r="S3527" s="38" t="s">
        <v>1217</v>
      </c>
      <c r="T3527" s="37">
        <v>1903</v>
      </c>
      <c r="U3527" s="39" t="s">
        <v>2013</v>
      </c>
      <c r="V3527" s="69" t="s">
        <v>192</v>
      </c>
      <c r="W3527" s="89" t="s">
        <v>143</v>
      </c>
      <c r="X3527" s="106" t="s">
        <v>296</v>
      </c>
      <c r="Y3527" s="107" t="s">
        <v>18</v>
      </c>
      <c r="Z3527" s="67">
        <f>IF(База_КР_КК[[#This Row],[Таб.номер резервиста]]="-","-",IF(OR(База_КР_КК[[#This Row],[Уровень КК]]=2,База_КР_КК[[#This Row],[Уровень КК]]=3),IF(COUNTIFS($U$2:$U3527,$U3527,$F$2:$F3527,$F3527)=1,1,0),IF(COUNTIFS($U$2:$U3527,$U3527,$L$2:$L3527,$L3527)=1,1,0)))</f>
        <v>0</v>
      </c>
      <c r="AA35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7" s="106" t="s">
        <v>38</v>
      </c>
      <c r="AC3527" s="51">
        <v>44855</v>
      </c>
      <c r="AD3527" s="106" t="s">
        <v>31</v>
      </c>
      <c r="AE3527" s="38" t="s">
        <v>371</v>
      </c>
    </row>
    <row r="3528" spans="1:31" ht="18" customHeight="1" x14ac:dyDescent="0.25">
      <c r="A35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8" s="79">
        <v>4</v>
      </c>
      <c r="C3528" s="23">
        <v>44116</v>
      </c>
      <c r="D3528" s="67">
        <f>IF(COUNTIF($G$2:$G3528,$G3528)=1,1,0)</f>
        <v>1</v>
      </c>
      <c r="E3528" s="67" t="str">
        <f>IFERROR(VLOOKUP(База_КР_КК[[#This Row],[ИД штатной должности (S)]],'уровень защищенности'!$B$7:$F$1095,5,0),"не защищена")</f>
        <v>низкий</v>
      </c>
      <c r="F3528" s="68">
        <v>500541</v>
      </c>
      <c r="G3528" s="74" t="s">
        <v>2991</v>
      </c>
      <c r="H3528" s="181">
        <f>INDEX('Списки данных'!$D$2:$D$1048576,MATCH(База_КР_КК[[#This Row],[Структурное подразделение]],'Списки данных'!$C$2:$C$1048576,0))</f>
        <v>20</v>
      </c>
      <c r="I3528" s="80" t="s">
        <v>143</v>
      </c>
      <c r="J3528" s="80" t="s">
        <v>242</v>
      </c>
      <c r="K3528" s="80" t="s">
        <v>21</v>
      </c>
      <c r="L3528" s="30" t="s">
        <v>191</v>
      </c>
      <c r="M3528" s="68">
        <v>7</v>
      </c>
      <c r="N3528" s="181" t="str">
        <f t="shared" si="56"/>
        <v>нет</v>
      </c>
      <c r="O3528" s="23"/>
      <c r="P3528" s="23"/>
      <c r="Q3528" s="106"/>
      <c r="R3528" s="37">
        <v>809</v>
      </c>
      <c r="S3528" s="38" t="s">
        <v>1218</v>
      </c>
      <c r="T3528" s="37">
        <v>1899</v>
      </c>
      <c r="U3528" s="39" t="s">
        <v>2093</v>
      </c>
      <c r="V3528" s="89" t="s">
        <v>272</v>
      </c>
      <c r="W3528" s="89" t="s">
        <v>143</v>
      </c>
      <c r="X3528" s="106" t="s">
        <v>296</v>
      </c>
      <c r="Y3528" s="107" t="s">
        <v>12</v>
      </c>
      <c r="Z3528" s="67">
        <f>IF(База_КР_КК[[#This Row],[Таб.номер резервиста]]="-","-",IF(OR(База_КР_КК[[#This Row],[Уровень КК]]=2,База_КР_КК[[#This Row],[Уровень КК]]=3),IF(COUNTIFS($U$2:$U3528,$U3528,$F$2:$F3528,$F3528)=1,1,0),IF(COUNTIFS($U$2:$U3528,$U3528,$L$2:$L3528,$L3528)=1,1,0)))</f>
        <v>0</v>
      </c>
      <c r="AA35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8" s="106"/>
      <c r="AC3528" s="51"/>
      <c r="AD3528" s="106" t="s">
        <v>13</v>
      </c>
      <c r="AE3528" s="38" t="s">
        <v>371</v>
      </c>
    </row>
    <row r="3529" spans="1:31" ht="18" customHeight="1" x14ac:dyDescent="0.25">
      <c r="A35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29" s="79">
        <v>4</v>
      </c>
      <c r="C3529" s="23">
        <v>44116</v>
      </c>
      <c r="D3529" s="67">
        <f>IF(COUNTIF($G$2:$G3529,$G3529)=1,1,0)</f>
        <v>0</v>
      </c>
      <c r="E3529" s="67" t="str">
        <f>IFERROR(VLOOKUP(База_КР_КК[[#This Row],[ИД штатной должности (S)]],'уровень защищенности'!$B$7:$F$1095,5,0),"не защищена")</f>
        <v>низкий</v>
      </c>
      <c r="F3529" s="68">
        <v>500541</v>
      </c>
      <c r="G3529" s="74" t="s">
        <v>2991</v>
      </c>
      <c r="H3529" s="181">
        <f>INDEX('Списки данных'!$D$2:$D$1048576,MATCH(База_КР_КК[[#This Row],[Структурное подразделение]],'Списки данных'!$C$2:$C$1048576,0))</f>
        <v>20</v>
      </c>
      <c r="I3529" s="80" t="s">
        <v>143</v>
      </c>
      <c r="J3529" s="80" t="s">
        <v>242</v>
      </c>
      <c r="K3529" s="80" t="s">
        <v>21</v>
      </c>
      <c r="L3529" s="30" t="s">
        <v>191</v>
      </c>
      <c r="M3529" s="68">
        <v>7</v>
      </c>
      <c r="N3529" s="181" t="str">
        <f t="shared" si="56"/>
        <v>нет</v>
      </c>
      <c r="O3529" s="23"/>
      <c r="P3529" s="23"/>
      <c r="Q3529" s="106"/>
      <c r="R3529" s="37">
        <v>809</v>
      </c>
      <c r="S3529" s="38" t="s">
        <v>1218</v>
      </c>
      <c r="T3529" s="37">
        <v>1897</v>
      </c>
      <c r="U3529" s="39" t="s">
        <v>1582</v>
      </c>
      <c r="V3529" s="89" t="s">
        <v>272</v>
      </c>
      <c r="W3529" s="89" t="s">
        <v>143</v>
      </c>
      <c r="X3529" s="106" t="s">
        <v>296</v>
      </c>
      <c r="Y3529" s="107" t="s">
        <v>12</v>
      </c>
      <c r="Z3529" s="67">
        <f>IF(База_КР_КК[[#This Row],[Таб.номер резервиста]]="-","-",IF(OR(База_КР_КК[[#This Row],[Уровень КК]]=2,База_КР_КК[[#This Row],[Уровень КК]]=3),IF(COUNTIFS($U$2:$U3529,$U3529,$F$2:$F3529,$F3529)=1,1,0),IF(COUNTIFS($U$2:$U3529,$U3529,$L$2:$L3529,$L3529)=1,1,0)))</f>
        <v>0</v>
      </c>
      <c r="AA35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29" s="106"/>
      <c r="AC3529" s="51"/>
      <c r="AD3529" s="106" t="s">
        <v>13</v>
      </c>
      <c r="AE3529" s="38" t="s">
        <v>371</v>
      </c>
    </row>
    <row r="3530" spans="1:31" ht="18" customHeight="1" x14ac:dyDescent="0.25">
      <c r="A35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0" s="79">
        <v>4</v>
      </c>
      <c r="C3530" s="23">
        <v>44116</v>
      </c>
      <c r="D3530" s="67">
        <f>IF(COUNTIF($G$2:$G3530,$G3530)=1,1,0)</f>
        <v>0</v>
      </c>
      <c r="E3530" s="67" t="str">
        <f>IFERROR(VLOOKUP(База_КР_КК[[#This Row],[ИД штатной должности (S)]],'уровень защищенности'!$B$7:$F$1095,5,0),"не защищена")</f>
        <v>низкий</v>
      </c>
      <c r="F3530" s="68">
        <v>500541</v>
      </c>
      <c r="G3530" s="74" t="s">
        <v>2991</v>
      </c>
      <c r="H3530" s="181">
        <f>INDEX('Списки данных'!$D$2:$D$1048576,MATCH(База_КР_КК[[#This Row],[Структурное подразделение]],'Списки данных'!$C$2:$C$1048576,0))</f>
        <v>20</v>
      </c>
      <c r="I3530" s="80" t="s">
        <v>143</v>
      </c>
      <c r="J3530" s="80" t="s">
        <v>242</v>
      </c>
      <c r="K3530" s="80" t="s">
        <v>21</v>
      </c>
      <c r="L3530" s="30" t="s">
        <v>191</v>
      </c>
      <c r="M3530" s="68">
        <v>7</v>
      </c>
      <c r="N3530" s="181" t="str">
        <f t="shared" si="56"/>
        <v>нет</v>
      </c>
      <c r="O3530" s="23"/>
      <c r="P3530" s="23"/>
      <c r="Q3530" s="106"/>
      <c r="R3530" s="37">
        <v>809</v>
      </c>
      <c r="S3530" s="38" t="s">
        <v>1218</v>
      </c>
      <c r="T3530" s="37">
        <v>1898</v>
      </c>
      <c r="U3530" s="39" t="s">
        <v>2092</v>
      </c>
      <c r="V3530" s="89" t="s">
        <v>272</v>
      </c>
      <c r="W3530" s="89" t="s">
        <v>143</v>
      </c>
      <c r="X3530" s="106" t="s">
        <v>296</v>
      </c>
      <c r="Y3530" s="107" t="s">
        <v>12</v>
      </c>
      <c r="Z3530" s="67">
        <f>IF(База_КР_КК[[#This Row],[Таб.номер резервиста]]="-","-",IF(OR(База_КР_КК[[#This Row],[Уровень КК]]=2,База_КР_КК[[#This Row],[Уровень КК]]=3),IF(COUNTIFS($U$2:$U3530,$U3530,$F$2:$F3530,$F3530)=1,1,0),IF(COUNTIFS($U$2:$U3530,$U3530,$L$2:$L3530,$L3530)=1,1,0)))</f>
        <v>0</v>
      </c>
      <c r="AA35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0" s="106"/>
      <c r="AC3530" s="51"/>
      <c r="AD3530" s="106" t="s">
        <v>13</v>
      </c>
      <c r="AE3530" s="38" t="s">
        <v>371</v>
      </c>
    </row>
    <row r="3531" spans="1:31" ht="18" customHeight="1" x14ac:dyDescent="0.25">
      <c r="A35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1" s="79">
        <v>4</v>
      </c>
      <c r="C3531" s="23">
        <v>44467</v>
      </c>
      <c r="D3531" s="67">
        <f>IF(COUNTIF($G$2:$G3531,$G3531)=1,1,0)</f>
        <v>0</v>
      </c>
      <c r="E3531" s="67" t="str">
        <f>IFERROR(VLOOKUP(База_КР_КК[[#This Row],[ИД штатной должности (S)]],'уровень защищенности'!$B$7:$F$1095,5,0),"не защищена")</f>
        <v>низкий</v>
      </c>
      <c r="F3531" s="68">
        <v>500541</v>
      </c>
      <c r="G3531" s="74" t="s">
        <v>2991</v>
      </c>
      <c r="H3531" s="181">
        <f>INDEX('Списки данных'!$D$2:$D$1048576,MATCH(База_КР_КК[[#This Row],[Структурное подразделение]],'Списки данных'!$C$2:$C$1048576,0))</f>
        <v>20</v>
      </c>
      <c r="I3531" s="80" t="s">
        <v>143</v>
      </c>
      <c r="J3531" s="80" t="s">
        <v>242</v>
      </c>
      <c r="K3531" s="80" t="s">
        <v>21</v>
      </c>
      <c r="L3531" s="30" t="s">
        <v>191</v>
      </c>
      <c r="M3531" s="68">
        <v>7</v>
      </c>
      <c r="N3531" s="181" t="str">
        <f t="shared" si="56"/>
        <v>нет</v>
      </c>
      <c r="O3531" s="23"/>
      <c r="P3531" s="23"/>
      <c r="Q3531" s="106"/>
      <c r="R3531" s="37">
        <v>809</v>
      </c>
      <c r="S3531" s="38" t="s">
        <v>1218</v>
      </c>
      <c r="T3531" s="37">
        <v>1900</v>
      </c>
      <c r="U3531" s="39" t="s">
        <v>2094</v>
      </c>
      <c r="V3531" s="89" t="s">
        <v>272</v>
      </c>
      <c r="W3531" s="89" t="s">
        <v>143</v>
      </c>
      <c r="X3531" s="106" t="s">
        <v>296</v>
      </c>
      <c r="Y3531" s="107" t="s">
        <v>12</v>
      </c>
      <c r="Z3531" s="67">
        <f>IF(База_КР_КК[[#This Row],[Таб.номер резервиста]]="-","-",IF(OR(База_КР_КК[[#This Row],[Уровень КК]]=2,База_КР_КК[[#This Row],[Уровень КК]]=3),IF(COUNTIFS($U$2:$U3531,$U3531,$F$2:$F3531,$F3531)=1,1,0),IF(COUNTIFS($U$2:$U3531,$U3531,$L$2:$L3531,$L3531)=1,1,0)))</f>
        <v>0</v>
      </c>
      <c r="AA35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1" s="106"/>
      <c r="AC3531" s="51"/>
      <c r="AD3531" s="106" t="s">
        <v>13</v>
      </c>
      <c r="AE3531" s="38" t="s">
        <v>371</v>
      </c>
    </row>
    <row r="3532" spans="1:31" ht="18" customHeight="1" x14ac:dyDescent="0.25">
      <c r="A35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2" s="79">
        <v>4</v>
      </c>
      <c r="C3532" s="23">
        <v>44116</v>
      </c>
      <c r="D3532" s="67">
        <f>IF(COUNTIF($G$2:$G3532,$G3532)=1,1,0)</f>
        <v>0</v>
      </c>
      <c r="E3532" s="67" t="str">
        <f>IFERROR(VLOOKUP(База_КР_КК[[#This Row],[ИД штатной должности (S)]],'уровень защищенности'!$B$7:$F$1095,5,0),"не защищена")</f>
        <v>низкий</v>
      </c>
      <c r="F3532" s="68">
        <v>500541</v>
      </c>
      <c r="G3532" s="74" t="s">
        <v>2991</v>
      </c>
      <c r="H3532" s="181">
        <f>INDEX('Списки данных'!$D$2:$D$1048576,MATCH(База_КР_КК[[#This Row],[Структурное подразделение]],'Списки данных'!$C$2:$C$1048576,0))</f>
        <v>20</v>
      </c>
      <c r="I3532" s="80" t="s">
        <v>143</v>
      </c>
      <c r="J3532" s="80" t="s">
        <v>242</v>
      </c>
      <c r="K3532" s="80" t="s">
        <v>21</v>
      </c>
      <c r="L3532" s="30" t="s">
        <v>191</v>
      </c>
      <c r="M3532" s="68">
        <v>7</v>
      </c>
      <c r="N3532" s="181" t="str">
        <f t="shared" si="56"/>
        <v>нет</v>
      </c>
      <c r="O3532" s="23"/>
      <c r="P3532" s="23"/>
      <c r="Q3532" s="106"/>
      <c r="R3532" s="37">
        <v>809</v>
      </c>
      <c r="S3532" s="38" t="s">
        <v>1218</v>
      </c>
      <c r="T3532" s="37">
        <v>1902</v>
      </c>
      <c r="U3532" s="39" t="s">
        <v>1925</v>
      </c>
      <c r="V3532" s="89" t="s">
        <v>272</v>
      </c>
      <c r="W3532" s="89" t="s">
        <v>143</v>
      </c>
      <c r="X3532" s="106" t="s">
        <v>296</v>
      </c>
      <c r="Y3532" s="107" t="s">
        <v>18</v>
      </c>
      <c r="Z3532" s="67">
        <f>IF(База_КР_КК[[#This Row],[Таб.номер резервиста]]="-","-",IF(OR(База_КР_КК[[#This Row],[Уровень КК]]=2,База_КР_КК[[#This Row],[Уровень КК]]=3),IF(COUNTIFS($U$2:$U3532,$U3532,$F$2:$F3532,$F3532)=1,1,0),IF(COUNTIFS($U$2:$U3532,$U3532,$L$2:$L3532,$L3532)=1,1,0)))</f>
        <v>0</v>
      </c>
      <c r="AA35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2" s="106" t="s">
        <v>19</v>
      </c>
      <c r="AC3532" s="51">
        <v>44547</v>
      </c>
      <c r="AD3532" s="106" t="s">
        <v>15</v>
      </c>
      <c r="AE3532" s="38" t="s">
        <v>373</v>
      </c>
    </row>
    <row r="3533" spans="1:31" ht="18" customHeight="1" x14ac:dyDescent="0.25">
      <c r="A35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3" s="79">
        <v>4</v>
      </c>
      <c r="C3533" s="23">
        <v>44116</v>
      </c>
      <c r="D3533" s="67">
        <f>IF(COUNTIF($G$2:$G3533,$G3533)=1,1,0)</f>
        <v>0</v>
      </c>
      <c r="E3533" s="67" t="str">
        <f>IFERROR(VLOOKUP(База_КР_КК[[#This Row],[ИД штатной должности (S)]],'уровень защищенности'!$B$7:$F$1095,5,0),"не защищена")</f>
        <v>низкий</v>
      </c>
      <c r="F3533" s="68">
        <v>500541</v>
      </c>
      <c r="G3533" s="74" t="s">
        <v>2991</v>
      </c>
      <c r="H3533" s="181">
        <f>INDEX('Списки данных'!$D$2:$D$1048576,MATCH(База_КР_КК[[#This Row],[Структурное подразделение]],'Списки данных'!$C$2:$C$1048576,0))</f>
        <v>20</v>
      </c>
      <c r="I3533" s="80" t="s">
        <v>143</v>
      </c>
      <c r="J3533" s="80" t="s">
        <v>242</v>
      </c>
      <c r="K3533" s="80" t="s">
        <v>21</v>
      </c>
      <c r="L3533" s="30" t="s">
        <v>191</v>
      </c>
      <c r="M3533" s="68">
        <v>7</v>
      </c>
      <c r="N3533" s="181" t="str">
        <f t="shared" si="56"/>
        <v>нет</v>
      </c>
      <c r="O3533" s="23"/>
      <c r="P3533" s="23"/>
      <c r="Q3533" s="106"/>
      <c r="R3533" s="37">
        <v>809</v>
      </c>
      <c r="S3533" s="38" t="s">
        <v>1218</v>
      </c>
      <c r="T3533" s="37">
        <v>1901</v>
      </c>
      <c r="U3533" s="39" t="s">
        <v>2095</v>
      </c>
      <c r="V3533" s="69" t="s">
        <v>272</v>
      </c>
      <c r="W3533" s="89" t="s">
        <v>143</v>
      </c>
      <c r="X3533" s="106" t="s">
        <v>296</v>
      </c>
      <c r="Y3533" s="107" t="s">
        <v>18</v>
      </c>
      <c r="Z3533" s="67">
        <f>IF(База_КР_КК[[#This Row],[Таб.номер резервиста]]="-","-",IF(OR(База_КР_КК[[#This Row],[Уровень КК]]=2,База_КР_КК[[#This Row],[Уровень КК]]=3),IF(COUNTIFS($U$2:$U3533,$U3533,$F$2:$F3533,$F3533)=1,1,0),IF(COUNTIFS($U$2:$U3533,$U3533,$L$2:$L3533,$L3533)=1,1,0)))</f>
        <v>0</v>
      </c>
      <c r="AA35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3" s="106" t="s">
        <v>19</v>
      </c>
      <c r="AC3533" s="51">
        <v>44999</v>
      </c>
      <c r="AD3533" s="106" t="s">
        <v>13</v>
      </c>
      <c r="AE3533" s="38" t="s">
        <v>371</v>
      </c>
    </row>
    <row r="3534" spans="1:31" ht="18" customHeight="1" x14ac:dyDescent="0.25">
      <c r="A35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4" s="79">
        <v>4</v>
      </c>
      <c r="C3534" s="23">
        <v>44467</v>
      </c>
      <c r="D3534" s="67">
        <f>IF(COUNTIF($G$2:$G3534,$G3534)=1,1,0)</f>
        <v>0</v>
      </c>
      <c r="E3534" s="67" t="str">
        <f>IFERROR(VLOOKUP(База_КР_КК[[#This Row],[ИД штатной должности (S)]],'уровень защищенности'!$B$7:$F$1095,5,0),"не защищена")</f>
        <v>низкий</v>
      </c>
      <c r="F3534" s="68">
        <v>500541</v>
      </c>
      <c r="G3534" s="74" t="s">
        <v>2991</v>
      </c>
      <c r="H3534" s="181">
        <f>INDEX('Списки данных'!$D$2:$D$1048576,MATCH(База_КР_КК[[#This Row],[Структурное подразделение]],'Списки данных'!$C$2:$C$1048576,0))</f>
        <v>20</v>
      </c>
      <c r="I3534" s="80" t="s">
        <v>143</v>
      </c>
      <c r="J3534" s="80" t="s">
        <v>242</v>
      </c>
      <c r="K3534" s="80" t="s">
        <v>21</v>
      </c>
      <c r="L3534" s="30" t="s">
        <v>191</v>
      </c>
      <c r="M3534" s="68">
        <v>7</v>
      </c>
      <c r="N3534" s="181" t="str">
        <f t="shared" si="56"/>
        <v>нет</v>
      </c>
      <c r="O3534" s="23"/>
      <c r="P3534" s="23"/>
      <c r="Q3534" s="106"/>
      <c r="R3534" s="37">
        <v>809</v>
      </c>
      <c r="S3534" s="38" t="s">
        <v>1218</v>
      </c>
      <c r="T3534" s="37">
        <v>1903</v>
      </c>
      <c r="U3534" s="39" t="s">
        <v>2013</v>
      </c>
      <c r="V3534" s="69" t="s">
        <v>192</v>
      </c>
      <c r="W3534" s="89" t="s">
        <v>143</v>
      </c>
      <c r="X3534" s="106" t="s">
        <v>296</v>
      </c>
      <c r="Y3534" s="107" t="s">
        <v>18</v>
      </c>
      <c r="Z3534" s="67">
        <f>IF(База_КР_КК[[#This Row],[Таб.номер резервиста]]="-","-",IF(OR(База_КР_КК[[#This Row],[Уровень КК]]=2,База_КР_КК[[#This Row],[Уровень КК]]=3),IF(COUNTIFS($U$2:$U3534,$U3534,$F$2:$F3534,$F3534)=1,1,0),IF(COUNTIFS($U$2:$U3534,$U3534,$L$2:$L3534,$L3534)=1,1,0)))</f>
        <v>0</v>
      </c>
      <c r="AA35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4" s="106" t="s">
        <v>38</v>
      </c>
      <c r="AC3534" s="51">
        <v>44855</v>
      </c>
      <c r="AD3534" s="106" t="s">
        <v>31</v>
      </c>
      <c r="AE3534" s="38" t="s">
        <v>371</v>
      </c>
    </row>
    <row r="3535" spans="1:31" ht="18" customHeight="1" x14ac:dyDescent="0.25">
      <c r="A35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5" s="79">
        <v>3</v>
      </c>
      <c r="C3535" s="23">
        <v>44176</v>
      </c>
      <c r="D3535" s="67">
        <f>IF(COUNTIF($G$2:$G3535,$G3535)=1,1,0)</f>
        <v>1</v>
      </c>
      <c r="E3535" s="67" t="str">
        <f>IFERROR(VLOOKUP(База_КР_КК[[#This Row],[ИД штатной должности (S)]],'уровень защищенности'!$B$7:$F$1095,5,0),"не защищена")</f>
        <v>высокий</v>
      </c>
      <c r="F3535" s="68">
        <v>500543</v>
      </c>
      <c r="G3535" s="74" t="s">
        <v>2992</v>
      </c>
      <c r="H3535" s="181">
        <f>INDEX('Списки данных'!$D$2:$D$1048576,MATCH(База_КР_КК[[#This Row],[Структурное подразделение]],'Списки данных'!$C$2:$C$1048576,0))</f>
        <v>7</v>
      </c>
      <c r="I3535" s="80" t="s">
        <v>137</v>
      </c>
      <c r="J3535" s="80" t="s">
        <v>248</v>
      </c>
      <c r="K3535" s="80" t="s">
        <v>21</v>
      </c>
      <c r="L3535" s="30" t="s">
        <v>189</v>
      </c>
      <c r="M3535" s="68">
        <v>6</v>
      </c>
      <c r="N3535" s="181" t="str">
        <f t="shared" si="56"/>
        <v>нет</v>
      </c>
      <c r="O3535" s="23"/>
      <c r="P3535" s="23"/>
      <c r="Q3535" s="106"/>
      <c r="R3535" s="37">
        <v>810</v>
      </c>
      <c r="S3535" s="38" t="s">
        <v>1219</v>
      </c>
      <c r="T3535" s="37">
        <v>827</v>
      </c>
      <c r="U3535" s="39" t="s">
        <v>1236</v>
      </c>
      <c r="V3535" s="89" t="s">
        <v>198</v>
      </c>
      <c r="W3535" s="89" t="s">
        <v>137</v>
      </c>
      <c r="X3535" s="106" t="s">
        <v>295</v>
      </c>
      <c r="Y3535" s="107" t="s">
        <v>12</v>
      </c>
      <c r="Z3535" s="67">
        <f>IF(База_КР_КК[[#This Row],[Таб.номер резервиста]]="-","-",IF(OR(База_КР_КК[[#This Row],[Уровень КК]]=2,База_КР_КК[[#This Row],[Уровень КК]]=3),IF(COUNTIFS($U$2:$U3535,$U3535,$F$2:$F3535,$F3535)=1,1,0),IF(COUNTIFS($U$2:$U3535,$U3535,$L$2:$L3535,$L3535)=1,1,0)))</f>
        <v>1</v>
      </c>
      <c r="AA35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5" s="106"/>
      <c r="AC3535" s="51"/>
      <c r="AD3535" s="106" t="s">
        <v>13</v>
      </c>
      <c r="AE3535" s="38" t="s">
        <v>370</v>
      </c>
    </row>
    <row r="3536" spans="1:31" ht="18" customHeight="1" x14ac:dyDescent="0.25">
      <c r="A35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6" s="79">
        <v>3</v>
      </c>
      <c r="C3536" s="23">
        <v>44039</v>
      </c>
      <c r="D3536" s="67">
        <f>IF(COUNTIF($G$2:$G3536,$G3536)=1,1,0)</f>
        <v>1</v>
      </c>
      <c r="E3536" s="67" t="str">
        <f>IFERROR(VLOOKUP(База_КР_КК[[#This Row],[ИД штатной должности (S)]],'уровень защищенности'!$B$7:$F$1095,5,0),"не защищена")</f>
        <v>высокий</v>
      </c>
      <c r="F3536" s="68">
        <v>500062</v>
      </c>
      <c r="G3536" s="74" t="s">
        <v>2993</v>
      </c>
      <c r="H3536" s="181">
        <f>INDEX('Списки данных'!$D$2:$D$1048576,MATCH(База_КР_КК[[#This Row],[Структурное подразделение]],'Списки данных'!$C$2:$C$1048576,0))</f>
        <v>4</v>
      </c>
      <c r="I3536" s="80" t="s">
        <v>157</v>
      </c>
      <c r="J3536" s="80" t="s">
        <v>244</v>
      </c>
      <c r="K3536" s="80" t="s">
        <v>21</v>
      </c>
      <c r="L3536" s="30" t="s">
        <v>198</v>
      </c>
      <c r="M3536" s="68">
        <v>6</v>
      </c>
      <c r="N3536" s="181" t="str">
        <f t="shared" si="56"/>
        <v>нет</v>
      </c>
      <c r="O3536" s="23"/>
      <c r="P3536" s="23"/>
      <c r="Q3536" s="106"/>
      <c r="R3536" s="37">
        <v>811</v>
      </c>
      <c r="S3536" s="39" t="s">
        <v>1220</v>
      </c>
      <c r="T3536" s="37">
        <v>1727</v>
      </c>
      <c r="U3536" s="39" t="s">
        <v>1892</v>
      </c>
      <c r="V3536" s="89" t="s">
        <v>272</v>
      </c>
      <c r="W3536" s="89" t="s">
        <v>157</v>
      </c>
      <c r="X3536" s="106" t="s">
        <v>297</v>
      </c>
      <c r="Y3536" s="107" t="s">
        <v>12</v>
      </c>
      <c r="Z3536" s="67">
        <f>IF(База_КР_КК[[#This Row],[Таб.номер резервиста]]="-","-",IF(OR(База_КР_КК[[#This Row],[Уровень КК]]=2,База_КР_КК[[#This Row],[Уровень КК]]=3),IF(COUNTIFS($U$2:$U3536,$U3536,$F$2:$F3536,$F3536)=1,1,0),IF(COUNTIFS($U$2:$U3536,$U3536,$L$2:$L3536,$L3536)=1,1,0)))</f>
        <v>1</v>
      </c>
      <c r="AA35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6" s="106"/>
      <c r="AC3536" s="51"/>
      <c r="AD3536" s="106" t="s">
        <v>17</v>
      </c>
      <c r="AE3536" s="38" t="s">
        <v>370</v>
      </c>
    </row>
    <row r="3537" spans="1:31" ht="18" customHeight="1" x14ac:dyDescent="0.25">
      <c r="A35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7" s="79">
        <v>3</v>
      </c>
      <c r="C3537" s="23">
        <v>44039</v>
      </c>
      <c r="D3537" s="67">
        <f>IF(COUNTIF($G$2:$G3537,$G3537)=1,1,0)</f>
        <v>0</v>
      </c>
      <c r="E3537" s="67" t="str">
        <f>IFERROR(VLOOKUP(База_КР_КК[[#This Row],[ИД штатной должности (S)]],'уровень защищенности'!$B$7:$F$1095,5,0),"не защищена")</f>
        <v>высокий</v>
      </c>
      <c r="F3537" s="68">
        <v>500062</v>
      </c>
      <c r="G3537" s="74" t="s">
        <v>2993</v>
      </c>
      <c r="H3537" s="181">
        <f>INDEX('Списки данных'!$D$2:$D$1048576,MATCH(База_КР_КК[[#This Row],[Структурное подразделение]],'Списки данных'!$C$2:$C$1048576,0))</f>
        <v>4</v>
      </c>
      <c r="I3537" s="80" t="s">
        <v>157</v>
      </c>
      <c r="J3537" s="80" t="s">
        <v>244</v>
      </c>
      <c r="K3537" s="80" t="s">
        <v>21</v>
      </c>
      <c r="L3537" s="30" t="s">
        <v>198</v>
      </c>
      <c r="M3537" s="68">
        <v>6</v>
      </c>
      <c r="N3537" s="181" t="str">
        <f t="shared" si="56"/>
        <v>нет</v>
      </c>
      <c r="O3537" s="23"/>
      <c r="P3537" s="23"/>
      <c r="Q3537" s="106"/>
      <c r="R3537" s="37">
        <v>811</v>
      </c>
      <c r="S3537" s="39" t="s">
        <v>1220</v>
      </c>
      <c r="T3537" s="37">
        <v>643</v>
      </c>
      <c r="U3537" s="39" t="s">
        <v>1052</v>
      </c>
      <c r="V3537" s="89" t="s">
        <v>192</v>
      </c>
      <c r="W3537" s="89" t="s">
        <v>157</v>
      </c>
      <c r="X3537" s="106" t="s">
        <v>295</v>
      </c>
      <c r="Y3537" s="107" t="s">
        <v>12</v>
      </c>
      <c r="Z3537" s="67">
        <f>IF(База_КР_КК[[#This Row],[Таб.номер резервиста]]="-","-",IF(OR(База_КР_КК[[#This Row],[Уровень КК]]=2,База_КР_КК[[#This Row],[Уровень КК]]=3),IF(COUNTIFS($U$2:$U3537,$U3537,$F$2:$F3537,$F3537)=1,1,0),IF(COUNTIFS($U$2:$U3537,$U3537,$L$2:$L3537,$L3537)=1,1,0)))</f>
        <v>1</v>
      </c>
      <c r="AA35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7" s="106"/>
      <c r="AC3537" s="51"/>
      <c r="AD3537" s="106" t="s">
        <v>17</v>
      </c>
      <c r="AE3537" s="38" t="s">
        <v>370</v>
      </c>
    </row>
    <row r="3538" spans="1:31" ht="18" customHeight="1" x14ac:dyDescent="0.25">
      <c r="A35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8" s="79">
        <v>3</v>
      </c>
      <c r="C3538" s="23">
        <v>44039</v>
      </c>
      <c r="D3538" s="67">
        <f>IF(COUNTIF($G$2:$G3538,$G3538)=1,1,0)</f>
        <v>0</v>
      </c>
      <c r="E3538" s="67" t="str">
        <f>IFERROR(VLOOKUP(База_КР_КК[[#This Row],[ИД штатной должности (S)]],'уровень защищенности'!$B$7:$F$1095,5,0),"не защищена")</f>
        <v>высокий</v>
      </c>
      <c r="F3538" s="68">
        <v>500062</v>
      </c>
      <c r="G3538" s="74" t="s">
        <v>2993</v>
      </c>
      <c r="H3538" s="181">
        <f>INDEX('Списки данных'!$D$2:$D$1048576,MATCH(База_КР_КК[[#This Row],[Структурное подразделение]],'Списки данных'!$C$2:$C$1048576,0))</f>
        <v>4</v>
      </c>
      <c r="I3538" s="80" t="s">
        <v>157</v>
      </c>
      <c r="J3538" s="80" t="s">
        <v>244</v>
      </c>
      <c r="K3538" s="80" t="s">
        <v>21</v>
      </c>
      <c r="L3538" s="30" t="s">
        <v>198</v>
      </c>
      <c r="M3538" s="68">
        <v>6</v>
      </c>
      <c r="N3538" s="181" t="str">
        <f t="shared" si="56"/>
        <v>да</v>
      </c>
      <c r="O3538" s="23">
        <v>44672</v>
      </c>
      <c r="P3538" s="23">
        <v>44672</v>
      </c>
      <c r="Q3538" s="106" t="s">
        <v>66</v>
      </c>
      <c r="R3538" s="37">
        <v>811</v>
      </c>
      <c r="S3538" s="39" t="s">
        <v>1220</v>
      </c>
      <c r="T3538" s="37">
        <v>811</v>
      </c>
      <c r="U3538" s="39" t="s">
        <v>1220</v>
      </c>
      <c r="V3538" s="89" t="s">
        <v>192</v>
      </c>
      <c r="W3538" s="89" t="s">
        <v>157</v>
      </c>
      <c r="X3538" s="106" t="s">
        <v>295</v>
      </c>
      <c r="Y3538" s="107" t="s">
        <v>14</v>
      </c>
      <c r="Z3538" s="67">
        <f>IF(База_КР_КК[[#This Row],[Таб.номер резервиста]]="-","-",IF(OR(База_КР_КК[[#This Row],[Уровень КК]]=2,База_КР_КК[[#This Row],[Уровень КК]]=3),IF(COUNTIFS($U$2:$U3538,$U3538,$F$2:$F3538,$F3538)=1,1,0),IF(COUNTIFS($U$2:$U3538,$U3538,$L$2:$L3538,$L3538)=1,1,0)))</f>
        <v>1</v>
      </c>
      <c r="AA35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538" s="106" t="s">
        <v>24</v>
      </c>
      <c r="AC3538" s="51">
        <v>44672</v>
      </c>
      <c r="AD3538" s="106" t="s">
        <v>15</v>
      </c>
      <c r="AE3538" s="38" t="s">
        <v>332</v>
      </c>
    </row>
    <row r="3539" spans="1:31" ht="18" customHeight="1" x14ac:dyDescent="0.25">
      <c r="A35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39" s="79">
        <v>3</v>
      </c>
      <c r="C3539" s="23">
        <v>44039</v>
      </c>
      <c r="D3539" s="67">
        <f>IF(COUNTIF($G$2:$G3539,$G3539)=1,1,0)</f>
        <v>1</v>
      </c>
      <c r="E3539" s="67" t="str">
        <f>IFERROR(VLOOKUP(База_КР_КК[[#This Row],[ИД штатной должности (S)]],'уровень защищенности'!$B$7:$F$1095,5,0),"не защищена")</f>
        <v>высокий</v>
      </c>
      <c r="F3539" s="68">
        <v>500063</v>
      </c>
      <c r="G3539" s="74" t="s">
        <v>2994</v>
      </c>
      <c r="H3539" s="181">
        <f>INDEX('Списки данных'!$D$2:$D$1048576,MATCH(База_КР_КК[[#This Row],[Структурное подразделение]],'Списки данных'!$C$2:$C$1048576,0))</f>
        <v>4</v>
      </c>
      <c r="I3539" s="80" t="s">
        <v>157</v>
      </c>
      <c r="J3539" s="80" t="s">
        <v>244</v>
      </c>
      <c r="K3539" s="80" t="s">
        <v>21</v>
      </c>
      <c r="L3539" s="30" t="s">
        <v>198</v>
      </c>
      <c r="M3539" s="68">
        <v>6</v>
      </c>
      <c r="N3539" s="181" t="str">
        <f t="shared" si="56"/>
        <v>нет</v>
      </c>
      <c r="O3539" s="23"/>
      <c r="P3539" s="23"/>
      <c r="Q3539" s="106"/>
      <c r="R3539" s="37">
        <v>812</v>
      </c>
      <c r="S3539" s="39" t="s">
        <v>1221</v>
      </c>
      <c r="T3539" s="37">
        <v>638</v>
      </c>
      <c r="U3539" s="39" t="s">
        <v>1047</v>
      </c>
      <c r="V3539" s="89" t="s">
        <v>192</v>
      </c>
      <c r="W3539" s="89" t="s">
        <v>157</v>
      </c>
      <c r="X3539" s="106" t="s">
        <v>295</v>
      </c>
      <c r="Y3539" s="107" t="s">
        <v>12</v>
      </c>
      <c r="Z3539" s="67">
        <f>IF(База_КР_КК[[#This Row],[Таб.номер резервиста]]="-","-",IF(OR(База_КР_КК[[#This Row],[Уровень КК]]=2,База_КР_КК[[#This Row],[Уровень КК]]=3),IF(COUNTIFS($U$2:$U3539,$U3539,$F$2:$F3539,$F3539)=1,1,0),IF(COUNTIFS($U$2:$U3539,$U3539,$L$2:$L3539,$L3539)=1,1,0)))</f>
        <v>1</v>
      </c>
      <c r="AA35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39" s="106"/>
      <c r="AC3539" s="51"/>
      <c r="AD3539" s="106" t="s">
        <v>13</v>
      </c>
      <c r="AE3539" s="38" t="s">
        <v>370</v>
      </c>
    </row>
    <row r="3540" spans="1:31" ht="18" customHeight="1" x14ac:dyDescent="0.25">
      <c r="A35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0" s="79">
        <v>3</v>
      </c>
      <c r="C3540" s="23">
        <v>44039</v>
      </c>
      <c r="D3540" s="67">
        <f>IF(COUNTIF($G$2:$G3540,$G3540)=1,1,0)</f>
        <v>0</v>
      </c>
      <c r="E3540" s="67" t="str">
        <f>IFERROR(VLOOKUP(База_КР_КК[[#This Row],[ИД штатной должности (S)]],'уровень защищенности'!$B$7:$F$1095,5,0),"не защищена")</f>
        <v>высокий</v>
      </c>
      <c r="F3540" s="68">
        <v>500063</v>
      </c>
      <c r="G3540" s="74" t="s">
        <v>2994</v>
      </c>
      <c r="H3540" s="181">
        <f>INDEX('Списки данных'!$D$2:$D$1048576,MATCH(База_КР_КК[[#This Row],[Структурное подразделение]],'Списки данных'!$C$2:$C$1048576,0))</f>
        <v>4</v>
      </c>
      <c r="I3540" s="80" t="s">
        <v>157</v>
      </c>
      <c r="J3540" s="80" t="s">
        <v>244</v>
      </c>
      <c r="K3540" s="80" t="s">
        <v>21</v>
      </c>
      <c r="L3540" s="30" t="s">
        <v>198</v>
      </c>
      <c r="M3540" s="68">
        <v>6</v>
      </c>
      <c r="N3540" s="181" t="str">
        <f t="shared" si="56"/>
        <v>нет</v>
      </c>
      <c r="O3540" s="23"/>
      <c r="P3540" s="23"/>
      <c r="Q3540" s="106"/>
      <c r="R3540" s="37">
        <v>812</v>
      </c>
      <c r="S3540" s="39" t="s">
        <v>1221</v>
      </c>
      <c r="T3540" s="37">
        <v>637</v>
      </c>
      <c r="U3540" s="39" t="s">
        <v>1046</v>
      </c>
      <c r="V3540" s="89" t="s">
        <v>192</v>
      </c>
      <c r="W3540" s="89" t="s">
        <v>157</v>
      </c>
      <c r="X3540" s="106" t="s">
        <v>295</v>
      </c>
      <c r="Y3540" s="107" t="s">
        <v>12</v>
      </c>
      <c r="Z3540" s="67">
        <f>IF(База_КР_КК[[#This Row],[Таб.номер резервиста]]="-","-",IF(OR(База_КР_КК[[#This Row],[Уровень КК]]=2,База_КР_КК[[#This Row],[Уровень КК]]=3),IF(COUNTIFS($U$2:$U3540,$U3540,$F$2:$F3540,$F3540)=1,1,0),IF(COUNTIFS($U$2:$U3540,$U3540,$L$2:$L3540,$L3540)=1,1,0)))</f>
        <v>1</v>
      </c>
      <c r="AA35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0" s="106"/>
      <c r="AC3540" s="51"/>
      <c r="AD3540" s="106" t="s">
        <v>17</v>
      </c>
      <c r="AE3540" s="38" t="s">
        <v>370</v>
      </c>
    </row>
    <row r="3541" spans="1:31" ht="18" customHeight="1" x14ac:dyDescent="0.25">
      <c r="A35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1" s="79">
        <v>4</v>
      </c>
      <c r="C3541" s="23">
        <v>44109</v>
      </c>
      <c r="D3541" s="67">
        <f>IF(COUNTIF($G$2:$G3541,$G3541)=1,1,0)</f>
        <v>1</v>
      </c>
      <c r="E3541" s="67" t="str">
        <f>IFERROR(VLOOKUP(База_КР_КК[[#This Row],[ИД штатной должности (S)]],'уровень защищенности'!$B$7:$F$1095,5,0),"не защищена")</f>
        <v>высокий</v>
      </c>
      <c r="F3541" s="68">
        <v>500323</v>
      </c>
      <c r="G3541" s="74" t="s">
        <v>2995</v>
      </c>
      <c r="H3541" s="181">
        <f>INDEX('Списки данных'!$D$2:$D$1048576,MATCH(База_КР_КК[[#This Row],[Структурное подразделение]],'Списки данных'!$C$2:$C$1048576,0))</f>
        <v>6</v>
      </c>
      <c r="I3541" s="80" t="s">
        <v>136</v>
      </c>
      <c r="J3541" s="80" t="s">
        <v>246</v>
      </c>
      <c r="K3541" s="80" t="s">
        <v>247</v>
      </c>
      <c r="L3541" s="30" t="s">
        <v>191</v>
      </c>
      <c r="M3541" s="68">
        <v>6</v>
      </c>
      <c r="N3541" s="181" t="str">
        <f t="shared" si="56"/>
        <v>нет</v>
      </c>
      <c r="O3541" s="23"/>
      <c r="P3541" s="23"/>
      <c r="Q3541" s="106"/>
      <c r="R3541" s="37">
        <v>813</v>
      </c>
      <c r="S3541" s="38" t="s">
        <v>1222</v>
      </c>
      <c r="T3541" s="37">
        <v>1801</v>
      </c>
      <c r="U3541" s="39" t="s">
        <v>1913</v>
      </c>
      <c r="V3541" s="89" t="s">
        <v>272</v>
      </c>
      <c r="W3541" s="89" t="s">
        <v>136</v>
      </c>
      <c r="X3541" s="106" t="s">
        <v>295</v>
      </c>
      <c r="Y3541" s="107" t="s">
        <v>12</v>
      </c>
      <c r="Z3541" s="67">
        <f>IF(База_КР_КК[[#This Row],[Таб.номер резервиста]]="-","-",IF(OR(База_КР_КК[[#This Row],[Уровень КК]]=2,База_КР_КК[[#This Row],[Уровень КК]]=3),IF(COUNTIFS($U$2:$U3541,$U3541,$F$2:$F3541,$F3541)=1,1,0),IF(COUNTIFS($U$2:$U3541,$U3541,$L$2:$L3541,$L3541)=1,1,0)))</f>
        <v>0</v>
      </c>
      <c r="AA35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1" s="106"/>
      <c r="AC3541" s="51"/>
      <c r="AD3541" s="106" t="s">
        <v>13</v>
      </c>
      <c r="AE3541" s="38" t="s">
        <v>376</v>
      </c>
    </row>
    <row r="3542" spans="1:31" ht="18" customHeight="1" x14ac:dyDescent="0.25">
      <c r="A35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2" s="79">
        <v>4</v>
      </c>
      <c r="C3542" s="23">
        <v>44109</v>
      </c>
      <c r="D3542" s="67">
        <f>IF(COUNTIF($G$2:$G3542,$G3542)=1,1,0)</f>
        <v>0</v>
      </c>
      <c r="E3542" s="67" t="str">
        <f>IFERROR(VLOOKUP(База_КР_КК[[#This Row],[ИД штатной должности (S)]],'уровень защищенности'!$B$7:$F$1095,5,0),"не защищена")</f>
        <v>высокий</v>
      </c>
      <c r="F3542" s="68">
        <v>500323</v>
      </c>
      <c r="G3542" s="74" t="s">
        <v>2995</v>
      </c>
      <c r="H3542" s="181">
        <f>INDEX('Списки данных'!$D$2:$D$1048576,MATCH(База_КР_КК[[#This Row],[Структурное подразделение]],'Списки данных'!$C$2:$C$1048576,0))</f>
        <v>6</v>
      </c>
      <c r="I3542" s="80" t="s">
        <v>136</v>
      </c>
      <c r="J3542" s="80" t="s">
        <v>246</v>
      </c>
      <c r="K3542" s="80" t="s">
        <v>247</v>
      </c>
      <c r="L3542" s="30" t="s">
        <v>191</v>
      </c>
      <c r="M3542" s="68">
        <v>6</v>
      </c>
      <c r="N3542" s="181" t="str">
        <f t="shared" si="56"/>
        <v>нет</v>
      </c>
      <c r="O3542" s="23"/>
      <c r="P3542" s="23"/>
      <c r="Q3542" s="106"/>
      <c r="R3542" s="37">
        <v>813</v>
      </c>
      <c r="S3542" s="38" t="s">
        <v>1222</v>
      </c>
      <c r="T3542" s="37">
        <v>1800</v>
      </c>
      <c r="U3542" s="39" t="s">
        <v>1753</v>
      </c>
      <c r="V3542" s="89" t="s">
        <v>272</v>
      </c>
      <c r="W3542" s="89" t="s">
        <v>136</v>
      </c>
      <c r="X3542" s="106" t="s">
        <v>295</v>
      </c>
      <c r="Y3542" s="107" t="s">
        <v>12</v>
      </c>
      <c r="Z3542" s="67">
        <f>IF(База_КР_КК[[#This Row],[Таб.номер резервиста]]="-","-",IF(OR(База_КР_КК[[#This Row],[Уровень КК]]=2,База_КР_КК[[#This Row],[Уровень КК]]=3),IF(COUNTIFS($U$2:$U3542,$U3542,$F$2:$F3542,$F3542)=1,1,0),IF(COUNTIFS($U$2:$U3542,$U3542,$L$2:$L3542,$L3542)=1,1,0)))</f>
        <v>0</v>
      </c>
      <c r="AA35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2" s="106"/>
      <c r="AC3542" s="51"/>
      <c r="AD3542" s="106" t="s">
        <v>13</v>
      </c>
      <c r="AE3542" s="38" t="s">
        <v>376</v>
      </c>
    </row>
    <row r="3543" spans="1:31" ht="18" customHeight="1" x14ac:dyDescent="0.25">
      <c r="A35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3" s="79">
        <v>4</v>
      </c>
      <c r="C3543" s="23">
        <v>44466</v>
      </c>
      <c r="D3543" s="67">
        <f>IF(COUNTIF($G$2:$G3543,$G3543)=1,1,0)</f>
        <v>0</v>
      </c>
      <c r="E3543" s="67" t="str">
        <f>IFERROR(VLOOKUP(База_КР_КК[[#This Row],[ИД штатной должности (S)]],'уровень защищенности'!$B$7:$F$1095,5,0),"не защищена")</f>
        <v>высокий</v>
      </c>
      <c r="F3543" s="68">
        <v>500323</v>
      </c>
      <c r="G3543" s="74" t="s">
        <v>2995</v>
      </c>
      <c r="H3543" s="181">
        <f>INDEX('Списки данных'!$D$2:$D$1048576,MATCH(База_КР_КК[[#This Row],[Структурное подразделение]],'Списки данных'!$C$2:$C$1048576,0))</f>
        <v>6</v>
      </c>
      <c r="I3543" s="80" t="s">
        <v>136</v>
      </c>
      <c r="J3543" s="80" t="s">
        <v>246</v>
      </c>
      <c r="K3543" s="80" t="s">
        <v>247</v>
      </c>
      <c r="L3543" s="30" t="s">
        <v>191</v>
      </c>
      <c r="M3543" s="68">
        <v>6</v>
      </c>
      <c r="N3543" s="181" t="str">
        <f t="shared" si="56"/>
        <v>нет</v>
      </c>
      <c r="O3543" s="23"/>
      <c r="P3543" s="23"/>
      <c r="Q3543" s="106"/>
      <c r="R3543" s="37">
        <v>813</v>
      </c>
      <c r="S3543" s="38" t="s">
        <v>1222</v>
      </c>
      <c r="T3543" s="37">
        <v>1802</v>
      </c>
      <c r="U3543" s="39" t="s">
        <v>2056</v>
      </c>
      <c r="V3543" s="89" t="s">
        <v>272</v>
      </c>
      <c r="W3543" s="89" t="s">
        <v>136</v>
      </c>
      <c r="X3543" s="106" t="s">
        <v>297</v>
      </c>
      <c r="Y3543" s="107" t="s">
        <v>12</v>
      </c>
      <c r="Z3543" s="67">
        <f>IF(База_КР_КК[[#This Row],[Таб.номер резервиста]]="-","-",IF(OR(База_КР_КК[[#This Row],[Уровень КК]]=2,База_КР_КК[[#This Row],[Уровень КК]]=3),IF(COUNTIFS($U$2:$U3543,$U3543,$F$2:$F3543,$F3543)=1,1,0),IF(COUNTIFS($U$2:$U3543,$U3543,$L$2:$L3543,$L3543)=1,1,0)))</f>
        <v>0</v>
      </c>
      <c r="AA35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3" s="106"/>
      <c r="AC3543" s="51"/>
      <c r="AD3543" s="106" t="s">
        <v>17</v>
      </c>
      <c r="AE3543" s="38" t="s">
        <v>376</v>
      </c>
    </row>
    <row r="3544" spans="1:31" ht="18" customHeight="1" x14ac:dyDescent="0.25">
      <c r="A35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4" s="79">
        <v>4</v>
      </c>
      <c r="C3544" s="23">
        <v>44109</v>
      </c>
      <c r="D3544" s="67">
        <f>IF(COUNTIF($G$2:$G3544,$G3544)=1,1,0)</f>
        <v>0</v>
      </c>
      <c r="E3544" s="67" t="str">
        <f>IFERROR(VLOOKUP(База_КР_КК[[#This Row],[ИД штатной должности (S)]],'уровень защищенности'!$B$7:$F$1095,5,0),"не защищена")</f>
        <v>высокий</v>
      </c>
      <c r="F3544" s="68">
        <v>500323</v>
      </c>
      <c r="G3544" s="74" t="s">
        <v>2995</v>
      </c>
      <c r="H3544" s="181">
        <f>INDEX('Списки данных'!$D$2:$D$1048576,MATCH(База_КР_КК[[#This Row],[Структурное подразделение]],'Списки данных'!$C$2:$C$1048576,0))</f>
        <v>6</v>
      </c>
      <c r="I3544" s="80" t="s">
        <v>136</v>
      </c>
      <c r="J3544" s="80" t="s">
        <v>246</v>
      </c>
      <c r="K3544" s="80" t="s">
        <v>247</v>
      </c>
      <c r="L3544" s="30" t="s">
        <v>191</v>
      </c>
      <c r="M3544" s="68">
        <v>6</v>
      </c>
      <c r="N3544" s="181" t="str">
        <f t="shared" si="56"/>
        <v>нет</v>
      </c>
      <c r="O3544" s="23"/>
      <c r="P3544" s="23"/>
      <c r="Q3544" s="106"/>
      <c r="R3544" s="37">
        <v>813</v>
      </c>
      <c r="S3544" s="39" t="s">
        <v>1222</v>
      </c>
      <c r="T3544" s="37">
        <v>1803</v>
      </c>
      <c r="U3544" s="38" t="s">
        <v>2057</v>
      </c>
      <c r="V3544" s="89" t="s">
        <v>272</v>
      </c>
      <c r="W3544" s="89" t="s">
        <v>136</v>
      </c>
      <c r="X3544" s="106" t="s">
        <v>296</v>
      </c>
      <c r="Y3544" s="107" t="s">
        <v>12</v>
      </c>
      <c r="Z3544" s="67">
        <f>IF(База_КР_КК[[#This Row],[Таб.номер резервиста]]="-","-",IF(OR(База_КР_КК[[#This Row],[Уровень КК]]=2,База_КР_КК[[#This Row],[Уровень КК]]=3),IF(COUNTIFS($U$2:$U3544,$U3544,$F$2:$F3544,$F3544)=1,1,0),IF(COUNTIFS($U$2:$U3544,$U3544,$L$2:$L3544,$L3544)=1,1,0)))</f>
        <v>0</v>
      </c>
      <c r="AA35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4" s="106"/>
      <c r="AC3544" s="51"/>
      <c r="AD3544" s="106" t="s">
        <v>15</v>
      </c>
      <c r="AE3544" s="38" t="s">
        <v>376</v>
      </c>
    </row>
    <row r="3545" spans="1:31" ht="18" customHeight="1" x14ac:dyDescent="0.25">
      <c r="A35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5" s="79">
        <v>4</v>
      </c>
      <c r="C3545" s="23">
        <v>44466</v>
      </c>
      <c r="D3545" s="67">
        <f>IF(COUNTIF($G$2:$G3545,$G3545)=1,1,0)</f>
        <v>0</v>
      </c>
      <c r="E3545" s="67" t="str">
        <f>IFERROR(VLOOKUP(База_КР_КК[[#This Row],[ИД штатной должности (S)]],'уровень защищенности'!$B$7:$F$1095,5,0),"не защищена")</f>
        <v>высокий</v>
      </c>
      <c r="F3545" s="68">
        <v>500323</v>
      </c>
      <c r="G3545" s="74" t="s">
        <v>2995</v>
      </c>
      <c r="H3545" s="181">
        <f>INDEX('Списки данных'!$D$2:$D$1048576,MATCH(База_КР_КК[[#This Row],[Структурное подразделение]],'Списки данных'!$C$2:$C$1048576,0))</f>
        <v>6</v>
      </c>
      <c r="I3545" s="80" t="s">
        <v>136</v>
      </c>
      <c r="J3545" s="80" t="s">
        <v>246</v>
      </c>
      <c r="K3545" s="80" t="s">
        <v>247</v>
      </c>
      <c r="L3545" s="30" t="s">
        <v>191</v>
      </c>
      <c r="M3545" s="68">
        <v>6</v>
      </c>
      <c r="N3545" s="181" t="str">
        <f t="shared" si="56"/>
        <v>нет</v>
      </c>
      <c r="O3545" s="23"/>
      <c r="P3545" s="23"/>
      <c r="Q3545" s="106"/>
      <c r="R3545" s="37">
        <v>813</v>
      </c>
      <c r="S3545" s="38" t="s">
        <v>1222</v>
      </c>
      <c r="T3545" s="37">
        <v>1804</v>
      </c>
      <c r="U3545" s="39" t="s">
        <v>2058</v>
      </c>
      <c r="V3545" s="69" t="s">
        <v>272</v>
      </c>
      <c r="W3545" s="89" t="s">
        <v>136</v>
      </c>
      <c r="X3545" s="106" t="s">
        <v>296</v>
      </c>
      <c r="Y3545" s="107" t="s">
        <v>18</v>
      </c>
      <c r="Z3545" s="67">
        <f>IF(База_КР_КК[[#This Row],[Таб.номер резервиста]]="-","-",IF(OR(База_КР_КК[[#This Row],[Уровень КК]]=2,База_КР_КК[[#This Row],[Уровень КК]]=3),IF(COUNTIFS($U$2:$U3545,$U3545,$F$2:$F3545,$F3545)=1,1,0),IF(COUNTIFS($U$2:$U3545,$U3545,$L$2:$L3545,$L3545)=1,1,0)))</f>
        <v>0</v>
      </c>
      <c r="AA35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5" s="106" t="s">
        <v>38</v>
      </c>
      <c r="AC3545" s="51">
        <v>44859</v>
      </c>
      <c r="AD3545" s="106" t="s">
        <v>31</v>
      </c>
      <c r="AE3545" s="38" t="s">
        <v>376</v>
      </c>
    </row>
    <row r="3546" spans="1:31" ht="18" customHeight="1" x14ac:dyDescent="0.25">
      <c r="A35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6" s="79">
        <v>4</v>
      </c>
      <c r="C3546" s="23">
        <v>44859</v>
      </c>
      <c r="D3546" s="67">
        <f>IF(COUNTIF($G$2:$G3546,$G3546)=1,1,0)</f>
        <v>1</v>
      </c>
      <c r="E3546" s="67" t="str">
        <f>IFERROR(VLOOKUP(База_КР_КК[[#This Row],[ИД штатной должности (S)]],'уровень защищенности'!$B$7:$F$1095,5,0),"не защищена")</f>
        <v>высокий</v>
      </c>
      <c r="F3546" s="68">
        <v>500175</v>
      </c>
      <c r="G3546" s="74" t="s">
        <v>2996</v>
      </c>
      <c r="H3546" s="181">
        <f>INDEX('Списки данных'!$D$2:$D$1048576,MATCH(База_КР_КК[[#This Row],[Структурное подразделение]],'Списки данных'!$C$2:$C$1048576,0))</f>
        <v>7</v>
      </c>
      <c r="I3546" s="80" t="s">
        <v>137</v>
      </c>
      <c r="J3546" s="80" t="s">
        <v>248</v>
      </c>
      <c r="K3546" s="80" t="s">
        <v>249</v>
      </c>
      <c r="L3546" s="30" t="s">
        <v>191</v>
      </c>
      <c r="M3546" s="68">
        <v>6</v>
      </c>
      <c r="N3546" s="181" t="str">
        <f t="shared" si="56"/>
        <v>да</v>
      </c>
      <c r="O3546" s="23">
        <v>44748</v>
      </c>
      <c r="P3546" s="23">
        <v>44774</v>
      </c>
      <c r="Q3546" s="106" t="s">
        <v>66</v>
      </c>
      <c r="R3546" s="37">
        <v>814</v>
      </c>
      <c r="S3546" s="39" t="s">
        <v>1223</v>
      </c>
      <c r="T3546" s="37">
        <v>1841</v>
      </c>
      <c r="U3546" s="38" t="s">
        <v>1908</v>
      </c>
      <c r="V3546" s="69" t="s">
        <v>272</v>
      </c>
      <c r="W3546" s="89" t="s">
        <v>137</v>
      </c>
      <c r="X3546" s="106" t="s">
        <v>296</v>
      </c>
      <c r="Y3546" s="107" t="s">
        <v>12</v>
      </c>
      <c r="Z3546" s="67">
        <f>IF(База_КР_КК[[#This Row],[Таб.номер резервиста]]="-","-",IF(OR(База_КР_КК[[#This Row],[Уровень КК]]=2,База_КР_КК[[#This Row],[Уровень КК]]=3),IF(COUNTIFS($U$2:$U3546,$U3546,$F$2:$F3546,$F3546)=1,1,0),IF(COUNTIFS($U$2:$U3546,$U3546,$L$2:$L3546,$L3546)=1,1,0)))</f>
        <v>0</v>
      </c>
      <c r="AA35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6" s="106"/>
      <c r="AC3546" s="51"/>
      <c r="AD3546" s="106" t="s">
        <v>15</v>
      </c>
      <c r="AE3546" s="38" t="s">
        <v>376</v>
      </c>
    </row>
    <row r="3547" spans="1:31" ht="18" customHeight="1" x14ac:dyDescent="0.25">
      <c r="A35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7" s="79">
        <v>4</v>
      </c>
      <c r="C3547" s="23">
        <v>44859</v>
      </c>
      <c r="D3547" s="67">
        <f>IF(COUNTIF($G$2:$G3547,$G3547)=1,1,0)</f>
        <v>0</v>
      </c>
      <c r="E3547" s="67" t="str">
        <f>IFERROR(VLOOKUP(База_КР_КК[[#This Row],[ИД штатной должности (S)]],'уровень защищенности'!$B$7:$F$1095,5,0),"не защищена")</f>
        <v>высокий</v>
      </c>
      <c r="F3547" s="68">
        <v>500175</v>
      </c>
      <c r="G3547" s="74" t="s">
        <v>2996</v>
      </c>
      <c r="H3547" s="181">
        <f>INDEX('Списки данных'!$D$2:$D$1048576,MATCH(База_КР_КК[[#This Row],[Структурное подразделение]],'Списки данных'!$C$2:$C$1048576,0))</f>
        <v>7</v>
      </c>
      <c r="I3547" s="80" t="s">
        <v>137</v>
      </c>
      <c r="J3547" s="80" t="s">
        <v>248</v>
      </c>
      <c r="K3547" s="80" t="s">
        <v>249</v>
      </c>
      <c r="L3547" s="30" t="s">
        <v>191</v>
      </c>
      <c r="M3547" s="68">
        <v>6</v>
      </c>
      <c r="N3547" s="181" t="str">
        <f t="shared" si="56"/>
        <v>да</v>
      </c>
      <c r="O3547" s="23">
        <v>44748</v>
      </c>
      <c r="P3547" s="23">
        <v>44774</v>
      </c>
      <c r="Q3547" s="106" t="s">
        <v>66</v>
      </c>
      <c r="R3547" s="37">
        <v>814</v>
      </c>
      <c r="S3547" s="39" t="s">
        <v>1223</v>
      </c>
      <c r="T3547" s="37">
        <v>1842</v>
      </c>
      <c r="U3547" s="38" t="s">
        <v>2073</v>
      </c>
      <c r="V3547" s="69" t="s">
        <v>272</v>
      </c>
      <c r="W3547" s="89" t="s">
        <v>137</v>
      </c>
      <c r="X3547" s="106" t="s">
        <v>295</v>
      </c>
      <c r="Y3547" s="107" t="s">
        <v>12</v>
      </c>
      <c r="Z3547" s="67">
        <f>IF(База_КР_КК[[#This Row],[Таб.номер резервиста]]="-","-",IF(OR(База_КР_КК[[#This Row],[Уровень КК]]=2,База_КР_КК[[#This Row],[Уровень КК]]=3),IF(COUNTIFS($U$2:$U3547,$U3547,$F$2:$F3547,$F3547)=1,1,0),IF(COUNTIFS($U$2:$U3547,$U3547,$L$2:$L3547,$L3547)=1,1,0)))</f>
        <v>0</v>
      </c>
      <c r="AA35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7" s="106"/>
      <c r="AC3547" s="51"/>
      <c r="AD3547" s="106" t="s">
        <v>15</v>
      </c>
      <c r="AE3547" s="38" t="s">
        <v>376</v>
      </c>
    </row>
    <row r="3548" spans="1:31" ht="18" customHeight="1" x14ac:dyDescent="0.25">
      <c r="A35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8" s="79">
        <v>4</v>
      </c>
      <c r="C3548" s="23">
        <v>44859</v>
      </c>
      <c r="D3548" s="67">
        <f>IF(COUNTIF($G$2:$G3548,$G3548)=1,1,0)</f>
        <v>0</v>
      </c>
      <c r="E3548" s="67" t="str">
        <f>IFERROR(VLOOKUP(База_КР_КК[[#This Row],[ИД штатной должности (S)]],'уровень защищенности'!$B$7:$F$1095,5,0),"не защищена")</f>
        <v>высокий</v>
      </c>
      <c r="F3548" s="68">
        <v>500175</v>
      </c>
      <c r="G3548" s="74" t="s">
        <v>2996</v>
      </c>
      <c r="H3548" s="181">
        <f>INDEX('Списки данных'!$D$2:$D$1048576,MATCH(База_КР_КК[[#This Row],[Структурное подразделение]],'Списки данных'!$C$2:$C$1048576,0))</f>
        <v>7</v>
      </c>
      <c r="I3548" s="80" t="s">
        <v>137</v>
      </c>
      <c r="J3548" s="80" t="s">
        <v>248</v>
      </c>
      <c r="K3548" s="80" t="s">
        <v>249</v>
      </c>
      <c r="L3548" s="30" t="s">
        <v>191</v>
      </c>
      <c r="M3548" s="68">
        <v>6</v>
      </c>
      <c r="N3548" s="181" t="str">
        <f t="shared" si="56"/>
        <v>да</v>
      </c>
      <c r="O3548" s="23">
        <v>44748</v>
      </c>
      <c r="P3548" s="23">
        <v>44774</v>
      </c>
      <c r="Q3548" s="106" t="s">
        <v>66</v>
      </c>
      <c r="R3548" s="37">
        <v>814</v>
      </c>
      <c r="S3548" s="39" t="s">
        <v>1223</v>
      </c>
      <c r="T3548" s="37">
        <v>1843</v>
      </c>
      <c r="U3548" s="38" t="s">
        <v>1582</v>
      </c>
      <c r="V3548" s="69" t="s">
        <v>272</v>
      </c>
      <c r="W3548" s="89" t="s">
        <v>137</v>
      </c>
      <c r="X3548" s="106" t="s">
        <v>297</v>
      </c>
      <c r="Y3548" s="107" t="s">
        <v>12</v>
      </c>
      <c r="Z3548" s="67">
        <f>IF(База_КР_КК[[#This Row],[Таб.номер резервиста]]="-","-",IF(OR(База_КР_КК[[#This Row],[Уровень КК]]=2,База_КР_КК[[#This Row],[Уровень КК]]=3),IF(COUNTIFS($U$2:$U3548,$U3548,$F$2:$F3548,$F3548)=1,1,0),IF(COUNTIFS($U$2:$U3548,$U3548,$L$2:$L3548,$L3548)=1,1,0)))</f>
        <v>0</v>
      </c>
      <c r="AA35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8" s="106"/>
      <c r="AC3548" s="51"/>
      <c r="AD3548" s="106" t="s">
        <v>15</v>
      </c>
      <c r="AE3548" s="38" t="s">
        <v>376</v>
      </c>
    </row>
    <row r="3549" spans="1:31" ht="18" customHeight="1" x14ac:dyDescent="0.25">
      <c r="A35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49" s="79">
        <v>4</v>
      </c>
      <c r="C3549" s="23">
        <v>44859</v>
      </c>
      <c r="D3549" s="67">
        <f>IF(COUNTIF($G$2:$G3549,$G3549)=1,1,0)</f>
        <v>0</v>
      </c>
      <c r="E3549" s="67" t="str">
        <f>IFERROR(VLOOKUP(База_КР_КК[[#This Row],[ИД штатной должности (S)]],'уровень защищенности'!$B$7:$F$1095,5,0),"не защищена")</f>
        <v>высокий</v>
      </c>
      <c r="F3549" s="68">
        <v>500175</v>
      </c>
      <c r="G3549" s="74" t="s">
        <v>2996</v>
      </c>
      <c r="H3549" s="181">
        <f>INDEX('Списки данных'!$D$2:$D$1048576,MATCH(База_КР_КК[[#This Row],[Структурное подразделение]],'Списки данных'!$C$2:$C$1048576,0))</f>
        <v>7</v>
      </c>
      <c r="I3549" s="80" t="s">
        <v>137</v>
      </c>
      <c r="J3549" s="80" t="s">
        <v>248</v>
      </c>
      <c r="K3549" s="80" t="s">
        <v>249</v>
      </c>
      <c r="L3549" s="30" t="s">
        <v>191</v>
      </c>
      <c r="M3549" s="68">
        <v>6</v>
      </c>
      <c r="N3549" s="181" t="str">
        <f t="shared" si="56"/>
        <v>да</v>
      </c>
      <c r="O3549" s="23">
        <v>44748</v>
      </c>
      <c r="P3549" s="23">
        <v>44774</v>
      </c>
      <c r="Q3549" s="106" t="s">
        <v>66</v>
      </c>
      <c r="R3549" s="37">
        <v>814</v>
      </c>
      <c r="S3549" s="39" t="s">
        <v>1223</v>
      </c>
      <c r="T3549" s="37">
        <v>1844</v>
      </c>
      <c r="U3549" s="38" t="s">
        <v>1994</v>
      </c>
      <c r="V3549" s="69" t="s">
        <v>272</v>
      </c>
      <c r="W3549" s="89" t="s">
        <v>137</v>
      </c>
      <c r="X3549" s="106" t="s">
        <v>296</v>
      </c>
      <c r="Y3549" s="107" t="s">
        <v>12</v>
      </c>
      <c r="Z3549" s="67">
        <f>IF(База_КР_КК[[#This Row],[Таб.номер резервиста]]="-","-",IF(OR(База_КР_КК[[#This Row],[Уровень КК]]=2,База_КР_КК[[#This Row],[Уровень КК]]=3),IF(COUNTIFS($U$2:$U3549,$U3549,$F$2:$F3549,$F3549)=1,1,0),IF(COUNTIFS($U$2:$U3549,$U3549,$L$2:$L3549,$L3549)=1,1,0)))</f>
        <v>0</v>
      </c>
      <c r="AA35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49" s="106"/>
      <c r="AC3549" s="51"/>
      <c r="AD3549" s="106" t="s">
        <v>15</v>
      </c>
      <c r="AE3549" s="38" t="s">
        <v>376</v>
      </c>
    </row>
    <row r="3550" spans="1:31" ht="18" customHeight="1" x14ac:dyDescent="0.25">
      <c r="A35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0" s="79">
        <v>4</v>
      </c>
      <c r="C3550" s="23">
        <v>44125</v>
      </c>
      <c r="D3550" s="67">
        <f>IF(COUNTIF($G$2:$G3550,$G3550)=1,1,0)</f>
        <v>0</v>
      </c>
      <c r="E3550" s="67" t="str">
        <f>IFERROR(VLOOKUP(База_КР_КК[[#This Row],[ИД штатной должности (S)]],'уровень защищенности'!$B$7:$F$1095,5,0),"не защищена")</f>
        <v>высокий</v>
      </c>
      <c r="F3550" s="68">
        <v>500175</v>
      </c>
      <c r="G3550" s="74" t="s">
        <v>2996</v>
      </c>
      <c r="H3550" s="181">
        <f>INDEX('Списки данных'!$D$2:$D$1048576,MATCH(База_КР_КК[[#This Row],[Структурное подразделение]],'Списки данных'!$C$2:$C$1048576,0))</f>
        <v>7</v>
      </c>
      <c r="I3550" s="80" t="s">
        <v>137</v>
      </c>
      <c r="J3550" s="80" t="s">
        <v>248</v>
      </c>
      <c r="K3550" s="80" t="s">
        <v>249</v>
      </c>
      <c r="L3550" s="30" t="s">
        <v>191</v>
      </c>
      <c r="M3550" s="68">
        <v>6</v>
      </c>
      <c r="N3550" s="181" t="str">
        <f t="shared" si="56"/>
        <v>да</v>
      </c>
      <c r="O3550" s="23">
        <v>44748</v>
      </c>
      <c r="P3550" s="23">
        <v>44774</v>
      </c>
      <c r="Q3550" s="106" t="s">
        <v>66</v>
      </c>
      <c r="R3550" s="37">
        <v>814</v>
      </c>
      <c r="S3550" s="39" t="s">
        <v>1223</v>
      </c>
      <c r="T3550" s="37">
        <v>814</v>
      </c>
      <c r="U3550" s="39" t="s">
        <v>1223</v>
      </c>
      <c r="V3550" s="89" t="s">
        <v>272</v>
      </c>
      <c r="W3550" s="89" t="s">
        <v>137</v>
      </c>
      <c r="X3550" s="106" t="s">
        <v>297</v>
      </c>
      <c r="Y3550" s="107" t="s">
        <v>14</v>
      </c>
      <c r="Z3550" s="67">
        <f>IF(База_КР_КК[[#This Row],[Таб.номер резервиста]]="-","-",IF(OR(База_КР_КК[[#This Row],[Уровень КК]]=2,База_КР_КК[[#This Row],[Уровень КК]]=3),IF(COUNTIFS($U$2:$U3550,$U3550,$F$2:$F3550,$F3550)=1,1,0),IF(COUNTIFS($U$2:$U3550,$U3550,$L$2:$L3550,$L3550)=1,1,0)))</f>
        <v>0</v>
      </c>
      <c r="AA35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550" s="106" t="s">
        <v>24</v>
      </c>
      <c r="AC3550" s="51">
        <v>44774</v>
      </c>
      <c r="AD3550" s="106" t="s">
        <v>15</v>
      </c>
      <c r="AE3550" s="38" t="s">
        <v>318</v>
      </c>
    </row>
    <row r="3551" spans="1:31" ht="18" customHeight="1" x14ac:dyDescent="0.25">
      <c r="A35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1" s="79">
        <v>4</v>
      </c>
      <c r="C3551" s="23">
        <v>44125</v>
      </c>
      <c r="D3551" s="67">
        <f>IF(COUNTIF($G$2:$G3551,$G3551)=1,1,0)</f>
        <v>0</v>
      </c>
      <c r="E3551" s="67" t="str">
        <f>IFERROR(VLOOKUP(База_КР_КК[[#This Row],[ИД штатной должности (S)]],'уровень защищенности'!$B$7:$F$1095,5,0),"не защищена")</f>
        <v>высокий</v>
      </c>
      <c r="F3551" s="68">
        <v>500175</v>
      </c>
      <c r="G3551" s="74" t="s">
        <v>2996</v>
      </c>
      <c r="H3551" s="181">
        <f>INDEX('Списки данных'!$D$2:$D$1048576,MATCH(База_КР_КК[[#This Row],[Структурное подразделение]],'Списки данных'!$C$2:$C$1048576,0))</f>
        <v>7</v>
      </c>
      <c r="I3551" s="80" t="s">
        <v>137</v>
      </c>
      <c r="J3551" s="80" t="s">
        <v>248</v>
      </c>
      <c r="K3551" s="80" t="s">
        <v>249</v>
      </c>
      <c r="L3551" s="30" t="s">
        <v>191</v>
      </c>
      <c r="M3551" s="68">
        <v>6</v>
      </c>
      <c r="N3551" s="181" t="str">
        <f t="shared" si="56"/>
        <v>да</v>
      </c>
      <c r="O3551" s="23">
        <v>44748</v>
      </c>
      <c r="P3551" s="23">
        <v>44774</v>
      </c>
      <c r="Q3551" s="106" t="s">
        <v>66</v>
      </c>
      <c r="R3551" s="37">
        <v>814</v>
      </c>
      <c r="S3551" s="39" t="s">
        <v>1223</v>
      </c>
      <c r="T3551" s="37">
        <v>759</v>
      </c>
      <c r="U3551" s="39" t="s">
        <v>1168</v>
      </c>
      <c r="V3551" s="89" t="s">
        <v>192</v>
      </c>
      <c r="W3551" s="89" t="s">
        <v>137</v>
      </c>
      <c r="X3551" s="106" t="s">
        <v>297</v>
      </c>
      <c r="Y3551" s="107" t="s">
        <v>14</v>
      </c>
      <c r="Z3551" s="67">
        <f>IF(База_КР_КК[[#This Row],[Таб.номер резервиста]]="-","-",IF(OR(База_КР_КК[[#This Row],[Уровень КК]]=2,База_КР_КК[[#This Row],[Уровень КК]]=3),IF(COUNTIFS($U$2:$U3551,$U3551,$F$2:$F3551,$F3551)=1,1,0),IF(COUNTIFS($U$2:$U3551,$U3551,$L$2:$L3551,$L3551)=1,1,0)))</f>
        <v>0</v>
      </c>
      <c r="AA35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51" s="106" t="s">
        <v>24</v>
      </c>
      <c r="AC3551" s="51">
        <v>44701</v>
      </c>
      <c r="AD3551" s="106" t="s">
        <v>15</v>
      </c>
      <c r="AE3551" s="38" t="s">
        <v>318</v>
      </c>
    </row>
    <row r="3552" spans="1:31" ht="18" customHeight="1" x14ac:dyDescent="0.25">
      <c r="A35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2" s="79">
        <v>3</v>
      </c>
      <c r="C3552" s="23">
        <v>44538</v>
      </c>
      <c r="D3552" s="67">
        <f>IF(COUNTIF($G$2:$G3552,$G3552)=1,1,0)</f>
        <v>1</v>
      </c>
      <c r="E3552" s="67" t="str">
        <f>IFERROR(VLOOKUP(База_КР_КК[[#This Row],[ИД штатной должности (S)]],'уровень защищенности'!$B$7:$F$1095,5,0),"не защищена")</f>
        <v>низкий</v>
      </c>
      <c r="F3552" s="68">
        <v>500064</v>
      </c>
      <c r="G3552" s="74" t="s">
        <v>2997</v>
      </c>
      <c r="H3552" s="181">
        <f>INDEX('Списки данных'!$D$2:$D$1048576,MATCH(База_КР_КК[[#This Row],[Структурное подразделение]],'Списки данных'!$C$2:$C$1048576,0))</f>
        <v>6</v>
      </c>
      <c r="I3552" s="80" t="s">
        <v>136</v>
      </c>
      <c r="J3552" s="80" t="s">
        <v>246</v>
      </c>
      <c r="K3552" s="80" t="s">
        <v>21</v>
      </c>
      <c r="L3552" s="30" t="s">
        <v>189</v>
      </c>
      <c r="M3552" s="68">
        <v>6</v>
      </c>
      <c r="N3552" s="181" t="str">
        <f t="shared" si="56"/>
        <v>да</v>
      </c>
      <c r="O3552" s="23">
        <v>44044</v>
      </c>
      <c r="P3552" s="23">
        <v>44327</v>
      </c>
      <c r="Q3552" s="106" t="s">
        <v>66</v>
      </c>
      <c r="R3552" s="37">
        <v>815</v>
      </c>
      <c r="S3552" s="39" t="s">
        <v>1224</v>
      </c>
      <c r="T3552" s="37">
        <v>1904</v>
      </c>
      <c r="U3552" s="39" t="s">
        <v>2059</v>
      </c>
      <c r="V3552" s="89" t="s">
        <v>16</v>
      </c>
      <c r="W3552" s="89" t="s">
        <v>136</v>
      </c>
      <c r="X3552" s="106" t="s">
        <v>296</v>
      </c>
      <c r="Y3552" s="107" t="s">
        <v>12</v>
      </c>
      <c r="Z3552" s="67">
        <f>IF(База_КР_КК[[#This Row],[Таб.номер резервиста]]="-","-",IF(OR(База_КР_КК[[#This Row],[Уровень КК]]=2,База_КР_КК[[#This Row],[Уровень КК]]=3),IF(COUNTIFS($U$2:$U3552,$U3552,$F$2:$F3552,$F3552)=1,1,0),IF(COUNTIFS($U$2:$U3552,$U3552,$L$2:$L3552,$L3552)=1,1,0)))</f>
        <v>1</v>
      </c>
      <c r="AA35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52" s="106"/>
      <c r="AC3552" s="51"/>
      <c r="AD3552" s="106" t="s">
        <v>13</v>
      </c>
      <c r="AE3552" s="38" t="s">
        <v>370</v>
      </c>
    </row>
    <row r="3553" spans="1:31" ht="18" customHeight="1" x14ac:dyDescent="0.25">
      <c r="A35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3" s="79">
        <v>3</v>
      </c>
      <c r="C3553" s="23">
        <v>44039</v>
      </c>
      <c r="D3553" s="67">
        <f>IF(COUNTIF($G$2:$G3553,$G3553)=1,1,0)</f>
        <v>0</v>
      </c>
      <c r="E3553" s="67" t="str">
        <f>IFERROR(VLOOKUP(База_КР_КК[[#This Row],[ИД штатной должности (S)]],'уровень защищенности'!$B$7:$F$1095,5,0),"не защищена")</f>
        <v>низкий</v>
      </c>
      <c r="F3553" s="68">
        <v>500064</v>
      </c>
      <c r="G3553" s="74" t="s">
        <v>2997</v>
      </c>
      <c r="H3553" s="181">
        <f>INDEX('Списки данных'!$D$2:$D$1048576,MATCH(База_КР_КК[[#This Row],[Структурное подразделение]],'Списки данных'!$C$2:$C$1048576,0))</f>
        <v>6</v>
      </c>
      <c r="I3553" s="80" t="s">
        <v>136</v>
      </c>
      <c r="J3553" s="80" t="s">
        <v>246</v>
      </c>
      <c r="K3553" s="80" t="s">
        <v>21</v>
      </c>
      <c r="L3553" s="30" t="s">
        <v>189</v>
      </c>
      <c r="M3553" s="68">
        <v>6</v>
      </c>
      <c r="N3553" s="181" t="str">
        <f t="shared" si="56"/>
        <v>да</v>
      </c>
      <c r="O3553" s="23">
        <v>44044</v>
      </c>
      <c r="P3553" s="23">
        <v>44327</v>
      </c>
      <c r="Q3553" s="106" t="s">
        <v>66</v>
      </c>
      <c r="R3553" s="37">
        <v>815</v>
      </c>
      <c r="S3553" s="39" t="s">
        <v>1224</v>
      </c>
      <c r="T3553" s="37">
        <v>815</v>
      </c>
      <c r="U3553" s="39" t="s">
        <v>1224</v>
      </c>
      <c r="V3553" s="89" t="s">
        <v>192</v>
      </c>
      <c r="W3553" s="89" t="s">
        <v>136</v>
      </c>
      <c r="X3553" s="106" t="s">
        <v>297</v>
      </c>
      <c r="Y3553" s="107" t="s">
        <v>14</v>
      </c>
      <c r="Z3553" s="67">
        <f>IF(База_КР_КК[[#This Row],[Таб.номер резервиста]]="-","-",IF(OR(База_КР_КК[[#This Row],[Уровень КК]]=2,База_КР_КК[[#This Row],[Уровень КК]]=3),IF(COUNTIFS($U$2:$U3553,$U3553,$F$2:$F3553,$F3553)=1,1,0),IF(COUNTIFS($U$2:$U3553,$U3553,$L$2:$L3553,$L3553)=1,1,0)))</f>
        <v>1</v>
      </c>
      <c r="AA35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553" s="106" t="s">
        <v>24</v>
      </c>
      <c r="AC3553" s="51">
        <v>44327</v>
      </c>
      <c r="AD3553" s="106" t="s">
        <v>15</v>
      </c>
      <c r="AE3553" s="38" t="s">
        <v>332</v>
      </c>
    </row>
    <row r="3554" spans="1:31" ht="18" customHeight="1" x14ac:dyDescent="0.25">
      <c r="A35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4" s="79">
        <v>3</v>
      </c>
      <c r="C3554" s="23">
        <v>43458</v>
      </c>
      <c r="D3554" s="67">
        <f>IF(COUNTIF($G$2:$G3554,$G3554)=1,1,0)</f>
        <v>1</v>
      </c>
      <c r="E3554" s="67" t="str">
        <f>IFERROR(VLOOKUP(База_КР_КК[[#This Row],[ИД штатной должности (S)]],'уровень защищенности'!$B$7:$F$1095,5,0),"не защищена")</f>
        <v>высокий</v>
      </c>
      <c r="F3554" s="68">
        <v>500065</v>
      </c>
      <c r="G3554" s="74" t="s">
        <v>2998</v>
      </c>
      <c r="H3554" s="181">
        <f>INDEX('Списки данных'!$D$2:$D$1048576,MATCH(База_КР_КК[[#This Row],[Структурное подразделение]],'Списки данных'!$C$2:$C$1048576,0))</f>
        <v>6</v>
      </c>
      <c r="I3554" s="80" t="s">
        <v>136</v>
      </c>
      <c r="J3554" s="80" t="s">
        <v>246</v>
      </c>
      <c r="K3554" s="80" t="s">
        <v>247</v>
      </c>
      <c r="L3554" s="30" t="s">
        <v>198</v>
      </c>
      <c r="M3554" s="68">
        <v>5</v>
      </c>
      <c r="N3554" s="181" t="str">
        <f t="shared" si="56"/>
        <v>да</v>
      </c>
      <c r="O3554" s="23">
        <v>44958</v>
      </c>
      <c r="P3554" s="23"/>
      <c r="Q3554" s="106"/>
      <c r="R3554" s="37" t="s">
        <v>23</v>
      </c>
      <c r="S3554" s="37" t="s">
        <v>23</v>
      </c>
      <c r="T3554" s="37">
        <v>676</v>
      </c>
      <c r="U3554" s="39" t="s">
        <v>1085</v>
      </c>
      <c r="V3554" s="89" t="s">
        <v>192</v>
      </c>
      <c r="W3554" s="90" t="s">
        <v>136</v>
      </c>
      <c r="X3554" s="106" t="s">
        <v>295</v>
      </c>
      <c r="Y3554" s="107" t="s">
        <v>12</v>
      </c>
      <c r="Z3554" s="67">
        <f>IF(База_КР_КК[[#This Row],[Таб.номер резервиста]]="-","-",IF(OR(База_КР_КК[[#This Row],[Уровень КК]]=2,База_КР_КК[[#This Row],[Уровень КК]]=3),IF(COUNTIFS($U$2:$U3554,$U3554,$F$2:$F3554,$F3554)=1,1,0),IF(COUNTIFS($U$2:$U3554,$U3554,$L$2:$L3554,$L3554)=1,1,0)))</f>
        <v>1</v>
      </c>
      <c r="AA35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54" s="106"/>
      <c r="AC3554" s="51"/>
      <c r="AD3554" s="106" t="s">
        <v>17</v>
      </c>
      <c r="AE3554" s="38" t="s">
        <v>370</v>
      </c>
    </row>
    <row r="3555" spans="1:31" ht="18" customHeight="1" x14ac:dyDescent="0.25">
      <c r="A35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5" s="79">
        <v>3</v>
      </c>
      <c r="C3555" s="23">
        <v>44740</v>
      </c>
      <c r="D3555" s="67">
        <f>IF(COUNTIF($G$2:$G3555,$G3555)=1,1,0)</f>
        <v>0</v>
      </c>
      <c r="E3555" s="67" t="str">
        <f>IFERROR(VLOOKUP(База_КР_КК[[#This Row],[ИД штатной должности (S)]],'уровень защищенности'!$B$7:$F$1095,5,0),"не защищена")</f>
        <v>высокий</v>
      </c>
      <c r="F3555" s="68">
        <v>500065</v>
      </c>
      <c r="G3555" s="74" t="s">
        <v>2998</v>
      </c>
      <c r="H3555" s="181">
        <f>INDEX('Списки данных'!$D$2:$D$1048576,MATCH(База_КР_КК[[#This Row],[Структурное подразделение]],'Списки данных'!$C$2:$C$1048576,0))</f>
        <v>6</v>
      </c>
      <c r="I3555" s="80" t="s">
        <v>136</v>
      </c>
      <c r="J3555" s="80" t="s">
        <v>246</v>
      </c>
      <c r="K3555" s="80" t="s">
        <v>247</v>
      </c>
      <c r="L3555" s="30" t="s">
        <v>198</v>
      </c>
      <c r="M3555" s="68">
        <v>5</v>
      </c>
      <c r="N3555" s="181" t="str">
        <f t="shared" si="56"/>
        <v>да</v>
      </c>
      <c r="O3555" s="23">
        <v>44958</v>
      </c>
      <c r="P3555" s="23"/>
      <c r="Q3555" s="106"/>
      <c r="R3555" s="37" t="s">
        <v>23</v>
      </c>
      <c r="S3555" s="37" t="s">
        <v>23</v>
      </c>
      <c r="T3555" s="37">
        <v>677</v>
      </c>
      <c r="U3555" s="38" t="s">
        <v>1086</v>
      </c>
      <c r="V3555" s="89" t="s">
        <v>192</v>
      </c>
      <c r="W3555" s="90" t="s">
        <v>136</v>
      </c>
      <c r="X3555" s="106" t="s">
        <v>296</v>
      </c>
      <c r="Y3555" s="107" t="s">
        <v>12</v>
      </c>
      <c r="Z3555" s="67">
        <f>IF(База_КР_КК[[#This Row],[Таб.номер резервиста]]="-","-",IF(OR(База_КР_КК[[#This Row],[Уровень КК]]=2,База_КР_КК[[#This Row],[Уровень КК]]=3),IF(COUNTIFS($U$2:$U3555,$U3555,$F$2:$F3555,$F3555)=1,1,0),IF(COUNTIFS($U$2:$U3555,$U3555,$L$2:$L3555,$L3555)=1,1,0)))</f>
        <v>1</v>
      </c>
      <c r="AA35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55" s="106"/>
      <c r="AC3555" s="51"/>
      <c r="AD3555" s="106" t="s">
        <v>13</v>
      </c>
      <c r="AE3555" s="38" t="s">
        <v>370</v>
      </c>
    </row>
    <row r="3556" spans="1:31" ht="18" customHeight="1" x14ac:dyDescent="0.25">
      <c r="A35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6" s="79">
        <v>3</v>
      </c>
      <c r="C3556" s="23">
        <v>43458</v>
      </c>
      <c r="D3556" s="67">
        <f>IF(COUNTIF($G$2:$G3556,$G3556)=1,1,0)</f>
        <v>0</v>
      </c>
      <c r="E3556" s="67" t="str">
        <f>IFERROR(VLOOKUP(База_КР_КК[[#This Row],[ИД штатной должности (S)]],'уровень защищенности'!$B$7:$F$1095,5,0),"не защищена")</f>
        <v>высокий</v>
      </c>
      <c r="F3556" s="68">
        <v>500065</v>
      </c>
      <c r="G3556" s="74" t="s">
        <v>2998</v>
      </c>
      <c r="H3556" s="181">
        <f>INDEX('Списки данных'!$D$2:$D$1048576,MATCH(База_КР_КК[[#This Row],[Структурное подразделение]],'Списки данных'!$C$2:$C$1048576,0))</f>
        <v>6</v>
      </c>
      <c r="I3556" s="80" t="s">
        <v>136</v>
      </c>
      <c r="J3556" s="80" t="s">
        <v>246</v>
      </c>
      <c r="K3556" s="80" t="s">
        <v>247</v>
      </c>
      <c r="L3556" s="30" t="s">
        <v>198</v>
      </c>
      <c r="M3556" s="68">
        <v>5</v>
      </c>
      <c r="N3556" s="181" t="str">
        <f t="shared" si="56"/>
        <v>да</v>
      </c>
      <c r="O3556" s="23">
        <v>44958</v>
      </c>
      <c r="P3556" s="23"/>
      <c r="Q3556" s="106"/>
      <c r="R3556" s="37" t="s">
        <v>23</v>
      </c>
      <c r="S3556" s="37" t="s">
        <v>23</v>
      </c>
      <c r="T3556" s="37">
        <v>1905</v>
      </c>
      <c r="U3556" s="39" t="s">
        <v>1996</v>
      </c>
      <c r="V3556" s="89" t="s">
        <v>272</v>
      </c>
      <c r="W3556" s="90" t="s">
        <v>136</v>
      </c>
      <c r="X3556" s="106" t="s">
        <v>296</v>
      </c>
      <c r="Y3556" s="107" t="s">
        <v>18</v>
      </c>
      <c r="Z3556" s="67">
        <f>IF(База_КР_КК[[#This Row],[Таб.номер резервиста]]="-","-",IF(OR(База_КР_КК[[#This Row],[Уровень КК]]=2,База_КР_КК[[#This Row],[Уровень КК]]=3),IF(COUNTIFS($U$2:$U3556,$U3556,$F$2:$F3556,$F3556)=1,1,0),IF(COUNTIFS($U$2:$U3556,$U3556,$L$2:$L3556,$L3556)=1,1,0)))</f>
        <v>1</v>
      </c>
      <c r="AA35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56" s="106" t="s">
        <v>33</v>
      </c>
      <c r="AC3556" s="51">
        <v>43769</v>
      </c>
      <c r="AD3556" s="106" t="s">
        <v>15</v>
      </c>
      <c r="AE3556" s="38" t="s">
        <v>381</v>
      </c>
    </row>
    <row r="3557" spans="1:31" ht="18" customHeight="1" x14ac:dyDescent="0.25">
      <c r="A35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7" s="79">
        <v>3</v>
      </c>
      <c r="C3557" s="23">
        <v>44039</v>
      </c>
      <c r="D3557" s="67">
        <f>IF(COUNTIF($G$2:$G3557,$G3557)=1,1,0)</f>
        <v>1</v>
      </c>
      <c r="E3557" s="67" t="str">
        <f>IFERROR(VLOOKUP(База_КР_КК[[#This Row],[ИД штатной должности (S)]],'уровень защищенности'!$B$7:$F$1095,5,0),"не защищена")</f>
        <v>средний</v>
      </c>
      <c r="F3557" s="68">
        <v>500066</v>
      </c>
      <c r="G3557" s="74" t="s">
        <v>2999</v>
      </c>
      <c r="H3557" s="181">
        <f>INDEX('Списки данных'!$D$2:$D$1048576,MATCH(База_КР_КК[[#This Row],[Структурное подразделение]],'Списки данных'!$C$2:$C$1048576,0))</f>
        <v>6</v>
      </c>
      <c r="I3557" s="80" t="s">
        <v>136</v>
      </c>
      <c r="J3557" s="80" t="s">
        <v>246</v>
      </c>
      <c r="K3557" s="80" t="s">
        <v>247</v>
      </c>
      <c r="L3557" s="30" t="s">
        <v>198</v>
      </c>
      <c r="M3557" s="68">
        <v>5</v>
      </c>
      <c r="N3557" s="181" t="str">
        <f t="shared" si="56"/>
        <v>да</v>
      </c>
      <c r="O3557" s="23">
        <v>43728</v>
      </c>
      <c r="P3557" s="23">
        <v>44105</v>
      </c>
      <c r="Q3557" s="106" t="s">
        <v>57</v>
      </c>
      <c r="R3557" s="37">
        <v>816</v>
      </c>
      <c r="S3557" s="39" t="s">
        <v>1225</v>
      </c>
      <c r="T3557" s="37">
        <v>1772</v>
      </c>
      <c r="U3557" s="39" t="s">
        <v>2038</v>
      </c>
      <c r="V3557" s="89" t="s">
        <v>272</v>
      </c>
      <c r="W3557" s="89" t="s">
        <v>136</v>
      </c>
      <c r="X3557" s="106" t="s">
        <v>297</v>
      </c>
      <c r="Y3557" s="107" t="s">
        <v>12</v>
      </c>
      <c r="Z3557" s="67">
        <f>IF(База_КР_КК[[#This Row],[Таб.номер резервиста]]="-","-",IF(OR(База_КР_КК[[#This Row],[Уровень КК]]=2,База_КР_КК[[#This Row],[Уровень КК]]=3),IF(COUNTIFS($U$2:$U3557,$U3557,$F$2:$F3557,$F3557)=1,1,0),IF(COUNTIFS($U$2:$U3557,$U3557,$L$2:$L3557,$L3557)=1,1,0)))</f>
        <v>1</v>
      </c>
      <c r="AA35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57" s="106"/>
      <c r="AC3557" s="51"/>
      <c r="AD3557" s="106" t="s">
        <v>17</v>
      </c>
      <c r="AE3557" s="38" t="s">
        <v>370</v>
      </c>
    </row>
    <row r="3558" spans="1:31" ht="18" customHeight="1" x14ac:dyDescent="0.25">
      <c r="A35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8" s="79">
        <v>3</v>
      </c>
      <c r="C3558" s="23">
        <v>44740</v>
      </c>
      <c r="D3558" s="67">
        <f>IF(COUNTIF($G$2:$G3558,$G3558)=1,1,0)</f>
        <v>0</v>
      </c>
      <c r="E3558" s="67" t="str">
        <f>IFERROR(VLOOKUP(База_КР_КК[[#This Row],[ИД штатной должности (S)]],'уровень защищенности'!$B$7:$F$1095,5,0),"не защищена")</f>
        <v>средний</v>
      </c>
      <c r="F3558" s="68">
        <v>500066</v>
      </c>
      <c r="G3558" s="74" t="s">
        <v>2999</v>
      </c>
      <c r="H3558" s="181">
        <f>INDEX('Списки данных'!$D$2:$D$1048576,MATCH(База_КР_КК[[#This Row],[Структурное подразделение]],'Списки данных'!$C$2:$C$1048576,0))</f>
        <v>6</v>
      </c>
      <c r="I3558" s="80" t="s">
        <v>136</v>
      </c>
      <c r="J3558" s="80" t="s">
        <v>246</v>
      </c>
      <c r="K3558" s="80" t="s">
        <v>247</v>
      </c>
      <c r="L3558" s="30" t="s">
        <v>198</v>
      </c>
      <c r="M3558" s="68">
        <v>5</v>
      </c>
      <c r="N3558" s="181" t="str">
        <f t="shared" si="56"/>
        <v>да</v>
      </c>
      <c r="O3558" s="23">
        <v>43728</v>
      </c>
      <c r="P3558" s="23">
        <v>44105</v>
      </c>
      <c r="Q3558" s="106" t="s">
        <v>57</v>
      </c>
      <c r="R3558" s="37">
        <v>816</v>
      </c>
      <c r="S3558" s="39" t="s">
        <v>1225</v>
      </c>
      <c r="T3558" s="37">
        <v>681</v>
      </c>
      <c r="U3558" s="38" t="s">
        <v>1090</v>
      </c>
      <c r="V3558" s="89" t="s">
        <v>192</v>
      </c>
      <c r="W3558" s="89" t="s">
        <v>136</v>
      </c>
      <c r="X3558" s="106" t="s">
        <v>296</v>
      </c>
      <c r="Y3558" s="107" t="s">
        <v>12</v>
      </c>
      <c r="Z3558" s="67">
        <f>IF(База_КР_КК[[#This Row],[Таб.номер резервиста]]="-","-",IF(OR(База_КР_КК[[#This Row],[Уровень КК]]=2,База_КР_КК[[#This Row],[Уровень КК]]=3),IF(COUNTIFS($U$2:$U3558,$U3558,$F$2:$F3558,$F3558)=1,1,0),IF(COUNTIFS($U$2:$U3558,$U3558,$L$2:$L3558,$L3558)=1,1,0)))</f>
        <v>1</v>
      </c>
      <c r="AA35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58" s="106"/>
      <c r="AC3558" s="51"/>
      <c r="AD3558" s="106" t="s">
        <v>17</v>
      </c>
      <c r="AE3558" s="38" t="s">
        <v>370</v>
      </c>
    </row>
    <row r="3559" spans="1:31" ht="18" customHeight="1" x14ac:dyDescent="0.25">
      <c r="A35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59" s="79">
        <v>3</v>
      </c>
      <c r="C3559" s="23">
        <v>43458</v>
      </c>
      <c r="D3559" s="67">
        <f>IF(COUNTIF($G$2:$G3559,$G3559)=1,1,0)</f>
        <v>0</v>
      </c>
      <c r="E3559" s="67" t="str">
        <f>IFERROR(VLOOKUP(База_КР_КК[[#This Row],[ИД штатной должности (S)]],'уровень защищенности'!$B$7:$F$1095,5,0),"не защищена")</f>
        <v>средний</v>
      </c>
      <c r="F3559" s="68">
        <v>500066</v>
      </c>
      <c r="G3559" s="74" t="s">
        <v>2999</v>
      </c>
      <c r="H3559" s="181">
        <f>INDEX('Списки данных'!$D$2:$D$1048576,MATCH(База_КР_КК[[#This Row],[Структурное подразделение]],'Списки данных'!$C$2:$C$1048576,0))</f>
        <v>6</v>
      </c>
      <c r="I3559" s="80" t="s">
        <v>136</v>
      </c>
      <c r="J3559" s="80" t="s">
        <v>246</v>
      </c>
      <c r="K3559" s="80" t="s">
        <v>247</v>
      </c>
      <c r="L3559" s="30" t="s">
        <v>198</v>
      </c>
      <c r="M3559" s="68">
        <v>5</v>
      </c>
      <c r="N3559" s="181" t="str">
        <f t="shared" si="56"/>
        <v>да</v>
      </c>
      <c r="O3559" s="23">
        <v>43728</v>
      </c>
      <c r="P3559" s="23">
        <v>44105</v>
      </c>
      <c r="Q3559" s="106" t="s">
        <v>57</v>
      </c>
      <c r="R3559" s="37">
        <v>816</v>
      </c>
      <c r="S3559" s="39" t="s">
        <v>1225</v>
      </c>
      <c r="T3559" s="37">
        <v>1761</v>
      </c>
      <c r="U3559" s="39" t="s">
        <v>2029</v>
      </c>
      <c r="V3559" s="89" t="s">
        <v>192</v>
      </c>
      <c r="W3559" s="90" t="s">
        <v>136</v>
      </c>
      <c r="X3559" s="106" t="s">
        <v>297</v>
      </c>
      <c r="Y3559" s="107" t="s">
        <v>18</v>
      </c>
      <c r="Z3559" s="67">
        <f>IF(База_КР_КК[[#This Row],[Таб.номер резервиста]]="-","-",IF(OR(База_КР_КК[[#This Row],[Уровень КК]]=2,База_КР_КК[[#This Row],[Уровень КК]]=3),IF(COUNTIFS($U$2:$U3559,$U3559,$F$2:$F3559,$F3559)=1,1,0),IF(COUNTIFS($U$2:$U3559,$U3559,$L$2:$L3559,$L3559)=1,1,0)))</f>
        <v>1</v>
      </c>
      <c r="AA35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59" s="106" t="s">
        <v>19</v>
      </c>
      <c r="AC3559" s="51">
        <v>44908</v>
      </c>
      <c r="AD3559" s="106" t="s">
        <v>13</v>
      </c>
      <c r="AE3559" s="38" t="s">
        <v>370</v>
      </c>
    </row>
    <row r="3560" spans="1:31" ht="18" customHeight="1" x14ac:dyDescent="0.25">
      <c r="A35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0" s="79">
        <v>3</v>
      </c>
      <c r="C3560" s="23">
        <v>43458</v>
      </c>
      <c r="D3560" s="67">
        <f>IF(COUNTIF($G$2:$G3560,$G3560)=1,1,0)</f>
        <v>1</v>
      </c>
      <c r="E3560" s="67" t="str">
        <f>IFERROR(VLOOKUP(База_КР_КК[[#This Row],[ИД штатной должности (S)]],'уровень защищенности'!$B$7:$F$1095,5,0),"не защищена")</f>
        <v>средний</v>
      </c>
      <c r="F3560" s="68">
        <v>500067</v>
      </c>
      <c r="G3560" s="74" t="s">
        <v>3000</v>
      </c>
      <c r="H3560" s="181">
        <f>INDEX('Списки данных'!$D$2:$D$1048576,MATCH(База_КР_КК[[#This Row],[Структурное подразделение]],'Списки данных'!$C$2:$C$1048576,0))</f>
        <v>6</v>
      </c>
      <c r="I3560" s="80" t="s">
        <v>136</v>
      </c>
      <c r="J3560" s="80" t="s">
        <v>246</v>
      </c>
      <c r="K3560" s="80" t="s">
        <v>247</v>
      </c>
      <c r="L3560" s="30" t="s">
        <v>198</v>
      </c>
      <c r="M3560" s="68">
        <v>5</v>
      </c>
      <c r="N3560" s="181" t="str">
        <f t="shared" si="56"/>
        <v>да</v>
      </c>
      <c r="O3560" s="23">
        <v>43891</v>
      </c>
      <c r="P3560" s="23">
        <v>43891</v>
      </c>
      <c r="Q3560" s="106" t="s">
        <v>66</v>
      </c>
      <c r="R3560" s="37">
        <v>817</v>
      </c>
      <c r="S3560" s="38" t="s">
        <v>1226</v>
      </c>
      <c r="T3560" s="37">
        <v>703</v>
      </c>
      <c r="U3560" s="39" t="s">
        <v>1112</v>
      </c>
      <c r="V3560" s="89" t="s">
        <v>192</v>
      </c>
      <c r="W3560" s="90" t="s">
        <v>136</v>
      </c>
      <c r="X3560" s="106" t="s">
        <v>297</v>
      </c>
      <c r="Y3560" s="107" t="s">
        <v>12</v>
      </c>
      <c r="Z3560" s="67">
        <f>IF(База_КР_КК[[#This Row],[Таб.номер резервиста]]="-","-",IF(OR(База_КР_КК[[#This Row],[Уровень КК]]=2,База_КР_КК[[#This Row],[Уровень КК]]=3),IF(COUNTIFS($U$2:$U3560,$U3560,$F$2:$F3560,$F3560)=1,1,0),IF(COUNTIFS($U$2:$U3560,$U3560,$L$2:$L3560,$L3560)=1,1,0)))</f>
        <v>1</v>
      </c>
      <c r="AA35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0" s="106"/>
      <c r="AC3560" s="51"/>
      <c r="AD3560" s="106" t="s">
        <v>13</v>
      </c>
      <c r="AE3560" s="38" t="s">
        <v>370</v>
      </c>
    </row>
    <row r="3561" spans="1:31" ht="18" customHeight="1" x14ac:dyDescent="0.25">
      <c r="A35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1" s="79">
        <v>3</v>
      </c>
      <c r="C3561" s="23">
        <v>44039</v>
      </c>
      <c r="D3561" s="67">
        <f>IF(COUNTIF($G$2:$G3561,$G3561)=1,1,0)</f>
        <v>0</v>
      </c>
      <c r="E3561" s="67" t="str">
        <f>IFERROR(VLOOKUP(База_КР_КК[[#This Row],[ИД штатной должности (S)]],'уровень защищенности'!$B$7:$F$1095,5,0),"не защищена")</f>
        <v>средний</v>
      </c>
      <c r="F3561" s="68">
        <v>500067</v>
      </c>
      <c r="G3561" s="74" t="s">
        <v>3000</v>
      </c>
      <c r="H3561" s="181">
        <f>INDEX('Списки данных'!$D$2:$D$1048576,MATCH(База_КР_КК[[#This Row],[Структурное подразделение]],'Списки данных'!$C$2:$C$1048576,0))</f>
        <v>6</v>
      </c>
      <c r="I3561" s="80" t="s">
        <v>136</v>
      </c>
      <c r="J3561" s="80" t="s">
        <v>246</v>
      </c>
      <c r="K3561" s="80" t="s">
        <v>247</v>
      </c>
      <c r="L3561" s="30" t="s">
        <v>198</v>
      </c>
      <c r="M3561" s="68">
        <v>5</v>
      </c>
      <c r="N3561" s="181" t="str">
        <f t="shared" si="56"/>
        <v>да</v>
      </c>
      <c r="O3561" s="23">
        <v>43891</v>
      </c>
      <c r="P3561" s="23">
        <v>43891</v>
      </c>
      <c r="Q3561" s="106" t="s">
        <v>66</v>
      </c>
      <c r="R3561" s="37">
        <v>817</v>
      </c>
      <c r="S3561" s="38" t="s">
        <v>1226</v>
      </c>
      <c r="T3561" s="37">
        <v>813</v>
      </c>
      <c r="U3561" s="39" t="s">
        <v>1222</v>
      </c>
      <c r="V3561" s="89" t="s">
        <v>192</v>
      </c>
      <c r="W3561" s="89" t="s">
        <v>136</v>
      </c>
      <c r="X3561" s="106" t="s">
        <v>297</v>
      </c>
      <c r="Y3561" s="107" t="s">
        <v>12</v>
      </c>
      <c r="Z3561" s="67">
        <f>IF(База_КР_КК[[#This Row],[Таб.номер резервиста]]="-","-",IF(OR(База_КР_КК[[#This Row],[Уровень КК]]=2,База_КР_КК[[#This Row],[Уровень КК]]=3),IF(COUNTIFS($U$2:$U3561,$U3561,$F$2:$F3561,$F3561)=1,1,0),IF(COUNTIFS($U$2:$U3561,$U3561,$L$2:$L3561,$L3561)=1,1,0)))</f>
        <v>1</v>
      </c>
      <c r="AA35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1" s="106"/>
      <c r="AC3561" s="51"/>
      <c r="AD3561" s="106" t="s">
        <v>13</v>
      </c>
      <c r="AE3561" s="38" t="s">
        <v>370</v>
      </c>
    </row>
    <row r="3562" spans="1:31" ht="18" customHeight="1" x14ac:dyDescent="0.25">
      <c r="A35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2" s="79">
        <v>3</v>
      </c>
      <c r="C3562" s="23">
        <v>44740</v>
      </c>
      <c r="D3562" s="67">
        <f>IF(COUNTIF($G$2:$G3562,$G3562)=1,1,0)</f>
        <v>0</v>
      </c>
      <c r="E3562" s="67" t="str">
        <f>IFERROR(VLOOKUP(База_КР_КК[[#This Row],[ИД штатной должности (S)]],'уровень защищенности'!$B$7:$F$1095,5,0),"не защищена")</f>
        <v>средний</v>
      </c>
      <c r="F3562" s="68">
        <v>500067</v>
      </c>
      <c r="G3562" s="74" t="s">
        <v>3000</v>
      </c>
      <c r="H3562" s="181">
        <f>INDEX('Списки данных'!$D$2:$D$1048576,MATCH(База_КР_КК[[#This Row],[Структурное подразделение]],'Списки данных'!$C$2:$C$1048576,0))</f>
        <v>6</v>
      </c>
      <c r="I3562" s="80" t="s">
        <v>136</v>
      </c>
      <c r="J3562" s="80" t="s">
        <v>246</v>
      </c>
      <c r="K3562" s="80" t="s">
        <v>247</v>
      </c>
      <c r="L3562" s="30" t="s">
        <v>198</v>
      </c>
      <c r="M3562" s="68">
        <v>5</v>
      </c>
      <c r="N3562" s="181" t="str">
        <f t="shared" si="56"/>
        <v>да</v>
      </c>
      <c r="O3562" s="23">
        <v>43891</v>
      </c>
      <c r="P3562" s="23">
        <v>43891</v>
      </c>
      <c r="Q3562" s="106" t="s">
        <v>66</v>
      </c>
      <c r="R3562" s="37">
        <v>817</v>
      </c>
      <c r="S3562" s="39" t="s">
        <v>1226</v>
      </c>
      <c r="T3562" s="37">
        <v>1799</v>
      </c>
      <c r="U3562" s="38" t="s">
        <v>2055</v>
      </c>
      <c r="V3562" s="89" t="s">
        <v>16</v>
      </c>
      <c r="W3562" s="89" t="s">
        <v>136</v>
      </c>
      <c r="X3562" s="106" t="s">
        <v>297</v>
      </c>
      <c r="Y3562" s="107" t="s">
        <v>12</v>
      </c>
      <c r="Z3562" s="67">
        <f>IF(База_КР_КК[[#This Row],[Таб.номер резервиста]]="-","-",IF(OR(База_КР_КК[[#This Row],[Уровень КК]]=2,База_КР_КК[[#This Row],[Уровень КК]]=3),IF(COUNTIFS($U$2:$U3562,$U3562,$F$2:$F3562,$F3562)=1,1,0),IF(COUNTIFS($U$2:$U3562,$U3562,$L$2:$L3562,$L3562)=1,1,0)))</f>
        <v>1</v>
      </c>
      <c r="AA35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2" s="106"/>
      <c r="AC3562" s="51"/>
      <c r="AD3562" s="106" t="s">
        <v>13</v>
      </c>
      <c r="AE3562" s="38" t="s">
        <v>370</v>
      </c>
    </row>
    <row r="3563" spans="1:31" ht="18" customHeight="1" x14ac:dyDescent="0.25">
      <c r="A35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3" s="79">
        <v>3</v>
      </c>
      <c r="C3563" s="23">
        <v>43458</v>
      </c>
      <c r="D3563" s="67">
        <f>IF(COUNTIF($G$2:$G3563,$G3563)=1,1,0)</f>
        <v>0</v>
      </c>
      <c r="E3563" s="67" t="str">
        <f>IFERROR(VLOOKUP(База_КР_КК[[#This Row],[ИД штатной должности (S)]],'уровень защищенности'!$B$7:$F$1095,5,0),"не защищена")</f>
        <v>средний</v>
      </c>
      <c r="F3563" s="68">
        <v>500067</v>
      </c>
      <c r="G3563" s="74" t="s">
        <v>3000</v>
      </c>
      <c r="H3563" s="181">
        <f>INDEX('Списки данных'!$D$2:$D$1048576,MATCH(База_КР_КК[[#This Row],[Структурное подразделение]],'Списки данных'!$C$2:$C$1048576,0))</f>
        <v>6</v>
      </c>
      <c r="I3563" s="80" t="s">
        <v>136</v>
      </c>
      <c r="J3563" s="80" t="s">
        <v>246</v>
      </c>
      <c r="K3563" s="80" t="s">
        <v>247</v>
      </c>
      <c r="L3563" s="30" t="s">
        <v>198</v>
      </c>
      <c r="M3563" s="68">
        <v>5</v>
      </c>
      <c r="N3563" s="181" t="str">
        <f t="shared" si="56"/>
        <v>да</v>
      </c>
      <c r="O3563" s="23">
        <v>43891</v>
      </c>
      <c r="P3563" s="23">
        <v>43891</v>
      </c>
      <c r="Q3563" s="106" t="s">
        <v>66</v>
      </c>
      <c r="R3563" s="37">
        <v>817</v>
      </c>
      <c r="S3563" s="38" t="s">
        <v>1226</v>
      </c>
      <c r="T3563" s="37">
        <v>817</v>
      </c>
      <c r="U3563" s="39" t="s">
        <v>1226</v>
      </c>
      <c r="V3563" s="89" t="s">
        <v>192</v>
      </c>
      <c r="W3563" s="90" t="s">
        <v>136</v>
      </c>
      <c r="X3563" s="106" t="s">
        <v>297</v>
      </c>
      <c r="Y3563" s="107" t="s">
        <v>14</v>
      </c>
      <c r="Z3563" s="67">
        <f>IF(База_КР_КК[[#This Row],[Таб.номер резервиста]]="-","-",IF(OR(База_КР_КК[[#This Row],[Уровень КК]]=2,База_КР_КК[[#This Row],[Уровень КК]]=3),IF(COUNTIFS($U$2:$U3563,$U3563,$F$2:$F3563,$F3563)=1,1,0),IF(COUNTIFS($U$2:$U3563,$U3563,$L$2:$L3563,$L3563)=1,1,0)))</f>
        <v>1</v>
      </c>
      <c r="AA35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563" s="106" t="s">
        <v>24</v>
      </c>
      <c r="AC3563" s="51">
        <v>43891</v>
      </c>
      <c r="AD3563" s="106" t="s">
        <v>15</v>
      </c>
      <c r="AE3563" s="38" t="s">
        <v>381</v>
      </c>
    </row>
    <row r="3564" spans="1:31" ht="18" customHeight="1" x14ac:dyDescent="0.25">
      <c r="A35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4" s="79">
        <v>3</v>
      </c>
      <c r="C3564" s="23">
        <v>43458</v>
      </c>
      <c r="D3564" s="67">
        <f>IF(COUNTIF($G$2:$G3564,$G3564)=1,1,0)</f>
        <v>1</v>
      </c>
      <c r="E3564" s="67" t="str">
        <f>IFERROR(VLOOKUP(База_КР_КК[[#This Row],[ИД штатной должности (S)]],'уровень защищенности'!$B$7:$F$1095,5,0),"не защищена")</f>
        <v>средний</v>
      </c>
      <c r="F3564" s="68">
        <v>500068</v>
      </c>
      <c r="G3564" s="74" t="s">
        <v>3001</v>
      </c>
      <c r="H3564" s="181">
        <f>INDEX('Списки данных'!$D$2:$D$1048576,MATCH(База_КР_КК[[#This Row],[Структурное подразделение]],'Списки данных'!$C$2:$C$1048576,0))</f>
        <v>6</v>
      </c>
      <c r="I3564" s="80" t="s">
        <v>136</v>
      </c>
      <c r="J3564" s="80" t="s">
        <v>246</v>
      </c>
      <c r="K3564" s="80" t="s">
        <v>247</v>
      </c>
      <c r="L3564" s="30" t="s">
        <v>198</v>
      </c>
      <c r="M3564" s="68">
        <v>5</v>
      </c>
      <c r="N3564" s="181" t="str">
        <f t="shared" si="56"/>
        <v>нет</v>
      </c>
      <c r="O3564" s="23"/>
      <c r="P3564" s="23"/>
      <c r="Q3564" s="106"/>
      <c r="R3564" s="37">
        <v>818</v>
      </c>
      <c r="S3564" s="38" t="s">
        <v>1227</v>
      </c>
      <c r="T3564" s="37">
        <v>693</v>
      </c>
      <c r="U3564" s="39" t="s">
        <v>1102</v>
      </c>
      <c r="V3564" s="89" t="s">
        <v>192</v>
      </c>
      <c r="W3564" s="90" t="s">
        <v>136</v>
      </c>
      <c r="X3564" s="106" t="s">
        <v>297</v>
      </c>
      <c r="Y3564" s="107" t="s">
        <v>12</v>
      </c>
      <c r="Z3564" s="67">
        <f>IF(База_КР_КК[[#This Row],[Таб.номер резервиста]]="-","-",IF(OR(База_КР_КК[[#This Row],[Уровень КК]]=2,База_КР_КК[[#This Row],[Уровень КК]]=3),IF(COUNTIFS($U$2:$U3564,$U3564,$F$2:$F3564,$F3564)=1,1,0),IF(COUNTIFS($U$2:$U3564,$U3564,$L$2:$L3564,$L3564)=1,1,0)))</f>
        <v>1</v>
      </c>
      <c r="AA35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4" s="106"/>
      <c r="AC3564" s="51"/>
      <c r="AD3564" s="106" t="s">
        <v>13</v>
      </c>
      <c r="AE3564" s="38" t="s">
        <v>370</v>
      </c>
    </row>
    <row r="3565" spans="1:31" ht="18" customHeight="1" x14ac:dyDescent="0.25">
      <c r="A35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5" s="79">
        <v>3</v>
      </c>
      <c r="C3565" s="23">
        <v>44740</v>
      </c>
      <c r="D3565" s="67">
        <f>IF(COUNTIF($G$2:$G3565,$G3565)=1,1,0)</f>
        <v>0</v>
      </c>
      <c r="E3565" s="67" t="str">
        <f>IFERROR(VLOOKUP(База_КР_КК[[#This Row],[ИД штатной должности (S)]],'уровень защищенности'!$B$7:$F$1095,5,0),"не защищена")</f>
        <v>средний</v>
      </c>
      <c r="F3565" s="68">
        <v>500068</v>
      </c>
      <c r="G3565" s="74" t="s">
        <v>3001</v>
      </c>
      <c r="H3565" s="181">
        <f>INDEX('Списки данных'!$D$2:$D$1048576,MATCH(База_КР_КК[[#This Row],[Структурное подразделение]],'Списки данных'!$C$2:$C$1048576,0))</f>
        <v>6</v>
      </c>
      <c r="I3565" s="80" t="s">
        <v>136</v>
      </c>
      <c r="J3565" s="80" t="s">
        <v>246</v>
      </c>
      <c r="K3565" s="80" t="s">
        <v>247</v>
      </c>
      <c r="L3565" s="30" t="s">
        <v>198</v>
      </c>
      <c r="M3565" s="68">
        <v>5</v>
      </c>
      <c r="N3565" s="181" t="str">
        <f t="shared" si="56"/>
        <v>нет</v>
      </c>
      <c r="O3565" s="23"/>
      <c r="P3565" s="23"/>
      <c r="Q3565" s="106"/>
      <c r="R3565" s="37">
        <v>818</v>
      </c>
      <c r="S3565" s="39" t="s">
        <v>1227</v>
      </c>
      <c r="T3565" s="37">
        <v>691</v>
      </c>
      <c r="U3565" s="38" t="s">
        <v>1100</v>
      </c>
      <c r="V3565" s="89" t="s">
        <v>192</v>
      </c>
      <c r="W3565" s="90" t="s">
        <v>136</v>
      </c>
      <c r="X3565" s="106" t="s">
        <v>296</v>
      </c>
      <c r="Y3565" s="107" t="s">
        <v>12</v>
      </c>
      <c r="Z3565" s="67">
        <f>IF(База_КР_КК[[#This Row],[Таб.номер резервиста]]="-","-",IF(OR(База_КР_КК[[#This Row],[Уровень КК]]=2,База_КР_КК[[#This Row],[Уровень КК]]=3),IF(COUNTIFS($U$2:$U3565,$U3565,$F$2:$F3565,$F3565)=1,1,0),IF(COUNTIFS($U$2:$U3565,$U3565,$L$2:$L3565,$L3565)=1,1,0)))</f>
        <v>1</v>
      </c>
      <c r="AA35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5" s="106"/>
      <c r="AC3565" s="51"/>
      <c r="AD3565" s="106" t="s">
        <v>13</v>
      </c>
      <c r="AE3565" s="38" t="s">
        <v>370</v>
      </c>
    </row>
    <row r="3566" spans="1:31" ht="18" customHeight="1" x14ac:dyDescent="0.25">
      <c r="A35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6" s="79">
        <v>3</v>
      </c>
      <c r="C3566" s="23">
        <v>44740</v>
      </c>
      <c r="D3566" s="67">
        <f>IF(COUNTIF($G$2:$G3566,$G3566)=1,1,0)</f>
        <v>0</v>
      </c>
      <c r="E3566" s="67" t="str">
        <f>IFERROR(VLOOKUP(База_КР_КК[[#This Row],[ИД штатной должности (S)]],'уровень защищенности'!$B$7:$F$1095,5,0),"не защищена")</f>
        <v>средний</v>
      </c>
      <c r="F3566" s="68">
        <v>500068</v>
      </c>
      <c r="G3566" s="74" t="s">
        <v>3001</v>
      </c>
      <c r="H3566" s="181">
        <f>INDEX('Списки данных'!$D$2:$D$1048576,MATCH(База_КР_КК[[#This Row],[Структурное подразделение]],'Списки данных'!$C$2:$C$1048576,0))</f>
        <v>6</v>
      </c>
      <c r="I3566" s="80" t="s">
        <v>136</v>
      </c>
      <c r="J3566" s="80" t="s">
        <v>246</v>
      </c>
      <c r="K3566" s="80" t="s">
        <v>247</v>
      </c>
      <c r="L3566" s="30" t="s">
        <v>198</v>
      </c>
      <c r="M3566" s="68">
        <v>5</v>
      </c>
      <c r="N3566" s="181" t="str">
        <f t="shared" si="56"/>
        <v>нет</v>
      </c>
      <c r="O3566" s="23"/>
      <c r="P3566" s="23"/>
      <c r="Q3566" s="106"/>
      <c r="R3566" s="37">
        <v>818</v>
      </c>
      <c r="S3566" s="39" t="s">
        <v>1227</v>
      </c>
      <c r="T3566" s="37">
        <v>1786</v>
      </c>
      <c r="U3566" s="38" t="s">
        <v>2047</v>
      </c>
      <c r="V3566" s="89" t="s">
        <v>272</v>
      </c>
      <c r="W3566" s="90" t="s">
        <v>136</v>
      </c>
      <c r="X3566" s="106" t="s">
        <v>296</v>
      </c>
      <c r="Y3566" s="107" t="s">
        <v>12</v>
      </c>
      <c r="Z3566" s="67">
        <f>IF(База_КР_КК[[#This Row],[Таб.номер резервиста]]="-","-",IF(OR(База_КР_КК[[#This Row],[Уровень КК]]=2,База_КР_КК[[#This Row],[Уровень КК]]=3),IF(COUNTIFS($U$2:$U3566,$U3566,$F$2:$F3566,$F3566)=1,1,0),IF(COUNTIFS($U$2:$U3566,$U3566,$L$2:$L3566,$L3566)=1,1,0)))</f>
        <v>1</v>
      </c>
      <c r="AA35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6" s="106"/>
      <c r="AC3566" s="51"/>
      <c r="AD3566" s="106" t="s">
        <v>13</v>
      </c>
      <c r="AE3566" s="38" t="s">
        <v>370</v>
      </c>
    </row>
    <row r="3567" spans="1:31" ht="18" customHeight="1" x14ac:dyDescent="0.25">
      <c r="A35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7" s="79">
        <v>3</v>
      </c>
      <c r="C3567" s="23">
        <v>43458</v>
      </c>
      <c r="D3567" s="67">
        <f>IF(COUNTIF($G$2:$G3567,$G3567)=1,1,0)</f>
        <v>0</v>
      </c>
      <c r="E3567" s="67" t="str">
        <f>IFERROR(VLOOKUP(База_КР_КК[[#This Row],[ИД штатной должности (S)]],'уровень защищенности'!$B$7:$F$1095,5,0),"не защищена")</f>
        <v>средний</v>
      </c>
      <c r="F3567" s="68">
        <v>500068</v>
      </c>
      <c r="G3567" s="74" t="s">
        <v>3001</v>
      </c>
      <c r="H3567" s="181">
        <f>INDEX('Списки данных'!$D$2:$D$1048576,MATCH(База_КР_КК[[#This Row],[Структурное подразделение]],'Списки данных'!$C$2:$C$1048576,0))</f>
        <v>6</v>
      </c>
      <c r="I3567" s="80" t="s">
        <v>136</v>
      </c>
      <c r="J3567" s="80" t="s">
        <v>246</v>
      </c>
      <c r="K3567" s="80" t="s">
        <v>247</v>
      </c>
      <c r="L3567" s="30" t="s">
        <v>198</v>
      </c>
      <c r="M3567" s="68">
        <v>5</v>
      </c>
      <c r="N3567" s="181" t="str">
        <f t="shared" si="56"/>
        <v>нет</v>
      </c>
      <c r="O3567" s="23"/>
      <c r="P3567" s="23"/>
      <c r="Q3567" s="106"/>
      <c r="R3567" s="37">
        <v>818</v>
      </c>
      <c r="S3567" s="38" t="s">
        <v>1227</v>
      </c>
      <c r="T3567" s="37">
        <v>694</v>
      </c>
      <c r="U3567" s="39" t="s">
        <v>1103</v>
      </c>
      <c r="V3567" s="89" t="s">
        <v>192</v>
      </c>
      <c r="W3567" s="90" t="s">
        <v>136</v>
      </c>
      <c r="X3567" s="106" t="s">
        <v>297</v>
      </c>
      <c r="Y3567" s="107" t="s">
        <v>18</v>
      </c>
      <c r="Z3567" s="67">
        <f>IF(База_КР_КК[[#This Row],[Таб.номер резервиста]]="-","-",IF(OR(База_КР_КК[[#This Row],[Уровень КК]]=2,База_КР_КК[[#This Row],[Уровень КК]]=3),IF(COUNTIFS($U$2:$U3567,$U3567,$F$2:$F3567,$F3567)=1,1,0),IF(COUNTIFS($U$2:$U3567,$U3567,$L$2:$L3567,$L3567)=1,1,0)))</f>
        <v>1</v>
      </c>
      <c r="AA35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7" s="106" t="s">
        <v>38</v>
      </c>
      <c r="AC3567" s="51">
        <v>44740</v>
      </c>
      <c r="AD3567" s="106" t="s">
        <v>31</v>
      </c>
      <c r="AE3567" s="38" t="s">
        <v>370</v>
      </c>
    </row>
    <row r="3568" spans="1:31" ht="18" customHeight="1" x14ac:dyDescent="0.25">
      <c r="A35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8" s="79">
        <v>3</v>
      </c>
      <c r="C3568" s="23">
        <v>43458</v>
      </c>
      <c r="D3568" s="67">
        <f>IF(COUNTIF($G$2:$G3568,$G3568)=1,1,0)</f>
        <v>1</v>
      </c>
      <c r="E3568" s="67" t="str">
        <f>IFERROR(VLOOKUP(База_КР_КК[[#This Row],[ИД штатной должности (S)]],'уровень защищенности'!$B$7:$F$1095,5,0),"не защищена")</f>
        <v>высокий</v>
      </c>
      <c r="F3568" s="68">
        <v>500069</v>
      </c>
      <c r="G3568" s="74" t="s">
        <v>3002</v>
      </c>
      <c r="H3568" s="181">
        <f>INDEX('Списки данных'!$D$2:$D$1048576,MATCH(База_КР_КК[[#This Row],[Структурное подразделение]],'Списки данных'!$C$2:$C$1048576,0))</f>
        <v>6</v>
      </c>
      <c r="I3568" s="80" t="s">
        <v>136</v>
      </c>
      <c r="J3568" s="80" t="s">
        <v>246</v>
      </c>
      <c r="K3568" s="80" t="s">
        <v>247</v>
      </c>
      <c r="L3568" s="30" t="s">
        <v>198</v>
      </c>
      <c r="M3568" s="68">
        <v>5</v>
      </c>
      <c r="N3568" s="181" t="str">
        <f t="shared" si="56"/>
        <v>нет</v>
      </c>
      <c r="O3568" s="23"/>
      <c r="P3568" s="23"/>
      <c r="Q3568" s="106"/>
      <c r="R3568" s="37">
        <v>819</v>
      </c>
      <c r="S3568" s="38" t="s">
        <v>1228</v>
      </c>
      <c r="T3568" s="37">
        <v>695</v>
      </c>
      <c r="U3568" s="39" t="s">
        <v>1104</v>
      </c>
      <c r="V3568" s="89" t="s">
        <v>192</v>
      </c>
      <c r="W3568" s="90" t="s">
        <v>136</v>
      </c>
      <c r="X3568" s="106" t="s">
        <v>295</v>
      </c>
      <c r="Y3568" s="107" t="s">
        <v>12</v>
      </c>
      <c r="Z3568" s="67">
        <f>IF(База_КР_КК[[#This Row],[Таб.номер резервиста]]="-","-",IF(OR(База_КР_КК[[#This Row],[Уровень КК]]=2,База_КР_КК[[#This Row],[Уровень КК]]=3),IF(COUNTIFS($U$2:$U3568,$U3568,$F$2:$F3568,$F3568)=1,1,0),IF(COUNTIFS($U$2:$U3568,$U3568,$L$2:$L3568,$L3568)=1,1,0)))</f>
        <v>1</v>
      </c>
      <c r="AA35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8" s="106"/>
      <c r="AC3568" s="51"/>
      <c r="AD3568" s="106" t="s">
        <v>17</v>
      </c>
      <c r="AE3568" s="38" t="s">
        <v>370</v>
      </c>
    </row>
    <row r="3569" spans="1:31" ht="18" customHeight="1" x14ac:dyDescent="0.25">
      <c r="A35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69" s="79">
        <v>3</v>
      </c>
      <c r="C3569" s="23">
        <v>43458</v>
      </c>
      <c r="D3569" s="67">
        <f>IF(COUNTIF($G$2:$G3569,$G3569)=1,1,0)</f>
        <v>0</v>
      </c>
      <c r="E3569" s="67" t="str">
        <f>IFERROR(VLOOKUP(База_КР_КК[[#This Row],[ИД штатной должности (S)]],'уровень защищенности'!$B$7:$F$1095,5,0),"не защищена")</f>
        <v>высокий</v>
      </c>
      <c r="F3569" s="68">
        <v>500069</v>
      </c>
      <c r="G3569" s="74" t="s">
        <v>3002</v>
      </c>
      <c r="H3569" s="181">
        <f>INDEX('Списки данных'!$D$2:$D$1048576,MATCH(База_КР_КК[[#This Row],[Структурное подразделение]],'Списки данных'!$C$2:$C$1048576,0))</f>
        <v>6</v>
      </c>
      <c r="I3569" s="80" t="s">
        <v>136</v>
      </c>
      <c r="J3569" s="80" t="s">
        <v>246</v>
      </c>
      <c r="K3569" s="80" t="s">
        <v>247</v>
      </c>
      <c r="L3569" s="30" t="s">
        <v>198</v>
      </c>
      <c r="M3569" s="68">
        <v>5</v>
      </c>
      <c r="N3569" s="181" t="str">
        <f t="shared" si="56"/>
        <v>нет</v>
      </c>
      <c r="O3569" s="23"/>
      <c r="P3569" s="23"/>
      <c r="Q3569" s="106"/>
      <c r="R3569" s="37">
        <v>819</v>
      </c>
      <c r="S3569" s="38" t="s">
        <v>1228</v>
      </c>
      <c r="T3569" s="37">
        <v>1907</v>
      </c>
      <c r="U3569" s="39" t="s">
        <v>2091</v>
      </c>
      <c r="V3569" s="89" t="s">
        <v>272</v>
      </c>
      <c r="W3569" s="90" t="s">
        <v>136</v>
      </c>
      <c r="X3569" s="106" t="s">
        <v>297</v>
      </c>
      <c r="Y3569" s="107" t="s">
        <v>12</v>
      </c>
      <c r="Z3569" s="67">
        <f>IF(База_КР_КК[[#This Row],[Таб.номер резервиста]]="-","-",IF(OR(База_КР_КК[[#This Row],[Уровень КК]]=2,База_КР_КК[[#This Row],[Уровень КК]]=3),IF(COUNTIFS($U$2:$U3569,$U3569,$F$2:$F3569,$F3569)=1,1,0),IF(COUNTIFS($U$2:$U3569,$U3569,$L$2:$L3569,$L3569)=1,1,0)))</f>
        <v>1</v>
      </c>
      <c r="AA35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69" s="106"/>
      <c r="AC3569" s="51"/>
      <c r="AD3569" s="106" t="s">
        <v>17</v>
      </c>
      <c r="AE3569" s="38" t="s">
        <v>370</v>
      </c>
    </row>
    <row r="3570" spans="1:31" ht="18" customHeight="1" x14ac:dyDescent="0.25">
      <c r="A35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0" s="79">
        <v>3</v>
      </c>
      <c r="C3570" s="23">
        <v>44740</v>
      </c>
      <c r="D3570" s="67">
        <f>IF(COUNTIF($G$2:$G3570,$G3570)=1,1,0)</f>
        <v>0</v>
      </c>
      <c r="E3570" s="67" t="str">
        <f>IFERROR(VLOOKUP(База_КР_КК[[#This Row],[ИД штатной должности (S)]],'уровень защищенности'!$B$7:$F$1095,5,0),"не защищена")</f>
        <v>высокий</v>
      </c>
      <c r="F3570" s="68">
        <v>500069</v>
      </c>
      <c r="G3570" s="74" t="s">
        <v>3002</v>
      </c>
      <c r="H3570" s="181">
        <f>INDEX('Списки данных'!$D$2:$D$1048576,MATCH(База_КР_КК[[#This Row],[Структурное подразделение]],'Списки данных'!$C$2:$C$1048576,0))</f>
        <v>6</v>
      </c>
      <c r="I3570" s="80" t="s">
        <v>136</v>
      </c>
      <c r="J3570" s="80" t="s">
        <v>246</v>
      </c>
      <c r="K3570" s="80" t="s">
        <v>247</v>
      </c>
      <c r="L3570" s="30" t="s">
        <v>198</v>
      </c>
      <c r="M3570" s="68">
        <v>5</v>
      </c>
      <c r="N3570" s="181" t="str">
        <f t="shared" si="56"/>
        <v>нет</v>
      </c>
      <c r="O3570" s="23"/>
      <c r="P3570" s="23"/>
      <c r="Q3570" s="106"/>
      <c r="R3570" s="37">
        <v>819</v>
      </c>
      <c r="S3570" s="39" t="s">
        <v>1228</v>
      </c>
      <c r="T3570" s="37">
        <v>699</v>
      </c>
      <c r="U3570" s="38" t="s">
        <v>1108</v>
      </c>
      <c r="V3570" s="89" t="s">
        <v>192</v>
      </c>
      <c r="W3570" s="90" t="s">
        <v>136</v>
      </c>
      <c r="X3570" s="106" t="s">
        <v>296</v>
      </c>
      <c r="Y3570" s="107" t="s">
        <v>12</v>
      </c>
      <c r="Z3570" s="67">
        <f>IF(База_КР_КК[[#This Row],[Таб.номер резервиста]]="-","-",IF(OR(База_КР_КК[[#This Row],[Уровень КК]]=2,База_КР_КК[[#This Row],[Уровень КК]]=3),IF(COUNTIFS($U$2:$U3570,$U3570,$F$2:$F3570,$F3570)=1,1,0),IF(COUNTIFS($U$2:$U3570,$U3570,$L$2:$L3570,$L3570)=1,1,0)))</f>
        <v>1</v>
      </c>
      <c r="AA35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0" s="106"/>
      <c r="AC3570" s="51"/>
      <c r="AD3570" s="106" t="s">
        <v>17</v>
      </c>
      <c r="AE3570" s="38" t="s">
        <v>370</v>
      </c>
    </row>
    <row r="3571" spans="1:31" ht="18" customHeight="1" x14ac:dyDescent="0.25">
      <c r="A35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1" s="79">
        <v>3</v>
      </c>
      <c r="C3571" s="23">
        <v>44039</v>
      </c>
      <c r="D3571" s="67">
        <f>IF(COUNTIF($G$2:$G3571,$G3571)=1,1,0)</f>
        <v>1</v>
      </c>
      <c r="E3571" s="67" t="str">
        <f>IFERROR(VLOOKUP(База_КР_КК[[#This Row],[ИД штатной должности (S)]],'уровень защищенности'!$B$7:$F$1095,5,0),"не защищена")</f>
        <v>высокий</v>
      </c>
      <c r="F3571" s="68">
        <v>500070</v>
      </c>
      <c r="G3571" s="74" t="s">
        <v>3003</v>
      </c>
      <c r="H3571" s="181">
        <f>INDEX('Списки данных'!$D$2:$D$1048576,MATCH(База_КР_КК[[#This Row],[Структурное подразделение]],'Списки данных'!$C$2:$C$1048576,0))</f>
        <v>6</v>
      </c>
      <c r="I3571" s="80" t="s">
        <v>136</v>
      </c>
      <c r="J3571" s="80" t="s">
        <v>246</v>
      </c>
      <c r="K3571" s="80" t="s">
        <v>247</v>
      </c>
      <c r="L3571" s="30" t="s">
        <v>198</v>
      </c>
      <c r="M3571" s="68">
        <v>5</v>
      </c>
      <c r="N3571" s="181" t="str">
        <f t="shared" si="56"/>
        <v>нет</v>
      </c>
      <c r="O3571" s="23"/>
      <c r="P3571" s="23"/>
      <c r="Q3571" s="106"/>
      <c r="R3571" s="37">
        <v>820</v>
      </c>
      <c r="S3571" s="38" t="s">
        <v>1229</v>
      </c>
      <c r="T3571" s="37">
        <v>1805</v>
      </c>
      <c r="U3571" s="39" t="s">
        <v>1967</v>
      </c>
      <c r="V3571" s="89" t="s">
        <v>272</v>
      </c>
      <c r="W3571" s="89" t="s">
        <v>136</v>
      </c>
      <c r="X3571" s="106" t="s">
        <v>296</v>
      </c>
      <c r="Y3571" s="107" t="s">
        <v>12</v>
      </c>
      <c r="Z3571" s="67">
        <f>IF(База_КР_КК[[#This Row],[Таб.номер резервиста]]="-","-",IF(OR(База_КР_КК[[#This Row],[Уровень КК]]=2,База_КР_КК[[#This Row],[Уровень КК]]=3),IF(COUNTIFS($U$2:$U3571,$U3571,$F$2:$F3571,$F3571)=1,1,0),IF(COUNTIFS($U$2:$U3571,$U3571,$L$2:$L3571,$L3571)=1,1,0)))</f>
        <v>1</v>
      </c>
      <c r="AA35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1" s="106"/>
      <c r="AC3571" s="51"/>
      <c r="AD3571" s="106" t="s">
        <v>13</v>
      </c>
      <c r="AE3571" s="38" t="s">
        <v>370</v>
      </c>
    </row>
    <row r="3572" spans="1:31" ht="18" customHeight="1" x14ac:dyDescent="0.25">
      <c r="A35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2" s="79">
        <v>3</v>
      </c>
      <c r="C3572" s="23">
        <v>43458</v>
      </c>
      <c r="D3572" s="67">
        <f>IF(COUNTIF($G$2:$G3572,$G3572)=1,1,0)</f>
        <v>0</v>
      </c>
      <c r="E3572" s="67" t="str">
        <f>IFERROR(VLOOKUP(База_КР_КК[[#This Row],[ИД штатной должности (S)]],'уровень защищенности'!$B$7:$F$1095,5,0),"не защищена")</f>
        <v>высокий</v>
      </c>
      <c r="F3572" s="68">
        <v>500070</v>
      </c>
      <c r="G3572" s="74" t="s">
        <v>3003</v>
      </c>
      <c r="H3572" s="181">
        <f>INDEX('Списки данных'!$D$2:$D$1048576,MATCH(База_КР_КК[[#This Row],[Структурное подразделение]],'Списки данных'!$C$2:$C$1048576,0))</f>
        <v>6</v>
      </c>
      <c r="I3572" s="80" t="s">
        <v>136</v>
      </c>
      <c r="J3572" s="80" t="s">
        <v>246</v>
      </c>
      <c r="K3572" s="80" t="s">
        <v>247</v>
      </c>
      <c r="L3572" s="30" t="s">
        <v>198</v>
      </c>
      <c r="M3572" s="68">
        <v>5</v>
      </c>
      <c r="N3572" s="181" t="str">
        <f t="shared" si="56"/>
        <v>нет</v>
      </c>
      <c r="O3572" s="23"/>
      <c r="P3572" s="23"/>
      <c r="Q3572" s="106"/>
      <c r="R3572" s="37">
        <v>820</v>
      </c>
      <c r="S3572" s="38" t="s">
        <v>1229</v>
      </c>
      <c r="T3572" s="37">
        <v>1908</v>
      </c>
      <c r="U3572" s="39" t="s">
        <v>2096</v>
      </c>
      <c r="V3572" s="89" t="s">
        <v>272</v>
      </c>
      <c r="W3572" s="90" t="s">
        <v>136</v>
      </c>
      <c r="X3572" s="106" t="s">
        <v>297</v>
      </c>
      <c r="Y3572" s="107" t="s">
        <v>12</v>
      </c>
      <c r="Z3572" s="67">
        <f>IF(База_КР_КК[[#This Row],[Таб.номер резервиста]]="-","-",IF(OR(База_КР_КК[[#This Row],[Уровень КК]]=2,База_КР_КК[[#This Row],[Уровень КК]]=3),IF(COUNTIFS($U$2:$U3572,$U3572,$F$2:$F3572,$F3572)=1,1,0),IF(COUNTIFS($U$2:$U3572,$U3572,$L$2:$L3572,$L3572)=1,1,0)))</f>
        <v>1</v>
      </c>
      <c r="AA35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2" s="106"/>
      <c r="AC3572" s="51"/>
      <c r="AD3572" s="106" t="s">
        <v>13</v>
      </c>
      <c r="AE3572" s="38" t="s">
        <v>370</v>
      </c>
    </row>
    <row r="3573" spans="1:31" ht="18" customHeight="1" x14ac:dyDescent="0.25">
      <c r="A35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3" s="79">
        <v>3</v>
      </c>
      <c r="C3573" s="23">
        <v>43458</v>
      </c>
      <c r="D3573" s="67">
        <f>IF(COUNTIF($G$2:$G3573,$G3573)=1,1,0)</f>
        <v>0</v>
      </c>
      <c r="E3573" s="67" t="str">
        <f>IFERROR(VLOOKUP(База_КР_КК[[#This Row],[ИД штатной должности (S)]],'уровень защищенности'!$B$7:$F$1095,5,0),"не защищена")</f>
        <v>высокий</v>
      </c>
      <c r="F3573" s="68">
        <v>500070</v>
      </c>
      <c r="G3573" s="74" t="s">
        <v>3003</v>
      </c>
      <c r="H3573" s="181">
        <f>INDEX('Списки данных'!$D$2:$D$1048576,MATCH(База_КР_КК[[#This Row],[Структурное подразделение]],'Списки данных'!$C$2:$C$1048576,0))</f>
        <v>6</v>
      </c>
      <c r="I3573" s="80" t="s">
        <v>136</v>
      </c>
      <c r="J3573" s="80" t="s">
        <v>246</v>
      </c>
      <c r="K3573" s="80" t="s">
        <v>247</v>
      </c>
      <c r="L3573" s="30" t="s">
        <v>198</v>
      </c>
      <c r="M3573" s="68">
        <v>5</v>
      </c>
      <c r="N3573" s="181" t="str">
        <f t="shared" si="56"/>
        <v>нет</v>
      </c>
      <c r="O3573" s="23"/>
      <c r="P3573" s="23"/>
      <c r="Q3573" s="106"/>
      <c r="R3573" s="37">
        <v>820</v>
      </c>
      <c r="S3573" s="38" t="s">
        <v>1229</v>
      </c>
      <c r="T3573" s="37">
        <v>704</v>
      </c>
      <c r="U3573" s="39" t="s">
        <v>1113</v>
      </c>
      <c r="V3573" s="89" t="s">
        <v>192</v>
      </c>
      <c r="W3573" s="90" t="s">
        <v>136</v>
      </c>
      <c r="X3573" s="106" t="s">
        <v>295</v>
      </c>
      <c r="Y3573" s="107" t="s">
        <v>12</v>
      </c>
      <c r="Z3573" s="67">
        <f>IF(База_КР_КК[[#This Row],[Таб.номер резервиста]]="-","-",IF(OR(База_КР_КК[[#This Row],[Уровень КК]]=2,База_КР_КК[[#This Row],[Уровень КК]]=3),IF(COUNTIFS($U$2:$U3573,$U3573,$F$2:$F3573,$F3573)=1,1,0),IF(COUNTIFS($U$2:$U3573,$U3573,$L$2:$L3573,$L3573)=1,1,0)))</f>
        <v>1</v>
      </c>
      <c r="AA35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3" s="106"/>
      <c r="AC3573" s="51"/>
      <c r="AD3573" s="106" t="s">
        <v>17</v>
      </c>
      <c r="AE3573" s="38" t="s">
        <v>370</v>
      </c>
    </row>
    <row r="3574" spans="1:31" ht="18" customHeight="1" x14ac:dyDescent="0.25">
      <c r="A35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4" s="79">
        <v>3</v>
      </c>
      <c r="C3574" s="23">
        <v>44039</v>
      </c>
      <c r="D3574" s="67">
        <f>IF(COUNTIF($G$2:$G3574,$G3574)=1,1,0)</f>
        <v>1</v>
      </c>
      <c r="E3574" s="67" t="str">
        <f>IFERROR(VLOOKUP(База_КР_КК[[#This Row],[ИД штатной должности (S)]],'уровень защищенности'!$B$7:$F$1095,5,0),"не защищена")</f>
        <v>высокий</v>
      </c>
      <c r="F3574" s="68">
        <v>500071</v>
      </c>
      <c r="G3574" s="74" t="s">
        <v>3004</v>
      </c>
      <c r="H3574" s="181">
        <f>INDEX('Списки данных'!$D$2:$D$1048576,MATCH(База_КР_КК[[#This Row],[Структурное подразделение]],'Списки данных'!$C$2:$C$1048576,0))</f>
        <v>6</v>
      </c>
      <c r="I3574" s="80" t="s">
        <v>136</v>
      </c>
      <c r="J3574" s="80" t="s">
        <v>246</v>
      </c>
      <c r="K3574" s="80" t="s">
        <v>247</v>
      </c>
      <c r="L3574" s="30" t="s">
        <v>198</v>
      </c>
      <c r="M3574" s="68">
        <v>5</v>
      </c>
      <c r="N3574" s="181" t="str">
        <f t="shared" si="56"/>
        <v>нет</v>
      </c>
      <c r="O3574" s="23"/>
      <c r="P3574" s="23"/>
      <c r="Q3574" s="106"/>
      <c r="R3574" s="37">
        <v>821</v>
      </c>
      <c r="S3574" s="38" t="s">
        <v>1230</v>
      </c>
      <c r="T3574" s="37">
        <v>1759</v>
      </c>
      <c r="U3574" s="39" t="s">
        <v>1925</v>
      </c>
      <c r="V3574" s="89" t="s">
        <v>272</v>
      </c>
      <c r="W3574" s="89" t="s">
        <v>136</v>
      </c>
      <c r="X3574" s="106" t="s">
        <v>295</v>
      </c>
      <c r="Y3574" s="107" t="s">
        <v>12</v>
      </c>
      <c r="Z3574" s="67">
        <f>IF(База_КР_КК[[#This Row],[Таб.номер резервиста]]="-","-",IF(OR(База_КР_КК[[#This Row],[Уровень КК]]=2,База_КР_КК[[#This Row],[Уровень КК]]=3),IF(COUNTIFS($U$2:$U3574,$U3574,$F$2:$F3574,$F3574)=1,1,0),IF(COUNTIFS($U$2:$U3574,$U3574,$L$2:$L3574,$L3574)=1,1,0)))</f>
        <v>1</v>
      </c>
      <c r="AA35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4" s="106"/>
      <c r="AC3574" s="51"/>
      <c r="AD3574" s="106" t="s">
        <v>13</v>
      </c>
      <c r="AE3574" s="38" t="s">
        <v>370</v>
      </c>
    </row>
    <row r="3575" spans="1:31" ht="18" customHeight="1" x14ac:dyDescent="0.25">
      <c r="A35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5" s="79">
        <v>3</v>
      </c>
      <c r="C3575" s="23">
        <v>43458</v>
      </c>
      <c r="D3575" s="67">
        <f>IF(COUNTIF($G$2:$G3575,$G3575)=1,1,0)</f>
        <v>0</v>
      </c>
      <c r="E3575" s="67" t="str">
        <f>IFERROR(VLOOKUP(База_КР_КК[[#This Row],[ИД штатной должности (S)]],'уровень защищенности'!$B$7:$F$1095,5,0),"не защищена")</f>
        <v>высокий</v>
      </c>
      <c r="F3575" s="68">
        <v>500071</v>
      </c>
      <c r="G3575" s="74" t="s">
        <v>3004</v>
      </c>
      <c r="H3575" s="181">
        <f>INDEX('Списки данных'!$D$2:$D$1048576,MATCH(База_КР_КК[[#This Row],[Структурное подразделение]],'Списки данных'!$C$2:$C$1048576,0))</f>
        <v>6</v>
      </c>
      <c r="I3575" s="80" t="s">
        <v>136</v>
      </c>
      <c r="J3575" s="80" t="s">
        <v>246</v>
      </c>
      <c r="K3575" s="80" t="s">
        <v>247</v>
      </c>
      <c r="L3575" s="30" t="s">
        <v>198</v>
      </c>
      <c r="M3575" s="68">
        <v>5</v>
      </c>
      <c r="N3575" s="181" t="str">
        <f t="shared" si="56"/>
        <v>нет</v>
      </c>
      <c r="O3575" s="23"/>
      <c r="P3575" s="23"/>
      <c r="Q3575" s="106"/>
      <c r="R3575" s="37">
        <v>821</v>
      </c>
      <c r="S3575" s="38" t="s">
        <v>1230</v>
      </c>
      <c r="T3575" s="37">
        <v>710</v>
      </c>
      <c r="U3575" s="39" t="s">
        <v>1119</v>
      </c>
      <c r="V3575" s="89" t="s">
        <v>192</v>
      </c>
      <c r="W3575" s="90" t="s">
        <v>136</v>
      </c>
      <c r="X3575" s="106" t="s">
        <v>297</v>
      </c>
      <c r="Y3575" s="107" t="s">
        <v>18</v>
      </c>
      <c r="Z3575" s="67">
        <f>IF(База_КР_КК[[#This Row],[Таб.номер резервиста]]="-","-",IF(OR(База_КР_КК[[#This Row],[Уровень КК]]=2,База_КР_КК[[#This Row],[Уровень КК]]=3),IF(COUNTIFS($U$2:$U3575,$U3575,$F$2:$F3575,$F3575)=1,1,0),IF(COUNTIFS($U$2:$U3575,$U3575,$L$2:$L3575,$L3575)=1,1,0)))</f>
        <v>1</v>
      </c>
      <c r="AA35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5" s="106" t="s">
        <v>38</v>
      </c>
      <c r="AC3575" s="51">
        <v>44039</v>
      </c>
      <c r="AD3575" s="106" t="s">
        <v>31</v>
      </c>
      <c r="AE3575" s="38" t="s">
        <v>332</v>
      </c>
    </row>
    <row r="3576" spans="1:31" ht="18" customHeight="1" x14ac:dyDescent="0.25">
      <c r="A35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6" s="79">
        <v>3</v>
      </c>
      <c r="C3576" s="23">
        <v>43458</v>
      </c>
      <c r="D3576" s="67">
        <f>IF(COUNTIF($G$2:$G3576,$G3576)=1,1,0)</f>
        <v>1</v>
      </c>
      <c r="E3576" s="67" t="str">
        <f>IFERROR(VLOOKUP(База_КР_КК[[#This Row],[ИД штатной должности (S)]],'уровень защищенности'!$B$7:$F$1095,5,0),"не защищена")</f>
        <v>высокий</v>
      </c>
      <c r="F3576" s="68">
        <v>500072</v>
      </c>
      <c r="G3576" s="74" t="s">
        <v>3005</v>
      </c>
      <c r="H3576" s="181">
        <f>INDEX('Списки данных'!$D$2:$D$1048576,MATCH(База_КР_КК[[#This Row],[Структурное подразделение]],'Списки данных'!$C$2:$C$1048576,0))</f>
        <v>7</v>
      </c>
      <c r="I3576" s="80" t="s">
        <v>137</v>
      </c>
      <c r="J3576" s="80" t="s">
        <v>248</v>
      </c>
      <c r="K3576" s="80" t="s">
        <v>249</v>
      </c>
      <c r="L3576" s="30" t="s">
        <v>198</v>
      </c>
      <c r="M3576" s="68">
        <v>5</v>
      </c>
      <c r="N3576" s="181" t="str">
        <f t="shared" si="56"/>
        <v>нет</v>
      </c>
      <c r="O3576" s="23"/>
      <c r="P3576" s="23"/>
      <c r="Q3576" s="106"/>
      <c r="R3576" s="37">
        <v>822</v>
      </c>
      <c r="S3576" s="38" t="s">
        <v>1231</v>
      </c>
      <c r="T3576" s="37">
        <v>750</v>
      </c>
      <c r="U3576" s="39" t="s">
        <v>1159</v>
      </c>
      <c r="V3576" s="89" t="s">
        <v>192</v>
      </c>
      <c r="W3576" s="90" t="s">
        <v>137</v>
      </c>
      <c r="X3576" s="106" t="s">
        <v>295</v>
      </c>
      <c r="Y3576" s="107" t="s">
        <v>12</v>
      </c>
      <c r="Z3576" s="67">
        <f>IF(База_КР_КК[[#This Row],[Таб.номер резервиста]]="-","-",IF(OR(База_КР_КК[[#This Row],[Уровень КК]]=2,База_КР_КК[[#This Row],[Уровень КК]]=3),IF(COUNTIFS($U$2:$U3576,$U3576,$F$2:$F3576,$F3576)=1,1,0),IF(COUNTIFS($U$2:$U3576,$U3576,$L$2:$L3576,$L3576)=1,1,0)))</f>
        <v>1</v>
      </c>
      <c r="AA35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6" s="106"/>
      <c r="AC3576" s="51"/>
      <c r="AD3576" s="106" t="s">
        <v>13</v>
      </c>
      <c r="AE3576" s="38" t="s">
        <v>370</v>
      </c>
    </row>
    <row r="3577" spans="1:31" ht="18" customHeight="1" x14ac:dyDescent="0.25">
      <c r="A35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7" s="79">
        <v>3</v>
      </c>
      <c r="C3577" s="23">
        <v>43458</v>
      </c>
      <c r="D3577" s="67">
        <f>IF(COUNTIF($G$2:$G3577,$G3577)=1,1,0)</f>
        <v>0</v>
      </c>
      <c r="E3577" s="67" t="str">
        <f>IFERROR(VLOOKUP(База_КР_КК[[#This Row],[ИД штатной должности (S)]],'уровень защищенности'!$B$7:$F$1095,5,0),"не защищена")</f>
        <v>высокий</v>
      </c>
      <c r="F3577" s="68">
        <v>500072</v>
      </c>
      <c r="G3577" s="74" t="s">
        <v>3005</v>
      </c>
      <c r="H3577" s="181">
        <f>INDEX('Списки данных'!$D$2:$D$1048576,MATCH(База_КР_КК[[#This Row],[Структурное подразделение]],'Списки данных'!$C$2:$C$1048576,0))</f>
        <v>7</v>
      </c>
      <c r="I3577" s="80" t="s">
        <v>137</v>
      </c>
      <c r="J3577" s="80" t="s">
        <v>248</v>
      </c>
      <c r="K3577" s="80" t="s">
        <v>249</v>
      </c>
      <c r="L3577" s="30" t="s">
        <v>198</v>
      </c>
      <c r="M3577" s="68">
        <v>5</v>
      </c>
      <c r="N3577" s="181" t="str">
        <f t="shared" si="56"/>
        <v>нет</v>
      </c>
      <c r="O3577" s="23"/>
      <c r="P3577" s="23"/>
      <c r="Q3577" s="106"/>
      <c r="R3577" s="37">
        <v>822</v>
      </c>
      <c r="S3577" s="38" t="s">
        <v>1231</v>
      </c>
      <c r="T3577" s="37">
        <v>751</v>
      </c>
      <c r="U3577" s="39" t="s">
        <v>1160</v>
      </c>
      <c r="V3577" s="89" t="s">
        <v>192</v>
      </c>
      <c r="W3577" s="90" t="s">
        <v>137</v>
      </c>
      <c r="X3577" s="106" t="s">
        <v>297</v>
      </c>
      <c r="Y3577" s="107" t="s">
        <v>12</v>
      </c>
      <c r="Z3577" s="67">
        <f>IF(База_КР_КК[[#This Row],[Таб.номер резервиста]]="-","-",IF(OR(База_КР_КК[[#This Row],[Уровень КК]]=2,База_КР_КК[[#This Row],[Уровень КК]]=3),IF(COUNTIFS($U$2:$U3577,$U3577,$F$2:$F3577,$F3577)=1,1,0),IF(COUNTIFS($U$2:$U3577,$U3577,$L$2:$L3577,$L3577)=1,1,0)))</f>
        <v>1</v>
      </c>
      <c r="AA35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7" s="106"/>
      <c r="AC3577" s="51"/>
      <c r="AD3577" s="106" t="s">
        <v>17</v>
      </c>
      <c r="AE3577" s="38" t="s">
        <v>370</v>
      </c>
    </row>
    <row r="3578" spans="1:31" ht="18" customHeight="1" x14ac:dyDescent="0.25">
      <c r="A35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8" s="79">
        <v>3</v>
      </c>
      <c r="C3578" s="23">
        <v>44740</v>
      </c>
      <c r="D3578" s="67">
        <f>IF(COUNTIF($G$2:$G3578,$G3578)=1,1,0)</f>
        <v>1</v>
      </c>
      <c r="E3578" s="67" t="str">
        <f>IFERROR(VLOOKUP(База_КР_КК[[#This Row],[ИД штатной должности (S)]],'уровень защищенности'!$B$7:$F$1095,5,0),"не защищена")</f>
        <v>низкий</v>
      </c>
      <c r="F3578" s="68">
        <v>500073</v>
      </c>
      <c r="G3578" s="74" t="s">
        <v>3006</v>
      </c>
      <c r="H3578" s="181">
        <f>INDEX('Списки данных'!$D$2:$D$1048576,MATCH(База_КР_КК[[#This Row],[Структурное подразделение]],'Списки данных'!$C$2:$C$1048576,0))</f>
        <v>7</v>
      </c>
      <c r="I3578" s="80" t="s">
        <v>137</v>
      </c>
      <c r="J3578" s="80" t="s">
        <v>248</v>
      </c>
      <c r="K3578" s="80" t="s">
        <v>249</v>
      </c>
      <c r="L3578" s="30" t="s">
        <v>198</v>
      </c>
      <c r="M3578" s="68">
        <v>5</v>
      </c>
      <c r="N3578" s="181" t="str">
        <f t="shared" si="56"/>
        <v>да</v>
      </c>
      <c r="O3578" s="23">
        <v>44162</v>
      </c>
      <c r="P3578" s="23">
        <v>44440</v>
      </c>
      <c r="Q3578" s="106" t="s">
        <v>66</v>
      </c>
      <c r="R3578" s="37">
        <v>823</v>
      </c>
      <c r="S3578" s="39" t="s">
        <v>1232</v>
      </c>
      <c r="T3578" s="37">
        <v>760</v>
      </c>
      <c r="U3578" s="38" t="s">
        <v>1169</v>
      </c>
      <c r="V3578" s="89" t="s">
        <v>192</v>
      </c>
      <c r="W3578" s="90" t="s">
        <v>137</v>
      </c>
      <c r="X3578" s="106" t="s">
        <v>296</v>
      </c>
      <c r="Y3578" s="107" t="s">
        <v>12</v>
      </c>
      <c r="Z3578" s="67">
        <f>IF(База_КР_КК[[#This Row],[Таб.номер резервиста]]="-","-",IF(OR(База_КР_КК[[#This Row],[Уровень КК]]=2,База_КР_КК[[#This Row],[Уровень КК]]=3),IF(COUNTIFS($U$2:$U3578,$U3578,$F$2:$F3578,$F3578)=1,1,0),IF(COUNTIFS($U$2:$U3578,$U3578,$L$2:$L3578,$L3578)=1,1,0)))</f>
        <v>1</v>
      </c>
      <c r="AA35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78" s="106"/>
      <c r="AC3578" s="51"/>
      <c r="AD3578" s="106" t="s">
        <v>13</v>
      </c>
      <c r="AE3578" s="38" t="s">
        <v>370</v>
      </c>
    </row>
    <row r="3579" spans="1:31" ht="18" customHeight="1" x14ac:dyDescent="0.25">
      <c r="A35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79" s="79">
        <v>3</v>
      </c>
      <c r="C3579" s="23">
        <v>43458</v>
      </c>
      <c r="D3579" s="67">
        <f>IF(COUNTIF($G$2:$G3579,$G3579)=1,1,0)</f>
        <v>0</v>
      </c>
      <c r="E3579" s="67" t="str">
        <f>IFERROR(VLOOKUP(База_КР_КК[[#This Row],[ИД штатной должности (S)]],'уровень защищенности'!$B$7:$F$1095,5,0),"не защищена")</f>
        <v>низкий</v>
      </c>
      <c r="F3579" s="68">
        <v>500073</v>
      </c>
      <c r="G3579" s="74" t="s">
        <v>3006</v>
      </c>
      <c r="H3579" s="181">
        <f>INDEX('Списки данных'!$D$2:$D$1048576,MATCH(База_КР_КК[[#This Row],[Структурное подразделение]],'Списки данных'!$C$2:$C$1048576,0))</f>
        <v>7</v>
      </c>
      <c r="I3579" s="80" t="s">
        <v>137</v>
      </c>
      <c r="J3579" s="80" t="s">
        <v>248</v>
      </c>
      <c r="K3579" s="80" t="s">
        <v>249</v>
      </c>
      <c r="L3579" s="30" t="s">
        <v>198</v>
      </c>
      <c r="M3579" s="68">
        <v>5</v>
      </c>
      <c r="N3579" s="181" t="str">
        <f t="shared" si="56"/>
        <v>да</v>
      </c>
      <c r="O3579" s="23">
        <v>44162</v>
      </c>
      <c r="P3579" s="23">
        <v>44440</v>
      </c>
      <c r="Q3579" s="106" t="s">
        <v>66</v>
      </c>
      <c r="R3579" s="37">
        <v>823</v>
      </c>
      <c r="S3579" s="39" t="s">
        <v>1232</v>
      </c>
      <c r="T3579" s="37">
        <v>823</v>
      </c>
      <c r="U3579" s="39" t="s">
        <v>1232</v>
      </c>
      <c r="V3579" s="89" t="s">
        <v>187</v>
      </c>
      <c r="W3579" s="90" t="s">
        <v>137</v>
      </c>
      <c r="X3579" s="106" t="s">
        <v>297</v>
      </c>
      <c r="Y3579" s="107" t="s">
        <v>14</v>
      </c>
      <c r="Z3579" s="67">
        <f>IF(База_КР_КК[[#This Row],[Таб.номер резервиста]]="-","-",IF(OR(База_КР_КК[[#This Row],[Уровень КК]]=2,База_КР_КК[[#This Row],[Уровень КК]]=3),IF(COUNTIFS($U$2:$U3579,$U3579,$F$2:$F3579,$F3579)=1,1,0),IF(COUNTIFS($U$2:$U3579,$U3579,$L$2:$L3579,$L3579)=1,1,0)))</f>
        <v>1</v>
      </c>
      <c r="AA35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579" s="106" t="s">
        <v>24</v>
      </c>
      <c r="AC3579" s="51">
        <v>44440</v>
      </c>
      <c r="AD3579" s="106" t="s">
        <v>13</v>
      </c>
      <c r="AE3579" s="38" t="s">
        <v>332</v>
      </c>
    </row>
    <row r="3580" spans="1:31" ht="18" customHeight="1" x14ac:dyDescent="0.25">
      <c r="A35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0" s="79">
        <v>3</v>
      </c>
      <c r="C3580" s="23">
        <v>43458</v>
      </c>
      <c r="D3580" s="67">
        <f>IF(COUNTIF($G$2:$G3580,$G3580)=1,1,0)</f>
        <v>0</v>
      </c>
      <c r="E3580" s="67" t="str">
        <f>IFERROR(VLOOKUP(База_КР_КК[[#This Row],[ИД штатной должности (S)]],'уровень защищенности'!$B$7:$F$1095,5,0),"не защищена")</f>
        <v>низкий</v>
      </c>
      <c r="F3580" s="68">
        <v>500073</v>
      </c>
      <c r="G3580" s="74" t="s">
        <v>3006</v>
      </c>
      <c r="H3580" s="181">
        <f>INDEX('Списки данных'!$D$2:$D$1048576,MATCH(База_КР_КК[[#This Row],[Структурное подразделение]],'Списки данных'!$C$2:$C$1048576,0))</f>
        <v>7</v>
      </c>
      <c r="I3580" s="80" t="s">
        <v>137</v>
      </c>
      <c r="J3580" s="80" t="s">
        <v>248</v>
      </c>
      <c r="K3580" s="80" t="s">
        <v>249</v>
      </c>
      <c r="L3580" s="30" t="s">
        <v>198</v>
      </c>
      <c r="M3580" s="68">
        <v>5</v>
      </c>
      <c r="N3580" s="181" t="str">
        <f t="shared" si="56"/>
        <v>да</v>
      </c>
      <c r="O3580" s="23">
        <v>44162</v>
      </c>
      <c r="P3580" s="23">
        <v>44440</v>
      </c>
      <c r="Q3580" s="106" t="s">
        <v>66</v>
      </c>
      <c r="R3580" s="37">
        <v>823</v>
      </c>
      <c r="S3580" s="39" t="s">
        <v>1232</v>
      </c>
      <c r="T3580" s="37">
        <v>1909</v>
      </c>
      <c r="U3580" s="39" t="s">
        <v>2097</v>
      </c>
      <c r="V3580" s="89" t="s">
        <v>192</v>
      </c>
      <c r="W3580" s="90" t="s">
        <v>137</v>
      </c>
      <c r="X3580" s="106" t="s">
        <v>297</v>
      </c>
      <c r="Y3580" s="107" t="s">
        <v>18</v>
      </c>
      <c r="Z3580" s="67">
        <f>IF(База_КР_КК[[#This Row],[Таб.номер резервиста]]="-","-",IF(OR(База_КР_КК[[#This Row],[Уровень КК]]=2,База_КР_КК[[#This Row],[Уровень КК]]=3),IF(COUNTIFS($U$2:$U3580,$U3580,$F$2:$F3580,$F3580)=1,1,0),IF(COUNTIFS($U$2:$U3580,$U3580,$L$2:$L3580,$L3580)=1,1,0)))</f>
        <v>1</v>
      </c>
      <c r="AA35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0" s="106" t="s">
        <v>38</v>
      </c>
      <c r="AC3580" s="51">
        <v>44039</v>
      </c>
      <c r="AD3580" s="106" t="s">
        <v>31</v>
      </c>
      <c r="AE3580" s="38" t="s">
        <v>332</v>
      </c>
    </row>
    <row r="3581" spans="1:31" ht="18" customHeight="1" x14ac:dyDescent="0.25">
      <c r="A35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1" s="79">
        <v>3</v>
      </c>
      <c r="C3581" s="23">
        <v>43458</v>
      </c>
      <c r="D3581" s="67">
        <f>IF(COUNTIF($G$2:$G3581,$G3581)=1,1,0)</f>
        <v>1</v>
      </c>
      <c r="E3581" s="67" t="str">
        <f>IFERROR(VLOOKUP(База_КР_КК[[#This Row],[ИД штатной должности (S)]],'уровень защищенности'!$B$7:$F$1095,5,0),"не защищена")</f>
        <v>не защищена</v>
      </c>
      <c r="F3581" s="68">
        <v>500074</v>
      </c>
      <c r="G3581" s="74" t="s">
        <v>3007</v>
      </c>
      <c r="H3581" s="181">
        <f>INDEX('Списки данных'!$D$2:$D$1048576,MATCH(База_КР_КК[[#This Row],[Структурное подразделение]],'Списки данных'!$C$2:$C$1048576,0))</f>
        <v>7</v>
      </c>
      <c r="I3581" s="80" t="s">
        <v>137</v>
      </c>
      <c r="J3581" s="80" t="s">
        <v>248</v>
      </c>
      <c r="K3581" s="80" t="s">
        <v>249</v>
      </c>
      <c r="L3581" s="30" t="s">
        <v>198</v>
      </c>
      <c r="M3581" s="68">
        <v>5</v>
      </c>
      <c r="N3581" s="181" t="str">
        <f t="shared" si="56"/>
        <v>нет</v>
      </c>
      <c r="O3581" s="23"/>
      <c r="P3581" s="23"/>
      <c r="Q3581" s="107"/>
      <c r="R3581" s="37">
        <v>824</v>
      </c>
      <c r="S3581" s="38" t="s">
        <v>1233</v>
      </c>
      <c r="T3581" s="37">
        <v>1910</v>
      </c>
      <c r="U3581" s="39" t="s">
        <v>1625</v>
      </c>
      <c r="V3581" s="89" t="s">
        <v>192</v>
      </c>
      <c r="W3581" s="90" t="s">
        <v>137</v>
      </c>
      <c r="X3581" s="106" t="s">
        <v>295</v>
      </c>
      <c r="Y3581" s="107" t="s">
        <v>18</v>
      </c>
      <c r="Z3581" s="67">
        <f>IF(База_КР_КК[[#This Row],[Таб.номер резервиста]]="-","-",IF(OR(База_КР_КК[[#This Row],[Уровень КК]]=2,База_КР_КК[[#This Row],[Уровень КК]]=3),IF(COUNTIFS($U$2:$U3581,$U3581,$F$2:$F3581,$F3581)=1,1,0),IF(COUNTIFS($U$2:$U3581,$U3581,$L$2:$L3581,$L3581)=1,1,0)))</f>
        <v>1</v>
      </c>
      <c r="AA35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1" s="106" t="s">
        <v>19</v>
      </c>
      <c r="AC3581" s="51">
        <v>44805</v>
      </c>
      <c r="AD3581" s="106" t="s">
        <v>13</v>
      </c>
      <c r="AE3581" s="38" t="s">
        <v>370</v>
      </c>
    </row>
    <row r="3582" spans="1:31" ht="18" customHeight="1" x14ac:dyDescent="0.25">
      <c r="A35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2" s="79">
        <v>3</v>
      </c>
      <c r="C3582" s="23">
        <v>43458</v>
      </c>
      <c r="D3582" s="67">
        <f>IF(COUNTIF($G$2:$G3582,$G3582)=1,1,0)</f>
        <v>1</v>
      </c>
      <c r="E3582" s="67" t="str">
        <f>IFERROR(VLOOKUP(База_КР_КК[[#This Row],[ИД штатной должности (S)]],'уровень защищенности'!$B$7:$F$1095,5,0),"не защищена")</f>
        <v>высокий</v>
      </c>
      <c r="F3582" s="68">
        <v>500075</v>
      </c>
      <c r="G3582" s="74" t="s">
        <v>3008</v>
      </c>
      <c r="H3582" s="181">
        <f>INDEX('Списки данных'!$D$2:$D$1048576,MATCH(База_КР_КК[[#This Row],[Структурное подразделение]],'Списки данных'!$C$2:$C$1048576,0))</f>
        <v>7</v>
      </c>
      <c r="I3582" s="80" t="s">
        <v>137</v>
      </c>
      <c r="J3582" s="80" t="s">
        <v>248</v>
      </c>
      <c r="K3582" s="80" t="s">
        <v>249</v>
      </c>
      <c r="L3582" s="30" t="s">
        <v>198</v>
      </c>
      <c r="M3582" s="68">
        <v>5</v>
      </c>
      <c r="N3582" s="181" t="str">
        <f t="shared" ref="N3582:N3644" si="57">IF(ISBLANK(O3582),"нет","да")</f>
        <v>нет</v>
      </c>
      <c r="O3582" s="23"/>
      <c r="P3582" s="23"/>
      <c r="Q3582" s="106"/>
      <c r="R3582" s="37">
        <v>825</v>
      </c>
      <c r="S3582" s="38" t="s">
        <v>1234</v>
      </c>
      <c r="T3582" s="37">
        <v>773</v>
      </c>
      <c r="U3582" s="39" t="s">
        <v>1182</v>
      </c>
      <c r="V3582" s="89" t="s">
        <v>192</v>
      </c>
      <c r="W3582" s="90" t="s">
        <v>137</v>
      </c>
      <c r="X3582" s="106" t="s">
        <v>297</v>
      </c>
      <c r="Y3582" s="107" t="s">
        <v>12</v>
      </c>
      <c r="Z3582" s="67">
        <f>IF(База_КР_КК[[#This Row],[Таб.номер резервиста]]="-","-",IF(OR(База_КР_КК[[#This Row],[Уровень КК]]=2,База_КР_КК[[#This Row],[Уровень КК]]=3),IF(COUNTIFS($U$2:$U3582,$U3582,$F$2:$F3582,$F3582)=1,1,0),IF(COUNTIFS($U$2:$U3582,$U3582,$L$2:$L3582,$L3582)=1,1,0)))</f>
        <v>1</v>
      </c>
      <c r="AA35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2" s="106"/>
      <c r="AC3582" s="51"/>
      <c r="AD3582" s="106" t="s">
        <v>17</v>
      </c>
      <c r="AE3582" s="38" t="s">
        <v>370</v>
      </c>
    </row>
    <row r="3583" spans="1:31" ht="18" customHeight="1" x14ac:dyDescent="0.25">
      <c r="A35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3" s="79">
        <v>3</v>
      </c>
      <c r="C3583" s="23">
        <v>44039</v>
      </c>
      <c r="D3583" s="67">
        <f>IF(COUNTIF($G$2:$G3583,$G3583)=1,1,0)</f>
        <v>0</v>
      </c>
      <c r="E3583" s="67" t="str">
        <f>IFERROR(VLOOKUP(База_КР_КК[[#This Row],[ИД штатной должности (S)]],'уровень защищенности'!$B$7:$F$1095,5,0),"не защищена")</f>
        <v>высокий</v>
      </c>
      <c r="F3583" s="68">
        <v>500075</v>
      </c>
      <c r="G3583" s="74" t="s">
        <v>3008</v>
      </c>
      <c r="H3583" s="181">
        <f>INDEX('Списки данных'!$D$2:$D$1048576,MATCH(База_КР_КК[[#This Row],[Структурное подразделение]],'Списки данных'!$C$2:$C$1048576,0))</f>
        <v>7</v>
      </c>
      <c r="I3583" s="80" t="s">
        <v>137</v>
      </c>
      <c r="J3583" s="80" t="s">
        <v>248</v>
      </c>
      <c r="K3583" s="80" t="s">
        <v>249</v>
      </c>
      <c r="L3583" s="30" t="s">
        <v>198</v>
      </c>
      <c r="M3583" s="68">
        <v>5</v>
      </c>
      <c r="N3583" s="181" t="str">
        <f t="shared" si="57"/>
        <v>нет</v>
      </c>
      <c r="O3583" s="23"/>
      <c r="P3583" s="23"/>
      <c r="Q3583" s="106"/>
      <c r="R3583" s="37">
        <v>825</v>
      </c>
      <c r="S3583" s="38" t="s">
        <v>1234</v>
      </c>
      <c r="T3583" s="37">
        <v>768</v>
      </c>
      <c r="U3583" s="39" t="s">
        <v>1177</v>
      </c>
      <c r="V3583" s="89" t="s">
        <v>192</v>
      </c>
      <c r="W3583" s="89" t="s">
        <v>137</v>
      </c>
      <c r="X3583" s="106" t="s">
        <v>295</v>
      </c>
      <c r="Y3583" s="107" t="s">
        <v>12</v>
      </c>
      <c r="Z3583" s="67">
        <f>IF(База_КР_КК[[#This Row],[Таб.номер резервиста]]="-","-",IF(OR(База_КР_КК[[#This Row],[Уровень КК]]=2,База_КР_КК[[#This Row],[Уровень КК]]=3),IF(COUNTIFS($U$2:$U3583,$U3583,$F$2:$F3583,$F3583)=1,1,0),IF(COUNTIFS($U$2:$U3583,$U3583,$L$2:$L3583,$L3583)=1,1,0)))</f>
        <v>1</v>
      </c>
      <c r="AA35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3" s="106"/>
      <c r="AC3583" s="51"/>
      <c r="AD3583" s="106" t="s">
        <v>17</v>
      </c>
      <c r="AE3583" s="38" t="s">
        <v>370</v>
      </c>
    </row>
    <row r="3584" spans="1:31" ht="18" customHeight="1" x14ac:dyDescent="0.25">
      <c r="A35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4" s="79">
        <v>3</v>
      </c>
      <c r="C3584" s="23">
        <v>43458</v>
      </c>
      <c r="D3584" s="67">
        <f>IF(COUNTIF($G$2:$G3584,$G3584)=1,1,0)</f>
        <v>0</v>
      </c>
      <c r="E3584" s="67" t="str">
        <f>IFERROR(VLOOKUP(База_КР_КК[[#This Row],[ИД штатной должности (S)]],'уровень защищенности'!$B$7:$F$1095,5,0),"не защищена")</f>
        <v>высокий</v>
      </c>
      <c r="F3584" s="68">
        <v>500075</v>
      </c>
      <c r="G3584" s="74" t="s">
        <v>3008</v>
      </c>
      <c r="H3584" s="181">
        <f>INDEX('Списки данных'!$D$2:$D$1048576,MATCH(База_КР_КК[[#This Row],[Структурное подразделение]],'Списки данных'!$C$2:$C$1048576,0))</f>
        <v>7</v>
      </c>
      <c r="I3584" s="80" t="s">
        <v>137</v>
      </c>
      <c r="J3584" s="80" t="s">
        <v>248</v>
      </c>
      <c r="K3584" s="80" t="s">
        <v>249</v>
      </c>
      <c r="L3584" s="30" t="s">
        <v>198</v>
      </c>
      <c r="M3584" s="68">
        <v>5</v>
      </c>
      <c r="N3584" s="181" t="str">
        <f t="shared" si="57"/>
        <v>нет</v>
      </c>
      <c r="O3584" s="23"/>
      <c r="P3584" s="23"/>
      <c r="Q3584" s="106"/>
      <c r="R3584" s="37">
        <v>825</v>
      </c>
      <c r="S3584" s="38" t="s">
        <v>1234</v>
      </c>
      <c r="T3584" s="37">
        <v>1297</v>
      </c>
      <c r="U3584" s="39" t="s">
        <v>1696</v>
      </c>
      <c r="V3584" s="89" t="s">
        <v>189</v>
      </c>
      <c r="W3584" s="90" t="s">
        <v>278</v>
      </c>
      <c r="X3584" s="106" t="s">
        <v>297</v>
      </c>
      <c r="Y3584" s="107" t="s">
        <v>18</v>
      </c>
      <c r="Z3584" s="67">
        <f>IF(База_КР_КК[[#This Row],[Таб.номер резервиста]]="-","-",IF(OR(База_КР_КК[[#This Row],[Уровень КК]]=2,База_КР_КК[[#This Row],[Уровень КК]]=3),IF(COUNTIFS($U$2:$U3584,$U3584,$F$2:$F3584,$F3584)=1,1,0),IF(COUNTIFS($U$2:$U3584,$U3584,$L$2:$L3584,$L3584)=1,1,0)))</f>
        <v>1</v>
      </c>
      <c r="AA35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4" s="106" t="s">
        <v>33</v>
      </c>
      <c r="AC3584" s="51">
        <v>43570</v>
      </c>
      <c r="AD3584" s="106" t="s">
        <v>15</v>
      </c>
      <c r="AE3584" s="38" t="s">
        <v>381</v>
      </c>
    </row>
    <row r="3585" spans="1:31" ht="18" customHeight="1" x14ac:dyDescent="0.25">
      <c r="A35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5" s="79">
        <v>3</v>
      </c>
      <c r="C3585" s="23">
        <v>43458</v>
      </c>
      <c r="D3585" s="67">
        <f>IF(COUNTIF($G$2:$G3585,$G3585)=1,1,0)</f>
        <v>1</v>
      </c>
      <c r="E3585" s="67" t="str">
        <f>IFERROR(VLOOKUP(База_КР_КК[[#This Row],[ИД штатной должности (S)]],'уровень защищенности'!$B$7:$F$1095,5,0),"не защищена")</f>
        <v>высокий</v>
      </c>
      <c r="F3585" s="68">
        <v>500076</v>
      </c>
      <c r="G3585" s="74" t="s">
        <v>3009</v>
      </c>
      <c r="H3585" s="181">
        <f>INDEX('Списки данных'!$D$2:$D$1048576,MATCH(База_КР_КК[[#This Row],[Структурное подразделение]],'Списки данных'!$C$2:$C$1048576,0))</f>
        <v>7</v>
      </c>
      <c r="I3585" s="80" t="s">
        <v>137</v>
      </c>
      <c r="J3585" s="80" t="s">
        <v>248</v>
      </c>
      <c r="K3585" s="80" t="s">
        <v>249</v>
      </c>
      <c r="L3585" s="30" t="s">
        <v>198</v>
      </c>
      <c r="M3585" s="68">
        <v>5</v>
      </c>
      <c r="N3585" s="181" t="str">
        <f t="shared" si="57"/>
        <v>нет</v>
      </c>
      <c r="O3585" s="23"/>
      <c r="P3585" s="23"/>
      <c r="Q3585" s="106"/>
      <c r="R3585" s="37">
        <v>826</v>
      </c>
      <c r="S3585" s="38" t="s">
        <v>1235</v>
      </c>
      <c r="T3585" s="37">
        <v>1911</v>
      </c>
      <c r="U3585" s="39" t="s">
        <v>2013</v>
      </c>
      <c r="V3585" s="89" t="s">
        <v>192</v>
      </c>
      <c r="W3585" s="90" t="s">
        <v>137</v>
      </c>
      <c r="X3585" s="106" t="s">
        <v>295</v>
      </c>
      <c r="Y3585" s="107" t="s">
        <v>12</v>
      </c>
      <c r="Z3585" s="67">
        <f>IF(База_КР_КК[[#This Row],[Таб.номер резервиста]]="-","-",IF(OR(База_КР_КК[[#This Row],[Уровень КК]]=2,База_КР_КК[[#This Row],[Уровень КК]]=3),IF(COUNTIFS($U$2:$U3585,$U3585,$F$2:$F3585,$F3585)=1,1,0),IF(COUNTIFS($U$2:$U3585,$U3585,$L$2:$L3585,$L3585)=1,1,0)))</f>
        <v>1</v>
      </c>
      <c r="AA35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5" s="106"/>
      <c r="AC3585" s="51"/>
      <c r="AD3585" s="106" t="s">
        <v>17</v>
      </c>
      <c r="AE3585" s="38" t="s">
        <v>370</v>
      </c>
    </row>
    <row r="3586" spans="1:31" ht="18" customHeight="1" x14ac:dyDescent="0.25">
      <c r="A35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6" s="79">
        <v>3</v>
      </c>
      <c r="C3586" s="23">
        <v>43458</v>
      </c>
      <c r="D3586" s="67">
        <f>IF(COUNTIF($G$2:$G3586,$G3586)=1,1,0)</f>
        <v>1</v>
      </c>
      <c r="E3586" s="67" t="str">
        <f>IFERROR(VLOOKUP(База_КР_КК[[#This Row],[ИД штатной должности (S)]],'уровень защищенности'!$B$7:$F$1095,5,0),"не защищена")</f>
        <v>высокий</v>
      </c>
      <c r="F3586" s="68">
        <v>500077</v>
      </c>
      <c r="G3586" s="74" t="s">
        <v>3010</v>
      </c>
      <c r="H3586" s="181">
        <f>INDEX('Списки данных'!$D$2:$D$1048576,MATCH(База_КР_КК[[#This Row],[Структурное подразделение]],'Списки данных'!$C$2:$C$1048576,0))</f>
        <v>7</v>
      </c>
      <c r="I3586" s="80" t="s">
        <v>137</v>
      </c>
      <c r="J3586" s="80" t="s">
        <v>248</v>
      </c>
      <c r="K3586" s="80" t="s">
        <v>21</v>
      </c>
      <c r="L3586" s="30" t="s">
        <v>198</v>
      </c>
      <c r="M3586" s="68">
        <v>5</v>
      </c>
      <c r="N3586" s="181" t="str">
        <f t="shared" si="57"/>
        <v>нет</v>
      </c>
      <c r="O3586" s="23"/>
      <c r="P3586" s="23"/>
      <c r="Q3586" s="106"/>
      <c r="R3586" s="37">
        <v>827</v>
      </c>
      <c r="S3586" s="38" t="s">
        <v>1236</v>
      </c>
      <c r="T3586" s="37">
        <v>790</v>
      </c>
      <c r="U3586" s="39" t="s">
        <v>1199</v>
      </c>
      <c r="V3586" s="89" t="s">
        <v>192</v>
      </c>
      <c r="W3586" s="90" t="s">
        <v>137</v>
      </c>
      <c r="X3586" s="106" t="s">
        <v>295</v>
      </c>
      <c r="Y3586" s="107" t="s">
        <v>12</v>
      </c>
      <c r="Z3586" s="67">
        <f>IF(База_КР_КК[[#This Row],[Таб.номер резервиста]]="-","-",IF(OR(База_КР_КК[[#This Row],[Уровень КК]]=2,База_КР_КК[[#This Row],[Уровень КК]]=3),IF(COUNTIFS($U$2:$U3586,$U3586,$F$2:$F3586,$F3586)=1,1,0),IF(COUNTIFS($U$2:$U3586,$U3586,$L$2:$L3586,$L3586)=1,1,0)))</f>
        <v>1</v>
      </c>
      <c r="AA35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6" s="106"/>
      <c r="AC3586" s="51"/>
      <c r="AD3586" s="106" t="s">
        <v>13</v>
      </c>
      <c r="AE3586" s="38" t="s">
        <v>370</v>
      </c>
    </row>
    <row r="3587" spans="1:31" ht="18" customHeight="1" x14ac:dyDescent="0.25">
      <c r="A35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7" s="79">
        <v>3</v>
      </c>
      <c r="C3587" s="23">
        <v>43769</v>
      </c>
      <c r="D3587" s="67">
        <f>IF(COUNTIF($G$2:$G3587,$G3587)=1,1,0)</f>
        <v>0</v>
      </c>
      <c r="E3587" s="67" t="str">
        <f>IFERROR(VLOOKUP(База_КР_КК[[#This Row],[ИД штатной должности (S)]],'уровень защищенности'!$B$7:$F$1095,5,0),"не защищена")</f>
        <v>высокий</v>
      </c>
      <c r="F3587" s="68">
        <v>500077</v>
      </c>
      <c r="G3587" s="74" t="s">
        <v>3010</v>
      </c>
      <c r="H3587" s="181">
        <f>INDEX('Списки данных'!$D$2:$D$1048576,MATCH(База_КР_КК[[#This Row],[Структурное подразделение]],'Списки данных'!$C$2:$C$1048576,0))</f>
        <v>7</v>
      </c>
      <c r="I3587" s="80" t="s">
        <v>137</v>
      </c>
      <c r="J3587" s="80" t="s">
        <v>248</v>
      </c>
      <c r="K3587" s="80" t="s">
        <v>21</v>
      </c>
      <c r="L3587" s="30" t="s">
        <v>198</v>
      </c>
      <c r="M3587" s="68">
        <v>5</v>
      </c>
      <c r="N3587" s="181" t="str">
        <f t="shared" si="57"/>
        <v>нет</v>
      </c>
      <c r="O3587" s="23"/>
      <c r="P3587" s="23"/>
      <c r="Q3587" s="106"/>
      <c r="R3587" s="37">
        <v>827</v>
      </c>
      <c r="S3587" s="38" t="s">
        <v>1236</v>
      </c>
      <c r="T3587" s="37">
        <v>793</v>
      </c>
      <c r="U3587" s="39" t="s">
        <v>1202</v>
      </c>
      <c r="V3587" s="89" t="s">
        <v>192</v>
      </c>
      <c r="W3587" s="90" t="s">
        <v>137</v>
      </c>
      <c r="X3587" s="106" t="s">
        <v>295</v>
      </c>
      <c r="Y3587" s="107" t="s">
        <v>12</v>
      </c>
      <c r="Z3587" s="67">
        <f>IF(База_КР_КК[[#This Row],[Таб.номер резервиста]]="-","-",IF(OR(База_КР_КК[[#This Row],[Уровень КК]]=2,База_КР_КК[[#This Row],[Уровень КК]]=3),IF(COUNTIFS($U$2:$U3587,$U3587,$F$2:$F3587,$F3587)=1,1,0),IF(COUNTIFS($U$2:$U3587,$U3587,$L$2:$L3587,$L3587)=1,1,0)))</f>
        <v>1</v>
      </c>
      <c r="AA35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7" s="106"/>
      <c r="AC3587" s="51"/>
      <c r="AD3587" s="106" t="s">
        <v>13</v>
      </c>
      <c r="AE3587" s="38" t="s">
        <v>370</v>
      </c>
    </row>
    <row r="3588" spans="1:31" ht="18" customHeight="1" x14ac:dyDescent="0.25">
      <c r="A35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8" s="79">
        <v>2</v>
      </c>
      <c r="C3588" s="23">
        <v>43557</v>
      </c>
      <c r="D3588" s="67">
        <f>IF(COUNTIF($G$2:$G3588,$G3588)=1,1,0)</f>
        <v>1</v>
      </c>
      <c r="E3588" s="67" t="str">
        <f>IFERROR(VLOOKUP(База_КР_КК[[#This Row],[ИД штатной должности (S)]],'уровень защищенности'!$B$7:$F$1095,5,0),"не защищена")</f>
        <v>средний</v>
      </c>
      <c r="F3588" s="68">
        <v>500549</v>
      </c>
      <c r="G3588" s="74" t="s">
        <v>3011</v>
      </c>
      <c r="H3588" s="181">
        <f>INDEX('Списки данных'!$D$2:$D$1048576,MATCH(База_КР_КК[[#This Row],[Структурное подразделение]],'Списки данных'!$C$2:$C$1048576,0))</f>
        <v>217</v>
      </c>
      <c r="I3588" s="80" t="s">
        <v>129</v>
      </c>
      <c r="J3588" s="80" t="s">
        <v>250</v>
      </c>
      <c r="K3588" s="80" t="s">
        <v>21</v>
      </c>
      <c r="L3588" s="30" t="s">
        <v>181</v>
      </c>
      <c r="M3588" s="68">
        <v>3</v>
      </c>
      <c r="N3588" s="181" t="str">
        <f t="shared" si="57"/>
        <v>да</v>
      </c>
      <c r="O3588" s="23">
        <v>43774</v>
      </c>
      <c r="P3588" s="23">
        <v>43774</v>
      </c>
      <c r="Q3588" s="106" t="s">
        <v>66</v>
      </c>
      <c r="R3588" s="37">
        <v>828</v>
      </c>
      <c r="S3588" s="38" t="s">
        <v>1237</v>
      </c>
      <c r="T3588" s="37">
        <v>672</v>
      </c>
      <c r="U3588" s="39" t="s">
        <v>1081</v>
      </c>
      <c r="V3588" s="89" t="s">
        <v>183</v>
      </c>
      <c r="W3588" s="90" t="s">
        <v>137</v>
      </c>
      <c r="X3588" s="106" t="s">
        <v>297</v>
      </c>
      <c r="Y3588" s="107" t="s">
        <v>12</v>
      </c>
      <c r="Z3588" s="67">
        <f>IF(База_КР_КК[[#This Row],[Таб.номер резервиста]]="-","-",IF(OR(База_КР_КК[[#This Row],[Уровень КК]]=2,База_КР_КК[[#This Row],[Уровень КК]]=3),IF(COUNTIFS($U$2:$U3588,$U3588,$F$2:$F3588,$F3588)=1,1,0),IF(COUNTIFS($U$2:$U3588,$U3588,$L$2:$L3588,$L3588)=1,1,0)))</f>
        <v>1</v>
      </c>
      <c r="AA35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8" s="106"/>
      <c r="AC3588" s="51"/>
      <c r="AD3588" s="106" t="s">
        <v>13</v>
      </c>
      <c r="AE3588" s="38" t="s">
        <v>366</v>
      </c>
    </row>
    <row r="3589" spans="1:31" ht="18" customHeight="1" x14ac:dyDescent="0.25">
      <c r="A35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89" s="79">
        <v>2</v>
      </c>
      <c r="C3589" s="23">
        <v>43992</v>
      </c>
      <c r="D3589" s="67">
        <f>IF(COUNTIF($G$2:$G3589,$G3589)=1,1,0)</f>
        <v>0</v>
      </c>
      <c r="E3589" s="67" t="str">
        <f>IFERROR(VLOOKUP(База_КР_КК[[#This Row],[ИД штатной должности (S)]],'уровень защищенности'!$B$7:$F$1095,5,0),"не защищена")</f>
        <v>средний</v>
      </c>
      <c r="F3589" s="68">
        <v>500549</v>
      </c>
      <c r="G3589" s="74" t="s">
        <v>3011</v>
      </c>
      <c r="H3589" s="181">
        <f>INDEX('Списки данных'!$D$2:$D$1048576,MATCH(База_КР_КК[[#This Row],[Структурное подразделение]],'Списки данных'!$C$2:$C$1048576,0))</f>
        <v>217</v>
      </c>
      <c r="I3589" s="80" t="s">
        <v>129</v>
      </c>
      <c r="J3589" s="80" t="s">
        <v>250</v>
      </c>
      <c r="K3589" s="80" t="s">
        <v>21</v>
      </c>
      <c r="L3589" s="30" t="s">
        <v>181</v>
      </c>
      <c r="M3589" s="68">
        <v>3</v>
      </c>
      <c r="N3589" s="181" t="str">
        <f t="shared" si="57"/>
        <v>да</v>
      </c>
      <c r="O3589" s="23">
        <v>43774</v>
      </c>
      <c r="P3589" s="23">
        <v>43774</v>
      </c>
      <c r="Q3589" s="106" t="s">
        <v>66</v>
      </c>
      <c r="R3589" s="37">
        <v>828</v>
      </c>
      <c r="S3589" s="38" t="s">
        <v>1237</v>
      </c>
      <c r="T3589" s="37">
        <v>1763</v>
      </c>
      <c r="U3589" s="39" t="s">
        <v>2030</v>
      </c>
      <c r="V3589" s="89" t="s">
        <v>179</v>
      </c>
      <c r="W3589" s="90" t="s">
        <v>129</v>
      </c>
      <c r="X3589" s="106" t="s">
        <v>297</v>
      </c>
      <c r="Y3589" s="107" t="s">
        <v>12</v>
      </c>
      <c r="Z3589" s="67">
        <f>IF(База_КР_КК[[#This Row],[Таб.номер резервиста]]="-","-",IF(OR(База_КР_КК[[#This Row],[Уровень КК]]=2,База_КР_КК[[#This Row],[Уровень КК]]=3),IF(COUNTIFS($U$2:$U3589,$U3589,$F$2:$F3589,$F3589)=1,1,0),IF(COUNTIFS($U$2:$U3589,$U3589,$L$2:$L3589,$L3589)=1,1,0)))</f>
        <v>1</v>
      </c>
      <c r="AA35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89" s="106"/>
      <c r="AC3589" s="51"/>
      <c r="AD3589" s="106" t="s">
        <v>13</v>
      </c>
      <c r="AE3589" s="38" t="s">
        <v>366</v>
      </c>
    </row>
    <row r="3590" spans="1:31" ht="18" customHeight="1" x14ac:dyDescent="0.25">
      <c r="A35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90" s="79">
        <v>2</v>
      </c>
      <c r="C3590" s="23">
        <v>43992</v>
      </c>
      <c r="D3590" s="67">
        <f>IF(COUNTIF($G$2:$G3590,$G3590)=1,1,0)</f>
        <v>0</v>
      </c>
      <c r="E3590" s="67" t="str">
        <f>IFERROR(VLOOKUP(База_КР_КК[[#This Row],[ИД штатной должности (S)]],'уровень защищенности'!$B$7:$F$1095,5,0),"не защищена")</f>
        <v>средний</v>
      </c>
      <c r="F3590" s="68">
        <v>500549</v>
      </c>
      <c r="G3590" s="74" t="s">
        <v>3011</v>
      </c>
      <c r="H3590" s="181">
        <f>INDEX('Списки данных'!$D$2:$D$1048576,MATCH(База_КР_КК[[#This Row],[Структурное подразделение]],'Списки данных'!$C$2:$C$1048576,0))</f>
        <v>217</v>
      </c>
      <c r="I3590" s="80" t="s">
        <v>129</v>
      </c>
      <c r="J3590" s="80" t="s">
        <v>250</v>
      </c>
      <c r="K3590" s="80" t="s">
        <v>21</v>
      </c>
      <c r="L3590" s="30" t="s">
        <v>181</v>
      </c>
      <c r="M3590" s="68">
        <v>3</v>
      </c>
      <c r="N3590" s="181" t="str">
        <f t="shared" si="57"/>
        <v>да</v>
      </c>
      <c r="O3590" s="23">
        <v>43774</v>
      </c>
      <c r="P3590" s="23">
        <v>43774</v>
      </c>
      <c r="Q3590" s="106" t="s">
        <v>66</v>
      </c>
      <c r="R3590" s="37">
        <v>828</v>
      </c>
      <c r="S3590" s="38" t="s">
        <v>1237</v>
      </c>
      <c r="T3590" s="37">
        <v>652</v>
      </c>
      <c r="U3590" s="39" t="s">
        <v>1061</v>
      </c>
      <c r="V3590" s="89" t="s">
        <v>183</v>
      </c>
      <c r="W3590" s="90" t="s">
        <v>136</v>
      </c>
      <c r="X3590" s="106" t="s">
        <v>297</v>
      </c>
      <c r="Y3590" s="107" t="s">
        <v>12</v>
      </c>
      <c r="Z3590" s="67">
        <f>IF(База_КР_КК[[#This Row],[Таб.номер резервиста]]="-","-",IF(OR(База_КР_КК[[#This Row],[Уровень КК]]=2,База_КР_КК[[#This Row],[Уровень КК]]=3),IF(COUNTIFS($U$2:$U3590,$U3590,$F$2:$F3590,$F3590)=1,1,0),IF(COUNTIFS($U$2:$U3590,$U3590,$L$2:$L3590,$L3590)=1,1,0)))</f>
        <v>1</v>
      </c>
      <c r="AA35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90" s="106"/>
      <c r="AC3590" s="51"/>
      <c r="AD3590" s="106" t="s">
        <v>13</v>
      </c>
      <c r="AE3590" s="38" t="s">
        <v>366</v>
      </c>
    </row>
    <row r="3591" spans="1:31" ht="18" customHeight="1" x14ac:dyDescent="0.25">
      <c r="A35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91" s="79">
        <v>2</v>
      </c>
      <c r="C3591" s="23">
        <v>43080</v>
      </c>
      <c r="D3591" s="67">
        <f>IF(COUNTIF($G$2:$G3591,$G3591)=1,1,0)</f>
        <v>0</v>
      </c>
      <c r="E3591" s="67" t="str">
        <f>IFERROR(VLOOKUP(База_КР_КК[[#This Row],[ИД штатной должности (S)]],'уровень защищенности'!$B$7:$F$1095,5,0),"не защищена")</f>
        <v>средний</v>
      </c>
      <c r="F3591" s="68">
        <v>500549</v>
      </c>
      <c r="G3591" s="74" t="s">
        <v>3011</v>
      </c>
      <c r="H3591" s="181">
        <f>INDEX('Списки данных'!$D$2:$D$1048576,MATCH(База_КР_КК[[#This Row],[Структурное подразделение]],'Списки данных'!$C$2:$C$1048576,0))</f>
        <v>217</v>
      </c>
      <c r="I3591" s="80" t="s">
        <v>129</v>
      </c>
      <c r="J3591" s="80" t="s">
        <v>250</v>
      </c>
      <c r="K3591" s="80" t="s">
        <v>21</v>
      </c>
      <c r="L3591" s="30" t="s">
        <v>181</v>
      </c>
      <c r="M3591" s="68">
        <v>3</v>
      </c>
      <c r="N3591" s="181" t="str">
        <f t="shared" si="57"/>
        <v>да</v>
      </c>
      <c r="O3591" s="23">
        <v>43774</v>
      </c>
      <c r="P3591" s="23">
        <v>43774</v>
      </c>
      <c r="Q3591" s="106" t="s">
        <v>66</v>
      </c>
      <c r="R3591" s="37">
        <v>828</v>
      </c>
      <c r="S3591" s="38" t="s">
        <v>1237</v>
      </c>
      <c r="T3591" s="37">
        <v>828</v>
      </c>
      <c r="U3591" s="39" t="s">
        <v>1237</v>
      </c>
      <c r="V3591" s="89" t="s">
        <v>183</v>
      </c>
      <c r="W3591" s="90" t="s">
        <v>129</v>
      </c>
      <c r="X3591" s="106" t="s">
        <v>295</v>
      </c>
      <c r="Y3591" s="107" t="s">
        <v>14</v>
      </c>
      <c r="Z3591" s="67">
        <f>IF(База_КР_КК[[#This Row],[Таб.номер резервиста]]="-","-",IF(OR(База_КР_КК[[#This Row],[Уровень КК]]=2,База_КР_КК[[#This Row],[Уровень КК]]=3),IF(COUNTIFS($U$2:$U3591,$U3591,$F$2:$F3591,$F3591)=1,1,0),IF(COUNTIFS($U$2:$U3591,$U3591,$L$2:$L3591,$L3591)=1,1,0)))</f>
        <v>1</v>
      </c>
      <c r="AA35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591" s="106" t="s">
        <v>24</v>
      </c>
      <c r="AC3591" s="51">
        <v>43774</v>
      </c>
      <c r="AD3591" s="106" t="s">
        <v>13</v>
      </c>
      <c r="AE3591" s="38" t="s">
        <v>305</v>
      </c>
    </row>
    <row r="3592" spans="1:31" ht="18" customHeight="1" x14ac:dyDescent="0.25">
      <c r="A35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3592" s="79">
        <v>3</v>
      </c>
      <c r="C3592" s="23">
        <v>44740</v>
      </c>
      <c r="D3592" s="67">
        <f>IF(COUNTIF($G$2:$G3592,$G3592)=1,1,0)</f>
        <v>1</v>
      </c>
      <c r="E3592" s="67" t="str">
        <f>IFERROR(VLOOKUP(База_КР_КК[[#This Row],[ИД штатной должности (S)]],'уровень защищенности'!$B$7:$F$1095,5,0),"не защищена")</f>
        <v>низкий</v>
      </c>
      <c r="F3592" s="68">
        <v>500624</v>
      </c>
      <c r="G3592" s="74" t="s">
        <v>3012</v>
      </c>
      <c r="H3592" s="181">
        <f>INDEX('Списки данных'!$D$2:$D$1048576,MATCH(База_КР_КК[[#This Row],[Структурное подразделение]],'Списки данных'!$C$2:$C$1048576,0))</f>
        <v>217</v>
      </c>
      <c r="I3592" s="80" t="s">
        <v>129</v>
      </c>
      <c r="J3592" s="80" t="s">
        <v>250</v>
      </c>
      <c r="K3592" s="80" t="s">
        <v>21</v>
      </c>
      <c r="L3592" s="30" t="s">
        <v>200</v>
      </c>
      <c r="M3592" s="68">
        <v>6</v>
      </c>
      <c r="N3592" s="181" t="str">
        <f t="shared" si="57"/>
        <v>нет</v>
      </c>
      <c r="O3592" s="23"/>
      <c r="P3592" s="23"/>
      <c r="Q3592" s="106"/>
      <c r="R3592" s="37">
        <v>829</v>
      </c>
      <c r="S3592" s="39" t="s">
        <v>1238</v>
      </c>
      <c r="T3592" s="37">
        <v>1915</v>
      </c>
      <c r="U3592" s="38" t="s">
        <v>1996</v>
      </c>
      <c r="V3592" s="89" t="s">
        <v>189</v>
      </c>
      <c r="W3592" s="89" t="s">
        <v>129</v>
      </c>
      <c r="X3592" s="106" t="s">
        <v>296</v>
      </c>
      <c r="Y3592" s="107" t="s">
        <v>12</v>
      </c>
      <c r="Z3592" s="67">
        <f>IF(База_КР_КК[[#This Row],[Таб.номер резервиста]]="-","-",IF(OR(База_КР_КК[[#This Row],[Уровень КК]]=2,База_КР_КК[[#This Row],[Уровень КК]]=3),IF(COUNTIFS($U$2:$U3592,$U3592,$F$2:$F3592,$F3592)=1,1,0),IF(COUNTIFS($U$2:$U3592,$U3592,$L$2:$L3592,$L3592)=1,1,0)))</f>
        <v>1</v>
      </c>
      <c r="AA35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92" s="106"/>
      <c r="AC3592" s="51"/>
      <c r="AD3592" s="106" t="s">
        <v>15</v>
      </c>
      <c r="AE3592" s="38" t="s">
        <v>370</v>
      </c>
    </row>
    <row r="3593" spans="1:31" ht="18" customHeight="1" x14ac:dyDescent="0.25">
      <c r="A35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593" s="79">
        <v>3</v>
      </c>
      <c r="C3593" s="23">
        <v>43420</v>
      </c>
      <c r="D3593" s="67">
        <f>IF(COUNTIF($G$2:$G3593,$G3593)=1,1,0)</f>
        <v>1</v>
      </c>
      <c r="E3593" s="67" t="str">
        <f>IFERROR(VLOOKUP(База_КР_КК[[#This Row],[ИД штатной должности (S)]],'уровень защищенности'!$B$7:$F$1095,5,0),"не защищена")</f>
        <v>высокий</v>
      </c>
      <c r="F3593" s="68">
        <v>500146</v>
      </c>
      <c r="G3593" s="74" t="s">
        <v>3013</v>
      </c>
      <c r="H3593" s="181">
        <f>INDEX('Списки данных'!$D$2:$D$1048576,MATCH(База_КР_КК[[#This Row],[Структурное подразделение]],'Списки данных'!$C$2:$C$1048576,0))</f>
        <v>72</v>
      </c>
      <c r="I3593" s="80" t="s">
        <v>158</v>
      </c>
      <c r="J3593" s="80" t="s">
        <v>21</v>
      </c>
      <c r="K3593" s="80" t="s">
        <v>21</v>
      </c>
      <c r="L3593" s="30" t="s">
        <v>251</v>
      </c>
      <c r="M3593" s="68">
        <v>5</v>
      </c>
      <c r="N3593" s="181" t="str">
        <f t="shared" si="57"/>
        <v>нет</v>
      </c>
      <c r="O3593" s="23"/>
      <c r="P3593" s="23"/>
      <c r="Q3593" s="106"/>
      <c r="R3593" s="37">
        <v>830</v>
      </c>
      <c r="S3593" s="38" t="s">
        <v>1239</v>
      </c>
      <c r="T3593" s="37">
        <v>1916</v>
      </c>
      <c r="U3593" s="39" t="s">
        <v>2098</v>
      </c>
      <c r="V3593" s="89" t="s">
        <v>189</v>
      </c>
      <c r="W3593" s="89" t="s">
        <v>158</v>
      </c>
      <c r="X3593" s="106" t="s">
        <v>295</v>
      </c>
      <c r="Y3593" s="107" t="s">
        <v>12</v>
      </c>
      <c r="Z3593" s="67">
        <f>IF(База_КР_КК[[#This Row],[Таб.номер резервиста]]="-","-",IF(OR(База_КР_КК[[#This Row],[Уровень КК]]=2,База_КР_КК[[#This Row],[Уровень КК]]=3),IF(COUNTIFS($U$2:$U3593,$U3593,$F$2:$F3593,$F3593)=1,1,0),IF(COUNTIFS($U$2:$U3593,$U3593,$L$2:$L3593,$L3593)=1,1,0)))</f>
        <v>1</v>
      </c>
      <c r="AA35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93" s="106"/>
      <c r="AC3593" s="51"/>
      <c r="AD3593" s="106" t="s">
        <v>13</v>
      </c>
      <c r="AE3593" s="38" t="s">
        <v>384</v>
      </c>
    </row>
    <row r="3594" spans="1:31" ht="18" customHeight="1" x14ac:dyDescent="0.25">
      <c r="A35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594" s="79">
        <v>3</v>
      </c>
      <c r="C3594" s="23">
        <v>43420</v>
      </c>
      <c r="D3594" s="67">
        <f>IF(COUNTIF($G$2:$G3594,$G3594)=1,1,0)</f>
        <v>0</v>
      </c>
      <c r="E3594" s="67" t="str">
        <f>IFERROR(VLOOKUP(База_КР_КК[[#This Row],[ИД штатной должности (S)]],'уровень защищенности'!$B$7:$F$1095,5,0),"не защищена")</f>
        <v>высокий</v>
      </c>
      <c r="F3594" s="68">
        <v>500146</v>
      </c>
      <c r="G3594" s="74" t="s">
        <v>3013</v>
      </c>
      <c r="H3594" s="181">
        <f>INDEX('Списки данных'!$D$2:$D$1048576,MATCH(База_КР_КК[[#This Row],[Структурное подразделение]],'Списки данных'!$C$2:$C$1048576,0))</f>
        <v>72</v>
      </c>
      <c r="I3594" s="80" t="s">
        <v>158</v>
      </c>
      <c r="J3594" s="80" t="s">
        <v>21</v>
      </c>
      <c r="K3594" s="80" t="s">
        <v>21</v>
      </c>
      <c r="L3594" s="30" t="s">
        <v>251</v>
      </c>
      <c r="M3594" s="68">
        <v>5</v>
      </c>
      <c r="N3594" s="181" t="str">
        <f t="shared" si="57"/>
        <v>нет</v>
      </c>
      <c r="O3594" s="23"/>
      <c r="P3594" s="23"/>
      <c r="Q3594" s="106"/>
      <c r="R3594" s="37">
        <v>830</v>
      </c>
      <c r="S3594" s="38" t="s">
        <v>1239</v>
      </c>
      <c r="T3594" s="37">
        <v>1917</v>
      </c>
      <c r="U3594" s="39" t="s">
        <v>2001</v>
      </c>
      <c r="V3594" s="89" t="s">
        <v>251</v>
      </c>
      <c r="W3594" s="89" t="s">
        <v>158</v>
      </c>
      <c r="X3594" s="106" t="s">
        <v>297</v>
      </c>
      <c r="Y3594" s="107" t="s">
        <v>12</v>
      </c>
      <c r="Z3594" s="67">
        <f>IF(База_КР_КК[[#This Row],[Таб.номер резервиста]]="-","-",IF(OR(База_КР_КК[[#This Row],[Уровень КК]]=2,База_КР_КК[[#This Row],[Уровень КК]]=3),IF(COUNTIFS($U$2:$U3594,$U3594,$F$2:$F3594,$F3594)=1,1,0),IF(COUNTIFS($U$2:$U3594,$U3594,$L$2:$L3594,$L3594)=1,1,0)))</f>
        <v>1</v>
      </c>
      <c r="AA35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94" s="106"/>
      <c r="AC3594" s="51"/>
      <c r="AD3594" s="106" t="s">
        <v>13</v>
      </c>
      <c r="AE3594" s="38" t="s">
        <v>384</v>
      </c>
    </row>
    <row r="3595" spans="1:31" ht="18" customHeight="1" x14ac:dyDescent="0.25">
      <c r="A35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595" s="79">
        <v>3</v>
      </c>
      <c r="C3595" s="23">
        <v>44356</v>
      </c>
      <c r="D3595" s="67">
        <f>IF(COUNTIF($G$2:$G3595,$G3595)=1,1,0)</f>
        <v>0</v>
      </c>
      <c r="E3595" s="67" t="str">
        <f>IFERROR(VLOOKUP(База_КР_КК[[#This Row],[ИД штатной должности (S)]],'уровень защищенности'!$B$7:$F$1095,5,0),"не защищена")</f>
        <v>высокий</v>
      </c>
      <c r="F3595" s="68">
        <v>500146</v>
      </c>
      <c r="G3595" s="74" t="s">
        <v>3013</v>
      </c>
      <c r="H3595" s="181">
        <f>INDEX('Списки данных'!$D$2:$D$1048576,MATCH(База_КР_КК[[#This Row],[Структурное подразделение]],'Списки данных'!$C$2:$C$1048576,0))</f>
        <v>72</v>
      </c>
      <c r="I3595" s="80" t="s">
        <v>158</v>
      </c>
      <c r="J3595" s="80" t="s">
        <v>21</v>
      </c>
      <c r="K3595" s="80" t="s">
        <v>21</v>
      </c>
      <c r="L3595" s="30" t="s">
        <v>251</v>
      </c>
      <c r="M3595" s="68">
        <v>5</v>
      </c>
      <c r="N3595" s="181" t="str">
        <f t="shared" si="57"/>
        <v>нет</v>
      </c>
      <c r="O3595" s="23"/>
      <c r="P3595" s="23"/>
      <c r="Q3595" s="106"/>
      <c r="R3595" s="37">
        <v>830</v>
      </c>
      <c r="S3595" s="38" t="s">
        <v>1239</v>
      </c>
      <c r="T3595" s="37">
        <v>1918</v>
      </c>
      <c r="U3595" s="39" t="s">
        <v>2077</v>
      </c>
      <c r="V3595" s="69" t="s">
        <v>251</v>
      </c>
      <c r="W3595" s="89" t="s">
        <v>158</v>
      </c>
      <c r="X3595" s="106" t="s">
        <v>296</v>
      </c>
      <c r="Y3595" s="107" t="s">
        <v>12</v>
      </c>
      <c r="Z3595" s="67">
        <f>IF(База_КР_КК[[#This Row],[Таб.номер резервиста]]="-","-",IF(OR(База_КР_КК[[#This Row],[Уровень КК]]=2,База_КР_КК[[#This Row],[Уровень КК]]=3),IF(COUNTIFS($U$2:$U3595,$U3595,$F$2:$F3595,$F3595)=1,1,0),IF(COUNTIFS($U$2:$U3595,$U3595,$L$2:$L3595,$L3595)=1,1,0)))</f>
        <v>1</v>
      </c>
      <c r="AA35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95" s="106"/>
      <c r="AC3595" s="51"/>
      <c r="AD3595" s="106" t="s">
        <v>13</v>
      </c>
      <c r="AE3595" s="38" t="s">
        <v>384</v>
      </c>
    </row>
    <row r="3596" spans="1:31" ht="18" customHeight="1" x14ac:dyDescent="0.25">
      <c r="A35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596" s="79">
        <v>3</v>
      </c>
      <c r="C3596" s="23">
        <v>44356</v>
      </c>
      <c r="D3596" s="67">
        <f>IF(COUNTIF($G$2:$G3596,$G3596)=1,1,0)</f>
        <v>0</v>
      </c>
      <c r="E3596" s="67" t="str">
        <f>IFERROR(VLOOKUP(База_КР_КК[[#This Row],[ИД штатной должности (S)]],'уровень защищенности'!$B$7:$F$1095,5,0),"не защищена")</f>
        <v>высокий</v>
      </c>
      <c r="F3596" s="68">
        <v>500146</v>
      </c>
      <c r="G3596" s="74" t="s">
        <v>3013</v>
      </c>
      <c r="H3596" s="181">
        <f>INDEX('Списки данных'!$D$2:$D$1048576,MATCH(База_КР_КК[[#This Row],[Структурное подразделение]],'Списки данных'!$C$2:$C$1048576,0))</f>
        <v>72</v>
      </c>
      <c r="I3596" s="80" t="s">
        <v>158</v>
      </c>
      <c r="J3596" s="80" t="s">
        <v>21</v>
      </c>
      <c r="K3596" s="80" t="s">
        <v>21</v>
      </c>
      <c r="L3596" s="30" t="s">
        <v>251</v>
      </c>
      <c r="M3596" s="68">
        <v>5</v>
      </c>
      <c r="N3596" s="181" t="str">
        <f t="shared" si="57"/>
        <v>нет</v>
      </c>
      <c r="O3596" s="23"/>
      <c r="P3596" s="23"/>
      <c r="Q3596" s="106"/>
      <c r="R3596" s="37">
        <v>830</v>
      </c>
      <c r="S3596" s="38" t="s">
        <v>1239</v>
      </c>
      <c r="T3596" s="37">
        <v>1919</v>
      </c>
      <c r="U3596" s="39" t="s">
        <v>2021</v>
      </c>
      <c r="V3596" s="69" t="s">
        <v>251</v>
      </c>
      <c r="W3596" s="89" t="s">
        <v>158</v>
      </c>
      <c r="X3596" s="106" t="s">
        <v>296</v>
      </c>
      <c r="Y3596" s="107" t="s">
        <v>12</v>
      </c>
      <c r="Z3596" s="67">
        <f>IF(База_КР_КК[[#This Row],[Таб.номер резервиста]]="-","-",IF(OR(База_КР_КК[[#This Row],[Уровень КК]]=2,База_КР_КК[[#This Row],[Уровень КК]]=3),IF(COUNTIFS($U$2:$U3596,$U3596,$F$2:$F3596,$F3596)=1,1,0),IF(COUNTIFS($U$2:$U3596,$U3596,$L$2:$L3596,$L3596)=1,1,0)))</f>
        <v>1</v>
      </c>
      <c r="AA35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96" s="106"/>
      <c r="AC3596" s="51"/>
      <c r="AD3596" s="106" t="s">
        <v>13</v>
      </c>
      <c r="AE3596" s="38" t="s">
        <v>384</v>
      </c>
    </row>
    <row r="3597" spans="1:31" ht="18" customHeight="1" x14ac:dyDescent="0.25">
      <c r="A35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597" s="79">
        <v>3</v>
      </c>
      <c r="C3597" s="23">
        <v>43420</v>
      </c>
      <c r="D3597" s="67">
        <f>IF(COUNTIF($G$2:$G3597,$G3597)=1,1,0)</f>
        <v>1</v>
      </c>
      <c r="E3597" s="67" t="str">
        <f>IFERROR(VLOOKUP(База_КР_КК[[#This Row],[ИД штатной должности (S)]],'уровень защищенности'!$B$7:$F$1095,5,0),"не защищена")</f>
        <v>средний</v>
      </c>
      <c r="F3597" s="68">
        <v>500086</v>
      </c>
      <c r="G3597" s="74" t="s">
        <v>3014</v>
      </c>
      <c r="H3597" s="181">
        <f>INDEX('Списки данных'!$D$2:$D$1048576,MATCH(База_КР_КК[[#This Row],[Структурное подразделение]],'Списки данных'!$C$2:$C$1048576,0))</f>
        <v>252</v>
      </c>
      <c r="I3597" s="80" t="s">
        <v>174</v>
      </c>
      <c r="J3597" s="80" t="s">
        <v>21</v>
      </c>
      <c r="K3597" s="80" t="s">
        <v>21</v>
      </c>
      <c r="L3597" s="30" t="s">
        <v>183</v>
      </c>
      <c r="M3597" s="68">
        <v>5</v>
      </c>
      <c r="N3597" s="181" t="str">
        <f t="shared" si="57"/>
        <v>да</v>
      </c>
      <c r="O3597" s="23">
        <v>44214</v>
      </c>
      <c r="P3597" s="23">
        <v>44214</v>
      </c>
      <c r="Q3597" s="106" t="s">
        <v>66</v>
      </c>
      <c r="R3597" s="37">
        <v>831</v>
      </c>
      <c r="S3597" s="38" t="s">
        <v>1240</v>
      </c>
      <c r="T3597" s="37">
        <v>1920</v>
      </c>
      <c r="U3597" s="39" t="s">
        <v>2099</v>
      </c>
      <c r="V3597" s="89" t="s">
        <v>187</v>
      </c>
      <c r="W3597" s="89" t="s">
        <v>174</v>
      </c>
      <c r="X3597" s="106" t="s">
        <v>297</v>
      </c>
      <c r="Y3597" s="107" t="s">
        <v>12</v>
      </c>
      <c r="Z3597" s="67">
        <f>IF(База_КР_КК[[#This Row],[Таб.номер резервиста]]="-","-",IF(OR(База_КР_КК[[#This Row],[Уровень КК]]=2,База_КР_КК[[#This Row],[Уровень КК]]=3),IF(COUNTIFS($U$2:$U3597,$U3597,$F$2:$F3597,$F3597)=1,1,0),IF(COUNTIFS($U$2:$U3597,$U3597,$L$2:$L3597,$L3597)=1,1,0)))</f>
        <v>1</v>
      </c>
      <c r="AA35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97" s="106"/>
      <c r="AC3597" s="51"/>
      <c r="AD3597" s="106" t="s">
        <v>13</v>
      </c>
      <c r="AE3597" s="38" t="s">
        <v>384</v>
      </c>
    </row>
    <row r="3598" spans="1:31" ht="18" customHeight="1" x14ac:dyDescent="0.25">
      <c r="A35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598" s="79">
        <v>3</v>
      </c>
      <c r="C3598" s="23">
        <v>44356</v>
      </c>
      <c r="D3598" s="67">
        <f>IF(COUNTIF($G$2:$G3598,$G3598)=1,1,0)</f>
        <v>0</v>
      </c>
      <c r="E3598" s="67" t="str">
        <f>IFERROR(VLOOKUP(База_КР_КК[[#This Row],[ИД штатной должности (S)]],'уровень защищенности'!$B$7:$F$1095,5,0),"не защищена")</f>
        <v>средний</v>
      </c>
      <c r="F3598" s="68">
        <v>500086</v>
      </c>
      <c r="G3598" s="74" t="s">
        <v>3014</v>
      </c>
      <c r="H3598" s="181">
        <f>INDEX('Списки данных'!$D$2:$D$1048576,MATCH(База_КР_КК[[#This Row],[Структурное подразделение]],'Списки данных'!$C$2:$C$1048576,0))</f>
        <v>252</v>
      </c>
      <c r="I3598" s="80" t="s">
        <v>174</v>
      </c>
      <c r="J3598" s="80" t="s">
        <v>21</v>
      </c>
      <c r="K3598" s="80" t="s">
        <v>21</v>
      </c>
      <c r="L3598" s="30" t="s">
        <v>183</v>
      </c>
      <c r="M3598" s="68">
        <v>5</v>
      </c>
      <c r="N3598" s="181" t="str">
        <f t="shared" si="57"/>
        <v>да</v>
      </c>
      <c r="O3598" s="23">
        <v>44214</v>
      </c>
      <c r="P3598" s="23">
        <v>44214</v>
      </c>
      <c r="Q3598" s="106" t="s">
        <v>66</v>
      </c>
      <c r="R3598" s="37">
        <v>831</v>
      </c>
      <c r="S3598" s="38" t="s">
        <v>1240</v>
      </c>
      <c r="T3598" s="37">
        <v>1921</v>
      </c>
      <c r="U3598" s="39" t="s">
        <v>2069</v>
      </c>
      <c r="V3598" s="69" t="s">
        <v>251</v>
      </c>
      <c r="W3598" s="89" t="s">
        <v>174</v>
      </c>
      <c r="X3598" s="106" t="s">
        <v>296</v>
      </c>
      <c r="Y3598" s="107" t="s">
        <v>12</v>
      </c>
      <c r="Z3598" s="67">
        <f>IF(База_КР_КК[[#This Row],[Таб.номер резервиста]]="-","-",IF(OR(База_КР_КК[[#This Row],[Уровень КК]]=2,База_КР_КК[[#This Row],[Уровень КК]]=3),IF(COUNTIFS($U$2:$U3598,$U3598,$F$2:$F3598,$F3598)=1,1,0),IF(COUNTIFS($U$2:$U3598,$U3598,$L$2:$L3598,$L3598)=1,1,0)))</f>
        <v>1</v>
      </c>
      <c r="AA35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598" s="106"/>
      <c r="AC3598" s="51"/>
      <c r="AD3598" s="106" t="s">
        <v>13</v>
      </c>
      <c r="AE3598" s="38" t="s">
        <v>384</v>
      </c>
    </row>
    <row r="3599" spans="1:31" ht="18" customHeight="1" x14ac:dyDescent="0.25">
      <c r="A35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599" s="79">
        <v>3</v>
      </c>
      <c r="C3599" s="23">
        <v>43420</v>
      </c>
      <c r="D3599" s="67">
        <f>IF(COUNTIF($G$2:$G3599,$G3599)=1,1,0)</f>
        <v>0</v>
      </c>
      <c r="E3599" s="67" t="str">
        <f>IFERROR(VLOOKUP(База_КР_КК[[#This Row],[ИД штатной должности (S)]],'уровень защищенности'!$B$7:$F$1095,5,0),"не защищена")</f>
        <v>средний</v>
      </c>
      <c r="F3599" s="68">
        <v>500086</v>
      </c>
      <c r="G3599" s="74" t="s">
        <v>3014</v>
      </c>
      <c r="H3599" s="181">
        <f>INDEX('Списки данных'!$D$2:$D$1048576,MATCH(База_КР_КК[[#This Row],[Структурное подразделение]],'Списки данных'!$C$2:$C$1048576,0))</f>
        <v>252</v>
      </c>
      <c r="I3599" s="80" t="s">
        <v>174</v>
      </c>
      <c r="J3599" s="80" t="s">
        <v>21</v>
      </c>
      <c r="K3599" s="80" t="s">
        <v>21</v>
      </c>
      <c r="L3599" s="30" t="s">
        <v>183</v>
      </c>
      <c r="M3599" s="68">
        <v>5</v>
      </c>
      <c r="N3599" s="181" t="str">
        <f t="shared" si="57"/>
        <v>да</v>
      </c>
      <c r="O3599" s="23">
        <v>44214</v>
      </c>
      <c r="P3599" s="23">
        <v>44214</v>
      </c>
      <c r="Q3599" s="106" t="s">
        <v>66</v>
      </c>
      <c r="R3599" s="37">
        <v>831</v>
      </c>
      <c r="S3599" s="38" t="s">
        <v>1240</v>
      </c>
      <c r="T3599" s="37">
        <v>831</v>
      </c>
      <c r="U3599" s="39" t="s">
        <v>1240</v>
      </c>
      <c r="V3599" s="89" t="s">
        <v>187</v>
      </c>
      <c r="W3599" s="89" t="s">
        <v>174</v>
      </c>
      <c r="X3599" s="106" t="s">
        <v>295</v>
      </c>
      <c r="Y3599" s="107" t="s">
        <v>14</v>
      </c>
      <c r="Z3599" s="67">
        <f>IF(База_КР_КК[[#This Row],[Таб.номер резервиста]]="-","-",IF(OR(База_КР_КК[[#This Row],[Уровень КК]]=2,База_КР_КК[[#This Row],[Уровень КК]]=3),IF(COUNTIFS($U$2:$U3599,$U3599,$F$2:$F3599,$F3599)=1,1,0),IF(COUNTIFS($U$2:$U3599,$U3599,$L$2:$L3599,$L3599)=1,1,0)))</f>
        <v>1</v>
      </c>
      <c r="AA35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599" s="106" t="s">
        <v>24</v>
      </c>
      <c r="AC3599" s="51">
        <v>44214</v>
      </c>
      <c r="AD3599" s="106" t="s">
        <v>17</v>
      </c>
      <c r="AE3599" s="38" t="s">
        <v>385</v>
      </c>
    </row>
    <row r="3600" spans="1:31" ht="18" customHeight="1" x14ac:dyDescent="0.25">
      <c r="A36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0" s="79">
        <v>2</v>
      </c>
      <c r="C3600" s="23">
        <v>43557</v>
      </c>
      <c r="D3600" s="67">
        <f>IF(COUNTIF($G$2:$G3600,$G3600)=1,1,0)</f>
        <v>1</v>
      </c>
      <c r="E3600" s="67" t="str">
        <f>IFERROR(VLOOKUP(База_КР_КК[[#This Row],[ИД штатной должности (S)]],'уровень защищенности'!$B$7:$F$1095,5,0),"не защищена")</f>
        <v>средний</v>
      </c>
      <c r="F3600" s="68">
        <v>500550</v>
      </c>
      <c r="G3600" s="74" t="s">
        <v>3015</v>
      </c>
      <c r="H3600" s="181">
        <f>INDEX('Списки данных'!$D$2:$D$1048576,MATCH(База_КР_КК[[#This Row],[Структурное подразделение]],'Списки данных'!$C$2:$C$1048576,0))</f>
        <v>317</v>
      </c>
      <c r="I3600" s="80" t="s">
        <v>148</v>
      </c>
      <c r="J3600" s="80" t="s">
        <v>21</v>
      </c>
      <c r="K3600" s="80" t="s">
        <v>21</v>
      </c>
      <c r="L3600" s="30" t="s">
        <v>181</v>
      </c>
      <c r="M3600" s="68">
        <v>3</v>
      </c>
      <c r="N3600" s="181" t="str">
        <f t="shared" si="57"/>
        <v>да</v>
      </c>
      <c r="O3600" s="23">
        <v>44810</v>
      </c>
      <c r="P3600" s="23">
        <v>44810</v>
      </c>
      <c r="Q3600" s="106" t="s">
        <v>49</v>
      </c>
      <c r="R3600" s="37">
        <v>832</v>
      </c>
      <c r="S3600" s="38" t="s">
        <v>1241</v>
      </c>
      <c r="T3600" s="37">
        <v>833</v>
      </c>
      <c r="U3600" s="39" t="s">
        <v>1242</v>
      </c>
      <c r="V3600" s="89" t="s">
        <v>179</v>
      </c>
      <c r="W3600" s="89" t="s">
        <v>154</v>
      </c>
      <c r="X3600" s="106" t="s">
        <v>297</v>
      </c>
      <c r="Y3600" s="107" t="s">
        <v>12</v>
      </c>
      <c r="Z3600" s="67">
        <f>IF(База_КР_КК[[#This Row],[Таб.номер резервиста]]="-","-",IF(OR(База_КР_КК[[#This Row],[Уровень КК]]=2,База_КР_КК[[#This Row],[Уровень КК]]=3),IF(COUNTIFS($U$2:$U3600,$U3600,$F$2:$F3600,$F3600)=1,1,0),IF(COUNTIFS($U$2:$U3600,$U3600,$L$2:$L3600,$L3600)=1,1,0)))</f>
        <v>1</v>
      </c>
      <c r="AA36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0" s="106"/>
      <c r="AC3600" s="51"/>
      <c r="AD3600" s="106" t="s">
        <v>22</v>
      </c>
      <c r="AE3600" s="38" t="s">
        <v>303</v>
      </c>
    </row>
    <row r="3601" spans="1:31" ht="18" customHeight="1" x14ac:dyDescent="0.25">
      <c r="A36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1" s="79">
        <v>2</v>
      </c>
      <c r="C3601" s="23">
        <v>43557</v>
      </c>
      <c r="D3601" s="67">
        <f>IF(COUNTIF($G$2:$G3601,$G3601)=1,1,0)</f>
        <v>0</v>
      </c>
      <c r="E3601" s="67" t="str">
        <f>IFERROR(VLOOKUP(База_КР_КК[[#This Row],[ИД штатной должности (S)]],'уровень защищенности'!$B$7:$F$1095,5,0),"не защищена")</f>
        <v>средний</v>
      </c>
      <c r="F3601" s="68">
        <v>500550</v>
      </c>
      <c r="G3601" s="74" t="s">
        <v>3015</v>
      </c>
      <c r="H3601" s="181">
        <f>INDEX('Списки данных'!$D$2:$D$1048576,MATCH(База_КР_КК[[#This Row],[Структурное подразделение]],'Списки данных'!$C$2:$C$1048576,0))</f>
        <v>317</v>
      </c>
      <c r="I3601" s="80" t="s">
        <v>148</v>
      </c>
      <c r="J3601" s="80" t="s">
        <v>21</v>
      </c>
      <c r="K3601" s="80" t="s">
        <v>21</v>
      </c>
      <c r="L3601" s="30" t="s">
        <v>181</v>
      </c>
      <c r="M3601" s="68">
        <v>3</v>
      </c>
      <c r="N3601" s="181" t="str">
        <f t="shared" si="57"/>
        <v>да</v>
      </c>
      <c r="O3601" s="23">
        <v>44810</v>
      </c>
      <c r="P3601" s="23">
        <v>44810</v>
      </c>
      <c r="Q3601" s="106" t="s">
        <v>49</v>
      </c>
      <c r="R3601" s="37">
        <v>832</v>
      </c>
      <c r="S3601" s="38" t="s">
        <v>1241</v>
      </c>
      <c r="T3601" s="37">
        <v>1922</v>
      </c>
      <c r="U3601" s="39" t="s">
        <v>2090</v>
      </c>
      <c r="V3601" s="89" t="s">
        <v>181</v>
      </c>
      <c r="W3601" s="89" t="s">
        <v>281</v>
      </c>
      <c r="X3601" s="106" t="s">
        <v>295</v>
      </c>
      <c r="Y3601" s="107" t="s">
        <v>18</v>
      </c>
      <c r="Z3601" s="67">
        <f>IF(База_КР_КК[[#This Row],[Таб.номер резервиста]]="-","-",IF(OR(База_КР_КК[[#This Row],[Уровень КК]]=2,База_КР_КК[[#This Row],[Уровень КК]]=3),IF(COUNTIFS($U$2:$U3601,$U3601,$F$2:$F3601,$F3601)=1,1,0),IF(COUNTIFS($U$2:$U3601,$U3601,$L$2:$L3601,$L3601)=1,1,0)))</f>
        <v>1</v>
      </c>
      <c r="AA36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1" s="106" t="s">
        <v>37</v>
      </c>
      <c r="AC3601" s="51">
        <v>44774</v>
      </c>
      <c r="AD3601" s="106" t="s">
        <v>31</v>
      </c>
      <c r="AE3601" s="38" t="s">
        <v>386</v>
      </c>
    </row>
    <row r="3602" spans="1:31" ht="18" customHeight="1" x14ac:dyDescent="0.25">
      <c r="A36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2" s="79">
        <v>2</v>
      </c>
      <c r="C3602" s="23">
        <v>43992</v>
      </c>
      <c r="D3602" s="67">
        <f>IF(COUNTIF($G$2:$G3602,$G3602)=1,1,0)</f>
        <v>0</v>
      </c>
      <c r="E3602" s="67" t="str">
        <f>IFERROR(VLOOKUP(База_КР_КК[[#This Row],[ИД штатной должности (S)]],'уровень защищенности'!$B$7:$F$1095,5,0),"не защищена")</f>
        <v>средний</v>
      </c>
      <c r="F3602" s="68">
        <v>500550</v>
      </c>
      <c r="G3602" s="74" t="s">
        <v>3015</v>
      </c>
      <c r="H3602" s="181">
        <f>INDEX('Списки данных'!$D$2:$D$1048576,MATCH(База_КР_КК[[#This Row],[Структурное подразделение]],'Списки данных'!$C$2:$C$1048576,0))</f>
        <v>317</v>
      </c>
      <c r="I3602" s="80" t="s">
        <v>148</v>
      </c>
      <c r="J3602" s="80" t="s">
        <v>21</v>
      </c>
      <c r="K3602" s="80" t="s">
        <v>21</v>
      </c>
      <c r="L3602" s="30" t="s">
        <v>181</v>
      </c>
      <c r="M3602" s="68">
        <v>3</v>
      </c>
      <c r="N3602" s="181" t="str">
        <f t="shared" si="57"/>
        <v>да</v>
      </c>
      <c r="O3602" s="23">
        <v>44810</v>
      </c>
      <c r="P3602" s="23">
        <v>44810</v>
      </c>
      <c r="Q3602" s="106" t="s">
        <v>49</v>
      </c>
      <c r="R3602" s="37">
        <v>832</v>
      </c>
      <c r="S3602" s="38" t="s">
        <v>1241</v>
      </c>
      <c r="T3602" s="37">
        <v>1923</v>
      </c>
      <c r="U3602" s="39" t="s">
        <v>2100</v>
      </c>
      <c r="V3602" s="89" t="s">
        <v>180</v>
      </c>
      <c r="W3602" s="89" t="s">
        <v>281</v>
      </c>
      <c r="X3602" s="106" t="s">
        <v>296</v>
      </c>
      <c r="Y3602" s="107" t="s">
        <v>18</v>
      </c>
      <c r="Z3602" s="67">
        <f>IF(База_КР_КК[[#This Row],[Таб.номер резервиста]]="-","-",IF(OR(База_КР_КК[[#This Row],[Уровень КК]]=2,База_КР_КК[[#This Row],[Уровень КК]]=3),IF(COUNTIFS($U$2:$U3602,$U3602,$F$2:$F3602,$F3602)=1,1,0),IF(COUNTIFS($U$2:$U3602,$U3602,$L$2:$L3602,$L3602)=1,1,0)))</f>
        <v>1</v>
      </c>
      <c r="AA36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2" s="106" t="s">
        <v>38</v>
      </c>
      <c r="AC3602" s="51">
        <v>44774</v>
      </c>
      <c r="AD3602" s="106" t="s">
        <v>31</v>
      </c>
      <c r="AE3602" s="38" t="s">
        <v>386</v>
      </c>
    </row>
    <row r="3603" spans="1:31" ht="18" customHeight="1" x14ac:dyDescent="0.25">
      <c r="A36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3" s="79">
        <v>3</v>
      </c>
      <c r="C3603" s="23">
        <v>43420</v>
      </c>
      <c r="D3603" s="67">
        <f>IF(COUNTIF($G$2:$G3603,$G3603)=1,1,0)</f>
        <v>1</v>
      </c>
      <c r="E3603" s="67" t="str">
        <f>IFERROR(VLOOKUP(База_КР_КК[[#This Row],[ИД штатной должности (S)]],'уровень защищенности'!$B$7:$F$1095,5,0),"не защищена")</f>
        <v>высокий</v>
      </c>
      <c r="F3603" s="68">
        <v>500625</v>
      </c>
      <c r="G3603" s="74" t="s">
        <v>3016</v>
      </c>
      <c r="H3603" s="181">
        <f>INDEX('Списки данных'!$D$2:$D$1048576,MATCH(База_КР_КК[[#This Row],[Структурное подразделение]],'Списки данных'!$C$2:$C$1048576,0))</f>
        <v>399</v>
      </c>
      <c r="I3603" s="80" t="s">
        <v>154</v>
      </c>
      <c r="J3603" s="80" t="s">
        <v>21</v>
      </c>
      <c r="K3603" s="80" t="s">
        <v>21</v>
      </c>
      <c r="L3603" s="30" t="s">
        <v>179</v>
      </c>
      <c r="M3603" s="68">
        <v>5</v>
      </c>
      <c r="N3603" s="181" t="str">
        <f t="shared" si="57"/>
        <v>нет</v>
      </c>
      <c r="O3603" s="23"/>
      <c r="P3603" s="23"/>
      <c r="Q3603" s="107"/>
      <c r="R3603" s="37">
        <v>833</v>
      </c>
      <c r="S3603" s="38" t="s">
        <v>1242</v>
      </c>
      <c r="T3603" s="37">
        <v>1924</v>
      </c>
      <c r="U3603" s="38" t="s">
        <v>1912</v>
      </c>
      <c r="V3603" s="69" t="s">
        <v>187</v>
      </c>
      <c r="W3603" s="83" t="s">
        <v>154</v>
      </c>
      <c r="X3603" s="106" t="s">
        <v>295</v>
      </c>
      <c r="Y3603" s="107" t="s">
        <v>12</v>
      </c>
      <c r="Z3603" s="67">
        <f>IF(База_КР_КК[[#This Row],[Таб.номер резервиста]]="-","-",IF(OR(База_КР_КК[[#This Row],[Уровень КК]]=2,База_КР_КК[[#This Row],[Уровень КК]]=3),IF(COUNTIFS($U$2:$U3603,$U3603,$F$2:$F3603,$F3603)=1,1,0),IF(COUNTIFS($U$2:$U3603,$U3603,$L$2:$L3603,$L3603)=1,1,0)))</f>
        <v>1</v>
      </c>
      <c r="AA36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3" s="106"/>
      <c r="AC3603" s="51"/>
      <c r="AD3603" s="106" t="s">
        <v>13</v>
      </c>
      <c r="AE3603" s="38" t="s">
        <v>384</v>
      </c>
    </row>
    <row r="3604" spans="1:31" ht="18" customHeight="1" x14ac:dyDescent="0.25">
      <c r="A36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4" s="79">
        <v>3</v>
      </c>
      <c r="C3604" s="23">
        <v>44715</v>
      </c>
      <c r="D3604" s="67">
        <f>IF(COUNTIF($G$2:$G3604,$G3604)=1,1,0)</f>
        <v>0</v>
      </c>
      <c r="E3604" s="67" t="str">
        <f>IFERROR(VLOOKUP(База_КР_КК[[#This Row],[ИД штатной должности (S)]],'уровень защищенности'!$B$7:$F$1095,5,0),"не защищена")</f>
        <v>высокий</v>
      </c>
      <c r="F3604" s="68">
        <v>500625</v>
      </c>
      <c r="G3604" s="74" t="s">
        <v>3016</v>
      </c>
      <c r="H3604" s="181">
        <f>INDEX('Списки данных'!$D$2:$D$1048576,MATCH(База_КР_КК[[#This Row],[Структурное подразделение]],'Списки данных'!$C$2:$C$1048576,0))</f>
        <v>399</v>
      </c>
      <c r="I3604" s="80" t="s">
        <v>154</v>
      </c>
      <c r="J3604" s="80" t="s">
        <v>21</v>
      </c>
      <c r="K3604" s="80" t="s">
        <v>21</v>
      </c>
      <c r="L3604" s="30" t="s">
        <v>179</v>
      </c>
      <c r="M3604" s="68">
        <v>5</v>
      </c>
      <c r="N3604" s="181" t="str">
        <f t="shared" si="57"/>
        <v>нет</v>
      </c>
      <c r="O3604" s="23"/>
      <c r="P3604" s="23"/>
      <c r="Q3604" s="107"/>
      <c r="R3604" s="37">
        <v>833</v>
      </c>
      <c r="S3604" s="38" t="s">
        <v>1242</v>
      </c>
      <c r="T3604" s="37">
        <v>1925</v>
      </c>
      <c r="U3604" s="38" t="s">
        <v>2061</v>
      </c>
      <c r="V3604" s="69" t="s">
        <v>187</v>
      </c>
      <c r="W3604" s="83" t="s">
        <v>154</v>
      </c>
      <c r="X3604" s="106" t="s">
        <v>297</v>
      </c>
      <c r="Y3604" s="107" t="s">
        <v>12</v>
      </c>
      <c r="Z3604" s="67">
        <f>IF(База_КР_КК[[#This Row],[Таб.номер резервиста]]="-","-",IF(OR(База_КР_КК[[#This Row],[Уровень КК]]=2,База_КР_КК[[#This Row],[Уровень КК]]=3),IF(COUNTIFS($U$2:$U3604,$U3604,$F$2:$F3604,$F3604)=1,1,0),IF(COUNTIFS($U$2:$U3604,$U3604,$L$2:$L3604,$L3604)=1,1,0)))</f>
        <v>1</v>
      </c>
      <c r="AA36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4" s="106"/>
      <c r="AC3604" s="51"/>
      <c r="AD3604" s="106" t="s">
        <v>15</v>
      </c>
      <c r="AE3604" s="38" t="s">
        <v>384</v>
      </c>
    </row>
    <row r="3605" spans="1:31" ht="18" customHeight="1" x14ac:dyDescent="0.25">
      <c r="A36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5" s="79">
        <v>3</v>
      </c>
      <c r="C3605" s="23">
        <v>44715</v>
      </c>
      <c r="D3605" s="67">
        <f>IF(COUNTIF($G$2:$G3605,$G3605)=1,1,0)</f>
        <v>0</v>
      </c>
      <c r="E3605" s="67" t="str">
        <f>IFERROR(VLOOKUP(База_КР_КК[[#This Row],[ИД штатной должности (S)]],'уровень защищенности'!$B$7:$F$1095,5,0),"не защищена")</f>
        <v>высокий</v>
      </c>
      <c r="F3605" s="68">
        <v>500625</v>
      </c>
      <c r="G3605" s="74" t="s">
        <v>3016</v>
      </c>
      <c r="H3605" s="181">
        <f>INDEX('Списки данных'!$D$2:$D$1048576,MATCH(База_КР_КК[[#This Row],[Структурное подразделение]],'Списки данных'!$C$2:$C$1048576,0))</f>
        <v>399</v>
      </c>
      <c r="I3605" s="80" t="s">
        <v>154</v>
      </c>
      <c r="J3605" s="80" t="s">
        <v>21</v>
      </c>
      <c r="K3605" s="80" t="s">
        <v>21</v>
      </c>
      <c r="L3605" s="30" t="s">
        <v>179</v>
      </c>
      <c r="M3605" s="68">
        <v>5</v>
      </c>
      <c r="N3605" s="181" t="str">
        <f t="shared" si="57"/>
        <v>нет</v>
      </c>
      <c r="O3605" s="23"/>
      <c r="P3605" s="23"/>
      <c r="Q3605" s="107"/>
      <c r="R3605" s="37">
        <v>833</v>
      </c>
      <c r="S3605" s="38" t="s">
        <v>1242</v>
      </c>
      <c r="T3605" s="37">
        <v>1926</v>
      </c>
      <c r="U3605" s="38" t="s">
        <v>2101</v>
      </c>
      <c r="V3605" s="69" t="s">
        <v>187</v>
      </c>
      <c r="W3605" s="83" t="s">
        <v>154</v>
      </c>
      <c r="X3605" s="106" t="s">
        <v>296</v>
      </c>
      <c r="Y3605" s="107" t="s">
        <v>12</v>
      </c>
      <c r="Z3605" s="67">
        <f>IF(База_КР_КК[[#This Row],[Таб.номер резервиста]]="-","-",IF(OR(База_КР_КК[[#This Row],[Уровень КК]]=2,База_КР_КК[[#This Row],[Уровень КК]]=3),IF(COUNTIFS($U$2:$U3605,$U3605,$F$2:$F3605,$F3605)=1,1,0),IF(COUNTIFS($U$2:$U3605,$U3605,$L$2:$L3605,$L3605)=1,1,0)))</f>
        <v>1</v>
      </c>
      <c r="AA36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5" s="106"/>
      <c r="AC3605" s="51"/>
      <c r="AD3605" s="106" t="s">
        <v>15</v>
      </c>
      <c r="AE3605" s="38" t="s">
        <v>384</v>
      </c>
    </row>
    <row r="3606" spans="1:31" ht="18" customHeight="1" x14ac:dyDescent="0.25">
      <c r="A36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6" s="79">
        <v>3</v>
      </c>
      <c r="C3606" s="23">
        <v>44715</v>
      </c>
      <c r="D3606" s="67">
        <f>IF(COUNTIF($G$2:$G3606,$G3606)=1,1,0)</f>
        <v>1</v>
      </c>
      <c r="E3606" s="67" t="str">
        <f>IFERROR(VLOOKUP(База_КР_КК[[#This Row],[ИД штатной должности (S)]],'уровень защищенности'!$B$7:$F$1095,5,0),"не защищена")</f>
        <v>высокий</v>
      </c>
      <c r="F3606" s="68">
        <v>500627</v>
      </c>
      <c r="G3606" s="74" t="s">
        <v>3017</v>
      </c>
      <c r="H3606" s="181">
        <f>INDEX('Списки данных'!$D$2:$D$1048576,MATCH(База_КР_КК[[#This Row],[Структурное подразделение]],'Списки данных'!$C$2:$C$1048576,0))</f>
        <v>253</v>
      </c>
      <c r="I3606" s="80" t="s">
        <v>150</v>
      </c>
      <c r="J3606" s="80" t="s">
        <v>21</v>
      </c>
      <c r="K3606" s="80" t="s">
        <v>21</v>
      </c>
      <c r="L3606" s="30" t="s">
        <v>179</v>
      </c>
      <c r="M3606" s="68">
        <v>5</v>
      </c>
      <c r="N3606" s="181" t="str">
        <f t="shared" si="57"/>
        <v>нет</v>
      </c>
      <c r="O3606" s="23"/>
      <c r="P3606" s="23"/>
      <c r="Q3606" s="106"/>
      <c r="R3606" s="37">
        <v>834</v>
      </c>
      <c r="S3606" s="39" t="s">
        <v>1243</v>
      </c>
      <c r="T3606" s="37">
        <v>1927</v>
      </c>
      <c r="U3606" s="38" t="s">
        <v>2102</v>
      </c>
      <c r="V3606" s="69" t="s">
        <v>187</v>
      </c>
      <c r="W3606" s="90" t="s">
        <v>150</v>
      </c>
      <c r="X3606" s="106" t="s">
        <v>295</v>
      </c>
      <c r="Y3606" s="107" t="s">
        <v>12</v>
      </c>
      <c r="Z3606" s="67">
        <f>IF(База_КР_КК[[#This Row],[Таб.номер резервиста]]="-","-",IF(OR(База_КР_КК[[#This Row],[Уровень КК]]=2,База_КР_КК[[#This Row],[Уровень КК]]=3),IF(COUNTIFS($U$2:$U3606,$U3606,$F$2:$F3606,$F3606)=1,1,0),IF(COUNTIFS($U$2:$U3606,$U3606,$L$2:$L3606,$L3606)=1,1,0)))</f>
        <v>1</v>
      </c>
      <c r="AA36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6" s="106"/>
      <c r="AC3606" s="51"/>
      <c r="AD3606" s="106" t="s">
        <v>15</v>
      </c>
      <c r="AE3606" s="38" t="s">
        <v>384</v>
      </c>
    </row>
    <row r="3607" spans="1:31" ht="18" customHeight="1" x14ac:dyDescent="0.25">
      <c r="A36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7" s="79">
        <v>3</v>
      </c>
      <c r="C3607" s="23">
        <v>44715</v>
      </c>
      <c r="D3607" s="67">
        <f>IF(COUNTIF($G$2:$G3607,$G3607)=1,1,0)</f>
        <v>0</v>
      </c>
      <c r="E3607" s="67" t="str">
        <f>IFERROR(VLOOKUP(База_КР_КК[[#This Row],[ИД штатной должности (S)]],'уровень защищенности'!$B$7:$F$1095,5,0),"не защищена")</f>
        <v>высокий</v>
      </c>
      <c r="F3607" s="68">
        <v>500627</v>
      </c>
      <c r="G3607" s="74" t="s">
        <v>3017</v>
      </c>
      <c r="H3607" s="181">
        <f>INDEX('Списки данных'!$D$2:$D$1048576,MATCH(База_КР_КК[[#This Row],[Структурное подразделение]],'Списки данных'!$C$2:$C$1048576,0))</f>
        <v>253</v>
      </c>
      <c r="I3607" s="80" t="s">
        <v>150</v>
      </c>
      <c r="J3607" s="80" t="s">
        <v>21</v>
      </c>
      <c r="K3607" s="80" t="s">
        <v>21</v>
      </c>
      <c r="L3607" s="30" t="s">
        <v>179</v>
      </c>
      <c r="M3607" s="68">
        <v>5</v>
      </c>
      <c r="N3607" s="181" t="str">
        <f t="shared" si="57"/>
        <v>нет</v>
      </c>
      <c r="O3607" s="23"/>
      <c r="P3607" s="23"/>
      <c r="Q3607" s="106"/>
      <c r="R3607" s="37">
        <v>834</v>
      </c>
      <c r="S3607" s="39" t="s">
        <v>1243</v>
      </c>
      <c r="T3607" s="37">
        <v>1928</v>
      </c>
      <c r="U3607" s="38" t="s">
        <v>1839</v>
      </c>
      <c r="V3607" s="69" t="s">
        <v>198</v>
      </c>
      <c r="W3607" s="90" t="s">
        <v>150</v>
      </c>
      <c r="X3607" s="106" t="s">
        <v>297</v>
      </c>
      <c r="Y3607" s="107" t="s">
        <v>12</v>
      </c>
      <c r="Z3607" s="67">
        <f>IF(База_КР_КК[[#This Row],[Таб.номер резервиста]]="-","-",IF(OR(База_КР_КК[[#This Row],[Уровень КК]]=2,База_КР_КК[[#This Row],[Уровень КК]]=3),IF(COUNTIFS($U$2:$U3607,$U3607,$F$2:$F3607,$F3607)=1,1,0),IF(COUNTIFS($U$2:$U3607,$U3607,$L$2:$L3607,$L3607)=1,1,0)))</f>
        <v>1</v>
      </c>
      <c r="AA36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7" s="106"/>
      <c r="AC3607" s="51"/>
      <c r="AD3607" s="106" t="s">
        <v>15</v>
      </c>
      <c r="AE3607" s="38" t="s">
        <v>384</v>
      </c>
    </row>
    <row r="3608" spans="1:31" ht="18" customHeight="1" x14ac:dyDescent="0.25">
      <c r="A36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8" s="79">
        <v>3</v>
      </c>
      <c r="C3608" s="23">
        <v>43420</v>
      </c>
      <c r="D3608" s="67">
        <f>IF(COUNTIF($G$2:$G3608,$G3608)=1,1,0)</f>
        <v>1</v>
      </c>
      <c r="E3608" s="67" t="str">
        <f>IFERROR(VLOOKUP(База_КР_КК[[#This Row],[ИД штатной должности (S)]],'уровень защищенности'!$B$7:$F$1095,5,0),"не защищена")</f>
        <v>высокий</v>
      </c>
      <c r="F3608" s="68">
        <v>500632</v>
      </c>
      <c r="G3608" s="74" t="s">
        <v>3018</v>
      </c>
      <c r="H3608" s="181">
        <f>INDEX('Списки данных'!$D$2:$D$1048576,MATCH(База_КР_КК[[#This Row],[Структурное подразделение]],'Списки данных'!$C$2:$C$1048576,0))</f>
        <v>417</v>
      </c>
      <c r="I3608" s="80" t="s">
        <v>153</v>
      </c>
      <c r="J3608" s="80" t="s">
        <v>21</v>
      </c>
      <c r="K3608" s="80" t="s">
        <v>21</v>
      </c>
      <c r="L3608" s="30" t="s">
        <v>179</v>
      </c>
      <c r="M3608" s="68">
        <v>5</v>
      </c>
      <c r="N3608" s="181" t="str">
        <f t="shared" si="57"/>
        <v>да</v>
      </c>
      <c r="O3608" s="23">
        <v>44844</v>
      </c>
      <c r="P3608" s="23"/>
      <c r="Q3608" s="106"/>
      <c r="R3608" s="37" t="s">
        <v>23</v>
      </c>
      <c r="S3608" s="37" t="s">
        <v>23</v>
      </c>
      <c r="T3608" s="37">
        <v>1929</v>
      </c>
      <c r="U3608" s="38" t="s">
        <v>2046</v>
      </c>
      <c r="V3608" s="89" t="s">
        <v>187</v>
      </c>
      <c r="W3608" s="69" t="s">
        <v>292</v>
      </c>
      <c r="X3608" s="106" t="s">
        <v>295</v>
      </c>
      <c r="Y3608" s="107" t="s">
        <v>12</v>
      </c>
      <c r="Z3608" s="67">
        <f>IF(База_КР_КК[[#This Row],[Таб.номер резервиста]]="-","-",IF(OR(База_КР_КК[[#This Row],[Уровень КК]]=2,База_КР_КК[[#This Row],[Уровень КК]]=3),IF(COUNTIFS($U$2:$U3608,$U3608,$F$2:$F3608,$F3608)=1,1,0),IF(COUNTIFS($U$2:$U3608,$U3608,$L$2:$L3608,$L3608)=1,1,0)))</f>
        <v>1</v>
      </c>
      <c r="AA36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8" s="106"/>
      <c r="AC3608" s="51"/>
      <c r="AD3608" s="106" t="s">
        <v>13</v>
      </c>
      <c r="AE3608" s="38" t="s">
        <v>384</v>
      </c>
    </row>
    <row r="3609" spans="1:31" ht="18" customHeight="1" x14ac:dyDescent="0.25">
      <c r="A36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09" s="79">
        <v>3</v>
      </c>
      <c r="C3609" s="23">
        <v>43420</v>
      </c>
      <c r="D3609" s="67">
        <f>IF(COUNTIF($G$2:$G3609,$G3609)=1,1,0)</f>
        <v>0</v>
      </c>
      <c r="E3609" s="67" t="str">
        <f>IFERROR(VLOOKUP(База_КР_КК[[#This Row],[ИД штатной должности (S)]],'уровень защищенности'!$B$7:$F$1095,5,0),"не защищена")</f>
        <v>высокий</v>
      </c>
      <c r="F3609" s="68">
        <v>500632</v>
      </c>
      <c r="G3609" s="74" t="s">
        <v>3018</v>
      </c>
      <c r="H3609" s="181">
        <f>INDEX('Списки данных'!$D$2:$D$1048576,MATCH(База_КР_КК[[#This Row],[Структурное подразделение]],'Списки данных'!$C$2:$C$1048576,0))</f>
        <v>417</v>
      </c>
      <c r="I3609" s="80" t="s">
        <v>153</v>
      </c>
      <c r="J3609" s="80" t="s">
        <v>21</v>
      </c>
      <c r="K3609" s="80" t="s">
        <v>21</v>
      </c>
      <c r="L3609" s="30" t="s">
        <v>179</v>
      </c>
      <c r="M3609" s="68">
        <v>5</v>
      </c>
      <c r="N3609" s="181" t="str">
        <f t="shared" si="57"/>
        <v>да</v>
      </c>
      <c r="O3609" s="23">
        <v>44844</v>
      </c>
      <c r="P3609" s="23"/>
      <c r="Q3609" s="106"/>
      <c r="R3609" s="37" t="s">
        <v>23</v>
      </c>
      <c r="S3609" s="37" t="s">
        <v>23</v>
      </c>
      <c r="T3609" s="37">
        <v>1930</v>
      </c>
      <c r="U3609" s="38" t="s">
        <v>2080</v>
      </c>
      <c r="V3609" s="69" t="s">
        <v>189</v>
      </c>
      <c r="W3609" s="69" t="s">
        <v>292</v>
      </c>
      <c r="X3609" s="106" t="s">
        <v>295</v>
      </c>
      <c r="Y3609" s="107" t="s">
        <v>12</v>
      </c>
      <c r="Z3609" s="67">
        <f>IF(База_КР_КК[[#This Row],[Таб.номер резервиста]]="-","-",IF(OR(База_КР_КК[[#This Row],[Уровень КК]]=2,База_КР_КК[[#This Row],[Уровень КК]]=3),IF(COUNTIFS($U$2:$U3609,$U3609,$F$2:$F3609,$F3609)=1,1,0),IF(COUNTIFS($U$2:$U3609,$U3609,$L$2:$L3609,$L3609)=1,1,0)))</f>
        <v>1</v>
      </c>
      <c r="AA36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09" s="106"/>
      <c r="AC3609" s="51"/>
      <c r="AD3609" s="106" t="s">
        <v>13</v>
      </c>
      <c r="AE3609" s="38" t="s">
        <v>384</v>
      </c>
    </row>
    <row r="3610" spans="1:31" ht="18" customHeight="1" x14ac:dyDescent="0.25">
      <c r="A36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10" s="79">
        <v>3</v>
      </c>
      <c r="C3610" s="23">
        <v>44356</v>
      </c>
      <c r="D3610" s="67">
        <f>IF(COUNTIF($G$2:$G3610,$G3610)=1,1,0)</f>
        <v>0</v>
      </c>
      <c r="E3610" s="67" t="str">
        <f>IFERROR(VLOOKUP(База_КР_КК[[#This Row],[ИД штатной должности (S)]],'уровень защищенности'!$B$7:$F$1095,5,0),"не защищена")</f>
        <v>высокий</v>
      </c>
      <c r="F3610" s="68">
        <v>500632</v>
      </c>
      <c r="G3610" s="74" t="s">
        <v>3018</v>
      </c>
      <c r="H3610" s="181">
        <f>INDEX('Списки данных'!$D$2:$D$1048576,MATCH(База_КР_КК[[#This Row],[Структурное подразделение]],'Списки данных'!$C$2:$C$1048576,0))</f>
        <v>417</v>
      </c>
      <c r="I3610" s="80" t="s">
        <v>153</v>
      </c>
      <c r="J3610" s="80" t="s">
        <v>21</v>
      </c>
      <c r="K3610" s="80" t="s">
        <v>21</v>
      </c>
      <c r="L3610" s="30" t="s">
        <v>179</v>
      </c>
      <c r="M3610" s="68">
        <v>5</v>
      </c>
      <c r="N3610" s="181" t="str">
        <f t="shared" si="57"/>
        <v>да</v>
      </c>
      <c r="O3610" s="23">
        <v>44844</v>
      </c>
      <c r="P3610" s="23"/>
      <c r="Q3610" s="106"/>
      <c r="R3610" s="37" t="s">
        <v>23</v>
      </c>
      <c r="S3610" s="37" t="s">
        <v>23</v>
      </c>
      <c r="T3610" s="37">
        <v>1931</v>
      </c>
      <c r="U3610" s="38" t="s">
        <v>2103</v>
      </c>
      <c r="V3610" s="69" t="s">
        <v>187</v>
      </c>
      <c r="W3610" s="89" t="s">
        <v>292</v>
      </c>
      <c r="X3610" s="106" t="s">
        <v>296</v>
      </c>
      <c r="Y3610" s="107" t="s">
        <v>12</v>
      </c>
      <c r="Z3610" s="67">
        <f>IF(База_КР_КК[[#This Row],[Таб.номер резервиста]]="-","-",IF(OR(База_КР_КК[[#This Row],[Уровень КК]]=2,База_КР_КК[[#This Row],[Уровень КК]]=3),IF(COUNTIFS($U$2:$U3610,$U3610,$F$2:$F3610,$F3610)=1,1,0),IF(COUNTIFS($U$2:$U3610,$U3610,$L$2:$L3610,$L3610)=1,1,0)))</f>
        <v>1</v>
      </c>
      <c r="AA36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0" s="106"/>
      <c r="AC3610" s="51"/>
      <c r="AD3610" s="106" t="s">
        <v>13</v>
      </c>
      <c r="AE3610" s="38" t="s">
        <v>384</v>
      </c>
    </row>
    <row r="3611" spans="1:31" ht="18" customHeight="1" x14ac:dyDescent="0.25">
      <c r="A36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11</v>
      </c>
      <c r="B3611" s="79">
        <v>3</v>
      </c>
      <c r="C3611" s="23">
        <v>44356</v>
      </c>
      <c r="D3611" s="67">
        <f>IF(COUNTIF($G$2:$G3611,$G3611)=1,1,0)</f>
        <v>0</v>
      </c>
      <c r="E3611" s="67" t="str">
        <f>IFERROR(VLOOKUP(База_КР_КК[[#This Row],[ИД штатной должности (S)]],'уровень защищенности'!$B$7:$F$1095,5,0),"не защищена")</f>
        <v>высокий</v>
      </c>
      <c r="F3611" s="68">
        <v>500632</v>
      </c>
      <c r="G3611" s="74" t="s">
        <v>3018</v>
      </c>
      <c r="H3611" s="181">
        <f>INDEX('Списки данных'!$D$2:$D$1048576,MATCH(База_КР_КК[[#This Row],[Структурное подразделение]],'Списки данных'!$C$2:$C$1048576,0))</f>
        <v>417</v>
      </c>
      <c r="I3611" s="80" t="s">
        <v>153</v>
      </c>
      <c r="J3611" s="80" t="s">
        <v>21</v>
      </c>
      <c r="K3611" s="80" t="s">
        <v>21</v>
      </c>
      <c r="L3611" s="30" t="s">
        <v>179</v>
      </c>
      <c r="M3611" s="68">
        <v>5</v>
      </c>
      <c r="N3611" s="181" t="str">
        <f t="shared" si="57"/>
        <v>да</v>
      </c>
      <c r="O3611" s="23">
        <v>44844</v>
      </c>
      <c r="P3611" s="23"/>
      <c r="Q3611" s="106"/>
      <c r="R3611" s="37" t="s">
        <v>23</v>
      </c>
      <c r="S3611" s="37" t="s">
        <v>23</v>
      </c>
      <c r="T3611" s="37">
        <v>1926</v>
      </c>
      <c r="U3611" s="42" t="s">
        <v>2101</v>
      </c>
      <c r="V3611" s="69" t="s">
        <v>187</v>
      </c>
      <c r="W3611" s="89" t="s">
        <v>154</v>
      </c>
      <c r="X3611" s="106" t="s">
        <v>296</v>
      </c>
      <c r="Y3611" s="107" t="s">
        <v>18</v>
      </c>
      <c r="Z3611" s="67">
        <f>IF(База_КР_КК[[#This Row],[Таб.номер резервиста]]="-","-",IF(OR(База_КР_КК[[#This Row],[Уровень КК]]=2,База_КР_КК[[#This Row],[Уровень КК]]=3),IF(COUNTIFS($U$2:$U3611,$U3611,$F$2:$F3611,$F3611)=1,1,0),IF(COUNTIFS($U$2:$U3611,$U3611,$L$2:$L3611,$L3611)=1,1,0)))</f>
        <v>1</v>
      </c>
      <c r="AA36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1" s="106" t="s">
        <v>38</v>
      </c>
      <c r="AC3611" s="51">
        <v>44715</v>
      </c>
      <c r="AD3611" s="106" t="s">
        <v>31</v>
      </c>
      <c r="AE3611" s="38" t="s">
        <v>384</v>
      </c>
    </row>
    <row r="3612" spans="1:31" ht="18" customHeight="1" x14ac:dyDescent="0.25">
      <c r="A36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12" s="79">
        <v>3</v>
      </c>
      <c r="C3612" s="23">
        <v>44173</v>
      </c>
      <c r="D3612" s="67">
        <f>IF(COUNTIF($G$2:$G3612,$G3612)=1,1,0)</f>
        <v>1</v>
      </c>
      <c r="E3612" s="67" t="str">
        <f>IFERROR(VLOOKUP(База_КР_КК[[#This Row],[ИД штатной должности (S)]],'уровень защищенности'!$B$7:$F$1095,5,0),"не защищена")</f>
        <v>средний</v>
      </c>
      <c r="F3612" s="68">
        <v>500008</v>
      </c>
      <c r="G3612" s="74" t="s">
        <v>3019</v>
      </c>
      <c r="H3612" s="181">
        <f>INDEX('Списки данных'!$D$2:$D$1048576,MATCH(База_КР_КК[[#This Row],[Структурное подразделение]],'Списки данных'!$C$2:$C$1048576,0))</f>
        <v>60</v>
      </c>
      <c r="I3612" s="80" t="s">
        <v>149</v>
      </c>
      <c r="J3612" s="80" t="s">
        <v>252</v>
      </c>
      <c r="K3612" s="80" t="s">
        <v>21</v>
      </c>
      <c r="L3612" s="30" t="s">
        <v>179</v>
      </c>
      <c r="M3612" s="68">
        <v>4</v>
      </c>
      <c r="N3612" s="181" t="str">
        <f t="shared" si="57"/>
        <v>нет</v>
      </c>
      <c r="O3612" s="23"/>
      <c r="P3612" s="23"/>
      <c r="Q3612" s="106"/>
      <c r="R3612" s="37">
        <v>835</v>
      </c>
      <c r="S3612" s="39" t="s">
        <v>1244</v>
      </c>
      <c r="T3612" s="37">
        <v>842</v>
      </c>
      <c r="U3612" s="38" t="s">
        <v>1251</v>
      </c>
      <c r="V3612" s="69" t="s">
        <v>183</v>
      </c>
      <c r="W3612" s="89" t="s">
        <v>149</v>
      </c>
      <c r="X3612" s="106" t="s">
        <v>297</v>
      </c>
      <c r="Y3612" s="107" t="s">
        <v>12</v>
      </c>
      <c r="Z3612" s="67">
        <f>IF(База_КР_КК[[#This Row],[Таб.номер резервиста]]="-","-",IF(OR(База_КР_КК[[#This Row],[Уровень КК]]=2,База_КР_КК[[#This Row],[Уровень КК]]=3),IF(COUNTIFS($U$2:$U3612,$U3612,$F$2:$F3612,$F3612)=1,1,0),IF(COUNTIFS($U$2:$U3612,$U3612,$L$2:$L3612,$L3612)=1,1,0)))</f>
        <v>1</v>
      </c>
      <c r="AA36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2" s="106"/>
      <c r="AC3612" s="51"/>
      <c r="AD3612" s="106" t="s">
        <v>15</v>
      </c>
      <c r="AE3612" s="38" t="s">
        <v>387</v>
      </c>
    </row>
    <row r="3613" spans="1:31" ht="18" customHeight="1" x14ac:dyDescent="0.25">
      <c r="A36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13" s="79">
        <v>3</v>
      </c>
      <c r="C3613" s="23">
        <v>44173</v>
      </c>
      <c r="D3613" s="67">
        <f>IF(COUNTIF($G$2:$G3613,$G3613)=1,1,0)</f>
        <v>0</v>
      </c>
      <c r="E3613" s="67" t="str">
        <f>IFERROR(VLOOKUP(База_КР_КК[[#This Row],[ИД штатной должности (S)]],'уровень защищенности'!$B$7:$F$1095,5,0),"не защищена")</f>
        <v>средний</v>
      </c>
      <c r="F3613" s="68">
        <v>500008</v>
      </c>
      <c r="G3613" s="74" t="s">
        <v>3019</v>
      </c>
      <c r="H3613" s="181">
        <f>INDEX('Списки данных'!$D$2:$D$1048576,MATCH(База_КР_КК[[#This Row],[Структурное подразделение]],'Списки данных'!$C$2:$C$1048576,0))</f>
        <v>60</v>
      </c>
      <c r="I3613" s="80" t="s">
        <v>149</v>
      </c>
      <c r="J3613" s="80" t="s">
        <v>252</v>
      </c>
      <c r="K3613" s="80" t="s">
        <v>21</v>
      </c>
      <c r="L3613" s="30" t="s">
        <v>179</v>
      </c>
      <c r="M3613" s="68">
        <v>4</v>
      </c>
      <c r="N3613" s="181" t="str">
        <f t="shared" si="57"/>
        <v>нет</v>
      </c>
      <c r="O3613" s="23"/>
      <c r="P3613" s="23"/>
      <c r="Q3613" s="106"/>
      <c r="R3613" s="37">
        <v>835</v>
      </c>
      <c r="S3613" s="39" t="s">
        <v>1244</v>
      </c>
      <c r="T3613" s="37">
        <v>850</v>
      </c>
      <c r="U3613" s="38" t="s">
        <v>1259</v>
      </c>
      <c r="V3613" s="69" t="s">
        <v>187</v>
      </c>
      <c r="W3613" s="89" t="s">
        <v>149</v>
      </c>
      <c r="X3613" s="106" t="s">
        <v>296</v>
      </c>
      <c r="Y3613" s="107" t="s">
        <v>12</v>
      </c>
      <c r="Z3613" s="67">
        <f>IF(База_КР_КК[[#This Row],[Таб.номер резервиста]]="-","-",IF(OR(База_КР_КК[[#This Row],[Уровень КК]]=2,База_КР_КК[[#This Row],[Уровень КК]]=3),IF(COUNTIFS($U$2:$U3613,$U3613,$F$2:$F3613,$F3613)=1,1,0),IF(COUNTIFS($U$2:$U3613,$U3613,$L$2:$L3613,$L3613)=1,1,0)))</f>
        <v>1</v>
      </c>
      <c r="AA36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3" s="106"/>
      <c r="AC3613" s="51"/>
      <c r="AD3613" s="106" t="s">
        <v>15</v>
      </c>
      <c r="AE3613" s="38" t="s">
        <v>387</v>
      </c>
    </row>
    <row r="3614" spans="1:31" ht="18" customHeight="1" x14ac:dyDescent="0.25">
      <c r="A36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14" s="79">
        <v>3</v>
      </c>
      <c r="C3614" s="23">
        <v>44918</v>
      </c>
      <c r="D3614" s="67">
        <f>IF(COUNTIF($G$2:$G3614,$G3614)=1,1,0)</f>
        <v>1</v>
      </c>
      <c r="E3614" s="67" t="str">
        <f>IFERROR(VLOOKUP(База_КР_КК[[#This Row],[ИД штатной должности (S)]],'уровень защищенности'!$B$7:$F$1095,5,0),"не защищена")</f>
        <v>средний</v>
      </c>
      <c r="F3614" s="68">
        <v>500292</v>
      </c>
      <c r="G3614" s="74" t="s">
        <v>3020</v>
      </c>
      <c r="H3614" s="181">
        <f>INDEX('Списки данных'!$D$2:$D$1048576,MATCH(База_КР_КК[[#This Row],[Структурное подразделение]],'Списки данных'!$C$2:$C$1048576,0))</f>
        <v>60</v>
      </c>
      <c r="I3614" s="80" t="s">
        <v>149</v>
      </c>
      <c r="J3614" s="80" t="s">
        <v>252</v>
      </c>
      <c r="K3614" s="80" t="s">
        <v>253</v>
      </c>
      <c r="L3614" s="30" t="s">
        <v>198</v>
      </c>
      <c r="M3614" s="68">
        <v>6</v>
      </c>
      <c r="N3614" s="181" t="str">
        <f t="shared" si="57"/>
        <v>нет</v>
      </c>
      <c r="O3614" s="23"/>
      <c r="P3614" s="23"/>
      <c r="Q3614" s="106"/>
      <c r="R3614" s="37">
        <v>836</v>
      </c>
      <c r="S3614" s="39" t="s">
        <v>1245</v>
      </c>
      <c r="T3614" s="37">
        <v>1932</v>
      </c>
      <c r="U3614" s="38" t="s">
        <v>2060</v>
      </c>
      <c r="V3614" s="69" t="s">
        <v>16</v>
      </c>
      <c r="W3614" s="89" t="s">
        <v>149</v>
      </c>
      <c r="X3614" s="106" t="s">
        <v>297</v>
      </c>
      <c r="Y3614" s="107" t="s">
        <v>12</v>
      </c>
      <c r="Z3614" s="67">
        <f>IF(База_КР_КК[[#This Row],[Таб.номер резервиста]]="-","-",IF(OR(База_КР_КК[[#This Row],[Уровень КК]]=2,База_КР_КК[[#This Row],[Уровень КК]]=3),IF(COUNTIFS($U$2:$U3614,$U3614,$F$2:$F3614,$F3614)=1,1,0),IF(COUNTIFS($U$2:$U3614,$U3614,$L$2:$L3614,$L3614)=1,1,0)))</f>
        <v>1</v>
      </c>
      <c r="AA36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4" s="106"/>
      <c r="AC3614" s="51"/>
      <c r="AD3614" s="106" t="s">
        <v>15</v>
      </c>
      <c r="AE3614" s="38" t="s">
        <v>388</v>
      </c>
    </row>
    <row r="3615" spans="1:31" ht="18" customHeight="1" x14ac:dyDescent="0.25">
      <c r="A36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15" s="79">
        <v>3</v>
      </c>
      <c r="C3615" s="23">
        <v>44918</v>
      </c>
      <c r="D3615" s="67">
        <f>IF(COUNTIF($G$2:$G3615,$G3615)=1,1,0)</f>
        <v>0</v>
      </c>
      <c r="E3615" s="67" t="str">
        <f>IFERROR(VLOOKUP(База_КР_КК[[#This Row],[ИД штатной должности (S)]],'уровень защищенности'!$B$7:$F$1095,5,0),"не защищена")</f>
        <v>средний</v>
      </c>
      <c r="F3615" s="68">
        <v>500292</v>
      </c>
      <c r="G3615" s="74" t="s">
        <v>3020</v>
      </c>
      <c r="H3615" s="181">
        <f>INDEX('Списки данных'!$D$2:$D$1048576,MATCH(База_КР_КК[[#This Row],[Структурное подразделение]],'Списки данных'!$C$2:$C$1048576,0))</f>
        <v>60</v>
      </c>
      <c r="I3615" s="80" t="s">
        <v>149</v>
      </c>
      <c r="J3615" s="80" t="s">
        <v>252</v>
      </c>
      <c r="K3615" s="80" t="s">
        <v>253</v>
      </c>
      <c r="L3615" s="30" t="s">
        <v>198</v>
      </c>
      <c r="M3615" s="68">
        <v>6</v>
      </c>
      <c r="N3615" s="181" t="str">
        <f t="shared" si="57"/>
        <v>нет</v>
      </c>
      <c r="O3615" s="23"/>
      <c r="P3615" s="23"/>
      <c r="Q3615" s="106"/>
      <c r="R3615" s="37">
        <v>836</v>
      </c>
      <c r="S3615" s="39" t="s">
        <v>1245</v>
      </c>
      <c r="T3615" s="37">
        <v>1933</v>
      </c>
      <c r="U3615" s="38" t="s">
        <v>1859</v>
      </c>
      <c r="V3615" s="69" t="s">
        <v>16</v>
      </c>
      <c r="W3615" s="89" t="s">
        <v>149</v>
      </c>
      <c r="X3615" s="106" t="s">
        <v>296</v>
      </c>
      <c r="Y3615" s="107" t="s">
        <v>12</v>
      </c>
      <c r="Z3615" s="67">
        <f>IF(База_КР_КК[[#This Row],[Таб.номер резервиста]]="-","-",IF(OR(База_КР_КК[[#This Row],[Уровень КК]]=2,База_КР_КК[[#This Row],[Уровень КК]]=3),IF(COUNTIFS($U$2:$U3615,$U3615,$F$2:$F3615,$F3615)=1,1,0),IF(COUNTIFS($U$2:$U3615,$U3615,$L$2:$L3615,$L3615)=1,1,0)))</f>
        <v>1</v>
      </c>
      <c r="AA36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5" s="106"/>
      <c r="AC3615" s="51"/>
      <c r="AD3615" s="106" t="s">
        <v>15</v>
      </c>
      <c r="AE3615" s="38" t="s">
        <v>388</v>
      </c>
    </row>
    <row r="3616" spans="1:31" ht="18" customHeight="1" x14ac:dyDescent="0.25">
      <c r="A36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16" s="79">
        <v>3</v>
      </c>
      <c r="C3616" s="23">
        <v>44918</v>
      </c>
      <c r="D3616" s="67">
        <f>IF(COUNTIF($G$2:$G3616,$G3616)=1,1,0)</f>
        <v>1</v>
      </c>
      <c r="E3616" s="67" t="str">
        <f>IFERROR(VLOOKUP(База_КР_КК[[#This Row],[ИД штатной должности (S)]],'уровень защищенности'!$B$7:$F$1095,5,0),"не защищена")</f>
        <v>высокий</v>
      </c>
      <c r="F3616" s="68">
        <v>500293</v>
      </c>
      <c r="G3616" s="74" t="s">
        <v>3021</v>
      </c>
      <c r="H3616" s="181">
        <f>INDEX('Списки данных'!$D$2:$D$1048576,MATCH(База_КР_КК[[#This Row],[Структурное подразделение]],'Списки данных'!$C$2:$C$1048576,0))</f>
        <v>60</v>
      </c>
      <c r="I3616" s="80" t="s">
        <v>149</v>
      </c>
      <c r="J3616" s="80" t="s">
        <v>252</v>
      </c>
      <c r="K3616" s="80" t="s">
        <v>253</v>
      </c>
      <c r="L3616" s="30" t="s">
        <v>198</v>
      </c>
      <c r="M3616" s="68">
        <v>6</v>
      </c>
      <c r="N3616" s="181" t="str">
        <f t="shared" si="57"/>
        <v>нет</v>
      </c>
      <c r="O3616" s="23"/>
      <c r="P3616" s="23"/>
      <c r="Q3616" s="106"/>
      <c r="R3616" s="37">
        <v>837</v>
      </c>
      <c r="S3616" s="39" t="s">
        <v>1246</v>
      </c>
      <c r="T3616" s="37">
        <v>1934</v>
      </c>
      <c r="U3616" s="38" t="s">
        <v>2104</v>
      </c>
      <c r="V3616" s="69" t="s">
        <v>192</v>
      </c>
      <c r="W3616" s="89" t="s">
        <v>149</v>
      </c>
      <c r="X3616" s="106" t="s">
        <v>295</v>
      </c>
      <c r="Y3616" s="107" t="s">
        <v>12</v>
      </c>
      <c r="Z3616" s="67">
        <f>IF(База_КР_КК[[#This Row],[Таб.номер резервиста]]="-","-",IF(OR(База_КР_КК[[#This Row],[Уровень КК]]=2,База_КР_КК[[#This Row],[Уровень КК]]=3),IF(COUNTIFS($U$2:$U3616,$U3616,$F$2:$F3616,$F3616)=1,1,0),IF(COUNTIFS($U$2:$U3616,$U3616,$L$2:$L3616,$L3616)=1,1,0)))</f>
        <v>1</v>
      </c>
      <c r="AA36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6" s="106"/>
      <c r="AC3616" s="51"/>
      <c r="AD3616" s="106" t="s">
        <v>15</v>
      </c>
      <c r="AE3616" s="38" t="s">
        <v>388</v>
      </c>
    </row>
    <row r="3617" spans="1:31" ht="18" customHeight="1" x14ac:dyDescent="0.25">
      <c r="A36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17" s="79">
        <v>3</v>
      </c>
      <c r="C3617" s="23">
        <v>44918</v>
      </c>
      <c r="D3617" s="67">
        <f>IF(COUNTIF($G$2:$G3617,$G3617)=1,1,0)</f>
        <v>0</v>
      </c>
      <c r="E3617" s="67" t="str">
        <f>IFERROR(VLOOKUP(База_КР_КК[[#This Row],[ИД штатной должности (S)]],'уровень защищенности'!$B$7:$F$1095,5,0),"не защищена")</f>
        <v>высокий</v>
      </c>
      <c r="F3617" s="68">
        <v>500293</v>
      </c>
      <c r="G3617" s="74" t="s">
        <v>3021</v>
      </c>
      <c r="H3617" s="181">
        <f>INDEX('Списки данных'!$D$2:$D$1048576,MATCH(База_КР_КК[[#This Row],[Структурное подразделение]],'Списки данных'!$C$2:$C$1048576,0))</f>
        <v>60</v>
      </c>
      <c r="I3617" s="80" t="s">
        <v>149</v>
      </c>
      <c r="J3617" s="80" t="s">
        <v>252</v>
      </c>
      <c r="K3617" s="80" t="s">
        <v>253</v>
      </c>
      <c r="L3617" s="30" t="s">
        <v>198</v>
      </c>
      <c r="M3617" s="68">
        <v>6</v>
      </c>
      <c r="N3617" s="181" t="str">
        <f t="shared" si="57"/>
        <v>нет</v>
      </c>
      <c r="O3617" s="23"/>
      <c r="P3617" s="23"/>
      <c r="Q3617" s="106"/>
      <c r="R3617" s="37">
        <v>837</v>
      </c>
      <c r="S3617" s="39" t="s">
        <v>1246</v>
      </c>
      <c r="T3617" s="37">
        <v>1935</v>
      </c>
      <c r="U3617" s="38" t="s">
        <v>1710</v>
      </c>
      <c r="V3617" s="69" t="s">
        <v>16</v>
      </c>
      <c r="W3617" s="89" t="s">
        <v>149</v>
      </c>
      <c r="X3617" s="106" t="s">
        <v>296</v>
      </c>
      <c r="Y3617" s="107" t="s">
        <v>12</v>
      </c>
      <c r="Z3617" s="67">
        <f>IF(База_КР_КК[[#This Row],[Таб.номер резервиста]]="-","-",IF(OR(База_КР_КК[[#This Row],[Уровень КК]]=2,База_КР_КК[[#This Row],[Уровень КК]]=3),IF(COUNTIFS($U$2:$U3617,$U3617,$F$2:$F3617,$F3617)=1,1,0),IF(COUNTIFS($U$2:$U3617,$U3617,$L$2:$L3617,$L3617)=1,1,0)))</f>
        <v>1</v>
      </c>
      <c r="AA36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7" s="106"/>
      <c r="AC3617" s="51"/>
      <c r="AD3617" s="106" t="s">
        <v>15</v>
      </c>
      <c r="AE3617" s="38" t="s">
        <v>388</v>
      </c>
    </row>
    <row r="3618" spans="1:31" ht="18" customHeight="1" x14ac:dyDescent="0.25">
      <c r="A36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18" s="79">
        <v>3</v>
      </c>
      <c r="C3618" s="23">
        <v>44918</v>
      </c>
      <c r="D3618" s="67">
        <f>IF(COUNTIF($G$2:$G3618,$G3618)=1,1,0)</f>
        <v>0</v>
      </c>
      <c r="E3618" s="67" t="str">
        <f>IFERROR(VLOOKUP(База_КР_КК[[#This Row],[ИД штатной должности (S)]],'уровень защищенности'!$B$7:$F$1095,5,0),"не защищена")</f>
        <v>высокий</v>
      </c>
      <c r="F3618" s="68">
        <v>500293</v>
      </c>
      <c r="G3618" s="74" t="s">
        <v>3021</v>
      </c>
      <c r="H3618" s="181">
        <f>INDEX('Списки данных'!$D$2:$D$1048576,MATCH(База_КР_КК[[#This Row],[Структурное подразделение]],'Списки данных'!$C$2:$C$1048576,0))</f>
        <v>60</v>
      </c>
      <c r="I3618" s="80" t="s">
        <v>149</v>
      </c>
      <c r="J3618" s="80" t="s">
        <v>252</v>
      </c>
      <c r="K3618" s="80" t="s">
        <v>253</v>
      </c>
      <c r="L3618" s="30" t="s">
        <v>198</v>
      </c>
      <c r="M3618" s="68">
        <v>6</v>
      </c>
      <c r="N3618" s="181" t="str">
        <f t="shared" si="57"/>
        <v>нет</v>
      </c>
      <c r="O3618" s="23"/>
      <c r="P3618" s="23"/>
      <c r="Q3618" s="106"/>
      <c r="R3618" s="37">
        <v>837</v>
      </c>
      <c r="S3618" s="39" t="s">
        <v>1246</v>
      </c>
      <c r="T3618" s="37">
        <v>1936</v>
      </c>
      <c r="U3618" s="38" t="s">
        <v>2078</v>
      </c>
      <c r="V3618" s="69" t="s">
        <v>16</v>
      </c>
      <c r="W3618" s="89" t="s">
        <v>149</v>
      </c>
      <c r="X3618" s="106" t="s">
        <v>296</v>
      </c>
      <c r="Y3618" s="107" t="s">
        <v>12</v>
      </c>
      <c r="Z3618" s="67">
        <f>IF(База_КР_КК[[#This Row],[Таб.номер резервиста]]="-","-",IF(OR(База_КР_КК[[#This Row],[Уровень КК]]=2,База_КР_КК[[#This Row],[Уровень КК]]=3),IF(COUNTIFS($U$2:$U3618,$U3618,$F$2:$F3618,$F3618)=1,1,0),IF(COUNTIFS($U$2:$U3618,$U3618,$L$2:$L3618,$L3618)=1,1,0)))</f>
        <v>1</v>
      </c>
      <c r="AA36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8" s="106"/>
      <c r="AC3618" s="51"/>
      <c r="AD3618" s="106" t="s">
        <v>15</v>
      </c>
      <c r="AE3618" s="38" t="s">
        <v>388</v>
      </c>
    </row>
    <row r="3619" spans="1:31" ht="18" customHeight="1" x14ac:dyDescent="0.25">
      <c r="A36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19" s="79">
        <v>3</v>
      </c>
      <c r="C3619" s="23">
        <v>44918</v>
      </c>
      <c r="D3619" s="67">
        <f>IF(COUNTIF($G$2:$G3619,$G3619)=1,1,0)</f>
        <v>1</v>
      </c>
      <c r="E3619" s="67" t="str">
        <f>IFERROR(VLOOKUP(База_КР_КК[[#This Row],[ИД штатной должности (S)]],'уровень защищенности'!$B$7:$F$1095,5,0),"не защищена")</f>
        <v>высокий</v>
      </c>
      <c r="F3619" s="68">
        <v>500294</v>
      </c>
      <c r="G3619" s="74" t="s">
        <v>3022</v>
      </c>
      <c r="H3619" s="181">
        <f>INDEX('Списки данных'!$D$2:$D$1048576,MATCH(База_КР_КК[[#This Row],[Структурное подразделение]],'Списки данных'!$C$2:$C$1048576,0))</f>
        <v>60</v>
      </c>
      <c r="I3619" s="80" t="s">
        <v>149</v>
      </c>
      <c r="J3619" s="80" t="s">
        <v>252</v>
      </c>
      <c r="K3619" s="80" t="s">
        <v>253</v>
      </c>
      <c r="L3619" s="30" t="s">
        <v>198</v>
      </c>
      <c r="M3619" s="68">
        <v>6</v>
      </c>
      <c r="N3619" s="181" t="str">
        <f t="shared" si="57"/>
        <v>нет</v>
      </c>
      <c r="O3619" s="23"/>
      <c r="P3619" s="23"/>
      <c r="Q3619" s="106"/>
      <c r="R3619" s="37">
        <v>838</v>
      </c>
      <c r="S3619" s="39" t="s">
        <v>1247</v>
      </c>
      <c r="T3619" s="37">
        <v>1937</v>
      </c>
      <c r="U3619" s="38" t="s">
        <v>2105</v>
      </c>
      <c r="V3619" s="69" t="s">
        <v>192</v>
      </c>
      <c r="W3619" s="89" t="s">
        <v>149</v>
      </c>
      <c r="X3619" s="106" t="s">
        <v>295</v>
      </c>
      <c r="Y3619" s="107" t="s">
        <v>12</v>
      </c>
      <c r="Z3619" s="67">
        <f>IF(База_КР_КК[[#This Row],[Таб.номер резервиста]]="-","-",IF(OR(База_КР_КК[[#This Row],[Уровень КК]]=2,База_КР_КК[[#This Row],[Уровень КК]]=3),IF(COUNTIFS($U$2:$U3619,$U3619,$F$2:$F3619,$F3619)=1,1,0),IF(COUNTIFS($U$2:$U3619,$U3619,$L$2:$L3619,$L3619)=1,1,0)))</f>
        <v>1</v>
      </c>
      <c r="AA36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19" s="106"/>
      <c r="AC3619" s="51"/>
      <c r="AD3619" s="106" t="s">
        <v>15</v>
      </c>
      <c r="AE3619" s="38" t="s">
        <v>388</v>
      </c>
    </row>
    <row r="3620" spans="1:31" ht="18" customHeight="1" x14ac:dyDescent="0.25">
      <c r="A36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0" s="79">
        <v>3</v>
      </c>
      <c r="C3620" s="23">
        <v>44918</v>
      </c>
      <c r="D3620" s="67">
        <f>IF(COUNTIF($G$2:$G3620,$G3620)=1,1,0)</f>
        <v>0</v>
      </c>
      <c r="E3620" s="67" t="str">
        <f>IFERROR(VLOOKUP(База_КР_КК[[#This Row],[ИД штатной должности (S)]],'уровень защищенности'!$B$7:$F$1095,5,0),"не защищена")</f>
        <v>высокий</v>
      </c>
      <c r="F3620" s="68">
        <v>500294</v>
      </c>
      <c r="G3620" s="74" t="s">
        <v>3022</v>
      </c>
      <c r="H3620" s="181">
        <f>INDEX('Списки данных'!$D$2:$D$1048576,MATCH(База_КР_КК[[#This Row],[Структурное подразделение]],'Списки данных'!$C$2:$C$1048576,0))</f>
        <v>60</v>
      </c>
      <c r="I3620" s="80" t="s">
        <v>149</v>
      </c>
      <c r="J3620" s="80" t="s">
        <v>252</v>
      </c>
      <c r="K3620" s="80" t="s">
        <v>253</v>
      </c>
      <c r="L3620" s="30" t="s">
        <v>198</v>
      </c>
      <c r="M3620" s="68">
        <v>6</v>
      </c>
      <c r="N3620" s="181" t="str">
        <f t="shared" si="57"/>
        <v>нет</v>
      </c>
      <c r="O3620" s="23"/>
      <c r="P3620" s="23"/>
      <c r="Q3620" s="106"/>
      <c r="R3620" s="37">
        <v>838</v>
      </c>
      <c r="S3620" s="39" t="s">
        <v>1247</v>
      </c>
      <c r="T3620" s="37">
        <v>1938</v>
      </c>
      <c r="U3620" s="38" t="s">
        <v>1582</v>
      </c>
      <c r="V3620" s="69" t="s">
        <v>16</v>
      </c>
      <c r="W3620" s="89" t="s">
        <v>149</v>
      </c>
      <c r="X3620" s="106" t="s">
        <v>296</v>
      </c>
      <c r="Y3620" s="107" t="s">
        <v>12</v>
      </c>
      <c r="Z3620" s="67">
        <f>IF(База_КР_КК[[#This Row],[Таб.номер резервиста]]="-","-",IF(OR(База_КР_КК[[#This Row],[Уровень КК]]=2,База_КР_КК[[#This Row],[Уровень КК]]=3),IF(COUNTIFS($U$2:$U3620,$U3620,$F$2:$F3620,$F3620)=1,1,0),IF(COUNTIFS($U$2:$U3620,$U3620,$L$2:$L3620,$L3620)=1,1,0)))</f>
        <v>1</v>
      </c>
      <c r="AA36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0" s="106"/>
      <c r="AC3620" s="51"/>
      <c r="AD3620" s="106" t="s">
        <v>15</v>
      </c>
      <c r="AE3620" s="38" t="s">
        <v>388</v>
      </c>
    </row>
    <row r="3621" spans="1:31" ht="18" customHeight="1" x14ac:dyDescent="0.25">
      <c r="A36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1" s="79">
        <v>3</v>
      </c>
      <c r="C3621" s="23">
        <v>44918</v>
      </c>
      <c r="D3621" s="67">
        <f>IF(COUNTIF($G$2:$G3621,$G3621)=1,1,0)</f>
        <v>1</v>
      </c>
      <c r="E3621" s="67" t="str">
        <f>IFERROR(VLOOKUP(База_КР_КК[[#This Row],[ИД штатной должности (S)]],'уровень защищенности'!$B$7:$F$1095,5,0),"не защищена")</f>
        <v>высокий</v>
      </c>
      <c r="F3621" s="68">
        <v>500295</v>
      </c>
      <c r="G3621" s="74" t="s">
        <v>3023</v>
      </c>
      <c r="H3621" s="181">
        <f>INDEX('Списки данных'!$D$2:$D$1048576,MATCH(База_КР_КК[[#This Row],[Структурное подразделение]],'Списки данных'!$C$2:$C$1048576,0))</f>
        <v>60</v>
      </c>
      <c r="I3621" s="80" t="s">
        <v>149</v>
      </c>
      <c r="J3621" s="80" t="s">
        <v>252</v>
      </c>
      <c r="K3621" s="80" t="s">
        <v>253</v>
      </c>
      <c r="L3621" s="30" t="s">
        <v>198</v>
      </c>
      <c r="M3621" s="68">
        <v>6</v>
      </c>
      <c r="N3621" s="181" t="str">
        <f t="shared" si="57"/>
        <v>нет</v>
      </c>
      <c r="O3621" s="23"/>
      <c r="P3621" s="23"/>
      <c r="Q3621" s="106"/>
      <c r="R3621" s="37">
        <v>839</v>
      </c>
      <c r="S3621" s="39" t="s">
        <v>1248</v>
      </c>
      <c r="T3621" s="37">
        <v>1939</v>
      </c>
      <c r="U3621" s="38" t="s">
        <v>1946</v>
      </c>
      <c r="V3621" s="69" t="s">
        <v>192</v>
      </c>
      <c r="W3621" s="89" t="s">
        <v>149</v>
      </c>
      <c r="X3621" s="106" t="s">
        <v>295</v>
      </c>
      <c r="Y3621" s="107" t="s">
        <v>12</v>
      </c>
      <c r="Z3621" s="67">
        <f>IF(База_КР_КК[[#This Row],[Таб.номер резервиста]]="-","-",IF(OR(База_КР_КК[[#This Row],[Уровень КК]]=2,База_КР_КК[[#This Row],[Уровень КК]]=3),IF(COUNTIFS($U$2:$U3621,$U3621,$F$2:$F3621,$F3621)=1,1,0),IF(COUNTIFS($U$2:$U3621,$U3621,$L$2:$L3621,$L3621)=1,1,0)))</f>
        <v>1</v>
      </c>
      <c r="AA36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1" s="106"/>
      <c r="AC3621" s="51"/>
      <c r="AD3621" s="106" t="s">
        <v>15</v>
      </c>
      <c r="AE3621" s="38" t="s">
        <v>388</v>
      </c>
    </row>
    <row r="3622" spans="1:31" ht="18" customHeight="1" x14ac:dyDescent="0.25">
      <c r="A36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2" s="79">
        <v>3</v>
      </c>
      <c r="C3622" s="23">
        <v>44918</v>
      </c>
      <c r="D3622" s="67">
        <f>IF(COUNTIF($G$2:$G3622,$G3622)=1,1,0)</f>
        <v>0</v>
      </c>
      <c r="E3622" s="67" t="str">
        <f>IFERROR(VLOOKUP(База_КР_КК[[#This Row],[ИД штатной должности (S)]],'уровень защищенности'!$B$7:$F$1095,5,0),"не защищена")</f>
        <v>высокий</v>
      </c>
      <c r="F3622" s="68">
        <v>500295</v>
      </c>
      <c r="G3622" s="74" t="s">
        <v>3023</v>
      </c>
      <c r="H3622" s="181">
        <f>INDEX('Списки данных'!$D$2:$D$1048576,MATCH(База_КР_КК[[#This Row],[Структурное подразделение]],'Списки данных'!$C$2:$C$1048576,0))</f>
        <v>60</v>
      </c>
      <c r="I3622" s="80" t="s">
        <v>149</v>
      </c>
      <c r="J3622" s="80" t="s">
        <v>252</v>
      </c>
      <c r="K3622" s="80" t="s">
        <v>253</v>
      </c>
      <c r="L3622" s="30" t="s">
        <v>198</v>
      </c>
      <c r="M3622" s="68">
        <v>6</v>
      </c>
      <c r="N3622" s="181" t="str">
        <f t="shared" si="57"/>
        <v>нет</v>
      </c>
      <c r="O3622" s="23"/>
      <c r="P3622" s="23"/>
      <c r="Q3622" s="106"/>
      <c r="R3622" s="37">
        <v>839</v>
      </c>
      <c r="S3622" s="39" t="s">
        <v>1248</v>
      </c>
      <c r="T3622" s="37">
        <v>1940</v>
      </c>
      <c r="U3622" s="38" t="s">
        <v>1786</v>
      </c>
      <c r="V3622" s="69" t="s">
        <v>192</v>
      </c>
      <c r="W3622" s="89" t="s">
        <v>149</v>
      </c>
      <c r="X3622" s="106" t="s">
        <v>297</v>
      </c>
      <c r="Y3622" s="107" t="s">
        <v>12</v>
      </c>
      <c r="Z3622" s="67">
        <f>IF(База_КР_КК[[#This Row],[Таб.номер резервиста]]="-","-",IF(OR(База_КР_КК[[#This Row],[Уровень КК]]=2,База_КР_КК[[#This Row],[Уровень КК]]=3),IF(COUNTIFS($U$2:$U3622,$U3622,$F$2:$F3622,$F3622)=1,1,0),IF(COUNTIFS($U$2:$U3622,$U3622,$L$2:$L3622,$L3622)=1,1,0)))</f>
        <v>1</v>
      </c>
      <c r="AA36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2" s="106"/>
      <c r="AC3622" s="51"/>
      <c r="AD3622" s="106" t="s">
        <v>15</v>
      </c>
      <c r="AE3622" s="38" t="s">
        <v>388</v>
      </c>
    </row>
    <row r="3623" spans="1:31" ht="18" customHeight="1" x14ac:dyDescent="0.25">
      <c r="A36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3" s="79">
        <v>3</v>
      </c>
      <c r="C3623" s="23">
        <v>44918</v>
      </c>
      <c r="D3623" s="67">
        <f>IF(COUNTIF($G$2:$G3623,$G3623)=1,1,0)</f>
        <v>0</v>
      </c>
      <c r="E3623" s="67" t="str">
        <f>IFERROR(VLOOKUP(База_КР_КК[[#This Row],[ИД штатной должности (S)]],'уровень защищенности'!$B$7:$F$1095,5,0),"не защищена")</f>
        <v>высокий</v>
      </c>
      <c r="F3623" s="68">
        <v>500295</v>
      </c>
      <c r="G3623" s="74" t="s">
        <v>3023</v>
      </c>
      <c r="H3623" s="181">
        <f>INDEX('Списки данных'!$D$2:$D$1048576,MATCH(База_КР_КК[[#This Row],[Структурное подразделение]],'Списки данных'!$C$2:$C$1048576,0))</f>
        <v>60</v>
      </c>
      <c r="I3623" s="80" t="s">
        <v>149</v>
      </c>
      <c r="J3623" s="80" t="s">
        <v>252</v>
      </c>
      <c r="K3623" s="80" t="s">
        <v>253</v>
      </c>
      <c r="L3623" s="30" t="s">
        <v>198</v>
      </c>
      <c r="M3623" s="68">
        <v>6</v>
      </c>
      <c r="N3623" s="181" t="str">
        <f t="shared" si="57"/>
        <v>нет</v>
      </c>
      <c r="O3623" s="23"/>
      <c r="P3623" s="23"/>
      <c r="Q3623" s="106"/>
      <c r="R3623" s="37">
        <v>839</v>
      </c>
      <c r="S3623" s="39" t="s">
        <v>1248</v>
      </c>
      <c r="T3623" s="37">
        <v>1941</v>
      </c>
      <c r="U3623" s="38" t="s">
        <v>2106</v>
      </c>
      <c r="V3623" s="69" t="s">
        <v>16</v>
      </c>
      <c r="W3623" s="89" t="s">
        <v>149</v>
      </c>
      <c r="X3623" s="106" t="s">
        <v>296</v>
      </c>
      <c r="Y3623" s="107" t="s">
        <v>12</v>
      </c>
      <c r="Z3623" s="67">
        <f>IF(База_КР_КК[[#This Row],[Таб.номер резервиста]]="-","-",IF(OR(База_КР_КК[[#This Row],[Уровень КК]]=2,База_КР_КК[[#This Row],[Уровень КК]]=3),IF(COUNTIFS($U$2:$U3623,$U3623,$F$2:$F3623,$F3623)=1,1,0),IF(COUNTIFS($U$2:$U3623,$U3623,$L$2:$L3623,$L3623)=1,1,0)))</f>
        <v>1</v>
      </c>
      <c r="AA36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3" s="106"/>
      <c r="AC3623" s="51"/>
      <c r="AD3623" s="106" t="s">
        <v>15</v>
      </c>
      <c r="AE3623" s="38" t="s">
        <v>388</v>
      </c>
    </row>
    <row r="3624" spans="1:31" ht="18" customHeight="1" x14ac:dyDescent="0.25">
      <c r="A36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4" s="79">
        <v>3</v>
      </c>
      <c r="C3624" s="23">
        <v>44918</v>
      </c>
      <c r="D3624" s="67">
        <f>IF(COUNTIF($G$2:$G3624,$G3624)=1,1,0)</f>
        <v>1</v>
      </c>
      <c r="E3624" s="67" t="str">
        <f>IFERROR(VLOOKUP(База_КР_КК[[#This Row],[ИД штатной должности (S)]],'уровень защищенности'!$B$7:$F$1095,5,0),"не защищена")</f>
        <v>низкий</v>
      </c>
      <c r="F3624" s="68">
        <v>500220</v>
      </c>
      <c r="G3624" s="74" t="s">
        <v>3024</v>
      </c>
      <c r="H3624" s="181">
        <f>INDEX('Списки данных'!$D$2:$D$1048576,MATCH(База_КР_КК[[#This Row],[Структурное подразделение]],'Списки данных'!$C$2:$C$1048576,0))</f>
        <v>60</v>
      </c>
      <c r="I3624" s="80" t="s">
        <v>149</v>
      </c>
      <c r="J3624" s="80" t="s">
        <v>252</v>
      </c>
      <c r="K3624" s="80" t="s">
        <v>21</v>
      </c>
      <c r="L3624" s="30" t="s">
        <v>189</v>
      </c>
      <c r="M3624" s="68">
        <v>6</v>
      </c>
      <c r="N3624" s="181" t="str">
        <f t="shared" si="57"/>
        <v>нет</v>
      </c>
      <c r="O3624" s="23"/>
      <c r="P3624" s="23"/>
      <c r="Q3624" s="106"/>
      <c r="R3624" s="37">
        <v>840</v>
      </c>
      <c r="S3624" s="39" t="s">
        <v>1249</v>
      </c>
      <c r="T3624" s="37">
        <v>1942</v>
      </c>
      <c r="U3624" s="38" t="s">
        <v>2107</v>
      </c>
      <c r="V3624" s="69" t="s">
        <v>189</v>
      </c>
      <c r="W3624" s="89" t="s">
        <v>149</v>
      </c>
      <c r="X3624" s="106" t="s">
        <v>296</v>
      </c>
      <c r="Y3624" s="107" t="s">
        <v>12</v>
      </c>
      <c r="Z3624" s="67">
        <f>IF(База_КР_КК[[#This Row],[Таб.номер резервиста]]="-","-",IF(OR(База_КР_КК[[#This Row],[Уровень КК]]=2,База_КР_КК[[#This Row],[Уровень КК]]=3),IF(COUNTIFS($U$2:$U3624,$U3624,$F$2:$F3624,$F3624)=1,1,0),IF(COUNTIFS($U$2:$U3624,$U3624,$L$2:$L3624,$L3624)=1,1,0)))</f>
        <v>1</v>
      </c>
      <c r="AA36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4" s="106"/>
      <c r="AC3624" s="51"/>
      <c r="AD3624" s="106" t="s">
        <v>15</v>
      </c>
      <c r="AE3624" s="38" t="s">
        <v>388</v>
      </c>
    </row>
    <row r="3625" spans="1:31" ht="18" customHeight="1" x14ac:dyDescent="0.25">
      <c r="A36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5" s="79">
        <v>3</v>
      </c>
      <c r="C3625" s="23">
        <v>44918</v>
      </c>
      <c r="D3625" s="67">
        <f>IF(COUNTIF($G$2:$G3625,$G3625)=1,1,0)</f>
        <v>0</v>
      </c>
      <c r="E3625" s="67" t="str">
        <f>IFERROR(VLOOKUP(База_КР_КК[[#This Row],[ИД штатной должности (S)]],'уровень защищенности'!$B$7:$F$1095,5,0),"не защищена")</f>
        <v>низкий</v>
      </c>
      <c r="F3625" s="68">
        <v>500220</v>
      </c>
      <c r="G3625" s="74" t="s">
        <v>3024</v>
      </c>
      <c r="H3625" s="181">
        <f>INDEX('Списки данных'!$D$2:$D$1048576,MATCH(База_КР_КК[[#This Row],[Структурное подразделение]],'Списки данных'!$C$2:$C$1048576,0))</f>
        <v>60</v>
      </c>
      <c r="I3625" s="80" t="s">
        <v>149</v>
      </c>
      <c r="J3625" s="80" t="s">
        <v>252</v>
      </c>
      <c r="K3625" s="80" t="s">
        <v>21</v>
      </c>
      <c r="L3625" s="30" t="s">
        <v>189</v>
      </c>
      <c r="M3625" s="68">
        <v>6</v>
      </c>
      <c r="N3625" s="181" t="str">
        <f t="shared" si="57"/>
        <v>нет</v>
      </c>
      <c r="O3625" s="23"/>
      <c r="P3625" s="23"/>
      <c r="Q3625" s="106"/>
      <c r="R3625" s="37">
        <v>840</v>
      </c>
      <c r="S3625" s="39" t="s">
        <v>1249</v>
      </c>
      <c r="T3625" s="37">
        <v>849</v>
      </c>
      <c r="U3625" s="38" t="s">
        <v>1258</v>
      </c>
      <c r="V3625" s="69" t="s">
        <v>187</v>
      </c>
      <c r="W3625" s="89" t="s">
        <v>149</v>
      </c>
      <c r="X3625" s="106" t="s">
        <v>296</v>
      </c>
      <c r="Y3625" s="107" t="s">
        <v>12</v>
      </c>
      <c r="Z3625" s="67">
        <f>IF(База_КР_КК[[#This Row],[Таб.номер резервиста]]="-","-",IF(OR(База_КР_КК[[#This Row],[Уровень КК]]=2,База_КР_КК[[#This Row],[Уровень КК]]=3),IF(COUNTIFS($U$2:$U3625,$U3625,$F$2:$F3625,$F3625)=1,1,0),IF(COUNTIFS($U$2:$U3625,$U3625,$L$2:$L3625,$L3625)=1,1,0)))</f>
        <v>1</v>
      </c>
      <c r="AA36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5" s="106"/>
      <c r="AC3625" s="51"/>
      <c r="AD3625" s="106" t="s">
        <v>15</v>
      </c>
      <c r="AE3625" s="38" t="s">
        <v>388</v>
      </c>
    </row>
    <row r="3626" spans="1:31" ht="18" customHeight="1" x14ac:dyDescent="0.25">
      <c r="A36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6" s="79">
        <v>3</v>
      </c>
      <c r="C3626" s="23">
        <v>44918</v>
      </c>
      <c r="D3626" s="67">
        <f>IF(COUNTIF($G$2:$G3626,$G3626)=1,1,0)</f>
        <v>0</v>
      </c>
      <c r="E3626" s="67" t="str">
        <f>IFERROR(VLOOKUP(База_КР_КК[[#This Row],[ИД штатной должности (S)]],'уровень защищенности'!$B$7:$F$1095,5,0),"не защищена")</f>
        <v>низкий</v>
      </c>
      <c r="F3626" s="68">
        <v>500220</v>
      </c>
      <c r="G3626" s="74" t="s">
        <v>3024</v>
      </c>
      <c r="H3626" s="181">
        <f>INDEX('Списки данных'!$D$2:$D$1048576,MATCH(База_КР_КК[[#This Row],[Структурное подразделение]],'Списки данных'!$C$2:$C$1048576,0))</f>
        <v>60</v>
      </c>
      <c r="I3626" s="80" t="s">
        <v>149</v>
      </c>
      <c r="J3626" s="80" t="s">
        <v>252</v>
      </c>
      <c r="K3626" s="80" t="s">
        <v>21</v>
      </c>
      <c r="L3626" s="30" t="s">
        <v>189</v>
      </c>
      <c r="M3626" s="68">
        <v>6</v>
      </c>
      <c r="N3626" s="181" t="str">
        <f t="shared" si="57"/>
        <v>нет</v>
      </c>
      <c r="O3626" s="23"/>
      <c r="P3626" s="23"/>
      <c r="Q3626" s="106"/>
      <c r="R3626" s="37">
        <v>840</v>
      </c>
      <c r="S3626" s="39" t="s">
        <v>1249</v>
      </c>
      <c r="T3626" s="37">
        <v>1943</v>
      </c>
      <c r="U3626" s="38" t="s">
        <v>2025</v>
      </c>
      <c r="V3626" s="69" t="s">
        <v>16</v>
      </c>
      <c r="W3626" s="89" t="s">
        <v>149</v>
      </c>
      <c r="X3626" s="106" t="s">
        <v>296</v>
      </c>
      <c r="Y3626" s="107" t="s">
        <v>12</v>
      </c>
      <c r="Z3626" s="67">
        <f>IF(База_КР_КК[[#This Row],[Таб.номер резервиста]]="-","-",IF(OR(База_КР_КК[[#This Row],[Уровень КК]]=2,База_КР_КК[[#This Row],[Уровень КК]]=3),IF(COUNTIFS($U$2:$U3626,$U3626,$F$2:$F3626,$F3626)=1,1,0),IF(COUNTIFS($U$2:$U3626,$U3626,$L$2:$L3626,$L3626)=1,1,0)))</f>
        <v>1</v>
      </c>
      <c r="AA36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6" s="106"/>
      <c r="AC3626" s="51"/>
      <c r="AD3626" s="106" t="s">
        <v>15</v>
      </c>
      <c r="AE3626" s="38" t="s">
        <v>388</v>
      </c>
    </row>
    <row r="3627" spans="1:31" ht="18" customHeight="1" x14ac:dyDescent="0.25">
      <c r="A36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7" s="79">
        <v>3</v>
      </c>
      <c r="C3627" s="23">
        <v>44918</v>
      </c>
      <c r="D3627" s="67">
        <f>IF(COUNTIF($G$2:$G3627,$G3627)=1,1,0)</f>
        <v>0</v>
      </c>
      <c r="E3627" s="67" t="str">
        <f>IFERROR(VLOOKUP(База_КР_КК[[#This Row],[ИД штатной должности (S)]],'уровень защищенности'!$B$7:$F$1095,5,0),"не защищена")</f>
        <v>низкий</v>
      </c>
      <c r="F3627" s="68">
        <v>500220</v>
      </c>
      <c r="G3627" s="74" t="s">
        <v>3024</v>
      </c>
      <c r="H3627" s="181">
        <f>INDEX('Списки данных'!$D$2:$D$1048576,MATCH(База_КР_КК[[#This Row],[Структурное подразделение]],'Списки данных'!$C$2:$C$1048576,0))</f>
        <v>60</v>
      </c>
      <c r="I3627" s="80" t="s">
        <v>149</v>
      </c>
      <c r="J3627" s="80" t="s">
        <v>252</v>
      </c>
      <c r="K3627" s="80" t="s">
        <v>21</v>
      </c>
      <c r="L3627" s="30" t="s">
        <v>189</v>
      </c>
      <c r="M3627" s="68">
        <v>6</v>
      </c>
      <c r="N3627" s="181" t="str">
        <f t="shared" si="57"/>
        <v>нет</v>
      </c>
      <c r="O3627" s="23"/>
      <c r="P3627" s="23"/>
      <c r="Q3627" s="106"/>
      <c r="R3627" s="37">
        <v>840</v>
      </c>
      <c r="S3627" s="39" t="s">
        <v>1249</v>
      </c>
      <c r="T3627" s="37">
        <v>841</v>
      </c>
      <c r="U3627" s="38" t="s">
        <v>1250</v>
      </c>
      <c r="V3627" s="69" t="s">
        <v>189</v>
      </c>
      <c r="W3627" s="89" t="s">
        <v>149</v>
      </c>
      <c r="X3627" s="106" t="s">
        <v>296</v>
      </c>
      <c r="Y3627" s="107" t="s">
        <v>12</v>
      </c>
      <c r="Z3627" s="67">
        <f>IF(База_КР_КК[[#This Row],[Таб.номер резервиста]]="-","-",IF(OR(База_КР_КК[[#This Row],[Уровень КК]]=2,База_КР_КК[[#This Row],[Уровень КК]]=3),IF(COUNTIFS($U$2:$U3627,$U3627,$F$2:$F3627,$F3627)=1,1,0),IF(COUNTIFS($U$2:$U3627,$U3627,$L$2:$L3627,$L3627)=1,1,0)))</f>
        <v>1</v>
      </c>
      <c r="AA36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7" s="106"/>
      <c r="AC3627" s="51"/>
      <c r="AD3627" s="106" t="s">
        <v>15</v>
      </c>
      <c r="AE3627" s="38" t="s">
        <v>388</v>
      </c>
    </row>
    <row r="3628" spans="1:31" ht="18" customHeight="1" x14ac:dyDescent="0.25">
      <c r="A36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8" s="79">
        <v>3</v>
      </c>
      <c r="C3628" s="23">
        <v>44918</v>
      </c>
      <c r="D3628" s="67">
        <f>IF(COUNTIF($G$2:$G3628,$G3628)=1,1,0)</f>
        <v>1</v>
      </c>
      <c r="E3628" s="67" t="str">
        <f>IFERROR(VLOOKUP(База_КР_КК[[#This Row],[ИД штатной должности (S)]],'уровень защищенности'!$B$7:$F$1095,5,0),"не защищена")</f>
        <v>средний</v>
      </c>
      <c r="F3628" s="68">
        <v>500047</v>
      </c>
      <c r="G3628" s="74" t="s">
        <v>3025</v>
      </c>
      <c r="H3628" s="181">
        <f>INDEX('Списки данных'!$D$2:$D$1048576,MATCH(База_КР_КК[[#This Row],[Структурное подразделение]],'Списки данных'!$C$2:$C$1048576,0))</f>
        <v>60</v>
      </c>
      <c r="I3628" s="80" t="s">
        <v>149</v>
      </c>
      <c r="J3628" s="80" t="s">
        <v>252</v>
      </c>
      <c r="K3628" s="80" t="s">
        <v>21</v>
      </c>
      <c r="L3628" s="30" t="s">
        <v>189</v>
      </c>
      <c r="M3628" s="68">
        <v>6</v>
      </c>
      <c r="N3628" s="181" t="str">
        <f t="shared" si="57"/>
        <v>нет</v>
      </c>
      <c r="O3628" s="23"/>
      <c r="P3628" s="23"/>
      <c r="Q3628" s="106"/>
      <c r="R3628" s="37">
        <v>841</v>
      </c>
      <c r="S3628" s="39" t="s">
        <v>1250</v>
      </c>
      <c r="T3628" s="37">
        <v>1943</v>
      </c>
      <c r="U3628" s="38" t="s">
        <v>2025</v>
      </c>
      <c r="V3628" s="69" t="s">
        <v>16</v>
      </c>
      <c r="W3628" s="89" t="s">
        <v>149</v>
      </c>
      <c r="X3628" s="106" t="s">
        <v>297</v>
      </c>
      <c r="Y3628" s="107" t="s">
        <v>12</v>
      </c>
      <c r="Z3628" s="67">
        <f>IF(База_КР_КК[[#This Row],[Таб.номер резервиста]]="-","-",IF(OR(База_КР_КК[[#This Row],[Уровень КК]]=2,База_КР_КК[[#This Row],[Уровень КК]]=3),IF(COUNTIFS($U$2:$U3628,$U3628,$F$2:$F3628,$F3628)=1,1,0),IF(COUNTIFS($U$2:$U3628,$U3628,$L$2:$L3628,$L3628)=1,1,0)))</f>
        <v>1</v>
      </c>
      <c r="AA36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8" s="106"/>
      <c r="AC3628" s="51"/>
      <c r="AD3628" s="106" t="s">
        <v>15</v>
      </c>
      <c r="AE3628" s="38" t="s">
        <v>388</v>
      </c>
    </row>
    <row r="3629" spans="1:31" ht="18" customHeight="1" x14ac:dyDescent="0.25">
      <c r="A36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29" s="79">
        <v>3</v>
      </c>
      <c r="C3629" s="23">
        <v>44918</v>
      </c>
      <c r="D3629" s="67">
        <f>IF(COUNTIF($G$2:$G3629,$G3629)=1,1,0)</f>
        <v>0</v>
      </c>
      <c r="E3629" s="67" t="str">
        <f>IFERROR(VLOOKUP(База_КР_КК[[#This Row],[ИД штатной должности (S)]],'уровень защищенности'!$B$7:$F$1095,5,0),"не защищена")</f>
        <v>средний</v>
      </c>
      <c r="F3629" s="68">
        <v>500047</v>
      </c>
      <c r="G3629" s="74" t="s">
        <v>3025</v>
      </c>
      <c r="H3629" s="181">
        <f>INDEX('Списки данных'!$D$2:$D$1048576,MATCH(База_КР_КК[[#This Row],[Структурное подразделение]],'Списки данных'!$C$2:$C$1048576,0))</f>
        <v>60</v>
      </c>
      <c r="I3629" s="80" t="s">
        <v>149</v>
      </c>
      <c r="J3629" s="80" t="s">
        <v>252</v>
      </c>
      <c r="K3629" s="80" t="s">
        <v>21</v>
      </c>
      <c r="L3629" s="30" t="s">
        <v>189</v>
      </c>
      <c r="M3629" s="68">
        <v>6</v>
      </c>
      <c r="N3629" s="181" t="str">
        <f t="shared" si="57"/>
        <v>нет</v>
      </c>
      <c r="O3629" s="23"/>
      <c r="P3629" s="23"/>
      <c r="Q3629" s="106"/>
      <c r="R3629" s="37">
        <v>841</v>
      </c>
      <c r="S3629" s="39" t="s">
        <v>1250</v>
      </c>
      <c r="T3629" s="37">
        <v>844</v>
      </c>
      <c r="U3629" s="38" t="s">
        <v>1253</v>
      </c>
      <c r="V3629" s="69" t="s">
        <v>189</v>
      </c>
      <c r="W3629" s="89" t="s">
        <v>149</v>
      </c>
      <c r="X3629" s="106" t="s">
        <v>296</v>
      </c>
      <c r="Y3629" s="107" t="s">
        <v>12</v>
      </c>
      <c r="Z3629" s="67">
        <f>IF(База_КР_КК[[#This Row],[Таб.номер резервиста]]="-","-",IF(OR(База_КР_КК[[#This Row],[Уровень КК]]=2,База_КР_КК[[#This Row],[Уровень КК]]=3),IF(COUNTIFS($U$2:$U3629,$U3629,$F$2:$F3629,$F3629)=1,1,0),IF(COUNTIFS($U$2:$U3629,$U3629,$L$2:$L3629,$L3629)=1,1,0)))</f>
        <v>1</v>
      </c>
      <c r="AA36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29" s="106"/>
      <c r="AC3629" s="51"/>
      <c r="AD3629" s="106" t="s">
        <v>15</v>
      </c>
      <c r="AE3629" s="38" t="s">
        <v>388</v>
      </c>
    </row>
    <row r="3630" spans="1:31" ht="18" customHeight="1" x14ac:dyDescent="0.25">
      <c r="A36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0" s="79">
        <v>3</v>
      </c>
      <c r="C3630" s="23">
        <v>44918</v>
      </c>
      <c r="D3630" s="67">
        <f>IF(COUNTIF($G$2:$G3630,$G3630)=1,1,0)</f>
        <v>1</v>
      </c>
      <c r="E3630" s="67" t="str">
        <f>IFERROR(VLOOKUP(База_КР_КК[[#This Row],[ИД штатной должности (S)]],'уровень защищенности'!$B$7:$F$1095,5,0),"не защищена")</f>
        <v>низкий</v>
      </c>
      <c r="F3630" s="68">
        <v>500048</v>
      </c>
      <c r="G3630" s="74" t="s">
        <v>3026</v>
      </c>
      <c r="H3630" s="181">
        <f>INDEX('Списки данных'!$D$2:$D$1048576,MATCH(База_КР_КК[[#This Row],[Структурное подразделение]],'Списки данных'!$C$2:$C$1048576,0))</f>
        <v>60</v>
      </c>
      <c r="I3630" s="80" t="s">
        <v>149</v>
      </c>
      <c r="J3630" s="80" t="s">
        <v>252</v>
      </c>
      <c r="K3630" s="80" t="s">
        <v>21</v>
      </c>
      <c r="L3630" s="30" t="s">
        <v>183</v>
      </c>
      <c r="M3630" s="68">
        <v>5</v>
      </c>
      <c r="N3630" s="181" t="str">
        <f t="shared" si="57"/>
        <v>нет</v>
      </c>
      <c r="O3630" s="23"/>
      <c r="P3630" s="23"/>
      <c r="Q3630" s="106"/>
      <c r="R3630" s="37">
        <v>842</v>
      </c>
      <c r="S3630" s="39" t="s">
        <v>1251</v>
      </c>
      <c r="T3630" s="37">
        <v>846</v>
      </c>
      <c r="U3630" s="38" t="s">
        <v>1255</v>
      </c>
      <c r="V3630" s="69" t="s">
        <v>198</v>
      </c>
      <c r="W3630" s="89" t="s">
        <v>149</v>
      </c>
      <c r="X3630" s="106" t="s">
        <v>296</v>
      </c>
      <c r="Y3630" s="107" t="s">
        <v>12</v>
      </c>
      <c r="Z3630" s="67">
        <f>IF(База_КР_КК[[#This Row],[Таб.номер резервиста]]="-","-",IF(OR(База_КР_КК[[#This Row],[Уровень КК]]=2,База_КР_КК[[#This Row],[Уровень КК]]=3),IF(COUNTIFS($U$2:$U3630,$U3630,$F$2:$F3630,$F3630)=1,1,0),IF(COUNTIFS($U$2:$U3630,$U3630,$L$2:$L3630,$L3630)=1,1,0)))</f>
        <v>1</v>
      </c>
      <c r="AA36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0" s="106"/>
      <c r="AC3630" s="51"/>
      <c r="AD3630" s="106" t="s">
        <v>15</v>
      </c>
      <c r="AE3630" s="38" t="s">
        <v>388</v>
      </c>
    </row>
    <row r="3631" spans="1:31" ht="18" customHeight="1" x14ac:dyDescent="0.25">
      <c r="A36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1" s="79">
        <v>3</v>
      </c>
      <c r="C3631" s="23">
        <v>44918</v>
      </c>
      <c r="D3631" s="67">
        <f>IF(COUNTIF($G$2:$G3631,$G3631)=1,1,0)</f>
        <v>1</v>
      </c>
      <c r="E3631" s="67" t="str">
        <f>IFERROR(VLOOKUP(База_КР_КК[[#This Row],[ИД штатной должности (S)]],'уровень защищенности'!$B$7:$F$1095,5,0),"не защищена")</f>
        <v>средний</v>
      </c>
      <c r="F3631" s="68">
        <v>500542</v>
      </c>
      <c r="G3631" s="74" t="s">
        <v>3027</v>
      </c>
      <c r="H3631" s="181">
        <f>INDEX('Списки данных'!$D$2:$D$1048576,MATCH(База_КР_КК[[#This Row],[Структурное подразделение]],'Списки данных'!$C$2:$C$1048576,0))</f>
        <v>60</v>
      </c>
      <c r="I3631" s="80" t="s">
        <v>149</v>
      </c>
      <c r="J3631" s="80" t="s">
        <v>252</v>
      </c>
      <c r="K3631" s="80" t="s">
        <v>21</v>
      </c>
      <c r="L3631" s="30" t="s">
        <v>189</v>
      </c>
      <c r="M3631" s="68">
        <v>5</v>
      </c>
      <c r="N3631" s="181" t="str">
        <f t="shared" si="57"/>
        <v>нет</v>
      </c>
      <c r="O3631" s="23"/>
      <c r="P3631" s="23"/>
      <c r="Q3631" s="106"/>
      <c r="R3631" s="37">
        <v>843</v>
      </c>
      <c r="S3631" s="39" t="s">
        <v>1252</v>
      </c>
      <c r="T3631" s="37">
        <v>846</v>
      </c>
      <c r="U3631" s="38" t="s">
        <v>1255</v>
      </c>
      <c r="V3631" s="69" t="s">
        <v>198</v>
      </c>
      <c r="W3631" s="89" t="s">
        <v>149</v>
      </c>
      <c r="X3631" s="106" t="s">
        <v>297</v>
      </c>
      <c r="Y3631" s="107" t="s">
        <v>12</v>
      </c>
      <c r="Z3631" s="67">
        <f>IF(База_КР_КК[[#This Row],[Таб.номер резервиста]]="-","-",IF(OR(База_КР_КК[[#This Row],[Уровень КК]]=2,База_КР_КК[[#This Row],[Уровень КК]]=3),IF(COUNTIFS($U$2:$U3631,$U3631,$F$2:$F3631,$F3631)=1,1,0),IF(COUNTIFS($U$2:$U3631,$U3631,$L$2:$L3631,$L3631)=1,1,0)))</f>
        <v>1</v>
      </c>
      <c r="AA36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1" s="106"/>
      <c r="AC3631" s="51"/>
      <c r="AD3631" s="106" t="s">
        <v>15</v>
      </c>
      <c r="AE3631" s="38" t="s">
        <v>388</v>
      </c>
    </row>
    <row r="3632" spans="1:31" ht="18" customHeight="1" x14ac:dyDescent="0.25">
      <c r="A36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2" s="79">
        <v>3</v>
      </c>
      <c r="C3632" s="23">
        <v>44918</v>
      </c>
      <c r="D3632" s="67">
        <f>IF(COUNTIF($G$2:$G3632,$G3632)=1,1,0)</f>
        <v>1</v>
      </c>
      <c r="E3632" s="67" t="str">
        <f>IFERROR(VLOOKUP(База_КР_КК[[#This Row],[ИД штатной должности (S)]],'уровень защищенности'!$B$7:$F$1095,5,0),"не защищена")</f>
        <v>низкий</v>
      </c>
      <c r="F3632" s="68">
        <v>500250</v>
      </c>
      <c r="G3632" s="74" t="s">
        <v>3028</v>
      </c>
      <c r="H3632" s="181">
        <f>INDEX('Списки данных'!$D$2:$D$1048576,MATCH(База_КР_КК[[#This Row],[Структурное подразделение]],'Списки данных'!$C$2:$C$1048576,0))</f>
        <v>60</v>
      </c>
      <c r="I3632" s="80" t="s">
        <v>149</v>
      </c>
      <c r="J3632" s="80" t="s">
        <v>252</v>
      </c>
      <c r="K3632" s="80" t="s">
        <v>21</v>
      </c>
      <c r="L3632" s="30" t="s">
        <v>189</v>
      </c>
      <c r="M3632" s="68">
        <v>6</v>
      </c>
      <c r="N3632" s="181" t="str">
        <f t="shared" si="57"/>
        <v>нет</v>
      </c>
      <c r="O3632" s="23"/>
      <c r="P3632" s="23"/>
      <c r="Q3632" s="106"/>
      <c r="R3632" s="37">
        <v>844</v>
      </c>
      <c r="S3632" s="39" t="s">
        <v>1253</v>
      </c>
      <c r="T3632" s="37">
        <v>1939</v>
      </c>
      <c r="U3632" s="38" t="s">
        <v>1946</v>
      </c>
      <c r="V3632" s="69" t="s">
        <v>192</v>
      </c>
      <c r="W3632" s="89" t="s">
        <v>149</v>
      </c>
      <c r="X3632" s="106" t="s">
        <v>296</v>
      </c>
      <c r="Y3632" s="107" t="s">
        <v>12</v>
      </c>
      <c r="Z3632" s="67">
        <f>IF(База_КР_КК[[#This Row],[Таб.номер резервиста]]="-","-",IF(OR(База_КР_КК[[#This Row],[Уровень КК]]=2,База_КР_КК[[#This Row],[Уровень КК]]=3),IF(COUNTIFS($U$2:$U3632,$U3632,$F$2:$F3632,$F3632)=1,1,0),IF(COUNTIFS($U$2:$U3632,$U3632,$L$2:$L3632,$L3632)=1,1,0)))</f>
        <v>1</v>
      </c>
      <c r="AA36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2" s="106"/>
      <c r="AC3632" s="51"/>
      <c r="AD3632" s="106" t="s">
        <v>15</v>
      </c>
      <c r="AE3632" s="38" t="s">
        <v>388</v>
      </c>
    </row>
    <row r="3633" spans="1:31" ht="18" customHeight="1" x14ac:dyDescent="0.25">
      <c r="A36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3" s="79">
        <v>3</v>
      </c>
      <c r="C3633" s="23">
        <v>44918</v>
      </c>
      <c r="D3633" s="67">
        <f>IF(COUNTIF($G$2:$G3633,$G3633)=1,1,0)</f>
        <v>0</v>
      </c>
      <c r="E3633" s="67" t="str">
        <f>IFERROR(VLOOKUP(База_КР_КК[[#This Row],[ИД штатной должности (S)]],'уровень защищенности'!$B$7:$F$1095,5,0),"не защищена")</f>
        <v>низкий</v>
      </c>
      <c r="F3633" s="68">
        <v>500250</v>
      </c>
      <c r="G3633" s="74" t="s">
        <v>3028</v>
      </c>
      <c r="H3633" s="181">
        <f>INDEX('Списки данных'!$D$2:$D$1048576,MATCH(База_КР_КК[[#This Row],[Структурное подразделение]],'Списки данных'!$C$2:$C$1048576,0))</f>
        <v>60</v>
      </c>
      <c r="I3633" s="80" t="s">
        <v>149</v>
      </c>
      <c r="J3633" s="80" t="s">
        <v>252</v>
      </c>
      <c r="K3633" s="80" t="s">
        <v>21</v>
      </c>
      <c r="L3633" s="30" t="s">
        <v>189</v>
      </c>
      <c r="M3633" s="68">
        <v>6</v>
      </c>
      <c r="N3633" s="181" t="str">
        <f t="shared" si="57"/>
        <v>нет</v>
      </c>
      <c r="O3633" s="23"/>
      <c r="P3633" s="23"/>
      <c r="Q3633" s="106"/>
      <c r="R3633" s="37">
        <v>844</v>
      </c>
      <c r="S3633" s="39" t="s">
        <v>1253</v>
      </c>
      <c r="T3633" s="37">
        <v>1944</v>
      </c>
      <c r="U3633" s="38" t="s">
        <v>1731</v>
      </c>
      <c r="V3633" s="69" t="s">
        <v>192</v>
      </c>
      <c r="W3633" s="89" t="s">
        <v>149</v>
      </c>
      <c r="X3633" s="106" t="s">
        <v>296</v>
      </c>
      <c r="Y3633" s="107" t="s">
        <v>12</v>
      </c>
      <c r="Z3633" s="67">
        <f>IF(База_КР_КК[[#This Row],[Таб.номер резервиста]]="-","-",IF(OR(База_КР_КК[[#This Row],[Уровень КК]]=2,База_КР_КК[[#This Row],[Уровень КК]]=3),IF(COUNTIFS($U$2:$U3633,$U3633,$F$2:$F3633,$F3633)=1,1,0),IF(COUNTIFS($U$2:$U3633,$U3633,$L$2:$L3633,$L3633)=1,1,0)))</f>
        <v>1</v>
      </c>
      <c r="AA36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3" s="106"/>
      <c r="AC3633" s="51"/>
      <c r="AD3633" s="106" t="s">
        <v>15</v>
      </c>
      <c r="AE3633" s="38" t="s">
        <v>388</v>
      </c>
    </row>
    <row r="3634" spans="1:31" ht="18" customHeight="1" x14ac:dyDescent="0.25">
      <c r="A36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4" s="79">
        <v>3</v>
      </c>
      <c r="C3634" s="23">
        <v>44918</v>
      </c>
      <c r="D3634" s="67">
        <f>IF(COUNTIF($G$2:$G3634,$G3634)=1,1,0)</f>
        <v>1</v>
      </c>
      <c r="E3634" s="67" t="str">
        <f>IFERROR(VLOOKUP(База_КР_КК[[#This Row],[ИД штатной должности (S)]],'уровень защищенности'!$B$7:$F$1095,5,0),"не защищена")</f>
        <v>средний</v>
      </c>
      <c r="F3634" s="68">
        <v>500251</v>
      </c>
      <c r="G3634" s="74" t="s">
        <v>3029</v>
      </c>
      <c r="H3634" s="181">
        <f>INDEX('Списки данных'!$D$2:$D$1048576,MATCH(База_КР_КК[[#This Row],[Структурное подразделение]],'Списки данных'!$C$2:$C$1048576,0))</f>
        <v>60</v>
      </c>
      <c r="I3634" s="80" t="s">
        <v>149</v>
      </c>
      <c r="J3634" s="80" t="s">
        <v>252</v>
      </c>
      <c r="K3634" s="80" t="s">
        <v>253</v>
      </c>
      <c r="L3634" s="30" t="s">
        <v>187</v>
      </c>
      <c r="M3634" s="68">
        <v>6</v>
      </c>
      <c r="N3634" s="181" t="str">
        <f t="shared" si="57"/>
        <v>нет</v>
      </c>
      <c r="O3634" s="23"/>
      <c r="P3634" s="23"/>
      <c r="Q3634" s="106"/>
      <c r="R3634" s="37">
        <v>845</v>
      </c>
      <c r="S3634" s="39" t="s">
        <v>1254</v>
      </c>
      <c r="T3634" s="37">
        <v>1945</v>
      </c>
      <c r="U3634" s="38" t="s">
        <v>1994</v>
      </c>
      <c r="V3634" s="69" t="s">
        <v>198</v>
      </c>
      <c r="W3634" s="89" t="s">
        <v>149</v>
      </c>
      <c r="X3634" s="106" t="s">
        <v>297</v>
      </c>
      <c r="Y3634" s="107" t="s">
        <v>12</v>
      </c>
      <c r="Z3634" s="67">
        <f>IF(База_КР_КК[[#This Row],[Таб.номер резервиста]]="-","-",IF(OR(База_КР_КК[[#This Row],[Уровень КК]]=2,База_КР_КК[[#This Row],[Уровень КК]]=3),IF(COUNTIFS($U$2:$U3634,$U3634,$F$2:$F3634,$F3634)=1,1,0),IF(COUNTIFS($U$2:$U3634,$U3634,$L$2:$L3634,$L3634)=1,1,0)))</f>
        <v>1</v>
      </c>
      <c r="AA36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4" s="106"/>
      <c r="AC3634" s="51"/>
      <c r="AD3634" s="106" t="s">
        <v>15</v>
      </c>
      <c r="AE3634" s="38" t="s">
        <v>388</v>
      </c>
    </row>
    <row r="3635" spans="1:31" ht="18" customHeight="1" x14ac:dyDescent="0.25">
      <c r="A36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5" s="79">
        <v>3</v>
      </c>
      <c r="C3635" s="23">
        <v>44918</v>
      </c>
      <c r="D3635" s="67">
        <f>IF(COUNTIF($G$2:$G3635,$G3635)=1,1,0)</f>
        <v>1</v>
      </c>
      <c r="E3635" s="67" t="str">
        <f>IFERROR(VLOOKUP(База_КР_КК[[#This Row],[ИД штатной должности (S)]],'уровень защищенности'!$B$7:$F$1095,5,0),"не защищена")</f>
        <v>низкий</v>
      </c>
      <c r="F3635" s="68">
        <v>500252</v>
      </c>
      <c r="G3635" s="74" t="s">
        <v>3030</v>
      </c>
      <c r="H3635" s="181">
        <f>INDEX('Списки данных'!$D$2:$D$1048576,MATCH(База_КР_КК[[#This Row],[Структурное подразделение]],'Списки данных'!$C$2:$C$1048576,0))</f>
        <v>60</v>
      </c>
      <c r="I3635" s="80" t="s">
        <v>149</v>
      </c>
      <c r="J3635" s="80" t="s">
        <v>252</v>
      </c>
      <c r="K3635" s="80" t="s">
        <v>253</v>
      </c>
      <c r="L3635" s="30" t="s">
        <v>198</v>
      </c>
      <c r="M3635" s="68">
        <v>6</v>
      </c>
      <c r="N3635" s="181" t="str">
        <f t="shared" si="57"/>
        <v>нет</v>
      </c>
      <c r="O3635" s="23"/>
      <c r="P3635" s="23"/>
      <c r="Q3635" s="106"/>
      <c r="R3635" s="37">
        <v>846</v>
      </c>
      <c r="S3635" s="39" t="s">
        <v>1255</v>
      </c>
      <c r="T3635" s="37">
        <v>1934</v>
      </c>
      <c r="U3635" s="38" t="s">
        <v>2104</v>
      </c>
      <c r="V3635" s="69" t="s">
        <v>192</v>
      </c>
      <c r="W3635" s="89" t="s">
        <v>149</v>
      </c>
      <c r="X3635" s="106" t="s">
        <v>296</v>
      </c>
      <c r="Y3635" s="107" t="s">
        <v>12</v>
      </c>
      <c r="Z3635" s="67">
        <f>IF(База_КР_КК[[#This Row],[Таб.номер резервиста]]="-","-",IF(OR(База_КР_КК[[#This Row],[Уровень КК]]=2,База_КР_КК[[#This Row],[Уровень КК]]=3),IF(COUNTIFS($U$2:$U3635,$U3635,$F$2:$F3635,$F3635)=1,1,0),IF(COUNTIFS($U$2:$U3635,$U3635,$L$2:$L3635,$L3635)=1,1,0)))</f>
        <v>1</v>
      </c>
      <c r="AA36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5" s="106"/>
      <c r="AC3635" s="51"/>
      <c r="AD3635" s="106" t="s">
        <v>15</v>
      </c>
      <c r="AE3635" s="38" t="s">
        <v>388</v>
      </c>
    </row>
    <row r="3636" spans="1:31" ht="18" customHeight="1" x14ac:dyDescent="0.25">
      <c r="A36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6" s="79">
        <v>3</v>
      </c>
      <c r="C3636" s="23">
        <v>44918</v>
      </c>
      <c r="D3636" s="67">
        <f>IF(COUNTIF($G$2:$G3636,$G3636)=1,1,0)</f>
        <v>1</v>
      </c>
      <c r="E3636" s="67" t="str">
        <f>IFERROR(VLOOKUP(База_КР_КК[[#This Row],[ИД штатной должности (S)]],'уровень защищенности'!$B$7:$F$1095,5,0),"не защищена")</f>
        <v>высокий</v>
      </c>
      <c r="F3636" s="68">
        <v>500253</v>
      </c>
      <c r="G3636" s="74" t="s">
        <v>3031</v>
      </c>
      <c r="H3636" s="181">
        <f>INDEX('Списки данных'!$D$2:$D$1048576,MATCH(База_КР_КК[[#This Row],[Структурное подразделение]],'Списки данных'!$C$2:$C$1048576,0))</f>
        <v>60</v>
      </c>
      <c r="I3636" s="80" t="s">
        <v>149</v>
      </c>
      <c r="J3636" s="80" t="s">
        <v>252</v>
      </c>
      <c r="K3636" s="80" t="s">
        <v>253</v>
      </c>
      <c r="L3636" s="30" t="s">
        <v>198</v>
      </c>
      <c r="M3636" s="68">
        <v>6</v>
      </c>
      <c r="N3636" s="181" t="str">
        <f t="shared" si="57"/>
        <v>нет</v>
      </c>
      <c r="O3636" s="23"/>
      <c r="P3636" s="23"/>
      <c r="Q3636" s="106"/>
      <c r="R3636" s="37">
        <v>847</v>
      </c>
      <c r="S3636" s="39" t="s">
        <v>1256</v>
      </c>
      <c r="T3636" s="37">
        <v>1939</v>
      </c>
      <c r="U3636" s="38" t="s">
        <v>1946</v>
      </c>
      <c r="V3636" s="69" t="s">
        <v>192</v>
      </c>
      <c r="W3636" s="89" t="s">
        <v>149</v>
      </c>
      <c r="X3636" s="106" t="s">
        <v>295</v>
      </c>
      <c r="Y3636" s="107" t="s">
        <v>12</v>
      </c>
      <c r="Z3636" s="67">
        <f>IF(База_КР_КК[[#This Row],[Таб.номер резервиста]]="-","-",IF(OR(База_КР_КК[[#This Row],[Уровень КК]]=2,База_КР_КК[[#This Row],[Уровень КК]]=3),IF(COUNTIFS($U$2:$U3636,$U3636,$F$2:$F3636,$F3636)=1,1,0),IF(COUNTIFS($U$2:$U3636,$U3636,$L$2:$L3636,$L3636)=1,1,0)))</f>
        <v>1</v>
      </c>
      <c r="AA36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6" s="106"/>
      <c r="AC3636" s="51"/>
      <c r="AD3636" s="106" t="s">
        <v>15</v>
      </c>
      <c r="AE3636" s="38" t="s">
        <v>388</v>
      </c>
    </row>
    <row r="3637" spans="1:31" ht="18" customHeight="1" x14ac:dyDescent="0.25">
      <c r="A36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7" s="79">
        <v>3</v>
      </c>
      <c r="C3637" s="23">
        <v>44918</v>
      </c>
      <c r="D3637" s="67">
        <f>IF(COUNTIF($G$2:$G3637,$G3637)=1,1,0)</f>
        <v>0</v>
      </c>
      <c r="E3637" s="67" t="str">
        <f>IFERROR(VLOOKUP(База_КР_КК[[#This Row],[ИД штатной должности (S)]],'уровень защищенности'!$B$7:$F$1095,5,0),"не защищена")</f>
        <v>высокий</v>
      </c>
      <c r="F3637" s="68">
        <v>500253</v>
      </c>
      <c r="G3637" s="74" t="s">
        <v>3031</v>
      </c>
      <c r="H3637" s="181">
        <f>INDEX('Списки данных'!$D$2:$D$1048576,MATCH(База_КР_КК[[#This Row],[Структурное подразделение]],'Списки данных'!$C$2:$C$1048576,0))</f>
        <v>60</v>
      </c>
      <c r="I3637" s="80" t="s">
        <v>149</v>
      </c>
      <c r="J3637" s="80" t="s">
        <v>252</v>
      </c>
      <c r="K3637" s="80" t="s">
        <v>253</v>
      </c>
      <c r="L3637" s="30" t="s">
        <v>198</v>
      </c>
      <c r="M3637" s="68">
        <v>6</v>
      </c>
      <c r="N3637" s="181" t="str">
        <f t="shared" si="57"/>
        <v>нет</v>
      </c>
      <c r="O3637" s="23"/>
      <c r="P3637" s="23"/>
      <c r="Q3637" s="106"/>
      <c r="R3637" s="37">
        <v>847</v>
      </c>
      <c r="S3637" s="39" t="s">
        <v>1256</v>
      </c>
      <c r="T3637" s="37">
        <v>1941</v>
      </c>
      <c r="U3637" s="38" t="s">
        <v>2106</v>
      </c>
      <c r="V3637" s="69" t="s">
        <v>16</v>
      </c>
      <c r="W3637" s="89" t="s">
        <v>149</v>
      </c>
      <c r="X3637" s="106" t="s">
        <v>297</v>
      </c>
      <c r="Y3637" s="107" t="s">
        <v>12</v>
      </c>
      <c r="Z3637" s="67">
        <f>IF(База_КР_КК[[#This Row],[Таб.номер резервиста]]="-","-",IF(OR(База_КР_КК[[#This Row],[Уровень КК]]=2,База_КР_КК[[#This Row],[Уровень КК]]=3),IF(COUNTIFS($U$2:$U3637,$U3637,$F$2:$F3637,$F3637)=1,1,0),IF(COUNTIFS($U$2:$U3637,$U3637,$L$2:$L3637,$L3637)=1,1,0)))</f>
        <v>1</v>
      </c>
      <c r="AA36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7" s="106"/>
      <c r="AC3637" s="51"/>
      <c r="AD3637" s="106" t="s">
        <v>15</v>
      </c>
      <c r="AE3637" s="38" t="s">
        <v>388</v>
      </c>
    </row>
    <row r="3638" spans="1:31" ht="18" customHeight="1" x14ac:dyDescent="0.25">
      <c r="A36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8" s="79">
        <v>3</v>
      </c>
      <c r="C3638" s="23">
        <v>44918</v>
      </c>
      <c r="D3638" s="67">
        <f>IF(COUNTIF($G$2:$G3638,$G3638)=1,1,0)</f>
        <v>1</v>
      </c>
      <c r="E3638" s="67" t="str">
        <f>IFERROR(VLOOKUP(База_КР_КК[[#This Row],[ИД штатной должности (S)]],'уровень защищенности'!$B$7:$F$1095,5,0),"не защищена")</f>
        <v>высокий</v>
      </c>
      <c r="F3638" s="68">
        <v>500254</v>
      </c>
      <c r="G3638" s="74" t="s">
        <v>3032</v>
      </c>
      <c r="H3638" s="181">
        <f>INDEX('Списки данных'!$D$2:$D$1048576,MATCH(База_КР_КК[[#This Row],[Структурное подразделение]],'Списки данных'!$C$2:$C$1048576,0))</f>
        <v>60</v>
      </c>
      <c r="I3638" s="80" t="s">
        <v>149</v>
      </c>
      <c r="J3638" s="80" t="s">
        <v>252</v>
      </c>
      <c r="K3638" s="80" t="s">
        <v>253</v>
      </c>
      <c r="L3638" s="30" t="s">
        <v>198</v>
      </c>
      <c r="M3638" s="68">
        <v>6</v>
      </c>
      <c r="N3638" s="181" t="str">
        <f t="shared" si="57"/>
        <v>нет</v>
      </c>
      <c r="O3638" s="23"/>
      <c r="P3638" s="23"/>
      <c r="Q3638" s="106"/>
      <c r="R3638" s="37">
        <v>848</v>
      </c>
      <c r="S3638" s="39" t="s">
        <v>1257</v>
      </c>
      <c r="T3638" s="37">
        <v>1944</v>
      </c>
      <c r="U3638" s="38" t="s">
        <v>1731</v>
      </c>
      <c r="V3638" s="69" t="s">
        <v>192</v>
      </c>
      <c r="W3638" s="89" t="s">
        <v>149</v>
      </c>
      <c r="X3638" s="106" t="s">
        <v>295</v>
      </c>
      <c r="Y3638" s="107" t="s">
        <v>12</v>
      </c>
      <c r="Z3638" s="67">
        <f>IF(База_КР_КК[[#This Row],[Таб.номер резервиста]]="-","-",IF(OR(База_КР_КК[[#This Row],[Уровень КК]]=2,База_КР_КК[[#This Row],[Уровень КК]]=3),IF(COUNTIFS($U$2:$U3638,$U3638,$F$2:$F3638,$F3638)=1,1,0),IF(COUNTIFS($U$2:$U3638,$U3638,$L$2:$L3638,$L3638)=1,1,0)))</f>
        <v>1</v>
      </c>
      <c r="AA36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8" s="106"/>
      <c r="AC3638" s="51"/>
      <c r="AD3638" s="106" t="s">
        <v>15</v>
      </c>
      <c r="AE3638" s="38" t="s">
        <v>388</v>
      </c>
    </row>
    <row r="3639" spans="1:31" ht="18" customHeight="1" x14ac:dyDescent="0.25">
      <c r="A36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39" s="79">
        <v>3</v>
      </c>
      <c r="C3639" s="23">
        <v>44918</v>
      </c>
      <c r="D3639" s="67">
        <f>IF(COUNTIF($G$2:$G3639,$G3639)=1,1,0)</f>
        <v>0</v>
      </c>
      <c r="E3639" s="67" t="str">
        <f>IFERROR(VLOOKUP(База_КР_КК[[#This Row],[ИД штатной должности (S)]],'уровень защищенности'!$B$7:$F$1095,5,0),"не защищена")</f>
        <v>высокий</v>
      </c>
      <c r="F3639" s="68">
        <v>500254</v>
      </c>
      <c r="G3639" s="74" t="s">
        <v>3032</v>
      </c>
      <c r="H3639" s="181">
        <f>INDEX('Списки данных'!$D$2:$D$1048576,MATCH(База_КР_КК[[#This Row],[Структурное подразделение]],'Списки данных'!$C$2:$C$1048576,0))</f>
        <v>60</v>
      </c>
      <c r="I3639" s="80" t="s">
        <v>149</v>
      </c>
      <c r="J3639" s="80" t="s">
        <v>252</v>
      </c>
      <c r="K3639" s="80" t="s">
        <v>253</v>
      </c>
      <c r="L3639" s="30" t="s">
        <v>198</v>
      </c>
      <c r="M3639" s="68">
        <v>6</v>
      </c>
      <c r="N3639" s="181" t="str">
        <f t="shared" si="57"/>
        <v>нет</v>
      </c>
      <c r="O3639" s="23"/>
      <c r="P3639" s="23"/>
      <c r="Q3639" s="106"/>
      <c r="R3639" s="37">
        <v>848</v>
      </c>
      <c r="S3639" s="39" t="s">
        <v>1257</v>
      </c>
      <c r="T3639" s="37">
        <v>1946</v>
      </c>
      <c r="U3639" s="38" t="s">
        <v>1985</v>
      </c>
      <c r="V3639" s="69" t="s">
        <v>16</v>
      </c>
      <c r="W3639" s="89" t="s">
        <v>149</v>
      </c>
      <c r="X3639" s="106" t="s">
        <v>296</v>
      </c>
      <c r="Y3639" s="107" t="s">
        <v>12</v>
      </c>
      <c r="Z3639" s="67">
        <f>IF(База_КР_КК[[#This Row],[Таб.номер резервиста]]="-","-",IF(OR(База_КР_КК[[#This Row],[Уровень КК]]=2,База_КР_КК[[#This Row],[Уровень КК]]=3),IF(COUNTIFS($U$2:$U3639,$U3639,$F$2:$F3639,$F3639)=1,1,0),IF(COUNTIFS($U$2:$U3639,$U3639,$L$2:$L3639,$L3639)=1,1,0)))</f>
        <v>1</v>
      </c>
      <c r="AA36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39" s="106"/>
      <c r="AC3639" s="51"/>
      <c r="AD3639" s="106" t="s">
        <v>15</v>
      </c>
      <c r="AE3639" s="38" t="s">
        <v>388</v>
      </c>
    </row>
    <row r="3640" spans="1:31" ht="18" customHeight="1" x14ac:dyDescent="0.25">
      <c r="A36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0" s="79">
        <v>3</v>
      </c>
      <c r="C3640" s="23">
        <v>44918</v>
      </c>
      <c r="D3640" s="67">
        <f>IF(COUNTIF($G$2:$G3640,$G3640)=1,1,0)</f>
        <v>1</v>
      </c>
      <c r="E3640" s="67" t="str">
        <f>IFERROR(VLOOKUP(База_КР_КК[[#This Row],[ИД штатной должности (S)]],'уровень защищенности'!$B$7:$F$1095,5,0),"не защищена")</f>
        <v>средний</v>
      </c>
      <c r="F3640" s="68">
        <v>500701</v>
      </c>
      <c r="G3640" s="74" t="s">
        <v>3033</v>
      </c>
      <c r="H3640" s="181">
        <f>INDEX('Списки данных'!$D$2:$D$1048576,MATCH(База_КР_КК[[#This Row],[Структурное подразделение]],'Списки данных'!$C$2:$C$1048576,0))</f>
        <v>60</v>
      </c>
      <c r="I3640" s="80" t="s">
        <v>149</v>
      </c>
      <c r="J3640" s="80" t="s">
        <v>252</v>
      </c>
      <c r="K3640" s="80" t="s">
        <v>253</v>
      </c>
      <c r="L3640" s="30" t="s">
        <v>187</v>
      </c>
      <c r="M3640" s="68">
        <v>6</v>
      </c>
      <c r="N3640" s="181" t="str">
        <f t="shared" si="57"/>
        <v>нет</v>
      </c>
      <c r="O3640" s="23"/>
      <c r="P3640" s="23"/>
      <c r="Q3640" s="106"/>
      <c r="R3640" s="37">
        <v>849</v>
      </c>
      <c r="S3640" s="39" t="s">
        <v>1258</v>
      </c>
      <c r="T3640" s="37">
        <v>1947</v>
      </c>
      <c r="U3640" s="38" t="s">
        <v>1925</v>
      </c>
      <c r="V3640" s="69" t="s">
        <v>16</v>
      </c>
      <c r="W3640" s="89" t="s">
        <v>149</v>
      </c>
      <c r="X3640" s="106" t="s">
        <v>297</v>
      </c>
      <c r="Y3640" s="107" t="s">
        <v>12</v>
      </c>
      <c r="Z3640" s="67">
        <f>IF(База_КР_КК[[#This Row],[Таб.номер резервиста]]="-","-",IF(OR(База_КР_КК[[#This Row],[Уровень КК]]=2,База_КР_КК[[#This Row],[Уровень КК]]=3),IF(COUNTIFS($U$2:$U3640,$U3640,$F$2:$F3640,$F3640)=1,1,0),IF(COUNTIFS($U$2:$U3640,$U3640,$L$2:$L3640,$L3640)=1,1,0)))</f>
        <v>1</v>
      </c>
      <c r="AA36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0" s="106"/>
      <c r="AC3640" s="51"/>
      <c r="AD3640" s="106" t="s">
        <v>15</v>
      </c>
      <c r="AE3640" s="38" t="s">
        <v>388</v>
      </c>
    </row>
    <row r="3641" spans="1:31" ht="18" customHeight="1" x14ac:dyDescent="0.25">
      <c r="A36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1" s="79">
        <v>3</v>
      </c>
      <c r="C3641" s="23">
        <v>44918</v>
      </c>
      <c r="D3641" s="67">
        <f>IF(COUNTIF($G$2:$G3641,$G3641)=1,1,0)</f>
        <v>0</v>
      </c>
      <c r="E3641" s="67" t="str">
        <f>IFERROR(VLOOKUP(База_КР_КК[[#This Row],[ИД штатной должности (S)]],'уровень защищенности'!$B$7:$F$1095,5,0),"не защищена")</f>
        <v>средний</v>
      </c>
      <c r="F3641" s="68">
        <v>500701</v>
      </c>
      <c r="G3641" s="74" t="s">
        <v>3033</v>
      </c>
      <c r="H3641" s="181">
        <f>INDEX('Списки данных'!$D$2:$D$1048576,MATCH(База_КР_КК[[#This Row],[Структурное подразделение]],'Списки данных'!$C$2:$C$1048576,0))</f>
        <v>60</v>
      </c>
      <c r="I3641" s="80" t="s">
        <v>149</v>
      </c>
      <c r="J3641" s="80" t="s">
        <v>252</v>
      </c>
      <c r="K3641" s="80" t="s">
        <v>253</v>
      </c>
      <c r="L3641" s="30" t="s">
        <v>187</v>
      </c>
      <c r="M3641" s="68">
        <v>6</v>
      </c>
      <c r="N3641" s="181" t="str">
        <f t="shared" si="57"/>
        <v>нет</v>
      </c>
      <c r="O3641" s="23"/>
      <c r="P3641" s="23"/>
      <c r="Q3641" s="106"/>
      <c r="R3641" s="37">
        <v>849</v>
      </c>
      <c r="S3641" s="39" t="s">
        <v>1258</v>
      </c>
      <c r="T3641" s="37">
        <v>1948</v>
      </c>
      <c r="U3641" s="38" t="s">
        <v>1934</v>
      </c>
      <c r="V3641" s="69" t="s">
        <v>189</v>
      </c>
      <c r="W3641" s="89" t="s">
        <v>149</v>
      </c>
      <c r="X3641" s="106" t="s">
        <v>296</v>
      </c>
      <c r="Y3641" s="107" t="s">
        <v>12</v>
      </c>
      <c r="Z3641" s="67">
        <f>IF(База_КР_КК[[#This Row],[Таб.номер резервиста]]="-","-",IF(OR(База_КР_КК[[#This Row],[Уровень КК]]=2,База_КР_КК[[#This Row],[Уровень КК]]=3),IF(COUNTIFS($U$2:$U3641,$U3641,$F$2:$F3641,$F3641)=1,1,0),IF(COUNTIFS($U$2:$U3641,$U3641,$L$2:$L3641,$L3641)=1,1,0)))</f>
        <v>1</v>
      </c>
      <c r="AA36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1" s="106"/>
      <c r="AC3641" s="51"/>
      <c r="AD3641" s="106" t="s">
        <v>15</v>
      </c>
      <c r="AE3641" s="38" t="s">
        <v>388</v>
      </c>
    </row>
    <row r="3642" spans="1:31" ht="18" customHeight="1" x14ac:dyDescent="0.25">
      <c r="A36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2" s="79">
        <v>3</v>
      </c>
      <c r="C3642" s="23">
        <v>44918</v>
      </c>
      <c r="D3642" s="67">
        <f>IF(COUNTIF($G$2:$G3642,$G3642)=1,1,0)</f>
        <v>1</v>
      </c>
      <c r="E3642" s="67" t="str">
        <f>IFERROR(VLOOKUP(База_КР_КК[[#This Row],[ИД штатной должности (S)]],'уровень защищенности'!$B$7:$F$1095,5,0),"не защищена")</f>
        <v>низкий</v>
      </c>
      <c r="F3642" s="68">
        <v>500699</v>
      </c>
      <c r="G3642" s="74" t="s">
        <v>3034</v>
      </c>
      <c r="H3642" s="181">
        <f>INDEX('Списки данных'!$D$2:$D$1048576,MATCH(База_КР_КК[[#This Row],[Структурное подразделение]],'Списки данных'!$C$2:$C$1048576,0))</f>
        <v>60</v>
      </c>
      <c r="I3642" s="80" t="s">
        <v>149</v>
      </c>
      <c r="J3642" s="80" t="s">
        <v>252</v>
      </c>
      <c r="K3642" s="80" t="s">
        <v>253</v>
      </c>
      <c r="L3642" s="30" t="s">
        <v>187</v>
      </c>
      <c r="M3642" s="68">
        <v>6</v>
      </c>
      <c r="N3642" s="181" t="str">
        <f t="shared" si="57"/>
        <v>нет</v>
      </c>
      <c r="O3642" s="23"/>
      <c r="P3642" s="23"/>
      <c r="Q3642" s="106"/>
      <c r="R3642" s="37">
        <v>850</v>
      </c>
      <c r="S3642" s="39" t="s">
        <v>1259</v>
      </c>
      <c r="T3642" s="37">
        <v>1949</v>
      </c>
      <c r="U3642" s="38" t="s">
        <v>1903</v>
      </c>
      <c r="V3642" s="69" t="s">
        <v>189</v>
      </c>
      <c r="W3642" s="89" t="s">
        <v>149</v>
      </c>
      <c r="X3642" s="106" t="s">
        <v>296</v>
      </c>
      <c r="Y3642" s="107" t="s">
        <v>12</v>
      </c>
      <c r="Z3642" s="67">
        <f>IF(База_КР_КК[[#This Row],[Таб.номер резервиста]]="-","-",IF(OR(База_КР_КК[[#This Row],[Уровень КК]]=2,База_КР_КК[[#This Row],[Уровень КК]]=3),IF(COUNTIFS($U$2:$U3642,$U3642,$F$2:$F3642,$F3642)=1,1,0),IF(COUNTIFS($U$2:$U3642,$U3642,$L$2:$L3642,$L3642)=1,1,0)))</f>
        <v>1</v>
      </c>
      <c r="AA36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2" s="106"/>
      <c r="AC3642" s="51"/>
      <c r="AD3642" s="106" t="s">
        <v>15</v>
      </c>
      <c r="AE3642" s="38" t="s">
        <v>388</v>
      </c>
    </row>
    <row r="3643" spans="1:31" ht="18" customHeight="1" x14ac:dyDescent="0.25">
      <c r="A36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3" s="79">
        <v>3</v>
      </c>
      <c r="C3643" s="23">
        <v>44918</v>
      </c>
      <c r="D3643" s="67">
        <f>IF(COUNTIF($G$2:$G3643,$G3643)=1,1,0)</f>
        <v>0</v>
      </c>
      <c r="E3643" s="67" t="str">
        <f>IFERROR(VLOOKUP(База_КР_КК[[#This Row],[ИД штатной должности (S)]],'уровень защищенности'!$B$7:$F$1095,5,0),"не защищена")</f>
        <v>низкий</v>
      </c>
      <c r="F3643" s="68">
        <v>500699</v>
      </c>
      <c r="G3643" s="74" t="s">
        <v>3034</v>
      </c>
      <c r="H3643" s="181">
        <f>INDEX('Списки данных'!$D$2:$D$1048576,MATCH(База_КР_КК[[#This Row],[Структурное подразделение]],'Списки данных'!$C$2:$C$1048576,0))</f>
        <v>60</v>
      </c>
      <c r="I3643" s="80" t="s">
        <v>149</v>
      </c>
      <c r="J3643" s="80" t="s">
        <v>252</v>
      </c>
      <c r="K3643" s="80" t="s">
        <v>253</v>
      </c>
      <c r="L3643" s="30" t="s">
        <v>187</v>
      </c>
      <c r="M3643" s="68">
        <v>6</v>
      </c>
      <c r="N3643" s="181" t="str">
        <f t="shared" si="57"/>
        <v>нет</v>
      </c>
      <c r="O3643" s="23"/>
      <c r="P3643" s="23"/>
      <c r="Q3643" s="106"/>
      <c r="R3643" s="37">
        <v>850</v>
      </c>
      <c r="S3643" s="39" t="s">
        <v>1259</v>
      </c>
      <c r="T3643" s="37">
        <v>1950</v>
      </c>
      <c r="U3643" s="38" t="s">
        <v>2030</v>
      </c>
      <c r="V3643" s="69" t="s">
        <v>189</v>
      </c>
      <c r="W3643" s="89" t="s">
        <v>149</v>
      </c>
      <c r="X3643" s="106" t="s">
        <v>296</v>
      </c>
      <c r="Y3643" s="107" t="s">
        <v>12</v>
      </c>
      <c r="Z3643" s="67">
        <f>IF(База_КР_КК[[#This Row],[Таб.номер резервиста]]="-","-",IF(OR(База_КР_КК[[#This Row],[Уровень КК]]=2,База_КР_КК[[#This Row],[Уровень КК]]=3),IF(COUNTIFS($U$2:$U3643,$U3643,$F$2:$F3643,$F3643)=1,1,0),IF(COUNTIFS($U$2:$U3643,$U3643,$L$2:$L3643,$L3643)=1,1,0)))</f>
        <v>1</v>
      </c>
      <c r="AA36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3" s="106"/>
      <c r="AC3643" s="51"/>
      <c r="AD3643" s="106" t="s">
        <v>15</v>
      </c>
      <c r="AE3643" s="38" t="s">
        <v>388</v>
      </c>
    </row>
    <row r="3644" spans="1:31" ht="18" customHeight="1" x14ac:dyDescent="0.25">
      <c r="A36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4" s="79">
        <v>3</v>
      </c>
      <c r="C3644" s="23">
        <v>44918</v>
      </c>
      <c r="D3644" s="67">
        <f>IF(COUNTIF($G$2:$G3644,$G3644)=1,1,0)</f>
        <v>0</v>
      </c>
      <c r="E3644" s="67" t="str">
        <f>IFERROR(VLOOKUP(База_КР_КК[[#This Row],[ИД штатной должности (S)]],'уровень защищенности'!$B$7:$F$1095,5,0),"не защищена")</f>
        <v>низкий</v>
      </c>
      <c r="F3644" s="68">
        <v>500699</v>
      </c>
      <c r="G3644" s="74" t="s">
        <v>3034</v>
      </c>
      <c r="H3644" s="181">
        <f>INDEX('Списки данных'!$D$2:$D$1048576,MATCH(База_КР_КК[[#This Row],[Структурное подразделение]],'Списки данных'!$C$2:$C$1048576,0))</f>
        <v>60</v>
      </c>
      <c r="I3644" s="80" t="s">
        <v>149</v>
      </c>
      <c r="J3644" s="80" t="s">
        <v>252</v>
      </c>
      <c r="K3644" s="80" t="s">
        <v>253</v>
      </c>
      <c r="L3644" s="30" t="s">
        <v>187</v>
      </c>
      <c r="M3644" s="68">
        <v>6</v>
      </c>
      <c r="N3644" s="181" t="str">
        <f t="shared" si="57"/>
        <v>нет</v>
      </c>
      <c r="O3644" s="23"/>
      <c r="P3644" s="23"/>
      <c r="Q3644" s="106"/>
      <c r="R3644" s="37">
        <v>850</v>
      </c>
      <c r="S3644" s="39" t="s">
        <v>1259</v>
      </c>
      <c r="T3644" s="37">
        <v>1943</v>
      </c>
      <c r="U3644" s="38" t="s">
        <v>2025</v>
      </c>
      <c r="V3644" s="69" t="s">
        <v>16</v>
      </c>
      <c r="W3644" s="89" t="s">
        <v>149</v>
      </c>
      <c r="X3644" s="106" t="s">
        <v>296</v>
      </c>
      <c r="Y3644" s="107" t="s">
        <v>12</v>
      </c>
      <c r="Z3644" s="67">
        <f>IF(База_КР_КК[[#This Row],[Таб.номер резервиста]]="-","-",IF(OR(База_КР_КК[[#This Row],[Уровень КК]]=2,База_КР_КК[[#This Row],[Уровень КК]]=3),IF(COUNTIFS($U$2:$U3644,$U3644,$F$2:$F3644,$F3644)=1,1,0),IF(COUNTIFS($U$2:$U3644,$U3644,$L$2:$L3644,$L3644)=1,1,0)))</f>
        <v>1</v>
      </c>
      <c r="AA36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4" s="106"/>
      <c r="AC3644" s="51"/>
      <c r="AD3644" s="106" t="s">
        <v>15</v>
      </c>
      <c r="AE3644" s="38" t="s">
        <v>388</v>
      </c>
    </row>
    <row r="3645" spans="1:31" ht="18" customHeight="1" x14ac:dyDescent="0.25">
      <c r="A36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5" s="79">
        <v>3</v>
      </c>
      <c r="C3645" s="23">
        <v>44918</v>
      </c>
      <c r="D3645" s="67">
        <f>IF(COUNTIF($G$2:$G3645,$G3645)=1,1,0)</f>
        <v>1</v>
      </c>
      <c r="E3645" s="67" t="str">
        <f>IFERROR(VLOOKUP(База_КР_КК[[#This Row],[ИД штатной должности (S)]],'уровень защищенности'!$B$7:$F$1095,5,0),"не защищена")</f>
        <v>низкий</v>
      </c>
      <c r="F3645" s="68">
        <v>500703</v>
      </c>
      <c r="G3645" s="74" t="s">
        <v>3035</v>
      </c>
      <c r="H3645" s="181">
        <f>INDEX('Списки данных'!$D$2:$D$1048576,MATCH(База_КР_КК[[#This Row],[Структурное подразделение]],'Списки данных'!$C$2:$C$1048576,0))</f>
        <v>60</v>
      </c>
      <c r="I3645" s="80" t="s">
        <v>149</v>
      </c>
      <c r="J3645" s="80" t="s">
        <v>252</v>
      </c>
      <c r="K3645" s="80" t="s">
        <v>21</v>
      </c>
      <c r="L3645" s="30" t="s">
        <v>183</v>
      </c>
      <c r="M3645" s="68">
        <v>5</v>
      </c>
      <c r="N3645" s="181" t="str">
        <f t="shared" ref="N3645:N3708" si="58">IF(ISBLANK(O3645),"нет","да")</f>
        <v>нет</v>
      </c>
      <c r="O3645" s="23"/>
      <c r="P3645" s="23"/>
      <c r="Q3645" s="106"/>
      <c r="R3645" s="37">
        <v>851</v>
      </c>
      <c r="S3645" s="39" t="s">
        <v>1260</v>
      </c>
      <c r="T3645" s="37">
        <v>1951</v>
      </c>
      <c r="U3645" s="38" t="s">
        <v>1970</v>
      </c>
      <c r="V3645" s="69" t="s">
        <v>194</v>
      </c>
      <c r="W3645" s="89" t="s">
        <v>149</v>
      </c>
      <c r="X3645" s="106" t="s">
        <v>296</v>
      </c>
      <c r="Y3645" s="107" t="s">
        <v>12</v>
      </c>
      <c r="Z3645" s="67">
        <f>IF(База_КР_КК[[#This Row],[Таб.номер резервиста]]="-","-",IF(OR(База_КР_КК[[#This Row],[Уровень КК]]=2,База_КР_КК[[#This Row],[Уровень КК]]=3),IF(COUNTIFS($U$2:$U3645,$U3645,$F$2:$F3645,$F3645)=1,1,0),IF(COUNTIFS($U$2:$U3645,$U3645,$L$2:$L3645,$L3645)=1,1,0)))</f>
        <v>1</v>
      </c>
      <c r="AA36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5" s="106"/>
      <c r="AC3645" s="51"/>
      <c r="AD3645" s="106" t="s">
        <v>15</v>
      </c>
      <c r="AE3645" s="38" t="s">
        <v>388</v>
      </c>
    </row>
    <row r="3646" spans="1:31" ht="18" customHeight="1" x14ac:dyDescent="0.25">
      <c r="A36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6" s="79">
        <v>3</v>
      </c>
      <c r="C3646" s="23">
        <v>44918</v>
      </c>
      <c r="D3646" s="67">
        <f>IF(COUNTIF($G$2:$G3646,$G3646)=1,1,0)</f>
        <v>1</v>
      </c>
      <c r="E3646" s="67" t="str">
        <f>IFERROR(VLOOKUP(База_КР_КК[[#This Row],[ИД штатной должности (S)]],'уровень защищенности'!$B$7:$F$1095,5,0),"не защищена")</f>
        <v>средний</v>
      </c>
      <c r="F3646" s="68">
        <v>500710</v>
      </c>
      <c r="G3646" s="74" t="s">
        <v>3036</v>
      </c>
      <c r="H3646" s="181">
        <f>INDEX('Списки данных'!$D$2:$D$1048576,MATCH(База_КР_КК[[#This Row],[Структурное подразделение]],'Списки данных'!$C$2:$C$1048576,0))</f>
        <v>60</v>
      </c>
      <c r="I3646" s="80" t="s">
        <v>149</v>
      </c>
      <c r="J3646" s="80" t="s">
        <v>252</v>
      </c>
      <c r="K3646" s="80" t="s">
        <v>253</v>
      </c>
      <c r="L3646" s="30" t="s">
        <v>187</v>
      </c>
      <c r="M3646" s="68">
        <v>6</v>
      </c>
      <c r="N3646" s="181" t="str">
        <f t="shared" si="58"/>
        <v>нет</v>
      </c>
      <c r="O3646" s="23"/>
      <c r="P3646" s="23"/>
      <c r="Q3646" s="106"/>
      <c r="R3646" s="37">
        <v>852</v>
      </c>
      <c r="S3646" s="39" t="s">
        <v>1261</v>
      </c>
      <c r="T3646" s="37">
        <v>1948</v>
      </c>
      <c r="U3646" s="38" t="s">
        <v>1934</v>
      </c>
      <c r="V3646" s="69" t="s">
        <v>189</v>
      </c>
      <c r="W3646" s="89" t="s">
        <v>149</v>
      </c>
      <c r="X3646" s="106" t="s">
        <v>297</v>
      </c>
      <c r="Y3646" s="107" t="s">
        <v>12</v>
      </c>
      <c r="Z3646" s="67">
        <f>IF(База_КР_КК[[#This Row],[Таб.номер резервиста]]="-","-",IF(OR(База_КР_КК[[#This Row],[Уровень КК]]=2,База_КР_КК[[#This Row],[Уровень КК]]=3),IF(COUNTIFS($U$2:$U3646,$U3646,$F$2:$F3646,$F3646)=1,1,0),IF(COUNTIFS($U$2:$U3646,$U3646,$L$2:$L3646,$L3646)=1,1,0)))</f>
        <v>1</v>
      </c>
      <c r="AA36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6" s="106"/>
      <c r="AC3646" s="51"/>
      <c r="AD3646" s="106" t="s">
        <v>15</v>
      </c>
      <c r="AE3646" s="38" t="s">
        <v>388</v>
      </c>
    </row>
    <row r="3647" spans="1:31" ht="18" customHeight="1" x14ac:dyDescent="0.25">
      <c r="A36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7" s="79">
        <v>3</v>
      </c>
      <c r="C3647" s="23">
        <v>44918</v>
      </c>
      <c r="D3647" s="67">
        <f>IF(COUNTIF($G$2:$G3647,$G3647)=1,1,0)</f>
        <v>0</v>
      </c>
      <c r="E3647" s="67" t="str">
        <f>IFERROR(VLOOKUP(База_КР_КК[[#This Row],[ИД штатной должности (S)]],'уровень защищенности'!$B$7:$F$1095,5,0),"не защищена")</f>
        <v>средний</v>
      </c>
      <c r="F3647" s="68">
        <v>500710</v>
      </c>
      <c r="G3647" s="74" t="s">
        <v>3036</v>
      </c>
      <c r="H3647" s="181">
        <f>INDEX('Списки данных'!$D$2:$D$1048576,MATCH(База_КР_КК[[#This Row],[Структурное подразделение]],'Списки данных'!$C$2:$C$1048576,0))</f>
        <v>60</v>
      </c>
      <c r="I3647" s="80" t="s">
        <v>149</v>
      </c>
      <c r="J3647" s="80" t="s">
        <v>252</v>
      </c>
      <c r="K3647" s="80" t="s">
        <v>253</v>
      </c>
      <c r="L3647" s="30" t="s">
        <v>187</v>
      </c>
      <c r="M3647" s="68">
        <v>6</v>
      </c>
      <c r="N3647" s="181" t="str">
        <f t="shared" si="58"/>
        <v>нет</v>
      </c>
      <c r="O3647" s="23"/>
      <c r="P3647" s="23"/>
      <c r="Q3647" s="106"/>
      <c r="R3647" s="37">
        <v>852</v>
      </c>
      <c r="S3647" s="39" t="s">
        <v>1261</v>
      </c>
      <c r="T3647" s="37">
        <v>1952</v>
      </c>
      <c r="U3647" s="38" t="s">
        <v>2103</v>
      </c>
      <c r="V3647" s="69" t="s">
        <v>16</v>
      </c>
      <c r="W3647" s="89" t="s">
        <v>149</v>
      </c>
      <c r="X3647" s="106" t="s">
        <v>296</v>
      </c>
      <c r="Y3647" s="107" t="s">
        <v>12</v>
      </c>
      <c r="Z3647" s="67">
        <f>IF(База_КР_КК[[#This Row],[Таб.номер резервиста]]="-","-",IF(OR(База_КР_КК[[#This Row],[Уровень КК]]=2,База_КР_КК[[#This Row],[Уровень КК]]=3),IF(COUNTIFS($U$2:$U3647,$U3647,$F$2:$F3647,$F3647)=1,1,0),IF(COUNTIFS($U$2:$U3647,$U3647,$L$2:$L3647,$L3647)=1,1,0)))</f>
        <v>1</v>
      </c>
      <c r="AA36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7" s="106"/>
      <c r="AC3647" s="51"/>
      <c r="AD3647" s="106" t="s">
        <v>15</v>
      </c>
      <c r="AE3647" s="38" t="s">
        <v>388</v>
      </c>
    </row>
    <row r="3648" spans="1:31" ht="18" customHeight="1" x14ac:dyDescent="0.25">
      <c r="A36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8" s="79">
        <v>3</v>
      </c>
      <c r="C3648" s="23">
        <v>44918</v>
      </c>
      <c r="D3648" s="67">
        <f>IF(COUNTIF($G$2:$G3648,$G3648)=1,1,0)</f>
        <v>1</v>
      </c>
      <c r="E3648" s="67" t="str">
        <f>IFERROR(VLOOKUP(База_КР_КК[[#This Row],[ИД штатной должности (S)]],'уровень защищенности'!$B$7:$F$1095,5,0),"не защищена")</f>
        <v>средний</v>
      </c>
      <c r="F3648" s="68">
        <v>500700</v>
      </c>
      <c r="G3648" s="74" t="s">
        <v>3037</v>
      </c>
      <c r="H3648" s="181">
        <f>INDEX('Списки данных'!$D$2:$D$1048576,MATCH(База_КР_КК[[#This Row],[Структурное подразделение]],'Списки данных'!$C$2:$C$1048576,0))</f>
        <v>60</v>
      </c>
      <c r="I3648" s="80" t="s">
        <v>149</v>
      </c>
      <c r="J3648" s="80" t="s">
        <v>252</v>
      </c>
      <c r="K3648" s="80" t="s">
        <v>21</v>
      </c>
      <c r="L3648" s="30" t="s">
        <v>183</v>
      </c>
      <c r="M3648" s="68">
        <v>5</v>
      </c>
      <c r="N3648" s="181" t="str">
        <f t="shared" si="58"/>
        <v>нет</v>
      </c>
      <c r="O3648" s="23"/>
      <c r="P3648" s="23"/>
      <c r="Q3648" s="106"/>
      <c r="R3648" s="37">
        <v>853</v>
      </c>
      <c r="S3648" s="39" t="s">
        <v>1262</v>
      </c>
      <c r="T3648" s="37">
        <v>850</v>
      </c>
      <c r="U3648" s="38" t="s">
        <v>1259</v>
      </c>
      <c r="V3648" s="89" t="s">
        <v>187</v>
      </c>
      <c r="W3648" s="89" t="s">
        <v>149</v>
      </c>
      <c r="X3648" s="106" t="s">
        <v>297</v>
      </c>
      <c r="Y3648" s="107" t="s">
        <v>12</v>
      </c>
      <c r="Z3648" s="67">
        <f>IF(База_КР_КК[[#This Row],[Таб.номер резервиста]]="-","-",IF(OR(База_КР_КК[[#This Row],[Уровень КК]]=2,База_КР_КК[[#This Row],[Уровень КК]]=3),IF(COUNTIFS($U$2:$U3648,$U3648,$F$2:$F3648,$F3648)=1,1,0),IF(COUNTIFS($U$2:$U3648,$U3648,$L$2:$L3648,$L3648)=1,1,0)))</f>
        <v>1</v>
      </c>
      <c r="AA36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8" s="106"/>
      <c r="AC3648" s="51"/>
      <c r="AD3648" s="106" t="s">
        <v>15</v>
      </c>
      <c r="AE3648" s="38" t="s">
        <v>388</v>
      </c>
    </row>
    <row r="3649" spans="1:31" ht="18" customHeight="1" x14ac:dyDescent="0.25">
      <c r="A36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49" s="79">
        <v>3</v>
      </c>
      <c r="C3649" s="23">
        <v>44918</v>
      </c>
      <c r="D3649" s="67">
        <f>IF(COUNTIF($G$2:$G3649,$G3649)=1,1,0)</f>
        <v>0</v>
      </c>
      <c r="E3649" s="67" t="str">
        <f>IFERROR(VLOOKUP(База_КР_КК[[#This Row],[ИД штатной должности (S)]],'уровень защищенности'!$B$7:$F$1095,5,0),"не защищена")</f>
        <v>средний</v>
      </c>
      <c r="F3649" s="68">
        <v>500700</v>
      </c>
      <c r="G3649" s="74" t="s">
        <v>3037</v>
      </c>
      <c r="H3649" s="181">
        <f>INDEX('Списки данных'!$D$2:$D$1048576,MATCH(База_КР_КК[[#This Row],[Структурное подразделение]],'Списки данных'!$C$2:$C$1048576,0))</f>
        <v>60</v>
      </c>
      <c r="I3649" s="80" t="s">
        <v>149</v>
      </c>
      <c r="J3649" s="80" t="s">
        <v>252</v>
      </c>
      <c r="K3649" s="80" t="s">
        <v>21</v>
      </c>
      <c r="L3649" s="30" t="s">
        <v>183</v>
      </c>
      <c r="M3649" s="68">
        <v>5</v>
      </c>
      <c r="N3649" s="181" t="str">
        <f t="shared" si="58"/>
        <v>нет</v>
      </c>
      <c r="O3649" s="23"/>
      <c r="P3649" s="23"/>
      <c r="Q3649" s="106"/>
      <c r="R3649" s="37">
        <v>853</v>
      </c>
      <c r="S3649" s="39" t="s">
        <v>1262</v>
      </c>
      <c r="T3649" s="37">
        <v>856</v>
      </c>
      <c r="U3649" s="38" t="s">
        <v>1265</v>
      </c>
      <c r="V3649" s="69" t="s">
        <v>198</v>
      </c>
      <c r="W3649" s="89" t="s">
        <v>149</v>
      </c>
      <c r="X3649" s="106" t="s">
        <v>296</v>
      </c>
      <c r="Y3649" s="107" t="s">
        <v>12</v>
      </c>
      <c r="Z3649" s="67">
        <f>IF(База_КР_КК[[#This Row],[Таб.номер резервиста]]="-","-",IF(OR(База_КР_КК[[#This Row],[Уровень КК]]=2,База_КР_КК[[#This Row],[Уровень КК]]=3),IF(COUNTIFS($U$2:$U3649,$U3649,$F$2:$F3649,$F3649)=1,1,0),IF(COUNTIFS($U$2:$U3649,$U3649,$L$2:$L3649,$L3649)=1,1,0)))</f>
        <v>1</v>
      </c>
      <c r="AA36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49" s="106"/>
      <c r="AC3649" s="51"/>
      <c r="AD3649" s="106" t="s">
        <v>15</v>
      </c>
      <c r="AE3649" s="38" t="s">
        <v>388</v>
      </c>
    </row>
    <row r="3650" spans="1:31" ht="18" customHeight="1" x14ac:dyDescent="0.25">
      <c r="A36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0" s="79">
        <v>3</v>
      </c>
      <c r="C3650" s="23">
        <v>44918</v>
      </c>
      <c r="D3650" s="67">
        <f>IF(COUNTIF($G$2:$G3650,$G3650)=1,1,0)</f>
        <v>1</v>
      </c>
      <c r="E3650" s="67" t="str">
        <f>IFERROR(VLOOKUP(База_КР_КК[[#This Row],[ИД штатной должности (S)]],'уровень защищенности'!$B$7:$F$1095,5,0),"не защищена")</f>
        <v>высокий</v>
      </c>
      <c r="F3650" s="68">
        <v>500702</v>
      </c>
      <c r="G3650" s="74" t="s">
        <v>3038</v>
      </c>
      <c r="H3650" s="181">
        <f>INDEX('Списки данных'!$D$2:$D$1048576,MATCH(База_КР_КК[[#This Row],[Структурное подразделение]],'Списки данных'!$C$2:$C$1048576,0))</f>
        <v>60</v>
      </c>
      <c r="I3650" s="80" t="s">
        <v>149</v>
      </c>
      <c r="J3650" s="80" t="s">
        <v>252</v>
      </c>
      <c r="K3650" s="80" t="s">
        <v>253</v>
      </c>
      <c r="L3650" s="30" t="s">
        <v>198</v>
      </c>
      <c r="M3650" s="68">
        <v>6</v>
      </c>
      <c r="N3650" s="181" t="str">
        <f t="shared" si="58"/>
        <v>нет</v>
      </c>
      <c r="O3650" s="23"/>
      <c r="P3650" s="23"/>
      <c r="Q3650" s="106"/>
      <c r="R3650" s="37">
        <v>854</v>
      </c>
      <c r="S3650" s="39" t="s">
        <v>1263</v>
      </c>
      <c r="T3650" s="37">
        <v>1953</v>
      </c>
      <c r="U3650" s="38" t="s">
        <v>1956</v>
      </c>
      <c r="V3650" s="69" t="s">
        <v>192</v>
      </c>
      <c r="W3650" s="89" t="s">
        <v>149</v>
      </c>
      <c r="X3650" s="106" t="s">
        <v>295</v>
      </c>
      <c r="Y3650" s="107" t="s">
        <v>12</v>
      </c>
      <c r="Z3650" s="67">
        <f>IF(База_КР_КК[[#This Row],[Таб.номер резервиста]]="-","-",IF(OR(База_КР_КК[[#This Row],[Уровень КК]]=2,База_КР_КК[[#This Row],[Уровень КК]]=3),IF(COUNTIFS($U$2:$U3650,$U3650,$F$2:$F3650,$F3650)=1,1,0),IF(COUNTIFS($U$2:$U3650,$U3650,$L$2:$L3650,$L3650)=1,1,0)))</f>
        <v>1</v>
      </c>
      <c r="AA36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0" s="106"/>
      <c r="AC3650" s="51"/>
      <c r="AD3650" s="106" t="s">
        <v>15</v>
      </c>
      <c r="AE3650" s="38" t="s">
        <v>388</v>
      </c>
    </row>
    <row r="3651" spans="1:31" ht="18" customHeight="1" x14ac:dyDescent="0.25">
      <c r="A36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1" s="79">
        <v>3</v>
      </c>
      <c r="C3651" s="23">
        <v>44918</v>
      </c>
      <c r="D3651" s="67">
        <f>IF(COUNTIF($G$2:$G3651,$G3651)=1,1,0)</f>
        <v>0</v>
      </c>
      <c r="E3651" s="67" t="str">
        <f>IFERROR(VLOOKUP(База_КР_КК[[#This Row],[ИД штатной должности (S)]],'уровень защищенности'!$B$7:$F$1095,5,0),"не защищена")</f>
        <v>высокий</v>
      </c>
      <c r="F3651" s="68">
        <v>500702</v>
      </c>
      <c r="G3651" s="74" t="s">
        <v>3038</v>
      </c>
      <c r="H3651" s="181">
        <f>INDEX('Списки данных'!$D$2:$D$1048576,MATCH(База_КР_КК[[#This Row],[Структурное подразделение]],'Списки данных'!$C$2:$C$1048576,0))</f>
        <v>60</v>
      </c>
      <c r="I3651" s="80" t="s">
        <v>149</v>
      </c>
      <c r="J3651" s="80" t="s">
        <v>252</v>
      </c>
      <c r="K3651" s="80" t="s">
        <v>253</v>
      </c>
      <c r="L3651" s="30" t="s">
        <v>198</v>
      </c>
      <c r="M3651" s="68">
        <v>6</v>
      </c>
      <c r="N3651" s="181" t="str">
        <f t="shared" si="58"/>
        <v>нет</v>
      </c>
      <c r="O3651" s="23"/>
      <c r="P3651" s="23"/>
      <c r="Q3651" s="106"/>
      <c r="R3651" s="37">
        <v>854</v>
      </c>
      <c r="S3651" s="39" t="s">
        <v>1263</v>
      </c>
      <c r="T3651" s="37">
        <v>1949</v>
      </c>
      <c r="U3651" s="38" t="s">
        <v>1903</v>
      </c>
      <c r="V3651" s="69" t="s">
        <v>189</v>
      </c>
      <c r="W3651" s="89" t="s">
        <v>149</v>
      </c>
      <c r="X3651" s="106" t="s">
        <v>296</v>
      </c>
      <c r="Y3651" s="107" t="s">
        <v>12</v>
      </c>
      <c r="Z3651" s="67">
        <f>IF(База_КР_КК[[#This Row],[Таб.номер резервиста]]="-","-",IF(OR(База_КР_КК[[#This Row],[Уровень КК]]=2,База_КР_КК[[#This Row],[Уровень КК]]=3),IF(COUNTIFS($U$2:$U3651,$U3651,$F$2:$F3651,$F3651)=1,1,0),IF(COUNTIFS($U$2:$U3651,$U3651,$L$2:$L3651,$L3651)=1,1,0)))</f>
        <v>1</v>
      </c>
      <c r="AA36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1" s="106"/>
      <c r="AC3651" s="51"/>
      <c r="AD3651" s="106" t="s">
        <v>15</v>
      </c>
      <c r="AE3651" s="38" t="s">
        <v>388</v>
      </c>
    </row>
    <row r="3652" spans="1:31" ht="18" customHeight="1" x14ac:dyDescent="0.25">
      <c r="A36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2" s="79">
        <v>3</v>
      </c>
      <c r="C3652" s="23">
        <v>44918</v>
      </c>
      <c r="D3652" s="67">
        <f>IF(COUNTIF($G$2:$G3652,$G3652)=1,1,0)</f>
        <v>0</v>
      </c>
      <c r="E3652" s="67" t="str">
        <f>IFERROR(VLOOKUP(База_КР_КК[[#This Row],[ИД штатной должности (S)]],'уровень защищенности'!$B$7:$F$1095,5,0),"не защищена")</f>
        <v>высокий</v>
      </c>
      <c r="F3652" s="68">
        <v>500702</v>
      </c>
      <c r="G3652" s="74" t="s">
        <v>3038</v>
      </c>
      <c r="H3652" s="181">
        <f>INDEX('Списки данных'!$D$2:$D$1048576,MATCH(База_КР_КК[[#This Row],[Структурное подразделение]],'Списки данных'!$C$2:$C$1048576,0))</f>
        <v>60</v>
      </c>
      <c r="I3652" s="80" t="s">
        <v>149</v>
      </c>
      <c r="J3652" s="80" t="s">
        <v>252</v>
      </c>
      <c r="K3652" s="80" t="s">
        <v>253</v>
      </c>
      <c r="L3652" s="30" t="s">
        <v>198</v>
      </c>
      <c r="M3652" s="68">
        <v>6</v>
      </c>
      <c r="N3652" s="181" t="str">
        <f t="shared" si="58"/>
        <v>нет</v>
      </c>
      <c r="O3652" s="23"/>
      <c r="P3652" s="23"/>
      <c r="Q3652" s="106"/>
      <c r="R3652" s="37">
        <v>854</v>
      </c>
      <c r="S3652" s="39" t="s">
        <v>1263</v>
      </c>
      <c r="T3652" s="37">
        <v>1954</v>
      </c>
      <c r="U3652" s="38" t="s">
        <v>2108</v>
      </c>
      <c r="V3652" s="69" t="s">
        <v>272</v>
      </c>
      <c r="W3652" s="89" t="s">
        <v>149</v>
      </c>
      <c r="X3652" s="106" t="s">
        <v>296</v>
      </c>
      <c r="Y3652" s="107" t="s">
        <v>18</v>
      </c>
      <c r="Z3652" s="67">
        <f>IF(База_КР_КК[[#This Row],[Таб.номер резервиста]]="-","-",IF(OR(База_КР_КК[[#This Row],[Уровень КК]]=2,База_КР_КК[[#This Row],[Уровень КК]]=3),IF(COUNTIFS($U$2:$U3652,$U3652,$F$2:$F3652,$F3652)=1,1,0),IF(COUNTIFS($U$2:$U3652,$U3652,$L$2:$L3652,$L3652)=1,1,0)))</f>
        <v>1</v>
      </c>
      <c r="AA36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2" s="106" t="s">
        <v>45</v>
      </c>
      <c r="AC3652" s="51">
        <v>44986</v>
      </c>
      <c r="AD3652" s="106" t="s">
        <v>15</v>
      </c>
      <c r="AE3652" s="38" t="s">
        <v>388</v>
      </c>
    </row>
    <row r="3653" spans="1:31" ht="18" customHeight="1" x14ac:dyDescent="0.25">
      <c r="A36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3" s="79">
        <v>3</v>
      </c>
      <c r="C3653" s="23">
        <v>44918</v>
      </c>
      <c r="D3653" s="67">
        <f>IF(COUNTIF($G$2:$G3653,$G3653)=1,1,0)</f>
        <v>1</v>
      </c>
      <c r="E3653" s="67" t="str">
        <f>IFERROR(VLOOKUP(База_КР_КК[[#This Row],[ИД штатной должности (S)]],'уровень защищенности'!$B$7:$F$1095,5,0),"не защищена")</f>
        <v>низкий</v>
      </c>
      <c r="F3653" s="68">
        <v>500704</v>
      </c>
      <c r="G3653" s="74" t="s">
        <v>3039</v>
      </c>
      <c r="H3653" s="181">
        <f>INDEX('Списки данных'!$D$2:$D$1048576,MATCH(База_КР_КК[[#This Row],[Структурное подразделение]],'Списки данных'!$C$2:$C$1048576,0))</f>
        <v>60</v>
      </c>
      <c r="I3653" s="80" t="s">
        <v>149</v>
      </c>
      <c r="J3653" s="80" t="s">
        <v>252</v>
      </c>
      <c r="K3653" s="80" t="s">
        <v>253</v>
      </c>
      <c r="L3653" s="30" t="s">
        <v>198</v>
      </c>
      <c r="M3653" s="68">
        <v>6</v>
      </c>
      <c r="N3653" s="181" t="str">
        <f t="shared" si="58"/>
        <v>нет</v>
      </c>
      <c r="O3653" s="23"/>
      <c r="P3653" s="23"/>
      <c r="Q3653" s="106"/>
      <c r="R3653" s="37">
        <v>855</v>
      </c>
      <c r="S3653" s="39" t="s">
        <v>1264</v>
      </c>
      <c r="T3653" s="37">
        <v>1955</v>
      </c>
      <c r="U3653" s="38" t="s">
        <v>2109</v>
      </c>
      <c r="V3653" s="69" t="s">
        <v>192</v>
      </c>
      <c r="W3653" s="89" t="s">
        <v>149</v>
      </c>
      <c r="X3653" s="106" t="s">
        <v>296</v>
      </c>
      <c r="Y3653" s="107" t="s">
        <v>12</v>
      </c>
      <c r="Z3653" s="67">
        <f>IF(База_КР_КК[[#This Row],[Таб.номер резервиста]]="-","-",IF(OR(База_КР_КК[[#This Row],[Уровень КК]]=2,База_КР_КК[[#This Row],[Уровень КК]]=3),IF(COUNTIFS($U$2:$U3653,$U3653,$F$2:$F3653,$F3653)=1,1,0),IF(COUNTIFS($U$2:$U3653,$U3653,$L$2:$L3653,$L3653)=1,1,0)))</f>
        <v>1</v>
      </c>
      <c r="AA36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3" s="106"/>
      <c r="AC3653" s="51"/>
      <c r="AD3653" s="106" t="s">
        <v>15</v>
      </c>
      <c r="AE3653" s="38" t="s">
        <v>388</v>
      </c>
    </row>
    <row r="3654" spans="1:31" ht="18" customHeight="1" x14ac:dyDescent="0.25">
      <c r="A36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4" s="79">
        <v>3</v>
      </c>
      <c r="C3654" s="23">
        <v>44918</v>
      </c>
      <c r="D3654" s="67">
        <f>IF(COUNTIF($G$2:$G3654,$G3654)=1,1,0)</f>
        <v>0</v>
      </c>
      <c r="E3654" s="67" t="str">
        <f>IFERROR(VLOOKUP(База_КР_КК[[#This Row],[ИД штатной должности (S)]],'уровень защищенности'!$B$7:$F$1095,5,0),"не защищена")</f>
        <v>низкий</v>
      </c>
      <c r="F3654" s="68">
        <v>500704</v>
      </c>
      <c r="G3654" s="74" t="s">
        <v>3039</v>
      </c>
      <c r="H3654" s="181">
        <f>INDEX('Списки данных'!$D$2:$D$1048576,MATCH(База_КР_КК[[#This Row],[Структурное подразделение]],'Списки данных'!$C$2:$C$1048576,0))</f>
        <v>60</v>
      </c>
      <c r="I3654" s="80" t="s">
        <v>149</v>
      </c>
      <c r="J3654" s="80" t="s">
        <v>252</v>
      </c>
      <c r="K3654" s="80" t="s">
        <v>253</v>
      </c>
      <c r="L3654" s="30" t="s">
        <v>198</v>
      </c>
      <c r="M3654" s="68">
        <v>6</v>
      </c>
      <c r="N3654" s="181" t="str">
        <f t="shared" si="58"/>
        <v>нет</v>
      </c>
      <c r="O3654" s="23"/>
      <c r="P3654" s="23"/>
      <c r="Q3654" s="106"/>
      <c r="R3654" s="37">
        <v>855</v>
      </c>
      <c r="S3654" s="39" t="s">
        <v>1264</v>
      </c>
      <c r="T3654" s="37">
        <v>1956</v>
      </c>
      <c r="U3654" s="38" t="s">
        <v>2106</v>
      </c>
      <c r="V3654" s="69" t="s">
        <v>192</v>
      </c>
      <c r="W3654" s="89" t="s">
        <v>149</v>
      </c>
      <c r="X3654" s="106" t="s">
        <v>296</v>
      </c>
      <c r="Y3654" s="107" t="s">
        <v>12</v>
      </c>
      <c r="Z3654" s="67">
        <f>IF(База_КР_КК[[#This Row],[Таб.номер резервиста]]="-","-",IF(OR(База_КР_КК[[#This Row],[Уровень КК]]=2,База_КР_КК[[#This Row],[Уровень КК]]=3),IF(COUNTIFS($U$2:$U3654,$U3654,$F$2:$F3654,$F3654)=1,1,0),IF(COUNTIFS($U$2:$U3654,$U3654,$L$2:$L3654,$L3654)=1,1,0)))</f>
        <v>1</v>
      </c>
      <c r="AA36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4" s="106"/>
      <c r="AC3654" s="51"/>
      <c r="AD3654" s="106" t="s">
        <v>15</v>
      </c>
      <c r="AE3654" s="38" t="s">
        <v>388</v>
      </c>
    </row>
    <row r="3655" spans="1:31" ht="18" customHeight="1" x14ac:dyDescent="0.25">
      <c r="A36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5" s="79">
        <v>3</v>
      </c>
      <c r="C3655" s="23">
        <v>44918</v>
      </c>
      <c r="D3655" s="67">
        <f>IF(COUNTIF($G$2:$G3655,$G3655)=1,1,0)</f>
        <v>1</v>
      </c>
      <c r="E3655" s="67" t="str">
        <f>IFERROR(VLOOKUP(База_КР_КК[[#This Row],[ИД штатной должности (S)]],'уровень защищенности'!$B$7:$F$1095,5,0),"не защищена")</f>
        <v>высокий</v>
      </c>
      <c r="F3655" s="68">
        <v>500705</v>
      </c>
      <c r="G3655" s="74" t="s">
        <v>3040</v>
      </c>
      <c r="H3655" s="181">
        <f>INDEX('Списки данных'!$D$2:$D$1048576,MATCH(База_КР_КК[[#This Row],[Структурное подразделение]],'Списки данных'!$C$2:$C$1048576,0))</f>
        <v>60</v>
      </c>
      <c r="I3655" s="80" t="s">
        <v>149</v>
      </c>
      <c r="J3655" s="80" t="s">
        <v>252</v>
      </c>
      <c r="K3655" s="80" t="s">
        <v>253</v>
      </c>
      <c r="L3655" s="30" t="s">
        <v>198</v>
      </c>
      <c r="M3655" s="68">
        <v>6</v>
      </c>
      <c r="N3655" s="181" t="str">
        <f t="shared" si="58"/>
        <v>нет</v>
      </c>
      <c r="O3655" s="23"/>
      <c r="P3655" s="23"/>
      <c r="Q3655" s="106"/>
      <c r="R3655" s="37">
        <v>856</v>
      </c>
      <c r="S3655" s="39" t="s">
        <v>1265</v>
      </c>
      <c r="T3655" s="37">
        <v>1957</v>
      </c>
      <c r="U3655" s="38" t="s">
        <v>2090</v>
      </c>
      <c r="V3655" s="69" t="s">
        <v>189</v>
      </c>
      <c r="W3655" s="89" t="s">
        <v>149</v>
      </c>
      <c r="X3655" s="106" t="s">
        <v>295</v>
      </c>
      <c r="Y3655" s="107" t="s">
        <v>12</v>
      </c>
      <c r="Z3655" s="67">
        <f>IF(База_КР_КК[[#This Row],[Таб.номер резервиста]]="-","-",IF(OR(База_КР_КК[[#This Row],[Уровень КК]]=2,База_КР_КК[[#This Row],[Уровень КК]]=3),IF(COUNTIFS($U$2:$U3655,$U3655,$F$2:$F3655,$F3655)=1,1,0),IF(COUNTIFS($U$2:$U3655,$U3655,$L$2:$L3655,$L3655)=1,1,0)))</f>
        <v>1</v>
      </c>
      <c r="AA36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5" s="106"/>
      <c r="AC3655" s="51"/>
      <c r="AD3655" s="106" t="s">
        <v>15</v>
      </c>
      <c r="AE3655" s="38" t="s">
        <v>388</v>
      </c>
    </row>
    <row r="3656" spans="1:31" ht="18" customHeight="1" x14ac:dyDescent="0.25">
      <c r="A36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6" s="79">
        <v>3</v>
      </c>
      <c r="C3656" s="23">
        <v>44918</v>
      </c>
      <c r="D3656" s="67">
        <f>IF(COUNTIF($G$2:$G3656,$G3656)=1,1,0)</f>
        <v>1</v>
      </c>
      <c r="E3656" s="67" t="str">
        <f>IFERROR(VLOOKUP(База_КР_КК[[#This Row],[ИД штатной должности (S)]],'уровень защищенности'!$B$7:$F$1095,5,0),"не защищена")</f>
        <v>средний</v>
      </c>
      <c r="F3656" s="68">
        <v>500706</v>
      </c>
      <c r="G3656" s="74" t="s">
        <v>3041</v>
      </c>
      <c r="H3656" s="181">
        <f>INDEX('Списки данных'!$D$2:$D$1048576,MATCH(База_КР_КК[[#This Row],[Структурное подразделение]],'Списки данных'!$C$2:$C$1048576,0))</f>
        <v>60</v>
      </c>
      <c r="I3656" s="80" t="s">
        <v>149</v>
      </c>
      <c r="J3656" s="80" t="s">
        <v>252</v>
      </c>
      <c r="K3656" s="80" t="s">
        <v>253</v>
      </c>
      <c r="L3656" s="30" t="s">
        <v>198</v>
      </c>
      <c r="M3656" s="68">
        <v>6</v>
      </c>
      <c r="N3656" s="181" t="str">
        <f t="shared" si="58"/>
        <v>нет</v>
      </c>
      <c r="O3656" s="23"/>
      <c r="P3656" s="23"/>
      <c r="Q3656" s="106"/>
      <c r="R3656" s="37">
        <v>857</v>
      </c>
      <c r="S3656" s="39" t="s">
        <v>1266</v>
      </c>
      <c r="T3656" s="37">
        <v>1958</v>
      </c>
      <c r="U3656" s="38" t="s">
        <v>2110</v>
      </c>
      <c r="V3656" s="69" t="s">
        <v>192</v>
      </c>
      <c r="W3656" s="89" t="s">
        <v>149</v>
      </c>
      <c r="X3656" s="106" t="s">
        <v>297</v>
      </c>
      <c r="Y3656" s="107" t="s">
        <v>12</v>
      </c>
      <c r="Z3656" s="67">
        <f>IF(База_КР_КК[[#This Row],[Таб.номер резервиста]]="-","-",IF(OR(База_КР_КК[[#This Row],[Уровень КК]]=2,База_КР_КК[[#This Row],[Уровень КК]]=3),IF(COUNTIFS($U$2:$U3656,$U3656,$F$2:$F3656,$F3656)=1,1,0),IF(COUNTIFS($U$2:$U3656,$U3656,$L$2:$L3656,$L3656)=1,1,0)))</f>
        <v>1</v>
      </c>
      <c r="AA36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6" s="106"/>
      <c r="AC3656" s="51"/>
      <c r="AD3656" s="106" t="s">
        <v>15</v>
      </c>
      <c r="AE3656" s="38" t="s">
        <v>388</v>
      </c>
    </row>
    <row r="3657" spans="1:31" ht="18" customHeight="1" x14ac:dyDescent="0.25">
      <c r="A36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7" s="79">
        <v>3</v>
      </c>
      <c r="C3657" s="23">
        <v>44918</v>
      </c>
      <c r="D3657" s="67">
        <f>IF(COUNTIF($G$2:$G3657,$G3657)=1,1,0)</f>
        <v>1</v>
      </c>
      <c r="E3657" s="67" t="str">
        <f>IFERROR(VLOOKUP(База_КР_КК[[#This Row],[ИД штатной должности (S)]],'уровень защищенности'!$B$7:$F$1095,5,0),"не защищена")</f>
        <v>средний</v>
      </c>
      <c r="F3657" s="68">
        <v>500707</v>
      </c>
      <c r="G3657" s="74" t="s">
        <v>3042</v>
      </c>
      <c r="H3657" s="181">
        <f>INDEX('Списки данных'!$D$2:$D$1048576,MATCH(База_КР_КК[[#This Row],[Структурное подразделение]],'Списки данных'!$C$2:$C$1048576,0))</f>
        <v>60</v>
      </c>
      <c r="I3657" s="80" t="s">
        <v>149</v>
      </c>
      <c r="J3657" s="80" t="s">
        <v>252</v>
      </c>
      <c r="K3657" s="80" t="s">
        <v>253</v>
      </c>
      <c r="L3657" s="30" t="s">
        <v>198</v>
      </c>
      <c r="M3657" s="68">
        <v>6</v>
      </c>
      <c r="N3657" s="181" t="str">
        <f t="shared" si="58"/>
        <v>нет</v>
      </c>
      <c r="O3657" s="23"/>
      <c r="P3657" s="23"/>
      <c r="Q3657" s="106"/>
      <c r="R3657" s="37">
        <v>858</v>
      </c>
      <c r="S3657" s="39" t="s">
        <v>1267</v>
      </c>
      <c r="T3657" s="37">
        <v>1959</v>
      </c>
      <c r="U3657" s="38" t="s">
        <v>2111</v>
      </c>
      <c r="V3657" s="69" t="s">
        <v>192</v>
      </c>
      <c r="W3657" s="89" t="s">
        <v>149</v>
      </c>
      <c r="X3657" s="106" t="s">
        <v>297</v>
      </c>
      <c r="Y3657" s="107" t="s">
        <v>12</v>
      </c>
      <c r="Z3657" s="67">
        <f>IF(База_КР_КК[[#This Row],[Таб.номер резервиста]]="-","-",IF(OR(База_КР_КК[[#This Row],[Уровень КК]]=2,База_КР_КК[[#This Row],[Уровень КК]]=3),IF(COUNTIFS($U$2:$U3657,$U3657,$F$2:$F3657,$F3657)=1,1,0),IF(COUNTIFS($U$2:$U3657,$U3657,$L$2:$L3657,$L3657)=1,1,0)))</f>
        <v>1</v>
      </c>
      <c r="AA36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7" s="106"/>
      <c r="AC3657" s="51"/>
      <c r="AD3657" s="106" t="s">
        <v>15</v>
      </c>
      <c r="AE3657" s="38" t="s">
        <v>388</v>
      </c>
    </row>
    <row r="3658" spans="1:31" ht="18" customHeight="1" x14ac:dyDescent="0.25">
      <c r="A36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8" s="79">
        <v>3</v>
      </c>
      <c r="C3658" s="23">
        <v>44918</v>
      </c>
      <c r="D3658" s="67">
        <f>IF(COUNTIF($G$2:$G3658,$G3658)=1,1,0)</f>
        <v>0</v>
      </c>
      <c r="E3658" s="67" t="str">
        <f>IFERROR(VLOOKUP(База_КР_КК[[#This Row],[ИД штатной должности (S)]],'уровень защищенности'!$B$7:$F$1095,5,0),"не защищена")</f>
        <v>средний</v>
      </c>
      <c r="F3658" s="68">
        <v>500707</v>
      </c>
      <c r="G3658" s="74" t="s">
        <v>3042</v>
      </c>
      <c r="H3658" s="181">
        <f>INDEX('Списки данных'!$D$2:$D$1048576,MATCH(База_КР_КК[[#This Row],[Структурное подразделение]],'Списки данных'!$C$2:$C$1048576,0))</f>
        <v>60</v>
      </c>
      <c r="I3658" s="80" t="s">
        <v>149</v>
      </c>
      <c r="J3658" s="80" t="s">
        <v>252</v>
      </c>
      <c r="K3658" s="80" t="s">
        <v>253</v>
      </c>
      <c r="L3658" s="30" t="s">
        <v>198</v>
      </c>
      <c r="M3658" s="68">
        <v>6</v>
      </c>
      <c r="N3658" s="181" t="str">
        <f t="shared" si="58"/>
        <v>нет</v>
      </c>
      <c r="O3658" s="23"/>
      <c r="P3658" s="23"/>
      <c r="Q3658" s="106"/>
      <c r="R3658" s="37">
        <v>858</v>
      </c>
      <c r="S3658" s="39" t="s">
        <v>1267</v>
      </c>
      <c r="T3658" s="37">
        <v>1960</v>
      </c>
      <c r="U3658" s="38" t="s">
        <v>2040</v>
      </c>
      <c r="V3658" s="69" t="s">
        <v>192</v>
      </c>
      <c r="W3658" s="89" t="s">
        <v>149</v>
      </c>
      <c r="X3658" s="106" t="s">
        <v>296</v>
      </c>
      <c r="Y3658" s="107" t="s">
        <v>12</v>
      </c>
      <c r="Z3658" s="67">
        <f>IF(База_КР_КК[[#This Row],[Таб.номер резервиста]]="-","-",IF(OR(База_КР_КК[[#This Row],[Уровень КК]]=2,База_КР_КК[[#This Row],[Уровень КК]]=3),IF(COUNTIFS($U$2:$U3658,$U3658,$F$2:$F3658,$F3658)=1,1,0),IF(COUNTIFS($U$2:$U3658,$U3658,$L$2:$L3658,$L3658)=1,1,0)))</f>
        <v>1</v>
      </c>
      <c r="AA36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8" s="106"/>
      <c r="AC3658" s="51"/>
      <c r="AD3658" s="106" t="s">
        <v>15</v>
      </c>
      <c r="AE3658" s="38" t="s">
        <v>388</v>
      </c>
    </row>
    <row r="3659" spans="1:31" ht="18" customHeight="1" x14ac:dyDescent="0.25">
      <c r="A36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59" s="79">
        <v>3</v>
      </c>
      <c r="C3659" s="23">
        <v>44918</v>
      </c>
      <c r="D3659" s="67">
        <f>IF(COUNTIF($G$2:$G3659,$G3659)=1,1,0)</f>
        <v>1</v>
      </c>
      <c r="E3659" s="67" t="str">
        <f>IFERROR(VLOOKUP(База_КР_КК[[#This Row],[ИД штатной должности (S)]],'уровень защищенности'!$B$7:$F$1095,5,0),"не защищена")</f>
        <v>высокий</v>
      </c>
      <c r="F3659" s="68">
        <v>500708</v>
      </c>
      <c r="G3659" s="74" t="s">
        <v>3043</v>
      </c>
      <c r="H3659" s="181">
        <f>INDEX('Списки данных'!$D$2:$D$1048576,MATCH(База_КР_КК[[#This Row],[Структурное подразделение]],'Списки данных'!$C$2:$C$1048576,0))</f>
        <v>60</v>
      </c>
      <c r="I3659" s="80" t="s">
        <v>149</v>
      </c>
      <c r="J3659" s="80" t="s">
        <v>252</v>
      </c>
      <c r="K3659" s="80" t="s">
        <v>253</v>
      </c>
      <c r="L3659" s="30" t="s">
        <v>198</v>
      </c>
      <c r="M3659" s="68">
        <v>6</v>
      </c>
      <c r="N3659" s="181" t="str">
        <f t="shared" si="58"/>
        <v>нет</v>
      </c>
      <c r="O3659" s="23"/>
      <c r="P3659" s="23"/>
      <c r="Q3659" s="106"/>
      <c r="R3659" s="37">
        <v>859</v>
      </c>
      <c r="S3659" s="39" t="s">
        <v>1268</v>
      </c>
      <c r="T3659" s="37">
        <v>1961</v>
      </c>
      <c r="U3659" s="38" t="s">
        <v>2100</v>
      </c>
      <c r="V3659" s="69" t="s">
        <v>189</v>
      </c>
      <c r="W3659" s="89" t="s">
        <v>149</v>
      </c>
      <c r="X3659" s="106" t="s">
        <v>295</v>
      </c>
      <c r="Y3659" s="107" t="s">
        <v>12</v>
      </c>
      <c r="Z3659" s="67">
        <f>IF(База_КР_КК[[#This Row],[Таб.номер резервиста]]="-","-",IF(OR(База_КР_КК[[#This Row],[Уровень КК]]=2,База_КР_КК[[#This Row],[Уровень КК]]=3),IF(COUNTIFS($U$2:$U3659,$U3659,$F$2:$F3659,$F3659)=1,1,0),IF(COUNTIFS($U$2:$U3659,$U3659,$L$2:$L3659,$L3659)=1,1,0)))</f>
        <v>1</v>
      </c>
      <c r="AA36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59" s="106"/>
      <c r="AC3659" s="51"/>
      <c r="AD3659" s="106" t="s">
        <v>15</v>
      </c>
      <c r="AE3659" s="38" t="s">
        <v>388</v>
      </c>
    </row>
    <row r="3660" spans="1:31" ht="18" customHeight="1" x14ac:dyDescent="0.25">
      <c r="A36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60" s="79">
        <v>3</v>
      </c>
      <c r="C3660" s="23">
        <v>44918</v>
      </c>
      <c r="D3660" s="67">
        <f>IF(COUNTIF($G$2:$G3660,$G3660)=1,1,0)</f>
        <v>0</v>
      </c>
      <c r="E3660" s="67" t="str">
        <f>IFERROR(VLOOKUP(База_КР_КК[[#This Row],[ИД штатной должности (S)]],'уровень защищенности'!$B$7:$F$1095,5,0),"не защищена")</f>
        <v>высокий</v>
      </c>
      <c r="F3660" s="68">
        <v>500708</v>
      </c>
      <c r="G3660" s="74" t="s">
        <v>3043</v>
      </c>
      <c r="H3660" s="181">
        <f>INDEX('Списки данных'!$D$2:$D$1048576,MATCH(База_КР_КК[[#This Row],[Структурное подразделение]],'Списки данных'!$C$2:$C$1048576,0))</f>
        <v>60</v>
      </c>
      <c r="I3660" s="80" t="s">
        <v>149</v>
      </c>
      <c r="J3660" s="80" t="s">
        <v>252</v>
      </c>
      <c r="K3660" s="80" t="s">
        <v>253</v>
      </c>
      <c r="L3660" s="30" t="s">
        <v>198</v>
      </c>
      <c r="M3660" s="68">
        <v>6</v>
      </c>
      <c r="N3660" s="181" t="str">
        <f t="shared" si="58"/>
        <v>нет</v>
      </c>
      <c r="O3660" s="23"/>
      <c r="P3660" s="23"/>
      <c r="Q3660" s="106"/>
      <c r="R3660" s="37">
        <v>859</v>
      </c>
      <c r="S3660" s="39" t="s">
        <v>1268</v>
      </c>
      <c r="T3660" s="37">
        <v>1962</v>
      </c>
      <c r="U3660" s="38" t="s">
        <v>1860</v>
      </c>
      <c r="V3660" s="69" t="s">
        <v>192</v>
      </c>
      <c r="W3660" s="89" t="s">
        <v>149</v>
      </c>
      <c r="X3660" s="106" t="s">
        <v>295</v>
      </c>
      <c r="Y3660" s="107" t="s">
        <v>12</v>
      </c>
      <c r="Z3660" s="67">
        <f>IF(База_КР_КК[[#This Row],[Таб.номер резервиста]]="-","-",IF(OR(База_КР_КК[[#This Row],[Уровень КК]]=2,База_КР_КК[[#This Row],[Уровень КК]]=3),IF(COUNTIFS($U$2:$U3660,$U3660,$F$2:$F3660,$F3660)=1,1,0),IF(COUNTIFS($U$2:$U3660,$U3660,$L$2:$L3660,$L3660)=1,1,0)))</f>
        <v>1</v>
      </c>
      <c r="AA36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0" s="106"/>
      <c r="AC3660" s="51"/>
      <c r="AD3660" s="106" t="s">
        <v>15</v>
      </c>
      <c r="AE3660" s="38" t="s">
        <v>388</v>
      </c>
    </row>
    <row r="3661" spans="1:31" ht="18" customHeight="1" x14ac:dyDescent="0.25">
      <c r="A36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61" s="79">
        <v>3</v>
      </c>
      <c r="C3661" s="23">
        <v>44918</v>
      </c>
      <c r="D3661" s="67">
        <f>IF(COUNTIF($G$2:$G3661,$G3661)=1,1,0)</f>
        <v>1</v>
      </c>
      <c r="E3661" s="67" t="str">
        <f>IFERROR(VLOOKUP(База_КР_КК[[#This Row],[ИД штатной должности (S)]],'уровень защищенности'!$B$7:$F$1095,5,0),"не защищена")</f>
        <v>средний</v>
      </c>
      <c r="F3661" s="68">
        <v>500709</v>
      </c>
      <c r="G3661" s="74" t="s">
        <v>3044</v>
      </c>
      <c r="H3661" s="181">
        <f>INDEX('Списки данных'!$D$2:$D$1048576,MATCH(База_КР_КК[[#This Row],[Структурное подразделение]],'Списки данных'!$C$2:$C$1048576,0))</f>
        <v>60</v>
      </c>
      <c r="I3661" s="80" t="s">
        <v>149</v>
      </c>
      <c r="J3661" s="80" t="s">
        <v>252</v>
      </c>
      <c r="K3661" s="80" t="s">
        <v>253</v>
      </c>
      <c r="L3661" s="30" t="s">
        <v>198</v>
      </c>
      <c r="M3661" s="68">
        <v>6</v>
      </c>
      <c r="N3661" s="181" t="str">
        <f t="shared" si="58"/>
        <v>нет</v>
      </c>
      <c r="O3661" s="23"/>
      <c r="P3661" s="23"/>
      <c r="Q3661" s="106"/>
      <c r="R3661" s="37">
        <v>860</v>
      </c>
      <c r="S3661" s="39" t="s">
        <v>1269</v>
      </c>
      <c r="T3661" s="37">
        <v>1963</v>
      </c>
      <c r="U3661" s="38" t="s">
        <v>2112</v>
      </c>
      <c r="V3661" s="69" t="s">
        <v>192</v>
      </c>
      <c r="W3661" s="89" t="s">
        <v>149</v>
      </c>
      <c r="X3661" s="106" t="s">
        <v>297</v>
      </c>
      <c r="Y3661" s="107" t="s">
        <v>12</v>
      </c>
      <c r="Z3661" s="67">
        <f>IF(База_КР_КК[[#This Row],[Таб.номер резервиста]]="-","-",IF(OR(База_КР_КК[[#This Row],[Уровень КК]]=2,База_КР_КК[[#This Row],[Уровень КК]]=3),IF(COUNTIFS($U$2:$U3661,$U3661,$F$2:$F3661,$F3661)=1,1,0),IF(COUNTIFS($U$2:$U3661,$U3661,$L$2:$L3661,$L3661)=1,1,0)))</f>
        <v>1</v>
      </c>
      <c r="AA36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1" s="106"/>
      <c r="AC3661" s="51"/>
      <c r="AD3661" s="106" t="s">
        <v>15</v>
      </c>
      <c r="AE3661" s="38" t="s">
        <v>388</v>
      </c>
    </row>
    <row r="3662" spans="1:31" ht="18" customHeight="1" x14ac:dyDescent="0.25">
      <c r="A36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62" s="79">
        <v>3</v>
      </c>
      <c r="C3662" s="23">
        <v>44918</v>
      </c>
      <c r="D3662" s="67">
        <f>IF(COUNTIF($G$2:$G3662,$G3662)=1,1,0)</f>
        <v>0</v>
      </c>
      <c r="E3662" s="67" t="str">
        <f>IFERROR(VLOOKUP(База_КР_КК[[#This Row],[ИД штатной должности (S)]],'уровень защищенности'!$B$7:$F$1095,5,0),"не защищена")</f>
        <v>средний</v>
      </c>
      <c r="F3662" s="68">
        <v>500709</v>
      </c>
      <c r="G3662" s="74" t="s">
        <v>3044</v>
      </c>
      <c r="H3662" s="181">
        <f>INDEX('Списки данных'!$D$2:$D$1048576,MATCH(База_КР_КК[[#This Row],[Структурное подразделение]],'Списки данных'!$C$2:$C$1048576,0))</f>
        <v>60</v>
      </c>
      <c r="I3662" s="80" t="s">
        <v>149</v>
      </c>
      <c r="J3662" s="80" t="s">
        <v>252</v>
      </c>
      <c r="K3662" s="80" t="s">
        <v>253</v>
      </c>
      <c r="L3662" s="30" t="s">
        <v>198</v>
      </c>
      <c r="M3662" s="68">
        <v>6</v>
      </c>
      <c r="N3662" s="181" t="str">
        <f t="shared" si="58"/>
        <v>нет</v>
      </c>
      <c r="O3662" s="23"/>
      <c r="P3662" s="23"/>
      <c r="Q3662" s="106"/>
      <c r="R3662" s="37">
        <v>860</v>
      </c>
      <c r="S3662" s="39" t="s">
        <v>1269</v>
      </c>
      <c r="T3662" s="37">
        <v>1964</v>
      </c>
      <c r="U3662" s="38" t="s">
        <v>1812</v>
      </c>
      <c r="V3662" s="69" t="s">
        <v>189</v>
      </c>
      <c r="W3662" s="89" t="s">
        <v>149</v>
      </c>
      <c r="X3662" s="106" t="s">
        <v>296</v>
      </c>
      <c r="Y3662" s="107" t="s">
        <v>12</v>
      </c>
      <c r="Z3662" s="67">
        <f>IF(База_КР_КК[[#This Row],[Таб.номер резервиста]]="-","-",IF(OR(База_КР_КК[[#This Row],[Уровень КК]]=2,База_КР_КК[[#This Row],[Уровень КК]]=3),IF(COUNTIFS($U$2:$U3662,$U3662,$F$2:$F3662,$F3662)=1,1,0),IF(COUNTIFS($U$2:$U3662,$U3662,$L$2:$L3662,$L3662)=1,1,0)))</f>
        <v>1</v>
      </c>
      <c r="AA36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2" s="106"/>
      <c r="AC3662" s="51"/>
      <c r="AD3662" s="106" t="s">
        <v>15</v>
      </c>
      <c r="AE3662" s="38" t="s">
        <v>388</v>
      </c>
    </row>
    <row r="3663" spans="1:31" ht="18" customHeight="1" x14ac:dyDescent="0.25">
      <c r="A36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12</v>
      </c>
      <c r="B3663" s="79">
        <v>3</v>
      </c>
      <c r="C3663" s="23">
        <v>44918</v>
      </c>
      <c r="D3663" s="67">
        <f>IF(COUNTIF($G$2:$G3663,$G3663)=1,1,0)</f>
        <v>0</v>
      </c>
      <c r="E3663" s="67" t="str">
        <f>IFERROR(VLOOKUP(База_КР_КК[[#This Row],[ИД штатной должности (S)]],'уровень защищенности'!$B$7:$F$1095,5,0),"не защищена")</f>
        <v>средний</v>
      </c>
      <c r="F3663" s="68">
        <v>500709</v>
      </c>
      <c r="G3663" s="74" t="s">
        <v>3044</v>
      </c>
      <c r="H3663" s="181">
        <f>INDEX('Списки данных'!$D$2:$D$1048576,MATCH(База_КР_КК[[#This Row],[Структурное подразделение]],'Списки данных'!$C$2:$C$1048576,0))</f>
        <v>60</v>
      </c>
      <c r="I3663" s="80" t="s">
        <v>149</v>
      </c>
      <c r="J3663" s="80" t="s">
        <v>252</v>
      </c>
      <c r="K3663" s="80" t="s">
        <v>253</v>
      </c>
      <c r="L3663" s="30" t="s">
        <v>198</v>
      </c>
      <c r="M3663" s="68">
        <v>6</v>
      </c>
      <c r="N3663" s="181" t="str">
        <f t="shared" si="58"/>
        <v>нет</v>
      </c>
      <c r="O3663" s="23"/>
      <c r="P3663" s="23"/>
      <c r="Q3663" s="106"/>
      <c r="R3663" s="37">
        <v>860</v>
      </c>
      <c r="S3663" s="39" t="s">
        <v>1269</v>
      </c>
      <c r="T3663" s="37">
        <v>1965</v>
      </c>
      <c r="U3663" s="38" t="s">
        <v>2060</v>
      </c>
      <c r="V3663" s="69" t="s">
        <v>16</v>
      </c>
      <c r="W3663" s="89" t="s">
        <v>149</v>
      </c>
      <c r="X3663" s="106" t="s">
        <v>296</v>
      </c>
      <c r="Y3663" s="107" t="s">
        <v>12</v>
      </c>
      <c r="Z3663" s="67">
        <f>IF(База_КР_КК[[#This Row],[Таб.номер резервиста]]="-","-",IF(OR(База_КР_КК[[#This Row],[Уровень КК]]=2,База_КР_КК[[#This Row],[Уровень КК]]=3),IF(COUNTIFS($U$2:$U3663,$U3663,$F$2:$F3663,$F3663)=1,1,0),IF(COUNTIFS($U$2:$U3663,$U3663,$L$2:$L3663,$L3663)=1,1,0)))</f>
        <v>1</v>
      </c>
      <c r="AA36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3" s="106"/>
      <c r="AC3663" s="51"/>
      <c r="AD3663" s="106" t="s">
        <v>15</v>
      </c>
      <c r="AE3663" s="38" t="s">
        <v>388</v>
      </c>
    </row>
    <row r="3664" spans="1:31" ht="18" customHeight="1" x14ac:dyDescent="0.25">
      <c r="A36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64" s="79" t="s">
        <v>35</v>
      </c>
      <c r="C3664" s="23">
        <v>42787</v>
      </c>
      <c r="D3664" s="67">
        <f>IF(COUNTIF($G$2:$G3664,$G3664)=1,1,0)</f>
        <v>1</v>
      </c>
      <c r="E3664" s="67" t="str">
        <f>IFERROR(VLOOKUP(База_КР_КК[[#This Row],[ИД штатной должности (S)]],'уровень защищенности'!$B$7:$F$1095,5,0),"не защищена")</f>
        <v>высокий</v>
      </c>
      <c r="F3664" s="68">
        <v>500002</v>
      </c>
      <c r="G3664" s="74" t="s">
        <v>3045</v>
      </c>
      <c r="H3664" s="181">
        <f>INDEX('Списки данных'!$D$2:$D$1048576,MATCH(База_КР_КК[[#This Row],[Структурное подразделение]],'Списки данных'!$C$2:$C$1048576,0))</f>
        <v>52</v>
      </c>
      <c r="I3664" s="80" t="s">
        <v>123</v>
      </c>
      <c r="J3664" s="80" t="s">
        <v>254</v>
      </c>
      <c r="K3664" s="80" t="s">
        <v>21</v>
      </c>
      <c r="L3664" s="30" t="s">
        <v>183</v>
      </c>
      <c r="M3664" s="68">
        <v>4</v>
      </c>
      <c r="N3664" s="181" t="str">
        <f t="shared" si="58"/>
        <v>нет</v>
      </c>
      <c r="O3664" s="23"/>
      <c r="P3664" s="23"/>
      <c r="Q3664" s="106"/>
      <c r="R3664" s="37">
        <v>861</v>
      </c>
      <c r="S3664" s="38" t="s">
        <v>1270</v>
      </c>
      <c r="T3664" s="37">
        <v>880</v>
      </c>
      <c r="U3664" s="38" t="s">
        <v>1289</v>
      </c>
      <c r="V3664" s="89" t="s">
        <v>198</v>
      </c>
      <c r="W3664" s="89" t="s">
        <v>123</v>
      </c>
      <c r="X3664" s="106" t="s">
        <v>295</v>
      </c>
      <c r="Y3664" s="107" t="s">
        <v>12</v>
      </c>
      <c r="Z3664" s="67">
        <f>IF(База_КР_КК[[#This Row],[Таб.номер резервиста]]="-","-",IF(OR(База_КР_КК[[#This Row],[Уровень КК]]=2,База_КР_КК[[#This Row],[Уровень КК]]=3),IF(COUNTIFS($U$2:$U3664,$U3664,$F$2:$F3664,$F3664)=1,1,0),IF(COUNTIFS($U$2:$U3664,$U3664,$L$2:$L3664,$L3664)=1,1,0)))</f>
        <v>1</v>
      </c>
      <c r="AA36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4" s="106"/>
      <c r="AC3664" s="51"/>
      <c r="AD3664" s="106" t="s">
        <v>13</v>
      </c>
      <c r="AE3664" s="38" t="s">
        <v>369</v>
      </c>
    </row>
    <row r="3665" spans="1:31" ht="18" customHeight="1" x14ac:dyDescent="0.25">
      <c r="A36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65" s="79" t="s">
        <v>35</v>
      </c>
      <c r="C3665" s="23">
        <v>44774</v>
      </c>
      <c r="D3665" s="67">
        <f>IF(COUNTIF($G$2:$G3665,$G3665)=1,1,0)</f>
        <v>0</v>
      </c>
      <c r="E3665" s="67" t="str">
        <f>IFERROR(VLOOKUP(База_КР_КК[[#This Row],[ИД штатной должности (S)]],'уровень защищенности'!$B$7:$F$1095,5,0),"не защищена")</f>
        <v>высокий</v>
      </c>
      <c r="F3665" s="68">
        <v>500002</v>
      </c>
      <c r="G3665" s="74" t="s">
        <v>3045</v>
      </c>
      <c r="H3665" s="181">
        <f>INDEX('Списки данных'!$D$2:$D$1048576,MATCH(База_КР_КК[[#This Row],[Структурное подразделение]],'Списки данных'!$C$2:$C$1048576,0))</f>
        <v>52</v>
      </c>
      <c r="I3665" s="80" t="s">
        <v>123</v>
      </c>
      <c r="J3665" s="80" t="s">
        <v>254</v>
      </c>
      <c r="K3665" s="80" t="s">
        <v>21</v>
      </c>
      <c r="L3665" s="30" t="s">
        <v>183</v>
      </c>
      <c r="M3665" s="68">
        <v>4</v>
      </c>
      <c r="N3665" s="181" t="str">
        <f t="shared" si="58"/>
        <v>нет</v>
      </c>
      <c r="O3665" s="23"/>
      <c r="P3665" s="23"/>
      <c r="Q3665" s="106"/>
      <c r="R3665" s="37">
        <v>861</v>
      </c>
      <c r="S3665" s="38" t="s">
        <v>1270</v>
      </c>
      <c r="T3665" s="37">
        <v>882</v>
      </c>
      <c r="U3665" s="38" t="s">
        <v>1291</v>
      </c>
      <c r="V3665" s="69" t="s">
        <v>186</v>
      </c>
      <c r="W3665" s="89" t="s">
        <v>123</v>
      </c>
      <c r="X3665" s="106" t="s">
        <v>296</v>
      </c>
      <c r="Y3665" s="107" t="s">
        <v>12</v>
      </c>
      <c r="Z3665" s="67">
        <f>IF(База_КР_КК[[#This Row],[Таб.номер резервиста]]="-","-",IF(OR(База_КР_КК[[#This Row],[Уровень КК]]=2,База_КР_КК[[#This Row],[Уровень КК]]=3),IF(COUNTIFS($U$2:$U3665,$U3665,$F$2:$F3665,$F3665)=1,1,0),IF(COUNTIFS($U$2:$U3665,$U3665,$L$2:$L3665,$L3665)=1,1,0)))</f>
        <v>1</v>
      </c>
      <c r="AA36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5" s="106"/>
      <c r="AC3665" s="51"/>
      <c r="AD3665" s="106" t="s">
        <v>15</v>
      </c>
      <c r="AE3665" s="38" t="s">
        <v>369</v>
      </c>
    </row>
    <row r="3666" spans="1:31" ht="18" customHeight="1" x14ac:dyDescent="0.25">
      <c r="A36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66" s="79" t="s">
        <v>35</v>
      </c>
      <c r="C3666" s="23">
        <v>44774</v>
      </c>
      <c r="D3666" s="67">
        <f>IF(COUNTIF($G$2:$G3666,$G3666)=1,1,0)</f>
        <v>0</v>
      </c>
      <c r="E3666" s="67" t="str">
        <f>IFERROR(VLOOKUP(База_КР_КК[[#This Row],[ИД штатной должности (S)]],'уровень защищенности'!$B$7:$F$1095,5,0),"не защищена")</f>
        <v>высокий</v>
      </c>
      <c r="F3666" s="68">
        <v>500002</v>
      </c>
      <c r="G3666" s="74" t="s">
        <v>3045</v>
      </c>
      <c r="H3666" s="181">
        <f>INDEX('Списки данных'!$D$2:$D$1048576,MATCH(База_КР_КК[[#This Row],[Структурное подразделение]],'Списки данных'!$C$2:$C$1048576,0))</f>
        <v>52</v>
      </c>
      <c r="I3666" s="80" t="s">
        <v>123</v>
      </c>
      <c r="J3666" s="80" t="s">
        <v>254</v>
      </c>
      <c r="K3666" s="80" t="s">
        <v>21</v>
      </c>
      <c r="L3666" s="30" t="s">
        <v>183</v>
      </c>
      <c r="M3666" s="68">
        <v>4</v>
      </c>
      <c r="N3666" s="181" t="str">
        <f t="shared" si="58"/>
        <v>нет</v>
      </c>
      <c r="O3666" s="23"/>
      <c r="P3666" s="23"/>
      <c r="Q3666" s="106"/>
      <c r="R3666" s="37">
        <v>861</v>
      </c>
      <c r="S3666" s="38" t="s">
        <v>1270</v>
      </c>
      <c r="T3666" s="37">
        <v>878</v>
      </c>
      <c r="U3666" s="38" t="s">
        <v>1287</v>
      </c>
      <c r="V3666" s="69" t="s">
        <v>198</v>
      </c>
      <c r="W3666" s="89" t="s">
        <v>123</v>
      </c>
      <c r="X3666" s="106" t="s">
        <v>296</v>
      </c>
      <c r="Y3666" s="107" t="s">
        <v>12</v>
      </c>
      <c r="Z3666" s="67">
        <f>IF(База_КР_КК[[#This Row],[Таб.номер резервиста]]="-","-",IF(OR(База_КР_КК[[#This Row],[Уровень КК]]=2,База_КР_КК[[#This Row],[Уровень КК]]=3),IF(COUNTIFS($U$2:$U3666,$U3666,$F$2:$F3666,$F3666)=1,1,0),IF(COUNTIFS($U$2:$U3666,$U3666,$L$2:$L3666,$L3666)=1,1,0)))</f>
        <v>1</v>
      </c>
      <c r="AA36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6" s="106"/>
      <c r="AC3666" s="51"/>
      <c r="AD3666" s="106" t="s">
        <v>15</v>
      </c>
      <c r="AE3666" s="38" t="s">
        <v>369</v>
      </c>
    </row>
    <row r="3667" spans="1:31" ht="18" customHeight="1" x14ac:dyDescent="0.25">
      <c r="A36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67" s="79">
        <v>3</v>
      </c>
      <c r="C3667" s="23">
        <v>43455</v>
      </c>
      <c r="D3667" s="67">
        <f>IF(COUNTIF($G$2:$G3667,$G3667)=1,1,0)</f>
        <v>0</v>
      </c>
      <c r="E3667" s="67" t="str">
        <f>IFERROR(VLOOKUP(База_КР_КК[[#This Row],[ИД штатной должности (S)]],'уровень защищенности'!$B$7:$F$1095,5,0),"не защищена")</f>
        <v>высокий</v>
      </c>
      <c r="F3667" s="68">
        <v>500002</v>
      </c>
      <c r="G3667" s="74" t="s">
        <v>3045</v>
      </c>
      <c r="H3667" s="181">
        <f>INDEX('Списки данных'!$D$2:$D$1048576,MATCH(База_КР_КК[[#This Row],[Структурное подразделение]],'Списки данных'!$C$2:$C$1048576,0))</f>
        <v>52</v>
      </c>
      <c r="I3667" s="80" t="s">
        <v>123</v>
      </c>
      <c r="J3667" s="80" t="s">
        <v>254</v>
      </c>
      <c r="K3667" s="80" t="s">
        <v>21</v>
      </c>
      <c r="L3667" s="30" t="s">
        <v>183</v>
      </c>
      <c r="M3667" s="68">
        <v>4</v>
      </c>
      <c r="N3667" s="181" t="str">
        <f t="shared" si="58"/>
        <v>нет</v>
      </c>
      <c r="O3667" s="23"/>
      <c r="P3667" s="23"/>
      <c r="Q3667" s="106"/>
      <c r="R3667" s="37">
        <v>861</v>
      </c>
      <c r="S3667" s="38" t="s">
        <v>1270</v>
      </c>
      <c r="T3667" s="37">
        <v>1966</v>
      </c>
      <c r="U3667" s="38" t="s">
        <v>1986</v>
      </c>
      <c r="V3667" s="69" t="s">
        <v>198</v>
      </c>
      <c r="W3667" s="89" t="s">
        <v>123</v>
      </c>
      <c r="X3667" s="106" t="s">
        <v>297</v>
      </c>
      <c r="Y3667" s="107" t="s">
        <v>18</v>
      </c>
      <c r="Z3667" s="67">
        <f>IF(База_КР_КК[[#This Row],[Таб.номер резервиста]]="-","-",IF(OR(База_КР_КК[[#This Row],[Уровень КК]]=2,База_КР_КК[[#This Row],[Уровень КК]]=3),IF(COUNTIFS($U$2:$U3667,$U3667,$F$2:$F3667,$F3667)=1,1,0),IF(COUNTIFS($U$2:$U3667,$U3667,$L$2:$L3667,$L3667)=1,1,0)))</f>
        <v>1</v>
      </c>
      <c r="AA36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7" s="106" t="s">
        <v>19</v>
      </c>
      <c r="AC3667" s="51">
        <v>44136</v>
      </c>
      <c r="AD3667" s="106" t="s">
        <v>17</v>
      </c>
      <c r="AE3667" s="38" t="s">
        <v>302</v>
      </c>
    </row>
    <row r="3668" spans="1:31" ht="18" customHeight="1" x14ac:dyDescent="0.25">
      <c r="A36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68" s="79">
        <v>3</v>
      </c>
      <c r="C3668" s="23">
        <v>44005</v>
      </c>
      <c r="D3668" s="67">
        <f>IF(COUNTIF($G$2:$G3668,$G3668)=1,1,0)</f>
        <v>1</v>
      </c>
      <c r="E3668" s="67" t="str">
        <f>IFERROR(VLOOKUP(База_КР_КК[[#This Row],[ИД штатной должности (S)]],'уровень защищенности'!$B$7:$F$1095,5,0),"не защищена")</f>
        <v>средний</v>
      </c>
      <c r="F3668" s="68">
        <v>500003</v>
      </c>
      <c r="G3668" s="74" t="s">
        <v>3046</v>
      </c>
      <c r="H3668" s="181">
        <f>INDEX('Списки данных'!$D$2:$D$1048576,MATCH(База_КР_КК[[#This Row],[Структурное подразделение]],'Списки данных'!$C$2:$C$1048576,0))</f>
        <v>49</v>
      </c>
      <c r="I3668" s="80" t="s">
        <v>147</v>
      </c>
      <c r="J3668" s="80" t="s">
        <v>21</v>
      </c>
      <c r="K3668" s="80" t="s">
        <v>21</v>
      </c>
      <c r="L3668" s="30" t="s">
        <v>183</v>
      </c>
      <c r="M3668" s="68">
        <v>5</v>
      </c>
      <c r="N3668" s="181" t="str">
        <f t="shared" si="58"/>
        <v>нет</v>
      </c>
      <c r="O3668" s="23"/>
      <c r="P3668" s="23"/>
      <c r="Q3668" s="106"/>
      <c r="R3668" s="37">
        <v>862</v>
      </c>
      <c r="S3668" s="38" t="s">
        <v>1271</v>
      </c>
      <c r="T3668" s="37">
        <v>1967</v>
      </c>
      <c r="U3668" s="38" t="s">
        <v>2072</v>
      </c>
      <c r="V3668" s="69" t="s">
        <v>189</v>
      </c>
      <c r="W3668" s="89" t="s">
        <v>147</v>
      </c>
      <c r="X3668" s="106" t="s">
        <v>297</v>
      </c>
      <c r="Y3668" s="107" t="s">
        <v>12</v>
      </c>
      <c r="Z3668" s="67">
        <f>IF(База_КР_КК[[#This Row],[Таб.номер резервиста]]="-","-",IF(OR(База_КР_КК[[#This Row],[Уровень КК]]=2,База_КР_КК[[#This Row],[Уровень КК]]=3),IF(COUNTIFS($U$2:$U3668,$U3668,$F$2:$F3668,$F3668)=1,1,0),IF(COUNTIFS($U$2:$U3668,$U3668,$L$2:$L3668,$L3668)=1,1,0)))</f>
        <v>1</v>
      </c>
      <c r="AA36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8" s="106"/>
      <c r="AC3668" s="51"/>
      <c r="AD3668" s="106" t="s">
        <v>17</v>
      </c>
      <c r="AE3668" s="38" t="s">
        <v>369</v>
      </c>
    </row>
    <row r="3669" spans="1:31" ht="18" customHeight="1" x14ac:dyDescent="0.25">
      <c r="A36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69" s="79">
        <v>3</v>
      </c>
      <c r="C3669" s="23">
        <v>44743</v>
      </c>
      <c r="D3669" s="67">
        <f>IF(COUNTIF($G$2:$G3669,$G3669)=1,1,0)</f>
        <v>0</v>
      </c>
      <c r="E3669" s="67" t="str">
        <f>IFERROR(VLOOKUP(База_КР_КК[[#This Row],[ИД штатной должности (S)]],'уровень защищенности'!$B$7:$F$1095,5,0),"не защищена")</f>
        <v>средний</v>
      </c>
      <c r="F3669" s="68">
        <v>500003</v>
      </c>
      <c r="G3669" s="74" t="s">
        <v>3046</v>
      </c>
      <c r="H3669" s="181">
        <f>INDEX('Списки данных'!$D$2:$D$1048576,MATCH(База_КР_КК[[#This Row],[Структурное подразделение]],'Списки данных'!$C$2:$C$1048576,0))</f>
        <v>49</v>
      </c>
      <c r="I3669" s="80" t="s">
        <v>147</v>
      </c>
      <c r="J3669" s="80" t="s">
        <v>21</v>
      </c>
      <c r="K3669" s="80" t="s">
        <v>21</v>
      </c>
      <c r="L3669" s="30" t="s">
        <v>183</v>
      </c>
      <c r="M3669" s="68">
        <v>5</v>
      </c>
      <c r="N3669" s="181" t="str">
        <f t="shared" si="58"/>
        <v>нет</v>
      </c>
      <c r="O3669" s="23"/>
      <c r="P3669" s="23"/>
      <c r="Q3669" s="106"/>
      <c r="R3669" s="37">
        <v>862</v>
      </c>
      <c r="S3669" s="38" t="s">
        <v>1271</v>
      </c>
      <c r="T3669" s="37">
        <v>1968</v>
      </c>
      <c r="U3669" s="38" t="s">
        <v>1731</v>
      </c>
      <c r="V3669" s="69" t="s">
        <v>189</v>
      </c>
      <c r="W3669" s="89" t="s">
        <v>130</v>
      </c>
      <c r="X3669" s="106" t="s">
        <v>296</v>
      </c>
      <c r="Y3669" s="107" t="s">
        <v>12</v>
      </c>
      <c r="Z3669" s="67">
        <f>IF(База_КР_КК[[#This Row],[Таб.номер резервиста]]="-","-",IF(OR(База_КР_КК[[#This Row],[Уровень КК]]=2,База_КР_КК[[#This Row],[Уровень КК]]=3),IF(COUNTIFS($U$2:$U3669,$U3669,$F$2:$F3669,$F3669)=1,1,0),IF(COUNTIFS($U$2:$U3669,$U3669,$L$2:$L3669,$L3669)=1,1,0)))</f>
        <v>1</v>
      </c>
      <c r="AA36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69" s="106"/>
      <c r="AC3669" s="51"/>
      <c r="AD3669" s="106" t="s">
        <v>15</v>
      </c>
      <c r="AE3669" s="38" t="s">
        <v>369</v>
      </c>
    </row>
    <row r="3670" spans="1:31" ht="18" customHeight="1" x14ac:dyDescent="0.25">
      <c r="A36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0" s="79">
        <v>3</v>
      </c>
      <c r="C3670" s="23">
        <v>42787</v>
      </c>
      <c r="D3670" s="67">
        <f>IF(COUNTIF($G$2:$G3670,$G3670)=1,1,0)</f>
        <v>0</v>
      </c>
      <c r="E3670" s="67" t="str">
        <f>IFERROR(VLOOKUP(База_КР_КК[[#This Row],[ИД штатной должности (S)]],'уровень защищенности'!$B$7:$F$1095,5,0),"не защищена")</f>
        <v>средний</v>
      </c>
      <c r="F3670" s="68">
        <v>500003</v>
      </c>
      <c r="G3670" s="74" t="s">
        <v>3046</v>
      </c>
      <c r="H3670" s="181">
        <f>INDEX('Списки данных'!$D$2:$D$1048576,MATCH(База_КР_КК[[#This Row],[Структурное подразделение]],'Списки данных'!$C$2:$C$1048576,0))</f>
        <v>49</v>
      </c>
      <c r="I3670" s="80" t="s">
        <v>147</v>
      </c>
      <c r="J3670" s="80" t="s">
        <v>21</v>
      </c>
      <c r="K3670" s="80" t="s">
        <v>21</v>
      </c>
      <c r="L3670" s="30" t="s">
        <v>183</v>
      </c>
      <c r="M3670" s="68">
        <v>5</v>
      </c>
      <c r="N3670" s="181" t="str">
        <f t="shared" si="58"/>
        <v>нет</v>
      </c>
      <c r="O3670" s="23"/>
      <c r="P3670" s="23"/>
      <c r="Q3670" s="106"/>
      <c r="R3670" s="37">
        <v>862</v>
      </c>
      <c r="S3670" s="38" t="s">
        <v>1271</v>
      </c>
      <c r="T3670" s="37">
        <v>867</v>
      </c>
      <c r="U3670" s="38" t="s">
        <v>1276</v>
      </c>
      <c r="V3670" s="69" t="s">
        <v>186</v>
      </c>
      <c r="W3670" s="89" t="s">
        <v>147</v>
      </c>
      <c r="X3670" s="106" t="s">
        <v>295</v>
      </c>
      <c r="Y3670" s="107" t="s">
        <v>18</v>
      </c>
      <c r="Z3670" s="67">
        <f>IF(База_КР_КК[[#This Row],[Таб.номер резервиста]]="-","-",IF(OR(База_КР_КК[[#This Row],[Уровень КК]]=2,База_КР_КК[[#This Row],[Уровень КК]]=3),IF(COUNTIFS($U$2:$U3670,$U3670,$F$2:$F3670,$F3670)=1,1,0),IF(COUNTIFS($U$2:$U3670,$U3670,$L$2:$L3670,$L3670)=1,1,0)))</f>
        <v>1</v>
      </c>
      <c r="AA36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0" s="106" t="s">
        <v>20</v>
      </c>
      <c r="AC3670" s="51">
        <v>44743</v>
      </c>
      <c r="AD3670" s="106" t="s">
        <v>31</v>
      </c>
      <c r="AE3670" s="38" t="s">
        <v>369</v>
      </c>
    </row>
    <row r="3671" spans="1:31" ht="18" customHeight="1" x14ac:dyDescent="0.25">
      <c r="A36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1" s="79">
        <v>3</v>
      </c>
      <c r="C3671" s="23">
        <v>42787</v>
      </c>
      <c r="D3671" s="67">
        <f>IF(COUNTIF($G$2:$G3671,$G3671)=1,1,0)</f>
        <v>0</v>
      </c>
      <c r="E3671" s="67" t="str">
        <f>IFERROR(VLOOKUP(База_КР_КК[[#This Row],[ИД штатной должности (S)]],'уровень защищенности'!$B$7:$F$1095,5,0),"не защищена")</f>
        <v>средний</v>
      </c>
      <c r="F3671" s="68">
        <v>500003</v>
      </c>
      <c r="G3671" s="74" t="s">
        <v>3046</v>
      </c>
      <c r="H3671" s="181">
        <f>INDEX('Списки данных'!$D$2:$D$1048576,MATCH(База_КР_КК[[#This Row],[Структурное подразделение]],'Списки данных'!$C$2:$C$1048576,0))</f>
        <v>49</v>
      </c>
      <c r="I3671" s="80" t="s">
        <v>147</v>
      </c>
      <c r="J3671" s="80" t="s">
        <v>21</v>
      </c>
      <c r="K3671" s="80" t="s">
        <v>21</v>
      </c>
      <c r="L3671" s="30" t="s">
        <v>183</v>
      </c>
      <c r="M3671" s="68">
        <v>5</v>
      </c>
      <c r="N3671" s="181" t="str">
        <f t="shared" si="58"/>
        <v>нет</v>
      </c>
      <c r="O3671" s="23"/>
      <c r="P3671" s="23"/>
      <c r="Q3671" s="106"/>
      <c r="R3671" s="37">
        <v>862</v>
      </c>
      <c r="S3671" s="38" t="s">
        <v>1271</v>
      </c>
      <c r="T3671" s="37">
        <v>1969</v>
      </c>
      <c r="U3671" s="38" t="s">
        <v>1457</v>
      </c>
      <c r="V3671" s="69" t="s">
        <v>189</v>
      </c>
      <c r="W3671" s="89" t="s">
        <v>147</v>
      </c>
      <c r="X3671" s="106" t="s">
        <v>297</v>
      </c>
      <c r="Y3671" s="107" t="s">
        <v>18</v>
      </c>
      <c r="Z3671" s="67">
        <f>IF(База_КР_КК[[#This Row],[Таб.номер резервиста]]="-","-",IF(OR(База_КР_КК[[#This Row],[Уровень КК]]=2,База_КР_КК[[#This Row],[Уровень КК]]=3),IF(COUNTIFS($U$2:$U3671,$U3671,$F$2:$F3671,$F3671)=1,1,0),IF(COUNTIFS($U$2:$U3671,$U3671,$L$2:$L3671,$L3671)=1,1,0)))</f>
        <v>1</v>
      </c>
      <c r="AA36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1" s="106" t="s">
        <v>38</v>
      </c>
      <c r="AC3671" s="51">
        <v>44743</v>
      </c>
      <c r="AD3671" s="106" t="s">
        <v>31</v>
      </c>
      <c r="AE3671" s="38" t="s">
        <v>369</v>
      </c>
    </row>
    <row r="3672" spans="1:31" ht="18" customHeight="1" x14ac:dyDescent="0.25">
      <c r="A36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2" s="79">
        <v>3</v>
      </c>
      <c r="C3672" s="23">
        <v>43455</v>
      </c>
      <c r="D3672" s="67">
        <f>IF(COUNTIF($G$2:$G3672,$G3672)=1,1,0)</f>
        <v>1</v>
      </c>
      <c r="E3672" s="67" t="str">
        <f>IFERROR(VLOOKUP(База_КР_КК[[#This Row],[ИД штатной должности (S)]],'уровень защищенности'!$B$7:$F$1095,5,0),"не защищена")</f>
        <v>высокий</v>
      </c>
      <c r="F3672" s="68">
        <v>500005</v>
      </c>
      <c r="G3672" s="74" t="s">
        <v>3047</v>
      </c>
      <c r="H3672" s="181">
        <f>INDEX('Списки данных'!$D$2:$D$1048576,MATCH(База_КР_КК[[#This Row],[Структурное подразделение]],'Списки данных'!$C$2:$C$1048576,0))</f>
        <v>50</v>
      </c>
      <c r="I3672" s="80" t="s">
        <v>159</v>
      </c>
      <c r="J3672" s="80" t="s">
        <v>255</v>
      </c>
      <c r="K3672" s="80" t="s">
        <v>21</v>
      </c>
      <c r="L3672" s="30" t="s">
        <v>183</v>
      </c>
      <c r="M3672" s="68">
        <v>4</v>
      </c>
      <c r="N3672" s="181" t="str">
        <f t="shared" si="58"/>
        <v>нет</v>
      </c>
      <c r="O3672" s="23"/>
      <c r="P3672" s="23"/>
      <c r="Q3672" s="106"/>
      <c r="R3672" s="37">
        <v>863</v>
      </c>
      <c r="S3672" s="39" t="s">
        <v>1272</v>
      </c>
      <c r="T3672" s="37">
        <v>979</v>
      </c>
      <c r="U3672" s="38" t="s">
        <v>1388</v>
      </c>
      <c r="V3672" s="69" t="s">
        <v>186</v>
      </c>
      <c r="W3672" s="89" t="s">
        <v>159</v>
      </c>
      <c r="X3672" s="106" t="s">
        <v>297</v>
      </c>
      <c r="Y3672" s="107" t="s">
        <v>12</v>
      </c>
      <c r="Z3672" s="67">
        <f>IF(База_КР_КК[[#This Row],[Таб.номер резервиста]]="-","-",IF(OR(База_КР_КК[[#This Row],[Уровень КК]]=2,База_КР_КК[[#This Row],[Уровень КК]]=3),IF(COUNTIFS($U$2:$U3672,$U3672,$F$2:$F3672,$F3672)=1,1,0),IF(COUNTIFS($U$2:$U3672,$U3672,$L$2:$L3672,$L3672)=1,1,0)))</f>
        <v>1</v>
      </c>
      <c r="AA36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2" s="106"/>
      <c r="AC3672" s="51"/>
      <c r="AD3672" s="106" t="s">
        <v>13</v>
      </c>
      <c r="AE3672" s="38" t="s">
        <v>369</v>
      </c>
    </row>
    <row r="3673" spans="1:31" ht="18" customHeight="1" x14ac:dyDescent="0.25">
      <c r="A36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3" s="79">
        <v>3</v>
      </c>
      <c r="C3673" s="23">
        <v>43455</v>
      </c>
      <c r="D3673" s="67">
        <f>IF(COUNTIF($G$2:$G3673,$G3673)=1,1,0)</f>
        <v>0</v>
      </c>
      <c r="E3673" s="67" t="str">
        <f>IFERROR(VLOOKUP(База_КР_КК[[#This Row],[ИД штатной должности (S)]],'уровень защищенности'!$B$7:$F$1095,5,0),"не защищена")</f>
        <v>высокий</v>
      </c>
      <c r="F3673" s="68">
        <v>500005</v>
      </c>
      <c r="G3673" s="74" t="s">
        <v>3047</v>
      </c>
      <c r="H3673" s="181">
        <f>INDEX('Списки данных'!$D$2:$D$1048576,MATCH(База_КР_КК[[#This Row],[Структурное подразделение]],'Списки данных'!$C$2:$C$1048576,0))</f>
        <v>50</v>
      </c>
      <c r="I3673" s="80" t="s">
        <v>159</v>
      </c>
      <c r="J3673" s="80" t="s">
        <v>255</v>
      </c>
      <c r="K3673" s="80" t="s">
        <v>21</v>
      </c>
      <c r="L3673" s="30" t="s">
        <v>183</v>
      </c>
      <c r="M3673" s="68">
        <v>4</v>
      </c>
      <c r="N3673" s="181" t="str">
        <f t="shared" si="58"/>
        <v>нет</v>
      </c>
      <c r="O3673" s="23"/>
      <c r="P3673" s="23"/>
      <c r="Q3673" s="106"/>
      <c r="R3673" s="37">
        <v>863</v>
      </c>
      <c r="S3673" s="39" t="s">
        <v>1272</v>
      </c>
      <c r="T3673" s="37">
        <v>960</v>
      </c>
      <c r="U3673" s="38" t="s">
        <v>1369</v>
      </c>
      <c r="V3673" s="69" t="s">
        <v>186</v>
      </c>
      <c r="W3673" s="89" t="s">
        <v>159</v>
      </c>
      <c r="X3673" s="106" t="s">
        <v>295</v>
      </c>
      <c r="Y3673" s="107" t="s">
        <v>12</v>
      </c>
      <c r="Z3673" s="67">
        <f>IF(База_КР_КК[[#This Row],[Таб.номер резервиста]]="-","-",IF(OR(База_КР_КК[[#This Row],[Уровень КК]]=2,База_КР_КК[[#This Row],[Уровень КК]]=3),IF(COUNTIFS($U$2:$U3673,$U3673,$F$2:$F3673,$F3673)=1,1,0),IF(COUNTIFS($U$2:$U3673,$U3673,$L$2:$L3673,$L3673)=1,1,0)))</f>
        <v>1</v>
      </c>
      <c r="AA36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3" s="106"/>
      <c r="AC3673" s="51"/>
      <c r="AD3673" s="106" t="s">
        <v>13</v>
      </c>
      <c r="AE3673" s="38" t="s">
        <v>369</v>
      </c>
    </row>
    <row r="3674" spans="1:31" ht="18" customHeight="1" x14ac:dyDescent="0.25">
      <c r="A36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4" s="79">
        <v>3</v>
      </c>
      <c r="C3674" s="23">
        <v>44743</v>
      </c>
      <c r="D3674" s="67">
        <f>IF(COUNTIF($G$2:$G3674,$G3674)=1,1,0)</f>
        <v>0</v>
      </c>
      <c r="E3674" s="67" t="str">
        <f>IFERROR(VLOOKUP(База_КР_КК[[#This Row],[ИД штатной должности (S)]],'уровень защищенности'!$B$7:$F$1095,5,0),"не защищена")</f>
        <v>высокий</v>
      </c>
      <c r="F3674" s="68">
        <v>500005</v>
      </c>
      <c r="G3674" s="74" t="s">
        <v>3047</v>
      </c>
      <c r="H3674" s="181">
        <f>INDEX('Списки данных'!$D$2:$D$1048576,MATCH(База_КР_КК[[#This Row],[Структурное подразделение]],'Списки данных'!$C$2:$C$1048576,0))</f>
        <v>50</v>
      </c>
      <c r="I3674" s="80" t="s">
        <v>159</v>
      </c>
      <c r="J3674" s="80" t="s">
        <v>255</v>
      </c>
      <c r="K3674" s="80" t="s">
        <v>21</v>
      </c>
      <c r="L3674" s="30" t="s">
        <v>183</v>
      </c>
      <c r="M3674" s="68">
        <v>4</v>
      </c>
      <c r="N3674" s="181" t="str">
        <f t="shared" si="58"/>
        <v>нет</v>
      </c>
      <c r="O3674" s="23"/>
      <c r="P3674" s="23"/>
      <c r="Q3674" s="106"/>
      <c r="R3674" s="37">
        <v>863</v>
      </c>
      <c r="S3674" s="39" t="s">
        <v>1272</v>
      </c>
      <c r="T3674" s="37">
        <v>1968</v>
      </c>
      <c r="U3674" s="38" t="s">
        <v>1731</v>
      </c>
      <c r="V3674" s="69" t="s">
        <v>189</v>
      </c>
      <c r="W3674" s="89" t="s">
        <v>130</v>
      </c>
      <c r="X3674" s="106" t="s">
        <v>296</v>
      </c>
      <c r="Y3674" s="107" t="s">
        <v>12</v>
      </c>
      <c r="Z3674" s="67">
        <f>IF(База_КР_КК[[#This Row],[Таб.номер резервиста]]="-","-",IF(OR(База_КР_КК[[#This Row],[Уровень КК]]=2,База_КР_КК[[#This Row],[Уровень КК]]=3),IF(COUNTIFS($U$2:$U3674,$U3674,$F$2:$F3674,$F3674)=1,1,0),IF(COUNTIFS($U$2:$U3674,$U3674,$L$2:$L3674,$L3674)=1,1,0)))</f>
        <v>1</v>
      </c>
      <c r="AA36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4" s="106"/>
      <c r="AC3674" s="51"/>
      <c r="AD3674" s="106" t="s">
        <v>15</v>
      </c>
      <c r="AE3674" s="38" t="s">
        <v>369</v>
      </c>
    </row>
    <row r="3675" spans="1:31" ht="18" customHeight="1" x14ac:dyDescent="0.25">
      <c r="A36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5" s="79">
        <v>3</v>
      </c>
      <c r="C3675" s="23">
        <v>42787</v>
      </c>
      <c r="D3675" s="67">
        <f>IF(COUNTIF($G$2:$G3675,$G3675)=1,1,0)</f>
        <v>0</v>
      </c>
      <c r="E3675" s="67" t="str">
        <f>IFERROR(VLOOKUP(База_КР_КК[[#This Row],[ИД штатной должности (S)]],'уровень защищенности'!$B$7:$F$1095,5,0),"не защищена")</f>
        <v>высокий</v>
      </c>
      <c r="F3675" s="68">
        <v>500005</v>
      </c>
      <c r="G3675" s="74" t="s">
        <v>3047</v>
      </c>
      <c r="H3675" s="181">
        <f>INDEX('Списки данных'!$D$2:$D$1048576,MATCH(База_КР_КК[[#This Row],[Структурное подразделение]],'Списки данных'!$C$2:$C$1048576,0))</f>
        <v>50</v>
      </c>
      <c r="I3675" s="80" t="s">
        <v>159</v>
      </c>
      <c r="J3675" s="80" t="s">
        <v>255</v>
      </c>
      <c r="K3675" s="80" t="s">
        <v>21</v>
      </c>
      <c r="L3675" s="30" t="s">
        <v>183</v>
      </c>
      <c r="M3675" s="68">
        <v>4</v>
      </c>
      <c r="N3675" s="181" t="str">
        <f t="shared" si="58"/>
        <v>нет</v>
      </c>
      <c r="O3675" s="23"/>
      <c r="P3675" s="23"/>
      <c r="Q3675" s="106"/>
      <c r="R3675" s="37">
        <v>863</v>
      </c>
      <c r="S3675" s="39" t="s">
        <v>1272</v>
      </c>
      <c r="T3675" s="37">
        <v>983</v>
      </c>
      <c r="U3675" s="38" t="s">
        <v>1392</v>
      </c>
      <c r="V3675" s="69" t="s">
        <v>186</v>
      </c>
      <c r="W3675" s="89" t="s">
        <v>159</v>
      </c>
      <c r="X3675" s="106" t="s">
        <v>295</v>
      </c>
      <c r="Y3675" s="107" t="s">
        <v>18</v>
      </c>
      <c r="Z3675" s="67">
        <f>IF(База_КР_КК[[#This Row],[Таб.номер резервиста]]="-","-",IF(OR(База_КР_КК[[#This Row],[Уровень КК]]=2,База_КР_КК[[#This Row],[Уровень КК]]=3),IF(COUNTIFS($U$2:$U3675,$U3675,$F$2:$F3675,$F3675)=1,1,0),IF(COUNTIFS($U$2:$U3675,$U3675,$L$2:$L3675,$L3675)=1,1,0)))</f>
        <v>1</v>
      </c>
      <c r="AA36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5" s="106" t="s">
        <v>38</v>
      </c>
      <c r="AC3675" s="51">
        <v>44743</v>
      </c>
      <c r="AD3675" s="106" t="s">
        <v>31</v>
      </c>
      <c r="AE3675" s="38" t="s">
        <v>369</v>
      </c>
    </row>
    <row r="3676" spans="1:31" ht="18" customHeight="1" x14ac:dyDescent="0.25">
      <c r="A36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6" s="79">
        <v>3</v>
      </c>
      <c r="C3676" s="23">
        <v>43455</v>
      </c>
      <c r="D3676" s="67">
        <f>IF(COUNTIF($G$2:$G3676,$G3676)=1,1,0)</f>
        <v>1</v>
      </c>
      <c r="E3676" s="67" t="str">
        <f>IFERROR(VLOOKUP(База_КР_КК[[#This Row],[ИД штатной должности (S)]],'уровень защищенности'!$B$7:$F$1095,5,0),"не защищена")</f>
        <v>средний</v>
      </c>
      <c r="F3676" s="68">
        <v>500016</v>
      </c>
      <c r="G3676" s="74" t="s">
        <v>3048</v>
      </c>
      <c r="H3676" s="181">
        <f>INDEX('Списки данных'!$D$2:$D$1048576,MATCH(База_КР_КК[[#This Row],[Структурное подразделение]],'Списки данных'!$C$2:$C$1048576,0))</f>
        <v>49</v>
      </c>
      <c r="I3676" s="80" t="s">
        <v>147</v>
      </c>
      <c r="J3676" s="80" t="s">
        <v>256</v>
      </c>
      <c r="K3676" s="80" t="s">
        <v>21</v>
      </c>
      <c r="L3676" s="30" t="s">
        <v>198</v>
      </c>
      <c r="M3676" s="68">
        <v>6</v>
      </c>
      <c r="N3676" s="181" t="str">
        <f t="shared" si="58"/>
        <v>нет</v>
      </c>
      <c r="O3676" s="23"/>
      <c r="P3676" s="23"/>
      <c r="Q3676" s="106"/>
      <c r="R3676" s="37">
        <v>864</v>
      </c>
      <c r="S3676" s="38" t="s">
        <v>1273</v>
      </c>
      <c r="T3676" s="37">
        <v>1083</v>
      </c>
      <c r="U3676" s="38" t="s">
        <v>1492</v>
      </c>
      <c r="V3676" s="69" t="s">
        <v>192</v>
      </c>
      <c r="W3676" s="89" t="s">
        <v>147</v>
      </c>
      <c r="X3676" s="106" t="s">
        <v>297</v>
      </c>
      <c r="Y3676" s="107" t="s">
        <v>12</v>
      </c>
      <c r="Z3676" s="67">
        <f>IF(База_КР_КК[[#This Row],[Таб.номер резервиста]]="-","-",IF(OR(База_КР_КК[[#This Row],[Уровень КК]]=2,База_КР_КК[[#This Row],[Уровень КК]]=3),IF(COUNTIFS($U$2:$U3676,$U3676,$F$2:$F3676,$F3676)=1,1,0),IF(COUNTIFS($U$2:$U3676,$U3676,$L$2:$L3676,$L3676)=1,1,0)))</f>
        <v>1</v>
      </c>
      <c r="AA36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6" s="106"/>
      <c r="AC3676" s="51"/>
      <c r="AD3676" s="106" t="s">
        <v>13</v>
      </c>
      <c r="AE3676" s="38" t="s">
        <v>389</v>
      </c>
    </row>
    <row r="3677" spans="1:31" ht="18" customHeight="1" x14ac:dyDescent="0.25">
      <c r="A36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7" s="79">
        <v>3</v>
      </c>
      <c r="C3677" s="23">
        <v>43455</v>
      </c>
      <c r="D3677" s="67">
        <f>IF(COUNTIF($G$2:$G3677,$G3677)=1,1,0)</f>
        <v>1</v>
      </c>
      <c r="E3677" s="67" t="str">
        <f>IFERROR(VLOOKUP(База_КР_КК[[#This Row],[ИД штатной должности (S)]],'уровень защищенности'!$B$7:$F$1095,5,0),"не защищена")</f>
        <v>высокий</v>
      </c>
      <c r="F3677" s="68">
        <v>500027</v>
      </c>
      <c r="G3677" s="74" t="s">
        <v>3049</v>
      </c>
      <c r="H3677" s="181">
        <f>INDEX('Списки данных'!$D$2:$D$1048576,MATCH(База_КР_КК[[#This Row],[Структурное подразделение]],'Списки данных'!$C$2:$C$1048576,0))</f>
        <v>51</v>
      </c>
      <c r="I3677" s="80" t="s">
        <v>134</v>
      </c>
      <c r="J3677" s="80" t="s">
        <v>257</v>
      </c>
      <c r="K3677" s="80" t="s">
        <v>21</v>
      </c>
      <c r="L3677" s="30" t="s">
        <v>183</v>
      </c>
      <c r="M3677" s="68">
        <v>5</v>
      </c>
      <c r="N3677" s="181" t="str">
        <f t="shared" si="58"/>
        <v>да</v>
      </c>
      <c r="O3677" s="23">
        <v>44499</v>
      </c>
      <c r="P3677" s="23">
        <v>44713</v>
      </c>
      <c r="Q3677" s="106" t="s">
        <v>57</v>
      </c>
      <c r="R3677" s="37">
        <v>865</v>
      </c>
      <c r="S3677" s="38" t="s">
        <v>1274</v>
      </c>
      <c r="T3677" s="37">
        <v>888</v>
      </c>
      <c r="U3677" s="38" t="s">
        <v>1297</v>
      </c>
      <c r="V3677" s="69" t="s">
        <v>186</v>
      </c>
      <c r="W3677" s="89" t="s">
        <v>134</v>
      </c>
      <c r="X3677" s="106" t="s">
        <v>295</v>
      </c>
      <c r="Y3677" s="107" t="s">
        <v>12</v>
      </c>
      <c r="Z3677" s="67">
        <f>IF(База_КР_КК[[#This Row],[Таб.номер резервиста]]="-","-",IF(OR(База_КР_КК[[#This Row],[Уровень КК]]=2,База_КР_КК[[#This Row],[Уровень КК]]=3),IF(COUNTIFS($U$2:$U3677,$U3677,$F$2:$F3677,$F3677)=1,1,0),IF(COUNTIFS($U$2:$U3677,$U3677,$L$2:$L3677,$L3677)=1,1,0)))</f>
        <v>1</v>
      </c>
      <c r="AA36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7" s="106"/>
      <c r="AC3677" s="51"/>
      <c r="AD3677" s="106" t="s">
        <v>17</v>
      </c>
      <c r="AE3677" s="38" t="s">
        <v>369</v>
      </c>
    </row>
    <row r="3678" spans="1:31" ht="18" customHeight="1" x14ac:dyDescent="0.25">
      <c r="A36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8" s="79">
        <v>3</v>
      </c>
      <c r="C3678" s="23">
        <v>43455</v>
      </c>
      <c r="D3678" s="67">
        <f>IF(COUNTIF($G$2:$G3678,$G3678)=1,1,0)</f>
        <v>0</v>
      </c>
      <c r="E3678" s="67" t="str">
        <f>IFERROR(VLOOKUP(База_КР_КК[[#This Row],[ИД штатной должности (S)]],'уровень защищенности'!$B$7:$F$1095,5,0),"не защищена")</f>
        <v>высокий</v>
      </c>
      <c r="F3678" s="68">
        <v>500027</v>
      </c>
      <c r="G3678" s="74" t="s">
        <v>3049</v>
      </c>
      <c r="H3678" s="181">
        <f>INDEX('Списки данных'!$D$2:$D$1048576,MATCH(База_КР_КК[[#This Row],[Структурное подразделение]],'Списки данных'!$C$2:$C$1048576,0))</f>
        <v>51</v>
      </c>
      <c r="I3678" s="80" t="s">
        <v>134</v>
      </c>
      <c r="J3678" s="80" t="s">
        <v>257</v>
      </c>
      <c r="K3678" s="80" t="s">
        <v>21</v>
      </c>
      <c r="L3678" s="30" t="s">
        <v>183</v>
      </c>
      <c r="M3678" s="68">
        <v>5</v>
      </c>
      <c r="N3678" s="181" t="str">
        <f t="shared" si="58"/>
        <v>да</v>
      </c>
      <c r="O3678" s="23">
        <v>44499</v>
      </c>
      <c r="P3678" s="23">
        <v>44713</v>
      </c>
      <c r="Q3678" s="106" t="s">
        <v>57</v>
      </c>
      <c r="R3678" s="37">
        <v>865</v>
      </c>
      <c r="S3678" s="38" t="s">
        <v>1274</v>
      </c>
      <c r="T3678" s="37">
        <v>916</v>
      </c>
      <c r="U3678" s="38" t="s">
        <v>1325</v>
      </c>
      <c r="V3678" s="69" t="s">
        <v>186</v>
      </c>
      <c r="W3678" s="89" t="s">
        <v>134</v>
      </c>
      <c r="X3678" s="106" t="s">
        <v>297</v>
      </c>
      <c r="Y3678" s="107" t="s">
        <v>12</v>
      </c>
      <c r="Z3678" s="67">
        <f>IF(База_КР_КК[[#This Row],[Таб.номер резервиста]]="-","-",IF(OR(База_КР_КК[[#This Row],[Уровень КК]]=2,База_КР_КК[[#This Row],[Уровень КК]]=3),IF(COUNTIFS($U$2:$U3678,$U3678,$F$2:$F3678,$F3678)=1,1,0),IF(COUNTIFS($U$2:$U3678,$U3678,$L$2:$L3678,$L3678)=1,1,0)))</f>
        <v>1</v>
      </c>
      <c r="AA36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8" s="106"/>
      <c r="AC3678" s="51"/>
      <c r="AD3678" s="106" t="s">
        <v>22</v>
      </c>
      <c r="AE3678" s="38" t="s">
        <v>369</v>
      </c>
    </row>
    <row r="3679" spans="1:31" ht="18" customHeight="1" x14ac:dyDescent="0.25">
      <c r="A36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79" s="79">
        <v>3</v>
      </c>
      <c r="C3679" s="23">
        <v>42787</v>
      </c>
      <c r="D3679" s="67">
        <f>IF(COUNTIF($G$2:$G3679,$G3679)=1,1,0)</f>
        <v>0</v>
      </c>
      <c r="E3679" s="67" t="str">
        <f>IFERROR(VLOOKUP(База_КР_КК[[#This Row],[ИД штатной должности (S)]],'уровень защищенности'!$B$7:$F$1095,5,0),"не защищена")</f>
        <v>высокий</v>
      </c>
      <c r="F3679" s="68">
        <v>500027</v>
      </c>
      <c r="G3679" s="74" t="s">
        <v>3049</v>
      </c>
      <c r="H3679" s="181">
        <f>INDEX('Списки данных'!$D$2:$D$1048576,MATCH(База_КР_КК[[#This Row],[Структурное подразделение]],'Списки данных'!$C$2:$C$1048576,0))</f>
        <v>51</v>
      </c>
      <c r="I3679" s="80" t="s">
        <v>134</v>
      </c>
      <c r="J3679" s="80" t="s">
        <v>257</v>
      </c>
      <c r="K3679" s="80" t="s">
        <v>21</v>
      </c>
      <c r="L3679" s="30" t="s">
        <v>183</v>
      </c>
      <c r="M3679" s="68">
        <v>5</v>
      </c>
      <c r="N3679" s="181" t="str">
        <f t="shared" si="58"/>
        <v>да</v>
      </c>
      <c r="O3679" s="23">
        <v>44499</v>
      </c>
      <c r="P3679" s="23">
        <v>44713</v>
      </c>
      <c r="Q3679" s="106" t="s">
        <v>57</v>
      </c>
      <c r="R3679" s="37">
        <v>865</v>
      </c>
      <c r="S3679" s="38" t="s">
        <v>1274</v>
      </c>
      <c r="T3679" s="37">
        <v>1971</v>
      </c>
      <c r="U3679" s="38" t="s">
        <v>2049</v>
      </c>
      <c r="V3679" s="69" t="s">
        <v>189</v>
      </c>
      <c r="W3679" s="89" t="s">
        <v>277</v>
      </c>
      <c r="X3679" s="106" t="s">
        <v>296</v>
      </c>
      <c r="Y3679" s="107" t="s">
        <v>18</v>
      </c>
      <c r="Z3679" s="67">
        <f>IF(База_КР_КК[[#This Row],[Таб.номер резервиста]]="-","-",IF(OR(База_КР_КК[[#This Row],[Уровень КК]]=2,База_КР_КК[[#This Row],[Уровень КК]]=3),IF(COUNTIFS($U$2:$U3679,$U3679,$F$2:$F3679,$F3679)=1,1,0),IF(COUNTIFS($U$2:$U3679,$U3679,$L$2:$L3679,$L3679)=1,1,0)))</f>
        <v>1</v>
      </c>
      <c r="AA36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79" s="106" t="s">
        <v>38</v>
      </c>
      <c r="AC3679" s="51">
        <v>44743</v>
      </c>
      <c r="AD3679" s="106" t="s">
        <v>31</v>
      </c>
      <c r="AE3679" s="38" t="s">
        <v>369</v>
      </c>
    </row>
    <row r="3680" spans="1:31" ht="18" customHeight="1" x14ac:dyDescent="0.25">
      <c r="A36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0" s="79">
        <v>4</v>
      </c>
      <c r="C3680" s="23">
        <v>44896</v>
      </c>
      <c r="D3680" s="67">
        <f>IF(COUNTIF($G$2:$G3680,$G3680)=1,1,0)</f>
        <v>1</v>
      </c>
      <c r="E3680" s="67" t="str">
        <f>IFERROR(VLOOKUP(База_КР_КК[[#This Row],[ИД штатной должности (S)]],'уровень защищенности'!$B$7:$F$1095,5,0),"не защищена")</f>
        <v>низкий</v>
      </c>
      <c r="F3680" s="68">
        <v>500028</v>
      </c>
      <c r="G3680" s="74" t="s">
        <v>3050</v>
      </c>
      <c r="H3680" s="181">
        <f>INDEX('Списки данных'!$D$2:$D$1048576,MATCH(База_КР_КК[[#This Row],[Структурное подразделение]],'Списки данных'!$C$2:$C$1048576,0))</f>
        <v>51</v>
      </c>
      <c r="I3680" s="80" t="s">
        <v>134</v>
      </c>
      <c r="J3680" s="80" t="s">
        <v>21</v>
      </c>
      <c r="K3680" s="80" t="s">
        <v>21</v>
      </c>
      <c r="L3680" s="30" t="s">
        <v>189</v>
      </c>
      <c r="M3680" s="68">
        <v>7</v>
      </c>
      <c r="N3680" s="181" t="str">
        <f t="shared" si="58"/>
        <v>нет</v>
      </c>
      <c r="O3680" s="23"/>
      <c r="P3680" s="23"/>
      <c r="Q3680" s="106"/>
      <c r="R3680" s="37">
        <v>866</v>
      </c>
      <c r="S3680" s="37" t="s">
        <v>1275</v>
      </c>
      <c r="T3680" s="37">
        <v>1972</v>
      </c>
      <c r="U3680" s="37" t="s">
        <v>2089</v>
      </c>
      <c r="V3680" s="69" t="s">
        <v>272</v>
      </c>
      <c r="W3680" s="89" t="s">
        <v>134</v>
      </c>
      <c r="X3680" s="106" t="s">
        <v>296</v>
      </c>
      <c r="Y3680" s="107" t="s">
        <v>12</v>
      </c>
      <c r="Z3680" s="67">
        <f>IF(База_КР_КК[[#This Row],[Таб.номер резервиста]]="-","-",IF(OR(База_КР_КК[[#This Row],[Уровень КК]]=2,База_КР_КК[[#This Row],[Уровень КК]]=3),IF(COUNTIFS($U$2:$U3680,$U3680,$F$2:$F3680,$F3680)=1,1,0),IF(COUNTIFS($U$2:$U3680,$U3680,$L$2:$L3680,$L3680)=1,1,0)))</f>
        <v>0</v>
      </c>
      <c r="AA36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0" s="106"/>
      <c r="AC3680" s="51"/>
      <c r="AD3680" s="106" t="s">
        <v>15</v>
      </c>
      <c r="AE3680" s="40" t="s">
        <v>390</v>
      </c>
    </row>
    <row r="3681" spans="1:31" ht="18" customHeight="1" x14ac:dyDescent="0.25">
      <c r="A36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1" s="79">
        <v>4</v>
      </c>
      <c r="C3681" s="23">
        <v>44190</v>
      </c>
      <c r="D3681" s="67">
        <f>IF(COUNTIF($G$2:$G3681,$G3681)=1,1,0)</f>
        <v>0</v>
      </c>
      <c r="E3681" s="67" t="str">
        <f>IFERROR(VLOOKUP(База_КР_КК[[#This Row],[ИД штатной должности (S)]],'уровень защищенности'!$B$7:$F$1095,5,0),"не защищена")</f>
        <v>низкий</v>
      </c>
      <c r="F3681" s="68">
        <v>500028</v>
      </c>
      <c r="G3681" s="74" t="s">
        <v>3050</v>
      </c>
      <c r="H3681" s="181">
        <f>INDEX('Списки данных'!$D$2:$D$1048576,MATCH(База_КР_КК[[#This Row],[Структурное подразделение]],'Списки данных'!$C$2:$C$1048576,0))</f>
        <v>51</v>
      </c>
      <c r="I3681" s="80" t="s">
        <v>134</v>
      </c>
      <c r="J3681" s="80" t="s">
        <v>21</v>
      </c>
      <c r="K3681" s="80" t="s">
        <v>21</v>
      </c>
      <c r="L3681" s="30" t="s">
        <v>189</v>
      </c>
      <c r="M3681" s="68">
        <v>7</v>
      </c>
      <c r="N3681" s="181" t="str">
        <f t="shared" si="58"/>
        <v>нет</v>
      </c>
      <c r="O3681" s="23"/>
      <c r="P3681" s="23"/>
      <c r="Q3681" s="106"/>
      <c r="R3681" s="37">
        <v>866</v>
      </c>
      <c r="S3681" s="37" t="s">
        <v>1275</v>
      </c>
      <c r="T3681" s="37">
        <v>911</v>
      </c>
      <c r="U3681" s="37" t="s">
        <v>1320</v>
      </c>
      <c r="V3681" s="89" t="s">
        <v>192</v>
      </c>
      <c r="W3681" s="89" t="s">
        <v>134</v>
      </c>
      <c r="X3681" s="106" t="s">
        <v>296</v>
      </c>
      <c r="Y3681" s="107" t="s">
        <v>18</v>
      </c>
      <c r="Z3681" s="67">
        <f>IF(База_КР_КК[[#This Row],[Таб.номер резервиста]]="-","-",IF(OR(База_КР_КК[[#This Row],[Уровень КК]]=2,База_КР_КК[[#This Row],[Уровень КК]]=3),IF(COUNTIFS($U$2:$U3681,$U3681,$F$2:$F3681,$F3681)=1,1,0),IF(COUNTIFS($U$2:$U3681,$U3681,$L$2:$L3681,$L3681)=1,1,0)))</f>
        <v>1</v>
      </c>
      <c r="AA36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1" s="106" t="s">
        <v>20</v>
      </c>
      <c r="AC3681" s="51">
        <v>44896</v>
      </c>
      <c r="AD3681" s="106" t="s">
        <v>31</v>
      </c>
      <c r="AE3681" s="40" t="s">
        <v>390</v>
      </c>
    </row>
    <row r="3682" spans="1:31" ht="18" customHeight="1" x14ac:dyDescent="0.25">
      <c r="A36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2" s="79">
        <v>3</v>
      </c>
      <c r="C3682" s="23">
        <v>43455</v>
      </c>
      <c r="D3682" s="67">
        <f>IF(COUNTIF($G$2:$G3682,$G3682)=1,1,0)</f>
        <v>1</v>
      </c>
      <c r="E3682" s="67" t="str">
        <f>IFERROR(VLOOKUP(База_КР_КК[[#This Row],[ИД штатной должности (S)]],'уровень защищенности'!$B$7:$F$1095,5,0),"не защищена")</f>
        <v>средний</v>
      </c>
      <c r="F3682" s="68">
        <v>500348</v>
      </c>
      <c r="G3682" s="74" t="s">
        <v>3051</v>
      </c>
      <c r="H3682" s="181">
        <f>INDEX('Списки данных'!$D$2:$D$1048576,MATCH(База_КР_КК[[#This Row],[Структурное подразделение]],'Списки данных'!$C$2:$C$1048576,0))</f>
        <v>49</v>
      </c>
      <c r="I3682" s="80" t="s">
        <v>147</v>
      </c>
      <c r="J3682" s="80" t="s">
        <v>256</v>
      </c>
      <c r="K3682" s="80" t="s">
        <v>21</v>
      </c>
      <c r="L3682" s="30" t="s">
        <v>186</v>
      </c>
      <c r="M3682" s="68">
        <v>5</v>
      </c>
      <c r="N3682" s="181" t="str">
        <f t="shared" si="58"/>
        <v>нет</v>
      </c>
      <c r="O3682" s="23"/>
      <c r="P3682" s="23"/>
      <c r="Q3682" s="106"/>
      <c r="R3682" s="37">
        <v>867</v>
      </c>
      <c r="S3682" s="38" t="s">
        <v>1276</v>
      </c>
      <c r="T3682" s="37">
        <v>868</v>
      </c>
      <c r="U3682" s="38" t="s">
        <v>1277</v>
      </c>
      <c r="V3682" s="69" t="s">
        <v>192</v>
      </c>
      <c r="W3682" s="89" t="s">
        <v>147</v>
      </c>
      <c r="X3682" s="106" t="s">
        <v>297</v>
      </c>
      <c r="Y3682" s="107" t="s">
        <v>12</v>
      </c>
      <c r="Z3682" s="67">
        <f>IF(База_КР_КК[[#This Row],[Таб.номер резервиста]]="-","-",IF(OR(База_КР_КК[[#This Row],[Уровень КК]]=2,База_КР_КК[[#This Row],[Уровень КК]]=3),IF(COUNTIFS($U$2:$U3682,$U3682,$F$2:$F3682,$F3682)=1,1,0),IF(COUNTIFS($U$2:$U3682,$U3682,$L$2:$L3682,$L3682)=1,1,0)))</f>
        <v>1</v>
      </c>
      <c r="AA36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2" s="106"/>
      <c r="AC3682" s="51"/>
      <c r="AD3682" s="106" t="s">
        <v>13</v>
      </c>
      <c r="AE3682" s="38" t="s">
        <v>389</v>
      </c>
    </row>
    <row r="3683" spans="1:31" ht="18" customHeight="1" x14ac:dyDescent="0.25">
      <c r="A36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3" s="79">
        <v>4</v>
      </c>
      <c r="C3683" s="23">
        <v>44525</v>
      </c>
      <c r="D3683" s="67">
        <f>IF(COUNTIF($G$2:$G3683,$G3683)=1,1,0)</f>
        <v>1</v>
      </c>
      <c r="E3683" s="67" t="str">
        <f>IFERROR(VLOOKUP(База_КР_КК[[#This Row],[ИД штатной должности (S)]],'уровень защищенности'!$B$7:$F$1095,5,0),"не защищена")</f>
        <v>средний</v>
      </c>
      <c r="F3683" s="68">
        <v>500349</v>
      </c>
      <c r="G3683" s="74" t="s">
        <v>3052</v>
      </c>
      <c r="H3683" s="181">
        <f>INDEX('Списки данных'!$D$2:$D$1048576,MATCH(База_КР_КК[[#This Row],[Структурное подразделение]],'Списки данных'!$C$2:$C$1048576,0))</f>
        <v>49</v>
      </c>
      <c r="I3683" s="80" t="s">
        <v>147</v>
      </c>
      <c r="J3683" s="80" t="s">
        <v>256</v>
      </c>
      <c r="K3683" s="80" t="s">
        <v>21</v>
      </c>
      <c r="L3683" s="30" t="s">
        <v>191</v>
      </c>
      <c r="M3683" s="68">
        <v>7</v>
      </c>
      <c r="N3683" s="181" t="str">
        <f t="shared" si="58"/>
        <v>нет</v>
      </c>
      <c r="O3683" s="23"/>
      <c r="P3683" s="23"/>
      <c r="Q3683" s="106"/>
      <c r="R3683" s="37">
        <v>868</v>
      </c>
      <c r="S3683" s="37" t="s">
        <v>1277</v>
      </c>
      <c r="T3683" s="37">
        <v>1973</v>
      </c>
      <c r="U3683" s="37" t="s">
        <v>2113</v>
      </c>
      <c r="V3683" s="69" t="s">
        <v>272</v>
      </c>
      <c r="W3683" s="89" t="s">
        <v>147</v>
      </c>
      <c r="X3683" s="106" t="s">
        <v>297</v>
      </c>
      <c r="Y3683" s="107" t="s">
        <v>12</v>
      </c>
      <c r="Z3683" s="67">
        <f>IF(База_КР_КК[[#This Row],[Таб.номер резервиста]]="-","-",IF(OR(База_КР_КК[[#This Row],[Уровень КК]]=2,База_КР_КК[[#This Row],[Уровень КК]]=3),IF(COUNTIFS($U$2:$U3683,$U3683,$F$2:$F3683,$F3683)=1,1,0),IF(COUNTIFS($U$2:$U3683,$U3683,$L$2:$L3683,$L3683)=1,1,0)))</f>
        <v>1</v>
      </c>
      <c r="AA36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3" s="106"/>
      <c r="AC3683" s="51"/>
      <c r="AD3683" s="106" t="s">
        <v>15</v>
      </c>
      <c r="AE3683" s="38" t="s">
        <v>391</v>
      </c>
    </row>
    <row r="3684" spans="1:31" ht="18" customHeight="1" x14ac:dyDescent="0.25">
      <c r="A36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4" s="79">
        <v>4</v>
      </c>
      <c r="C3684" s="23">
        <v>44525</v>
      </c>
      <c r="D3684" s="67">
        <f>IF(COUNTIF($G$2:$G3684,$G3684)=1,1,0)</f>
        <v>0</v>
      </c>
      <c r="E3684" s="67" t="str">
        <f>IFERROR(VLOOKUP(База_КР_КК[[#This Row],[ИД штатной должности (S)]],'уровень защищенности'!$B$7:$F$1095,5,0),"не защищена")</f>
        <v>средний</v>
      </c>
      <c r="F3684" s="68">
        <v>500349</v>
      </c>
      <c r="G3684" s="74" t="s">
        <v>3052</v>
      </c>
      <c r="H3684" s="181">
        <f>INDEX('Списки данных'!$D$2:$D$1048576,MATCH(База_КР_КК[[#This Row],[Структурное подразделение]],'Списки данных'!$C$2:$C$1048576,0))</f>
        <v>49</v>
      </c>
      <c r="I3684" s="80" t="s">
        <v>147</v>
      </c>
      <c r="J3684" s="80" t="s">
        <v>256</v>
      </c>
      <c r="K3684" s="80" t="s">
        <v>21</v>
      </c>
      <c r="L3684" s="30" t="s">
        <v>191</v>
      </c>
      <c r="M3684" s="68">
        <v>7</v>
      </c>
      <c r="N3684" s="181" t="str">
        <f t="shared" si="58"/>
        <v>нет</v>
      </c>
      <c r="O3684" s="23"/>
      <c r="P3684" s="23"/>
      <c r="Q3684" s="106"/>
      <c r="R3684" s="37">
        <v>868</v>
      </c>
      <c r="S3684" s="37" t="s">
        <v>1277</v>
      </c>
      <c r="T3684" s="37">
        <v>1974</v>
      </c>
      <c r="U3684" s="37" t="s">
        <v>2095</v>
      </c>
      <c r="V3684" s="69" t="s">
        <v>272</v>
      </c>
      <c r="W3684" s="89" t="s">
        <v>147</v>
      </c>
      <c r="X3684" s="106" t="s">
        <v>296</v>
      </c>
      <c r="Y3684" s="107" t="s">
        <v>12</v>
      </c>
      <c r="Z3684" s="67">
        <f>IF(База_КР_КК[[#This Row],[Таб.номер резервиста]]="-","-",IF(OR(База_КР_КК[[#This Row],[Уровень КК]]=2,База_КР_КК[[#This Row],[Уровень КК]]=3),IF(COUNTIFS($U$2:$U3684,$U3684,$F$2:$F3684,$F3684)=1,1,0),IF(COUNTIFS($U$2:$U3684,$U3684,$L$2:$L3684,$L3684)=1,1,0)))</f>
        <v>0</v>
      </c>
      <c r="AA36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4" s="106"/>
      <c r="AC3684" s="51"/>
      <c r="AD3684" s="106" t="s">
        <v>15</v>
      </c>
      <c r="AE3684" s="38" t="s">
        <v>391</v>
      </c>
    </row>
    <row r="3685" spans="1:31" ht="18" customHeight="1" x14ac:dyDescent="0.25">
      <c r="A36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5" s="79">
        <v>4</v>
      </c>
      <c r="C3685" s="23">
        <v>44888</v>
      </c>
      <c r="D3685" s="67">
        <f>IF(COUNTIF($G$2:$G3685,$G3685)=1,1,0)</f>
        <v>0</v>
      </c>
      <c r="E3685" s="67" t="str">
        <f>IFERROR(VLOOKUP(База_КР_КК[[#This Row],[ИД штатной должности (S)]],'уровень защищенности'!$B$7:$F$1095,5,0),"не защищена")</f>
        <v>средний</v>
      </c>
      <c r="F3685" s="68">
        <v>500349</v>
      </c>
      <c r="G3685" s="74" t="s">
        <v>3052</v>
      </c>
      <c r="H3685" s="181">
        <f>INDEX('Списки данных'!$D$2:$D$1048576,MATCH(База_КР_КК[[#This Row],[Структурное подразделение]],'Списки данных'!$C$2:$C$1048576,0))</f>
        <v>49</v>
      </c>
      <c r="I3685" s="80" t="s">
        <v>147</v>
      </c>
      <c r="J3685" s="80" t="s">
        <v>256</v>
      </c>
      <c r="K3685" s="80" t="s">
        <v>21</v>
      </c>
      <c r="L3685" s="30" t="s">
        <v>191</v>
      </c>
      <c r="M3685" s="68">
        <v>7</v>
      </c>
      <c r="N3685" s="181" t="str">
        <f t="shared" si="58"/>
        <v>нет</v>
      </c>
      <c r="O3685" s="23"/>
      <c r="P3685" s="23"/>
      <c r="Q3685" s="106"/>
      <c r="R3685" s="37">
        <v>868</v>
      </c>
      <c r="S3685" s="37" t="s">
        <v>1277</v>
      </c>
      <c r="T3685" s="37">
        <v>1975</v>
      </c>
      <c r="U3685" s="37" t="s">
        <v>2014</v>
      </c>
      <c r="V3685" s="69" t="s">
        <v>16</v>
      </c>
      <c r="W3685" s="89" t="s">
        <v>147</v>
      </c>
      <c r="X3685" s="106" t="s">
        <v>296</v>
      </c>
      <c r="Y3685" s="107" t="s">
        <v>12</v>
      </c>
      <c r="Z3685" s="67">
        <f>IF(База_КР_КК[[#This Row],[Таб.номер резервиста]]="-","-",IF(OR(База_КР_КК[[#This Row],[Уровень КК]]=2,База_КР_КК[[#This Row],[Уровень КК]]=3),IF(COUNTIFS($U$2:$U3685,$U3685,$F$2:$F3685,$F3685)=1,1,0),IF(COUNTIFS($U$2:$U3685,$U3685,$L$2:$L3685,$L3685)=1,1,0)))</f>
        <v>0</v>
      </c>
      <c r="AA36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5" s="106"/>
      <c r="AC3685" s="51"/>
      <c r="AD3685" s="106" t="s">
        <v>15</v>
      </c>
      <c r="AE3685" s="38" t="s">
        <v>356</v>
      </c>
    </row>
    <row r="3686" spans="1:31" ht="18" customHeight="1" x14ac:dyDescent="0.25">
      <c r="A36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6" s="79">
        <v>4</v>
      </c>
      <c r="C3686" s="23">
        <v>44525</v>
      </c>
      <c r="D3686" s="67">
        <f>IF(COUNTIF($G$2:$G3686,$G3686)=1,1,0)</f>
        <v>0</v>
      </c>
      <c r="E3686" s="67" t="str">
        <f>IFERROR(VLOOKUP(База_КР_КК[[#This Row],[ИД штатной должности (S)]],'уровень защищенности'!$B$7:$F$1095,5,0),"не защищена")</f>
        <v>средний</v>
      </c>
      <c r="F3686" s="68">
        <v>500349</v>
      </c>
      <c r="G3686" s="74" t="s">
        <v>3052</v>
      </c>
      <c r="H3686" s="181">
        <f>INDEX('Списки данных'!$D$2:$D$1048576,MATCH(База_КР_КК[[#This Row],[Структурное подразделение]],'Списки данных'!$C$2:$C$1048576,0))</f>
        <v>49</v>
      </c>
      <c r="I3686" s="80" t="s">
        <v>147</v>
      </c>
      <c r="J3686" s="80" t="s">
        <v>256</v>
      </c>
      <c r="K3686" s="80" t="s">
        <v>21</v>
      </c>
      <c r="L3686" s="30" t="s">
        <v>191</v>
      </c>
      <c r="M3686" s="68">
        <v>7</v>
      </c>
      <c r="N3686" s="181" t="str">
        <f t="shared" si="58"/>
        <v>нет</v>
      </c>
      <c r="O3686" s="23"/>
      <c r="P3686" s="23"/>
      <c r="Q3686" s="106"/>
      <c r="R3686" s="37">
        <v>868</v>
      </c>
      <c r="S3686" s="37" t="s">
        <v>1277</v>
      </c>
      <c r="T3686" s="37">
        <v>869</v>
      </c>
      <c r="U3686" s="37" t="s">
        <v>1278</v>
      </c>
      <c r="V3686" s="69" t="s">
        <v>192</v>
      </c>
      <c r="W3686" s="89" t="s">
        <v>147</v>
      </c>
      <c r="X3686" s="106" t="s">
        <v>296</v>
      </c>
      <c r="Y3686" s="107" t="s">
        <v>14</v>
      </c>
      <c r="Z3686" s="67">
        <f>IF(База_КР_КК[[#This Row],[Таб.номер резервиста]]="-","-",IF(OR(База_КР_КК[[#This Row],[Уровень КК]]=2,База_КР_КК[[#This Row],[Уровень КК]]=3),IF(COUNTIFS($U$2:$U3686,$U3686,$F$2:$F3686,$F3686)=1,1,0),IF(COUNTIFS($U$2:$U3686,$U3686,$L$2:$L3686,$L3686)=1,1,0)))</f>
        <v>1</v>
      </c>
      <c r="AA36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6" s="106" t="s">
        <v>24</v>
      </c>
      <c r="AC3686" s="51">
        <v>44825</v>
      </c>
      <c r="AD3686" s="106" t="s">
        <v>15</v>
      </c>
      <c r="AE3686" s="38" t="s">
        <v>391</v>
      </c>
    </row>
    <row r="3687" spans="1:31" ht="18" customHeight="1" x14ac:dyDescent="0.25">
      <c r="A36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7" s="79">
        <v>4</v>
      </c>
      <c r="C3687" s="23">
        <v>44525</v>
      </c>
      <c r="D3687" s="67">
        <f>IF(COUNTIF($G$2:$G3687,$G3687)=1,1,0)</f>
        <v>1</v>
      </c>
      <c r="E3687" s="67" t="str">
        <f>IFERROR(VLOOKUP(База_КР_КК[[#This Row],[ИД штатной должности (S)]],'уровень защищенности'!$B$7:$F$1095,5,0),"не защищена")</f>
        <v>средний</v>
      </c>
      <c r="F3687" s="68">
        <v>500349</v>
      </c>
      <c r="G3687" s="74" t="s">
        <v>3053</v>
      </c>
      <c r="H3687" s="181">
        <f>INDEX('Списки данных'!$D$2:$D$1048576,MATCH(База_КР_КК[[#This Row],[Структурное подразделение]],'Списки данных'!$C$2:$C$1048576,0))</f>
        <v>49</v>
      </c>
      <c r="I3687" s="80" t="s">
        <v>147</v>
      </c>
      <c r="J3687" s="80" t="s">
        <v>256</v>
      </c>
      <c r="K3687" s="80" t="s">
        <v>21</v>
      </c>
      <c r="L3687" s="30" t="s">
        <v>191</v>
      </c>
      <c r="M3687" s="68">
        <v>7</v>
      </c>
      <c r="N3687" s="181" t="str">
        <f t="shared" si="58"/>
        <v>да</v>
      </c>
      <c r="O3687" s="23">
        <v>44808</v>
      </c>
      <c r="P3687" s="23">
        <v>44825</v>
      </c>
      <c r="Q3687" s="106" t="s">
        <v>66</v>
      </c>
      <c r="R3687" s="37">
        <v>869</v>
      </c>
      <c r="S3687" s="37" t="s">
        <v>1278</v>
      </c>
      <c r="T3687" s="37">
        <v>1973</v>
      </c>
      <c r="U3687" s="37" t="s">
        <v>2113</v>
      </c>
      <c r="V3687" s="69" t="s">
        <v>272</v>
      </c>
      <c r="W3687" s="89" t="s">
        <v>147</v>
      </c>
      <c r="X3687" s="106" t="s">
        <v>297</v>
      </c>
      <c r="Y3687" s="107" t="s">
        <v>12</v>
      </c>
      <c r="Z3687" s="67">
        <f>IF(База_КР_КК[[#This Row],[Таб.номер резервиста]]="-","-",IF(OR(База_КР_КК[[#This Row],[Уровень КК]]=2,База_КР_КК[[#This Row],[Уровень КК]]=3),IF(COUNTIFS($U$2:$U3687,$U3687,$F$2:$F3687,$F3687)=1,1,0),IF(COUNTIFS($U$2:$U3687,$U3687,$L$2:$L3687,$L3687)=1,1,0)))</f>
        <v>0</v>
      </c>
      <c r="AA36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7" s="106"/>
      <c r="AC3687" s="51"/>
      <c r="AD3687" s="106" t="s">
        <v>15</v>
      </c>
      <c r="AE3687" s="38" t="s">
        <v>391</v>
      </c>
    </row>
    <row r="3688" spans="1:31" ht="18" customHeight="1" x14ac:dyDescent="0.25">
      <c r="A36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8" s="79">
        <v>4</v>
      </c>
      <c r="C3688" s="23">
        <v>44525</v>
      </c>
      <c r="D3688" s="67">
        <f>IF(COUNTIF($G$2:$G3688,$G3688)=1,1,0)</f>
        <v>0</v>
      </c>
      <c r="E3688" s="67" t="str">
        <f>IFERROR(VLOOKUP(База_КР_КК[[#This Row],[ИД штатной должности (S)]],'уровень защищенности'!$B$7:$F$1095,5,0),"не защищена")</f>
        <v>средний</v>
      </c>
      <c r="F3688" s="68">
        <v>500349</v>
      </c>
      <c r="G3688" s="74" t="s">
        <v>3053</v>
      </c>
      <c r="H3688" s="181">
        <f>INDEX('Списки данных'!$D$2:$D$1048576,MATCH(База_КР_КК[[#This Row],[Структурное подразделение]],'Списки данных'!$C$2:$C$1048576,0))</f>
        <v>49</v>
      </c>
      <c r="I3688" s="80" t="s">
        <v>147</v>
      </c>
      <c r="J3688" s="80" t="s">
        <v>256</v>
      </c>
      <c r="K3688" s="80" t="s">
        <v>21</v>
      </c>
      <c r="L3688" s="30" t="s">
        <v>191</v>
      </c>
      <c r="M3688" s="68">
        <v>7</v>
      </c>
      <c r="N3688" s="181" t="str">
        <f t="shared" si="58"/>
        <v>да</v>
      </c>
      <c r="O3688" s="23">
        <v>44808</v>
      </c>
      <c r="P3688" s="23">
        <v>44825</v>
      </c>
      <c r="Q3688" s="106" t="s">
        <v>66</v>
      </c>
      <c r="R3688" s="37">
        <v>869</v>
      </c>
      <c r="S3688" s="37" t="s">
        <v>1278</v>
      </c>
      <c r="T3688" s="37">
        <v>1974</v>
      </c>
      <c r="U3688" s="37" t="s">
        <v>2095</v>
      </c>
      <c r="V3688" s="69" t="s">
        <v>272</v>
      </c>
      <c r="W3688" s="89" t="s">
        <v>147</v>
      </c>
      <c r="X3688" s="106" t="s">
        <v>296</v>
      </c>
      <c r="Y3688" s="107" t="s">
        <v>12</v>
      </c>
      <c r="Z3688" s="67">
        <f>IF(База_КР_КК[[#This Row],[Таб.номер резервиста]]="-","-",IF(OR(База_КР_КК[[#This Row],[Уровень КК]]=2,База_КР_КК[[#This Row],[Уровень КК]]=3),IF(COUNTIFS($U$2:$U3688,$U3688,$F$2:$F3688,$F3688)=1,1,0),IF(COUNTIFS($U$2:$U3688,$U3688,$L$2:$L3688,$L3688)=1,1,0)))</f>
        <v>0</v>
      </c>
      <c r="AA36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8" s="106"/>
      <c r="AC3688" s="51"/>
      <c r="AD3688" s="106" t="s">
        <v>15</v>
      </c>
      <c r="AE3688" s="38" t="s">
        <v>391</v>
      </c>
    </row>
    <row r="3689" spans="1:31" ht="18" customHeight="1" x14ac:dyDescent="0.25">
      <c r="A36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89" s="79">
        <v>4</v>
      </c>
      <c r="C3689" s="23">
        <v>44888</v>
      </c>
      <c r="D3689" s="67">
        <f>IF(COUNTIF($G$2:$G3689,$G3689)=1,1,0)</f>
        <v>0</v>
      </c>
      <c r="E3689" s="67" t="str">
        <f>IFERROR(VLOOKUP(База_КР_КК[[#This Row],[ИД штатной должности (S)]],'уровень защищенности'!$B$7:$F$1095,5,0),"не защищена")</f>
        <v>средний</v>
      </c>
      <c r="F3689" s="68">
        <v>500349</v>
      </c>
      <c r="G3689" s="74" t="s">
        <v>3053</v>
      </c>
      <c r="H3689" s="181">
        <f>INDEX('Списки данных'!$D$2:$D$1048576,MATCH(База_КР_КК[[#This Row],[Структурное подразделение]],'Списки данных'!$C$2:$C$1048576,0))</f>
        <v>49</v>
      </c>
      <c r="I3689" s="80" t="s">
        <v>147</v>
      </c>
      <c r="J3689" s="80" t="s">
        <v>256</v>
      </c>
      <c r="K3689" s="80" t="s">
        <v>21</v>
      </c>
      <c r="L3689" s="30" t="s">
        <v>191</v>
      </c>
      <c r="M3689" s="68">
        <v>7</v>
      </c>
      <c r="N3689" s="181" t="str">
        <f t="shared" si="58"/>
        <v>да</v>
      </c>
      <c r="O3689" s="23">
        <v>44808</v>
      </c>
      <c r="P3689" s="23">
        <v>44825</v>
      </c>
      <c r="Q3689" s="106" t="s">
        <v>66</v>
      </c>
      <c r="R3689" s="37">
        <v>869</v>
      </c>
      <c r="S3689" s="37" t="s">
        <v>1278</v>
      </c>
      <c r="T3689" s="37">
        <v>1975</v>
      </c>
      <c r="U3689" s="37" t="s">
        <v>2014</v>
      </c>
      <c r="V3689" s="69" t="s">
        <v>16</v>
      </c>
      <c r="W3689" s="89" t="s">
        <v>147</v>
      </c>
      <c r="X3689" s="106" t="s">
        <v>296</v>
      </c>
      <c r="Y3689" s="107" t="s">
        <v>12</v>
      </c>
      <c r="Z3689" s="67">
        <f>IF(База_КР_КК[[#This Row],[Таб.номер резервиста]]="-","-",IF(OR(База_КР_КК[[#This Row],[Уровень КК]]=2,База_КР_КК[[#This Row],[Уровень КК]]=3),IF(COUNTIFS($U$2:$U3689,$U3689,$F$2:$F3689,$F3689)=1,1,0),IF(COUNTIFS($U$2:$U3689,$U3689,$L$2:$L3689,$L3689)=1,1,0)))</f>
        <v>0</v>
      </c>
      <c r="AA36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89" s="106"/>
      <c r="AC3689" s="51"/>
      <c r="AD3689" s="106" t="s">
        <v>15</v>
      </c>
      <c r="AE3689" s="38" t="s">
        <v>356</v>
      </c>
    </row>
    <row r="3690" spans="1:31" ht="18" customHeight="1" x14ac:dyDescent="0.25">
      <c r="A36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0" s="79">
        <v>4</v>
      </c>
      <c r="C3690" s="23">
        <v>44525</v>
      </c>
      <c r="D3690" s="67">
        <f>IF(COUNTIF($G$2:$G3690,$G3690)=1,1,0)</f>
        <v>0</v>
      </c>
      <c r="E3690" s="67" t="str">
        <f>IFERROR(VLOOKUP(База_КР_КК[[#This Row],[ИД штатной должности (S)]],'уровень защищенности'!$B$7:$F$1095,5,0),"не защищена")</f>
        <v>средний</v>
      </c>
      <c r="F3690" s="68">
        <v>500349</v>
      </c>
      <c r="G3690" s="74" t="s">
        <v>3053</v>
      </c>
      <c r="H3690" s="181">
        <f>INDEX('Списки данных'!$D$2:$D$1048576,MATCH(База_КР_КК[[#This Row],[Структурное подразделение]],'Списки данных'!$C$2:$C$1048576,0))</f>
        <v>49</v>
      </c>
      <c r="I3690" s="80" t="s">
        <v>147</v>
      </c>
      <c r="J3690" s="80" t="s">
        <v>256</v>
      </c>
      <c r="K3690" s="80" t="s">
        <v>21</v>
      </c>
      <c r="L3690" s="30" t="s">
        <v>191</v>
      </c>
      <c r="M3690" s="68">
        <v>7</v>
      </c>
      <c r="N3690" s="181" t="str">
        <f t="shared" si="58"/>
        <v>да</v>
      </c>
      <c r="O3690" s="23">
        <v>44808</v>
      </c>
      <c r="P3690" s="23">
        <v>44825</v>
      </c>
      <c r="Q3690" s="106" t="s">
        <v>66</v>
      </c>
      <c r="R3690" s="37">
        <v>869</v>
      </c>
      <c r="S3690" s="37" t="s">
        <v>1278</v>
      </c>
      <c r="T3690" s="37">
        <v>869</v>
      </c>
      <c r="U3690" s="37" t="s">
        <v>1278</v>
      </c>
      <c r="V3690" s="69" t="s">
        <v>192</v>
      </c>
      <c r="W3690" s="89" t="s">
        <v>147</v>
      </c>
      <c r="X3690" s="106" t="s">
        <v>296</v>
      </c>
      <c r="Y3690" s="107" t="s">
        <v>14</v>
      </c>
      <c r="Z3690" s="67">
        <f>IF(База_КР_КК[[#This Row],[Таб.номер резервиста]]="-","-",IF(OR(База_КР_КК[[#This Row],[Уровень КК]]=2,База_КР_КК[[#This Row],[Уровень КК]]=3),IF(COUNTIFS($U$2:$U3690,$U3690,$F$2:$F3690,$F3690)=1,1,0),IF(COUNTIFS($U$2:$U3690,$U3690,$L$2:$L3690,$L3690)=1,1,0)))</f>
        <v>0</v>
      </c>
      <c r="AA36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690" s="106" t="s">
        <v>24</v>
      </c>
      <c r="AC3690" s="51">
        <v>44825</v>
      </c>
      <c r="AD3690" s="106" t="s">
        <v>15</v>
      </c>
      <c r="AE3690" s="38" t="s">
        <v>391</v>
      </c>
    </row>
    <row r="3691" spans="1:31" ht="18" customHeight="1" x14ac:dyDescent="0.25">
      <c r="A36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1" s="79">
        <v>4</v>
      </c>
      <c r="C3691" s="23">
        <v>44525</v>
      </c>
      <c r="D3691" s="67">
        <f>IF(COUNTIF($G$2:$G3691,$G3691)=1,1,0)</f>
        <v>1</v>
      </c>
      <c r="E3691" s="67" t="str">
        <f>IFERROR(VLOOKUP(База_КР_КК[[#This Row],[ИД штатной должности (S)]],'уровень защищенности'!$B$7:$F$1095,5,0),"не защищена")</f>
        <v>средний</v>
      </c>
      <c r="F3691" s="68">
        <v>500349</v>
      </c>
      <c r="G3691" s="74" t="s">
        <v>3054</v>
      </c>
      <c r="H3691" s="181">
        <f>INDEX('Списки данных'!$D$2:$D$1048576,MATCH(База_КР_КК[[#This Row],[Структурное подразделение]],'Списки данных'!$C$2:$C$1048576,0))</f>
        <v>49</v>
      </c>
      <c r="I3691" s="80" t="s">
        <v>147</v>
      </c>
      <c r="J3691" s="80" t="s">
        <v>256</v>
      </c>
      <c r="K3691" s="80" t="s">
        <v>21</v>
      </c>
      <c r="L3691" s="30" t="s">
        <v>191</v>
      </c>
      <c r="M3691" s="68">
        <v>7</v>
      </c>
      <c r="N3691" s="181" t="str">
        <f t="shared" si="58"/>
        <v>нет</v>
      </c>
      <c r="O3691" s="23"/>
      <c r="P3691" s="23"/>
      <c r="Q3691" s="106"/>
      <c r="R3691" s="37">
        <v>870</v>
      </c>
      <c r="S3691" s="37" t="s">
        <v>1279</v>
      </c>
      <c r="T3691" s="37">
        <v>1973</v>
      </c>
      <c r="U3691" s="37" t="s">
        <v>2113</v>
      </c>
      <c r="V3691" s="69" t="s">
        <v>272</v>
      </c>
      <c r="W3691" s="89" t="s">
        <v>147</v>
      </c>
      <c r="X3691" s="106" t="s">
        <v>297</v>
      </c>
      <c r="Y3691" s="107" t="s">
        <v>12</v>
      </c>
      <c r="Z3691" s="67">
        <f>IF(База_КР_КК[[#This Row],[Таб.номер резервиста]]="-","-",IF(OR(База_КР_КК[[#This Row],[Уровень КК]]=2,База_КР_КК[[#This Row],[Уровень КК]]=3),IF(COUNTIFS($U$2:$U3691,$U3691,$F$2:$F3691,$F3691)=1,1,0),IF(COUNTIFS($U$2:$U3691,$U3691,$L$2:$L3691,$L3691)=1,1,0)))</f>
        <v>0</v>
      </c>
      <c r="AA36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1" s="106"/>
      <c r="AC3691" s="51"/>
      <c r="AD3691" s="106" t="s">
        <v>15</v>
      </c>
      <c r="AE3691" s="38" t="s">
        <v>391</v>
      </c>
    </row>
    <row r="3692" spans="1:31" ht="18" customHeight="1" x14ac:dyDescent="0.25">
      <c r="A36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2" s="79">
        <v>4</v>
      </c>
      <c r="C3692" s="23">
        <v>44525</v>
      </c>
      <c r="D3692" s="67">
        <f>IF(COUNTIF($G$2:$G3692,$G3692)=1,1,0)</f>
        <v>0</v>
      </c>
      <c r="E3692" s="67" t="str">
        <f>IFERROR(VLOOKUP(База_КР_КК[[#This Row],[ИД штатной должности (S)]],'уровень защищенности'!$B$7:$F$1095,5,0),"не защищена")</f>
        <v>средний</v>
      </c>
      <c r="F3692" s="68">
        <v>500349</v>
      </c>
      <c r="G3692" s="74" t="s">
        <v>3054</v>
      </c>
      <c r="H3692" s="181">
        <f>INDEX('Списки данных'!$D$2:$D$1048576,MATCH(База_КР_КК[[#This Row],[Структурное подразделение]],'Списки данных'!$C$2:$C$1048576,0))</f>
        <v>49</v>
      </c>
      <c r="I3692" s="80" t="s">
        <v>147</v>
      </c>
      <c r="J3692" s="80" t="s">
        <v>256</v>
      </c>
      <c r="K3692" s="80" t="s">
        <v>21</v>
      </c>
      <c r="L3692" s="30" t="s">
        <v>191</v>
      </c>
      <c r="M3692" s="68">
        <v>7</v>
      </c>
      <c r="N3692" s="181" t="str">
        <f t="shared" si="58"/>
        <v>нет</v>
      </c>
      <c r="O3692" s="23"/>
      <c r="P3692" s="23"/>
      <c r="Q3692" s="106"/>
      <c r="R3692" s="37">
        <v>870</v>
      </c>
      <c r="S3692" s="37" t="s">
        <v>1279</v>
      </c>
      <c r="T3692" s="37">
        <v>1974</v>
      </c>
      <c r="U3692" s="37" t="s">
        <v>2095</v>
      </c>
      <c r="V3692" s="69" t="s">
        <v>272</v>
      </c>
      <c r="W3692" s="89" t="s">
        <v>147</v>
      </c>
      <c r="X3692" s="106" t="s">
        <v>296</v>
      </c>
      <c r="Y3692" s="107" t="s">
        <v>12</v>
      </c>
      <c r="Z3692" s="67">
        <f>IF(База_КР_КК[[#This Row],[Таб.номер резервиста]]="-","-",IF(OR(База_КР_КК[[#This Row],[Уровень КК]]=2,База_КР_КК[[#This Row],[Уровень КК]]=3),IF(COUNTIFS($U$2:$U3692,$U3692,$F$2:$F3692,$F3692)=1,1,0),IF(COUNTIFS($U$2:$U3692,$U3692,$L$2:$L3692,$L3692)=1,1,0)))</f>
        <v>0</v>
      </c>
      <c r="AA36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2" s="106"/>
      <c r="AC3692" s="51"/>
      <c r="AD3692" s="106" t="s">
        <v>15</v>
      </c>
      <c r="AE3692" s="38" t="s">
        <v>391</v>
      </c>
    </row>
    <row r="3693" spans="1:31" ht="18" customHeight="1" x14ac:dyDescent="0.25">
      <c r="A36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3" s="79">
        <v>4</v>
      </c>
      <c r="C3693" s="23">
        <v>44888</v>
      </c>
      <c r="D3693" s="67">
        <f>IF(COUNTIF($G$2:$G3693,$G3693)=1,1,0)</f>
        <v>0</v>
      </c>
      <c r="E3693" s="67" t="str">
        <f>IFERROR(VLOOKUP(База_КР_КК[[#This Row],[ИД штатной должности (S)]],'уровень защищенности'!$B$7:$F$1095,5,0),"не защищена")</f>
        <v>средний</v>
      </c>
      <c r="F3693" s="68">
        <v>500349</v>
      </c>
      <c r="G3693" s="74" t="s">
        <v>3054</v>
      </c>
      <c r="H3693" s="181">
        <f>INDEX('Списки данных'!$D$2:$D$1048576,MATCH(База_КР_КК[[#This Row],[Структурное подразделение]],'Списки данных'!$C$2:$C$1048576,0))</f>
        <v>49</v>
      </c>
      <c r="I3693" s="80" t="s">
        <v>147</v>
      </c>
      <c r="J3693" s="80" t="s">
        <v>256</v>
      </c>
      <c r="K3693" s="80" t="s">
        <v>21</v>
      </c>
      <c r="L3693" s="30" t="s">
        <v>191</v>
      </c>
      <c r="M3693" s="68">
        <v>7</v>
      </c>
      <c r="N3693" s="181" t="str">
        <f t="shared" si="58"/>
        <v>нет</v>
      </c>
      <c r="O3693" s="23"/>
      <c r="P3693" s="23"/>
      <c r="Q3693" s="106"/>
      <c r="R3693" s="37">
        <v>870</v>
      </c>
      <c r="S3693" s="37" t="s">
        <v>1279</v>
      </c>
      <c r="T3693" s="37">
        <v>1975</v>
      </c>
      <c r="U3693" s="37" t="s">
        <v>2014</v>
      </c>
      <c r="V3693" s="69" t="s">
        <v>16</v>
      </c>
      <c r="W3693" s="89" t="s">
        <v>147</v>
      </c>
      <c r="X3693" s="106" t="s">
        <v>296</v>
      </c>
      <c r="Y3693" s="107" t="s">
        <v>12</v>
      </c>
      <c r="Z3693" s="67">
        <f>IF(База_КР_КК[[#This Row],[Таб.номер резервиста]]="-","-",IF(OR(База_КР_КК[[#This Row],[Уровень КК]]=2,База_КР_КК[[#This Row],[Уровень КК]]=3),IF(COUNTIFS($U$2:$U3693,$U3693,$F$2:$F3693,$F3693)=1,1,0),IF(COUNTIFS($U$2:$U3693,$U3693,$L$2:$L3693,$L3693)=1,1,0)))</f>
        <v>0</v>
      </c>
      <c r="AA36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3" s="106"/>
      <c r="AC3693" s="51"/>
      <c r="AD3693" s="106" t="s">
        <v>15</v>
      </c>
      <c r="AE3693" s="38" t="s">
        <v>356</v>
      </c>
    </row>
    <row r="3694" spans="1:31" ht="18" customHeight="1" x14ac:dyDescent="0.25">
      <c r="A36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4" s="79">
        <v>4</v>
      </c>
      <c r="C3694" s="23">
        <v>44525</v>
      </c>
      <c r="D3694" s="67">
        <f>IF(COUNTIF($G$2:$G3694,$G3694)=1,1,0)</f>
        <v>0</v>
      </c>
      <c r="E3694" s="67" t="str">
        <f>IFERROR(VLOOKUP(База_КР_КК[[#This Row],[ИД штатной должности (S)]],'уровень защищенности'!$B$7:$F$1095,5,0),"не защищена")</f>
        <v>средний</v>
      </c>
      <c r="F3694" s="68">
        <v>500349</v>
      </c>
      <c r="G3694" s="74" t="s">
        <v>3054</v>
      </c>
      <c r="H3694" s="181">
        <f>INDEX('Списки данных'!$D$2:$D$1048576,MATCH(База_КР_КК[[#This Row],[Структурное подразделение]],'Списки данных'!$C$2:$C$1048576,0))</f>
        <v>49</v>
      </c>
      <c r="I3694" s="80" t="s">
        <v>147</v>
      </c>
      <c r="J3694" s="80" t="s">
        <v>256</v>
      </c>
      <c r="K3694" s="80" t="s">
        <v>21</v>
      </c>
      <c r="L3694" s="30" t="s">
        <v>191</v>
      </c>
      <c r="M3694" s="68">
        <v>7</v>
      </c>
      <c r="N3694" s="181" t="str">
        <f t="shared" si="58"/>
        <v>нет</v>
      </c>
      <c r="O3694" s="23"/>
      <c r="P3694" s="23"/>
      <c r="Q3694" s="106"/>
      <c r="R3694" s="37">
        <v>870</v>
      </c>
      <c r="S3694" s="37" t="s">
        <v>1279</v>
      </c>
      <c r="T3694" s="37">
        <v>869</v>
      </c>
      <c r="U3694" s="37" t="s">
        <v>1278</v>
      </c>
      <c r="V3694" s="69" t="s">
        <v>192</v>
      </c>
      <c r="W3694" s="89" t="s">
        <v>147</v>
      </c>
      <c r="X3694" s="106" t="s">
        <v>296</v>
      </c>
      <c r="Y3694" s="107" t="s">
        <v>14</v>
      </c>
      <c r="Z3694" s="67">
        <f>IF(База_КР_КК[[#This Row],[Таб.номер резервиста]]="-","-",IF(OR(База_КР_КК[[#This Row],[Уровень КК]]=2,База_КР_КК[[#This Row],[Уровень КК]]=3),IF(COUNTIFS($U$2:$U3694,$U3694,$F$2:$F3694,$F3694)=1,1,0),IF(COUNTIFS($U$2:$U3694,$U3694,$L$2:$L3694,$L3694)=1,1,0)))</f>
        <v>0</v>
      </c>
      <c r="AA36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4" s="106" t="s">
        <v>24</v>
      </c>
      <c r="AC3694" s="51">
        <v>44825</v>
      </c>
      <c r="AD3694" s="106" t="s">
        <v>15</v>
      </c>
      <c r="AE3694" s="38" t="s">
        <v>391</v>
      </c>
    </row>
    <row r="3695" spans="1:31" ht="18" customHeight="1" x14ac:dyDescent="0.25">
      <c r="A36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5" s="79">
        <v>4</v>
      </c>
      <c r="C3695" s="23">
        <v>44525</v>
      </c>
      <c r="D3695" s="67">
        <f>IF(COUNTIF($G$2:$G3695,$G3695)=1,1,0)</f>
        <v>1</v>
      </c>
      <c r="E3695" s="67" t="str">
        <f>IFERROR(VLOOKUP(База_КР_КК[[#This Row],[ИД штатной должности (S)]],'уровень защищенности'!$B$7:$F$1095,5,0),"не защищена")</f>
        <v>средний</v>
      </c>
      <c r="F3695" s="68">
        <v>500349</v>
      </c>
      <c r="G3695" s="74" t="s">
        <v>3055</v>
      </c>
      <c r="H3695" s="181">
        <f>INDEX('Списки данных'!$D$2:$D$1048576,MATCH(База_КР_КК[[#This Row],[Структурное подразделение]],'Списки данных'!$C$2:$C$1048576,0))</f>
        <v>49</v>
      </c>
      <c r="I3695" s="80" t="s">
        <v>147</v>
      </c>
      <c r="J3695" s="80" t="s">
        <v>256</v>
      </c>
      <c r="K3695" s="80" t="s">
        <v>21</v>
      </c>
      <c r="L3695" s="30" t="s">
        <v>191</v>
      </c>
      <c r="M3695" s="68">
        <v>7</v>
      </c>
      <c r="N3695" s="181" t="str">
        <f t="shared" si="58"/>
        <v>нет</v>
      </c>
      <c r="O3695" s="23"/>
      <c r="P3695" s="23"/>
      <c r="Q3695" s="106"/>
      <c r="R3695" s="37">
        <v>871</v>
      </c>
      <c r="S3695" s="37" t="s">
        <v>1280</v>
      </c>
      <c r="T3695" s="37">
        <v>1973</v>
      </c>
      <c r="U3695" s="37" t="s">
        <v>2113</v>
      </c>
      <c r="V3695" s="69" t="s">
        <v>272</v>
      </c>
      <c r="W3695" s="89" t="s">
        <v>147</v>
      </c>
      <c r="X3695" s="106" t="s">
        <v>297</v>
      </c>
      <c r="Y3695" s="107" t="s">
        <v>12</v>
      </c>
      <c r="Z3695" s="67">
        <f>IF(База_КР_КК[[#This Row],[Таб.номер резервиста]]="-","-",IF(OR(База_КР_КК[[#This Row],[Уровень КК]]=2,База_КР_КК[[#This Row],[Уровень КК]]=3),IF(COUNTIFS($U$2:$U3695,$U3695,$F$2:$F3695,$F3695)=1,1,0),IF(COUNTIFS($U$2:$U3695,$U3695,$L$2:$L3695,$L3695)=1,1,0)))</f>
        <v>0</v>
      </c>
      <c r="AA36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5" s="106"/>
      <c r="AC3695" s="51"/>
      <c r="AD3695" s="106" t="s">
        <v>15</v>
      </c>
      <c r="AE3695" s="38" t="s">
        <v>391</v>
      </c>
    </row>
    <row r="3696" spans="1:31" ht="18" customHeight="1" x14ac:dyDescent="0.25">
      <c r="A36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6" s="79">
        <v>4</v>
      </c>
      <c r="C3696" s="23">
        <v>44525</v>
      </c>
      <c r="D3696" s="67">
        <f>IF(COUNTIF($G$2:$G3696,$G3696)=1,1,0)</f>
        <v>0</v>
      </c>
      <c r="E3696" s="67" t="str">
        <f>IFERROR(VLOOKUP(База_КР_КК[[#This Row],[ИД штатной должности (S)]],'уровень защищенности'!$B$7:$F$1095,5,0),"не защищена")</f>
        <v>средний</v>
      </c>
      <c r="F3696" s="68">
        <v>500349</v>
      </c>
      <c r="G3696" s="74" t="s">
        <v>3055</v>
      </c>
      <c r="H3696" s="181">
        <f>INDEX('Списки данных'!$D$2:$D$1048576,MATCH(База_КР_КК[[#This Row],[Структурное подразделение]],'Списки данных'!$C$2:$C$1048576,0))</f>
        <v>49</v>
      </c>
      <c r="I3696" s="80" t="s">
        <v>147</v>
      </c>
      <c r="J3696" s="80" t="s">
        <v>256</v>
      </c>
      <c r="K3696" s="80" t="s">
        <v>21</v>
      </c>
      <c r="L3696" s="30" t="s">
        <v>191</v>
      </c>
      <c r="M3696" s="68">
        <v>7</v>
      </c>
      <c r="N3696" s="181" t="str">
        <f t="shared" si="58"/>
        <v>нет</v>
      </c>
      <c r="O3696" s="23"/>
      <c r="P3696" s="23"/>
      <c r="Q3696" s="106"/>
      <c r="R3696" s="37">
        <v>871</v>
      </c>
      <c r="S3696" s="37" t="s">
        <v>1280</v>
      </c>
      <c r="T3696" s="37">
        <v>1974</v>
      </c>
      <c r="U3696" s="37" t="s">
        <v>2095</v>
      </c>
      <c r="V3696" s="69" t="s">
        <v>272</v>
      </c>
      <c r="W3696" s="89" t="s">
        <v>147</v>
      </c>
      <c r="X3696" s="106" t="s">
        <v>296</v>
      </c>
      <c r="Y3696" s="107" t="s">
        <v>12</v>
      </c>
      <c r="Z3696" s="67">
        <f>IF(База_КР_КК[[#This Row],[Таб.номер резервиста]]="-","-",IF(OR(База_КР_КК[[#This Row],[Уровень КК]]=2,База_КР_КК[[#This Row],[Уровень КК]]=3),IF(COUNTIFS($U$2:$U3696,$U3696,$F$2:$F3696,$F3696)=1,1,0),IF(COUNTIFS($U$2:$U3696,$U3696,$L$2:$L3696,$L3696)=1,1,0)))</f>
        <v>0</v>
      </c>
      <c r="AA36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6" s="106"/>
      <c r="AC3696" s="51"/>
      <c r="AD3696" s="106" t="s">
        <v>15</v>
      </c>
      <c r="AE3696" s="38" t="s">
        <v>391</v>
      </c>
    </row>
    <row r="3697" spans="1:31" ht="18" customHeight="1" x14ac:dyDescent="0.25">
      <c r="A36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7" s="79">
        <v>4</v>
      </c>
      <c r="C3697" s="23">
        <v>44888</v>
      </c>
      <c r="D3697" s="67">
        <f>IF(COUNTIF($G$2:$G3697,$G3697)=1,1,0)</f>
        <v>0</v>
      </c>
      <c r="E3697" s="67" t="str">
        <f>IFERROR(VLOOKUP(База_КР_КК[[#This Row],[ИД штатной должности (S)]],'уровень защищенности'!$B$7:$F$1095,5,0),"не защищена")</f>
        <v>средний</v>
      </c>
      <c r="F3697" s="68">
        <v>500349</v>
      </c>
      <c r="G3697" s="74" t="s">
        <v>3055</v>
      </c>
      <c r="H3697" s="181">
        <f>INDEX('Списки данных'!$D$2:$D$1048576,MATCH(База_КР_КК[[#This Row],[Структурное подразделение]],'Списки данных'!$C$2:$C$1048576,0))</f>
        <v>49</v>
      </c>
      <c r="I3697" s="80" t="s">
        <v>147</v>
      </c>
      <c r="J3697" s="80" t="s">
        <v>256</v>
      </c>
      <c r="K3697" s="80" t="s">
        <v>21</v>
      </c>
      <c r="L3697" s="30" t="s">
        <v>191</v>
      </c>
      <c r="M3697" s="68">
        <v>7</v>
      </c>
      <c r="N3697" s="181" t="str">
        <f t="shared" si="58"/>
        <v>нет</v>
      </c>
      <c r="O3697" s="23"/>
      <c r="P3697" s="23"/>
      <c r="Q3697" s="106"/>
      <c r="R3697" s="37">
        <v>871</v>
      </c>
      <c r="S3697" s="37" t="s">
        <v>1280</v>
      </c>
      <c r="T3697" s="37">
        <v>1975</v>
      </c>
      <c r="U3697" s="37" t="s">
        <v>2014</v>
      </c>
      <c r="V3697" s="69" t="s">
        <v>16</v>
      </c>
      <c r="W3697" s="89" t="s">
        <v>147</v>
      </c>
      <c r="X3697" s="106" t="s">
        <v>296</v>
      </c>
      <c r="Y3697" s="107" t="s">
        <v>12</v>
      </c>
      <c r="Z3697" s="67">
        <f>IF(База_КР_КК[[#This Row],[Таб.номер резервиста]]="-","-",IF(OR(База_КР_КК[[#This Row],[Уровень КК]]=2,База_КР_КК[[#This Row],[Уровень КК]]=3),IF(COUNTIFS($U$2:$U3697,$U3697,$F$2:$F3697,$F3697)=1,1,0),IF(COUNTIFS($U$2:$U3697,$U3697,$L$2:$L3697,$L3697)=1,1,0)))</f>
        <v>0</v>
      </c>
      <c r="AA36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7" s="106"/>
      <c r="AC3697" s="51"/>
      <c r="AD3697" s="106" t="s">
        <v>15</v>
      </c>
      <c r="AE3697" s="38" t="s">
        <v>356</v>
      </c>
    </row>
    <row r="3698" spans="1:31" ht="18" customHeight="1" x14ac:dyDescent="0.25">
      <c r="A36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8" s="79">
        <v>4</v>
      </c>
      <c r="C3698" s="23">
        <v>44525</v>
      </c>
      <c r="D3698" s="67">
        <f>IF(COUNTIF($G$2:$G3698,$G3698)=1,1,0)</f>
        <v>0</v>
      </c>
      <c r="E3698" s="67" t="str">
        <f>IFERROR(VLOOKUP(База_КР_КК[[#This Row],[ИД штатной должности (S)]],'уровень защищенности'!$B$7:$F$1095,5,0),"не защищена")</f>
        <v>средний</v>
      </c>
      <c r="F3698" s="68">
        <v>500349</v>
      </c>
      <c r="G3698" s="74" t="s">
        <v>3055</v>
      </c>
      <c r="H3698" s="181">
        <f>INDEX('Списки данных'!$D$2:$D$1048576,MATCH(База_КР_КК[[#This Row],[Структурное подразделение]],'Списки данных'!$C$2:$C$1048576,0))</f>
        <v>49</v>
      </c>
      <c r="I3698" s="80" t="s">
        <v>147</v>
      </c>
      <c r="J3698" s="80" t="s">
        <v>256</v>
      </c>
      <c r="K3698" s="80" t="s">
        <v>21</v>
      </c>
      <c r="L3698" s="30" t="s">
        <v>191</v>
      </c>
      <c r="M3698" s="68">
        <v>7</v>
      </c>
      <c r="N3698" s="181" t="str">
        <f t="shared" si="58"/>
        <v>нет</v>
      </c>
      <c r="O3698" s="23"/>
      <c r="P3698" s="23"/>
      <c r="Q3698" s="106"/>
      <c r="R3698" s="37">
        <v>871</v>
      </c>
      <c r="S3698" s="37" t="s">
        <v>1280</v>
      </c>
      <c r="T3698" s="37">
        <v>869</v>
      </c>
      <c r="U3698" s="37" t="s">
        <v>1278</v>
      </c>
      <c r="V3698" s="69" t="s">
        <v>192</v>
      </c>
      <c r="W3698" s="89" t="s">
        <v>147</v>
      </c>
      <c r="X3698" s="106" t="s">
        <v>296</v>
      </c>
      <c r="Y3698" s="107" t="s">
        <v>14</v>
      </c>
      <c r="Z3698" s="67">
        <f>IF(База_КР_КК[[#This Row],[Таб.номер резервиста]]="-","-",IF(OR(База_КР_КК[[#This Row],[Уровень КК]]=2,База_КР_КК[[#This Row],[Уровень КК]]=3),IF(COUNTIFS($U$2:$U3698,$U3698,$F$2:$F3698,$F3698)=1,1,0),IF(COUNTIFS($U$2:$U3698,$U3698,$L$2:$L3698,$L3698)=1,1,0)))</f>
        <v>0</v>
      </c>
      <c r="AA36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8" s="106" t="s">
        <v>24</v>
      </c>
      <c r="AC3698" s="51">
        <v>44825</v>
      </c>
      <c r="AD3698" s="106" t="s">
        <v>15</v>
      </c>
      <c r="AE3698" s="38" t="s">
        <v>391</v>
      </c>
    </row>
    <row r="3699" spans="1:31" ht="18" customHeight="1" x14ac:dyDescent="0.25">
      <c r="A36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699" s="79">
        <v>4</v>
      </c>
      <c r="C3699" s="23">
        <v>44525</v>
      </c>
      <c r="D3699" s="67">
        <f>IF(COUNTIF($G$2:$G3699,$G3699)=1,1,0)</f>
        <v>1</v>
      </c>
      <c r="E3699" s="67" t="str">
        <f>IFERROR(VLOOKUP(База_КР_КК[[#This Row],[ИД штатной должности (S)]],'уровень защищенности'!$B$7:$F$1095,5,0),"не защищена")</f>
        <v>высокий</v>
      </c>
      <c r="F3699" s="68">
        <v>500350</v>
      </c>
      <c r="G3699" s="74" t="s">
        <v>3056</v>
      </c>
      <c r="H3699" s="181">
        <f>INDEX('Списки данных'!$D$2:$D$1048576,MATCH(База_КР_КК[[#This Row],[Структурное подразделение]],'Списки данных'!$C$2:$C$1048576,0))</f>
        <v>49</v>
      </c>
      <c r="I3699" s="80" t="s">
        <v>147</v>
      </c>
      <c r="J3699" s="80" t="s">
        <v>256</v>
      </c>
      <c r="K3699" s="80" t="s">
        <v>258</v>
      </c>
      <c r="L3699" s="30" t="s">
        <v>251</v>
      </c>
      <c r="M3699" s="68">
        <v>7</v>
      </c>
      <c r="N3699" s="181" t="str">
        <f t="shared" si="58"/>
        <v>нет</v>
      </c>
      <c r="O3699" s="23"/>
      <c r="P3699" s="23"/>
      <c r="Q3699" s="106"/>
      <c r="R3699" s="37">
        <v>872</v>
      </c>
      <c r="S3699" s="37" t="s">
        <v>1281</v>
      </c>
      <c r="T3699" s="37">
        <v>1976</v>
      </c>
      <c r="U3699" s="37" t="s">
        <v>1963</v>
      </c>
      <c r="V3699" s="69" t="s">
        <v>272</v>
      </c>
      <c r="W3699" s="89" t="s">
        <v>147</v>
      </c>
      <c r="X3699" s="106" t="s">
        <v>295</v>
      </c>
      <c r="Y3699" s="107" t="s">
        <v>12</v>
      </c>
      <c r="Z3699" s="67">
        <f>IF(База_КР_КК[[#This Row],[Таб.номер резервиста]]="-","-",IF(OR(База_КР_КК[[#This Row],[Уровень КК]]=2,База_КР_КК[[#This Row],[Уровень КК]]=3),IF(COUNTIFS($U$2:$U3699,$U3699,$F$2:$F3699,$F3699)=1,1,0),IF(COUNTIFS($U$2:$U3699,$U3699,$L$2:$L3699,$L3699)=1,1,0)))</f>
        <v>1</v>
      </c>
      <c r="AA36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699" s="106"/>
      <c r="AC3699" s="51"/>
      <c r="AD3699" s="106" t="s">
        <v>15</v>
      </c>
      <c r="AE3699" s="38" t="s">
        <v>391</v>
      </c>
    </row>
    <row r="3700" spans="1:31" ht="18" customHeight="1" x14ac:dyDescent="0.25">
      <c r="A37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0" s="79">
        <v>3</v>
      </c>
      <c r="C3700" s="23">
        <v>44525</v>
      </c>
      <c r="D3700" s="67">
        <f>IF(COUNTIF($G$2:$G3700,$G3700)=1,1,0)</f>
        <v>1</v>
      </c>
      <c r="E3700" s="67" t="str">
        <f>IFERROR(VLOOKUP(База_КР_КК[[#This Row],[ИД штатной должности (S)]],'уровень защищенности'!$B$7:$F$1095,5,0),"не защищена")</f>
        <v>низкий</v>
      </c>
      <c r="F3700" s="68">
        <v>500351</v>
      </c>
      <c r="G3700" s="74" t="s">
        <v>3057</v>
      </c>
      <c r="H3700" s="181">
        <f>INDEX('Списки данных'!$D$2:$D$1048576,MATCH(База_КР_КК[[#This Row],[Структурное подразделение]],'Списки данных'!$C$2:$C$1048576,0))</f>
        <v>49</v>
      </c>
      <c r="I3700" s="80" t="s">
        <v>147</v>
      </c>
      <c r="J3700" s="80" t="s">
        <v>256</v>
      </c>
      <c r="K3700" s="80" t="s">
        <v>258</v>
      </c>
      <c r="L3700" s="30" t="s">
        <v>187</v>
      </c>
      <c r="M3700" s="68">
        <v>7</v>
      </c>
      <c r="N3700" s="181" t="str">
        <f t="shared" si="58"/>
        <v>нет</v>
      </c>
      <c r="O3700" s="23"/>
      <c r="P3700" s="23"/>
      <c r="Q3700" s="106"/>
      <c r="R3700" s="37">
        <v>873</v>
      </c>
      <c r="S3700" s="37" t="s">
        <v>1282</v>
      </c>
      <c r="T3700" s="37">
        <v>1977</v>
      </c>
      <c r="U3700" s="37" t="s">
        <v>1916</v>
      </c>
      <c r="V3700" s="69" t="s">
        <v>16</v>
      </c>
      <c r="W3700" s="89" t="s">
        <v>147</v>
      </c>
      <c r="X3700" s="106" t="s">
        <v>296</v>
      </c>
      <c r="Y3700" s="107" t="s">
        <v>12</v>
      </c>
      <c r="Z3700" s="67">
        <f>IF(База_КР_КК[[#This Row],[Таб.номер резервиста]]="-","-",IF(OR(База_КР_КК[[#This Row],[Уровень КК]]=2,База_КР_КК[[#This Row],[Уровень КК]]=3),IF(COUNTIFS($U$2:$U3700,$U3700,$F$2:$F3700,$F3700)=1,1,0),IF(COUNTIFS($U$2:$U3700,$U3700,$L$2:$L3700,$L3700)=1,1,0)))</f>
        <v>1</v>
      </c>
      <c r="AA37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0" s="106"/>
      <c r="AC3700" s="51"/>
      <c r="AD3700" s="106" t="s">
        <v>13</v>
      </c>
      <c r="AE3700" s="38" t="s">
        <v>389</v>
      </c>
    </row>
    <row r="3701" spans="1:31" ht="18" customHeight="1" x14ac:dyDescent="0.25">
      <c r="A37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1" s="79">
        <v>3</v>
      </c>
      <c r="C3701" s="23">
        <v>43455</v>
      </c>
      <c r="D3701" s="67">
        <f>IF(COUNTIF($G$2:$G3701,$G3701)=1,1,0)</f>
        <v>1</v>
      </c>
      <c r="E3701" s="67" t="str">
        <f>IFERROR(VLOOKUP(База_КР_КК[[#This Row],[ИД штатной должности (S)]],'уровень защищенности'!$B$7:$F$1095,5,0),"не защищена")</f>
        <v>средний</v>
      </c>
      <c r="F3701" s="68">
        <v>500352</v>
      </c>
      <c r="G3701" s="74" t="s">
        <v>3058</v>
      </c>
      <c r="H3701" s="181">
        <f>INDEX('Списки данных'!$D$2:$D$1048576,MATCH(База_КР_КК[[#This Row],[Структурное подразделение]],'Списки данных'!$C$2:$C$1048576,0))</f>
        <v>49</v>
      </c>
      <c r="I3701" s="80" t="s">
        <v>147</v>
      </c>
      <c r="J3701" s="82" t="s">
        <v>256</v>
      </c>
      <c r="K3701" s="80" t="s">
        <v>21</v>
      </c>
      <c r="L3701" s="30" t="s">
        <v>198</v>
      </c>
      <c r="M3701" s="68">
        <v>6</v>
      </c>
      <c r="N3701" s="181" t="str">
        <f t="shared" si="58"/>
        <v>нет</v>
      </c>
      <c r="O3701" s="23"/>
      <c r="P3701" s="23"/>
      <c r="Q3701" s="106"/>
      <c r="R3701" s="37">
        <v>874</v>
      </c>
      <c r="S3701" s="38" t="s">
        <v>1283</v>
      </c>
      <c r="T3701" s="37">
        <v>875</v>
      </c>
      <c r="U3701" s="38" t="s">
        <v>1284</v>
      </c>
      <c r="V3701" s="69" t="s">
        <v>192</v>
      </c>
      <c r="W3701" s="89" t="s">
        <v>147</v>
      </c>
      <c r="X3701" s="106" t="s">
        <v>297</v>
      </c>
      <c r="Y3701" s="107" t="s">
        <v>12</v>
      </c>
      <c r="Z3701" s="67">
        <f>IF(База_КР_КК[[#This Row],[Таб.номер резервиста]]="-","-",IF(OR(База_КР_КК[[#This Row],[Уровень КК]]=2,База_КР_КК[[#This Row],[Уровень КК]]=3),IF(COUNTIFS($U$2:$U3701,$U3701,$F$2:$F3701,$F3701)=1,1,0),IF(COUNTIFS($U$2:$U3701,$U3701,$L$2:$L3701,$L3701)=1,1,0)))</f>
        <v>1</v>
      </c>
      <c r="AA37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1" s="106"/>
      <c r="AC3701" s="51"/>
      <c r="AD3701" s="106" t="s">
        <v>13</v>
      </c>
      <c r="AE3701" s="38" t="s">
        <v>389</v>
      </c>
    </row>
    <row r="3702" spans="1:31" ht="18" customHeight="1" x14ac:dyDescent="0.25">
      <c r="A37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2" s="79">
        <v>3</v>
      </c>
      <c r="C3702" s="23">
        <v>43455</v>
      </c>
      <c r="D3702" s="67">
        <f>IF(COUNTIF($G$2:$G3702,$G3702)=1,1,0)</f>
        <v>0</v>
      </c>
      <c r="E3702" s="67" t="str">
        <f>IFERROR(VLOOKUP(База_КР_КК[[#This Row],[ИД штатной должности (S)]],'уровень защищенности'!$B$7:$F$1095,5,0),"не защищена")</f>
        <v>средний</v>
      </c>
      <c r="F3702" s="68">
        <v>500352</v>
      </c>
      <c r="G3702" s="74" t="s">
        <v>3058</v>
      </c>
      <c r="H3702" s="181">
        <f>INDEX('Списки данных'!$D$2:$D$1048576,MATCH(База_КР_КК[[#This Row],[Структурное подразделение]],'Списки данных'!$C$2:$C$1048576,0))</f>
        <v>49</v>
      </c>
      <c r="I3702" s="80" t="s">
        <v>147</v>
      </c>
      <c r="J3702" s="82" t="s">
        <v>256</v>
      </c>
      <c r="K3702" s="80" t="s">
        <v>21</v>
      </c>
      <c r="L3702" s="30" t="s">
        <v>198</v>
      </c>
      <c r="M3702" s="68">
        <v>6</v>
      </c>
      <c r="N3702" s="181" t="str">
        <f t="shared" si="58"/>
        <v>нет</v>
      </c>
      <c r="O3702" s="23"/>
      <c r="P3702" s="23"/>
      <c r="Q3702" s="106"/>
      <c r="R3702" s="37">
        <v>874</v>
      </c>
      <c r="S3702" s="38" t="s">
        <v>1283</v>
      </c>
      <c r="T3702" s="37">
        <v>1978</v>
      </c>
      <c r="U3702" s="38" t="s">
        <v>2114</v>
      </c>
      <c r="V3702" s="69" t="s">
        <v>272</v>
      </c>
      <c r="W3702" s="89" t="s">
        <v>147</v>
      </c>
      <c r="X3702" s="106" t="s">
        <v>297</v>
      </c>
      <c r="Y3702" s="107" t="s">
        <v>12</v>
      </c>
      <c r="Z3702" s="67">
        <f>IF(База_КР_КК[[#This Row],[Таб.номер резервиста]]="-","-",IF(OR(База_КР_КК[[#This Row],[Уровень КК]]=2,База_КР_КК[[#This Row],[Уровень КК]]=3),IF(COUNTIFS($U$2:$U3702,$U3702,$F$2:$F3702,$F3702)=1,1,0),IF(COUNTIFS($U$2:$U3702,$U3702,$L$2:$L3702,$L3702)=1,1,0)))</f>
        <v>1</v>
      </c>
      <c r="AA37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2" s="106"/>
      <c r="AC3702" s="51"/>
      <c r="AD3702" s="106" t="s">
        <v>15</v>
      </c>
      <c r="AE3702" s="38" t="s">
        <v>392</v>
      </c>
    </row>
    <row r="3703" spans="1:31" ht="18" customHeight="1" x14ac:dyDescent="0.25">
      <c r="A37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3" s="79">
        <v>4</v>
      </c>
      <c r="C3703" s="23">
        <v>44525</v>
      </c>
      <c r="D3703" s="67">
        <f>IF(COUNTIF($G$2:$G3703,$G3703)=1,1,0)</f>
        <v>1</v>
      </c>
      <c r="E3703" s="67" t="str">
        <f>IFERROR(VLOOKUP(База_КР_КК[[#This Row],[ИД штатной должности (S)]],'уровень защищенности'!$B$7:$F$1095,5,0),"не защищена")</f>
        <v>низкий</v>
      </c>
      <c r="F3703" s="68">
        <v>500353</v>
      </c>
      <c r="G3703" s="74" t="s">
        <v>3059</v>
      </c>
      <c r="H3703" s="181">
        <f>INDEX('Списки данных'!$D$2:$D$1048576,MATCH(База_КР_КК[[#This Row],[Структурное подразделение]],'Списки данных'!$C$2:$C$1048576,0))</f>
        <v>49</v>
      </c>
      <c r="I3703" s="80" t="s">
        <v>147</v>
      </c>
      <c r="J3703" s="80" t="s">
        <v>256</v>
      </c>
      <c r="K3703" s="80" t="s">
        <v>21</v>
      </c>
      <c r="L3703" s="30" t="s">
        <v>192</v>
      </c>
      <c r="M3703" s="68">
        <v>7</v>
      </c>
      <c r="N3703" s="181" t="str">
        <f t="shared" si="58"/>
        <v>нет</v>
      </c>
      <c r="O3703" s="23"/>
      <c r="P3703" s="23"/>
      <c r="Q3703" s="106"/>
      <c r="R3703" s="37">
        <v>875</v>
      </c>
      <c r="S3703" s="37" t="s">
        <v>1284</v>
      </c>
      <c r="T3703" s="37">
        <v>1978</v>
      </c>
      <c r="U3703" s="37" t="s">
        <v>2114</v>
      </c>
      <c r="V3703" s="69" t="s">
        <v>272</v>
      </c>
      <c r="W3703" s="89" t="s">
        <v>147</v>
      </c>
      <c r="X3703" s="106" t="s">
        <v>296</v>
      </c>
      <c r="Y3703" s="107" t="s">
        <v>12</v>
      </c>
      <c r="Z3703" s="67">
        <f>IF(База_КР_КК[[#This Row],[Таб.номер резервиста]]="-","-",IF(OR(База_КР_КК[[#This Row],[Уровень КК]]=2,База_КР_КК[[#This Row],[Уровень КК]]=3),IF(COUNTIFS($U$2:$U3703,$U3703,$F$2:$F3703,$F3703)=1,1,0),IF(COUNTIFS($U$2:$U3703,$U3703,$L$2:$L3703,$L3703)=1,1,0)))</f>
        <v>1</v>
      </c>
      <c r="AA37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3" s="106"/>
      <c r="AC3703" s="51"/>
      <c r="AD3703" s="106" t="s">
        <v>15</v>
      </c>
      <c r="AE3703" s="38" t="s">
        <v>391</v>
      </c>
    </row>
    <row r="3704" spans="1:31" ht="18" customHeight="1" x14ac:dyDescent="0.25">
      <c r="A37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4" s="79">
        <v>4</v>
      </c>
      <c r="C3704" s="23">
        <v>44888</v>
      </c>
      <c r="D3704" s="67">
        <f>IF(COUNTIF($G$2:$G3704,$G3704)=1,1,0)</f>
        <v>0</v>
      </c>
      <c r="E3704" s="67" t="str">
        <f>IFERROR(VLOOKUP(База_КР_КК[[#This Row],[ИД штатной должности (S)]],'уровень защищенности'!$B$7:$F$1095,5,0),"не защищена")</f>
        <v>низкий</v>
      </c>
      <c r="F3704" s="68">
        <v>500353</v>
      </c>
      <c r="G3704" s="74" t="s">
        <v>3059</v>
      </c>
      <c r="H3704" s="181">
        <f>INDEX('Списки данных'!$D$2:$D$1048576,MATCH(База_КР_КК[[#This Row],[Структурное подразделение]],'Списки данных'!$C$2:$C$1048576,0))</f>
        <v>49</v>
      </c>
      <c r="I3704" s="80" t="s">
        <v>147</v>
      </c>
      <c r="J3704" s="80" t="s">
        <v>256</v>
      </c>
      <c r="K3704" s="80" t="s">
        <v>21</v>
      </c>
      <c r="L3704" s="30" t="s">
        <v>192</v>
      </c>
      <c r="M3704" s="68">
        <v>7</v>
      </c>
      <c r="N3704" s="181" t="str">
        <f t="shared" si="58"/>
        <v>нет</v>
      </c>
      <c r="O3704" s="23"/>
      <c r="P3704" s="23"/>
      <c r="Q3704" s="106"/>
      <c r="R3704" s="37">
        <v>875</v>
      </c>
      <c r="S3704" s="37" t="s">
        <v>1284</v>
      </c>
      <c r="T3704" s="37">
        <v>1979</v>
      </c>
      <c r="U3704" s="37" t="s">
        <v>2115</v>
      </c>
      <c r="V3704" s="69" t="s">
        <v>272</v>
      </c>
      <c r="W3704" s="89" t="s">
        <v>147</v>
      </c>
      <c r="X3704" s="106" t="s">
        <v>296</v>
      </c>
      <c r="Y3704" s="107" t="s">
        <v>12</v>
      </c>
      <c r="Z3704" s="67">
        <f>IF(База_КР_КК[[#This Row],[Таб.номер резервиста]]="-","-",IF(OR(База_КР_КК[[#This Row],[Уровень КК]]=2,База_КР_КК[[#This Row],[Уровень КК]]=3),IF(COUNTIFS($U$2:$U3704,$U3704,$F$2:$F3704,$F3704)=1,1,0),IF(COUNTIFS($U$2:$U3704,$U3704,$L$2:$L3704,$L3704)=1,1,0)))</f>
        <v>1</v>
      </c>
      <c r="AA37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4" s="106"/>
      <c r="AC3704" s="51"/>
      <c r="AD3704" s="106" t="s">
        <v>15</v>
      </c>
      <c r="AE3704" s="38" t="s">
        <v>356</v>
      </c>
    </row>
    <row r="3705" spans="1:31" ht="18" customHeight="1" x14ac:dyDescent="0.25">
      <c r="A37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5" s="68">
        <v>3</v>
      </c>
      <c r="C3705" s="25">
        <v>44525</v>
      </c>
      <c r="D3705" s="67">
        <f>IF(COUNTIF($G$2:$G3705,$G3705)=1,1,0)</f>
        <v>1</v>
      </c>
      <c r="E3705" s="67" t="str">
        <f>IFERROR(VLOOKUP(База_КР_КК[[#This Row],[ИД штатной должности (S)]],'уровень защищенности'!$B$7:$F$1095,5,0),"не защищена")</f>
        <v>низкий</v>
      </c>
      <c r="F3705" s="68">
        <v>500356</v>
      </c>
      <c r="G3705" s="74" t="s">
        <v>3060</v>
      </c>
      <c r="H3705" s="181">
        <f>INDEX('Списки данных'!$D$2:$D$1048576,MATCH(База_КР_КК[[#This Row],[Структурное подразделение]],'Списки данных'!$C$2:$C$1048576,0))</f>
        <v>49</v>
      </c>
      <c r="I3705" s="80" t="s">
        <v>147</v>
      </c>
      <c r="J3705" s="80" t="s">
        <v>256</v>
      </c>
      <c r="K3705" s="80" t="s">
        <v>21</v>
      </c>
      <c r="L3705" s="30" t="s">
        <v>198</v>
      </c>
      <c r="M3705" s="68">
        <v>6</v>
      </c>
      <c r="N3705" s="181" t="str">
        <f t="shared" si="58"/>
        <v>нет</v>
      </c>
      <c r="O3705" s="25"/>
      <c r="P3705" s="25"/>
      <c r="Q3705" s="106"/>
      <c r="R3705" s="44">
        <v>876</v>
      </c>
      <c r="S3705" s="44" t="s">
        <v>1285</v>
      </c>
      <c r="T3705" s="44">
        <v>1980</v>
      </c>
      <c r="U3705" s="44" t="s">
        <v>1910</v>
      </c>
      <c r="V3705" s="89" t="s">
        <v>272</v>
      </c>
      <c r="W3705" s="89" t="s">
        <v>147</v>
      </c>
      <c r="X3705" s="106" t="s">
        <v>296</v>
      </c>
      <c r="Y3705" s="107" t="s">
        <v>12</v>
      </c>
      <c r="Z3705" s="67">
        <f>IF(База_КР_КК[[#This Row],[Таб.номер резервиста]]="-","-",IF(OR(База_КР_КК[[#This Row],[Уровень КК]]=2,База_КР_КК[[#This Row],[Уровень КК]]=3),IF(COUNTIFS($U$2:$U3705,$U3705,$F$2:$F3705,$F3705)=1,1,0),IF(COUNTIFS($U$2:$U3705,$U3705,$L$2:$L3705,$L3705)=1,1,0)))</f>
        <v>1</v>
      </c>
      <c r="AA37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5" s="106"/>
      <c r="AC3705" s="51"/>
      <c r="AD3705" s="106" t="s">
        <v>22</v>
      </c>
      <c r="AE3705" s="39" t="s">
        <v>389</v>
      </c>
    </row>
    <row r="3706" spans="1:31" ht="18" customHeight="1" x14ac:dyDescent="0.25">
      <c r="A37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6" s="79">
        <v>3</v>
      </c>
      <c r="C3706" s="23">
        <v>44174</v>
      </c>
      <c r="D3706" s="67">
        <f>IF(COUNTIF($G$2:$G3706,$G3706)=1,1,0)</f>
        <v>1</v>
      </c>
      <c r="E3706" s="67" t="str">
        <f>IFERROR(VLOOKUP(База_КР_КК[[#This Row],[ИД штатной должности (S)]],'уровень защищенности'!$B$7:$F$1095,5,0),"не защищена")</f>
        <v>не защищена</v>
      </c>
      <c r="F3706" s="68">
        <v>500357</v>
      </c>
      <c r="G3706" s="74" t="s">
        <v>3061</v>
      </c>
      <c r="H3706" s="181">
        <f>INDEX('Списки данных'!$D$2:$D$1048576,MATCH(База_КР_КК[[#This Row],[Структурное подразделение]],'Списки данных'!$C$2:$C$1048576,0))</f>
        <v>52</v>
      </c>
      <c r="I3706" s="80" t="s">
        <v>123</v>
      </c>
      <c r="J3706" s="80" t="s">
        <v>254</v>
      </c>
      <c r="K3706" s="80" t="s">
        <v>21</v>
      </c>
      <c r="L3706" s="30" t="s">
        <v>187</v>
      </c>
      <c r="M3706" s="68">
        <v>5</v>
      </c>
      <c r="N3706" s="181" t="str">
        <f t="shared" si="58"/>
        <v>нет</v>
      </c>
      <c r="O3706" s="23"/>
      <c r="P3706" s="23"/>
      <c r="Q3706" s="106"/>
      <c r="R3706" s="37">
        <v>877</v>
      </c>
      <c r="S3706" s="37" t="s">
        <v>1286</v>
      </c>
      <c r="T3706" s="37">
        <v>1981</v>
      </c>
      <c r="U3706" s="37" t="s">
        <v>2103</v>
      </c>
      <c r="V3706" s="69" t="s">
        <v>189</v>
      </c>
      <c r="W3706" s="89" t="s">
        <v>123</v>
      </c>
      <c r="X3706" s="106" t="s">
        <v>295</v>
      </c>
      <c r="Y3706" s="107" t="s">
        <v>18</v>
      </c>
      <c r="Z3706" s="67">
        <f>IF(База_КР_КК[[#This Row],[Таб.номер резервиста]]="-","-",IF(OR(База_КР_КК[[#This Row],[Уровень КК]]=2,База_КР_КК[[#This Row],[Уровень КК]]=3),IF(COUNTIFS($U$2:$U3706,$U3706,$F$2:$F3706,$F3706)=1,1,0),IF(COUNTIFS($U$2:$U3706,$U3706,$L$2:$L3706,$L3706)=1,1,0)))</f>
        <v>1</v>
      </c>
      <c r="AA37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6" s="106" t="s">
        <v>38</v>
      </c>
      <c r="AC3706" s="51">
        <v>44747</v>
      </c>
      <c r="AD3706" s="106" t="s">
        <v>31</v>
      </c>
      <c r="AE3706" s="38" t="s">
        <v>389</v>
      </c>
    </row>
    <row r="3707" spans="1:31" ht="18" customHeight="1" x14ac:dyDescent="0.25">
      <c r="A37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7" s="79">
        <v>3</v>
      </c>
      <c r="C3707" s="23">
        <v>43455</v>
      </c>
      <c r="D3707" s="67">
        <f>IF(COUNTIF($G$2:$G3707,$G3707)=1,1,0)</f>
        <v>1</v>
      </c>
      <c r="E3707" s="67" t="str">
        <f>IFERROR(VLOOKUP(База_КР_КК[[#This Row],[ИД штатной должности (S)]],'уровень защищенности'!$B$7:$F$1095,5,0),"не защищена")</f>
        <v>высокий</v>
      </c>
      <c r="F3707" s="68">
        <v>500358</v>
      </c>
      <c r="G3707" s="74" t="s">
        <v>3062</v>
      </c>
      <c r="H3707" s="181">
        <f>INDEX('Списки данных'!$D$2:$D$1048576,MATCH(База_КР_КК[[#This Row],[Структурное подразделение]],'Списки данных'!$C$2:$C$1048576,0))</f>
        <v>52</v>
      </c>
      <c r="I3707" s="80" t="s">
        <v>123</v>
      </c>
      <c r="J3707" s="80" t="s">
        <v>254</v>
      </c>
      <c r="K3707" s="80" t="s">
        <v>21</v>
      </c>
      <c r="L3707" s="30" t="s">
        <v>198</v>
      </c>
      <c r="M3707" s="68">
        <v>6</v>
      </c>
      <c r="N3707" s="181" t="str">
        <f t="shared" si="58"/>
        <v>да</v>
      </c>
      <c r="O3707" s="23">
        <v>44676</v>
      </c>
      <c r="P3707" s="23">
        <v>44676</v>
      </c>
      <c r="Q3707" s="106" t="s">
        <v>57</v>
      </c>
      <c r="R3707" s="37">
        <v>878</v>
      </c>
      <c r="S3707" s="38" t="s">
        <v>1287</v>
      </c>
      <c r="T3707" s="37">
        <v>879</v>
      </c>
      <c r="U3707" s="38" t="s">
        <v>1288</v>
      </c>
      <c r="V3707" s="69" t="s">
        <v>192</v>
      </c>
      <c r="W3707" s="89" t="s">
        <v>123</v>
      </c>
      <c r="X3707" s="106" t="s">
        <v>295</v>
      </c>
      <c r="Y3707" s="107" t="s">
        <v>12</v>
      </c>
      <c r="Z3707" s="67">
        <f>IF(База_КР_КК[[#This Row],[Таб.номер резервиста]]="-","-",IF(OR(База_КР_КК[[#This Row],[Уровень КК]]=2,База_КР_КК[[#This Row],[Уровень КК]]=3),IF(COUNTIFS($U$2:$U3707,$U3707,$F$2:$F3707,$F3707)=1,1,0),IF(COUNTIFS($U$2:$U3707,$U3707,$L$2:$L3707,$L3707)=1,1,0)))</f>
        <v>1</v>
      </c>
      <c r="AA37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7" s="106"/>
      <c r="AC3707" s="51"/>
      <c r="AD3707" s="106" t="s">
        <v>13</v>
      </c>
      <c r="AE3707" s="38" t="s">
        <v>389</v>
      </c>
    </row>
    <row r="3708" spans="1:31" ht="18" customHeight="1" x14ac:dyDescent="0.25">
      <c r="A37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8" s="79">
        <v>3</v>
      </c>
      <c r="C3708" s="23">
        <v>43455</v>
      </c>
      <c r="D3708" s="67">
        <f>IF(COUNTIF($G$2:$G3708,$G3708)=1,1,0)</f>
        <v>0</v>
      </c>
      <c r="E3708" s="67" t="str">
        <f>IFERROR(VLOOKUP(База_КР_КК[[#This Row],[ИД штатной должности (S)]],'уровень защищенности'!$B$7:$F$1095,5,0),"не защищена")</f>
        <v>высокий</v>
      </c>
      <c r="F3708" s="68">
        <v>500358</v>
      </c>
      <c r="G3708" s="74" t="s">
        <v>3062</v>
      </c>
      <c r="H3708" s="181">
        <f>INDEX('Списки данных'!$D$2:$D$1048576,MATCH(База_КР_КК[[#This Row],[Структурное подразделение]],'Списки данных'!$C$2:$C$1048576,0))</f>
        <v>52</v>
      </c>
      <c r="I3708" s="80" t="s">
        <v>123</v>
      </c>
      <c r="J3708" s="80" t="s">
        <v>254</v>
      </c>
      <c r="K3708" s="80" t="s">
        <v>21</v>
      </c>
      <c r="L3708" s="30" t="s">
        <v>198</v>
      </c>
      <c r="M3708" s="68">
        <v>6</v>
      </c>
      <c r="N3708" s="181" t="str">
        <f t="shared" si="58"/>
        <v>да</v>
      </c>
      <c r="O3708" s="23">
        <v>44676</v>
      </c>
      <c r="P3708" s="23">
        <v>44676</v>
      </c>
      <c r="Q3708" s="106" t="s">
        <v>57</v>
      </c>
      <c r="R3708" s="37">
        <v>878</v>
      </c>
      <c r="S3708" s="38" t="s">
        <v>1287</v>
      </c>
      <c r="T3708" s="37">
        <v>878</v>
      </c>
      <c r="U3708" s="38" t="s">
        <v>1287</v>
      </c>
      <c r="V3708" s="69" t="s">
        <v>16</v>
      </c>
      <c r="W3708" s="89" t="s">
        <v>123</v>
      </c>
      <c r="X3708" s="106" t="s">
        <v>295</v>
      </c>
      <c r="Y3708" s="107" t="s">
        <v>18</v>
      </c>
      <c r="Z3708" s="67">
        <f>IF(База_КР_КК[[#This Row],[Таб.номер резервиста]]="-","-",IF(OR(База_КР_КК[[#This Row],[Уровень КК]]=2,База_КР_КК[[#This Row],[Уровень КК]]=3),IF(COUNTIFS($U$2:$U3708,$U3708,$F$2:$F3708,$F3708)=1,1,0),IF(COUNTIFS($U$2:$U3708,$U3708,$L$2:$L3708,$L3708)=1,1,0)))</f>
        <v>1</v>
      </c>
      <c r="AA37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8" s="106" t="s">
        <v>38</v>
      </c>
      <c r="AC3708" s="51">
        <v>44005</v>
      </c>
      <c r="AD3708" s="106" t="s">
        <v>31</v>
      </c>
      <c r="AE3708" s="38" t="s">
        <v>302</v>
      </c>
    </row>
    <row r="3709" spans="1:31" ht="18" customHeight="1" x14ac:dyDescent="0.25">
      <c r="A37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09" s="79">
        <v>4</v>
      </c>
      <c r="C3709" s="23">
        <v>44174</v>
      </c>
      <c r="D3709" s="67">
        <f>IF(COUNTIF($G$2:$G3709,$G3709)=1,1,0)</f>
        <v>1</v>
      </c>
      <c r="E3709" s="67" t="str">
        <f>IFERROR(VLOOKUP(База_КР_КК[[#This Row],[ИД штатной должности (S)]],'уровень защищенности'!$B$7:$F$1095,5,0),"не защищена")</f>
        <v>средний</v>
      </c>
      <c r="F3709" s="68">
        <v>500359</v>
      </c>
      <c r="G3709" s="74" t="s">
        <v>3063</v>
      </c>
      <c r="H3709" s="181">
        <f>INDEX('Списки данных'!$D$2:$D$1048576,MATCH(База_КР_КК[[#This Row],[Структурное подразделение]],'Списки данных'!$C$2:$C$1048576,0))</f>
        <v>52</v>
      </c>
      <c r="I3709" s="80" t="s">
        <v>123</v>
      </c>
      <c r="J3709" s="80" t="s">
        <v>254</v>
      </c>
      <c r="K3709" s="80" t="s">
        <v>21</v>
      </c>
      <c r="L3709" s="30" t="s">
        <v>192</v>
      </c>
      <c r="M3709" s="68">
        <v>7</v>
      </c>
      <c r="N3709" s="181" t="str">
        <f t="shared" ref="N3709:N3772" si="59">IF(ISBLANK(O3709),"нет","да")</f>
        <v>нет</v>
      </c>
      <c r="O3709" s="23"/>
      <c r="P3709" s="23"/>
      <c r="Q3709" s="106"/>
      <c r="R3709" s="37">
        <v>879</v>
      </c>
      <c r="S3709" s="37" t="s">
        <v>1288</v>
      </c>
      <c r="T3709" s="37">
        <v>1982</v>
      </c>
      <c r="U3709" s="37" t="s">
        <v>2001</v>
      </c>
      <c r="V3709" s="69" t="s">
        <v>272</v>
      </c>
      <c r="W3709" s="89" t="s">
        <v>123</v>
      </c>
      <c r="X3709" s="106" t="s">
        <v>297</v>
      </c>
      <c r="Y3709" s="107" t="s">
        <v>12</v>
      </c>
      <c r="Z3709" s="67">
        <f>IF(База_КР_КК[[#This Row],[Таб.номер резервиста]]="-","-",IF(OR(База_КР_КК[[#This Row],[Уровень КК]]=2,База_КР_КК[[#This Row],[Уровень КК]]=3),IF(COUNTIFS($U$2:$U3709,$U3709,$F$2:$F3709,$F3709)=1,1,0),IF(COUNTIFS($U$2:$U3709,$U3709,$L$2:$L3709,$L3709)=1,1,0)))</f>
        <v>0</v>
      </c>
      <c r="AA37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09" s="106"/>
      <c r="AC3709" s="51"/>
      <c r="AD3709" s="106" t="s">
        <v>17</v>
      </c>
      <c r="AE3709" s="38" t="s">
        <v>356</v>
      </c>
    </row>
    <row r="3710" spans="1:31" ht="18" customHeight="1" x14ac:dyDescent="0.25">
      <c r="A37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0" s="79">
        <v>4</v>
      </c>
      <c r="C3710" s="23">
        <v>44888</v>
      </c>
      <c r="D3710" s="67">
        <f>IF(COUNTIF($G$2:$G3710,$G3710)=1,1,0)</f>
        <v>0</v>
      </c>
      <c r="E3710" s="67" t="str">
        <f>IFERROR(VLOOKUP(База_КР_КК[[#This Row],[ИД штатной должности (S)]],'уровень защищенности'!$B$7:$F$1095,5,0),"не защищена")</f>
        <v>средний</v>
      </c>
      <c r="F3710" s="68">
        <v>500359</v>
      </c>
      <c r="G3710" s="74" t="s">
        <v>3063</v>
      </c>
      <c r="H3710" s="181">
        <f>INDEX('Списки данных'!$D$2:$D$1048576,MATCH(База_КР_КК[[#This Row],[Структурное подразделение]],'Списки данных'!$C$2:$C$1048576,0))</f>
        <v>52</v>
      </c>
      <c r="I3710" s="80" t="s">
        <v>123</v>
      </c>
      <c r="J3710" s="80" t="s">
        <v>254</v>
      </c>
      <c r="K3710" s="80" t="s">
        <v>21</v>
      </c>
      <c r="L3710" s="30" t="s">
        <v>192</v>
      </c>
      <c r="M3710" s="68">
        <v>7</v>
      </c>
      <c r="N3710" s="181" t="str">
        <f t="shared" si="59"/>
        <v>нет</v>
      </c>
      <c r="O3710" s="23"/>
      <c r="P3710" s="23"/>
      <c r="Q3710" s="106"/>
      <c r="R3710" s="37">
        <v>879</v>
      </c>
      <c r="S3710" s="37" t="s">
        <v>1288</v>
      </c>
      <c r="T3710" s="37">
        <v>1983</v>
      </c>
      <c r="U3710" s="37" t="s">
        <v>2088</v>
      </c>
      <c r="V3710" s="69" t="s">
        <v>272</v>
      </c>
      <c r="W3710" s="89" t="s">
        <v>123</v>
      </c>
      <c r="X3710" s="106" t="s">
        <v>296</v>
      </c>
      <c r="Y3710" s="107" t="s">
        <v>12</v>
      </c>
      <c r="Z3710" s="67">
        <f>IF(База_КР_КК[[#This Row],[Таб.номер резервиста]]="-","-",IF(OR(База_КР_КК[[#This Row],[Уровень КК]]=2,База_КР_КК[[#This Row],[Уровень КК]]=3),IF(COUNTIFS($U$2:$U3710,$U3710,$F$2:$F3710,$F3710)=1,1,0),IF(COUNTIFS($U$2:$U3710,$U3710,$L$2:$L3710,$L3710)=1,1,0)))</f>
        <v>0</v>
      </c>
      <c r="AA37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0" s="106"/>
      <c r="AC3710" s="51"/>
      <c r="AD3710" s="106" t="s">
        <v>15</v>
      </c>
      <c r="AE3710" s="38" t="s">
        <v>356</v>
      </c>
    </row>
    <row r="3711" spans="1:31" ht="18" customHeight="1" x14ac:dyDescent="0.25">
      <c r="A37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1" s="79">
        <v>3</v>
      </c>
      <c r="C3711" s="23">
        <v>44174</v>
      </c>
      <c r="D3711" s="67">
        <f>IF(COUNTIF($G$2:$G3711,$G3711)=1,1,0)</f>
        <v>1</v>
      </c>
      <c r="E3711" s="67" t="str">
        <f>IFERROR(VLOOKUP(База_КР_КК[[#This Row],[ИД штатной должности (S)]],'уровень защищенности'!$B$7:$F$1095,5,0),"не защищена")</f>
        <v>средний</v>
      </c>
      <c r="F3711" s="68">
        <v>500360</v>
      </c>
      <c r="G3711" s="74" t="s">
        <v>3064</v>
      </c>
      <c r="H3711" s="181">
        <f>INDEX('Списки данных'!$D$2:$D$1048576,MATCH(База_КР_КК[[#This Row],[Структурное подразделение]],'Списки данных'!$C$2:$C$1048576,0))</f>
        <v>52</v>
      </c>
      <c r="I3711" s="80" t="s">
        <v>123</v>
      </c>
      <c r="J3711" s="80" t="s">
        <v>254</v>
      </c>
      <c r="K3711" s="80" t="s">
        <v>21</v>
      </c>
      <c r="L3711" s="30" t="s">
        <v>198</v>
      </c>
      <c r="M3711" s="68">
        <v>6</v>
      </c>
      <c r="N3711" s="181" t="str">
        <f t="shared" si="59"/>
        <v>нет</v>
      </c>
      <c r="O3711" s="23"/>
      <c r="P3711" s="23"/>
      <c r="Q3711" s="106"/>
      <c r="R3711" s="37">
        <v>880</v>
      </c>
      <c r="S3711" s="37" t="s">
        <v>1289</v>
      </c>
      <c r="T3711" s="37">
        <v>881</v>
      </c>
      <c r="U3711" s="37" t="s">
        <v>1290</v>
      </c>
      <c r="V3711" s="89" t="s">
        <v>192</v>
      </c>
      <c r="W3711" s="89" t="s">
        <v>123</v>
      </c>
      <c r="X3711" s="106" t="s">
        <v>297</v>
      </c>
      <c r="Y3711" s="107" t="s">
        <v>12</v>
      </c>
      <c r="Z3711" s="67">
        <f>IF(База_КР_КК[[#This Row],[Таб.номер резервиста]]="-","-",IF(OR(База_КР_КК[[#This Row],[Уровень КК]]=2,База_КР_КК[[#This Row],[Уровень КК]]=3),IF(COUNTIFS($U$2:$U3711,$U3711,$F$2:$F3711,$F3711)=1,1,0),IF(COUNTIFS($U$2:$U3711,$U3711,$L$2:$L3711,$L3711)=1,1,0)))</f>
        <v>1</v>
      </c>
      <c r="AA37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1" s="106"/>
      <c r="AC3711" s="51"/>
      <c r="AD3711" s="106" t="s">
        <v>15</v>
      </c>
      <c r="AE3711" s="38" t="s">
        <v>393</v>
      </c>
    </row>
    <row r="3712" spans="1:31" ht="18" customHeight="1" x14ac:dyDescent="0.25">
      <c r="A37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2" s="79">
        <v>4</v>
      </c>
      <c r="C3712" s="23">
        <v>44174</v>
      </c>
      <c r="D3712" s="67">
        <f>IF(COUNTIF($G$2:$G3712,$G3712)=1,1,0)</f>
        <v>1</v>
      </c>
      <c r="E3712" s="67" t="str">
        <f>IFERROR(VLOOKUP(База_КР_КК[[#This Row],[ИД штатной должности (S)]],'уровень защищенности'!$B$7:$F$1095,5,0),"не защищена")</f>
        <v>низкий</v>
      </c>
      <c r="F3712" s="68">
        <v>500361</v>
      </c>
      <c r="G3712" s="74" t="s">
        <v>3065</v>
      </c>
      <c r="H3712" s="181">
        <f>INDEX('Списки данных'!$D$2:$D$1048576,MATCH(База_КР_КК[[#This Row],[Структурное подразделение]],'Списки данных'!$C$2:$C$1048576,0))</f>
        <v>52</v>
      </c>
      <c r="I3712" s="80" t="s">
        <v>123</v>
      </c>
      <c r="J3712" s="80" t="s">
        <v>254</v>
      </c>
      <c r="K3712" s="80" t="s">
        <v>21</v>
      </c>
      <c r="L3712" s="30" t="s">
        <v>192</v>
      </c>
      <c r="M3712" s="68">
        <v>7</v>
      </c>
      <c r="N3712" s="181" t="str">
        <f t="shared" si="59"/>
        <v>нет</v>
      </c>
      <c r="O3712" s="23"/>
      <c r="P3712" s="23"/>
      <c r="Q3712" s="106"/>
      <c r="R3712" s="37">
        <v>881</v>
      </c>
      <c r="S3712" s="37" t="s">
        <v>1290</v>
      </c>
      <c r="T3712" s="37">
        <v>1984</v>
      </c>
      <c r="U3712" s="37" t="s">
        <v>1859</v>
      </c>
      <c r="V3712" s="89" t="s">
        <v>272</v>
      </c>
      <c r="W3712" s="89" t="s">
        <v>123</v>
      </c>
      <c r="X3712" s="106" t="s">
        <v>296</v>
      </c>
      <c r="Y3712" s="107" t="s">
        <v>12</v>
      </c>
      <c r="Z3712" s="67">
        <f>IF(База_КР_КК[[#This Row],[Таб.номер резервиста]]="-","-",IF(OR(База_КР_КК[[#This Row],[Уровень КК]]=2,База_КР_КК[[#This Row],[Уровень КК]]=3),IF(COUNTIFS($U$2:$U3712,$U3712,$F$2:$F3712,$F3712)=1,1,0),IF(COUNTIFS($U$2:$U3712,$U3712,$L$2:$L3712,$L3712)=1,1,0)))</f>
        <v>0</v>
      </c>
      <c r="AA37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2" s="106"/>
      <c r="AC3712" s="51"/>
      <c r="AD3712" s="106" t="s">
        <v>13</v>
      </c>
      <c r="AE3712" s="38" t="s">
        <v>356</v>
      </c>
    </row>
    <row r="3713" spans="1:31" ht="18" customHeight="1" x14ac:dyDescent="0.25">
      <c r="A37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3" s="79">
        <v>3</v>
      </c>
      <c r="C3713" s="23">
        <v>43455</v>
      </c>
      <c r="D3713" s="67">
        <f>IF(COUNTIF($G$2:$G3713,$G3713)=1,1,0)</f>
        <v>1</v>
      </c>
      <c r="E3713" s="67" t="str">
        <f>IFERROR(VLOOKUP(База_КР_КК[[#This Row],[ИД штатной должности (S)]],'уровень защищенности'!$B$7:$F$1095,5,0),"не защищена")</f>
        <v>высокий</v>
      </c>
      <c r="F3713" s="68">
        <v>500362</v>
      </c>
      <c r="G3713" s="74" t="s">
        <v>3066</v>
      </c>
      <c r="H3713" s="181">
        <f>INDEX('Списки данных'!$D$2:$D$1048576,MATCH(База_КР_КК[[#This Row],[Структурное подразделение]],'Списки данных'!$C$2:$C$1048576,0))</f>
        <v>52</v>
      </c>
      <c r="I3713" s="80" t="s">
        <v>123</v>
      </c>
      <c r="J3713" s="80" t="s">
        <v>254</v>
      </c>
      <c r="K3713" s="80" t="s">
        <v>21</v>
      </c>
      <c r="L3713" s="30" t="s">
        <v>186</v>
      </c>
      <c r="M3713" s="68">
        <v>6</v>
      </c>
      <c r="N3713" s="181" t="str">
        <f t="shared" si="59"/>
        <v>да</v>
      </c>
      <c r="O3713" s="23">
        <v>44151</v>
      </c>
      <c r="P3713" s="23">
        <v>44151</v>
      </c>
      <c r="Q3713" s="106" t="s">
        <v>66</v>
      </c>
      <c r="R3713" s="37">
        <v>882</v>
      </c>
      <c r="S3713" s="38" t="s">
        <v>1291</v>
      </c>
      <c r="T3713" s="37">
        <v>1985</v>
      </c>
      <c r="U3713" s="38" t="s">
        <v>1886</v>
      </c>
      <c r="V3713" s="69" t="s">
        <v>189</v>
      </c>
      <c r="W3713" s="89" t="s">
        <v>123</v>
      </c>
      <c r="X3713" s="106" t="s">
        <v>295</v>
      </c>
      <c r="Y3713" s="107" t="s">
        <v>12</v>
      </c>
      <c r="Z3713" s="67">
        <f>IF(База_КР_КК[[#This Row],[Таб.номер резервиста]]="-","-",IF(OR(База_КР_КК[[#This Row],[Уровень КК]]=2,База_КР_КК[[#This Row],[Уровень КК]]=3),IF(COUNTIFS($U$2:$U3713,$U3713,$F$2:$F3713,$F3713)=1,1,0),IF(COUNTIFS($U$2:$U3713,$U3713,$L$2:$L3713,$L3713)=1,1,0)))</f>
        <v>1</v>
      </c>
      <c r="AA37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3" s="106"/>
      <c r="AC3713" s="51"/>
      <c r="AD3713" s="106" t="s">
        <v>17</v>
      </c>
      <c r="AE3713" s="38" t="s">
        <v>389</v>
      </c>
    </row>
    <row r="3714" spans="1:31" ht="18" customHeight="1" x14ac:dyDescent="0.25">
      <c r="A37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4" s="79">
        <v>3</v>
      </c>
      <c r="C3714" s="23">
        <v>43455</v>
      </c>
      <c r="D3714" s="67">
        <f>IF(COUNTIF($G$2:$G3714,$G3714)=1,1,0)</f>
        <v>0</v>
      </c>
      <c r="E3714" s="67" t="str">
        <f>IFERROR(VLOOKUP(База_КР_КК[[#This Row],[ИД штатной должности (S)]],'уровень защищенности'!$B$7:$F$1095,5,0),"не защищена")</f>
        <v>высокий</v>
      </c>
      <c r="F3714" s="68">
        <v>500362</v>
      </c>
      <c r="G3714" s="74" t="s">
        <v>3066</v>
      </c>
      <c r="H3714" s="181">
        <f>INDEX('Списки данных'!$D$2:$D$1048576,MATCH(База_КР_КК[[#This Row],[Структурное подразделение]],'Списки данных'!$C$2:$C$1048576,0))</f>
        <v>52</v>
      </c>
      <c r="I3714" s="80" t="s">
        <v>123</v>
      </c>
      <c r="J3714" s="80" t="s">
        <v>254</v>
      </c>
      <c r="K3714" s="80" t="s">
        <v>21</v>
      </c>
      <c r="L3714" s="30" t="s">
        <v>186</v>
      </c>
      <c r="M3714" s="68">
        <v>6</v>
      </c>
      <c r="N3714" s="181" t="str">
        <f t="shared" si="59"/>
        <v>да</v>
      </c>
      <c r="O3714" s="23">
        <v>44151</v>
      </c>
      <c r="P3714" s="23">
        <v>44151</v>
      </c>
      <c r="Q3714" s="106" t="s">
        <v>66</v>
      </c>
      <c r="R3714" s="37">
        <v>882</v>
      </c>
      <c r="S3714" s="38" t="s">
        <v>1291</v>
      </c>
      <c r="T3714" s="37">
        <v>887</v>
      </c>
      <c r="U3714" s="38" t="s">
        <v>1296</v>
      </c>
      <c r="V3714" s="69" t="s">
        <v>192</v>
      </c>
      <c r="W3714" s="89" t="s">
        <v>123</v>
      </c>
      <c r="X3714" s="106" t="s">
        <v>295</v>
      </c>
      <c r="Y3714" s="107" t="s">
        <v>12</v>
      </c>
      <c r="Z3714" s="67">
        <f>IF(База_КР_КК[[#This Row],[Таб.номер резервиста]]="-","-",IF(OR(База_КР_КК[[#This Row],[Уровень КК]]=2,База_КР_КК[[#This Row],[Уровень КК]]=3),IF(COUNTIFS($U$2:$U3714,$U3714,$F$2:$F3714,$F3714)=1,1,0),IF(COUNTIFS($U$2:$U3714,$U3714,$L$2:$L3714,$L3714)=1,1,0)))</f>
        <v>1</v>
      </c>
      <c r="AA37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4" s="106"/>
      <c r="AC3714" s="51"/>
      <c r="AD3714" s="106" t="s">
        <v>17</v>
      </c>
      <c r="AE3714" s="38" t="s">
        <v>389</v>
      </c>
    </row>
    <row r="3715" spans="1:31" ht="18" customHeight="1" x14ac:dyDescent="0.25">
      <c r="A37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5" s="79">
        <v>3</v>
      </c>
      <c r="C3715" s="23">
        <v>43455</v>
      </c>
      <c r="D3715" s="67">
        <f>IF(COUNTIF($G$2:$G3715,$G3715)=1,1,0)</f>
        <v>0</v>
      </c>
      <c r="E3715" s="67" t="str">
        <f>IFERROR(VLOOKUP(База_КР_КК[[#This Row],[ИД штатной должности (S)]],'уровень защищенности'!$B$7:$F$1095,5,0),"не защищена")</f>
        <v>высокий</v>
      </c>
      <c r="F3715" s="68">
        <v>500362</v>
      </c>
      <c r="G3715" s="74" t="s">
        <v>3066</v>
      </c>
      <c r="H3715" s="181">
        <f>INDEX('Списки данных'!$D$2:$D$1048576,MATCH(База_КР_КК[[#This Row],[Структурное подразделение]],'Списки данных'!$C$2:$C$1048576,0))</f>
        <v>52</v>
      </c>
      <c r="I3715" s="80" t="s">
        <v>123</v>
      </c>
      <c r="J3715" s="80" t="s">
        <v>254</v>
      </c>
      <c r="K3715" s="80" t="s">
        <v>21</v>
      </c>
      <c r="L3715" s="30" t="s">
        <v>186</v>
      </c>
      <c r="M3715" s="68">
        <v>6</v>
      </c>
      <c r="N3715" s="181" t="str">
        <f t="shared" si="59"/>
        <v>да</v>
      </c>
      <c r="O3715" s="23">
        <v>44151</v>
      </c>
      <c r="P3715" s="23">
        <v>44151</v>
      </c>
      <c r="Q3715" s="106" t="s">
        <v>66</v>
      </c>
      <c r="R3715" s="37">
        <v>882</v>
      </c>
      <c r="S3715" s="38" t="s">
        <v>1291</v>
      </c>
      <c r="T3715" s="37">
        <v>882</v>
      </c>
      <c r="U3715" s="38" t="s">
        <v>1291</v>
      </c>
      <c r="V3715" s="69" t="s">
        <v>186</v>
      </c>
      <c r="W3715" s="89" t="s">
        <v>123</v>
      </c>
      <c r="X3715" s="106" t="s">
        <v>297</v>
      </c>
      <c r="Y3715" s="107" t="s">
        <v>14</v>
      </c>
      <c r="Z3715" s="67">
        <f>IF(База_КР_КК[[#This Row],[Таб.номер резервиста]]="-","-",IF(OR(База_КР_КК[[#This Row],[Уровень КК]]=2,База_КР_КК[[#This Row],[Уровень КК]]=3),IF(COUNTIFS($U$2:$U3715,$U3715,$F$2:$F3715,$F3715)=1,1,0),IF(COUNTIFS($U$2:$U3715,$U3715,$L$2:$L3715,$L3715)=1,1,0)))</f>
        <v>1</v>
      </c>
      <c r="AA37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715" s="106" t="s">
        <v>24</v>
      </c>
      <c r="AC3715" s="51">
        <v>44151</v>
      </c>
      <c r="AD3715" s="106" t="s">
        <v>17</v>
      </c>
      <c r="AE3715" s="38" t="s">
        <v>302</v>
      </c>
    </row>
    <row r="3716" spans="1:31" ht="18" customHeight="1" x14ac:dyDescent="0.25">
      <c r="A37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6" s="79">
        <v>4</v>
      </c>
      <c r="C3716" s="23">
        <v>44174</v>
      </c>
      <c r="D3716" s="67">
        <f>IF(COUNTIF($G$2:$G3716,$G3716)=1,1,0)</f>
        <v>1</v>
      </c>
      <c r="E3716" s="67" t="str">
        <f>IFERROR(VLOOKUP(База_КР_КК[[#This Row],[ИД штатной должности (S)]],'уровень защищенности'!$B$7:$F$1095,5,0),"не защищена")</f>
        <v>средний</v>
      </c>
      <c r="F3716" s="68">
        <v>500363</v>
      </c>
      <c r="G3716" s="74" t="s">
        <v>3067</v>
      </c>
      <c r="H3716" s="181">
        <f>INDEX('Списки данных'!$D$2:$D$1048576,MATCH(База_КР_КК[[#This Row],[Структурное подразделение]],'Списки данных'!$C$2:$C$1048576,0))</f>
        <v>52</v>
      </c>
      <c r="I3716" s="80" t="s">
        <v>123</v>
      </c>
      <c r="J3716" s="80" t="s">
        <v>254</v>
      </c>
      <c r="K3716" s="80" t="s">
        <v>21</v>
      </c>
      <c r="L3716" s="30" t="s">
        <v>191</v>
      </c>
      <c r="M3716" s="68">
        <v>7</v>
      </c>
      <c r="N3716" s="181" t="str">
        <f t="shared" si="59"/>
        <v>нет</v>
      </c>
      <c r="O3716" s="23"/>
      <c r="P3716" s="23"/>
      <c r="Q3716" s="106"/>
      <c r="R3716" s="37">
        <v>883</v>
      </c>
      <c r="S3716" s="37" t="s">
        <v>1292</v>
      </c>
      <c r="T3716" s="37">
        <v>1986</v>
      </c>
      <c r="U3716" s="37" t="s">
        <v>1457</v>
      </c>
      <c r="V3716" s="69" t="s">
        <v>272</v>
      </c>
      <c r="W3716" s="89" t="s">
        <v>123</v>
      </c>
      <c r="X3716" s="106" t="s">
        <v>297</v>
      </c>
      <c r="Y3716" s="107" t="s">
        <v>12</v>
      </c>
      <c r="Z3716" s="67">
        <f>IF(База_КР_КК[[#This Row],[Таб.номер резервиста]]="-","-",IF(OR(База_КР_КК[[#This Row],[Уровень КК]]=2,База_КР_КК[[#This Row],[Уровень КК]]=3),IF(COUNTIFS($U$2:$U3716,$U3716,$F$2:$F3716,$F3716)=1,1,0),IF(COUNTIFS($U$2:$U3716,$U3716,$L$2:$L3716,$L3716)=1,1,0)))</f>
        <v>1</v>
      </c>
      <c r="AA37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6" s="106"/>
      <c r="AC3716" s="51"/>
      <c r="AD3716" s="106" t="s">
        <v>17</v>
      </c>
      <c r="AE3716" s="38" t="s">
        <v>356</v>
      </c>
    </row>
    <row r="3717" spans="1:31" ht="18" customHeight="1" x14ac:dyDescent="0.25">
      <c r="A37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7" s="79">
        <v>4</v>
      </c>
      <c r="C3717" s="23">
        <v>44174</v>
      </c>
      <c r="D3717" s="67">
        <f>IF(COUNTIF($G$2:$G3717,$G3717)=1,1,0)</f>
        <v>0</v>
      </c>
      <c r="E3717" s="67" t="str">
        <f>IFERROR(VLOOKUP(База_КР_КК[[#This Row],[ИД штатной должности (S)]],'уровень защищенности'!$B$7:$F$1095,5,0),"не защищена")</f>
        <v>средний</v>
      </c>
      <c r="F3717" s="68">
        <v>500363</v>
      </c>
      <c r="G3717" s="74" t="s">
        <v>3067</v>
      </c>
      <c r="H3717" s="181">
        <f>INDEX('Списки данных'!$D$2:$D$1048576,MATCH(База_КР_КК[[#This Row],[Структурное подразделение]],'Списки данных'!$C$2:$C$1048576,0))</f>
        <v>52</v>
      </c>
      <c r="I3717" s="80" t="s">
        <v>123</v>
      </c>
      <c r="J3717" s="80" t="s">
        <v>254</v>
      </c>
      <c r="K3717" s="80" t="s">
        <v>21</v>
      </c>
      <c r="L3717" s="30" t="s">
        <v>191</v>
      </c>
      <c r="M3717" s="68">
        <v>7</v>
      </c>
      <c r="N3717" s="181" t="str">
        <f t="shared" si="59"/>
        <v>нет</v>
      </c>
      <c r="O3717" s="23"/>
      <c r="P3717" s="23"/>
      <c r="Q3717" s="106"/>
      <c r="R3717" s="37">
        <v>883</v>
      </c>
      <c r="S3717" s="37" t="s">
        <v>1292</v>
      </c>
      <c r="T3717" s="37">
        <v>1987</v>
      </c>
      <c r="U3717" s="37" t="s">
        <v>1956</v>
      </c>
      <c r="V3717" s="69" t="s">
        <v>272</v>
      </c>
      <c r="W3717" s="89" t="s">
        <v>123</v>
      </c>
      <c r="X3717" s="106" t="s">
        <v>296</v>
      </c>
      <c r="Y3717" s="107" t="s">
        <v>12</v>
      </c>
      <c r="Z3717" s="67">
        <f>IF(База_КР_КК[[#This Row],[Таб.номер резервиста]]="-","-",IF(OR(База_КР_КК[[#This Row],[Уровень КК]]=2,База_КР_КК[[#This Row],[Уровень КК]]=3),IF(COUNTIFS($U$2:$U3717,$U3717,$F$2:$F3717,$F3717)=1,1,0),IF(COUNTIFS($U$2:$U3717,$U3717,$L$2:$L3717,$L3717)=1,1,0)))</f>
        <v>0</v>
      </c>
      <c r="AA37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7" s="106"/>
      <c r="AC3717" s="51"/>
      <c r="AD3717" s="106" t="s">
        <v>15</v>
      </c>
      <c r="AE3717" s="38" t="s">
        <v>393</v>
      </c>
    </row>
    <row r="3718" spans="1:31" ht="18" customHeight="1" x14ac:dyDescent="0.25">
      <c r="A37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8" s="79">
        <v>4</v>
      </c>
      <c r="C3718" s="23">
        <v>44174</v>
      </c>
      <c r="D3718" s="67">
        <f>IF(COUNTIF($G$2:$G3718,$G3718)=1,1,0)</f>
        <v>0</v>
      </c>
      <c r="E3718" s="67" t="str">
        <f>IFERROR(VLOOKUP(База_КР_КК[[#This Row],[ИД штатной должности (S)]],'уровень защищенности'!$B$7:$F$1095,5,0),"не защищена")</f>
        <v>средний</v>
      </c>
      <c r="F3718" s="68">
        <v>500363</v>
      </c>
      <c r="G3718" s="74" t="s">
        <v>3067</v>
      </c>
      <c r="H3718" s="181">
        <f>INDEX('Списки данных'!$D$2:$D$1048576,MATCH(База_КР_КК[[#This Row],[Структурное подразделение]],'Списки данных'!$C$2:$C$1048576,0))</f>
        <v>52</v>
      </c>
      <c r="I3718" s="80" t="s">
        <v>123</v>
      </c>
      <c r="J3718" s="80" t="s">
        <v>254</v>
      </c>
      <c r="K3718" s="80" t="s">
        <v>21</v>
      </c>
      <c r="L3718" s="30" t="s">
        <v>191</v>
      </c>
      <c r="M3718" s="68">
        <v>7</v>
      </c>
      <c r="N3718" s="181" t="str">
        <f t="shared" si="59"/>
        <v>нет</v>
      </c>
      <c r="O3718" s="23"/>
      <c r="P3718" s="23"/>
      <c r="Q3718" s="106"/>
      <c r="R3718" s="37">
        <v>883</v>
      </c>
      <c r="S3718" s="37" t="s">
        <v>1292</v>
      </c>
      <c r="T3718" s="37">
        <v>1988</v>
      </c>
      <c r="U3718" s="37" t="s">
        <v>2116</v>
      </c>
      <c r="V3718" s="69" t="s">
        <v>272</v>
      </c>
      <c r="W3718" s="89" t="s">
        <v>123</v>
      </c>
      <c r="X3718" s="106" t="s">
        <v>297</v>
      </c>
      <c r="Y3718" s="107" t="s">
        <v>12</v>
      </c>
      <c r="Z3718" s="67">
        <f>IF(База_КР_КК[[#This Row],[Таб.номер резервиста]]="-","-",IF(OR(База_КР_КК[[#This Row],[Уровень КК]]=2,База_КР_КК[[#This Row],[Уровень КК]]=3),IF(COUNTIFS($U$2:$U3718,$U3718,$F$2:$F3718,$F3718)=1,1,0),IF(COUNTIFS($U$2:$U3718,$U3718,$L$2:$L3718,$L3718)=1,1,0)))</f>
        <v>1</v>
      </c>
      <c r="AA37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8" s="106"/>
      <c r="AC3718" s="51"/>
      <c r="AD3718" s="106" t="s">
        <v>13</v>
      </c>
      <c r="AE3718" s="38" t="s">
        <v>356</v>
      </c>
    </row>
    <row r="3719" spans="1:31" ht="18" customHeight="1" x14ac:dyDescent="0.2">
      <c r="A37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19" s="79">
        <v>4</v>
      </c>
      <c r="C3719" s="23">
        <v>44888</v>
      </c>
      <c r="D3719" s="67">
        <f>IF(COUNTIF($G$2:$G3719,$G3719)=1,1,0)</f>
        <v>0</v>
      </c>
      <c r="E3719" s="67" t="str">
        <f>IFERROR(VLOOKUP(База_КР_КК[[#This Row],[ИД штатной должности (S)]],'уровень защищенности'!$B$7:$F$1095,5,0),"не защищена")</f>
        <v>средний</v>
      </c>
      <c r="F3719" s="68">
        <v>500363</v>
      </c>
      <c r="G3719" s="74" t="s">
        <v>3067</v>
      </c>
      <c r="H3719" s="181">
        <f>INDEX('Списки данных'!$D$2:$D$1048576,MATCH(База_КР_КК[[#This Row],[Структурное подразделение]],'Списки данных'!$C$2:$C$1048576,0))</f>
        <v>52</v>
      </c>
      <c r="I3719" s="80" t="s">
        <v>123</v>
      </c>
      <c r="J3719" s="80" t="s">
        <v>254</v>
      </c>
      <c r="K3719" s="80" t="s">
        <v>21</v>
      </c>
      <c r="L3719" s="30" t="s">
        <v>191</v>
      </c>
      <c r="M3719" s="68">
        <v>7</v>
      </c>
      <c r="N3719" s="181" t="str">
        <f t="shared" si="59"/>
        <v>нет</v>
      </c>
      <c r="O3719" s="23"/>
      <c r="P3719" s="23"/>
      <c r="Q3719" s="106"/>
      <c r="R3719" s="37">
        <v>883</v>
      </c>
      <c r="S3719" s="37" t="s">
        <v>1292</v>
      </c>
      <c r="T3719" s="37">
        <v>1086</v>
      </c>
      <c r="U3719" s="37" t="s">
        <v>1495</v>
      </c>
      <c r="V3719" s="195" t="s">
        <v>192</v>
      </c>
      <c r="W3719" s="89" t="s">
        <v>123</v>
      </c>
      <c r="X3719" s="106" t="s">
        <v>295</v>
      </c>
      <c r="Y3719" s="107" t="s">
        <v>18</v>
      </c>
      <c r="Z3719" s="67">
        <f>IF(База_КР_КК[[#This Row],[Таб.номер резервиста]]="-","-",IF(OR(База_КР_КК[[#This Row],[Уровень КК]]=2,База_КР_КК[[#This Row],[Уровень КК]]=3),IF(COUNTIFS($U$2:$U3719,$U3719,$F$2:$F3719,$F3719)=1,1,0),IF(COUNTIFS($U$2:$U3719,$U3719,$L$2:$L3719,$L3719)=1,1,0)))</f>
        <v>1</v>
      </c>
      <c r="AA37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19" s="106" t="s">
        <v>24</v>
      </c>
      <c r="AC3719" s="51">
        <v>45091</v>
      </c>
      <c r="AD3719" s="106" t="s">
        <v>15</v>
      </c>
      <c r="AE3719" s="38" t="s">
        <v>356</v>
      </c>
    </row>
    <row r="3720" spans="1:31" ht="18" customHeight="1" x14ac:dyDescent="0.25">
      <c r="A37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0" s="79">
        <v>4</v>
      </c>
      <c r="C3720" s="23">
        <v>44888</v>
      </c>
      <c r="D3720" s="67">
        <f>IF(COUNTIF($G$2:$G3720,$G3720)=1,1,0)</f>
        <v>0</v>
      </c>
      <c r="E3720" s="67" t="str">
        <f>IFERROR(VLOOKUP(База_КР_КК[[#This Row],[ИД штатной должности (S)]],'уровень защищенности'!$B$7:$F$1095,5,0),"не защищена")</f>
        <v>средний</v>
      </c>
      <c r="F3720" s="68">
        <v>500363</v>
      </c>
      <c r="G3720" s="74" t="s">
        <v>3067</v>
      </c>
      <c r="H3720" s="181">
        <f>INDEX('Списки данных'!$D$2:$D$1048576,MATCH(База_КР_КК[[#This Row],[Структурное подразделение]],'Списки данных'!$C$2:$C$1048576,0))</f>
        <v>52</v>
      </c>
      <c r="I3720" s="80" t="s">
        <v>123</v>
      </c>
      <c r="J3720" s="80" t="s">
        <v>254</v>
      </c>
      <c r="K3720" s="80" t="s">
        <v>21</v>
      </c>
      <c r="L3720" s="30" t="s">
        <v>191</v>
      </c>
      <c r="M3720" s="68">
        <v>7</v>
      </c>
      <c r="N3720" s="181" t="str">
        <f t="shared" si="59"/>
        <v>нет</v>
      </c>
      <c r="O3720" s="23"/>
      <c r="P3720" s="23"/>
      <c r="Q3720" s="106"/>
      <c r="R3720" s="37">
        <v>883</v>
      </c>
      <c r="S3720" s="37" t="s">
        <v>1292</v>
      </c>
      <c r="T3720" s="37">
        <v>1989</v>
      </c>
      <c r="U3720" s="37" t="s">
        <v>2117</v>
      </c>
      <c r="V3720" s="69" t="s">
        <v>272</v>
      </c>
      <c r="W3720" s="89" t="s">
        <v>123</v>
      </c>
      <c r="X3720" s="106" t="s">
        <v>297</v>
      </c>
      <c r="Y3720" s="107" t="s">
        <v>12</v>
      </c>
      <c r="Z3720" s="67">
        <f>IF(База_КР_КК[[#This Row],[Таб.номер резервиста]]="-","-",IF(OR(База_КР_КК[[#This Row],[Уровень КК]]=2,База_КР_КК[[#This Row],[Уровень КК]]=3),IF(COUNTIFS($U$2:$U3720,$U3720,$F$2:$F3720,$F3720)=1,1,0),IF(COUNTIFS($U$2:$U3720,$U3720,$L$2:$L3720,$L3720)=1,1,0)))</f>
        <v>1</v>
      </c>
      <c r="AA37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0" s="106"/>
      <c r="AC3720" s="51"/>
      <c r="AD3720" s="106" t="s">
        <v>15</v>
      </c>
      <c r="AE3720" s="38" t="s">
        <v>356</v>
      </c>
    </row>
    <row r="3721" spans="1:31" ht="18" customHeight="1" x14ac:dyDescent="0.25">
      <c r="A37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1" s="79">
        <v>4</v>
      </c>
      <c r="C3721" s="23">
        <v>44174</v>
      </c>
      <c r="D3721" s="67">
        <f>IF(COUNTIF($G$2:$G3721,$G3721)=1,1,0)</f>
        <v>0</v>
      </c>
      <c r="E3721" s="67" t="str">
        <f>IFERROR(VLOOKUP(База_КР_КК[[#This Row],[ИД штатной должности (S)]],'уровень защищенности'!$B$7:$F$1095,5,0),"не защищена")</f>
        <v>средний</v>
      </c>
      <c r="F3721" s="68">
        <v>500363</v>
      </c>
      <c r="G3721" s="74" t="s">
        <v>3067</v>
      </c>
      <c r="H3721" s="181">
        <f>INDEX('Списки данных'!$D$2:$D$1048576,MATCH(База_КР_КК[[#This Row],[Структурное подразделение]],'Списки данных'!$C$2:$C$1048576,0))</f>
        <v>52</v>
      </c>
      <c r="I3721" s="80" t="s">
        <v>123</v>
      </c>
      <c r="J3721" s="80" t="s">
        <v>254</v>
      </c>
      <c r="K3721" s="80" t="s">
        <v>21</v>
      </c>
      <c r="L3721" s="30" t="s">
        <v>191</v>
      </c>
      <c r="M3721" s="68">
        <v>7</v>
      </c>
      <c r="N3721" s="181" t="str">
        <f t="shared" si="59"/>
        <v>нет</v>
      </c>
      <c r="O3721" s="23"/>
      <c r="P3721" s="23"/>
      <c r="Q3721" s="106"/>
      <c r="R3721" s="37">
        <v>883</v>
      </c>
      <c r="S3721" s="37" t="s">
        <v>1292</v>
      </c>
      <c r="T3721" s="37">
        <v>884</v>
      </c>
      <c r="U3721" s="37" t="s">
        <v>1293</v>
      </c>
      <c r="V3721" s="69" t="s">
        <v>192</v>
      </c>
      <c r="W3721" s="89" t="s">
        <v>123</v>
      </c>
      <c r="X3721" s="106" t="s">
        <v>295</v>
      </c>
      <c r="Y3721" s="107" t="s">
        <v>14</v>
      </c>
      <c r="Z3721" s="67">
        <f>IF(База_КР_КК[[#This Row],[Таб.номер резервиста]]="-","-",IF(OR(База_КР_КК[[#This Row],[Уровень КК]]=2,База_КР_КК[[#This Row],[Уровень КК]]=3),IF(COUNTIFS($U$2:$U3721,$U3721,$F$2:$F3721,$F3721)=1,1,0),IF(COUNTIFS($U$2:$U3721,$U3721,$L$2:$L3721,$L3721)=1,1,0)))</f>
        <v>1</v>
      </c>
      <c r="AA37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1" s="106" t="s">
        <v>24</v>
      </c>
      <c r="AC3721" s="51">
        <v>44301</v>
      </c>
      <c r="AD3721" s="106" t="s">
        <v>15</v>
      </c>
      <c r="AE3721" s="38" t="s">
        <v>393</v>
      </c>
    </row>
    <row r="3722" spans="1:31" ht="18" customHeight="1" x14ac:dyDescent="0.25">
      <c r="A37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2" s="79">
        <v>4</v>
      </c>
      <c r="C3722" s="23">
        <v>44174</v>
      </c>
      <c r="D3722" s="67">
        <f>IF(COUNTIF($G$2:$G3722,$G3722)=1,1,0)</f>
        <v>1</v>
      </c>
      <c r="E3722" s="67" t="str">
        <f>IFERROR(VLOOKUP(База_КР_КК[[#This Row],[ИД штатной должности (S)]],'уровень защищенности'!$B$7:$F$1095,5,0),"не защищена")</f>
        <v>средний</v>
      </c>
      <c r="F3722" s="68">
        <v>500363</v>
      </c>
      <c r="G3722" s="74" t="s">
        <v>3068</v>
      </c>
      <c r="H3722" s="181">
        <f>INDEX('Списки данных'!$D$2:$D$1048576,MATCH(База_КР_КК[[#This Row],[Структурное подразделение]],'Списки данных'!$C$2:$C$1048576,0))</f>
        <v>52</v>
      </c>
      <c r="I3722" s="80" t="s">
        <v>123</v>
      </c>
      <c r="J3722" s="80" t="s">
        <v>254</v>
      </c>
      <c r="K3722" s="80" t="s">
        <v>21</v>
      </c>
      <c r="L3722" s="30" t="s">
        <v>191</v>
      </c>
      <c r="M3722" s="68">
        <v>7</v>
      </c>
      <c r="N3722" s="181" t="str">
        <f t="shared" si="59"/>
        <v>да</v>
      </c>
      <c r="O3722" s="23">
        <v>44226</v>
      </c>
      <c r="P3722" s="23">
        <v>44301</v>
      </c>
      <c r="Q3722" s="106" t="s">
        <v>66</v>
      </c>
      <c r="R3722" s="37">
        <v>884</v>
      </c>
      <c r="S3722" s="37" t="s">
        <v>1293</v>
      </c>
      <c r="T3722" s="37">
        <v>1986</v>
      </c>
      <c r="U3722" s="37" t="s">
        <v>1457</v>
      </c>
      <c r="V3722" s="69" t="s">
        <v>272</v>
      </c>
      <c r="W3722" s="89" t="s">
        <v>123</v>
      </c>
      <c r="X3722" s="106" t="s">
        <v>297</v>
      </c>
      <c r="Y3722" s="107" t="s">
        <v>12</v>
      </c>
      <c r="Z3722" s="67">
        <f>IF(База_КР_КК[[#This Row],[Таб.номер резервиста]]="-","-",IF(OR(База_КР_КК[[#This Row],[Уровень КК]]=2,База_КР_КК[[#This Row],[Уровень КК]]=3),IF(COUNTIFS($U$2:$U3722,$U3722,$F$2:$F3722,$F3722)=1,1,0),IF(COUNTIFS($U$2:$U3722,$U3722,$L$2:$L3722,$L3722)=1,1,0)))</f>
        <v>0</v>
      </c>
      <c r="AA37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2" s="106"/>
      <c r="AC3722" s="51"/>
      <c r="AD3722" s="106" t="s">
        <v>17</v>
      </c>
      <c r="AE3722" s="38" t="s">
        <v>356</v>
      </c>
    </row>
    <row r="3723" spans="1:31" ht="18" customHeight="1" x14ac:dyDescent="0.25">
      <c r="A37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3" s="79">
        <v>4</v>
      </c>
      <c r="C3723" s="23">
        <v>44174</v>
      </c>
      <c r="D3723" s="67">
        <f>IF(COUNTIF($G$2:$G3723,$G3723)=1,1,0)</f>
        <v>0</v>
      </c>
      <c r="E3723" s="67" t="str">
        <f>IFERROR(VLOOKUP(База_КР_КК[[#This Row],[ИД штатной должности (S)]],'уровень защищенности'!$B$7:$F$1095,5,0),"не защищена")</f>
        <v>средний</v>
      </c>
      <c r="F3723" s="68">
        <v>500363</v>
      </c>
      <c r="G3723" s="74" t="s">
        <v>3068</v>
      </c>
      <c r="H3723" s="181">
        <f>INDEX('Списки данных'!$D$2:$D$1048576,MATCH(База_КР_КК[[#This Row],[Структурное подразделение]],'Списки данных'!$C$2:$C$1048576,0))</f>
        <v>52</v>
      </c>
      <c r="I3723" s="80" t="s">
        <v>123</v>
      </c>
      <c r="J3723" s="80" t="s">
        <v>254</v>
      </c>
      <c r="K3723" s="80" t="s">
        <v>21</v>
      </c>
      <c r="L3723" s="30" t="s">
        <v>191</v>
      </c>
      <c r="M3723" s="68">
        <v>7</v>
      </c>
      <c r="N3723" s="181" t="str">
        <f t="shared" si="59"/>
        <v>да</v>
      </c>
      <c r="O3723" s="23">
        <v>44226</v>
      </c>
      <c r="P3723" s="23">
        <v>44301</v>
      </c>
      <c r="Q3723" s="106" t="s">
        <v>66</v>
      </c>
      <c r="R3723" s="37">
        <v>884</v>
      </c>
      <c r="S3723" s="37" t="s">
        <v>1293</v>
      </c>
      <c r="T3723" s="37">
        <v>1987</v>
      </c>
      <c r="U3723" s="37" t="s">
        <v>1956</v>
      </c>
      <c r="V3723" s="69" t="s">
        <v>272</v>
      </c>
      <c r="W3723" s="89" t="s">
        <v>123</v>
      </c>
      <c r="X3723" s="106" t="s">
        <v>296</v>
      </c>
      <c r="Y3723" s="107" t="s">
        <v>12</v>
      </c>
      <c r="Z3723" s="67">
        <f>IF(База_КР_КК[[#This Row],[Таб.номер резервиста]]="-","-",IF(OR(База_КР_КК[[#This Row],[Уровень КК]]=2,База_КР_КК[[#This Row],[Уровень КК]]=3),IF(COUNTIFS($U$2:$U3723,$U3723,$F$2:$F3723,$F3723)=1,1,0),IF(COUNTIFS($U$2:$U3723,$U3723,$L$2:$L3723,$L3723)=1,1,0)))</f>
        <v>0</v>
      </c>
      <c r="AA37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3" s="106"/>
      <c r="AC3723" s="51"/>
      <c r="AD3723" s="106" t="s">
        <v>15</v>
      </c>
      <c r="AE3723" s="38" t="s">
        <v>393</v>
      </c>
    </row>
    <row r="3724" spans="1:31" ht="18" customHeight="1" x14ac:dyDescent="0.25">
      <c r="A37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4" s="79">
        <v>4</v>
      </c>
      <c r="C3724" s="23">
        <v>44174</v>
      </c>
      <c r="D3724" s="67">
        <f>IF(COUNTIF($G$2:$G3724,$G3724)=1,1,0)</f>
        <v>0</v>
      </c>
      <c r="E3724" s="67" t="str">
        <f>IFERROR(VLOOKUP(База_КР_КК[[#This Row],[ИД штатной должности (S)]],'уровень защищенности'!$B$7:$F$1095,5,0),"не защищена")</f>
        <v>средний</v>
      </c>
      <c r="F3724" s="68">
        <v>500363</v>
      </c>
      <c r="G3724" s="74" t="s">
        <v>3068</v>
      </c>
      <c r="H3724" s="181">
        <f>INDEX('Списки данных'!$D$2:$D$1048576,MATCH(База_КР_КК[[#This Row],[Структурное подразделение]],'Списки данных'!$C$2:$C$1048576,0))</f>
        <v>52</v>
      </c>
      <c r="I3724" s="80" t="s">
        <v>123</v>
      </c>
      <c r="J3724" s="80" t="s">
        <v>254</v>
      </c>
      <c r="K3724" s="80" t="s">
        <v>21</v>
      </c>
      <c r="L3724" s="30" t="s">
        <v>191</v>
      </c>
      <c r="M3724" s="68">
        <v>7</v>
      </c>
      <c r="N3724" s="181" t="str">
        <f t="shared" si="59"/>
        <v>да</v>
      </c>
      <c r="O3724" s="23">
        <v>44226</v>
      </c>
      <c r="P3724" s="23">
        <v>44301</v>
      </c>
      <c r="Q3724" s="106" t="s">
        <v>66</v>
      </c>
      <c r="R3724" s="37">
        <v>884</v>
      </c>
      <c r="S3724" s="37" t="s">
        <v>1293</v>
      </c>
      <c r="T3724" s="37">
        <v>1988</v>
      </c>
      <c r="U3724" s="37" t="s">
        <v>2116</v>
      </c>
      <c r="V3724" s="69" t="s">
        <v>272</v>
      </c>
      <c r="W3724" s="89" t="s">
        <v>123</v>
      </c>
      <c r="X3724" s="106" t="s">
        <v>297</v>
      </c>
      <c r="Y3724" s="107" t="s">
        <v>12</v>
      </c>
      <c r="Z3724" s="67">
        <f>IF(База_КР_КК[[#This Row],[Таб.номер резервиста]]="-","-",IF(OR(База_КР_КК[[#This Row],[Уровень КК]]=2,База_КР_КК[[#This Row],[Уровень КК]]=3),IF(COUNTIFS($U$2:$U3724,$U3724,$F$2:$F3724,$F3724)=1,1,0),IF(COUNTIFS($U$2:$U3724,$U3724,$L$2:$L3724,$L3724)=1,1,0)))</f>
        <v>0</v>
      </c>
      <c r="AA37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4" s="106"/>
      <c r="AC3724" s="51"/>
      <c r="AD3724" s="106" t="s">
        <v>13</v>
      </c>
      <c r="AE3724" s="38" t="s">
        <v>356</v>
      </c>
    </row>
    <row r="3725" spans="1:31" ht="18" customHeight="1" x14ac:dyDescent="0.2">
      <c r="A37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5" s="79">
        <v>4</v>
      </c>
      <c r="C3725" s="23">
        <v>44888</v>
      </c>
      <c r="D3725" s="67">
        <f>IF(COUNTIF($G$2:$G3725,$G3725)=1,1,0)</f>
        <v>0</v>
      </c>
      <c r="E3725" s="67" t="str">
        <f>IFERROR(VLOOKUP(База_КР_КК[[#This Row],[ИД штатной должности (S)]],'уровень защищенности'!$B$7:$F$1095,5,0),"не защищена")</f>
        <v>средний</v>
      </c>
      <c r="F3725" s="68">
        <v>500363</v>
      </c>
      <c r="G3725" s="74" t="s">
        <v>3068</v>
      </c>
      <c r="H3725" s="181">
        <f>INDEX('Списки данных'!$D$2:$D$1048576,MATCH(База_КР_КК[[#This Row],[Структурное подразделение]],'Списки данных'!$C$2:$C$1048576,0))</f>
        <v>52</v>
      </c>
      <c r="I3725" s="80" t="s">
        <v>123</v>
      </c>
      <c r="J3725" s="80" t="s">
        <v>254</v>
      </c>
      <c r="K3725" s="80" t="s">
        <v>21</v>
      </c>
      <c r="L3725" s="30" t="s">
        <v>191</v>
      </c>
      <c r="M3725" s="68">
        <v>7</v>
      </c>
      <c r="N3725" s="181" t="str">
        <f t="shared" si="59"/>
        <v>да</v>
      </c>
      <c r="O3725" s="23">
        <v>44226</v>
      </c>
      <c r="P3725" s="23">
        <v>44301</v>
      </c>
      <c r="Q3725" s="106" t="s">
        <v>66</v>
      </c>
      <c r="R3725" s="37">
        <v>884</v>
      </c>
      <c r="S3725" s="37" t="s">
        <v>1293</v>
      </c>
      <c r="T3725" s="37">
        <v>1086</v>
      </c>
      <c r="U3725" s="37" t="s">
        <v>1495</v>
      </c>
      <c r="V3725" s="195" t="s">
        <v>192</v>
      </c>
      <c r="W3725" s="89" t="s">
        <v>123</v>
      </c>
      <c r="X3725" s="106" t="s">
        <v>295</v>
      </c>
      <c r="Y3725" s="107" t="s">
        <v>18</v>
      </c>
      <c r="Z3725" s="67">
        <f>IF(База_КР_КК[[#This Row],[Таб.номер резервиста]]="-","-",IF(OR(База_КР_КК[[#This Row],[Уровень КК]]=2,База_КР_КК[[#This Row],[Уровень КК]]=3),IF(COUNTIFS($U$2:$U3725,$U3725,$F$2:$F3725,$F3725)=1,1,0),IF(COUNTIFS($U$2:$U3725,$U3725,$L$2:$L3725,$L3725)=1,1,0)))</f>
        <v>0</v>
      </c>
      <c r="AA37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5" s="106" t="s">
        <v>24</v>
      </c>
      <c r="AC3725" s="51">
        <v>45091</v>
      </c>
      <c r="AD3725" s="106" t="s">
        <v>15</v>
      </c>
      <c r="AE3725" s="38" t="s">
        <v>356</v>
      </c>
    </row>
    <row r="3726" spans="1:31" ht="18" customHeight="1" x14ac:dyDescent="0.25">
      <c r="A37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6" s="79">
        <v>4</v>
      </c>
      <c r="C3726" s="23">
        <v>44888</v>
      </c>
      <c r="D3726" s="67">
        <f>IF(COUNTIF($G$2:$G3726,$G3726)=1,1,0)</f>
        <v>0</v>
      </c>
      <c r="E3726" s="67" t="str">
        <f>IFERROR(VLOOKUP(База_КР_КК[[#This Row],[ИД штатной должности (S)]],'уровень защищенности'!$B$7:$F$1095,5,0),"не защищена")</f>
        <v>средний</v>
      </c>
      <c r="F3726" s="68">
        <v>500363</v>
      </c>
      <c r="G3726" s="74" t="s">
        <v>3068</v>
      </c>
      <c r="H3726" s="181">
        <f>INDEX('Списки данных'!$D$2:$D$1048576,MATCH(База_КР_КК[[#This Row],[Структурное подразделение]],'Списки данных'!$C$2:$C$1048576,0))</f>
        <v>52</v>
      </c>
      <c r="I3726" s="80" t="s">
        <v>123</v>
      </c>
      <c r="J3726" s="80" t="s">
        <v>254</v>
      </c>
      <c r="K3726" s="80" t="s">
        <v>21</v>
      </c>
      <c r="L3726" s="30" t="s">
        <v>191</v>
      </c>
      <c r="M3726" s="68">
        <v>7</v>
      </c>
      <c r="N3726" s="181" t="str">
        <f t="shared" si="59"/>
        <v>да</v>
      </c>
      <c r="O3726" s="23">
        <v>44226</v>
      </c>
      <c r="P3726" s="23">
        <v>44301</v>
      </c>
      <c r="Q3726" s="106" t="s">
        <v>66</v>
      </c>
      <c r="R3726" s="37">
        <v>884</v>
      </c>
      <c r="S3726" s="37" t="s">
        <v>1293</v>
      </c>
      <c r="T3726" s="37">
        <v>1989</v>
      </c>
      <c r="U3726" s="37" t="s">
        <v>2117</v>
      </c>
      <c r="V3726" s="69" t="s">
        <v>272</v>
      </c>
      <c r="W3726" s="89" t="s">
        <v>123</v>
      </c>
      <c r="X3726" s="106" t="s">
        <v>297</v>
      </c>
      <c r="Y3726" s="107" t="s">
        <v>12</v>
      </c>
      <c r="Z3726" s="67">
        <f>IF(База_КР_КК[[#This Row],[Таб.номер резервиста]]="-","-",IF(OR(База_КР_КК[[#This Row],[Уровень КК]]=2,База_КР_КК[[#This Row],[Уровень КК]]=3),IF(COUNTIFS($U$2:$U3726,$U3726,$F$2:$F3726,$F3726)=1,1,0),IF(COUNTIFS($U$2:$U3726,$U3726,$L$2:$L3726,$L3726)=1,1,0)))</f>
        <v>0</v>
      </c>
      <c r="AA37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6" s="106"/>
      <c r="AC3726" s="51"/>
      <c r="AD3726" s="106" t="s">
        <v>15</v>
      </c>
      <c r="AE3726" s="38" t="s">
        <v>356</v>
      </c>
    </row>
    <row r="3727" spans="1:31" ht="18" customHeight="1" x14ac:dyDescent="0.25">
      <c r="A37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7" s="79">
        <v>4</v>
      </c>
      <c r="C3727" s="23">
        <v>44174</v>
      </c>
      <c r="D3727" s="67">
        <f>IF(COUNTIF($G$2:$G3727,$G3727)=1,1,0)</f>
        <v>0</v>
      </c>
      <c r="E3727" s="67" t="str">
        <f>IFERROR(VLOOKUP(База_КР_КК[[#This Row],[ИД штатной должности (S)]],'уровень защищенности'!$B$7:$F$1095,5,0),"не защищена")</f>
        <v>средний</v>
      </c>
      <c r="F3727" s="68">
        <v>500363</v>
      </c>
      <c r="G3727" s="74" t="s">
        <v>3068</v>
      </c>
      <c r="H3727" s="181">
        <f>INDEX('Списки данных'!$D$2:$D$1048576,MATCH(База_КР_КК[[#This Row],[Структурное подразделение]],'Списки данных'!$C$2:$C$1048576,0))</f>
        <v>52</v>
      </c>
      <c r="I3727" s="80" t="s">
        <v>123</v>
      </c>
      <c r="J3727" s="80" t="s">
        <v>254</v>
      </c>
      <c r="K3727" s="80" t="s">
        <v>21</v>
      </c>
      <c r="L3727" s="30" t="s">
        <v>191</v>
      </c>
      <c r="M3727" s="68">
        <v>7</v>
      </c>
      <c r="N3727" s="181" t="str">
        <f t="shared" si="59"/>
        <v>да</v>
      </c>
      <c r="O3727" s="23">
        <v>44226</v>
      </c>
      <c r="P3727" s="23">
        <v>44301</v>
      </c>
      <c r="Q3727" s="106" t="s">
        <v>66</v>
      </c>
      <c r="R3727" s="37">
        <v>884</v>
      </c>
      <c r="S3727" s="37" t="s">
        <v>1293</v>
      </c>
      <c r="T3727" s="37">
        <v>884</v>
      </c>
      <c r="U3727" s="37" t="s">
        <v>1293</v>
      </c>
      <c r="V3727" s="69" t="s">
        <v>192</v>
      </c>
      <c r="W3727" s="89" t="s">
        <v>123</v>
      </c>
      <c r="X3727" s="106" t="s">
        <v>295</v>
      </c>
      <c r="Y3727" s="107" t="s">
        <v>14</v>
      </c>
      <c r="Z3727" s="67">
        <f>IF(База_КР_КК[[#This Row],[Таб.номер резервиста]]="-","-",IF(OR(База_КР_КК[[#This Row],[Уровень КК]]=2,База_КР_КК[[#This Row],[Уровень КК]]=3),IF(COUNTIFS($U$2:$U3727,$U3727,$F$2:$F3727,$F3727)=1,1,0),IF(COUNTIFS($U$2:$U3727,$U3727,$L$2:$L3727,$L3727)=1,1,0)))</f>
        <v>0</v>
      </c>
      <c r="AA37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727" s="106" t="s">
        <v>24</v>
      </c>
      <c r="AC3727" s="51">
        <v>44301</v>
      </c>
      <c r="AD3727" s="106" t="s">
        <v>15</v>
      </c>
      <c r="AE3727" s="38" t="s">
        <v>393</v>
      </c>
    </row>
    <row r="3728" spans="1:31" ht="18" customHeight="1" x14ac:dyDescent="0.25">
      <c r="A37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8" s="79">
        <v>4</v>
      </c>
      <c r="C3728" s="23">
        <v>44174</v>
      </c>
      <c r="D3728" s="67">
        <f>IF(COUNTIF($G$2:$G3728,$G3728)=1,1,0)</f>
        <v>1</v>
      </c>
      <c r="E3728" s="67" t="str">
        <f>IFERROR(VLOOKUP(База_КР_КК[[#This Row],[ИД штатной должности (S)]],'уровень защищенности'!$B$7:$F$1095,5,0),"не защищена")</f>
        <v>средний</v>
      </c>
      <c r="F3728" s="68">
        <v>500363</v>
      </c>
      <c r="G3728" s="74" t="s">
        <v>3069</v>
      </c>
      <c r="H3728" s="181">
        <f>INDEX('Списки данных'!$D$2:$D$1048576,MATCH(База_КР_КК[[#This Row],[Структурное подразделение]],'Списки данных'!$C$2:$C$1048576,0))</f>
        <v>52</v>
      </c>
      <c r="I3728" s="80" t="s">
        <v>123</v>
      </c>
      <c r="J3728" s="80" t="s">
        <v>254</v>
      </c>
      <c r="K3728" s="80" t="s">
        <v>21</v>
      </c>
      <c r="L3728" s="30" t="s">
        <v>191</v>
      </c>
      <c r="M3728" s="68">
        <v>7</v>
      </c>
      <c r="N3728" s="181" t="str">
        <f t="shared" si="59"/>
        <v>нет</v>
      </c>
      <c r="O3728" s="23"/>
      <c r="P3728" s="23"/>
      <c r="Q3728" s="106"/>
      <c r="R3728" s="37">
        <v>885</v>
      </c>
      <c r="S3728" s="37" t="s">
        <v>1294</v>
      </c>
      <c r="T3728" s="37">
        <v>1986</v>
      </c>
      <c r="U3728" s="37" t="s">
        <v>1457</v>
      </c>
      <c r="V3728" s="69" t="s">
        <v>272</v>
      </c>
      <c r="W3728" s="89" t="s">
        <v>123</v>
      </c>
      <c r="X3728" s="106" t="s">
        <v>297</v>
      </c>
      <c r="Y3728" s="107" t="s">
        <v>12</v>
      </c>
      <c r="Z3728" s="67">
        <f>IF(База_КР_КК[[#This Row],[Таб.номер резервиста]]="-","-",IF(OR(База_КР_КК[[#This Row],[Уровень КК]]=2,База_КР_КК[[#This Row],[Уровень КК]]=3),IF(COUNTIFS($U$2:$U3728,$U3728,$F$2:$F3728,$F3728)=1,1,0),IF(COUNTIFS($U$2:$U3728,$U3728,$L$2:$L3728,$L3728)=1,1,0)))</f>
        <v>0</v>
      </c>
      <c r="AA37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8" s="106"/>
      <c r="AC3728" s="51"/>
      <c r="AD3728" s="106" t="s">
        <v>17</v>
      </c>
      <c r="AE3728" s="38" t="s">
        <v>356</v>
      </c>
    </row>
    <row r="3729" spans="1:31" ht="18" customHeight="1" x14ac:dyDescent="0.25">
      <c r="A37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29" s="79">
        <v>4</v>
      </c>
      <c r="C3729" s="23">
        <v>44174</v>
      </c>
      <c r="D3729" s="67">
        <f>IF(COUNTIF($G$2:$G3729,$G3729)=1,1,0)</f>
        <v>0</v>
      </c>
      <c r="E3729" s="67" t="str">
        <f>IFERROR(VLOOKUP(База_КР_КК[[#This Row],[ИД штатной должности (S)]],'уровень защищенности'!$B$7:$F$1095,5,0),"не защищена")</f>
        <v>средний</v>
      </c>
      <c r="F3729" s="68">
        <v>500363</v>
      </c>
      <c r="G3729" s="74" t="s">
        <v>3069</v>
      </c>
      <c r="H3729" s="181">
        <f>INDEX('Списки данных'!$D$2:$D$1048576,MATCH(База_КР_КК[[#This Row],[Структурное подразделение]],'Списки данных'!$C$2:$C$1048576,0))</f>
        <v>52</v>
      </c>
      <c r="I3729" s="80" t="s">
        <v>123</v>
      </c>
      <c r="J3729" s="80" t="s">
        <v>254</v>
      </c>
      <c r="K3729" s="80" t="s">
        <v>21</v>
      </c>
      <c r="L3729" s="30" t="s">
        <v>191</v>
      </c>
      <c r="M3729" s="68">
        <v>7</v>
      </c>
      <c r="N3729" s="181" t="str">
        <f t="shared" si="59"/>
        <v>нет</v>
      </c>
      <c r="O3729" s="23"/>
      <c r="P3729" s="23"/>
      <c r="Q3729" s="106"/>
      <c r="R3729" s="37">
        <v>885</v>
      </c>
      <c r="S3729" s="37" t="s">
        <v>1294</v>
      </c>
      <c r="T3729" s="37">
        <v>1987</v>
      </c>
      <c r="U3729" s="37" t="s">
        <v>1956</v>
      </c>
      <c r="V3729" s="69" t="s">
        <v>272</v>
      </c>
      <c r="W3729" s="89" t="s">
        <v>123</v>
      </c>
      <c r="X3729" s="106" t="s">
        <v>296</v>
      </c>
      <c r="Y3729" s="107" t="s">
        <v>12</v>
      </c>
      <c r="Z3729" s="67">
        <f>IF(База_КР_КК[[#This Row],[Таб.номер резервиста]]="-","-",IF(OR(База_КР_КК[[#This Row],[Уровень КК]]=2,База_КР_КК[[#This Row],[Уровень КК]]=3),IF(COUNTIFS($U$2:$U3729,$U3729,$F$2:$F3729,$F3729)=1,1,0),IF(COUNTIFS($U$2:$U3729,$U3729,$L$2:$L3729,$L3729)=1,1,0)))</f>
        <v>0</v>
      </c>
      <c r="AA37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29" s="106"/>
      <c r="AC3729" s="51"/>
      <c r="AD3729" s="106" t="s">
        <v>15</v>
      </c>
      <c r="AE3729" s="38" t="s">
        <v>393</v>
      </c>
    </row>
    <row r="3730" spans="1:31" ht="18" customHeight="1" x14ac:dyDescent="0.25">
      <c r="A37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0" s="79">
        <v>4</v>
      </c>
      <c r="C3730" s="23">
        <v>44174</v>
      </c>
      <c r="D3730" s="67">
        <f>IF(COUNTIF($G$2:$G3730,$G3730)=1,1,0)</f>
        <v>0</v>
      </c>
      <c r="E3730" s="67" t="str">
        <f>IFERROR(VLOOKUP(База_КР_КК[[#This Row],[ИД штатной должности (S)]],'уровень защищенности'!$B$7:$F$1095,5,0),"не защищена")</f>
        <v>средний</v>
      </c>
      <c r="F3730" s="68">
        <v>500363</v>
      </c>
      <c r="G3730" s="74" t="s">
        <v>3069</v>
      </c>
      <c r="H3730" s="181">
        <f>INDEX('Списки данных'!$D$2:$D$1048576,MATCH(База_КР_КК[[#This Row],[Структурное подразделение]],'Списки данных'!$C$2:$C$1048576,0))</f>
        <v>52</v>
      </c>
      <c r="I3730" s="80" t="s">
        <v>123</v>
      </c>
      <c r="J3730" s="80" t="s">
        <v>254</v>
      </c>
      <c r="K3730" s="80" t="s">
        <v>21</v>
      </c>
      <c r="L3730" s="30" t="s">
        <v>191</v>
      </c>
      <c r="M3730" s="68">
        <v>7</v>
      </c>
      <c r="N3730" s="181" t="str">
        <f t="shared" si="59"/>
        <v>нет</v>
      </c>
      <c r="O3730" s="23"/>
      <c r="P3730" s="23"/>
      <c r="Q3730" s="106"/>
      <c r="R3730" s="37">
        <v>885</v>
      </c>
      <c r="S3730" s="37" t="s">
        <v>1294</v>
      </c>
      <c r="T3730" s="37">
        <v>1988</v>
      </c>
      <c r="U3730" s="37" t="s">
        <v>2116</v>
      </c>
      <c r="V3730" s="69" t="s">
        <v>272</v>
      </c>
      <c r="W3730" s="89" t="s">
        <v>123</v>
      </c>
      <c r="X3730" s="106" t="s">
        <v>297</v>
      </c>
      <c r="Y3730" s="107" t="s">
        <v>12</v>
      </c>
      <c r="Z3730" s="67">
        <f>IF(База_КР_КК[[#This Row],[Таб.номер резервиста]]="-","-",IF(OR(База_КР_КК[[#This Row],[Уровень КК]]=2,База_КР_КК[[#This Row],[Уровень КК]]=3),IF(COUNTIFS($U$2:$U3730,$U3730,$F$2:$F3730,$F3730)=1,1,0),IF(COUNTIFS($U$2:$U3730,$U3730,$L$2:$L3730,$L3730)=1,1,0)))</f>
        <v>0</v>
      </c>
      <c r="AA37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0" s="106"/>
      <c r="AC3730" s="51"/>
      <c r="AD3730" s="106" t="s">
        <v>13</v>
      </c>
      <c r="AE3730" s="38" t="s">
        <v>356</v>
      </c>
    </row>
    <row r="3731" spans="1:31" ht="18" customHeight="1" x14ac:dyDescent="0.2">
      <c r="A37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1" s="79">
        <v>4</v>
      </c>
      <c r="C3731" s="23">
        <v>44888</v>
      </c>
      <c r="D3731" s="67">
        <f>IF(COUNTIF($G$2:$G3731,$G3731)=1,1,0)</f>
        <v>0</v>
      </c>
      <c r="E3731" s="67" t="str">
        <f>IFERROR(VLOOKUP(База_КР_КК[[#This Row],[ИД штатной должности (S)]],'уровень защищенности'!$B$7:$F$1095,5,0),"не защищена")</f>
        <v>средний</v>
      </c>
      <c r="F3731" s="68">
        <v>500363</v>
      </c>
      <c r="G3731" s="74" t="s">
        <v>3069</v>
      </c>
      <c r="H3731" s="181">
        <f>INDEX('Списки данных'!$D$2:$D$1048576,MATCH(База_КР_КК[[#This Row],[Структурное подразделение]],'Списки данных'!$C$2:$C$1048576,0))</f>
        <v>52</v>
      </c>
      <c r="I3731" s="80" t="s">
        <v>123</v>
      </c>
      <c r="J3731" s="80" t="s">
        <v>254</v>
      </c>
      <c r="K3731" s="80" t="s">
        <v>21</v>
      </c>
      <c r="L3731" s="30" t="s">
        <v>191</v>
      </c>
      <c r="M3731" s="68">
        <v>7</v>
      </c>
      <c r="N3731" s="181" t="str">
        <f t="shared" si="59"/>
        <v>нет</v>
      </c>
      <c r="O3731" s="23"/>
      <c r="P3731" s="23"/>
      <c r="Q3731" s="106"/>
      <c r="R3731" s="37">
        <v>885</v>
      </c>
      <c r="S3731" s="37" t="s">
        <v>1294</v>
      </c>
      <c r="T3731" s="37">
        <v>1086</v>
      </c>
      <c r="U3731" s="37" t="s">
        <v>1495</v>
      </c>
      <c r="V3731" s="195" t="s">
        <v>192</v>
      </c>
      <c r="W3731" s="89" t="s">
        <v>123</v>
      </c>
      <c r="X3731" s="106" t="s">
        <v>295</v>
      </c>
      <c r="Y3731" s="107" t="s">
        <v>18</v>
      </c>
      <c r="Z3731" s="67">
        <f>IF(База_КР_КК[[#This Row],[Таб.номер резервиста]]="-","-",IF(OR(База_КР_КК[[#This Row],[Уровень КК]]=2,База_КР_КК[[#This Row],[Уровень КК]]=3),IF(COUNTIFS($U$2:$U3731,$U3731,$F$2:$F3731,$F3731)=1,1,0),IF(COUNTIFS($U$2:$U3731,$U3731,$L$2:$L3731,$L3731)=1,1,0)))</f>
        <v>0</v>
      </c>
      <c r="AA37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1" s="106" t="s">
        <v>24</v>
      </c>
      <c r="AC3731" s="51">
        <v>45091</v>
      </c>
      <c r="AD3731" s="106" t="s">
        <v>15</v>
      </c>
      <c r="AE3731" s="38" t="s">
        <v>356</v>
      </c>
    </row>
    <row r="3732" spans="1:31" ht="18" customHeight="1" x14ac:dyDescent="0.25">
      <c r="A37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2" s="79">
        <v>4</v>
      </c>
      <c r="C3732" s="23">
        <v>44888</v>
      </c>
      <c r="D3732" s="67">
        <f>IF(COUNTIF($G$2:$G3732,$G3732)=1,1,0)</f>
        <v>0</v>
      </c>
      <c r="E3732" s="67" t="str">
        <f>IFERROR(VLOOKUP(База_КР_КК[[#This Row],[ИД штатной должности (S)]],'уровень защищенности'!$B$7:$F$1095,5,0),"не защищена")</f>
        <v>средний</v>
      </c>
      <c r="F3732" s="68">
        <v>500363</v>
      </c>
      <c r="G3732" s="74" t="s">
        <v>3069</v>
      </c>
      <c r="H3732" s="181">
        <f>INDEX('Списки данных'!$D$2:$D$1048576,MATCH(База_КР_КК[[#This Row],[Структурное подразделение]],'Списки данных'!$C$2:$C$1048576,0))</f>
        <v>52</v>
      </c>
      <c r="I3732" s="80" t="s">
        <v>123</v>
      </c>
      <c r="J3732" s="80" t="s">
        <v>254</v>
      </c>
      <c r="K3732" s="80" t="s">
        <v>21</v>
      </c>
      <c r="L3732" s="30" t="s">
        <v>191</v>
      </c>
      <c r="M3732" s="68">
        <v>7</v>
      </c>
      <c r="N3732" s="181" t="str">
        <f t="shared" si="59"/>
        <v>нет</v>
      </c>
      <c r="O3732" s="23"/>
      <c r="P3732" s="23"/>
      <c r="Q3732" s="106"/>
      <c r="R3732" s="37">
        <v>885</v>
      </c>
      <c r="S3732" s="37" t="s">
        <v>1294</v>
      </c>
      <c r="T3732" s="37">
        <v>1989</v>
      </c>
      <c r="U3732" s="37" t="s">
        <v>2117</v>
      </c>
      <c r="V3732" s="69" t="s">
        <v>272</v>
      </c>
      <c r="W3732" s="89" t="s">
        <v>123</v>
      </c>
      <c r="X3732" s="106" t="s">
        <v>297</v>
      </c>
      <c r="Y3732" s="107" t="s">
        <v>12</v>
      </c>
      <c r="Z3732" s="67">
        <f>IF(База_КР_КК[[#This Row],[Таб.номер резервиста]]="-","-",IF(OR(База_КР_КК[[#This Row],[Уровень КК]]=2,База_КР_КК[[#This Row],[Уровень КК]]=3),IF(COUNTIFS($U$2:$U3732,$U3732,$F$2:$F3732,$F3732)=1,1,0),IF(COUNTIFS($U$2:$U3732,$U3732,$L$2:$L3732,$L3732)=1,1,0)))</f>
        <v>0</v>
      </c>
      <c r="AA37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2" s="106"/>
      <c r="AC3732" s="51"/>
      <c r="AD3732" s="106" t="s">
        <v>15</v>
      </c>
      <c r="AE3732" s="38" t="s">
        <v>356</v>
      </c>
    </row>
    <row r="3733" spans="1:31" ht="18" customHeight="1" x14ac:dyDescent="0.25">
      <c r="A37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3" s="79">
        <v>4</v>
      </c>
      <c r="C3733" s="23">
        <v>44174</v>
      </c>
      <c r="D3733" s="67">
        <f>IF(COUNTIF($G$2:$G3733,$G3733)=1,1,0)</f>
        <v>0</v>
      </c>
      <c r="E3733" s="67" t="str">
        <f>IFERROR(VLOOKUP(База_КР_КК[[#This Row],[ИД штатной должности (S)]],'уровень защищенности'!$B$7:$F$1095,5,0),"не защищена")</f>
        <v>средний</v>
      </c>
      <c r="F3733" s="68">
        <v>500363</v>
      </c>
      <c r="G3733" s="74" t="s">
        <v>3069</v>
      </c>
      <c r="H3733" s="181">
        <f>INDEX('Списки данных'!$D$2:$D$1048576,MATCH(База_КР_КК[[#This Row],[Структурное подразделение]],'Списки данных'!$C$2:$C$1048576,0))</f>
        <v>52</v>
      </c>
      <c r="I3733" s="80" t="s">
        <v>123</v>
      </c>
      <c r="J3733" s="80" t="s">
        <v>254</v>
      </c>
      <c r="K3733" s="80" t="s">
        <v>21</v>
      </c>
      <c r="L3733" s="30" t="s">
        <v>191</v>
      </c>
      <c r="M3733" s="68">
        <v>7</v>
      </c>
      <c r="N3733" s="181" t="str">
        <f t="shared" si="59"/>
        <v>нет</v>
      </c>
      <c r="O3733" s="23"/>
      <c r="P3733" s="23"/>
      <c r="Q3733" s="106"/>
      <c r="R3733" s="37">
        <v>885</v>
      </c>
      <c r="S3733" s="37" t="s">
        <v>1294</v>
      </c>
      <c r="T3733" s="37">
        <v>884</v>
      </c>
      <c r="U3733" s="37" t="s">
        <v>1293</v>
      </c>
      <c r="V3733" s="69" t="s">
        <v>192</v>
      </c>
      <c r="W3733" s="89" t="s">
        <v>123</v>
      </c>
      <c r="X3733" s="106" t="s">
        <v>295</v>
      </c>
      <c r="Y3733" s="107" t="s">
        <v>14</v>
      </c>
      <c r="Z3733" s="67">
        <f>IF(База_КР_КК[[#This Row],[Таб.номер резервиста]]="-","-",IF(OR(База_КР_КК[[#This Row],[Уровень КК]]=2,База_КР_КК[[#This Row],[Уровень КК]]=3),IF(COUNTIFS($U$2:$U3733,$U3733,$F$2:$F3733,$F3733)=1,1,0),IF(COUNTIFS($U$2:$U3733,$U3733,$L$2:$L3733,$L3733)=1,1,0)))</f>
        <v>0</v>
      </c>
      <c r="AA37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3" s="106" t="s">
        <v>24</v>
      </c>
      <c r="AC3733" s="51">
        <v>44301</v>
      </c>
      <c r="AD3733" s="106" t="s">
        <v>15</v>
      </c>
      <c r="AE3733" s="38" t="s">
        <v>393</v>
      </c>
    </row>
    <row r="3734" spans="1:31" ht="18" customHeight="1" x14ac:dyDescent="0.25">
      <c r="A37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4" s="79">
        <v>4</v>
      </c>
      <c r="C3734" s="23">
        <v>44888</v>
      </c>
      <c r="D3734" s="67">
        <f>IF(COUNTIF($G$2:$G3734,$G3734)=1,1,0)</f>
        <v>1</v>
      </c>
      <c r="E3734" s="67" t="str">
        <f>IFERROR(VLOOKUP(База_КР_КК[[#This Row],[ИД штатной должности (S)]],'уровень защищенности'!$B$7:$F$1095,5,0),"не защищена")</f>
        <v>средний</v>
      </c>
      <c r="F3734" s="68">
        <v>500364</v>
      </c>
      <c r="G3734" s="74" t="s">
        <v>3070</v>
      </c>
      <c r="H3734" s="181">
        <f>INDEX('Списки данных'!$D$2:$D$1048576,MATCH(База_КР_КК[[#This Row],[Структурное подразделение]],'Списки данных'!$C$2:$C$1048576,0))</f>
        <v>52</v>
      </c>
      <c r="I3734" s="80" t="s">
        <v>123</v>
      </c>
      <c r="J3734" s="164" t="s">
        <v>254</v>
      </c>
      <c r="K3734" s="164" t="s">
        <v>259</v>
      </c>
      <c r="L3734" s="30" t="s">
        <v>192</v>
      </c>
      <c r="M3734" s="68">
        <v>7</v>
      </c>
      <c r="N3734" s="181" t="str">
        <f t="shared" si="59"/>
        <v>да</v>
      </c>
      <c r="O3734" s="23">
        <v>44608</v>
      </c>
      <c r="P3734" s="51">
        <v>44669</v>
      </c>
      <c r="Q3734" s="106" t="s">
        <v>66</v>
      </c>
      <c r="R3734" s="37">
        <v>886</v>
      </c>
      <c r="S3734" s="37" t="s">
        <v>1295</v>
      </c>
      <c r="T3734" s="37">
        <v>1987</v>
      </c>
      <c r="U3734" s="37" t="s">
        <v>1956</v>
      </c>
      <c r="V3734" s="69" t="s">
        <v>272</v>
      </c>
      <c r="W3734" s="89" t="s">
        <v>123</v>
      </c>
      <c r="X3734" s="106" t="s">
        <v>296</v>
      </c>
      <c r="Y3734" s="107" t="s">
        <v>12</v>
      </c>
      <c r="Z3734" s="67">
        <f>IF(База_КР_КК[[#This Row],[Таб.номер резервиста]]="-","-",IF(OR(База_КР_КК[[#This Row],[Уровень КК]]=2,База_КР_КК[[#This Row],[Уровень КК]]=3),IF(COUNTIFS($U$2:$U3734,$U3734,$F$2:$F3734,$F3734)=1,1,0),IF(COUNTIFS($U$2:$U3734,$U3734,$L$2:$L3734,$L3734)=1,1,0)))</f>
        <v>0</v>
      </c>
      <c r="AA37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4" s="106"/>
      <c r="AC3734" s="51"/>
      <c r="AD3734" s="106" t="s">
        <v>15</v>
      </c>
      <c r="AE3734" s="38" t="s">
        <v>356</v>
      </c>
    </row>
    <row r="3735" spans="1:31" ht="18" customHeight="1" x14ac:dyDescent="0.25">
      <c r="A37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5" s="79">
        <v>4</v>
      </c>
      <c r="C3735" s="23">
        <v>44888</v>
      </c>
      <c r="D3735" s="67">
        <f>IF(COUNTIF($G$2:$G3735,$G3735)=1,1,0)</f>
        <v>0</v>
      </c>
      <c r="E3735" s="67" t="str">
        <f>IFERROR(VLOOKUP(База_КР_КК[[#This Row],[ИД штатной должности (S)]],'уровень защищенности'!$B$7:$F$1095,5,0),"не защищена")</f>
        <v>средний</v>
      </c>
      <c r="F3735" s="68">
        <v>500364</v>
      </c>
      <c r="G3735" s="74" t="s">
        <v>3070</v>
      </c>
      <c r="H3735" s="181">
        <f>INDEX('Списки данных'!$D$2:$D$1048576,MATCH(База_КР_КК[[#This Row],[Структурное подразделение]],'Списки данных'!$C$2:$C$1048576,0))</f>
        <v>52</v>
      </c>
      <c r="I3735" s="80" t="s">
        <v>123</v>
      </c>
      <c r="J3735" s="164" t="s">
        <v>254</v>
      </c>
      <c r="K3735" s="164" t="s">
        <v>259</v>
      </c>
      <c r="L3735" s="30" t="s">
        <v>192</v>
      </c>
      <c r="M3735" s="68">
        <v>7</v>
      </c>
      <c r="N3735" s="181" t="str">
        <f t="shared" si="59"/>
        <v>да</v>
      </c>
      <c r="O3735" s="23">
        <v>44608</v>
      </c>
      <c r="P3735" s="51">
        <v>44669</v>
      </c>
      <c r="Q3735" s="106" t="s">
        <v>66</v>
      </c>
      <c r="R3735" s="37">
        <v>886</v>
      </c>
      <c r="S3735" s="37" t="s">
        <v>1295</v>
      </c>
      <c r="T3735" s="37">
        <v>1990</v>
      </c>
      <c r="U3735" s="37" t="s">
        <v>2118</v>
      </c>
      <c r="V3735" s="69" t="s">
        <v>272</v>
      </c>
      <c r="W3735" s="89" t="s">
        <v>123</v>
      </c>
      <c r="X3735" s="106" t="s">
        <v>296</v>
      </c>
      <c r="Y3735" s="107" t="s">
        <v>12</v>
      </c>
      <c r="Z3735" s="67">
        <f>IF(База_КР_КК[[#This Row],[Таб.номер резервиста]]="-","-",IF(OR(База_КР_КК[[#This Row],[Уровень КК]]=2,База_КР_КК[[#This Row],[Уровень КК]]=3),IF(COUNTIFS($U$2:$U3735,$U3735,$F$2:$F3735,$F3735)=1,1,0),IF(COUNTIFS($U$2:$U3735,$U3735,$L$2:$L3735,$L3735)=1,1,0)))</f>
        <v>1</v>
      </c>
      <c r="AA37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5" s="106"/>
      <c r="AC3735" s="51"/>
      <c r="AD3735" s="106" t="s">
        <v>15</v>
      </c>
      <c r="AE3735" s="38" t="s">
        <v>356</v>
      </c>
    </row>
    <row r="3736" spans="1:31" ht="18" customHeight="1" x14ac:dyDescent="0.25">
      <c r="A37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6" s="79">
        <v>4</v>
      </c>
      <c r="C3736" s="23">
        <v>44888</v>
      </c>
      <c r="D3736" s="67">
        <f>IF(COUNTIF($G$2:$G3736,$G3736)=1,1,0)</f>
        <v>0</v>
      </c>
      <c r="E3736" s="67" t="str">
        <f>IFERROR(VLOOKUP(База_КР_КК[[#This Row],[ИД штатной должности (S)]],'уровень защищенности'!$B$7:$F$1095,5,0),"не защищена")</f>
        <v>средний</v>
      </c>
      <c r="F3736" s="68">
        <v>500364</v>
      </c>
      <c r="G3736" s="74" t="s">
        <v>3070</v>
      </c>
      <c r="H3736" s="181">
        <f>INDEX('Списки данных'!$D$2:$D$1048576,MATCH(База_КР_КК[[#This Row],[Структурное подразделение]],'Списки данных'!$C$2:$C$1048576,0))</f>
        <v>52</v>
      </c>
      <c r="I3736" s="80" t="s">
        <v>123</v>
      </c>
      <c r="J3736" s="164" t="s">
        <v>254</v>
      </c>
      <c r="K3736" s="164" t="s">
        <v>259</v>
      </c>
      <c r="L3736" s="30" t="s">
        <v>192</v>
      </c>
      <c r="M3736" s="68">
        <v>7</v>
      </c>
      <c r="N3736" s="181" t="str">
        <f t="shared" si="59"/>
        <v>да</v>
      </c>
      <c r="O3736" s="23">
        <v>44608</v>
      </c>
      <c r="P3736" s="51">
        <v>44669</v>
      </c>
      <c r="Q3736" s="106" t="s">
        <v>66</v>
      </c>
      <c r="R3736" s="37">
        <v>886</v>
      </c>
      <c r="S3736" s="37" t="s">
        <v>1295</v>
      </c>
      <c r="T3736" s="37">
        <v>1991</v>
      </c>
      <c r="U3736" s="37" t="s">
        <v>2096</v>
      </c>
      <c r="V3736" s="69" t="s">
        <v>272</v>
      </c>
      <c r="W3736" s="89" t="s">
        <v>123</v>
      </c>
      <c r="X3736" s="106" t="s">
        <v>297</v>
      </c>
      <c r="Y3736" s="107" t="s">
        <v>12</v>
      </c>
      <c r="Z3736" s="67">
        <f>IF(База_КР_КК[[#This Row],[Таб.номер резервиста]]="-","-",IF(OR(База_КР_КК[[#This Row],[Уровень КК]]=2,База_КР_КК[[#This Row],[Уровень КК]]=3),IF(COUNTIFS($U$2:$U3736,$U3736,$F$2:$F3736,$F3736)=1,1,0),IF(COUNTIFS($U$2:$U3736,$U3736,$L$2:$L3736,$L3736)=1,1,0)))</f>
        <v>1</v>
      </c>
      <c r="AA37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6" s="106"/>
      <c r="AC3736" s="51"/>
      <c r="AD3736" s="106" t="s">
        <v>15</v>
      </c>
      <c r="AE3736" s="38" t="s">
        <v>356</v>
      </c>
    </row>
    <row r="3737" spans="1:31" ht="18" customHeight="1" x14ac:dyDescent="0.25">
      <c r="A37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7" s="79">
        <v>4</v>
      </c>
      <c r="C3737" s="23">
        <v>44174</v>
      </c>
      <c r="D3737" s="67">
        <f>IF(COUNTIF($G$2:$G3737,$G3737)=1,1,0)</f>
        <v>0</v>
      </c>
      <c r="E3737" s="67" t="str">
        <f>IFERROR(VLOOKUP(База_КР_КК[[#This Row],[ИД штатной должности (S)]],'уровень защищенности'!$B$7:$F$1095,5,0),"не защищена")</f>
        <v>средний</v>
      </c>
      <c r="F3737" s="68">
        <v>500364</v>
      </c>
      <c r="G3737" s="74" t="s">
        <v>3070</v>
      </c>
      <c r="H3737" s="181">
        <f>INDEX('Списки данных'!$D$2:$D$1048576,MATCH(База_КР_КК[[#This Row],[Структурное подразделение]],'Списки данных'!$C$2:$C$1048576,0))</f>
        <v>52</v>
      </c>
      <c r="I3737" s="80" t="s">
        <v>123</v>
      </c>
      <c r="J3737" s="164" t="s">
        <v>254</v>
      </c>
      <c r="K3737" s="164" t="s">
        <v>259</v>
      </c>
      <c r="L3737" s="30" t="s">
        <v>192</v>
      </c>
      <c r="M3737" s="68">
        <v>7</v>
      </c>
      <c r="N3737" s="181" t="str">
        <f t="shared" si="59"/>
        <v>да</v>
      </c>
      <c r="O3737" s="23">
        <v>44608</v>
      </c>
      <c r="P3737" s="51">
        <v>44669</v>
      </c>
      <c r="Q3737" s="106" t="s">
        <v>66</v>
      </c>
      <c r="R3737" s="37">
        <v>886</v>
      </c>
      <c r="S3737" s="37" t="s">
        <v>1295</v>
      </c>
      <c r="T3737" s="37">
        <v>886</v>
      </c>
      <c r="U3737" s="37" t="s">
        <v>1295</v>
      </c>
      <c r="V3737" s="69" t="s">
        <v>192</v>
      </c>
      <c r="W3737" s="89" t="s">
        <v>123</v>
      </c>
      <c r="X3737" s="106" t="s">
        <v>297</v>
      </c>
      <c r="Y3737" s="107" t="s">
        <v>14</v>
      </c>
      <c r="Z3737" s="67">
        <f>IF(База_КР_КК[[#This Row],[Таб.номер резервиста]]="-","-",IF(OR(База_КР_КК[[#This Row],[Уровень КК]]=2,База_КР_КК[[#This Row],[Уровень КК]]=3),IF(COUNTIFS($U$2:$U3737,$U3737,$F$2:$F3737,$F3737)=1,1,0),IF(COUNTIFS($U$2:$U3737,$U3737,$L$2:$L3737,$L3737)=1,1,0)))</f>
        <v>1</v>
      </c>
      <c r="AA37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737" s="106" t="s">
        <v>24</v>
      </c>
      <c r="AC3737" s="51">
        <v>44669</v>
      </c>
      <c r="AD3737" s="106" t="s">
        <v>15</v>
      </c>
      <c r="AE3737" s="38" t="s">
        <v>393</v>
      </c>
    </row>
    <row r="3738" spans="1:31" ht="18" customHeight="1" x14ac:dyDescent="0.25">
      <c r="A37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8" s="79">
        <v>4</v>
      </c>
      <c r="C3738" s="23">
        <v>44174</v>
      </c>
      <c r="D3738" s="67">
        <f>IF(COUNTIF($G$2:$G3738,$G3738)=1,1,0)</f>
        <v>0</v>
      </c>
      <c r="E3738" s="67" t="str">
        <f>IFERROR(VLOOKUP(База_КР_КК[[#This Row],[ИД штатной должности (S)]],'уровень защищенности'!$B$7:$F$1095,5,0),"не защищена")</f>
        <v>средний</v>
      </c>
      <c r="F3738" s="68">
        <v>500364</v>
      </c>
      <c r="G3738" s="74" t="s">
        <v>3070</v>
      </c>
      <c r="H3738" s="181">
        <f>INDEX('Списки данных'!$D$2:$D$1048576,MATCH(База_КР_КК[[#This Row],[Структурное подразделение]],'Списки данных'!$C$2:$C$1048576,0))</f>
        <v>52</v>
      </c>
      <c r="I3738" s="80" t="s">
        <v>123</v>
      </c>
      <c r="J3738" s="164" t="s">
        <v>254</v>
      </c>
      <c r="K3738" s="164" t="s">
        <v>259</v>
      </c>
      <c r="L3738" s="30" t="s">
        <v>192</v>
      </c>
      <c r="M3738" s="68">
        <v>7</v>
      </c>
      <c r="N3738" s="181" t="str">
        <f t="shared" si="59"/>
        <v>да</v>
      </c>
      <c r="O3738" s="23">
        <v>44608</v>
      </c>
      <c r="P3738" s="51">
        <v>44669</v>
      </c>
      <c r="Q3738" s="106" t="s">
        <v>66</v>
      </c>
      <c r="R3738" s="37">
        <v>886</v>
      </c>
      <c r="S3738" s="37" t="s">
        <v>1295</v>
      </c>
      <c r="T3738" s="37">
        <v>1992</v>
      </c>
      <c r="U3738" s="37" t="s">
        <v>2110</v>
      </c>
      <c r="V3738" s="69" t="s">
        <v>189</v>
      </c>
      <c r="W3738" s="89" t="s">
        <v>123</v>
      </c>
      <c r="X3738" s="106" t="s">
        <v>295</v>
      </c>
      <c r="Y3738" s="107" t="s">
        <v>18</v>
      </c>
      <c r="Z3738" s="67">
        <f>IF(База_КР_КК[[#This Row],[Таб.номер резервиста]]="-","-",IF(OR(База_КР_КК[[#This Row],[Уровень КК]]=2,База_КР_КК[[#This Row],[Уровень КК]]=3),IF(COUNTIFS($U$2:$U3738,$U3738,$F$2:$F3738,$F3738)=1,1,0),IF(COUNTIFS($U$2:$U3738,$U3738,$L$2:$L3738,$L3738)=1,1,0)))</f>
        <v>1</v>
      </c>
      <c r="AA37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8" s="106" t="s">
        <v>37</v>
      </c>
      <c r="AC3738" s="51">
        <v>44888</v>
      </c>
      <c r="AD3738" s="106" t="s">
        <v>31</v>
      </c>
      <c r="AE3738" s="38" t="s">
        <v>356</v>
      </c>
    </row>
    <row r="3739" spans="1:31" ht="18" customHeight="1" x14ac:dyDescent="0.25">
      <c r="A37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39" s="79">
        <v>4</v>
      </c>
      <c r="C3739" s="23">
        <v>44888</v>
      </c>
      <c r="D3739" s="67">
        <f>IF(COUNTIF($G$2:$G3739,$G3739)=1,1,0)</f>
        <v>1</v>
      </c>
      <c r="E3739" s="67" t="str">
        <f>IFERROR(VLOOKUP(База_КР_КК[[#This Row],[ИД штатной должности (S)]],'уровень защищенности'!$B$7:$F$1095,5,0),"не защищена")</f>
        <v>средний</v>
      </c>
      <c r="F3739" s="68">
        <v>500365</v>
      </c>
      <c r="G3739" s="74" t="s">
        <v>3071</v>
      </c>
      <c r="H3739" s="181">
        <f>INDEX('Списки данных'!$D$2:$D$1048576,MATCH(База_КР_КК[[#This Row],[Структурное подразделение]],'Списки данных'!$C$2:$C$1048576,0))</f>
        <v>52</v>
      </c>
      <c r="I3739" s="80" t="s">
        <v>123</v>
      </c>
      <c r="J3739" s="80" t="s">
        <v>254</v>
      </c>
      <c r="K3739" s="80" t="s">
        <v>259</v>
      </c>
      <c r="L3739" s="30" t="s">
        <v>192</v>
      </c>
      <c r="M3739" s="68">
        <v>7</v>
      </c>
      <c r="N3739" s="181" t="str">
        <f t="shared" si="59"/>
        <v>да</v>
      </c>
      <c r="O3739" s="23">
        <v>45091</v>
      </c>
      <c r="P3739" s="23">
        <v>45091</v>
      </c>
      <c r="Q3739" s="106" t="s">
        <v>65</v>
      </c>
      <c r="R3739" s="45">
        <v>887</v>
      </c>
      <c r="S3739" s="45" t="s">
        <v>1296</v>
      </c>
      <c r="T3739" s="37">
        <v>1987</v>
      </c>
      <c r="U3739" s="37" t="s">
        <v>1956</v>
      </c>
      <c r="V3739" s="69" t="s">
        <v>272</v>
      </c>
      <c r="W3739" s="89" t="s">
        <v>123</v>
      </c>
      <c r="X3739" s="106" t="s">
        <v>296</v>
      </c>
      <c r="Y3739" s="107" t="s">
        <v>12</v>
      </c>
      <c r="Z3739" s="67">
        <f>IF(База_КР_КК[[#This Row],[Таб.номер резервиста]]="-","-",IF(OR(База_КР_КК[[#This Row],[Уровень КК]]=2,База_КР_КК[[#This Row],[Уровень КК]]=3),IF(COUNTIFS($U$2:$U3739,$U3739,$F$2:$F3739,$F3739)=1,1,0),IF(COUNTIFS($U$2:$U3739,$U3739,$L$2:$L3739,$L3739)=1,1,0)))</f>
        <v>0</v>
      </c>
      <c r="AA37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39" s="106"/>
      <c r="AC3739" s="51"/>
      <c r="AD3739" s="106" t="s">
        <v>15</v>
      </c>
      <c r="AE3739" s="38" t="s">
        <v>356</v>
      </c>
    </row>
    <row r="3740" spans="1:31" ht="18" customHeight="1" x14ac:dyDescent="0.25">
      <c r="A37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0" s="79">
        <v>4</v>
      </c>
      <c r="C3740" s="23">
        <v>44888</v>
      </c>
      <c r="D3740" s="67">
        <f>IF(COUNTIF($G$2:$G3740,$G3740)=1,1,0)</f>
        <v>0</v>
      </c>
      <c r="E3740" s="67" t="str">
        <f>IFERROR(VLOOKUP(База_КР_КК[[#This Row],[ИД штатной должности (S)]],'уровень защищенности'!$B$7:$F$1095,5,0),"не защищена")</f>
        <v>средний</v>
      </c>
      <c r="F3740" s="68">
        <v>500365</v>
      </c>
      <c r="G3740" s="74" t="s">
        <v>3071</v>
      </c>
      <c r="H3740" s="181">
        <f>INDEX('Списки данных'!$D$2:$D$1048576,MATCH(База_КР_КК[[#This Row],[Структурное подразделение]],'Списки данных'!$C$2:$C$1048576,0))</f>
        <v>52</v>
      </c>
      <c r="I3740" s="80" t="s">
        <v>123</v>
      </c>
      <c r="J3740" s="80" t="s">
        <v>254</v>
      </c>
      <c r="K3740" s="80" t="s">
        <v>259</v>
      </c>
      <c r="L3740" s="30" t="s">
        <v>192</v>
      </c>
      <c r="M3740" s="68">
        <v>7</v>
      </c>
      <c r="N3740" s="181" t="str">
        <f t="shared" si="59"/>
        <v>да</v>
      </c>
      <c r="O3740" s="23">
        <v>45091</v>
      </c>
      <c r="P3740" s="23">
        <v>45091</v>
      </c>
      <c r="Q3740" s="106" t="s">
        <v>65</v>
      </c>
      <c r="R3740" s="45">
        <v>887</v>
      </c>
      <c r="S3740" s="45" t="s">
        <v>1296</v>
      </c>
      <c r="T3740" s="37">
        <v>1990</v>
      </c>
      <c r="U3740" s="37" t="s">
        <v>2118</v>
      </c>
      <c r="V3740" s="69" t="s">
        <v>272</v>
      </c>
      <c r="W3740" s="89" t="s">
        <v>123</v>
      </c>
      <c r="X3740" s="106" t="s">
        <v>296</v>
      </c>
      <c r="Y3740" s="107" t="s">
        <v>12</v>
      </c>
      <c r="Z3740" s="67">
        <f>IF(База_КР_КК[[#This Row],[Таб.номер резервиста]]="-","-",IF(OR(База_КР_КК[[#This Row],[Уровень КК]]=2,База_КР_КК[[#This Row],[Уровень КК]]=3),IF(COUNTIFS($U$2:$U3740,$U3740,$F$2:$F3740,$F3740)=1,1,0),IF(COUNTIFS($U$2:$U3740,$U3740,$L$2:$L3740,$L3740)=1,1,0)))</f>
        <v>0</v>
      </c>
      <c r="AA37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0" s="106"/>
      <c r="AC3740" s="51"/>
      <c r="AD3740" s="106" t="s">
        <v>15</v>
      </c>
      <c r="AE3740" s="38" t="s">
        <v>356</v>
      </c>
    </row>
    <row r="3741" spans="1:31" ht="18" customHeight="1" x14ac:dyDescent="0.25">
      <c r="A37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1" s="79">
        <v>4</v>
      </c>
      <c r="C3741" s="23">
        <v>44888</v>
      </c>
      <c r="D3741" s="67">
        <f>IF(COUNTIF($G$2:$G3741,$G3741)=1,1,0)</f>
        <v>0</v>
      </c>
      <c r="E3741" s="67" t="str">
        <f>IFERROR(VLOOKUP(База_КР_КК[[#This Row],[ИД штатной должности (S)]],'уровень защищенности'!$B$7:$F$1095,5,0),"не защищена")</f>
        <v>средний</v>
      </c>
      <c r="F3741" s="68">
        <v>500365</v>
      </c>
      <c r="G3741" s="74" t="s">
        <v>3071</v>
      </c>
      <c r="H3741" s="181">
        <f>INDEX('Списки данных'!$D$2:$D$1048576,MATCH(База_КР_КК[[#This Row],[Структурное подразделение]],'Списки данных'!$C$2:$C$1048576,0))</f>
        <v>52</v>
      </c>
      <c r="I3741" s="80" t="s">
        <v>123</v>
      </c>
      <c r="J3741" s="80" t="s">
        <v>254</v>
      </c>
      <c r="K3741" s="80" t="s">
        <v>259</v>
      </c>
      <c r="L3741" s="30" t="s">
        <v>192</v>
      </c>
      <c r="M3741" s="68">
        <v>7</v>
      </c>
      <c r="N3741" s="181" t="str">
        <f t="shared" si="59"/>
        <v>да</v>
      </c>
      <c r="O3741" s="23">
        <v>45091</v>
      </c>
      <c r="P3741" s="23">
        <v>45091</v>
      </c>
      <c r="Q3741" s="106" t="s">
        <v>65</v>
      </c>
      <c r="R3741" s="45">
        <v>887</v>
      </c>
      <c r="S3741" s="45" t="s">
        <v>1296</v>
      </c>
      <c r="T3741" s="37">
        <v>1991</v>
      </c>
      <c r="U3741" s="37" t="s">
        <v>2096</v>
      </c>
      <c r="V3741" s="69" t="s">
        <v>272</v>
      </c>
      <c r="W3741" s="89" t="s">
        <v>123</v>
      </c>
      <c r="X3741" s="106" t="s">
        <v>297</v>
      </c>
      <c r="Y3741" s="107" t="s">
        <v>12</v>
      </c>
      <c r="Z3741" s="67">
        <f>IF(База_КР_КК[[#This Row],[Таб.номер резервиста]]="-","-",IF(OR(База_КР_КК[[#This Row],[Уровень КК]]=2,База_КР_КК[[#This Row],[Уровень КК]]=3),IF(COUNTIFS($U$2:$U3741,$U3741,$F$2:$F3741,$F3741)=1,1,0),IF(COUNTIFS($U$2:$U3741,$U3741,$L$2:$L3741,$L3741)=1,1,0)))</f>
        <v>0</v>
      </c>
      <c r="AA37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1" s="106"/>
      <c r="AC3741" s="51"/>
      <c r="AD3741" s="106" t="s">
        <v>15</v>
      </c>
      <c r="AE3741" s="38" t="s">
        <v>356</v>
      </c>
    </row>
    <row r="3742" spans="1:31" ht="18" customHeight="1" x14ac:dyDescent="0.25">
      <c r="A37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2" s="79">
        <v>4</v>
      </c>
      <c r="C3742" s="23">
        <v>44174</v>
      </c>
      <c r="D3742" s="67">
        <f>IF(COUNTIF($G$2:$G3742,$G3742)=1,1,0)</f>
        <v>0</v>
      </c>
      <c r="E3742" s="67" t="str">
        <f>IFERROR(VLOOKUP(База_КР_КК[[#This Row],[ИД штатной должности (S)]],'уровень защищенности'!$B$7:$F$1095,5,0),"не защищена")</f>
        <v>средний</v>
      </c>
      <c r="F3742" s="68">
        <v>500365</v>
      </c>
      <c r="G3742" s="74" t="s">
        <v>3071</v>
      </c>
      <c r="H3742" s="181">
        <f>INDEX('Списки данных'!$D$2:$D$1048576,MATCH(База_КР_КК[[#This Row],[Структурное подразделение]],'Списки данных'!$C$2:$C$1048576,0))</f>
        <v>52</v>
      </c>
      <c r="I3742" s="80" t="s">
        <v>123</v>
      </c>
      <c r="J3742" s="80" t="s">
        <v>254</v>
      </c>
      <c r="K3742" s="80" t="s">
        <v>259</v>
      </c>
      <c r="L3742" s="30" t="s">
        <v>192</v>
      </c>
      <c r="M3742" s="68">
        <v>7</v>
      </c>
      <c r="N3742" s="181" t="str">
        <f t="shared" si="59"/>
        <v>да</v>
      </c>
      <c r="O3742" s="23">
        <v>45091</v>
      </c>
      <c r="P3742" s="23">
        <v>45091</v>
      </c>
      <c r="Q3742" s="106" t="s">
        <v>65</v>
      </c>
      <c r="R3742" s="45">
        <v>887</v>
      </c>
      <c r="S3742" s="45" t="s">
        <v>1296</v>
      </c>
      <c r="T3742" s="37">
        <v>886</v>
      </c>
      <c r="U3742" s="37" t="s">
        <v>1295</v>
      </c>
      <c r="V3742" s="69" t="s">
        <v>192</v>
      </c>
      <c r="W3742" s="89" t="s">
        <v>123</v>
      </c>
      <c r="X3742" s="106" t="s">
        <v>297</v>
      </c>
      <c r="Y3742" s="107" t="s">
        <v>14</v>
      </c>
      <c r="Z3742" s="67">
        <f>IF(База_КР_КК[[#This Row],[Таб.номер резервиста]]="-","-",IF(OR(База_КР_КК[[#This Row],[Уровень КК]]=2,База_КР_КК[[#This Row],[Уровень КК]]=3),IF(COUNTIFS($U$2:$U3742,$U3742,$F$2:$F3742,$F3742)=1,1,0),IF(COUNTIFS($U$2:$U3742,$U3742,$L$2:$L3742,$L3742)=1,1,0)))</f>
        <v>0</v>
      </c>
      <c r="AA37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2" s="106" t="s">
        <v>24</v>
      </c>
      <c r="AC3742" s="51">
        <v>44669</v>
      </c>
      <c r="AD3742" s="106" t="s">
        <v>15</v>
      </c>
      <c r="AE3742" s="38" t="s">
        <v>393</v>
      </c>
    </row>
    <row r="3743" spans="1:31" ht="18" customHeight="1" x14ac:dyDescent="0.25">
      <c r="A37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3" s="79">
        <v>4</v>
      </c>
      <c r="C3743" s="23">
        <v>44174</v>
      </c>
      <c r="D3743" s="67">
        <f>IF(COUNTIF($G$2:$G3743,$G3743)=1,1,0)</f>
        <v>0</v>
      </c>
      <c r="E3743" s="67" t="str">
        <f>IFERROR(VLOOKUP(База_КР_КК[[#This Row],[ИД штатной должности (S)]],'уровень защищенности'!$B$7:$F$1095,5,0),"не защищена")</f>
        <v>средний</v>
      </c>
      <c r="F3743" s="68">
        <v>500365</v>
      </c>
      <c r="G3743" s="74" t="s">
        <v>3071</v>
      </c>
      <c r="H3743" s="181">
        <f>INDEX('Списки данных'!$D$2:$D$1048576,MATCH(База_КР_КК[[#This Row],[Структурное подразделение]],'Списки данных'!$C$2:$C$1048576,0))</f>
        <v>52</v>
      </c>
      <c r="I3743" s="80" t="s">
        <v>123</v>
      </c>
      <c r="J3743" s="80" t="s">
        <v>254</v>
      </c>
      <c r="K3743" s="80" t="s">
        <v>259</v>
      </c>
      <c r="L3743" s="30" t="s">
        <v>192</v>
      </c>
      <c r="M3743" s="68">
        <v>7</v>
      </c>
      <c r="N3743" s="181" t="str">
        <f t="shared" si="59"/>
        <v>да</v>
      </c>
      <c r="O3743" s="23">
        <v>45091</v>
      </c>
      <c r="P3743" s="23">
        <v>45091</v>
      </c>
      <c r="Q3743" s="106" t="s">
        <v>65</v>
      </c>
      <c r="R3743" s="45">
        <v>887</v>
      </c>
      <c r="S3743" s="45" t="s">
        <v>1296</v>
      </c>
      <c r="T3743" s="37">
        <v>1992</v>
      </c>
      <c r="U3743" s="37" t="s">
        <v>2110</v>
      </c>
      <c r="V3743" s="69" t="s">
        <v>189</v>
      </c>
      <c r="W3743" s="89" t="s">
        <v>123</v>
      </c>
      <c r="X3743" s="106" t="s">
        <v>295</v>
      </c>
      <c r="Y3743" s="107" t="s">
        <v>18</v>
      </c>
      <c r="Z3743" s="67">
        <f>IF(База_КР_КК[[#This Row],[Таб.номер резервиста]]="-","-",IF(OR(База_КР_КК[[#This Row],[Уровень КК]]=2,База_КР_КК[[#This Row],[Уровень КК]]=3),IF(COUNTIFS($U$2:$U3743,$U3743,$F$2:$F3743,$F3743)=1,1,0),IF(COUNTIFS($U$2:$U3743,$U3743,$L$2:$L3743,$L3743)=1,1,0)))</f>
        <v>0</v>
      </c>
      <c r="AA37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3" s="106" t="s">
        <v>37</v>
      </c>
      <c r="AC3743" s="51">
        <v>44888</v>
      </c>
      <c r="AD3743" s="106" t="s">
        <v>31</v>
      </c>
      <c r="AE3743" s="38" t="s">
        <v>356</v>
      </c>
    </row>
    <row r="3744" spans="1:31" ht="18" customHeight="1" x14ac:dyDescent="0.25">
      <c r="A37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4" s="79">
        <v>3</v>
      </c>
      <c r="C3744" s="23">
        <v>44190</v>
      </c>
      <c r="D3744" s="67">
        <f>IF(COUNTIF($G$2:$G3744,$G3744)=1,1,0)</f>
        <v>1</v>
      </c>
      <c r="E3744" s="67" t="str">
        <f>IFERROR(VLOOKUP(База_КР_КК[[#This Row],[ИД штатной должности (S)]],'уровень защищенности'!$B$7:$F$1095,5,0),"не защищена")</f>
        <v>высокий</v>
      </c>
      <c r="F3744" s="68">
        <v>500369</v>
      </c>
      <c r="G3744" s="74" t="s">
        <v>3072</v>
      </c>
      <c r="H3744" s="181">
        <f>INDEX('Списки данных'!$D$2:$D$1048576,MATCH(База_КР_КК[[#This Row],[Структурное подразделение]],'Списки данных'!$C$2:$C$1048576,0))</f>
        <v>51</v>
      </c>
      <c r="I3744" s="80" t="s">
        <v>134</v>
      </c>
      <c r="J3744" s="80" t="s">
        <v>257</v>
      </c>
      <c r="K3744" s="80" t="s">
        <v>21</v>
      </c>
      <c r="L3744" s="30" t="s">
        <v>186</v>
      </c>
      <c r="M3744" s="68">
        <v>6</v>
      </c>
      <c r="N3744" s="181" t="str">
        <f t="shared" si="59"/>
        <v>нет</v>
      </c>
      <c r="O3744" s="23"/>
      <c r="P3744" s="23"/>
      <c r="Q3744" s="106"/>
      <c r="R3744" s="37">
        <v>888</v>
      </c>
      <c r="S3744" s="37" t="s">
        <v>1297</v>
      </c>
      <c r="T3744" s="37">
        <v>899</v>
      </c>
      <c r="U3744" s="37" t="s">
        <v>1308</v>
      </c>
      <c r="V3744" s="89" t="s">
        <v>198</v>
      </c>
      <c r="W3744" s="89" t="s">
        <v>134</v>
      </c>
      <c r="X3744" s="106" t="s">
        <v>295</v>
      </c>
      <c r="Y3744" s="107" t="s">
        <v>12</v>
      </c>
      <c r="Z3744" s="67">
        <f>IF(База_КР_КК[[#This Row],[Таб.номер резервиста]]="-","-",IF(OR(База_КР_КК[[#This Row],[Уровень КК]]=2,База_КР_КК[[#This Row],[Уровень КК]]=3),IF(COUNTIFS($U$2:$U3744,$U3744,$F$2:$F3744,$F3744)=1,1,0),IF(COUNTIFS($U$2:$U3744,$U3744,$L$2:$L3744,$L3744)=1,1,0)))</f>
        <v>1</v>
      </c>
      <c r="AA37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4" s="106"/>
      <c r="AC3744" s="51"/>
      <c r="AD3744" s="106" t="s">
        <v>13</v>
      </c>
      <c r="AE3744" s="38" t="s">
        <v>389</v>
      </c>
    </row>
    <row r="3745" spans="1:31" ht="18" customHeight="1" x14ac:dyDescent="0.25">
      <c r="A37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5" s="79">
        <v>3</v>
      </c>
      <c r="C3745" s="23">
        <v>44190</v>
      </c>
      <c r="D3745" s="67">
        <f>IF(COUNTIF($G$2:$G3745,$G3745)=1,1,0)</f>
        <v>0</v>
      </c>
      <c r="E3745" s="67" t="str">
        <f>IFERROR(VLOOKUP(База_КР_КК[[#This Row],[ИД штатной должности (S)]],'уровень защищенности'!$B$7:$F$1095,5,0),"не защищена")</f>
        <v>высокий</v>
      </c>
      <c r="F3745" s="68">
        <v>500369</v>
      </c>
      <c r="G3745" s="74" t="s">
        <v>3072</v>
      </c>
      <c r="H3745" s="181">
        <f>INDEX('Списки данных'!$D$2:$D$1048576,MATCH(База_КР_КК[[#This Row],[Структурное подразделение]],'Списки данных'!$C$2:$C$1048576,0))</f>
        <v>51</v>
      </c>
      <c r="I3745" s="80" t="s">
        <v>134</v>
      </c>
      <c r="J3745" s="80" t="s">
        <v>257</v>
      </c>
      <c r="K3745" s="80" t="s">
        <v>21</v>
      </c>
      <c r="L3745" s="30" t="s">
        <v>186</v>
      </c>
      <c r="M3745" s="68">
        <v>6</v>
      </c>
      <c r="N3745" s="181" t="str">
        <f t="shared" si="59"/>
        <v>нет</v>
      </c>
      <c r="O3745" s="23"/>
      <c r="P3745" s="23"/>
      <c r="Q3745" s="106"/>
      <c r="R3745" s="37">
        <v>888</v>
      </c>
      <c r="S3745" s="37" t="s">
        <v>1297</v>
      </c>
      <c r="T3745" s="37">
        <v>889</v>
      </c>
      <c r="U3745" s="37" t="s">
        <v>1298</v>
      </c>
      <c r="V3745" s="69" t="s">
        <v>189</v>
      </c>
      <c r="W3745" s="89" t="s">
        <v>134</v>
      </c>
      <c r="X3745" s="106" t="s">
        <v>296</v>
      </c>
      <c r="Y3745" s="107" t="s">
        <v>12</v>
      </c>
      <c r="Z3745" s="67">
        <f>IF(База_КР_КК[[#This Row],[Таб.номер резервиста]]="-","-",IF(OR(База_КР_КК[[#This Row],[Уровень КК]]=2,База_КР_КК[[#This Row],[Уровень КК]]=3),IF(COUNTIFS($U$2:$U3745,$U3745,$F$2:$F3745,$F3745)=1,1,0),IF(COUNTIFS($U$2:$U3745,$U3745,$L$2:$L3745,$L3745)=1,1,0)))</f>
        <v>1</v>
      </c>
      <c r="AA37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5" s="106"/>
      <c r="AC3745" s="51"/>
      <c r="AD3745" s="106" t="s">
        <v>13</v>
      </c>
      <c r="AE3745" s="38" t="s">
        <v>389</v>
      </c>
    </row>
    <row r="3746" spans="1:31" ht="18" customHeight="1" x14ac:dyDescent="0.25">
      <c r="A37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6" s="79">
        <v>4</v>
      </c>
      <c r="C3746" s="23">
        <v>44896</v>
      </c>
      <c r="D3746" s="67">
        <f>IF(COUNTIF($G$2:$G3746,$G3746)=1,1,0)</f>
        <v>1</v>
      </c>
      <c r="E3746" s="67" t="str">
        <f>IFERROR(VLOOKUP(База_КР_КК[[#This Row],[ИД штатной должности (S)]],'уровень защищенности'!$B$7:$F$1095,5,0),"не защищена")</f>
        <v>высокий</v>
      </c>
      <c r="F3746" s="68">
        <v>500370</v>
      </c>
      <c r="G3746" s="74" t="s">
        <v>3073</v>
      </c>
      <c r="H3746" s="181">
        <f>INDEX('Списки данных'!$D$2:$D$1048576,MATCH(База_КР_КК[[#This Row],[Структурное подразделение]],'Списки данных'!$C$2:$C$1048576,0))</f>
        <v>51</v>
      </c>
      <c r="I3746" s="80" t="s">
        <v>134</v>
      </c>
      <c r="J3746" s="80" t="s">
        <v>257</v>
      </c>
      <c r="K3746" s="80" t="s">
        <v>21</v>
      </c>
      <c r="L3746" s="30" t="s">
        <v>189</v>
      </c>
      <c r="M3746" s="68">
        <v>7</v>
      </c>
      <c r="N3746" s="181" t="str">
        <f t="shared" si="59"/>
        <v>нет</v>
      </c>
      <c r="O3746" s="23"/>
      <c r="P3746" s="23"/>
      <c r="Q3746" s="106"/>
      <c r="R3746" s="37">
        <v>889</v>
      </c>
      <c r="S3746" s="37" t="s">
        <v>1298</v>
      </c>
      <c r="T3746" s="37">
        <v>1993</v>
      </c>
      <c r="U3746" s="37" t="s">
        <v>1647</v>
      </c>
      <c r="V3746" s="69" t="s">
        <v>16</v>
      </c>
      <c r="W3746" s="89" t="s">
        <v>134</v>
      </c>
      <c r="X3746" s="106" t="s">
        <v>295</v>
      </c>
      <c r="Y3746" s="107" t="s">
        <v>12</v>
      </c>
      <c r="Z3746" s="67">
        <f>IF(База_КР_КК[[#This Row],[Таб.номер резервиста]]="-","-",IF(OR(База_КР_КК[[#This Row],[Уровень КК]]=2,База_КР_КК[[#This Row],[Уровень КК]]=3),IF(COUNTIFS($U$2:$U3746,$U3746,$F$2:$F3746,$F3746)=1,1,0),IF(COUNTIFS($U$2:$U3746,$U3746,$L$2:$L3746,$L3746)=1,1,0)))</f>
        <v>1</v>
      </c>
      <c r="AA37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6" s="106"/>
      <c r="AC3746" s="51"/>
      <c r="AD3746" s="106" t="s">
        <v>15</v>
      </c>
      <c r="AE3746" s="40" t="s">
        <v>390</v>
      </c>
    </row>
    <row r="3747" spans="1:31" ht="18" customHeight="1" x14ac:dyDescent="0.25">
      <c r="A37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7" s="79">
        <v>4</v>
      </c>
      <c r="C3747" s="23">
        <v>44190</v>
      </c>
      <c r="D3747" s="67">
        <f>IF(COUNTIF($G$2:$G3747,$G3747)=1,1,0)</f>
        <v>0</v>
      </c>
      <c r="E3747" s="67" t="str">
        <f>IFERROR(VLOOKUP(База_КР_КК[[#This Row],[ИД штатной должности (S)]],'уровень защищенности'!$B$7:$F$1095,5,0),"не защищена")</f>
        <v>высокий</v>
      </c>
      <c r="F3747" s="68">
        <v>500370</v>
      </c>
      <c r="G3747" s="74" t="s">
        <v>3073</v>
      </c>
      <c r="H3747" s="181">
        <f>INDEX('Списки данных'!$D$2:$D$1048576,MATCH(База_КР_КК[[#This Row],[Структурное подразделение]],'Списки данных'!$C$2:$C$1048576,0))</f>
        <v>51</v>
      </c>
      <c r="I3747" s="80" t="s">
        <v>134</v>
      </c>
      <c r="J3747" s="80" t="s">
        <v>257</v>
      </c>
      <c r="K3747" s="80" t="s">
        <v>21</v>
      </c>
      <c r="L3747" s="30" t="s">
        <v>189</v>
      </c>
      <c r="M3747" s="68">
        <v>7</v>
      </c>
      <c r="N3747" s="181" t="str">
        <f t="shared" si="59"/>
        <v>нет</v>
      </c>
      <c r="O3747" s="23"/>
      <c r="P3747" s="23"/>
      <c r="Q3747" s="106"/>
      <c r="R3747" s="37">
        <v>889</v>
      </c>
      <c r="S3747" s="37" t="s">
        <v>1298</v>
      </c>
      <c r="T3747" s="37">
        <v>1994</v>
      </c>
      <c r="U3747" s="37" t="s">
        <v>2119</v>
      </c>
      <c r="V3747" s="69" t="s">
        <v>16</v>
      </c>
      <c r="W3747" s="89" t="s">
        <v>130</v>
      </c>
      <c r="X3747" s="106" t="s">
        <v>297</v>
      </c>
      <c r="Y3747" s="107" t="s">
        <v>18</v>
      </c>
      <c r="Z3747" s="67">
        <f>IF(База_КР_КК[[#This Row],[Таб.номер резервиста]]="-","-",IF(OR(База_КР_КК[[#This Row],[Уровень КК]]=2,База_КР_КК[[#This Row],[Уровень КК]]=3),IF(COUNTIFS($U$2:$U3747,$U3747,$F$2:$F3747,$F3747)=1,1,0),IF(COUNTIFS($U$2:$U3747,$U3747,$L$2:$L3747,$L3747)=1,1,0)))</f>
        <v>1</v>
      </c>
      <c r="AA37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7" s="106" t="s">
        <v>33</v>
      </c>
      <c r="AC3747" s="51">
        <v>44896</v>
      </c>
      <c r="AD3747" s="106" t="s">
        <v>31</v>
      </c>
      <c r="AE3747" s="40" t="s">
        <v>390</v>
      </c>
    </row>
    <row r="3748" spans="1:31" ht="18" customHeight="1" x14ac:dyDescent="0.25">
      <c r="A37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8" s="79">
        <v>4</v>
      </c>
      <c r="C3748" s="23">
        <v>44190</v>
      </c>
      <c r="D3748" s="67">
        <f>IF(COUNTIF($G$2:$G3748,$G3748)=1,1,0)</f>
        <v>1</v>
      </c>
      <c r="E3748" s="67" t="str">
        <f>IFERROR(VLOOKUP(База_КР_КК[[#This Row],[ИД штатной должности (S)]],'уровень защищенности'!$B$7:$F$1095,5,0),"не защищена")</f>
        <v>высокий</v>
      </c>
      <c r="F3748" s="68">
        <v>500371</v>
      </c>
      <c r="G3748" s="74" t="s">
        <v>3074</v>
      </c>
      <c r="H3748" s="181">
        <f>INDEX('Списки данных'!$D$2:$D$1048576,MATCH(База_КР_КК[[#This Row],[Структурное подразделение]],'Списки данных'!$C$2:$C$1048576,0))</f>
        <v>51</v>
      </c>
      <c r="I3748" s="80" t="s">
        <v>134</v>
      </c>
      <c r="J3748" s="80" t="s">
        <v>257</v>
      </c>
      <c r="K3748" s="80" t="s">
        <v>21</v>
      </c>
      <c r="L3748" s="30" t="s">
        <v>194</v>
      </c>
      <c r="M3748" s="68">
        <v>6</v>
      </c>
      <c r="N3748" s="181" t="str">
        <f t="shared" si="59"/>
        <v>нет</v>
      </c>
      <c r="O3748" s="23"/>
      <c r="P3748" s="23"/>
      <c r="Q3748" s="106"/>
      <c r="R3748" s="37">
        <v>890</v>
      </c>
      <c r="S3748" s="37" t="s">
        <v>1299</v>
      </c>
      <c r="T3748" s="37">
        <v>1995</v>
      </c>
      <c r="U3748" s="37" t="s">
        <v>2120</v>
      </c>
      <c r="V3748" s="69" t="s">
        <v>272</v>
      </c>
      <c r="W3748" s="89" t="s">
        <v>134</v>
      </c>
      <c r="X3748" s="106" t="s">
        <v>295</v>
      </c>
      <c r="Y3748" s="107" t="s">
        <v>12</v>
      </c>
      <c r="Z3748" s="67">
        <f>IF(База_КР_КК[[#This Row],[Таб.номер резервиста]]="-","-",IF(OR(База_КР_КК[[#This Row],[Уровень КК]]=2,База_КР_КК[[#This Row],[Уровень КК]]=3),IF(COUNTIFS($U$2:$U3748,$U3748,$F$2:$F3748,$F3748)=1,1,0),IF(COUNTIFS($U$2:$U3748,$U3748,$L$2:$L3748,$L3748)=1,1,0)))</f>
        <v>1</v>
      </c>
      <c r="AA37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8" s="106"/>
      <c r="AC3748" s="51"/>
      <c r="AD3748" s="106" t="s">
        <v>13</v>
      </c>
      <c r="AE3748" s="40" t="s">
        <v>390</v>
      </c>
    </row>
    <row r="3749" spans="1:31" ht="18" customHeight="1" x14ac:dyDescent="0.25">
      <c r="A37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49" s="79">
        <v>4</v>
      </c>
      <c r="C3749" s="23">
        <v>44190</v>
      </c>
      <c r="D3749" s="67">
        <f>IF(COUNTIF($G$2:$G3749,$G3749)=1,1,0)</f>
        <v>0</v>
      </c>
      <c r="E3749" s="67" t="str">
        <f>IFERROR(VLOOKUP(База_КР_КК[[#This Row],[ИД штатной должности (S)]],'уровень защищенности'!$B$7:$F$1095,5,0),"не защищена")</f>
        <v>высокий</v>
      </c>
      <c r="F3749" s="68">
        <v>500371</v>
      </c>
      <c r="G3749" s="74" t="s">
        <v>3074</v>
      </c>
      <c r="H3749" s="181">
        <f>INDEX('Списки данных'!$D$2:$D$1048576,MATCH(База_КР_КК[[#This Row],[Структурное подразделение]],'Списки данных'!$C$2:$C$1048576,0))</f>
        <v>51</v>
      </c>
      <c r="I3749" s="80" t="s">
        <v>134</v>
      </c>
      <c r="J3749" s="80" t="s">
        <v>257</v>
      </c>
      <c r="K3749" s="80" t="s">
        <v>21</v>
      </c>
      <c r="L3749" s="30" t="s">
        <v>194</v>
      </c>
      <c r="M3749" s="68">
        <v>6</v>
      </c>
      <c r="N3749" s="181" t="str">
        <f t="shared" si="59"/>
        <v>нет</v>
      </c>
      <c r="O3749" s="23"/>
      <c r="P3749" s="23"/>
      <c r="Q3749" s="106"/>
      <c r="R3749" s="37">
        <v>890</v>
      </c>
      <c r="S3749" s="37" t="s">
        <v>1299</v>
      </c>
      <c r="T3749" s="37">
        <v>1996</v>
      </c>
      <c r="U3749" s="37" t="s">
        <v>2059</v>
      </c>
      <c r="V3749" s="69" t="s">
        <v>272</v>
      </c>
      <c r="W3749" s="89" t="s">
        <v>134</v>
      </c>
      <c r="X3749" s="106" t="s">
        <v>297</v>
      </c>
      <c r="Y3749" s="107" t="s">
        <v>12</v>
      </c>
      <c r="Z3749" s="67">
        <f>IF(База_КР_КК[[#This Row],[Таб.номер резервиста]]="-","-",IF(OR(База_КР_КК[[#This Row],[Уровень КК]]=2,База_КР_КК[[#This Row],[Уровень КК]]=3),IF(COUNTIFS($U$2:$U3749,$U3749,$F$2:$F3749,$F3749)=1,1,0),IF(COUNTIFS($U$2:$U3749,$U3749,$L$2:$L3749,$L3749)=1,1,0)))</f>
        <v>1</v>
      </c>
      <c r="AA37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49" s="106"/>
      <c r="AC3749" s="51"/>
      <c r="AD3749" s="106" t="s">
        <v>13</v>
      </c>
      <c r="AE3749" s="40" t="s">
        <v>390</v>
      </c>
    </row>
    <row r="3750" spans="1:31" ht="18" customHeight="1" x14ac:dyDescent="0.25">
      <c r="A37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0" s="79">
        <v>4</v>
      </c>
      <c r="C3750" s="23">
        <v>44190</v>
      </c>
      <c r="D3750" s="67">
        <f>IF(COUNTIF($G$2:$G3750,$G3750)=1,1,0)</f>
        <v>1</v>
      </c>
      <c r="E3750" s="67" t="str">
        <f>IFERROR(VLOOKUP(База_КР_КК[[#This Row],[ИД штатной должности (S)]],'уровень защищенности'!$B$7:$F$1095,5,0),"не защищена")</f>
        <v>высокий</v>
      </c>
      <c r="F3750" s="68">
        <v>500371</v>
      </c>
      <c r="G3750" s="74" t="s">
        <v>3075</v>
      </c>
      <c r="H3750" s="181">
        <f>INDEX('Списки данных'!$D$2:$D$1048576,MATCH(База_КР_КК[[#This Row],[Структурное подразделение]],'Списки данных'!$C$2:$C$1048576,0))</f>
        <v>51</v>
      </c>
      <c r="I3750" s="80" t="s">
        <v>134</v>
      </c>
      <c r="J3750" s="80" t="s">
        <v>257</v>
      </c>
      <c r="K3750" s="80" t="s">
        <v>21</v>
      </c>
      <c r="L3750" s="30" t="s">
        <v>194</v>
      </c>
      <c r="M3750" s="68">
        <v>6</v>
      </c>
      <c r="N3750" s="181" t="str">
        <f t="shared" si="59"/>
        <v>нет</v>
      </c>
      <c r="O3750" s="23"/>
      <c r="P3750" s="23"/>
      <c r="Q3750" s="106"/>
      <c r="R3750" s="37">
        <v>891</v>
      </c>
      <c r="S3750" s="37" t="s">
        <v>1300</v>
      </c>
      <c r="T3750" s="37">
        <v>1995</v>
      </c>
      <c r="U3750" s="37" t="s">
        <v>2120</v>
      </c>
      <c r="V3750" s="69" t="s">
        <v>272</v>
      </c>
      <c r="W3750" s="89" t="s">
        <v>134</v>
      </c>
      <c r="X3750" s="106" t="s">
        <v>295</v>
      </c>
      <c r="Y3750" s="107" t="s">
        <v>12</v>
      </c>
      <c r="Z3750" s="67">
        <f>IF(База_КР_КК[[#This Row],[Таб.номер резервиста]]="-","-",IF(OR(База_КР_КК[[#This Row],[Уровень КК]]=2,База_КР_КК[[#This Row],[Уровень КК]]=3),IF(COUNTIFS($U$2:$U3750,$U3750,$F$2:$F3750,$F3750)=1,1,0),IF(COUNTIFS($U$2:$U3750,$U3750,$L$2:$L3750,$L3750)=1,1,0)))</f>
        <v>0</v>
      </c>
      <c r="AA37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0" s="106"/>
      <c r="AC3750" s="51"/>
      <c r="AD3750" s="106" t="s">
        <v>13</v>
      </c>
      <c r="AE3750" s="40" t="s">
        <v>390</v>
      </c>
    </row>
    <row r="3751" spans="1:31" ht="18" customHeight="1" x14ac:dyDescent="0.25">
      <c r="A37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1" s="79">
        <v>4</v>
      </c>
      <c r="C3751" s="23">
        <v>44190</v>
      </c>
      <c r="D3751" s="67">
        <f>IF(COUNTIF($G$2:$G3751,$G3751)=1,1,0)</f>
        <v>0</v>
      </c>
      <c r="E3751" s="67" t="str">
        <f>IFERROR(VLOOKUP(База_КР_КК[[#This Row],[ИД штатной должности (S)]],'уровень защищенности'!$B$7:$F$1095,5,0),"не защищена")</f>
        <v>высокий</v>
      </c>
      <c r="F3751" s="68">
        <v>500371</v>
      </c>
      <c r="G3751" s="74" t="s">
        <v>3075</v>
      </c>
      <c r="H3751" s="181">
        <f>INDEX('Списки данных'!$D$2:$D$1048576,MATCH(База_КР_КК[[#This Row],[Структурное подразделение]],'Списки данных'!$C$2:$C$1048576,0))</f>
        <v>51</v>
      </c>
      <c r="I3751" s="80" t="s">
        <v>134</v>
      </c>
      <c r="J3751" s="80" t="s">
        <v>257</v>
      </c>
      <c r="K3751" s="80" t="s">
        <v>21</v>
      </c>
      <c r="L3751" s="30" t="s">
        <v>194</v>
      </c>
      <c r="M3751" s="68">
        <v>6</v>
      </c>
      <c r="N3751" s="181" t="str">
        <f t="shared" si="59"/>
        <v>нет</v>
      </c>
      <c r="O3751" s="23"/>
      <c r="P3751" s="23"/>
      <c r="Q3751" s="106"/>
      <c r="R3751" s="37">
        <v>891</v>
      </c>
      <c r="S3751" s="37" t="s">
        <v>1300</v>
      </c>
      <c r="T3751" s="37">
        <v>1996</v>
      </c>
      <c r="U3751" s="37" t="s">
        <v>2059</v>
      </c>
      <c r="V3751" s="69" t="s">
        <v>272</v>
      </c>
      <c r="W3751" s="89" t="s">
        <v>134</v>
      </c>
      <c r="X3751" s="106" t="s">
        <v>297</v>
      </c>
      <c r="Y3751" s="107" t="s">
        <v>12</v>
      </c>
      <c r="Z3751" s="67">
        <f>IF(База_КР_КК[[#This Row],[Таб.номер резервиста]]="-","-",IF(OR(База_КР_КК[[#This Row],[Уровень КК]]=2,База_КР_КК[[#This Row],[Уровень КК]]=3),IF(COUNTIFS($U$2:$U3751,$U3751,$F$2:$F3751,$F3751)=1,1,0),IF(COUNTIFS($U$2:$U3751,$U3751,$L$2:$L3751,$L3751)=1,1,0)))</f>
        <v>0</v>
      </c>
      <c r="AA37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1" s="106"/>
      <c r="AC3751" s="51"/>
      <c r="AD3751" s="106" t="s">
        <v>13</v>
      </c>
      <c r="AE3751" s="40" t="s">
        <v>390</v>
      </c>
    </row>
    <row r="3752" spans="1:31" ht="18" customHeight="1" x14ac:dyDescent="0.25">
      <c r="A37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2" s="79">
        <v>4</v>
      </c>
      <c r="C3752" s="23">
        <v>44190</v>
      </c>
      <c r="D3752" s="67">
        <f>IF(COUNTIF($G$2:$G3752,$G3752)=1,1,0)</f>
        <v>1</v>
      </c>
      <c r="E3752" s="67" t="str">
        <f>IFERROR(VLOOKUP(База_КР_КК[[#This Row],[ИД штатной должности (S)]],'уровень защищенности'!$B$7:$F$1095,5,0),"не защищена")</f>
        <v>высокий</v>
      </c>
      <c r="F3752" s="68">
        <v>500371</v>
      </c>
      <c r="G3752" s="74" t="s">
        <v>3076</v>
      </c>
      <c r="H3752" s="181">
        <f>INDEX('Списки данных'!$D$2:$D$1048576,MATCH(База_КР_КК[[#This Row],[Структурное подразделение]],'Списки данных'!$C$2:$C$1048576,0))</f>
        <v>51</v>
      </c>
      <c r="I3752" s="80" t="s">
        <v>134</v>
      </c>
      <c r="J3752" s="80" t="s">
        <v>257</v>
      </c>
      <c r="K3752" s="80" t="s">
        <v>21</v>
      </c>
      <c r="L3752" s="30" t="s">
        <v>194</v>
      </c>
      <c r="M3752" s="68">
        <v>6</v>
      </c>
      <c r="N3752" s="181" t="str">
        <f t="shared" si="59"/>
        <v>нет</v>
      </c>
      <c r="O3752" s="23"/>
      <c r="P3752" s="23"/>
      <c r="Q3752" s="106"/>
      <c r="R3752" s="37">
        <v>892</v>
      </c>
      <c r="S3752" s="37" t="s">
        <v>1301</v>
      </c>
      <c r="T3752" s="37">
        <v>1995</v>
      </c>
      <c r="U3752" s="37" t="s">
        <v>2120</v>
      </c>
      <c r="V3752" s="69" t="s">
        <v>272</v>
      </c>
      <c r="W3752" s="89" t="s">
        <v>134</v>
      </c>
      <c r="X3752" s="106" t="s">
        <v>295</v>
      </c>
      <c r="Y3752" s="107" t="s">
        <v>12</v>
      </c>
      <c r="Z3752" s="67">
        <f>IF(База_КР_КК[[#This Row],[Таб.номер резервиста]]="-","-",IF(OR(База_КР_КК[[#This Row],[Уровень КК]]=2,База_КР_КК[[#This Row],[Уровень КК]]=3),IF(COUNTIFS($U$2:$U3752,$U3752,$F$2:$F3752,$F3752)=1,1,0),IF(COUNTIFS($U$2:$U3752,$U3752,$L$2:$L3752,$L3752)=1,1,0)))</f>
        <v>0</v>
      </c>
      <c r="AA37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2" s="106"/>
      <c r="AC3752" s="51"/>
      <c r="AD3752" s="106" t="s">
        <v>13</v>
      </c>
      <c r="AE3752" s="40" t="s">
        <v>390</v>
      </c>
    </row>
    <row r="3753" spans="1:31" ht="18" customHeight="1" x14ac:dyDescent="0.25">
      <c r="A37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3" s="79">
        <v>4</v>
      </c>
      <c r="C3753" s="23">
        <v>44190</v>
      </c>
      <c r="D3753" s="67">
        <f>IF(COUNTIF($G$2:$G3753,$G3753)=1,1,0)</f>
        <v>0</v>
      </c>
      <c r="E3753" s="67" t="str">
        <f>IFERROR(VLOOKUP(База_КР_КК[[#This Row],[ИД штатной должности (S)]],'уровень защищенности'!$B$7:$F$1095,5,0),"не защищена")</f>
        <v>высокий</v>
      </c>
      <c r="F3753" s="68">
        <v>500371</v>
      </c>
      <c r="G3753" s="74" t="s">
        <v>3076</v>
      </c>
      <c r="H3753" s="181">
        <f>INDEX('Списки данных'!$D$2:$D$1048576,MATCH(База_КР_КК[[#This Row],[Структурное подразделение]],'Списки данных'!$C$2:$C$1048576,0))</f>
        <v>51</v>
      </c>
      <c r="I3753" s="80" t="s">
        <v>134</v>
      </c>
      <c r="J3753" s="80" t="s">
        <v>257</v>
      </c>
      <c r="K3753" s="80" t="s">
        <v>21</v>
      </c>
      <c r="L3753" s="30" t="s">
        <v>194</v>
      </c>
      <c r="M3753" s="68">
        <v>6</v>
      </c>
      <c r="N3753" s="181" t="str">
        <f t="shared" si="59"/>
        <v>нет</v>
      </c>
      <c r="O3753" s="23"/>
      <c r="P3753" s="23"/>
      <c r="Q3753" s="106"/>
      <c r="R3753" s="37">
        <v>892</v>
      </c>
      <c r="S3753" s="37" t="s">
        <v>1301</v>
      </c>
      <c r="T3753" s="37">
        <v>1996</v>
      </c>
      <c r="U3753" s="37" t="s">
        <v>2059</v>
      </c>
      <c r="V3753" s="69" t="s">
        <v>272</v>
      </c>
      <c r="W3753" s="89" t="s">
        <v>134</v>
      </c>
      <c r="X3753" s="106" t="s">
        <v>297</v>
      </c>
      <c r="Y3753" s="107" t="s">
        <v>12</v>
      </c>
      <c r="Z3753" s="67">
        <f>IF(База_КР_КК[[#This Row],[Таб.номер резервиста]]="-","-",IF(OR(База_КР_КК[[#This Row],[Уровень КК]]=2,База_КР_КК[[#This Row],[Уровень КК]]=3),IF(COUNTIFS($U$2:$U3753,$U3753,$F$2:$F3753,$F3753)=1,1,0),IF(COUNTIFS($U$2:$U3753,$U3753,$L$2:$L3753,$L3753)=1,1,0)))</f>
        <v>0</v>
      </c>
      <c r="AA37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3" s="106"/>
      <c r="AC3753" s="51"/>
      <c r="AD3753" s="106" t="s">
        <v>13</v>
      </c>
      <c r="AE3753" s="40" t="s">
        <v>390</v>
      </c>
    </row>
    <row r="3754" spans="1:31" ht="18" customHeight="1" x14ac:dyDescent="0.25">
      <c r="A37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4" s="79">
        <v>4</v>
      </c>
      <c r="C3754" s="23">
        <v>44190</v>
      </c>
      <c r="D3754" s="67">
        <f>IF(COUNTIF($G$2:$G3754,$G3754)=1,1,0)</f>
        <v>1</v>
      </c>
      <c r="E3754" s="67" t="str">
        <f>IFERROR(VLOOKUP(База_КР_КК[[#This Row],[ИД штатной должности (S)]],'уровень защищенности'!$B$7:$F$1095,5,0),"не защищена")</f>
        <v>высокий</v>
      </c>
      <c r="F3754" s="68">
        <v>500371</v>
      </c>
      <c r="G3754" s="74" t="s">
        <v>3077</v>
      </c>
      <c r="H3754" s="181">
        <f>INDEX('Списки данных'!$D$2:$D$1048576,MATCH(База_КР_КК[[#This Row],[Структурное подразделение]],'Списки данных'!$C$2:$C$1048576,0))</f>
        <v>51</v>
      </c>
      <c r="I3754" s="80" t="s">
        <v>134</v>
      </c>
      <c r="J3754" s="80" t="s">
        <v>257</v>
      </c>
      <c r="K3754" s="80" t="s">
        <v>21</v>
      </c>
      <c r="L3754" s="30" t="s">
        <v>194</v>
      </c>
      <c r="M3754" s="68">
        <v>6</v>
      </c>
      <c r="N3754" s="181" t="str">
        <f t="shared" si="59"/>
        <v>нет</v>
      </c>
      <c r="O3754" s="23"/>
      <c r="P3754" s="23"/>
      <c r="Q3754" s="106"/>
      <c r="R3754" s="37">
        <v>893</v>
      </c>
      <c r="S3754" s="37" t="s">
        <v>1302</v>
      </c>
      <c r="T3754" s="37">
        <v>1995</v>
      </c>
      <c r="U3754" s="37" t="s">
        <v>2120</v>
      </c>
      <c r="V3754" s="69" t="s">
        <v>272</v>
      </c>
      <c r="W3754" s="89" t="s">
        <v>134</v>
      </c>
      <c r="X3754" s="106" t="s">
        <v>295</v>
      </c>
      <c r="Y3754" s="107" t="s">
        <v>12</v>
      </c>
      <c r="Z3754" s="67">
        <f>IF(База_КР_КК[[#This Row],[Таб.номер резервиста]]="-","-",IF(OR(База_КР_КК[[#This Row],[Уровень КК]]=2,База_КР_КК[[#This Row],[Уровень КК]]=3),IF(COUNTIFS($U$2:$U3754,$U3754,$F$2:$F3754,$F3754)=1,1,0),IF(COUNTIFS($U$2:$U3754,$U3754,$L$2:$L3754,$L3754)=1,1,0)))</f>
        <v>0</v>
      </c>
      <c r="AA37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4" s="106"/>
      <c r="AC3754" s="51"/>
      <c r="AD3754" s="106" t="s">
        <v>13</v>
      </c>
      <c r="AE3754" s="40" t="s">
        <v>390</v>
      </c>
    </row>
    <row r="3755" spans="1:31" ht="18" customHeight="1" x14ac:dyDescent="0.25">
      <c r="A37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5" s="79">
        <v>4</v>
      </c>
      <c r="C3755" s="23">
        <v>44190</v>
      </c>
      <c r="D3755" s="67">
        <f>IF(COUNTIF($G$2:$G3755,$G3755)=1,1,0)</f>
        <v>0</v>
      </c>
      <c r="E3755" s="67" t="str">
        <f>IFERROR(VLOOKUP(База_КР_КК[[#This Row],[ИД штатной должности (S)]],'уровень защищенности'!$B$7:$F$1095,5,0),"не защищена")</f>
        <v>высокий</v>
      </c>
      <c r="F3755" s="68">
        <v>500371</v>
      </c>
      <c r="G3755" s="74" t="s">
        <v>3077</v>
      </c>
      <c r="H3755" s="181">
        <f>INDEX('Списки данных'!$D$2:$D$1048576,MATCH(База_КР_КК[[#This Row],[Структурное подразделение]],'Списки данных'!$C$2:$C$1048576,0))</f>
        <v>51</v>
      </c>
      <c r="I3755" s="80" t="s">
        <v>134</v>
      </c>
      <c r="J3755" s="80" t="s">
        <v>257</v>
      </c>
      <c r="K3755" s="80" t="s">
        <v>21</v>
      </c>
      <c r="L3755" s="30" t="s">
        <v>194</v>
      </c>
      <c r="M3755" s="68">
        <v>6</v>
      </c>
      <c r="N3755" s="181" t="str">
        <f t="shared" si="59"/>
        <v>нет</v>
      </c>
      <c r="O3755" s="23"/>
      <c r="P3755" s="23"/>
      <c r="Q3755" s="106"/>
      <c r="R3755" s="37">
        <v>893</v>
      </c>
      <c r="S3755" s="37" t="s">
        <v>1302</v>
      </c>
      <c r="T3755" s="37">
        <v>1996</v>
      </c>
      <c r="U3755" s="37" t="s">
        <v>2059</v>
      </c>
      <c r="V3755" s="69" t="s">
        <v>272</v>
      </c>
      <c r="W3755" s="89" t="s">
        <v>134</v>
      </c>
      <c r="X3755" s="106" t="s">
        <v>297</v>
      </c>
      <c r="Y3755" s="107" t="s">
        <v>12</v>
      </c>
      <c r="Z3755" s="67">
        <f>IF(База_КР_КК[[#This Row],[Таб.номер резервиста]]="-","-",IF(OR(База_КР_КК[[#This Row],[Уровень КК]]=2,База_КР_КК[[#This Row],[Уровень КК]]=3),IF(COUNTIFS($U$2:$U3755,$U3755,$F$2:$F3755,$F3755)=1,1,0),IF(COUNTIFS($U$2:$U3755,$U3755,$L$2:$L3755,$L3755)=1,1,0)))</f>
        <v>0</v>
      </c>
      <c r="AA37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5" s="106"/>
      <c r="AC3755" s="51"/>
      <c r="AD3755" s="106" t="s">
        <v>13</v>
      </c>
      <c r="AE3755" s="40" t="s">
        <v>390</v>
      </c>
    </row>
    <row r="3756" spans="1:31" ht="18" customHeight="1" x14ac:dyDescent="0.25">
      <c r="A37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6" s="79">
        <v>4</v>
      </c>
      <c r="C3756" s="23">
        <v>44190</v>
      </c>
      <c r="D3756" s="67">
        <f>IF(COUNTIF($G$2:$G3756,$G3756)=1,1,0)</f>
        <v>1</v>
      </c>
      <c r="E3756" s="67" t="str">
        <f>IFERROR(VLOOKUP(База_КР_КК[[#This Row],[ИД штатной должности (S)]],'уровень защищенности'!$B$7:$F$1095,5,0),"не защищена")</f>
        <v>высокий</v>
      </c>
      <c r="F3756" s="68">
        <v>500385</v>
      </c>
      <c r="G3756" s="74" t="s">
        <v>3078</v>
      </c>
      <c r="H3756" s="181">
        <f>INDEX('Списки данных'!$D$2:$D$1048576,MATCH(База_КР_КК[[#This Row],[Структурное подразделение]],'Списки данных'!$C$2:$C$1048576,0))</f>
        <v>51</v>
      </c>
      <c r="I3756" s="80" t="s">
        <v>134</v>
      </c>
      <c r="J3756" s="80" t="s">
        <v>257</v>
      </c>
      <c r="K3756" s="80" t="s">
        <v>21</v>
      </c>
      <c r="L3756" s="30" t="s">
        <v>191</v>
      </c>
      <c r="M3756" s="68">
        <v>7</v>
      </c>
      <c r="N3756" s="181" t="str">
        <f t="shared" si="59"/>
        <v>нет</v>
      </c>
      <c r="O3756" s="23"/>
      <c r="P3756" s="23"/>
      <c r="Q3756" s="106"/>
      <c r="R3756" s="37">
        <v>894</v>
      </c>
      <c r="S3756" s="37" t="s">
        <v>1303</v>
      </c>
      <c r="T3756" s="37">
        <v>1972</v>
      </c>
      <c r="U3756" s="37" t="s">
        <v>2089</v>
      </c>
      <c r="V3756" s="69" t="s">
        <v>272</v>
      </c>
      <c r="W3756" s="89" t="s">
        <v>134</v>
      </c>
      <c r="X3756" s="106" t="s">
        <v>295</v>
      </c>
      <c r="Y3756" s="107" t="s">
        <v>12</v>
      </c>
      <c r="Z3756" s="67">
        <f>IF(База_КР_КК[[#This Row],[Таб.номер резервиста]]="-","-",IF(OR(База_КР_КК[[#This Row],[Уровень КК]]=2,База_КР_КК[[#This Row],[Уровень КК]]=3),IF(COUNTIFS($U$2:$U3756,$U3756,$F$2:$F3756,$F3756)=1,1,0),IF(COUNTIFS($U$2:$U3756,$U3756,$L$2:$L3756,$L3756)=1,1,0)))</f>
        <v>1</v>
      </c>
      <c r="AA37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6" s="106"/>
      <c r="AC3756" s="51"/>
      <c r="AD3756" s="106" t="s">
        <v>13</v>
      </c>
      <c r="AE3756" s="40" t="s">
        <v>390</v>
      </c>
    </row>
    <row r="3757" spans="1:31" ht="18" customHeight="1" x14ac:dyDescent="0.25">
      <c r="A37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7" s="79">
        <v>4</v>
      </c>
      <c r="C3757" s="23">
        <v>44190</v>
      </c>
      <c r="D3757" s="67">
        <f>IF(COUNTIF($G$2:$G3757,$G3757)=1,1,0)</f>
        <v>0</v>
      </c>
      <c r="E3757" s="67" t="str">
        <f>IFERROR(VLOOKUP(База_КР_КК[[#This Row],[ИД штатной должности (S)]],'уровень защищенности'!$B$7:$F$1095,5,0),"не защищена")</f>
        <v>высокий</v>
      </c>
      <c r="F3757" s="68">
        <v>500385</v>
      </c>
      <c r="G3757" s="74" t="s">
        <v>3078</v>
      </c>
      <c r="H3757" s="181">
        <f>INDEX('Списки данных'!$D$2:$D$1048576,MATCH(База_КР_КК[[#This Row],[Структурное подразделение]],'Списки данных'!$C$2:$C$1048576,0))</f>
        <v>51</v>
      </c>
      <c r="I3757" s="80" t="s">
        <v>134</v>
      </c>
      <c r="J3757" s="80" t="s">
        <v>257</v>
      </c>
      <c r="K3757" s="80" t="s">
        <v>21</v>
      </c>
      <c r="L3757" s="30" t="s">
        <v>191</v>
      </c>
      <c r="M3757" s="68">
        <v>7</v>
      </c>
      <c r="N3757" s="181" t="str">
        <f t="shared" si="59"/>
        <v>нет</v>
      </c>
      <c r="O3757" s="23"/>
      <c r="P3757" s="23"/>
      <c r="Q3757" s="106"/>
      <c r="R3757" s="37">
        <v>894</v>
      </c>
      <c r="S3757" s="37" t="s">
        <v>1303</v>
      </c>
      <c r="T3757" s="37">
        <v>1997</v>
      </c>
      <c r="U3757" s="37" t="s">
        <v>1986</v>
      </c>
      <c r="V3757" s="69" t="s">
        <v>272</v>
      </c>
      <c r="W3757" s="89" t="s">
        <v>134</v>
      </c>
      <c r="X3757" s="106" t="s">
        <v>297</v>
      </c>
      <c r="Y3757" s="107" t="s">
        <v>12</v>
      </c>
      <c r="Z3757" s="67">
        <f>IF(База_КР_КК[[#This Row],[Таб.номер резервиста]]="-","-",IF(OR(База_КР_КК[[#This Row],[Уровень КК]]=2,База_КР_КК[[#This Row],[Уровень КК]]=3),IF(COUNTIFS($U$2:$U3757,$U3757,$F$2:$F3757,$F3757)=1,1,0),IF(COUNTIFS($U$2:$U3757,$U3757,$L$2:$L3757,$L3757)=1,1,0)))</f>
        <v>0</v>
      </c>
      <c r="AA37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7" s="106"/>
      <c r="AC3757" s="51"/>
      <c r="AD3757" s="106" t="s">
        <v>17</v>
      </c>
      <c r="AE3757" s="40" t="s">
        <v>390</v>
      </c>
    </row>
    <row r="3758" spans="1:31" ht="18" customHeight="1" x14ac:dyDescent="0.25">
      <c r="A37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8" s="79">
        <v>4</v>
      </c>
      <c r="C3758" s="23">
        <v>44190</v>
      </c>
      <c r="D3758" s="67">
        <f>IF(COUNTIF($G$2:$G3758,$G3758)=1,1,0)</f>
        <v>0</v>
      </c>
      <c r="E3758" s="67" t="str">
        <f>IFERROR(VLOOKUP(База_КР_КК[[#This Row],[ИД штатной должности (S)]],'уровень защищенности'!$B$7:$F$1095,5,0),"не защищена")</f>
        <v>высокий</v>
      </c>
      <c r="F3758" s="68">
        <v>500385</v>
      </c>
      <c r="G3758" s="74" t="s">
        <v>3078</v>
      </c>
      <c r="H3758" s="181">
        <f>INDEX('Списки данных'!$D$2:$D$1048576,MATCH(База_КР_КК[[#This Row],[Структурное подразделение]],'Списки данных'!$C$2:$C$1048576,0))</f>
        <v>51</v>
      </c>
      <c r="I3758" s="80" t="s">
        <v>134</v>
      </c>
      <c r="J3758" s="80" t="s">
        <v>257</v>
      </c>
      <c r="K3758" s="80" t="s">
        <v>21</v>
      </c>
      <c r="L3758" s="30" t="s">
        <v>191</v>
      </c>
      <c r="M3758" s="68">
        <v>7</v>
      </c>
      <c r="N3758" s="181" t="str">
        <f t="shared" si="59"/>
        <v>нет</v>
      </c>
      <c r="O3758" s="23"/>
      <c r="P3758" s="23"/>
      <c r="Q3758" s="106"/>
      <c r="R3758" s="37">
        <v>894</v>
      </c>
      <c r="S3758" s="37" t="s">
        <v>1303</v>
      </c>
      <c r="T3758" s="37">
        <v>1998</v>
      </c>
      <c r="U3758" s="37" t="s">
        <v>1955</v>
      </c>
      <c r="V3758" s="69" t="s">
        <v>272</v>
      </c>
      <c r="W3758" s="89" t="s">
        <v>134</v>
      </c>
      <c r="X3758" s="106" t="s">
        <v>297</v>
      </c>
      <c r="Y3758" s="107" t="s">
        <v>18</v>
      </c>
      <c r="Z3758" s="67">
        <f>IF(База_КР_КК[[#This Row],[Таб.номер резервиста]]="-","-",IF(OR(База_КР_КК[[#This Row],[Уровень КК]]=2,База_КР_КК[[#This Row],[Уровень КК]]=3),IF(COUNTIFS($U$2:$U3758,$U3758,$F$2:$F3758,$F3758)=1,1,0),IF(COUNTIFS($U$2:$U3758,$U3758,$L$2:$L3758,$L3758)=1,1,0)))</f>
        <v>0</v>
      </c>
      <c r="AA37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8" s="106" t="s">
        <v>19</v>
      </c>
      <c r="AC3758" s="51">
        <v>45109</v>
      </c>
      <c r="AD3758" s="106" t="s">
        <v>15</v>
      </c>
      <c r="AE3758" s="40" t="s">
        <v>390</v>
      </c>
    </row>
    <row r="3759" spans="1:31" ht="18" customHeight="1" x14ac:dyDescent="0.25">
      <c r="A37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59" s="79">
        <v>4</v>
      </c>
      <c r="C3759" s="23">
        <v>44190</v>
      </c>
      <c r="D3759" s="67">
        <f>IF(COUNTIF($G$2:$G3759,$G3759)=1,1,0)</f>
        <v>0</v>
      </c>
      <c r="E3759" s="67" t="str">
        <f>IFERROR(VLOOKUP(База_КР_КК[[#This Row],[ИД штатной должности (S)]],'уровень защищенности'!$B$7:$F$1095,5,0),"не защищена")</f>
        <v>высокий</v>
      </c>
      <c r="F3759" s="68">
        <v>500385</v>
      </c>
      <c r="G3759" s="74" t="s">
        <v>3078</v>
      </c>
      <c r="H3759" s="181">
        <f>INDEX('Списки данных'!$D$2:$D$1048576,MATCH(База_КР_КК[[#This Row],[Структурное подразделение]],'Списки данных'!$C$2:$C$1048576,0))</f>
        <v>51</v>
      </c>
      <c r="I3759" s="80" t="s">
        <v>134</v>
      </c>
      <c r="J3759" s="80" t="s">
        <v>257</v>
      </c>
      <c r="K3759" s="80" t="s">
        <v>21</v>
      </c>
      <c r="L3759" s="30" t="s">
        <v>191</v>
      </c>
      <c r="M3759" s="68">
        <v>7</v>
      </c>
      <c r="N3759" s="181" t="str">
        <f t="shared" si="59"/>
        <v>нет</v>
      </c>
      <c r="O3759" s="23"/>
      <c r="P3759" s="23"/>
      <c r="Q3759" s="106"/>
      <c r="R3759" s="37">
        <v>894</v>
      </c>
      <c r="S3759" s="37" t="s">
        <v>1303</v>
      </c>
      <c r="T3759" s="37">
        <v>1999</v>
      </c>
      <c r="U3759" s="37" t="s">
        <v>2090</v>
      </c>
      <c r="V3759" s="69" t="s">
        <v>272</v>
      </c>
      <c r="W3759" s="89" t="s">
        <v>134</v>
      </c>
      <c r="X3759" s="106" t="s">
        <v>296</v>
      </c>
      <c r="Y3759" s="107" t="s">
        <v>18</v>
      </c>
      <c r="Z3759" s="67">
        <f>IF(База_КР_КК[[#This Row],[Таб.номер резервиста]]="-","-",IF(OR(База_КР_КК[[#This Row],[Уровень КК]]=2,База_КР_КК[[#This Row],[Уровень КК]]=3),IF(COUNTIFS($U$2:$U3759,$U3759,$F$2:$F3759,$F3759)=1,1,0),IF(COUNTIFS($U$2:$U3759,$U3759,$L$2:$L3759,$L3759)=1,1,0)))</f>
        <v>1</v>
      </c>
      <c r="AA37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59" s="106" t="s">
        <v>20</v>
      </c>
      <c r="AC3759" s="51">
        <v>44511</v>
      </c>
      <c r="AD3759" s="106" t="s">
        <v>15</v>
      </c>
      <c r="AE3759" s="38" t="s">
        <v>394</v>
      </c>
    </row>
    <row r="3760" spans="1:31" ht="18" customHeight="1" x14ac:dyDescent="0.25">
      <c r="A37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0" s="79">
        <v>4</v>
      </c>
      <c r="C3760" s="23">
        <v>44190</v>
      </c>
      <c r="D3760" s="67">
        <f>IF(COUNTIF($G$2:$G3760,$G3760)=1,1,0)</f>
        <v>1</v>
      </c>
      <c r="E3760" s="67" t="str">
        <f>IFERROR(VLOOKUP(База_КР_КК[[#This Row],[ИД штатной должности (S)]],'уровень защищенности'!$B$7:$F$1095,5,0),"не защищена")</f>
        <v>высокий</v>
      </c>
      <c r="F3760" s="68">
        <v>500385</v>
      </c>
      <c r="G3760" s="74" t="s">
        <v>3079</v>
      </c>
      <c r="H3760" s="181">
        <f>INDEX('Списки данных'!$D$2:$D$1048576,MATCH(База_КР_КК[[#This Row],[Структурное подразделение]],'Списки данных'!$C$2:$C$1048576,0))</f>
        <v>51</v>
      </c>
      <c r="I3760" s="80" t="s">
        <v>134</v>
      </c>
      <c r="J3760" s="80" t="s">
        <v>257</v>
      </c>
      <c r="K3760" s="80" t="s">
        <v>21</v>
      </c>
      <c r="L3760" s="30" t="s">
        <v>191</v>
      </c>
      <c r="M3760" s="68">
        <v>7</v>
      </c>
      <c r="N3760" s="181" t="str">
        <f t="shared" si="59"/>
        <v>нет</v>
      </c>
      <c r="O3760" s="23"/>
      <c r="P3760" s="23"/>
      <c r="Q3760" s="106"/>
      <c r="R3760" s="37">
        <v>895</v>
      </c>
      <c r="S3760" s="37" t="s">
        <v>1304</v>
      </c>
      <c r="T3760" s="37">
        <v>1972</v>
      </c>
      <c r="U3760" s="37" t="s">
        <v>2089</v>
      </c>
      <c r="V3760" s="69" t="s">
        <v>272</v>
      </c>
      <c r="W3760" s="89" t="s">
        <v>134</v>
      </c>
      <c r="X3760" s="106" t="s">
        <v>295</v>
      </c>
      <c r="Y3760" s="107" t="s">
        <v>12</v>
      </c>
      <c r="Z3760" s="67">
        <f>IF(База_КР_КК[[#This Row],[Таб.номер резервиста]]="-","-",IF(OR(База_КР_КК[[#This Row],[Уровень КК]]=2,База_КР_КК[[#This Row],[Уровень КК]]=3),IF(COUNTIFS($U$2:$U3760,$U3760,$F$2:$F3760,$F3760)=1,1,0),IF(COUNTIFS($U$2:$U3760,$U3760,$L$2:$L3760,$L3760)=1,1,0)))</f>
        <v>0</v>
      </c>
      <c r="AA37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0" s="106"/>
      <c r="AC3760" s="51"/>
      <c r="AD3760" s="106" t="s">
        <v>13</v>
      </c>
      <c r="AE3760" s="40" t="s">
        <v>390</v>
      </c>
    </row>
    <row r="3761" spans="1:31" ht="18" customHeight="1" x14ac:dyDescent="0.25">
      <c r="A37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1" s="79">
        <v>4</v>
      </c>
      <c r="C3761" s="23">
        <v>44190</v>
      </c>
      <c r="D3761" s="67">
        <f>IF(COUNTIF($G$2:$G3761,$G3761)=1,1,0)</f>
        <v>0</v>
      </c>
      <c r="E3761" s="67" t="str">
        <f>IFERROR(VLOOKUP(База_КР_КК[[#This Row],[ИД штатной должности (S)]],'уровень защищенности'!$B$7:$F$1095,5,0),"не защищена")</f>
        <v>высокий</v>
      </c>
      <c r="F3761" s="68">
        <v>500385</v>
      </c>
      <c r="G3761" s="74" t="s">
        <v>3079</v>
      </c>
      <c r="H3761" s="181">
        <f>INDEX('Списки данных'!$D$2:$D$1048576,MATCH(База_КР_КК[[#This Row],[Структурное подразделение]],'Списки данных'!$C$2:$C$1048576,0))</f>
        <v>51</v>
      </c>
      <c r="I3761" s="80" t="s">
        <v>134</v>
      </c>
      <c r="J3761" s="80" t="s">
        <v>257</v>
      </c>
      <c r="K3761" s="80" t="s">
        <v>21</v>
      </c>
      <c r="L3761" s="30" t="s">
        <v>191</v>
      </c>
      <c r="M3761" s="68">
        <v>7</v>
      </c>
      <c r="N3761" s="181" t="str">
        <f t="shared" si="59"/>
        <v>нет</v>
      </c>
      <c r="O3761" s="23"/>
      <c r="P3761" s="23"/>
      <c r="Q3761" s="106"/>
      <c r="R3761" s="37">
        <v>895</v>
      </c>
      <c r="S3761" s="37" t="s">
        <v>1304</v>
      </c>
      <c r="T3761" s="37">
        <v>1997</v>
      </c>
      <c r="U3761" s="37" t="s">
        <v>1986</v>
      </c>
      <c r="V3761" s="69" t="s">
        <v>272</v>
      </c>
      <c r="W3761" s="89" t="s">
        <v>134</v>
      </c>
      <c r="X3761" s="106" t="s">
        <v>297</v>
      </c>
      <c r="Y3761" s="107" t="s">
        <v>12</v>
      </c>
      <c r="Z3761" s="67">
        <f>IF(База_КР_КК[[#This Row],[Таб.номер резервиста]]="-","-",IF(OR(База_КР_КК[[#This Row],[Уровень КК]]=2,База_КР_КК[[#This Row],[Уровень КК]]=3),IF(COUNTIFS($U$2:$U3761,$U3761,$F$2:$F3761,$F3761)=1,1,0),IF(COUNTIFS($U$2:$U3761,$U3761,$L$2:$L3761,$L3761)=1,1,0)))</f>
        <v>0</v>
      </c>
      <c r="AA37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1" s="106"/>
      <c r="AC3761" s="51"/>
      <c r="AD3761" s="106" t="s">
        <v>17</v>
      </c>
      <c r="AE3761" s="40" t="s">
        <v>390</v>
      </c>
    </row>
    <row r="3762" spans="1:31" ht="18" customHeight="1" x14ac:dyDescent="0.25">
      <c r="A37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2" s="79">
        <v>4</v>
      </c>
      <c r="C3762" s="23">
        <v>44190</v>
      </c>
      <c r="D3762" s="67">
        <f>IF(COUNTIF($G$2:$G3762,$G3762)=1,1,0)</f>
        <v>0</v>
      </c>
      <c r="E3762" s="67" t="str">
        <f>IFERROR(VLOOKUP(База_КР_КК[[#This Row],[ИД штатной должности (S)]],'уровень защищенности'!$B$7:$F$1095,5,0),"не защищена")</f>
        <v>высокий</v>
      </c>
      <c r="F3762" s="68">
        <v>500385</v>
      </c>
      <c r="G3762" s="74" t="s">
        <v>3079</v>
      </c>
      <c r="H3762" s="181">
        <f>INDEX('Списки данных'!$D$2:$D$1048576,MATCH(База_КР_КК[[#This Row],[Структурное подразделение]],'Списки данных'!$C$2:$C$1048576,0))</f>
        <v>51</v>
      </c>
      <c r="I3762" s="80" t="s">
        <v>134</v>
      </c>
      <c r="J3762" s="80" t="s">
        <v>257</v>
      </c>
      <c r="K3762" s="80" t="s">
        <v>21</v>
      </c>
      <c r="L3762" s="30" t="s">
        <v>191</v>
      </c>
      <c r="M3762" s="68">
        <v>7</v>
      </c>
      <c r="N3762" s="181" t="str">
        <f t="shared" si="59"/>
        <v>нет</v>
      </c>
      <c r="O3762" s="23"/>
      <c r="P3762" s="23"/>
      <c r="Q3762" s="106"/>
      <c r="R3762" s="37">
        <v>895</v>
      </c>
      <c r="S3762" s="37" t="s">
        <v>1304</v>
      </c>
      <c r="T3762" s="37">
        <v>1998</v>
      </c>
      <c r="U3762" s="37" t="s">
        <v>1955</v>
      </c>
      <c r="V3762" s="69" t="s">
        <v>272</v>
      </c>
      <c r="W3762" s="89" t="s">
        <v>134</v>
      </c>
      <c r="X3762" s="106" t="s">
        <v>297</v>
      </c>
      <c r="Y3762" s="107" t="s">
        <v>18</v>
      </c>
      <c r="Z3762" s="67">
        <f>IF(База_КР_КК[[#This Row],[Таб.номер резервиста]]="-","-",IF(OR(База_КР_КК[[#This Row],[Уровень КК]]=2,База_КР_КК[[#This Row],[Уровень КК]]=3),IF(COUNTIFS($U$2:$U3762,$U3762,$F$2:$F3762,$F3762)=1,1,0),IF(COUNTIFS($U$2:$U3762,$U3762,$L$2:$L3762,$L3762)=1,1,0)))</f>
        <v>0</v>
      </c>
      <c r="AA37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2" s="106" t="s">
        <v>19</v>
      </c>
      <c r="AC3762" s="51">
        <v>45109</v>
      </c>
      <c r="AD3762" s="106" t="s">
        <v>15</v>
      </c>
      <c r="AE3762" s="40" t="s">
        <v>390</v>
      </c>
    </row>
    <row r="3763" spans="1:31" ht="18" customHeight="1" x14ac:dyDescent="0.25">
      <c r="A37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3" s="79">
        <v>4</v>
      </c>
      <c r="C3763" s="23">
        <v>44190</v>
      </c>
      <c r="D3763" s="67">
        <f>IF(COUNTIF($G$2:$G3763,$G3763)=1,1,0)</f>
        <v>0</v>
      </c>
      <c r="E3763" s="67" t="str">
        <f>IFERROR(VLOOKUP(База_КР_КК[[#This Row],[ИД штатной должности (S)]],'уровень защищенности'!$B$7:$F$1095,5,0),"не защищена")</f>
        <v>высокий</v>
      </c>
      <c r="F3763" s="68">
        <v>500385</v>
      </c>
      <c r="G3763" s="74" t="s">
        <v>3079</v>
      </c>
      <c r="H3763" s="181">
        <f>INDEX('Списки данных'!$D$2:$D$1048576,MATCH(База_КР_КК[[#This Row],[Структурное подразделение]],'Списки данных'!$C$2:$C$1048576,0))</f>
        <v>51</v>
      </c>
      <c r="I3763" s="80" t="s">
        <v>134</v>
      </c>
      <c r="J3763" s="80" t="s">
        <v>257</v>
      </c>
      <c r="K3763" s="80" t="s">
        <v>21</v>
      </c>
      <c r="L3763" s="30" t="s">
        <v>191</v>
      </c>
      <c r="M3763" s="68">
        <v>7</v>
      </c>
      <c r="N3763" s="181" t="str">
        <f t="shared" si="59"/>
        <v>нет</v>
      </c>
      <c r="O3763" s="23"/>
      <c r="P3763" s="23"/>
      <c r="Q3763" s="106"/>
      <c r="R3763" s="37">
        <v>895</v>
      </c>
      <c r="S3763" s="37" t="s">
        <v>1304</v>
      </c>
      <c r="T3763" s="37">
        <v>1999</v>
      </c>
      <c r="U3763" s="37" t="s">
        <v>2090</v>
      </c>
      <c r="V3763" s="69" t="s">
        <v>272</v>
      </c>
      <c r="W3763" s="89" t="s">
        <v>134</v>
      </c>
      <c r="X3763" s="106" t="s">
        <v>296</v>
      </c>
      <c r="Y3763" s="107" t="s">
        <v>18</v>
      </c>
      <c r="Z3763" s="67">
        <f>IF(База_КР_КК[[#This Row],[Таб.номер резервиста]]="-","-",IF(OR(База_КР_КК[[#This Row],[Уровень КК]]=2,База_КР_КК[[#This Row],[Уровень КК]]=3),IF(COUNTIFS($U$2:$U3763,$U3763,$F$2:$F3763,$F3763)=1,1,0),IF(COUNTIFS($U$2:$U3763,$U3763,$L$2:$L3763,$L3763)=1,1,0)))</f>
        <v>0</v>
      </c>
      <c r="AA37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3" s="106" t="s">
        <v>20</v>
      </c>
      <c r="AC3763" s="51">
        <v>44511</v>
      </c>
      <c r="AD3763" s="106" t="s">
        <v>15</v>
      </c>
      <c r="AE3763" s="38" t="s">
        <v>394</v>
      </c>
    </row>
    <row r="3764" spans="1:31" ht="18" customHeight="1" x14ac:dyDescent="0.25">
      <c r="A37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4" s="79">
        <v>4</v>
      </c>
      <c r="C3764" s="23">
        <v>44190</v>
      </c>
      <c r="D3764" s="67">
        <f>IF(COUNTIF($G$2:$G3764,$G3764)=1,1,0)</f>
        <v>1</v>
      </c>
      <c r="E3764" s="67" t="str">
        <f>IFERROR(VLOOKUP(База_КР_КК[[#This Row],[ИД штатной должности (S)]],'уровень защищенности'!$B$7:$F$1095,5,0),"не защищена")</f>
        <v>высокий</v>
      </c>
      <c r="F3764" s="68">
        <v>500385</v>
      </c>
      <c r="G3764" s="74" t="s">
        <v>3080</v>
      </c>
      <c r="H3764" s="181">
        <f>INDEX('Списки данных'!$D$2:$D$1048576,MATCH(База_КР_КК[[#This Row],[Структурное подразделение]],'Списки данных'!$C$2:$C$1048576,0))</f>
        <v>51</v>
      </c>
      <c r="I3764" s="80" t="s">
        <v>134</v>
      </c>
      <c r="J3764" s="80" t="s">
        <v>257</v>
      </c>
      <c r="K3764" s="80" t="s">
        <v>21</v>
      </c>
      <c r="L3764" s="30" t="s">
        <v>191</v>
      </c>
      <c r="M3764" s="68">
        <v>7</v>
      </c>
      <c r="N3764" s="181" t="str">
        <f t="shared" si="59"/>
        <v>нет</v>
      </c>
      <c r="O3764" s="23"/>
      <c r="P3764" s="23"/>
      <c r="Q3764" s="106"/>
      <c r="R3764" s="37">
        <v>896</v>
      </c>
      <c r="S3764" s="37" t="s">
        <v>1305</v>
      </c>
      <c r="T3764" s="37">
        <v>1972</v>
      </c>
      <c r="U3764" s="37" t="s">
        <v>2089</v>
      </c>
      <c r="V3764" s="69" t="s">
        <v>272</v>
      </c>
      <c r="W3764" s="89" t="s">
        <v>134</v>
      </c>
      <c r="X3764" s="106" t="s">
        <v>295</v>
      </c>
      <c r="Y3764" s="107" t="s">
        <v>12</v>
      </c>
      <c r="Z3764" s="67">
        <f>IF(База_КР_КК[[#This Row],[Таб.номер резервиста]]="-","-",IF(OR(База_КР_КК[[#This Row],[Уровень КК]]=2,База_КР_КК[[#This Row],[Уровень КК]]=3),IF(COUNTIFS($U$2:$U3764,$U3764,$F$2:$F3764,$F3764)=1,1,0),IF(COUNTIFS($U$2:$U3764,$U3764,$L$2:$L3764,$L3764)=1,1,0)))</f>
        <v>0</v>
      </c>
      <c r="AA37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4" s="106"/>
      <c r="AC3764" s="51"/>
      <c r="AD3764" s="106" t="s">
        <v>13</v>
      </c>
      <c r="AE3764" s="40" t="s">
        <v>390</v>
      </c>
    </row>
    <row r="3765" spans="1:31" ht="18" customHeight="1" x14ac:dyDescent="0.25">
      <c r="A37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5" s="79">
        <v>4</v>
      </c>
      <c r="C3765" s="23">
        <v>44190</v>
      </c>
      <c r="D3765" s="67">
        <f>IF(COUNTIF($G$2:$G3765,$G3765)=1,1,0)</f>
        <v>0</v>
      </c>
      <c r="E3765" s="67" t="str">
        <f>IFERROR(VLOOKUP(База_КР_КК[[#This Row],[ИД штатной должности (S)]],'уровень защищенности'!$B$7:$F$1095,5,0),"не защищена")</f>
        <v>высокий</v>
      </c>
      <c r="F3765" s="68">
        <v>500385</v>
      </c>
      <c r="G3765" s="74" t="s">
        <v>3080</v>
      </c>
      <c r="H3765" s="181">
        <f>INDEX('Списки данных'!$D$2:$D$1048576,MATCH(База_КР_КК[[#This Row],[Структурное подразделение]],'Списки данных'!$C$2:$C$1048576,0))</f>
        <v>51</v>
      </c>
      <c r="I3765" s="80" t="s">
        <v>134</v>
      </c>
      <c r="J3765" s="80" t="s">
        <v>257</v>
      </c>
      <c r="K3765" s="80" t="s">
        <v>21</v>
      </c>
      <c r="L3765" s="30" t="s">
        <v>191</v>
      </c>
      <c r="M3765" s="68">
        <v>7</v>
      </c>
      <c r="N3765" s="181" t="str">
        <f t="shared" si="59"/>
        <v>нет</v>
      </c>
      <c r="O3765" s="23"/>
      <c r="P3765" s="23"/>
      <c r="Q3765" s="106"/>
      <c r="R3765" s="37">
        <v>896</v>
      </c>
      <c r="S3765" s="37" t="s">
        <v>1305</v>
      </c>
      <c r="T3765" s="37">
        <v>1997</v>
      </c>
      <c r="U3765" s="37" t="s">
        <v>1986</v>
      </c>
      <c r="V3765" s="69" t="s">
        <v>272</v>
      </c>
      <c r="W3765" s="89" t="s">
        <v>134</v>
      </c>
      <c r="X3765" s="106" t="s">
        <v>297</v>
      </c>
      <c r="Y3765" s="107" t="s">
        <v>12</v>
      </c>
      <c r="Z3765" s="67">
        <f>IF(База_КР_КК[[#This Row],[Таб.номер резервиста]]="-","-",IF(OR(База_КР_КК[[#This Row],[Уровень КК]]=2,База_КР_КК[[#This Row],[Уровень КК]]=3),IF(COUNTIFS($U$2:$U3765,$U3765,$F$2:$F3765,$F3765)=1,1,0),IF(COUNTIFS($U$2:$U3765,$U3765,$L$2:$L3765,$L3765)=1,1,0)))</f>
        <v>0</v>
      </c>
      <c r="AA37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5" s="106"/>
      <c r="AC3765" s="51"/>
      <c r="AD3765" s="106" t="s">
        <v>17</v>
      </c>
      <c r="AE3765" s="40" t="s">
        <v>390</v>
      </c>
    </row>
    <row r="3766" spans="1:31" ht="18" customHeight="1" x14ac:dyDescent="0.25">
      <c r="A37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6" s="79">
        <v>4</v>
      </c>
      <c r="C3766" s="23">
        <v>44190</v>
      </c>
      <c r="D3766" s="67">
        <f>IF(COUNTIF($G$2:$G3766,$G3766)=1,1,0)</f>
        <v>0</v>
      </c>
      <c r="E3766" s="67" t="str">
        <f>IFERROR(VLOOKUP(База_КР_КК[[#This Row],[ИД штатной должности (S)]],'уровень защищенности'!$B$7:$F$1095,5,0),"не защищена")</f>
        <v>высокий</v>
      </c>
      <c r="F3766" s="68">
        <v>500385</v>
      </c>
      <c r="G3766" s="74" t="s">
        <v>3080</v>
      </c>
      <c r="H3766" s="181">
        <f>INDEX('Списки данных'!$D$2:$D$1048576,MATCH(База_КР_КК[[#This Row],[Структурное подразделение]],'Списки данных'!$C$2:$C$1048576,0))</f>
        <v>51</v>
      </c>
      <c r="I3766" s="80" t="s">
        <v>134</v>
      </c>
      <c r="J3766" s="80" t="s">
        <v>257</v>
      </c>
      <c r="K3766" s="80" t="s">
        <v>21</v>
      </c>
      <c r="L3766" s="30" t="s">
        <v>191</v>
      </c>
      <c r="M3766" s="68">
        <v>7</v>
      </c>
      <c r="N3766" s="181" t="str">
        <f t="shared" si="59"/>
        <v>нет</v>
      </c>
      <c r="O3766" s="23"/>
      <c r="P3766" s="23"/>
      <c r="Q3766" s="106"/>
      <c r="R3766" s="37">
        <v>896</v>
      </c>
      <c r="S3766" s="37" t="s">
        <v>1305</v>
      </c>
      <c r="T3766" s="37">
        <v>1998</v>
      </c>
      <c r="U3766" s="37" t="s">
        <v>1955</v>
      </c>
      <c r="V3766" s="69" t="s">
        <v>272</v>
      </c>
      <c r="W3766" s="89" t="s">
        <v>134</v>
      </c>
      <c r="X3766" s="106" t="s">
        <v>297</v>
      </c>
      <c r="Y3766" s="107" t="s">
        <v>18</v>
      </c>
      <c r="Z3766" s="67">
        <f>IF(База_КР_КК[[#This Row],[Таб.номер резервиста]]="-","-",IF(OR(База_КР_КК[[#This Row],[Уровень КК]]=2,База_КР_КК[[#This Row],[Уровень КК]]=3),IF(COUNTIFS($U$2:$U3766,$U3766,$F$2:$F3766,$F3766)=1,1,0),IF(COUNTIFS($U$2:$U3766,$U3766,$L$2:$L3766,$L3766)=1,1,0)))</f>
        <v>0</v>
      </c>
      <c r="AA37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6" s="106" t="s">
        <v>19</v>
      </c>
      <c r="AC3766" s="51">
        <v>45109</v>
      </c>
      <c r="AD3766" s="106" t="s">
        <v>15</v>
      </c>
      <c r="AE3766" s="40" t="s">
        <v>390</v>
      </c>
    </row>
    <row r="3767" spans="1:31" ht="18" customHeight="1" x14ac:dyDescent="0.25">
      <c r="A37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7" s="79">
        <v>4</v>
      </c>
      <c r="C3767" s="23">
        <v>44190</v>
      </c>
      <c r="D3767" s="67">
        <f>IF(COUNTIF($G$2:$G3767,$G3767)=1,1,0)</f>
        <v>0</v>
      </c>
      <c r="E3767" s="67" t="str">
        <f>IFERROR(VLOOKUP(База_КР_КК[[#This Row],[ИД штатной должности (S)]],'уровень защищенности'!$B$7:$F$1095,5,0),"не защищена")</f>
        <v>высокий</v>
      </c>
      <c r="F3767" s="68">
        <v>500385</v>
      </c>
      <c r="G3767" s="74" t="s">
        <v>3080</v>
      </c>
      <c r="H3767" s="181">
        <f>INDEX('Списки данных'!$D$2:$D$1048576,MATCH(База_КР_КК[[#This Row],[Структурное подразделение]],'Списки данных'!$C$2:$C$1048576,0))</f>
        <v>51</v>
      </c>
      <c r="I3767" s="80" t="s">
        <v>134</v>
      </c>
      <c r="J3767" s="80" t="s">
        <v>257</v>
      </c>
      <c r="K3767" s="80" t="s">
        <v>21</v>
      </c>
      <c r="L3767" s="30" t="s">
        <v>191</v>
      </c>
      <c r="M3767" s="68">
        <v>7</v>
      </c>
      <c r="N3767" s="181" t="str">
        <f t="shared" si="59"/>
        <v>нет</v>
      </c>
      <c r="O3767" s="23"/>
      <c r="P3767" s="23"/>
      <c r="Q3767" s="106"/>
      <c r="R3767" s="37">
        <v>896</v>
      </c>
      <c r="S3767" s="37" t="s">
        <v>1305</v>
      </c>
      <c r="T3767" s="37">
        <v>1999</v>
      </c>
      <c r="U3767" s="37" t="s">
        <v>2090</v>
      </c>
      <c r="V3767" s="69" t="s">
        <v>272</v>
      </c>
      <c r="W3767" s="89" t="s">
        <v>134</v>
      </c>
      <c r="X3767" s="106" t="s">
        <v>296</v>
      </c>
      <c r="Y3767" s="107" t="s">
        <v>18</v>
      </c>
      <c r="Z3767" s="67">
        <f>IF(База_КР_КК[[#This Row],[Таб.номер резервиста]]="-","-",IF(OR(База_КР_КК[[#This Row],[Уровень КК]]=2,База_КР_КК[[#This Row],[Уровень КК]]=3),IF(COUNTIFS($U$2:$U3767,$U3767,$F$2:$F3767,$F3767)=1,1,0),IF(COUNTIFS($U$2:$U3767,$U3767,$L$2:$L3767,$L3767)=1,1,0)))</f>
        <v>0</v>
      </c>
      <c r="AA37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7" s="106" t="s">
        <v>20</v>
      </c>
      <c r="AC3767" s="51">
        <v>44511</v>
      </c>
      <c r="AD3767" s="106" t="s">
        <v>15</v>
      </c>
      <c r="AE3767" s="38" t="s">
        <v>394</v>
      </c>
    </row>
    <row r="3768" spans="1:31" ht="18" customHeight="1" x14ac:dyDescent="0.25">
      <c r="A37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8" s="79">
        <v>4</v>
      </c>
      <c r="C3768" s="23">
        <v>44190</v>
      </c>
      <c r="D3768" s="67">
        <f>IF(COUNTIF($G$2:$G3768,$G3768)=1,1,0)</f>
        <v>1</v>
      </c>
      <c r="E3768" s="67" t="str">
        <f>IFERROR(VLOOKUP(База_КР_КК[[#This Row],[ИД штатной должности (S)]],'уровень защищенности'!$B$7:$F$1095,5,0),"не защищена")</f>
        <v>высокий</v>
      </c>
      <c r="F3768" s="68">
        <v>500385</v>
      </c>
      <c r="G3768" s="74" t="s">
        <v>3081</v>
      </c>
      <c r="H3768" s="181">
        <f>INDEX('Списки данных'!$D$2:$D$1048576,MATCH(База_КР_КК[[#This Row],[Структурное подразделение]],'Списки данных'!$C$2:$C$1048576,0))</f>
        <v>51</v>
      </c>
      <c r="I3768" s="80" t="s">
        <v>134</v>
      </c>
      <c r="J3768" s="80" t="s">
        <v>257</v>
      </c>
      <c r="K3768" s="80" t="s">
        <v>21</v>
      </c>
      <c r="L3768" s="30" t="s">
        <v>191</v>
      </c>
      <c r="M3768" s="68">
        <v>7</v>
      </c>
      <c r="N3768" s="181" t="str">
        <f t="shared" si="59"/>
        <v>нет</v>
      </c>
      <c r="O3768" s="23"/>
      <c r="P3768" s="23"/>
      <c r="Q3768" s="106"/>
      <c r="R3768" s="37">
        <v>897</v>
      </c>
      <c r="S3768" s="37" t="s">
        <v>1306</v>
      </c>
      <c r="T3768" s="37">
        <v>1972</v>
      </c>
      <c r="U3768" s="37" t="s">
        <v>2089</v>
      </c>
      <c r="V3768" s="69" t="s">
        <v>272</v>
      </c>
      <c r="W3768" s="89" t="s">
        <v>134</v>
      </c>
      <c r="X3768" s="106" t="s">
        <v>295</v>
      </c>
      <c r="Y3768" s="107" t="s">
        <v>12</v>
      </c>
      <c r="Z3768" s="67">
        <f>IF(База_КР_КК[[#This Row],[Таб.номер резервиста]]="-","-",IF(OR(База_КР_КК[[#This Row],[Уровень КК]]=2,База_КР_КК[[#This Row],[Уровень КК]]=3),IF(COUNTIFS($U$2:$U3768,$U3768,$F$2:$F3768,$F3768)=1,1,0),IF(COUNTIFS($U$2:$U3768,$U3768,$L$2:$L3768,$L3768)=1,1,0)))</f>
        <v>0</v>
      </c>
      <c r="AA37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8" s="106"/>
      <c r="AC3768" s="51"/>
      <c r="AD3768" s="106" t="s">
        <v>13</v>
      </c>
      <c r="AE3768" s="40" t="s">
        <v>390</v>
      </c>
    </row>
    <row r="3769" spans="1:31" ht="18" customHeight="1" x14ac:dyDescent="0.25">
      <c r="A37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69" s="79">
        <v>4</v>
      </c>
      <c r="C3769" s="23">
        <v>44190</v>
      </c>
      <c r="D3769" s="67">
        <f>IF(COUNTIF($G$2:$G3769,$G3769)=1,1,0)</f>
        <v>0</v>
      </c>
      <c r="E3769" s="67" t="str">
        <f>IFERROR(VLOOKUP(База_КР_КК[[#This Row],[ИД штатной должности (S)]],'уровень защищенности'!$B$7:$F$1095,5,0),"не защищена")</f>
        <v>высокий</v>
      </c>
      <c r="F3769" s="68">
        <v>500385</v>
      </c>
      <c r="G3769" s="74" t="s">
        <v>3081</v>
      </c>
      <c r="H3769" s="181">
        <f>INDEX('Списки данных'!$D$2:$D$1048576,MATCH(База_КР_КК[[#This Row],[Структурное подразделение]],'Списки данных'!$C$2:$C$1048576,0))</f>
        <v>51</v>
      </c>
      <c r="I3769" s="80" t="s">
        <v>134</v>
      </c>
      <c r="J3769" s="80" t="s">
        <v>257</v>
      </c>
      <c r="K3769" s="80" t="s">
        <v>21</v>
      </c>
      <c r="L3769" s="30" t="s">
        <v>191</v>
      </c>
      <c r="M3769" s="68">
        <v>7</v>
      </c>
      <c r="N3769" s="181" t="str">
        <f t="shared" si="59"/>
        <v>нет</v>
      </c>
      <c r="O3769" s="23"/>
      <c r="P3769" s="23"/>
      <c r="Q3769" s="106"/>
      <c r="R3769" s="37">
        <v>897</v>
      </c>
      <c r="S3769" s="37" t="s">
        <v>1306</v>
      </c>
      <c r="T3769" s="37">
        <v>1997</v>
      </c>
      <c r="U3769" s="37" t="s">
        <v>1986</v>
      </c>
      <c r="V3769" s="69" t="s">
        <v>272</v>
      </c>
      <c r="W3769" s="89" t="s">
        <v>134</v>
      </c>
      <c r="X3769" s="106" t="s">
        <v>297</v>
      </c>
      <c r="Y3769" s="107" t="s">
        <v>12</v>
      </c>
      <c r="Z3769" s="67">
        <f>IF(База_КР_КК[[#This Row],[Таб.номер резервиста]]="-","-",IF(OR(База_КР_КК[[#This Row],[Уровень КК]]=2,База_КР_КК[[#This Row],[Уровень КК]]=3),IF(COUNTIFS($U$2:$U3769,$U3769,$F$2:$F3769,$F3769)=1,1,0),IF(COUNTIFS($U$2:$U3769,$U3769,$L$2:$L3769,$L3769)=1,1,0)))</f>
        <v>0</v>
      </c>
      <c r="AA37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69" s="106"/>
      <c r="AC3769" s="51"/>
      <c r="AD3769" s="106" t="s">
        <v>17</v>
      </c>
      <c r="AE3769" s="40" t="s">
        <v>390</v>
      </c>
    </row>
    <row r="3770" spans="1:31" ht="18" customHeight="1" x14ac:dyDescent="0.25">
      <c r="A37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0" s="79">
        <v>4</v>
      </c>
      <c r="C3770" s="23">
        <v>44190</v>
      </c>
      <c r="D3770" s="67">
        <f>IF(COUNTIF($G$2:$G3770,$G3770)=1,1,0)</f>
        <v>0</v>
      </c>
      <c r="E3770" s="67" t="str">
        <f>IFERROR(VLOOKUP(База_КР_КК[[#This Row],[ИД штатной должности (S)]],'уровень защищенности'!$B$7:$F$1095,5,0),"не защищена")</f>
        <v>высокий</v>
      </c>
      <c r="F3770" s="68">
        <v>500385</v>
      </c>
      <c r="G3770" s="74" t="s">
        <v>3081</v>
      </c>
      <c r="H3770" s="181">
        <f>INDEX('Списки данных'!$D$2:$D$1048576,MATCH(База_КР_КК[[#This Row],[Структурное подразделение]],'Списки данных'!$C$2:$C$1048576,0))</f>
        <v>51</v>
      </c>
      <c r="I3770" s="80" t="s">
        <v>134</v>
      </c>
      <c r="J3770" s="80" t="s">
        <v>257</v>
      </c>
      <c r="K3770" s="80" t="s">
        <v>21</v>
      </c>
      <c r="L3770" s="30" t="s">
        <v>191</v>
      </c>
      <c r="M3770" s="68">
        <v>7</v>
      </c>
      <c r="N3770" s="181" t="str">
        <f t="shared" si="59"/>
        <v>нет</v>
      </c>
      <c r="O3770" s="23"/>
      <c r="P3770" s="23"/>
      <c r="Q3770" s="106"/>
      <c r="R3770" s="37">
        <v>897</v>
      </c>
      <c r="S3770" s="37" t="s">
        <v>1306</v>
      </c>
      <c r="T3770" s="37">
        <v>1998</v>
      </c>
      <c r="U3770" s="37" t="s">
        <v>1955</v>
      </c>
      <c r="V3770" s="69" t="s">
        <v>272</v>
      </c>
      <c r="W3770" s="89" t="s">
        <v>134</v>
      </c>
      <c r="X3770" s="106" t="s">
        <v>297</v>
      </c>
      <c r="Y3770" s="107" t="s">
        <v>18</v>
      </c>
      <c r="Z3770" s="67">
        <f>IF(База_КР_КК[[#This Row],[Таб.номер резервиста]]="-","-",IF(OR(База_КР_КК[[#This Row],[Уровень КК]]=2,База_КР_КК[[#This Row],[Уровень КК]]=3),IF(COUNTIFS($U$2:$U3770,$U3770,$F$2:$F3770,$F3770)=1,1,0),IF(COUNTIFS($U$2:$U3770,$U3770,$L$2:$L3770,$L3770)=1,1,0)))</f>
        <v>0</v>
      </c>
      <c r="AA37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0" s="106" t="s">
        <v>19</v>
      </c>
      <c r="AC3770" s="51">
        <v>45109</v>
      </c>
      <c r="AD3770" s="106" t="s">
        <v>15</v>
      </c>
      <c r="AE3770" s="40" t="s">
        <v>390</v>
      </c>
    </row>
    <row r="3771" spans="1:31" ht="18" customHeight="1" x14ac:dyDescent="0.25">
      <c r="A37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1" s="79">
        <v>4</v>
      </c>
      <c r="C3771" s="23">
        <v>44190</v>
      </c>
      <c r="D3771" s="67">
        <f>IF(COUNTIF($G$2:$G3771,$G3771)=1,1,0)</f>
        <v>0</v>
      </c>
      <c r="E3771" s="67" t="str">
        <f>IFERROR(VLOOKUP(База_КР_КК[[#This Row],[ИД штатной должности (S)]],'уровень защищенности'!$B$7:$F$1095,5,0),"не защищена")</f>
        <v>высокий</v>
      </c>
      <c r="F3771" s="68">
        <v>500385</v>
      </c>
      <c r="G3771" s="74" t="s">
        <v>3081</v>
      </c>
      <c r="H3771" s="181">
        <f>INDEX('Списки данных'!$D$2:$D$1048576,MATCH(База_КР_КК[[#This Row],[Структурное подразделение]],'Списки данных'!$C$2:$C$1048576,0))</f>
        <v>51</v>
      </c>
      <c r="I3771" s="80" t="s">
        <v>134</v>
      </c>
      <c r="J3771" s="80" t="s">
        <v>257</v>
      </c>
      <c r="K3771" s="80" t="s">
        <v>21</v>
      </c>
      <c r="L3771" s="30" t="s">
        <v>191</v>
      </c>
      <c r="M3771" s="68">
        <v>7</v>
      </c>
      <c r="N3771" s="181" t="str">
        <f t="shared" si="59"/>
        <v>нет</v>
      </c>
      <c r="O3771" s="23"/>
      <c r="P3771" s="23"/>
      <c r="Q3771" s="106"/>
      <c r="R3771" s="37">
        <v>897</v>
      </c>
      <c r="S3771" s="37" t="s">
        <v>1306</v>
      </c>
      <c r="T3771" s="37">
        <v>1999</v>
      </c>
      <c r="U3771" s="37" t="s">
        <v>2090</v>
      </c>
      <c r="V3771" s="69" t="s">
        <v>272</v>
      </c>
      <c r="W3771" s="89" t="s">
        <v>134</v>
      </c>
      <c r="X3771" s="106" t="s">
        <v>296</v>
      </c>
      <c r="Y3771" s="107" t="s">
        <v>18</v>
      </c>
      <c r="Z3771" s="67">
        <f>IF(База_КР_КК[[#This Row],[Таб.номер резервиста]]="-","-",IF(OR(База_КР_КК[[#This Row],[Уровень КК]]=2,База_КР_КК[[#This Row],[Уровень КК]]=3),IF(COUNTIFS($U$2:$U3771,$U3771,$F$2:$F3771,$F3771)=1,1,0),IF(COUNTIFS($U$2:$U3771,$U3771,$L$2:$L3771,$L3771)=1,1,0)))</f>
        <v>0</v>
      </c>
      <c r="AA37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1" s="106" t="s">
        <v>20</v>
      </c>
      <c r="AC3771" s="51">
        <v>44511</v>
      </c>
      <c r="AD3771" s="106" t="s">
        <v>15</v>
      </c>
      <c r="AE3771" s="38" t="s">
        <v>394</v>
      </c>
    </row>
    <row r="3772" spans="1:31" ht="18" customHeight="1" x14ac:dyDescent="0.25">
      <c r="A37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2" s="79">
        <v>3</v>
      </c>
      <c r="C3772" s="23">
        <v>44190</v>
      </c>
      <c r="D3772" s="67">
        <f>IF(COUNTIF($G$2:$G3772,$G3772)=1,1,0)</f>
        <v>1</v>
      </c>
      <c r="E3772" s="67" t="str">
        <f>IFERROR(VLOOKUP(База_КР_КК[[#This Row],[ИД штатной должности (S)]],'уровень защищенности'!$B$7:$F$1095,5,0),"не защищена")</f>
        <v>высокий</v>
      </c>
      <c r="F3772" s="68">
        <v>500386</v>
      </c>
      <c r="G3772" s="74" t="s">
        <v>3082</v>
      </c>
      <c r="H3772" s="181">
        <f>INDEX('Списки данных'!$D$2:$D$1048576,MATCH(База_КР_КК[[#This Row],[Структурное подразделение]],'Списки данных'!$C$2:$C$1048576,0))</f>
        <v>51</v>
      </c>
      <c r="I3772" s="80" t="s">
        <v>134</v>
      </c>
      <c r="J3772" s="80" t="s">
        <v>257</v>
      </c>
      <c r="K3772" s="80" t="s">
        <v>21</v>
      </c>
      <c r="L3772" s="30" t="s">
        <v>186</v>
      </c>
      <c r="M3772" s="68">
        <v>6</v>
      </c>
      <c r="N3772" s="181" t="str">
        <f t="shared" si="59"/>
        <v>нет</v>
      </c>
      <c r="O3772" s="23"/>
      <c r="P3772" s="23"/>
      <c r="Q3772" s="106"/>
      <c r="R3772" s="37">
        <v>898</v>
      </c>
      <c r="S3772" s="37" t="s">
        <v>1307</v>
      </c>
      <c r="T3772" s="37">
        <v>899</v>
      </c>
      <c r="U3772" s="37" t="s">
        <v>1308</v>
      </c>
      <c r="V3772" s="89" t="s">
        <v>198</v>
      </c>
      <c r="W3772" s="89" t="s">
        <v>134</v>
      </c>
      <c r="X3772" s="106" t="s">
        <v>295</v>
      </c>
      <c r="Y3772" s="107" t="s">
        <v>12</v>
      </c>
      <c r="Z3772" s="67">
        <f>IF(База_КР_КК[[#This Row],[Таб.номер резервиста]]="-","-",IF(OR(База_КР_КК[[#This Row],[Уровень КК]]=2,База_КР_КК[[#This Row],[Уровень КК]]=3),IF(COUNTIFS($U$2:$U3772,$U3772,$F$2:$F3772,$F3772)=1,1,0),IF(COUNTIFS($U$2:$U3772,$U3772,$L$2:$L3772,$L3772)=1,1,0)))</f>
        <v>1</v>
      </c>
      <c r="AA37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2" s="106"/>
      <c r="AC3772" s="51"/>
      <c r="AD3772" s="106" t="s">
        <v>13</v>
      </c>
      <c r="AE3772" s="38" t="s">
        <v>389</v>
      </c>
    </row>
    <row r="3773" spans="1:31" ht="18" customHeight="1" x14ac:dyDescent="0.25">
      <c r="A37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3" s="79">
        <v>3</v>
      </c>
      <c r="C3773" s="23">
        <v>44190</v>
      </c>
      <c r="D3773" s="67">
        <f>IF(COUNTIF($G$2:$G3773,$G3773)=1,1,0)</f>
        <v>0</v>
      </c>
      <c r="E3773" s="67" t="str">
        <f>IFERROR(VLOOKUP(База_КР_КК[[#This Row],[ИД штатной должности (S)]],'уровень защищенности'!$B$7:$F$1095,5,0),"не защищена")</f>
        <v>высокий</v>
      </c>
      <c r="F3773" s="68">
        <v>500386</v>
      </c>
      <c r="G3773" s="74" t="s">
        <v>3082</v>
      </c>
      <c r="H3773" s="181">
        <f>INDEX('Списки данных'!$D$2:$D$1048576,MATCH(База_КР_КК[[#This Row],[Структурное подразделение]],'Списки данных'!$C$2:$C$1048576,0))</f>
        <v>51</v>
      </c>
      <c r="I3773" s="80" t="s">
        <v>134</v>
      </c>
      <c r="J3773" s="80" t="s">
        <v>257</v>
      </c>
      <c r="K3773" s="80" t="s">
        <v>21</v>
      </c>
      <c r="L3773" s="30" t="s">
        <v>186</v>
      </c>
      <c r="M3773" s="68">
        <v>6</v>
      </c>
      <c r="N3773" s="181" t="str">
        <f t="shared" ref="N3773:N3836" si="60">IF(ISBLANK(O3773),"нет","да")</f>
        <v>нет</v>
      </c>
      <c r="O3773" s="23"/>
      <c r="P3773" s="23"/>
      <c r="Q3773" s="106"/>
      <c r="R3773" s="37">
        <v>898</v>
      </c>
      <c r="S3773" s="37" t="s">
        <v>1307</v>
      </c>
      <c r="T3773" s="37">
        <v>902</v>
      </c>
      <c r="U3773" s="37" t="s">
        <v>1311</v>
      </c>
      <c r="V3773" s="69" t="s">
        <v>198</v>
      </c>
      <c r="W3773" s="89" t="s">
        <v>134</v>
      </c>
      <c r="X3773" s="106" t="s">
        <v>297</v>
      </c>
      <c r="Y3773" s="107" t="s">
        <v>18</v>
      </c>
      <c r="Z3773" s="67">
        <f>IF(База_КР_КК[[#This Row],[Таб.номер резервиста]]="-","-",IF(OR(База_КР_КК[[#This Row],[Уровень КК]]=2,База_КР_КК[[#This Row],[Уровень КК]]=3),IF(COUNTIFS($U$2:$U3773,$U3773,$F$2:$F3773,$F3773)=1,1,0),IF(COUNTIFS($U$2:$U3773,$U3773,$L$2:$L3773,$L3773)=1,1,0)))</f>
        <v>1</v>
      </c>
      <c r="AA37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3" s="106" t="s">
        <v>20</v>
      </c>
      <c r="AC3773" s="51">
        <v>44747</v>
      </c>
      <c r="AD3773" s="106" t="s">
        <v>13</v>
      </c>
      <c r="AE3773" s="38" t="s">
        <v>389</v>
      </c>
    </row>
    <row r="3774" spans="1:31" ht="18" customHeight="1" x14ac:dyDescent="0.25">
      <c r="A37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4" s="79">
        <v>4</v>
      </c>
      <c r="C3774" s="23">
        <v>44190</v>
      </c>
      <c r="D3774" s="67">
        <f>IF(COUNTIF($G$2:$G3774,$G3774)=1,1,0)</f>
        <v>1</v>
      </c>
      <c r="E3774" s="67" t="str">
        <f>IFERROR(VLOOKUP(База_КР_КК[[#This Row],[ИД штатной должности (S)]],'уровень защищенности'!$B$7:$F$1095,5,0),"не защищена")</f>
        <v>высокий</v>
      </c>
      <c r="F3774" s="68">
        <v>500387</v>
      </c>
      <c r="G3774" s="74" t="s">
        <v>3083</v>
      </c>
      <c r="H3774" s="181">
        <f>INDEX('Списки данных'!$D$2:$D$1048576,MATCH(База_КР_КК[[#This Row],[Структурное подразделение]],'Списки данных'!$C$2:$C$1048576,0))</f>
        <v>51</v>
      </c>
      <c r="I3774" s="80" t="s">
        <v>134</v>
      </c>
      <c r="J3774" s="80" t="s">
        <v>257</v>
      </c>
      <c r="K3774" s="80" t="s">
        <v>260</v>
      </c>
      <c r="L3774" s="30" t="s">
        <v>198</v>
      </c>
      <c r="M3774" s="68">
        <v>7</v>
      </c>
      <c r="N3774" s="181" t="str">
        <f t="shared" si="60"/>
        <v>нет</v>
      </c>
      <c r="O3774" s="23"/>
      <c r="P3774" s="23"/>
      <c r="Q3774" s="106"/>
      <c r="R3774" s="37">
        <v>899</v>
      </c>
      <c r="S3774" s="37" t="s">
        <v>1308</v>
      </c>
      <c r="T3774" s="37">
        <v>901</v>
      </c>
      <c r="U3774" s="37" t="s">
        <v>1310</v>
      </c>
      <c r="V3774" s="89" t="s">
        <v>192</v>
      </c>
      <c r="W3774" s="89" t="s">
        <v>134</v>
      </c>
      <c r="X3774" s="106" t="s">
        <v>295</v>
      </c>
      <c r="Y3774" s="107" t="s">
        <v>12</v>
      </c>
      <c r="Z3774" s="67">
        <f>IF(База_КР_КК[[#This Row],[Таб.номер резервиста]]="-","-",IF(OR(База_КР_КК[[#This Row],[Уровень КК]]=2,База_КР_КК[[#This Row],[Уровень КК]]=3),IF(COUNTIFS($U$2:$U3774,$U3774,$F$2:$F3774,$F3774)=1,1,0),IF(COUNTIFS($U$2:$U3774,$U3774,$L$2:$L3774,$L3774)=1,1,0)))</f>
        <v>1</v>
      </c>
      <c r="AA37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4" s="106"/>
      <c r="AC3774" s="51"/>
      <c r="AD3774" s="106" t="s">
        <v>17</v>
      </c>
      <c r="AE3774" s="40" t="s">
        <v>390</v>
      </c>
    </row>
    <row r="3775" spans="1:31" ht="18" customHeight="1" x14ac:dyDescent="0.25">
      <c r="A37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5" s="79">
        <v>4</v>
      </c>
      <c r="C3775" s="23">
        <v>44190</v>
      </c>
      <c r="D3775" s="67">
        <f>IF(COUNTIF($G$2:$G3775,$G3775)=1,1,0)</f>
        <v>0</v>
      </c>
      <c r="E3775" s="67" t="str">
        <f>IFERROR(VLOOKUP(База_КР_КК[[#This Row],[ИД штатной должности (S)]],'уровень защищенности'!$B$7:$F$1095,5,0),"не защищена")</f>
        <v>высокий</v>
      </c>
      <c r="F3775" s="68">
        <v>500387</v>
      </c>
      <c r="G3775" s="74" t="s">
        <v>3083</v>
      </c>
      <c r="H3775" s="181">
        <f>INDEX('Списки данных'!$D$2:$D$1048576,MATCH(База_КР_КК[[#This Row],[Структурное подразделение]],'Списки данных'!$C$2:$C$1048576,0))</f>
        <v>51</v>
      </c>
      <c r="I3775" s="80" t="s">
        <v>134</v>
      </c>
      <c r="J3775" s="80" t="s">
        <v>257</v>
      </c>
      <c r="K3775" s="80" t="s">
        <v>260</v>
      </c>
      <c r="L3775" s="30" t="s">
        <v>198</v>
      </c>
      <c r="M3775" s="68">
        <v>7</v>
      </c>
      <c r="N3775" s="181" t="str">
        <f t="shared" si="60"/>
        <v>нет</v>
      </c>
      <c r="O3775" s="23"/>
      <c r="P3775" s="23"/>
      <c r="Q3775" s="106"/>
      <c r="R3775" s="37">
        <v>899</v>
      </c>
      <c r="S3775" s="37" t="s">
        <v>1308</v>
      </c>
      <c r="T3775" s="37">
        <v>900</v>
      </c>
      <c r="U3775" s="37" t="s">
        <v>1309</v>
      </c>
      <c r="V3775" s="69" t="s">
        <v>192</v>
      </c>
      <c r="W3775" s="89" t="s">
        <v>134</v>
      </c>
      <c r="X3775" s="106" t="s">
        <v>296</v>
      </c>
      <c r="Y3775" s="107" t="s">
        <v>18</v>
      </c>
      <c r="Z3775" s="67">
        <f>IF(База_КР_КК[[#This Row],[Таб.номер резервиста]]="-","-",IF(OR(База_КР_КК[[#This Row],[Уровень КК]]=2,База_КР_КК[[#This Row],[Уровень КК]]=3),IF(COUNTIFS($U$2:$U3775,$U3775,$F$2:$F3775,$F3775)=1,1,0),IF(COUNTIFS($U$2:$U3775,$U3775,$L$2:$L3775,$L3775)=1,1,0)))</f>
        <v>1</v>
      </c>
      <c r="AA37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5" s="106" t="s">
        <v>38</v>
      </c>
      <c r="AC3775" s="51">
        <v>44896</v>
      </c>
      <c r="AD3775" s="106" t="s">
        <v>31</v>
      </c>
      <c r="AE3775" s="40" t="s">
        <v>390</v>
      </c>
    </row>
    <row r="3776" spans="1:31" ht="18" customHeight="1" x14ac:dyDescent="0.25">
      <c r="A37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6" s="79">
        <v>4</v>
      </c>
      <c r="C3776" s="23">
        <v>44190</v>
      </c>
      <c r="D3776" s="67">
        <f>IF(COUNTIF($G$2:$G3776,$G3776)=1,1,0)</f>
        <v>1</v>
      </c>
      <c r="E3776" s="67" t="str">
        <f>IFERROR(VLOOKUP(База_КР_КК[[#This Row],[ИД штатной должности (S)]],'уровень защищенности'!$B$7:$F$1095,5,0),"не защищена")</f>
        <v>высокий</v>
      </c>
      <c r="F3776" s="68">
        <v>500388</v>
      </c>
      <c r="G3776" s="74" t="s">
        <v>3084</v>
      </c>
      <c r="H3776" s="181">
        <f>INDEX('Списки данных'!$D$2:$D$1048576,MATCH(База_КР_КК[[#This Row],[Структурное подразделение]],'Списки данных'!$C$2:$C$1048576,0))</f>
        <v>51</v>
      </c>
      <c r="I3776" s="80" t="s">
        <v>134</v>
      </c>
      <c r="J3776" s="80" t="s">
        <v>257</v>
      </c>
      <c r="K3776" s="80" t="s">
        <v>260</v>
      </c>
      <c r="L3776" s="30" t="s">
        <v>192</v>
      </c>
      <c r="M3776" s="68">
        <v>7</v>
      </c>
      <c r="N3776" s="181" t="str">
        <f t="shared" si="60"/>
        <v>нет</v>
      </c>
      <c r="O3776" s="23"/>
      <c r="P3776" s="23"/>
      <c r="Q3776" s="106"/>
      <c r="R3776" s="37">
        <v>900</v>
      </c>
      <c r="S3776" s="37" t="s">
        <v>1309</v>
      </c>
      <c r="T3776" s="37">
        <v>2000</v>
      </c>
      <c r="U3776" s="37" t="s">
        <v>1947</v>
      </c>
      <c r="V3776" s="69" t="s">
        <v>272</v>
      </c>
      <c r="W3776" s="89" t="s">
        <v>134</v>
      </c>
      <c r="X3776" s="106" t="s">
        <v>295</v>
      </c>
      <c r="Y3776" s="107" t="s">
        <v>12</v>
      </c>
      <c r="Z3776" s="67">
        <f>IF(База_КР_КК[[#This Row],[Таб.номер резервиста]]="-","-",IF(OR(База_КР_КК[[#This Row],[Уровень КК]]=2,База_КР_КК[[#This Row],[Уровень КК]]=3),IF(COUNTIFS($U$2:$U3776,$U3776,$F$2:$F3776,$F3776)=1,1,0),IF(COUNTIFS($U$2:$U3776,$U3776,$L$2:$L3776,$L3776)=1,1,0)))</f>
        <v>1</v>
      </c>
      <c r="AA37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6" s="106"/>
      <c r="AC3776" s="51"/>
      <c r="AD3776" s="106" t="s">
        <v>17</v>
      </c>
      <c r="AE3776" s="40" t="s">
        <v>390</v>
      </c>
    </row>
    <row r="3777" spans="1:31" ht="18" customHeight="1" x14ac:dyDescent="0.25">
      <c r="A37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7" s="79">
        <v>4</v>
      </c>
      <c r="C3777" s="23">
        <v>44190</v>
      </c>
      <c r="D3777" s="67">
        <f>IF(COUNTIF($G$2:$G3777,$G3777)=1,1,0)</f>
        <v>0</v>
      </c>
      <c r="E3777" s="67" t="str">
        <f>IFERROR(VLOOKUP(База_КР_КК[[#This Row],[ИД штатной должности (S)]],'уровень защищенности'!$B$7:$F$1095,5,0),"не защищена")</f>
        <v>высокий</v>
      </c>
      <c r="F3777" s="68">
        <v>500388</v>
      </c>
      <c r="G3777" s="74" t="s">
        <v>3084</v>
      </c>
      <c r="H3777" s="181">
        <f>INDEX('Списки данных'!$D$2:$D$1048576,MATCH(База_КР_КК[[#This Row],[Структурное подразделение]],'Списки данных'!$C$2:$C$1048576,0))</f>
        <v>51</v>
      </c>
      <c r="I3777" s="80" t="s">
        <v>134</v>
      </c>
      <c r="J3777" s="80" t="s">
        <v>257</v>
      </c>
      <c r="K3777" s="80" t="s">
        <v>260</v>
      </c>
      <c r="L3777" s="30" t="s">
        <v>192</v>
      </c>
      <c r="M3777" s="68">
        <v>7</v>
      </c>
      <c r="N3777" s="181" t="str">
        <f t="shared" si="60"/>
        <v>нет</v>
      </c>
      <c r="O3777" s="23"/>
      <c r="P3777" s="23"/>
      <c r="Q3777" s="106"/>
      <c r="R3777" s="37">
        <v>900</v>
      </c>
      <c r="S3777" s="37" t="s">
        <v>1309</v>
      </c>
      <c r="T3777" s="37">
        <v>2001</v>
      </c>
      <c r="U3777" s="37" t="s">
        <v>1985</v>
      </c>
      <c r="V3777" s="69" t="s">
        <v>272</v>
      </c>
      <c r="W3777" s="89" t="s">
        <v>134</v>
      </c>
      <c r="X3777" s="106" t="s">
        <v>295</v>
      </c>
      <c r="Y3777" s="107" t="s">
        <v>12</v>
      </c>
      <c r="Z3777" s="67">
        <f>IF(База_КР_КК[[#This Row],[Таб.номер резервиста]]="-","-",IF(OR(База_КР_КК[[#This Row],[Уровень КК]]=2,База_КР_КК[[#This Row],[Уровень КК]]=3),IF(COUNTIFS($U$2:$U3777,$U3777,$F$2:$F3777,$F3777)=1,1,0),IF(COUNTIFS($U$2:$U3777,$U3777,$L$2:$L3777,$L3777)=1,1,0)))</f>
        <v>0</v>
      </c>
      <c r="AA37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7" s="106"/>
      <c r="AC3777" s="51"/>
      <c r="AD3777" s="106" t="s">
        <v>17</v>
      </c>
      <c r="AE3777" s="40" t="s">
        <v>390</v>
      </c>
    </row>
    <row r="3778" spans="1:31" ht="18" customHeight="1" x14ac:dyDescent="0.25">
      <c r="A37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8" s="79">
        <v>4</v>
      </c>
      <c r="C3778" s="23">
        <v>44896</v>
      </c>
      <c r="D3778" s="67">
        <f>IF(COUNTIF($G$2:$G3778,$G3778)=1,1,0)</f>
        <v>0</v>
      </c>
      <c r="E3778" s="67" t="str">
        <f>IFERROR(VLOOKUP(База_КР_КК[[#This Row],[ИД штатной должности (S)]],'уровень защищенности'!$B$7:$F$1095,5,0),"не защищена")</f>
        <v>высокий</v>
      </c>
      <c r="F3778" s="68">
        <v>500388</v>
      </c>
      <c r="G3778" s="74" t="s">
        <v>3084</v>
      </c>
      <c r="H3778" s="181">
        <f>INDEX('Списки данных'!$D$2:$D$1048576,MATCH(База_КР_КК[[#This Row],[Структурное подразделение]],'Списки данных'!$C$2:$C$1048576,0))</f>
        <v>51</v>
      </c>
      <c r="I3778" s="80" t="s">
        <v>134</v>
      </c>
      <c r="J3778" s="80" t="s">
        <v>257</v>
      </c>
      <c r="K3778" s="80" t="s">
        <v>260</v>
      </c>
      <c r="L3778" s="30" t="s">
        <v>192</v>
      </c>
      <c r="M3778" s="68">
        <v>7</v>
      </c>
      <c r="N3778" s="181" t="str">
        <f t="shared" si="60"/>
        <v>нет</v>
      </c>
      <c r="O3778" s="23"/>
      <c r="P3778" s="23"/>
      <c r="Q3778" s="106"/>
      <c r="R3778" s="37">
        <v>900</v>
      </c>
      <c r="S3778" s="37" t="s">
        <v>1309</v>
      </c>
      <c r="T3778" s="37">
        <v>2002</v>
      </c>
      <c r="U3778" s="37" t="s">
        <v>2046</v>
      </c>
      <c r="V3778" s="69" t="s">
        <v>272</v>
      </c>
      <c r="W3778" s="89" t="s">
        <v>134</v>
      </c>
      <c r="X3778" s="106" t="s">
        <v>296</v>
      </c>
      <c r="Y3778" s="107" t="s">
        <v>12</v>
      </c>
      <c r="Z3778" s="67">
        <f>IF(База_КР_КК[[#This Row],[Таб.номер резервиста]]="-","-",IF(OR(База_КР_КК[[#This Row],[Уровень КК]]=2,База_КР_КК[[#This Row],[Уровень КК]]=3),IF(COUNTIFS($U$2:$U3778,$U3778,$F$2:$F3778,$F3778)=1,1,0),IF(COUNTIFS($U$2:$U3778,$U3778,$L$2:$L3778,$L3778)=1,1,0)))</f>
        <v>0</v>
      </c>
      <c r="AA37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8" s="106"/>
      <c r="AC3778" s="51"/>
      <c r="AD3778" s="106" t="s">
        <v>15</v>
      </c>
      <c r="AE3778" s="40" t="s">
        <v>390</v>
      </c>
    </row>
    <row r="3779" spans="1:31" ht="18" customHeight="1" x14ac:dyDescent="0.25">
      <c r="A37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79" s="79">
        <v>4</v>
      </c>
      <c r="C3779" s="23">
        <v>44190</v>
      </c>
      <c r="D3779" s="67">
        <f>IF(COUNTIF($G$2:$G3779,$G3779)=1,1,0)</f>
        <v>0</v>
      </c>
      <c r="E3779" s="67" t="str">
        <f>IFERROR(VLOOKUP(База_КР_КК[[#This Row],[ИД штатной должности (S)]],'уровень защищенности'!$B$7:$F$1095,5,0),"не защищена")</f>
        <v>высокий</v>
      </c>
      <c r="F3779" s="68">
        <v>500388</v>
      </c>
      <c r="G3779" s="74" t="s">
        <v>3084</v>
      </c>
      <c r="H3779" s="181">
        <f>INDEX('Списки данных'!$D$2:$D$1048576,MATCH(База_КР_КК[[#This Row],[Структурное подразделение]],'Списки данных'!$C$2:$C$1048576,0))</f>
        <v>51</v>
      </c>
      <c r="I3779" s="80" t="s">
        <v>134</v>
      </c>
      <c r="J3779" s="80" t="s">
        <v>257</v>
      </c>
      <c r="K3779" s="80" t="s">
        <v>260</v>
      </c>
      <c r="L3779" s="30" t="s">
        <v>192</v>
      </c>
      <c r="M3779" s="68">
        <v>7</v>
      </c>
      <c r="N3779" s="181" t="str">
        <f t="shared" si="60"/>
        <v>нет</v>
      </c>
      <c r="O3779" s="23"/>
      <c r="P3779" s="23"/>
      <c r="Q3779" s="106"/>
      <c r="R3779" s="37">
        <v>900</v>
      </c>
      <c r="S3779" s="37" t="s">
        <v>1309</v>
      </c>
      <c r="T3779" s="37">
        <v>2003</v>
      </c>
      <c r="U3779" s="37" t="s">
        <v>1833</v>
      </c>
      <c r="V3779" s="69" t="s">
        <v>272</v>
      </c>
      <c r="W3779" s="89" t="s">
        <v>134</v>
      </c>
      <c r="X3779" s="106" t="s">
        <v>296</v>
      </c>
      <c r="Y3779" s="107" t="s">
        <v>18</v>
      </c>
      <c r="Z3779" s="67">
        <f>IF(База_КР_КК[[#This Row],[Таб.номер резервиста]]="-","-",IF(OR(База_КР_КК[[#This Row],[Уровень КК]]=2,База_КР_КК[[#This Row],[Уровень КК]]=3),IF(COUNTIFS($U$2:$U3779,$U3779,$F$2:$F3779,$F3779)=1,1,0),IF(COUNTIFS($U$2:$U3779,$U3779,$L$2:$L3779,$L3779)=1,1,0)))</f>
        <v>0</v>
      </c>
      <c r="AA37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79" s="106" t="s">
        <v>38</v>
      </c>
      <c r="AC3779" s="51">
        <v>44896</v>
      </c>
      <c r="AD3779" s="106" t="s">
        <v>31</v>
      </c>
      <c r="AE3779" s="40" t="s">
        <v>390</v>
      </c>
    </row>
    <row r="3780" spans="1:31" ht="18" customHeight="1" x14ac:dyDescent="0.25">
      <c r="A37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0" s="79">
        <v>4</v>
      </c>
      <c r="C3780" s="23">
        <v>44190</v>
      </c>
      <c r="D3780" s="67">
        <f>IF(COUNTIF($G$2:$G3780,$G3780)=1,1,0)</f>
        <v>0</v>
      </c>
      <c r="E3780" s="67" t="str">
        <f>IFERROR(VLOOKUP(База_КР_КК[[#This Row],[ИД штатной должности (S)]],'уровень защищенности'!$B$7:$F$1095,5,0),"не защищена")</f>
        <v>высокий</v>
      </c>
      <c r="F3780" s="68">
        <v>500388</v>
      </c>
      <c r="G3780" s="74" t="s">
        <v>3084</v>
      </c>
      <c r="H3780" s="181">
        <f>INDEX('Списки данных'!$D$2:$D$1048576,MATCH(База_КР_КК[[#This Row],[Структурное подразделение]],'Списки данных'!$C$2:$C$1048576,0))</f>
        <v>51</v>
      </c>
      <c r="I3780" s="80" t="s">
        <v>134</v>
      </c>
      <c r="J3780" s="80" t="s">
        <v>257</v>
      </c>
      <c r="K3780" s="80" t="s">
        <v>260</v>
      </c>
      <c r="L3780" s="30" t="s">
        <v>192</v>
      </c>
      <c r="M3780" s="68">
        <v>7</v>
      </c>
      <c r="N3780" s="181" t="str">
        <f t="shared" si="60"/>
        <v>нет</v>
      </c>
      <c r="O3780" s="23"/>
      <c r="P3780" s="23"/>
      <c r="Q3780" s="106"/>
      <c r="R3780" s="37">
        <v>900</v>
      </c>
      <c r="S3780" s="37" t="s">
        <v>1309</v>
      </c>
      <c r="T3780" s="37">
        <v>2004</v>
      </c>
      <c r="U3780" s="37" t="s">
        <v>1997</v>
      </c>
      <c r="V3780" s="69" t="s">
        <v>272</v>
      </c>
      <c r="W3780" s="89" t="s">
        <v>134</v>
      </c>
      <c r="X3780" s="106" t="s">
        <v>296</v>
      </c>
      <c r="Y3780" s="107" t="s">
        <v>18</v>
      </c>
      <c r="Z3780" s="67">
        <f>IF(База_КР_КК[[#This Row],[Таб.номер резервиста]]="-","-",IF(OR(База_КР_КК[[#This Row],[Уровень КК]]=2,База_КР_КК[[#This Row],[Уровень КК]]=3),IF(COUNTIFS($U$2:$U3780,$U3780,$F$2:$F3780,$F3780)=1,1,0),IF(COUNTIFS($U$2:$U3780,$U3780,$L$2:$L3780,$L3780)=1,1,0)))</f>
        <v>1</v>
      </c>
      <c r="AA37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0" s="106" t="s">
        <v>38</v>
      </c>
      <c r="AC3780" s="51">
        <v>44896</v>
      </c>
      <c r="AD3780" s="106" t="s">
        <v>31</v>
      </c>
      <c r="AE3780" s="40" t="s">
        <v>390</v>
      </c>
    </row>
    <row r="3781" spans="1:31" ht="18" customHeight="1" x14ac:dyDescent="0.25">
      <c r="A37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1" s="79">
        <v>4</v>
      </c>
      <c r="C3781" s="23">
        <v>44190</v>
      </c>
      <c r="D3781" s="67">
        <f>IF(COUNTIF($G$2:$G3781,$G3781)=1,1,0)</f>
        <v>1</v>
      </c>
      <c r="E3781" s="67" t="str">
        <f>IFERROR(VLOOKUP(База_КР_КК[[#This Row],[ИД штатной должности (S)]],'уровень защищенности'!$B$7:$F$1095,5,0),"не защищена")</f>
        <v>высокий</v>
      </c>
      <c r="F3781" s="68">
        <v>500389</v>
      </c>
      <c r="G3781" s="74" t="s">
        <v>3085</v>
      </c>
      <c r="H3781" s="181">
        <f>INDEX('Списки данных'!$D$2:$D$1048576,MATCH(База_КР_КК[[#This Row],[Структурное подразделение]],'Списки данных'!$C$2:$C$1048576,0))</f>
        <v>51</v>
      </c>
      <c r="I3781" s="80" t="s">
        <v>134</v>
      </c>
      <c r="J3781" s="80" t="s">
        <v>257</v>
      </c>
      <c r="K3781" s="80" t="s">
        <v>260</v>
      </c>
      <c r="L3781" s="30" t="s">
        <v>192</v>
      </c>
      <c r="M3781" s="68">
        <v>7</v>
      </c>
      <c r="N3781" s="181" t="str">
        <f t="shared" si="60"/>
        <v>нет</v>
      </c>
      <c r="O3781" s="23"/>
      <c r="P3781" s="23"/>
      <c r="Q3781" s="106"/>
      <c r="R3781" s="37">
        <v>901</v>
      </c>
      <c r="S3781" s="37" t="s">
        <v>1310</v>
      </c>
      <c r="T3781" s="37">
        <v>2000</v>
      </c>
      <c r="U3781" s="37" t="s">
        <v>1947</v>
      </c>
      <c r="V3781" s="69" t="s">
        <v>272</v>
      </c>
      <c r="W3781" s="89" t="s">
        <v>134</v>
      </c>
      <c r="X3781" s="106" t="s">
        <v>295</v>
      </c>
      <c r="Y3781" s="107" t="s">
        <v>12</v>
      </c>
      <c r="Z3781" s="67">
        <f>IF(База_КР_КК[[#This Row],[Таб.номер резервиста]]="-","-",IF(OR(База_КР_КК[[#This Row],[Уровень КК]]=2,База_КР_КК[[#This Row],[Уровень КК]]=3),IF(COUNTIFS($U$2:$U3781,$U3781,$F$2:$F3781,$F3781)=1,1,0),IF(COUNTIFS($U$2:$U3781,$U3781,$L$2:$L3781,$L3781)=1,1,0)))</f>
        <v>0</v>
      </c>
      <c r="AA37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1" s="106"/>
      <c r="AC3781" s="51"/>
      <c r="AD3781" s="106" t="s">
        <v>17</v>
      </c>
      <c r="AE3781" s="40" t="s">
        <v>390</v>
      </c>
    </row>
    <row r="3782" spans="1:31" ht="18" customHeight="1" x14ac:dyDescent="0.25">
      <c r="A37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2" s="79">
        <v>4</v>
      </c>
      <c r="C3782" s="23">
        <v>44190</v>
      </c>
      <c r="D3782" s="67">
        <f>IF(COUNTIF($G$2:$G3782,$G3782)=1,1,0)</f>
        <v>0</v>
      </c>
      <c r="E3782" s="67" t="str">
        <f>IFERROR(VLOOKUP(База_КР_КК[[#This Row],[ИД штатной должности (S)]],'уровень защищенности'!$B$7:$F$1095,5,0),"не защищена")</f>
        <v>высокий</v>
      </c>
      <c r="F3782" s="68">
        <v>500389</v>
      </c>
      <c r="G3782" s="74" t="s">
        <v>3085</v>
      </c>
      <c r="H3782" s="181">
        <f>INDEX('Списки данных'!$D$2:$D$1048576,MATCH(База_КР_КК[[#This Row],[Структурное подразделение]],'Списки данных'!$C$2:$C$1048576,0))</f>
        <v>51</v>
      </c>
      <c r="I3782" s="80" t="s">
        <v>134</v>
      </c>
      <c r="J3782" s="80" t="s">
        <v>257</v>
      </c>
      <c r="K3782" s="80" t="s">
        <v>260</v>
      </c>
      <c r="L3782" s="30" t="s">
        <v>192</v>
      </c>
      <c r="M3782" s="68">
        <v>7</v>
      </c>
      <c r="N3782" s="181" t="str">
        <f t="shared" si="60"/>
        <v>нет</v>
      </c>
      <c r="O3782" s="23"/>
      <c r="P3782" s="23"/>
      <c r="Q3782" s="106"/>
      <c r="R3782" s="37">
        <v>901</v>
      </c>
      <c r="S3782" s="37" t="s">
        <v>1310</v>
      </c>
      <c r="T3782" s="37">
        <v>2001</v>
      </c>
      <c r="U3782" s="37" t="s">
        <v>1985</v>
      </c>
      <c r="V3782" s="69" t="s">
        <v>272</v>
      </c>
      <c r="W3782" s="89" t="s">
        <v>134</v>
      </c>
      <c r="X3782" s="106" t="s">
        <v>295</v>
      </c>
      <c r="Y3782" s="107" t="s">
        <v>12</v>
      </c>
      <c r="Z3782" s="67">
        <f>IF(База_КР_КК[[#This Row],[Таб.номер резервиста]]="-","-",IF(OR(База_КР_КК[[#This Row],[Уровень КК]]=2,База_КР_КК[[#This Row],[Уровень КК]]=3),IF(COUNTIFS($U$2:$U3782,$U3782,$F$2:$F3782,$F3782)=1,1,0),IF(COUNTIFS($U$2:$U3782,$U3782,$L$2:$L3782,$L3782)=1,1,0)))</f>
        <v>0</v>
      </c>
      <c r="AA37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2" s="106"/>
      <c r="AC3782" s="51"/>
      <c r="AD3782" s="106" t="s">
        <v>17</v>
      </c>
      <c r="AE3782" s="40" t="s">
        <v>390</v>
      </c>
    </row>
    <row r="3783" spans="1:31" ht="18" customHeight="1" x14ac:dyDescent="0.25">
      <c r="A37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3" s="79">
        <v>4</v>
      </c>
      <c r="C3783" s="23">
        <v>44896</v>
      </c>
      <c r="D3783" s="67">
        <f>IF(COUNTIF($G$2:$G3783,$G3783)=1,1,0)</f>
        <v>0</v>
      </c>
      <c r="E3783" s="67" t="str">
        <f>IFERROR(VLOOKUP(База_КР_КК[[#This Row],[ИД штатной должности (S)]],'уровень защищенности'!$B$7:$F$1095,5,0),"не защищена")</f>
        <v>высокий</v>
      </c>
      <c r="F3783" s="68">
        <v>500389</v>
      </c>
      <c r="G3783" s="74" t="s">
        <v>3085</v>
      </c>
      <c r="H3783" s="181">
        <f>INDEX('Списки данных'!$D$2:$D$1048576,MATCH(База_КР_КК[[#This Row],[Структурное подразделение]],'Списки данных'!$C$2:$C$1048576,0))</f>
        <v>51</v>
      </c>
      <c r="I3783" s="80" t="s">
        <v>134</v>
      </c>
      <c r="J3783" s="80" t="s">
        <v>257</v>
      </c>
      <c r="K3783" s="80" t="s">
        <v>260</v>
      </c>
      <c r="L3783" s="30" t="s">
        <v>192</v>
      </c>
      <c r="M3783" s="68">
        <v>7</v>
      </c>
      <c r="N3783" s="181" t="str">
        <f t="shared" si="60"/>
        <v>нет</v>
      </c>
      <c r="O3783" s="23"/>
      <c r="P3783" s="23"/>
      <c r="Q3783" s="106"/>
      <c r="R3783" s="37">
        <v>901</v>
      </c>
      <c r="S3783" s="37" t="s">
        <v>1310</v>
      </c>
      <c r="T3783" s="37">
        <v>2002</v>
      </c>
      <c r="U3783" s="37" t="s">
        <v>2046</v>
      </c>
      <c r="V3783" s="69" t="s">
        <v>272</v>
      </c>
      <c r="W3783" s="89" t="s">
        <v>134</v>
      </c>
      <c r="X3783" s="106" t="s">
        <v>296</v>
      </c>
      <c r="Y3783" s="107" t="s">
        <v>12</v>
      </c>
      <c r="Z3783" s="67">
        <f>IF(База_КР_КК[[#This Row],[Таб.номер резервиста]]="-","-",IF(OR(База_КР_КК[[#This Row],[Уровень КК]]=2,База_КР_КК[[#This Row],[Уровень КК]]=3),IF(COUNTIFS($U$2:$U3783,$U3783,$F$2:$F3783,$F3783)=1,1,0),IF(COUNTIFS($U$2:$U3783,$U3783,$L$2:$L3783,$L3783)=1,1,0)))</f>
        <v>0</v>
      </c>
      <c r="AA37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3" s="106"/>
      <c r="AC3783" s="51"/>
      <c r="AD3783" s="106" t="s">
        <v>15</v>
      </c>
      <c r="AE3783" s="40" t="s">
        <v>390</v>
      </c>
    </row>
    <row r="3784" spans="1:31" ht="18" customHeight="1" x14ac:dyDescent="0.25">
      <c r="A37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4" s="79">
        <v>4</v>
      </c>
      <c r="C3784" s="23">
        <v>44190</v>
      </c>
      <c r="D3784" s="67">
        <f>IF(COUNTIF($G$2:$G3784,$G3784)=1,1,0)</f>
        <v>0</v>
      </c>
      <c r="E3784" s="67" t="str">
        <f>IFERROR(VLOOKUP(База_КР_КК[[#This Row],[ИД штатной должности (S)]],'уровень защищенности'!$B$7:$F$1095,5,0),"не защищена")</f>
        <v>высокий</v>
      </c>
      <c r="F3784" s="68">
        <v>500389</v>
      </c>
      <c r="G3784" s="74" t="s">
        <v>3085</v>
      </c>
      <c r="H3784" s="181">
        <f>INDEX('Списки данных'!$D$2:$D$1048576,MATCH(База_КР_КК[[#This Row],[Структурное подразделение]],'Списки данных'!$C$2:$C$1048576,0))</f>
        <v>51</v>
      </c>
      <c r="I3784" s="80" t="s">
        <v>134</v>
      </c>
      <c r="J3784" s="80" t="s">
        <v>257</v>
      </c>
      <c r="K3784" s="80" t="s">
        <v>260</v>
      </c>
      <c r="L3784" s="30" t="s">
        <v>192</v>
      </c>
      <c r="M3784" s="68">
        <v>7</v>
      </c>
      <c r="N3784" s="181" t="str">
        <f t="shared" si="60"/>
        <v>нет</v>
      </c>
      <c r="O3784" s="23"/>
      <c r="P3784" s="23"/>
      <c r="Q3784" s="106"/>
      <c r="R3784" s="37">
        <v>901</v>
      </c>
      <c r="S3784" s="37" t="s">
        <v>1310</v>
      </c>
      <c r="T3784" s="37">
        <v>2003</v>
      </c>
      <c r="U3784" s="37" t="s">
        <v>1833</v>
      </c>
      <c r="V3784" s="69" t="s">
        <v>272</v>
      </c>
      <c r="W3784" s="89" t="s">
        <v>134</v>
      </c>
      <c r="X3784" s="106" t="s">
        <v>296</v>
      </c>
      <c r="Y3784" s="107" t="s">
        <v>18</v>
      </c>
      <c r="Z3784" s="67">
        <f>IF(База_КР_КК[[#This Row],[Таб.номер резервиста]]="-","-",IF(OR(База_КР_КК[[#This Row],[Уровень КК]]=2,База_КР_КК[[#This Row],[Уровень КК]]=3),IF(COUNTIFS($U$2:$U3784,$U3784,$F$2:$F3784,$F3784)=1,1,0),IF(COUNTIFS($U$2:$U3784,$U3784,$L$2:$L3784,$L3784)=1,1,0)))</f>
        <v>0</v>
      </c>
      <c r="AA37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4" s="106" t="s">
        <v>38</v>
      </c>
      <c r="AC3784" s="51">
        <v>44896</v>
      </c>
      <c r="AD3784" s="106" t="s">
        <v>31</v>
      </c>
      <c r="AE3784" s="40" t="s">
        <v>390</v>
      </c>
    </row>
    <row r="3785" spans="1:31" ht="18" customHeight="1" x14ac:dyDescent="0.25">
      <c r="A37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5" s="79">
        <v>4</v>
      </c>
      <c r="C3785" s="23">
        <v>44190</v>
      </c>
      <c r="D3785" s="67">
        <f>IF(COUNTIF($G$2:$G3785,$G3785)=1,1,0)</f>
        <v>0</v>
      </c>
      <c r="E3785" s="67" t="str">
        <f>IFERROR(VLOOKUP(База_КР_КК[[#This Row],[ИД штатной должности (S)]],'уровень защищенности'!$B$7:$F$1095,5,0),"не защищена")</f>
        <v>высокий</v>
      </c>
      <c r="F3785" s="68">
        <v>500389</v>
      </c>
      <c r="G3785" s="74" t="s">
        <v>3085</v>
      </c>
      <c r="H3785" s="181">
        <f>INDEX('Списки данных'!$D$2:$D$1048576,MATCH(База_КР_КК[[#This Row],[Структурное подразделение]],'Списки данных'!$C$2:$C$1048576,0))</f>
        <v>51</v>
      </c>
      <c r="I3785" s="80" t="s">
        <v>134</v>
      </c>
      <c r="J3785" s="80" t="s">
        <v>257</v>
      </c>
      <c r="K3785" s="80" t="s">
        <v>260</v>
      </c>
      <c r="L3785" s="30" t="s">
        <v>192</v>
      </c>
      <c r="M3785" s="68">
        <v>7</v>
      </c>
      <c r="N3785" s="181" t="str">
        <f t="shared" si="60"/>
        <v>нет</v>
      </c>
      <c r="O3785" s="23"/>
      <c r="P3785" s="23"/>
      <c r="Q3785" s="106"/>
      <c r="R3785" s="37">
        <v>901</v>
      </c>
      <c r="S3785" s="37" t="s">
        <v>1310</v>
      </c>
      <c r="T3785" s="37">
        <v>2004</v>
      </c>
      <c r="U3785" s="37" t="s">
        <v>1997</v>
      </c>
      <c r="V3785" s="69" t="s">
        <v>272</v>
      </c>
      <c r="W3785" s="89" t="s">
        <v>134</v>
      </c>
      <c r="X3785" s="106" t="s">
        <v>296</v>
      </c>
      <c r="Y3785" s="107" t="s">
        <v>18</v>
      </c>
      <c r="Z3785" s="67">
        <f>IF(База_КР_КК[[#This Row],[Таб.номер резервиста]]="-","-",IF(OR(База_КР_КК[[#This Row],[Уровень КК]]=2,База_КР_КК[[#This Row],[Уровень КК]]=3),IF(COUNTIFS($U$2:$U3785,$U3785,$F$2:$F3785,$F3785)=1,1,0),IF(COUNTIFS($U$2:$U3785,$U3785,$L$2:$L3785,$L3785)=1,1,0)))</f>
        <v>0</v>
      </c>
      <c r="AA37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5" s="106" t="s">
        <v>38</v>
      </c>
      <c r="AC3785" s="51">
        <v>44896</v>
      </c>
      <c r="AD3785" s="106" t="s">
        <v>31</v>
      </c>
      <c r="AE3785" s="40" t="s">
        <v>390</v>
      </c>
    </row>
    <row r="3786" spans="1:31" ht="18" customHeight="1" x14ac:dyDescent="0.25">
      <c r="A37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6" s="79">
        <v>4</v>
      </c>
      <c r="C3786" s="23">
        <v>44190</v>
      </c>
      <c r="D3786" s="67">
        <f>IF(COUNTIF($G$2:$G3786,$G3786)=1,1,0)</f>
        <v>1</v>
      </c>
      <c r="E3786" s="67" t="str">
        <f>IFERROR(VLOOKUP(База_КР_КК[[#This Row],[ИД штатной должности (S)]],'уровень защищенности'!$B$7:$F$1095,5,0),"не защищена")</f>
        <v>высокий</v>
      </c>
      <c r="F3786" s="68">
        <v>500390</v>
      </c>
      <c r="G3786" s="74" t="s">
        <v>3086</v>
      </c>
      <c r="H3786" s="181">
        <f>INDEX('Списки данных'!$D$2:$D$1048576,MATCH(База_КР_КК[[#This Row],[Структурное подразделение]],'Списки данных'!$C$2:$C$1048576,0))</f>
        <v>51</v>
      </c>
      <c r="I3786" s="80" t="s">
        <v>134</v>
      </c>
      <c r="J3786" s="80" t="s">
        <v>257</v>
      </c>
      <c r="K3786" s="80" t="s">
        <v>260</v>
      </c>
      <c r="L3786" s="30" t="s">
        <v>198</v>
      </c>
      <c r="M3786" s="68">
        <v>7</v>
      </c>
      <c r="N3786" s="181" t="str">
        <f t="shared" si="60"/>
        <v>нет</v>
      </c>
      <c r="O3786" s="23"/>
      <c r="P3786" s="23"/>
      <c r="Q3786" s="106"/>
      <c r="R3786" s="37">
        <v>902</v>
      </c>
      <c r="S3786" s="37" t="s">
        <v>1311</v>
      </c>
      <c r="T3786" s="37">
        <v>903</v>
      </c>
      <c r="U3786" s="37" t="s">
        <v>1312</v>
      </c>
      <c r="V3786" s="89" t="s">
        <v>192</v>
      </c>
      <c r="W3786" s="89" t="s">
        <v>134</v>
      </c>
      <c r="X3786" s="106" t="s">
        <v>295</v>
      </c>
      <c r="Y3786" s="107" t="s">
        <v>12</v>
      </c>
      <c r="Z3786" s="67">
        <f>IF(База_КР_КК[[#This Row],[Таб.номер резервиста]]="-","-",IF(OR(База_КР_КК[[#This Row],[Уровень КК]]=2,База_КР_КК[[#This Row],[Уровень КК]]=3),IF(COUNTIFS($U$2:$U3786,$U3786,$F$2:$F3786,$F3786)=1,1,0),IF(COUNTIFS($U$2:$U3786,$U3786,$L$2:$L3786,$L3786)=1,1,0)))</f>
        <v>1</v>
      </c>
      <c r="AA37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6" s="106"/>
      <c r="AC3786" s="51"/>
      <c r="AD3786" s="106" t="s">
        <v>13</v>
      </c>
      <c r="AE3786" s="40" t="s">
        <v>390</v>
      </c>
    </row>
    <row r="3787" spans="1:31" ht="18" customHeight="1" x14ac:dyDescent="0.25">
      <c r="A37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7" s="79">
        <v>4</v>
      </c>
      <c r="C3787" s="23">
        <v>44190</v>
      </c>
      <c r="D3787" s="67">
        <f>IF(COUNTIF($G$2:$G3787,$G3787)=1,1,0)</f>
        <v>0</v>
      </c>
      <c r="E3787" s="67" t="str">
        <f>IFERROR(VLOOKUP(База_КР_КК[[#This Row],[ИД штатной должности (S)]],'уровень защищенности'!$B$7:$F$1095,5,0),"не защищена")</f>
        <v>высокий</v>
      </c>
      <c r="F3787" s="68">
        <v>500390</v>
      </c>
      <c r="G3787" s="74" t="s">
        <v>3086</v>
      </c>
      <c r="H3787" s="181">
        <f>INDEX('Списки данных'!$D$2:$D$1048576,MATCH(База_КР_КК[[#This Row],[Структурное подразделение]],'Списки данных'!$C$2:$C$1048576,0))</f>
        <v>51</v>
      </c>
      <c r="I3787" s="80" t="s">
        <v>134</v>
      </c>
      <c r="J3787" s="80" t="s">
        <v>257</v>
      </c>
      <c r="K3787" s="80" t="s">
        <v>260</v>
      </c>
      <c r="L3787" s="30" t="s">
        <v>198</v>
      </c>
      <c r="M3787" s="68">
        <v>7</v>
      </c>
      <c r="N3787" s="181" t="str">
        <f t="shared" si="60"/>
        <v>нет</v>
      </c>
      <c r="O3787" s="23"/>
      <c r="P3787" s="23"/>
      <c r="Q3787" s="106"/>
      <c r="R3787" s="37">
        <v>902</v>
      </c>
      <c r="S3787" s="37" t="s">
        <v>1311</v>
      </c>
      <c r="T3787" s="37">
        <v>918</v>
      </c>
      <c r="U3787" s="37" t="s">
        <v>1327</v>
      </c>
      <c r="V3787" s="89" t="s">
        <v>192</v>
      </c>
      <c r="W3787" s="89" t="s">
        <v>134</v>
      </c>
      <c r="X3787" s="106" t="s">
        <v>295</v>
      </c>
      <c r="Y3787" s="107" t="s">
        <v>12</v>
      </c>
      <c r="Z3787" s="67">
        <f>IF(База_КР_КК[[#This Row],[Таб.номер резервиста]]="-","-",IF(OR(База_КР_КК[[#This Row],[Уровень КК]]=2,База_КР_КК[[#This Row],[Уровень КК]]=3),IF(COUNTIFS($U$2:$U3787,$U3787,$F$2:$F3787,$F3787)=1,1,0),IF(COUNTIFS($U$2:$U3787,$U3787,$L$2:$L3787,$L3787)=1,1,0)))</f>
        <v>1</v>
      </c>
      <c r="AA37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7" s="106"/>
      <c r="AC3787" s="51"/>
      <c r="AD3787" s="106" t="s">
        <v>13</v>
      </c>
      <c r="AE3787" s="40" t="s">
        <v>390</v>
      </c>
    </row>
    <row r="3788" spans="1:31" ht="18" customHeight="1" x14ac:dyDescent="0.25">
      <c r="A37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8" s="79">
        <v>4</v>
      </c>
      <c r="C3788" s="23">
        <v>44190</v>
      </c>
      <c r="D3788" s="67">
        <f>IF(COUNTIF($G$2:$G3788,$G3788)=1,1,0)</f>
        <v>1</v>
      </c>
      <c r="E3788" s="67" t="str">
        <f>IFERROR(VLOOKUP(База_КР_КК[[#This Row],[ИД штатной должности (S)]],'уровень защищенности'!$B$7:$F$1095,5,0),"не защищена")</f>
        <v>высокий</v>
      </c>
      <c r="F3788" s="68">
        <v>500391</v>
      </c>
      <c r="G3788" s="74" t="s">
        <v>3087</v>
      </c>
      <c r="H3788" s="181">
        <f>INDEX('Списки данных'!$D$2:$D$1048576,MATCH(База_КР_КК[[#This Row],[Структурное подразделение]],'Списки данных'!$C$2:$C$1048576,0))</f>
        <v>51</v>
      </c>
      <c r="I3788" s="80" t="s">
        <v>134</v>
      </c>
      <c r="J3788" s="80" t="s">
        <v>257</v>
      </c>
      <c r="K3788" s="80" t="s">
        <v>260</v>
      </c>
      <c r="L3788" s="30" t="s">
        <v>192</v>
      </c>
      <c r="M3788" s="68">
        <v>7</v>
      </c>
      <c r="N3788" s="181" t="str">
        <f t="shared" si="60"/>
        <v>нет</v>
      </c>
      <c r="O3788" s="23"/>
      <c r="P3788" s="23"/>
      <c r="Q3788" s="106"/>
      <c r="R3788" s="37">
        <v>903</v>
      </c>
      <c r="S3788" s="37" t="s">
        <v>1312</v>
      </c>
      <c r="T3788" s="37">
        <v>2005</v>
      </c>
      <c r="U3788" s="37" t="s">
        <v>2090</v>
      </c>
      <c r="V3788" s="69" t="s">
        <v>272</v>
      </c>
      <c r="W3788" s="89" t="s">
        <v>134</v>
      </c>
      <c r="X3788" s="106" t="s">
        <v>295</v>
      </c>
      <c r="Y3788" s="107" t="s">
        <v>12</v>
      </c>
      <c r="Z3788" s="67">
        <f>IF(База_КР_КК[[#This Row],[Таб.номер резервиста]]="-","-",IF(OR(База_КР_КК[[#This Row],[Уровень КК]]=2,База_КР_КК[[#This Row],[Уровень КК]]=3),IF(COUNTIFS($U$2:$U3788,$U3788,$F$2:$F3788,$F3788)=1,1,0),IF(COUNTIFS($U$2:$U3788,$U3788,$L$2:$L3788,$L3788)=1,1,0)))</f>
        <v>1</v>
      </c>
      <c r="AA37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8" s="106"/>
      <c r="AC3788" s="51"/>
      <c r="AD3788" s="106" t="s">
        <v>17</v>
      </c>
      <c r="AE3788" s="40" t="s">
        <v>390</v>
      </c>
    </row>
    <row r="3789" spans="1:31" ht="18" customHeight="1" x14ac:dyDescent="0.25">
      <c r="A37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89" s="79">
        <v>4</v>
      </c>
      <c r="C3789" s="23">
        <v>44190</v>
      </c>
      <c r="D3789" s="67">
        <f>IF(COUNTIF($G$2:$G3789,$G3789)=1,1,0)</f>
        <v>0</v>
      </c>
      <c r="E3789" s="67" t="str">
        <f>IFERROR(VLOOKUP(База_КР_КК[[#This Row],[ИД штатной должности (S)]],'уровень защищенности'!$B$7:$F$1095,5,0),"не защищена")</f>
        <v>высокий</v>
      </c>
      <c r="F3789" s="68">
        <v>500391</v>
      </c>
      <c r="G3789" s="74" t="s">
        <v>3087</v>
      </c>
      <c r="H3789" s="181">
        <f>INDEX('Списки данных'!$D$2:$D$1048576,MATCH(База_КР_КК[[#This Row],[Структурное подразделение]],'Списки данных'!$C$2:$C$1048576,0))</f>
        <v>51</v>
      </c>
      <c r="I3789" s="80" t="s">
        <v>134</v>
      </c>
      <c r="J3789" s="80" t="s">
        <v>257</v>
      </c>
      <c r="K3789" s="80" t="s">
        <v>260</v>
      </c>
      <c r="L3789" s="30" t="s">
        <v>192</v>
      </c>
      <c r="M3789" s="68">
        <v>7</v>
      </c>
      <c r="N3789" s="181" t="str">
        <f t="shared" si="60"/>
        <v>нет</v>
      </c>
      <c r="O3789" s="23"/>
      <c r="P3789" s="23"/>
      <c r="Q3789" s="106"/>
      <c r="R3789" s="37">
        <v>903</v>
      </c>
      <c r="S3789" s="37" t="s">
        <v>1312</v>
      </c>
      <c r="T3789" s="37">
        <v>2004</v>
      </c>
      <c r="U3789" s="37" t="s">
        <v>1997</v>
      </c>
      <c r="V3789" s="69" t="s">
        <v>272</v>
      </c>
      <c r="W3789" s="89" t="s">
        <v>134</v>
      </c>
      <c r="X3789" s="106" t="s">
        <v>296</v>
      </c>
      <c r="Y3789" s="107" t="s">
        <v>18</v>
      </c>
      <c r="Z3789" s="67">
        <f>IF(База_КР_КК[[#This Row],[Таб.номер резервиста]]="-","-",IF(OR(База_КР_КК[[#This Row],[Уровень КК]]=2,База_КР_КК[[#This Row],[Уровень КК]]=3),IF(COUNTIFS($U$2:$U3789,$U3789,$F$2:$F3789,$F3789)=1,1,0),IF(COUNTIFS($U$2:$U3789,$U3789,$L$2:$L3789,$L3789)=1,1,0)))</f>
        <v>0</v>
      </c>
      <c r="AA37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89" s="106" t="s">
        <v>38</v>
      </c>
      <c r="AC3789" s="51">
        <v>44896</v>
      </c>
      <c r="AD3789" s="106" t="s">
        <v>31</v>
      </c>
      <c r="AE3789" s="40" t="s">
        <v>390</v>
      </c>
    </row>
    <row r="3790" spans="1:31" ht="18" customHeight="1" x14ac:dyDescent="0.25">
      <c r="A37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0" s="79">
        <v>3</v>
      </c>
      <c r="C3790" s="23">
        <v>44190</v>
      </c>
      <c r="D3790" s="67">
        <f>IF(COUNTIF($G$2:$G3790,$G3790)=1,1,0)</f>
        <v>1</v>
      </c>
      <c r="E3790" s="67" t="str">
        <f>IFERROR(VLOOKUP(База_КР_КК[[#This Row],[ИД штатной должности (S)]],'уровень защищенности'!$B$7:$F$1095,5,0),"не защищена")</f>
        <v>средний</v>
      </c>
      <c r="F3790" s="68">
        <v>500392</v>
      </c>
      <c r="G3790" s="74" t="s">
        <v>3088</v>
      </c>
      <c r="H3790" s="181">
        <f>INDEX('Списки данных'!$D$2:$D$1048576,MATCH(База_КР_КК[[#This Row],[Структурное подразделение]],'Списки данных'!$C$2:$C$1048576,0))</f>
        <v>51</v>
      </c>
      <c r="I3790" s="80" t="s">
        <v>134</v>
      </c>
      <c r="J3790" s="80" t="s">
        <v>257</v>
      </c>
      <c r="K3790" s="80" t="s">
        <v>21</v>
      </c>
      <c r="L3790" s="30" t="s">
        <v>186</v>
      </c>
      <c r="M3790" s="68">
        <v>6</v>
      </c>
      <c r="N3790" s="181" t="str">
        <f t="shared" si="60"/>
        <v>да</v>
      </c>
      <c r="O3790" s="23">
        <v>44713</v>
      </c>
      <c r="P3790" s="23">
        <v>44986</v>
      </c>
      <c r="Q3790" s="106" t="s">
        <v>66</v>
      </c>
      <c r="R3790" s="37">
        <v>904</v>
      </c>
      <c r="S3790" s="37" t="s">
        <v>1313</v>
      </c>
      <c r="T3790" s="37">
        <v>905</v>
      </c>
      <c r="U3790" s="37" t="s">
        <v>1314</v>
      </c>
      <c r="V3790" s="89" t="s">
        <v>198</v>
      </c>
      <c r="W3790" s="89" t="s">
        <v>134</v>
      </c>
      <c r="X3790" s="106" t="s">
        <v>297</v>
      </c>
      <c r="Y3790" s="107" t="s">
        <v>12</v>
      </c>
      <c r="Z3790" s="67">
        <f>IF(База_КР_КК[[#This Row],[Таб.номер резервиста]]="-","-",IF(OR(База_КР_КК[[#This Row],[Уровень КК]]=2,База_КР_КК[[#This Row],[Уровень КК]]=3),IF(COUNTIFS($U$2:$U3790,$U3790,$F$2:$F3790,$F3790)=1,1,0),IF(COUNTIFS($U$2:$U3790,$U3790,$L$2:$L3790,$L3790)=1,1,0)))</f>
        <v>1</v>
      </c>
      <c r="AA37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90" s="106"/>
      <c r="AC3790" s="51"/>
      <c r="AD3790" s="106" t="s">
        <v>22</v>
      </c>
      <c r="AE3790" s="38" t="s">
        <v>389</v>
      </c>
    </row>
    <row r="3791" spans="1:31" ht="18" customHeight="1" x14ac:dyDescent="0.25">
      <c r="A37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1" s="79">
        <v>3</v>
      </c>
      <c r="C3791" s="23">
        <v>44747</v>
      </c>
      <c r="D3791" s="67">
        <f>IF(COUNTIF($G$2:$G3791,$G3791)=1,1,0)</f>
        <v>0</v>
      </c>
      <c r="E3791" s="67" t="str">
        <f>IFERROR(VLOOKUP(База_КР_КК[[#This Row],[ИД штатной должности (S)]],'уровень защищенности'!$B$7:$F$1095,5,0),"не защищена")</f>
        <v>средний</v>
      </c>
      <c r="F3791" s="68">
        <v>500392</v>
      </c>
      <c r="G3791" s="74" t="s">
        <v>3088</v>
      </c>
      <c r="H3791" s="181">
        <f>INDEX('Списки данных'!$D$2:$D$1048576,MATCH(База_КР_КК[[#This Row],[Структурное подразделение]],'Списки данных'!$C$2:$C$1048576,0))</f>
        <v>51</v>
      </c>
      <c r="I3791" s="80" t="s">
        <v>134</v>
      </c>
      <c r="J3791" s="80" t="s">
        <v>257</v>
      </c>
      <c r="K3791" s="80" t="s">
        <v>21</v>
      </c>
      <c r="L3791" s="30" t="s">
        <v>186</v>
      </c>
      <c r="M3791" s="68">
        <v>6</v>
      </c>
      <c r="N3791" s="181" t="str">
        <f t="shared" si="60"/>
        <v>да</v>
      </c>
      <c r="O3791" s="23">
        <v>44713</v>
      </c>
      <c r="P3791" s="23">
        <v>44986</v>
      </c>
      <c r="Q3791" s="106" t="s">
        <v>66</v>
      </c>
      <c r="R3791" s="37">
        <v>904</v>
      </c>
      <c r="S3791" s="37" t="s">
        <v>1313</v>
      </c>
      <c r="T3791" s="37">
        <v>904</v>
      </c>
      <c r="U3791" s="37" t="s">
        <v>1313</v>
      </c>
      <c r="V3791" s="69" t="s">
        <v>198</v>
      </c>
      <c r="W3791" s="89" t="s">
        <v>134</v>
      </c>
      <c r="X3791" s="106" t="s">
        <v>295</v>
      </c>
      <c r="Y3791" s="107" t="s">
        <v>14</v>
      </c>
      <c r="Z3791" s="67">
        <f>IF(База_КР_КК[[#This Row],[Таб.номер резервиста]]="-","-",IF(OR(База_КР_КК[[#This Row],[Уровень КК]]=2,База_КР_КК[[#This Row],[Уровень КК]]=3),IF(COUNTIFS($U$2:$U3791,$U3791,$F$2:$F3791,$F3791)=1,1,0),IF(COUNTIFS($U$2:$U3791,$U3791,$L$2:$L3791,$L3791)=1,1,0)))</f>
        <v>1</v>
      </c>
      <c r="AA37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791" s="106" t="s">
        <v>24</v>
      </c>
      <c r="AC3791" s="51">
        <v>44986</v>
      </c>
      <c r="AD3791" s="106" t="s">
        <v>13</v>
      </c>
      <c r="AE3791" s="38" t="s">
        <v>389</v>
      </c>
    </row>
    <row r="3792" spans="1:31" ht="18" customHeight="1" x14ac:dyDescent="0.25">
      <c r="A37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2" s="79">
        <v>3</v>
      </c>
      <c r="C3792" s="23">
        <v>44747</v>
      </c>
      <c r="D3792" s="67">
        <f>IF(COUNTIF($G$2:$G3792,$G3792)=1,1,0)</f>
        <v>0</v>
      </c>
      <c r="E3792" s="67" t="str">
        <f>IFERROR(VLOOKUP(База_КР_КК[[#This Row],[ИД штатной должности (S)]],'уровень защищенности'!$B$7:$F$1095,5,0),"не защищена")</f>
        <v>средний</v>
      </c>
      <c r="F3792" s="68">
        <v>500392</v>
      </c>
      <c r="G3792" s="74" t="s">
        <v>3088</v>
      </c>
      <c r="H3792" s="181">
        <f>INDEX('Списки данных'!$D$2:$D$1048576,MATCH(База_КР_КК[[#This Row],[Структурное подразделение]],'Списки данных'!$C$2:$C$1048576,0))</f>
        <v>51</v>
      </c>
      <c r="I3792" s="80" t="s">
        <v>134</v>
      </c>
      <c r="J3792" s="80" t="s">
        <v>257</v>
      </c>
      <c r="K3792" s="80" t="s">
        <v>21</v>
      </c>
      <c r="L3792" s="30" t="s">
        <v>186</v>
      </c>
      <c r="M3792" s="68">
        <v>6</v>
      </c>
      <c r="N3792" s="181" t="str">
        <f t="shared" si="60"/>
        <v>да</v>
      </c>
      <c r="O3792" s="23">
        <v>44713</v>
      </c>
      <c r="P3792" s="23">
        <v>44986</v>
      </c>
      <c r="Q3792" s="106" t="s">
        <v>66</v>
      </c>
      <c r="R3792" s="37">
        <v>904</v>
      </c>
      <c r="S3792" s="37" t="s">
        <v>1313</v>
      </c>
      <c r="T3792" s="37">
        <v>914</v>
      </c>
      <c r="U3792" s="37" t="s">
        <v>1323</v>
      </c>
      <c r="V3792" s="69" t="s">
        <v>198</v>
      </c>
      <c r="W3792" s="89" t="s">
        <v>134</v>
      </c>
      <c r="X3792" s="106" t="s">
        <v>295</v>
      </c>
      <c r="Y3792" s="107" t="s">
        <v>18</v>
      </c>
      <c r="Z3792" s="67">
        <f>IF(База_КР_КК[[#This Row],[Таб.номер резервиста]]="-","-",IF(OR(База_КР_КК[[#This Row],[Уровень КК]]=2,База_КР_КК[[#This Row],[Уровень КК]]=3),IF(COUNTIFS($U$2:$U3792,$U3792,$F$2:$F3792,$F3792)=1,1,0),IF(COUNTIFS($U$2:$U3792,$U3792,$L$2:$L3792,$L3792)=1,1,0)))</f>
        <v>1</v>
      </c>
      <c r="AA37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92" s="106" t="s">
        <v>20</v>
      </c>
      <c r="AC3792" s="51">
        <v>44747</v>
      </c>
      <c r="AD3792" s="106" t="s">
        <v>13</v>
      </c>
      <c r="AE3792" s="38" t="s">
        <v>389</v>
      </c>
    </row>
    <row r="3793" spans="1:31" ht="18" customHeight="1" x14ac:dyDescent="0.25">
      <c r="A37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3" s="79">
        <v>4</v>
      </c>
      <c r="C3793" s="23">
        <v>44190</v>
      </c>
      <c r="D3793" s="67">
        <f>IF(COUNTIF($G$2:$G3793,$G3793)=1,1,0)</f>
        <v>1</v>
      </c>
      <c r="E3793" s="67" t="str">
        <f>IFERROR(VLOOKUP(База_КР_КК[[#This Row],[ИД штатной должности (S)]],'уровень защищенности'!$B$7:$F$1095,5,0),"не защищена")</f>
        <v>средний</v>
      </c>
      <c r="F3793" s="68">
        <v>500393</v>
      </c>
      <c r="G3793" s="74" t="s">
        <v>3089</v>
      </c>
      <c r="H3793" s="181">
        <f>INDEX('Списки данных'!$D$2:$D$1048576,MATCH(База_КР_КК[[#This Row],[Структурное подразделение]],'Списки данных'!$C$2:$C$1048576,0))</f>
        <v>51</v>
      </c>
      <c r="I3793" s="80" t="s">
        <v>134</v>
      </c>
      <c r="J3793" s="80" t="s">
        <v>257</v>
      </c>
      <c r="K3793" s="80" t="s">
        <v>260</v>
      </c>
      <c r="L3793" s="30" t="s">
        <v>198</v>
      </c>
      <c r="M3793" s="68">
        <v>7</v>
      </c>
      <c r="N3793" s="181" t="str">
        <f t="shared" si="60"/>
        <v>нет</v>
      </c>
      <c r="O3793" s="23"/>
      <c r="P3793" s="23"/>
      <c r="Q3793" s="106"/>
      <c r="R3793" s="37">
        <v>905</v>
      </c>
      <c r="S3793" s="37" t="s">
        <v>1314</v>
      </c>
      <c r="T3793" s="37">
        <v>907</v>
      </c>
      <c r="U3793" s="37" t="s">
        <v>1316</v>
      </c>
      <c r="V3793" s="89" t="s">
        <v>192</v>
      </c>
      <c r="W3793" s="89" t="s">
        <v>134</v>
      </c>
      <c r="X3793" s="106" t="s">
        <v>297</v>
      </c>
      <c r="Y3793" s="107" t="s">
        <v>12</v>
      </c>
      <c r="Z3793" s="67">
        <f>IF(База_КР_КК[[#This Row],[Таб.номер резервиста]]="-","-",IF(OR(База_КР_КК[[#This Row],[Уровень КК]]=2,База_КР_КК[[#This Row],[Уровень КК]]=3),IF(COUNTIFS($U$2:$U3793,$U3793,$F$2:$F3793,$F3793)=1,1,0),IF(COUNTIFS($U$2:$U3793,$U3793,$L$2:$L3793,$L3793)=1,1,0)))</f>
        <v>1</v>
      </c>
      <c r="AA37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93" s="106"/>
      <c r="AC3793" s="51"/>
      <c r="AD3793" s="106" t="s">
        <v>17</v>
      </c>
      <c r="AE3793" s="40" t="s">
        <v>390</v>
      </c>
    </row>
    <row r="3794" spans="1:31" ht="18" customHeight="1" x14ac:dyDescent="0.25">
      <c r="A37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4" s="79">
        <v>4</v>
      </c>
      <c r="C3794" s="23">
        <v>44190</v>
      </c>
      <c r="D3794" s="67">
        <f>IF(COUNTIF($G$2:$G3794,$G3794)=1,1,0)</f>
        <v>0</v>
      </c>
      <c r="E3794" s="67" t="str">
        <f>IFERROR(VLOOKUP(База_КР_КК[[#This Row],[ИД штатной должности (S)]],'уровень защищенности'!$B$7:$F$1095,5,0),"не защищена")</f>
        <v>средний</v>
      </c>
      <c r="F3794" s="68">
        <v>500393</v>
      </c>
      <c r="G3794" s="74" t="s">
        <v>3089</v>
      </c>
      <c r="H3794" s="181">
        <f>INDEX('Списки данных'!$D$2:$D$1048576,MATCH(База_КР_КК[[#This Row],[Структурное подразделение]],'Списки данных'!$C$2:$C$1048576,0))</f>
        <v>51</v>
      </c>
      <c r="I3794" s="80" t="s">
        <v>134</v>
      </c>
      <c r="J3794" s="80" t="s">
        <v>257</v>
      </c>
      <c r="K3794" s="80" t="s">
        <v>260</v>
      </c>
      <c r="L3794" s="30" t="s">
        <v>198</v>
      </c>
      <c r="M3794" s="68">
        <v>7</v>
      </c>
      <c r="N3794" s="181" t="str">
        <f t="shared" si="60"/>
        <v>нет</v>
      </c>
      <c r="O3794" s="23"/>
      <c r="P3794" s="23"/>
      <c r="Q3794" s="106"/>
      <c r="R3794" s="37">
        <v>905</v>
      </c>
      <c r="S3794" s="37" t="s">
        <v>1314</v>
      </c>
      <c r="T3794" s="37">
        <v>904</v>
      </c>
      <c r="U3794" s="37" t="s">
        <v>1313</v>
      </c>
      <c r="V3794" s="69" t="s">
        <v>192</v>
      </c>
      <c r="W3794" s="89" t="s">
        <v>134</v>
      </c>
      <c r="X3794" s="106" t="s">
        <v>295</v>
      </c>
      <c r="Y3794" s="107" t="s">
        <v>18</v>
      </c>
      <c r="Z3794" s="67">
        <f>IF(База_КР_КК[[#This Row],[Таб.номер резервиста]]="-","-",IF(OR(База_КР_КК[[#This Row],[Уровень КК]]=2,База_КР_КК[[#This Row],[Уровень КК]]=3),IF(COUNTIFS($U$2:$U3794,$U3794,$F$2:$F3794,$F3794)=1,1,0),IF(COUNTIFS($U$2:$U3794,$U3794,$L$2:$L3794,$L3794)=1,1,0)))</f>
        <v>1</v>
      </c>
      <c r="AA37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94" s="106" t="s">
        <v>34</v>
      </c>
      <c r="AC3794" s="51">
        <v>44986</v>
      </c>
      <c r="AD3794" s="106" t="s">
        <v>13</v>
      </c>
      <c r="AE3794" s="40" t="s">
        <v>390</v>
      </c>
    </row>
    <row r="3795" spans="1:31" ht="18" customHeight="1" x14ac:dyDescent="0.25">
      <c r="A37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5" s="79">
        <v>4</v>
      </c>
      <c r="C3795" s="23">
        <v>44190</v>
      </c>
      <c r="D3795" s="67">
        <f>IF(COUNTIF($G$2:$G3795,$G3795)=1,1,0)</f>
        <v>1</v>
      </c>
      <c r="E3795" s="67" t="str">
        <f>IFERROR(VLOOKUP(База_КР_КК[[#This Row],[ИД штатной должности (S)]],'уровень защищенности'!$B$7:$F$1095,5,0),"не защищена")</f>
        <v>средний</v>
      </c>
      <c r="F3795" s="68">
        <v>500394</v>
      </c>
      <c r="G3795" s="74" t="s">
        <v>3090</v>
      </c>
      <c r="H3795" s="181">
        <f>INDEX('Списки данных'!$D$2:$D$1048576,MATCH(База_КР_КК[[#This Row],[Структурное подразделение]],'Списки данных'!$C$2:$C$1048576,0))</f>
        <v>51</v>
      </c>
      <c r="I3795" s="80" t="s">
        <v>134</v>
      </c>
      <c r="J3795" s="80" t="s">
        <v>257</v>
      </c>
      <c r="K3795" s="80" t="s">
        <v>260</v>
      </c>
      <c r="L3795" s="30" t="s">
        <v>192</v>
      </c>
      <c r="M3795" s="68">
        <v>7</v>
      </c>
      <c r="N3795" s="181" t="str">
        <f t="shared" si="60"/>
        <v>да</v>
      </c>
      <c r="O3795" s="23">
        <v>44986</v>
      </c>
      <c r="P3795" s="23">
        <v>44995</v>
      </c>
      <c r="Q3795" s="106" t="s">
        <v>66</v>
      </c>
      <c r="R3795" s="37">
        <v>906</v>
      </c>
      <c r="S3795" s="37" t="s">
        <v>1315</v>
      </c>
      <c r="T3795" s="37">
        <v>2006</v>
      </c>
      <c r="U3795" s="37" t="s">
        <v>1868</v>
      </c>
      <c r="V3795" s="69" t="s">
        <v>272</v>
      </c>
      <c r="W3795" s="89" t="s">
        <v>134</v>
      </c>
      <c r="X3795" s="106" t="s">
        <v>296</v>
      </c>
      <c r="Y3795" s="107" t="s">
        <v>12</v>
      </c>
      <c r="Z3795" s="67">
        <f>IF(База_КР_КК[[#This Row],[Таб.номер резервиста]]="-","-",IF(OR(База_КР_КК[[#This Row],[Уровень КК]]=2,База_КР_КК[[#This Row],[Уровень КК]]=3),IF(COUNTIFS($U$2:$U3795,$U3795,$F$2:$F3795,$F3795)=1,1,0),IF(COUNTIFS($U$2:$U3795,$U3795,$L$2:$L3795,$L3795)=1,1,0)))</f>
        <v>0</v>
      </c>
      <c r="AA37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95" s="106"/>
      <c r="AC3795" s="51"/>
      <c r="AD3795" s="106" t="s">
        <v>13</v>
      </c>
      <c r="AE3795" s="40" t="s">
        <v>390</v>
      </c>
    </row>
    <row r="3796" spans="1:31" ht="18" customHeight="1" x14ac:dyDescent="0.25">
      <c r="A37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6" s="79">
        <v>4</v>
      </c>
      <c r="C3796" s="23">
        <v>44190</v>
      </c>
      <c r="D3796" s="67">
        <f>IF(COUNTIF($G$2:$G3796,$G3796)=1,1,0)</f>
        <v>0</v>
      </c>
      <c r="E3796" s="67" t="str">
        <f>IFERROR(VLOOKUP(База_КР_КК[[#This Row],[ИД штатной должности (S)]],'уровень защищенности'!$B$7:$F$1095,5,0),"не защищена")</f>
        <v>средний</v>
      </c>
      <c r="F3796" s="68">
        <v>500394</v>
      </c>
      <c r="G3796" s="74" t="s">
        <v>3090</v>
      </c>
      <c r="H3796" s="181">
        <f>INDEX('Списки данных'!$D$2:$D$1048576,MATCH(База_КР_КК[[#This Row],[Структурное подразделение]],'Списки данных'!$C$2:$C$1048576,0))</f>
        <v>51</v>
      </c>
      <c r="I3796" s="80" t="s">
        <v>134</v>
      </c>
      <c r="J3796" s="80" t="s">
        <v>257</v>
      </c>
      <c r="K3796" s="80" t="s">
        <v>260</v>
      </c>
      <c r="L3796" s="30" t="s">
        <v>192</v>
      </c>
      <c r="M3796" s="68">
        <v>7</v>
      </c>
      <c r="N3796" s="181" t="str">
        <f t="shared" si="60"/>
        <v>да</v>
      </c>
      <c r="O3796" s="23">
        <v>44986</v>
      </c>
      <c r="P3796" s="23">
        <v>44995</v>
      </c>
      <c r="Q3796" s="106" t="s">
        <v>66</v>
      </c>
      <c r="R3796" s="37">
        <v>906</v>
      </c>
      <c r="S3796" s="37" t="s">
        <v>1315</v>
      </c>
      <c r="T3796" s="37">
        <v>2007</v>
      </c>
      <c r="U3796" s="37" t="s">
        <v>2121</v>
      </c>
      <c r="V3796" s="69" t="s">
        <v>272</v>
      </c>
      <c r="W3796" s="89" t="s">
        <v>134</v>
      </c>
      <c r="X3796" s="106" t="s">
        <v>297</v>
      </c>
      <c r="Y3796" s="107" t="s">
        <v>12</v>
      </c>
      <c r="Z3796" s="67">
        <f>IF(База_КР_КК[[#This Row],[Таб.номер резервиста]]="-","-",IF(OR(База_КР_КК[[#This Row],[Уровень КК]]=2,База_КР_КК[[#This Row],[Уровень КК]]=3),IF(COUNTIFS($U$2:$U3796,$U3796,$F$2:$F3796,$F3796)=1,1,0),IF(COUNTIFS($U$2:$U3796,$U3796,$L$2:$L3796,$L3796)=1,1,0)))</f>
        <v>1</v>
      </c>
      <c r="AA37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96" s="106"/>
      <c r="AC3796" s="51"/>
      <c r="AD3796" s="106" t="s">
        <v>13</v>
      </c>
      <c r="AE3796" s="40" t="s">
        <v>390</v>
      </c>
    </row>
    <row r="3797" spans="1:31" ht="18" customHeight="1" x14ac:dyDescent="0.25">
      <c r="A37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7" s="79">
        <v>4</v>
      </c>
      <c r="C3797" s="23">
        <v>44896</v>
      </c>
      <c r="D3797" s="67">
        <f>IF(COUNTIF($G$2:$G3797,$G3797)=1,1,0)</f>
        <v>0</v>
      </c>
      <c r="E3797" s="67" t="str">
        <f>IFERROR(VLOOKUP(База_КР_КК[[#This Row],[ИД штатной должности (S)]],'уровень защищенности'!$B$7:$F$1095,5,0),"не защищена")</f>
        <v>средний</v>
      </c>
      <c r="F3797" s="68">
        <v>500394</v>
      </c>
      <c r="G3797" s="74" t="s">
        <v>3090</v>
      </c>
      <c r="H3797" s="181">
        <f>INDEX('Списки данных'!$D$2:$D$1048576,MATCH(База_КР_КК[[#This Row],[Структурное подразделение]],'Списки данных'!$C$2:$C$1048576,0))</f>
        <v>51</v>
      </c>
      <c r="I3797" s="80" t="s">
        <v>134</v>
      </c>
      <c r="J3797" s="80" t="s">
        <v>257</v>
      </c>
      <c r="K3797" s="80" t="s">
        <v>260</v>
      </c>
      <c r="L3797" s="30" t="s">
        <v>192</v>
      </c>
      <c r="M3797" s="68">
        <v>7</v>
      </c>
      <c r="N3797" s="181" t="str">
        <f t="shared" si="60"/>
        <v>да</v>
      </c>
      <c r="O3797" s="23">
        <v>44986</v>
      </c>
      <c r="P3797" s="23">
        <v>44995</v>
      </c>
      <c r="Q3797" s="106" t="s">
        <v>66</v>
      </c>
      <c r="R3797" s="37">
        <v>906</v>
      </c>
      <c r="S3797" s="37" t="s">
        <v>1315</v>
      </c>
      <c r="T3797" s="37">
        <v>2008</v>
      </c>
      <c r="U3797" s="37" t="s">
        <v>1839</v>
      </c>
      <c r="V3797" s="69" t="s">
        <v>272</v>
      </c>
      <c r="W3797" s="89" t="s">
        <v>134</v>
      </c>
      <c r="X3797" s="106" t="s">
        <v>296</v>
      </c>
      <c r="Y3797" s="107" t="s">
        <v>12</v>
      </c>
      <c r="Z3797" s="67">
        <f>IF(База_КР_КК[[#This Row],[Таб.номер резервиста]]="-","-",IF(OR(База_КР_КК[[#This Row],[Уровень КК]]=2,База_КР_КК[[#This Row],[Уровень КК]]=3),IF(COUNTIFS($U$2:$U3797,$U3797,$F$2:$F3797,$F3797)=1,1,0),IF(COUNTIFS($U$2:$U3797,$U3797,$L$2:$L3797,$L3797)=1,1,0)))</f>
        <v>0</v>
      </c>
      <c r="AA37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97" s="106"/>
      <c r="AC3797" s="51"/>
      <c r="AD3797" s="106" t="s">
        <v>15</v>
      </c>
      <c r="AE3797" s="40" t="s">
        <v>390</v>
      </c>
    </row>
    <row r="3798" spans="1:31" ht="18" customHeight="1" x14ac:dyDescent="0.25">
      <c r="A37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8" s="79">
        <v>4</v>
      </c>
      <c r="C3798" s="23">
        <v>44190</v>
      </c>
      <c r="D3798" s="67">
        <f>IF(COUNTIF($G$2:$G3798,$G3798)=1,1,0)</f>
        <v>0</v>
      </c>
      <c r="E3798" s="67" t="str">
        <f>IFERROR(VLOOKUP(База_КР_КК[[#This Row],[ИД штатной должности (S)]],'уровень защищенности'!$B$7:$F$1095,5,0),"не защищена")</f>
        <v>средний</v>
      </c>
      <c r="F3798" s="68">
        <v>500394</v>
      </c>
      <c r="G3798" s="74" t="s">
        <v>3090</v>
      </c>
      <c r="H3798" s="181">
        <f>INDEX('Списки данных'!$D$2:$D$1048576,MATCH(База_КР_КК[[#This Row],[Структурное подразделение]],'Списки данных'!$C$2:$C$1048576,0))</f>
        <v>51</v>
      </c>
      <c r="I3798" s="80" t="s">
        <v>134</v>
      </c>
      <c r="J3798" s="80" t="s">
        <v>257</v>
      </c>
      <c r="K3798" s="80" t="s">
        <v>260</v>
      </c>
      <c r="L3798" s="30" t="s">
        <v>192</v>
      </c>
      <c r="M3798" s="68">
        <v>7</v>
      </c>
      <c r="N3798" s="181" t="str">
        <f t="shared" si="60"/>
        <v>да</v>
      </c>
      <c r="O3798" s="23">
        <v>44986</v>
      </c>
      <c r="P3798" s="23">
        <v>44995</v>
      </c>
      <c r="Q3798" s="106" t="s">
        <v>66</v>
      </c>
      <c r="R3798" s="37">
        <v>906</v>
      </c>
      <c r="S3798" s="37" t="s">
        <v>1315</v>
      </c>
      <c r="T3798" s="37">
        <v>906</v>
      </c>
      <c r="U3798" s="37" t="s">
        <v>1315</v>
      </c>
      <c r="V3798" s="69" t="s">
        <v>192</v>
      </c>
      <c r="W3798" s="89" t="s">
        <v>134</v>
      </c>
      <c r="X3798" s="106" t="s">
        <v>295</v>
      </c>
      <c r="Y3798" s="107" t="s">
        <v>14</v>
      </c>
      <c r="Z3798" s="67">
        <f>IF(База_КР_КК[[#This Row],[Таб.номер резервиста]]="-","-",IF(OR(База_КР_КК[[#This Row],[Уровень КК]]=2,База_КР_КК[[#This Row],[Уровень КК]]=3),IF(COUNTIFS($U$2:$U3798,$U3798,$F$2:$F3798,$F3798)=1,1,0),IF(COUNTIFS($U$2:$U3798,$U3798,$L$2:$L3798,$L3798)=1,1,0)))</f>
        <v>1</v>
      </c>
      <c r="AA37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798" s="106" t="s">
        <v>24</v>
      </c>
      <c r="AC3798" s="51">
        <v>44995</v>
      </c>
      <c r="AD3798" s="106" t="s">
        <v>13</v>
      </c>
      <c r="AE3798" s="40" t="s">
        <v>390</v>
      </c>
    </row>
    <row r="3799" spans="1:31" ht="18" customHeight="1" x14ac:dyDescent="0.25">
      <c r="A37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799" s="79">
        <v>4</v>
      </c>
      <c r="C3799" s="23">
        <v>44190</v>
      </c>
      <c r="D3799" s="67">
        <f>IF(COUNTIF($G$2:$G3799,$G3799)=1,1,0)</f>
        <v>0</v>
      </c>
      <c r="E3799" s="67" t="str">
        <f>IFERROR(VLOOKUP(База_КР_КК[[#This Row],[ИД штатной должности (S)]],'уровень защищенности'!$B$7:$F$1095,5,0),"не защищена")</f>
        <v>средний</v>
      </c>
      <c r="F3799" s="68">
        <v>500394</v>
      </c>
      <c r="G3799" s="74" t="s">
        <v>3090</v>
      </c>
      <c r="H3799" s="181">
        <f>INDEX('Списки данных'!$D$2:$D$1048576,MATCH(База_КР_КК[[#This Row],[Структурное подразделение]],'Списки данных'!$C$2:$C$1048576,0))</f>
        <v>51</v>
      </c>
      <c r="I3799" s="80" t="s">
        <v>134</v>
      </c>
      <c r="J3799" s="80" t="s">
        <v>257</v>
      </c>
      <c r="K3799" s="80" t="s">
        <v>260</v>
      </c>
      <c r="L3799" s="30" t="s">
        <v>192</v>
      </c>
      <c r="M3799" s="68">
        <v>7</v>
      </c>
      <c r="N3799" s="181" t="str">
        <f t="shared" si="60"/>
        <v>да</v>
      </c>
      <c r="O3799" s="23">
        <v>44986</v>
      </c>
      <c r="P3799" s="23">
        <v>44995</v>
      </c>
      <c r="Q3799" s="106" t="s">
        <v>66</v>
      </c>
      <c r="R3799" s="37">
        <v>906</v>
      </c>
      <c r="S3799" s="37" t="s">
        <v>1315</v>
      </c>
      <c r="T3799" s="37">
        <v>1998</v>
      </c>
      <c r="U3799" s="37" t="s">
        <v>1955</v>
      </c>
      <c r="V3799" s="69" t="s">
        <v>272</v>
      </c>
      <c r="W3799" s="89" t="s">
        <v>134</v>
      </c>
      <c r="X3799" s="106" t="s">
        <v>296</v>
      </c>
      <c r="Y3799" s="107" t="s">
        <v>18</v>
      </c>
      <c r="Z3799" s="67">
        <f>IF(База_КР_КК[[#This Row],[Таб.номер резервиста]]="-","-",IF(OR(База_КР_КК[[#This Row],[Уровень КК]]=2,База_КР_КК[[#This Row],[Уровень КК]]=3),IF(COUNTIFS($U$2:$U3799,$U3799,$F$2:$F3799,$F3799)=1,1,0),IF(COUNTIFS($U$2:$U3799,$U3799,$L$2:$L3799,$L3799)=1,1,0)))</f>
        <v>1</v>
      </c>
      <c r="AA37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799" s="106" t="s">
        <v>20</v>
      </c>
      <c r="AC3799" s="51">
        <v>44896</v>
      </c>
      <c r="AD3799" s="106" t="s">
        <v>31</v>
      </c>
      <c r="AE3799" s="40" t="s">
        <v>390</v>
      </c>
    </row>
    <row r="3800" spans="1:31" ht="18" customHeight="1" x14ac:dyDescent="0.25">
      <c r="A38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0" s="79">
        <v>4</v>
      </c>
      <c r="C3800" s="23">
        <v>44190</v>
      </c>
      <c r="D3800" s="67">
        <f>IF(COUNTIF($G$2:$G3800,$G3800)=1,1,0)</f>
        <v>1</v>
      </c>
      <c r="E3800" s="67" t="str">
        <f>IFERROR(VLOOKUP(База_КР_КК[[#This Row],[ИД штатной должности (S)]],'уровень защищенности'!$B$7:$F$1095,5,0),"не защищена")</f>
        <v>средний</v>
      </c>
      <c r="F3800" s="68">
        <v>500395</v>
      </c>
      <c r="G3800" s="74" t="s">
        <v>3091</v>
      </c>
      <c r="H3800" s="181">
        <f>INDEX('Списки данных'!$D$2:$D$1048576,MATCH(База_КР_КК[[#This Row],[Структурное подразделение]],'Списки данных'!$C$2:$C$1048576,0))</f>
        <v>51</v>
      </c>
      <c r="I3800" s="80" t="s">
        <v>134</v>
      </c>
      <c r="J3800" s="80" t="s">
        <v>257</v>
      </c>
      <c r="K3800" s="80" t="s">
        <v>260</v>
      </c>
      <c r="L3800" s="30" t="s">
        <v>192</v>
      </c>
      <c r="M3800" s="68">
        <v>7</v>
      </c>
      <c r="N3800" s="181" t="str">
        <f t="shared" si="60"/>
        <v>нет</v>
      </c>
      <c r="O3800" s="23"/>
      <c r="P3800" s="23"/>
      <c r="Q3800" s="106"/>
      <c r="R3800" s="37">
        <v>907</v>
      </c>
      <c r="S3800" s="37" t="s">
        <v>1316</v>
      </c>
      <c r="T3800" s="37">
        <v>2006</v>
      </c>
      <c r="U3800" s="37" t="s">
        <v>1868</v>
      </c>
      <c r="V3800" s="69" t="s">
        <v>272</v>
      </c>
      <c r="W3800" s="89" t="s">
        <v>134</v>
      </c>
      <c r="X3800" s="106" t="s">
        <v>296</v>
      </c>
      <c r="Y3800" s="107" t="s">
        <v>12</v>
      </c>
      <c r="Z3800" s="67">
        <f>IF(База_КР_КК[[#This Row],[Таб.номер резервиста]]="-","-",IF(OR(База_КР_КК[[#This Row],[Уровень КК]]=2,База_КР_КК[[#This Row],[Уровень КК]]=3),IF(COUNTIFS($U$2:$U3800,$U3800,$F$2:$F3800,$F3800)=1,1,0),IF(COUNTIFS($U$2:$U3800,$U3800,$L$2:$L3800,$L3800)=1,1,0)))</f>
        <v>0</v>
      </c>
      <c r="AA38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0" s="106"/>
      <c r="AC3800" s="51"/>
      <c r="AD3800" s="106" t="s">
        <v>13</v>
      </c>
      <c r="AE3800" s="40" t="s">
        <v>390</v>
      </c>
    </row>
    <row r="3801" spans="1:31" ht="18" customHeight="1" x14ac:dyDescent="0.25">
      <c r="A38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1" s="79">
        <v>4</v>
      </c>
      <c r="C3801" s="23">
        <v>44190</v>
      </c>
      <c r="D3801" s="67">
        <f>IF(COUNTIF($G$2:$G3801,$G3801)=1,1,0)</f>
        <v>0</v>
      </c>
      <c r="E3801" s="67" t="str">
        <f>IFERROR(VLOOKUP(База_КР_КК[[#This Row],[ИД штатной должности (S)]],'уровень защищенности'!$B$7:$F$1095,5,0),"не защищена")</f>
        <v>средний</v>
      </c>
      <c r="F3801" s="68">
        <v>500395</v>
      </c>
      <c r="G3801" s="74" t="s">
        <v>3091</v>
      </c>
      <c r="H3801" s="181">
        <f>INDEX('Списки данных'!$D$2:$D$1048576,MATCH(База_КР_КК[[#This Row],[Структурное подразделение]],'Списки данных'!$C$2:$C$1048576,0))</f>
        <v>51</v>
      </c>
      <c r="I3801" s="80" t="s">
        <v>134</v>
      </c>
      <c r="J3801" s="80" t="s">
        <v>257</v>
      </c>
      <c r="K3801" s="80" t="s">
        <v>260</v>
      </c>
      <c r="L3801" s="30" t="s">
        <v>192</v>
      </c>
      <c r="M3801" s="68">
        <v>7</v>
      </c>
      <c r="N3801" s="181" t="str">
        <f t="shared" si="60"/>
        <v>нет</v>
      </c>
      <c r="O3801" s="23"/>
      <c r="P3801" s="23"/>
      <c r="Q3801" s="106"/>
      <c r="R3801" s="37">
        <v>907</v>
      </c>
      <c r="S3801" s="37" t="s">
        <v>1316</v>
      </c>
      <c r="T3801" s="37">
        <v>2007</v>
      </c>
      <c r="U3801" s="37" t="s">
        <v>2121</v>
      </c>
      <c r="V3801" s="69" t="s">
        <v>272</v>
      </c>
      <c r="W3801" s="89" t="s">
        <v>134</v>
      </c>
      <c r="X3801" s="106" t="s">
        <v>297</v>
      </c>
      <c r="Y3801" s="107" t="s">
        <v>12</v>
      </c>
      <c r="Z3801" s="67">
        <f>IF(База_КР_КК[[#This Row],[Таб.номер резервиста]]="-","-",IF(OR(База_КР_КК[[#This Row],[Уровень КК]]=2,База_КР_КК[[#This Row],[Уровень КК]]=3),IF(COUNTIFS($U$2:$U3801,$U3801,$F$2:$F3801,$F3801)=1,1,0),IF(COUNTIFS($U$2:$U3801,$U3801,$L$2:$L3801,$L3801)=1,1,0)))</f>
        <v>0</v>
      </c>
      <c r="AA38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1" s="106"/>
      <c r="AC3801" s="51"/>
      <c r="AD3801" s="106" t="s">
        <v>13</v>
      </c>
      <c r="AE3801" s="40" t="s">
        <v>390</v>
      </c>
    </row>
    <row r="3802" spans="1:31" ht="18" customHeight="1" x14ac:dyDescent="0.25">
      <c r="A38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2" s="79">
        <v>4</v>
      </c>
      <c r="C3802" s="23">
        <v>44896</v>
      </c>
      <c r="D3802" s="67">
        <f>IF(COUNTIF($G$2:$G3802,$G3802)=1,1,0)</f>
        <v>0</v>
      </c>
      <c r="E3802" s="67" t="str">
        <f>IFERROR(VLOOKUP(База_КР_КК[[#This Row],[ИД штатной должности (S)]],'уровень защищенности'!$B$7:$F$1095,5,0),"не защищена")</f>
        <v>средний</v>
      </c>
      <c r="F3802" s="68">
        <v>500395</v>
      </c>
      <c r="G3802" s="74" t="s">
        <v>3091</v>
      </c>
      <c r="H3802" s="181">
        <f>INDEX('Списки данных'!$D$2:$D$1048576,MATCH(База_КР_КК[[#This Row],[Структурное подразделение]],'Списки данных'!$C$2:$C$1048576,0))</f>
        <v>51</v>
      </c>
      <c r="I3802" s="80" t="s">
        <v>134</v>
      </c>
      <c r="J3802" s="80" t="s">
        <v>257</v>
      </c>
      <c r="K3802" s="80" t="s">
        <v>260</v>
      </c>
      <c r="L3802" s="30" t="s">
        <v>192</v>
      </c>
      <c r="M3802" s="68">
        <v>7</v>
      </c>
      <c r="N3802" s="181" t="str">
        <f t="shared" si="60"/>
        <v>нет</v>
      </c>
      <c r="O3802" s="23"/>
      <c r="P3802" s="23"/>
      <c r="Q3802" s="106"/>
      <c r="R3802" s="37">
        <v>907</v>
      </c>
      <c r="S3802" s="37" t="s">
        <v>1316</v>
      </c>
      <c r="T3802" s="37">
        <v>2008</v>
      </c>
      <c r="U3802" s="37" t="s">
        <v>1839</v>
      </c>
      <c r="V3802" s="69" t="s">
        <v>272</v>
      </c>
      <c r="W3802" s="89" t="s">
        <v>134</v>
      </c>
      <c r="X3802" s="106" t="s">
        <v>296</v>
      </c>
      <c r="Y3802" s="107" t="s">
        <v>12</v>
      </c>
      <c r="Z3802" s="67">
        <f>IF(База_КР_КК[[#This Row],[Таб.номер резервиста]]="-","-",IF(OR(База_КР_КК[[#This Row],[Уровень КК]]=2,База_КР_КК[[#This Row],[Уровень КК]]=3),IF(COUNTIFS($U$2:$U3802,$U3802,$F$2:$F3802,$F3802)=1,1,0),IF(COUNTIFS($U$2:$U3802,$U3802,$L$2:$L3802,$L3802)=1,1,0)))</f>
        <v>0</v>
      </c>
      <c r="AA38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2" s="106"/>
      <c r="AC3802" s="51"/>
      <c r="AD3802" s="106" t="s">
        <v>15</v>
      </c>
      <c r="AE3802" s="40" t="s">
        <v>390</v>
      </c>
    </row>
    <row r="3803" spans="1:31" ht="18" customHeight="1" x14ac:dyDescent="0.25">
      <c r="A38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3" s="79">
        <v>4</v>
      </c>
      <c r="C3803" s="23">
        <v>44190</v>
      </c>
      <c r="D3803" s="67">
        <f>IF(COUNTIF($G$2:$G3803,$G3803)=1,1,0)</f>
        <v>0</v>
      </c>
      <c r="E3803" s="67" t="str">
        <f>IFERROR(VLOOKUP(База_КР_КК[[#This Row],[ИД штатной должности (S)]],'уровень защищенности'!$B$7:$F$1095,5,0),"не защищена")</f>
        <v>средний</v>
      </c>
      <c r="F3803" s="68">
        <v>500395</v>
      </c>
      <c r="G3803" s="74" t="s">
        <v>3091</v>
      </c>
      <c r="H3803" s="181">
        <f>INDEX('Списки данных'!$D$2:$D$1048576,MATCH(База_КР_КК[[#This Row],[Структурное подразделение]],'Списки данных'!$C$2:$C$1048576,0))</f>
        <v>51</v>
      </c>
      <c r="I3803" s="80" t="s">
        <v>134</v>
      </c>
      <c r="J3803" s="80" t="s">
        <v>257</v>
      </c>
      <c r="K3803" s="80" t="s">
        <v>260</v>
      </c>
      <c r="L3803" s="30" t="s">
        <v>192</v>
      </c>
      <c r="M3803" s="68">
        <v>7</v>
      </c>
      <c r="N3803" s="181" t="str">
        <f t="shared" si="60"/>
        <v>нет</v>
      </c>
      <c r="O3803" s="23"/>
      <c r="P3803" s="23"/>
      <c r="Q3803" s="106"/>
      <c r="R3803" s="37">
        <v>907</v>
      </c>
      <c r="S3803" s="37" t="s">
        <v>1316</v>
      </c>
      <c r="T3803" s="37">
        <v>1998</v>
      </c>
      <c r="U3803" s="37" t="s">
        <v>1955</v>
      </c>
      <c r="V3803" s="69" t="s">
        <v>272</v>
      </c>
      <c r="W3803" s="89" t="s">
        <v>134</v>
      </c>
      <c r="X3803" s="106" t="s">
        <v>296</v>
      </c>
      <c r="Y3803" s="107" t="s">
        <v>18</v>
      </c>
      <c r="Z3803" s="67">
        <f>IF(База_КР_КК[[#This Row],[Таб.номер резервиста]]="-","-",IF(OR(База_КР_КК[[#This Row],[Уровень КК]]=2,База_КР_КК[[#This Row],[Уровень КК]]=3),IF(COUNTIFS($U$2:$U3803,$U3803,$F$2:$F3803,$F3803)=1,1,0),IF(COUNTIFS($U$2:$U3803,$U3803,$L$2:$L3803,$L3803)=1,1,0)))</f>
        <v>0</v>
      </c>
      <c r="AA38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3" s="106" t="s">
        <v>20</v>
      </c>
      <c r="AC3803" s="51">
        <v>44896</v>
      </c>
      <c r="AD3803" s="106" t="s">
        <v>31</v>
      </c>
      <c r="AE3803" s="40" t="s">
        <v>390</v>
      </c>
    </row>
    <row r="3804" spans="1:31" ht="18" customHeight="1" x14ac:dyDescent="0.25">
      <c r="A38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4" s="79">
        <v>4</v>
      </c>
      <c r="C3804" s="23">
        <v>44190</v>
      </c>
      <c r="D3804" s="67">
        <f>IF(COUNTIF($G$2:$G3804,$G3804)=1,1,0)</f>
        <v>0</v>
      </c>
      <c r="E3804" s="67" t="str">
        <f>IFERROR(VLOOKUP(База_КР_КК[[#This Row],[ИД штатной должности (S)]],'уровень защищенности'!$B$7:$F$1095,5,0),"не защищена")</f>
        <v>средний</v>
      </c>
      <c r="F3804" s="68">
        <v>500395</v>
      </c>
      <c r="G3804" s="74" t="s">
        <v>3091</v>
      </c>
      <c r="H3804" s="181">
        <f>INDEX('Списки данных'!$D$2:$D$1048576,MATCH(База_КР_КК[[#This Row],[Структурное подразделение]],'Списки данных'!$C$2:$C$1048576,0))</f>
        <v>51</v>
      </c>
      <c r="I3804" s="80" t="s">
        <v>134</v>
      </c>
      <c r="J3804" s="80" t="s">
        <v>257</v>
      </c>
      <c r="K3804" s="80" t="s">
        <v>260</v>
      </c>
      <c r="L3804" s="30" t="s">
        <v>192</v>
      </c>
      <c r="M3804" s="68">
        <v>7</v>
      </c>
      <c r="N3804" s="181" t="str">
        <f t="shared" si="60"/>
        <v>нет</v>
      </c>
      <c r="O3804" s="23"/>
      <c r="P3804" s="23"/>
      <c r="Q3804" s="106"/>
      <c r="R3804" s="37">
        <v>907</v>
      </c>
      <c r="S3804" s="37" t="s">
        <v>1316</v>
      </c>
      <c r="T3804" s="37">
        <v>906</v>
      </c>
      <c r="U3804" s="37" t="s">
        <v>1315</v>
      </c>
      <c r="V3804" s="69" t="s">
        <v>192</v>
      </c>
      <c r="W3804" s="89" t="s">
        <v>134</v>
      </c>
      <c r="X3804" s="106" t="s">
        <v>295</v>
      </c>
      <c r="Y3804" s="107" t="s">
        <v>18</v>
      </c>
      <c r="Z3804" s="67">
        <f>IF(База_КР_КК[[#This Row],[Таб.номер резервиста]]="-","-",IF(OR(База_КР_КК[[#This Row],[Уровень КК]]=2,База_КР_КК[[#This Row],[Уровень КК]]=3),IF(COUNTIFS($U$2:$U3804,$U3804,$F$2:$F3804,$F3804)=1,1,0),IF(COUNTIFS($U$2:$U3804,$U3804,$L$2:$L3804,$L3804)=1,1,0)))</f>
        <v>0</v>
      </c>
      <c r="AA38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4" s="106" t="s">
        <v>37</v>
      </c>
      <c r="AC3804" s="51">
        <v>44995</v>
      </c>
      <c r="AD3804" s="106" t="s">
        <v>13</v>
      </c>
      <c r="AE3804" s="40" t="s">
        <v>390</v>
      </c>
    </row>
    <row r="3805" spans="1:31" ht="18" customHeight="1" x14ac:dyDescent="0.25">
      <c r="A38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5" s="79">
        <v>4</v>
      </c>
      <c r="C3805" s="23">
        <v>44896</v>
      </c>
      <c r="D3805" s="67">
        <f>IF(COUNTIF($G$2:$G3805,$G3805)=1,1,0)</f>
        <v>1</v>
      </c>
      <c r="E3805" s="67" t="str">
        <f>IFERROR(VLOOKUP(База_КР_КК[[#This Row],[ИД штатной должности (S)]],'уровень защищенности'!$B$7:$F$1095,5,0),"не защищена")</f>
        <v>низкий</v>
      </c>
      <c r="F3805" s="68">
        <v>500396</v>
      </c>
      <c r="G3805" s="74" t="s">
        <v>3092</v>
      </c>
      <c r="H3805" s="181">
        <f>INDEX('Списки данных'!$D$2:$D$1048576,MATCH(База_КР_КК[[#This Row],[Структурное подразделение]],'Списки данных'!$C$2:$C$1048576,0))</f>
        <v>51</v>
      </c>
      <c r="I3805" s="80" t="s">
        <v>134</v>
      </c>
      <c r="J3805" s="80" t="s">
        <v>257</v>
      </c>
      <c r="K3805" s="80" t="s">
        <v>260</v>
      </c>
      <c r="L3805" s="30" t="s">
        <v>198</v>
      </c>
      <c r="M3805" s="68">
        <v>7</v>
      </c>
      <c r="N3805" s="181" t="str">
        <f t="shared" si="60"/>
        <v>нет</v>
      </c>
      <c r="O3805" s="23"/>
      <c r="P3805" s="23"/>
      <c r="Q3805" s="106"/>
      <c r="R3805" s="37">
        <v>908</v>
      </c>
      <c r="S3805" s="37" t="s">
        <v>1317</v>
      </c>
      <c r="T3805" s="37">
        <v>2009</v>
      </c>
      <c r="U3805" s="37" t="s">
        <v>2096</v>
      </c>
      <c r="V3805" s="69" t="s">
        <v>272</v>
      </c>
      <c r="W3805" s="89" t="s">
        <v>134</v>
      </c>
      <c r="X3805" s="106" t="s">
        <v>296</v>
      </c>
      <c r="Y3805" s="107" t="s">
        <v>12</v>
      </c>
      <c r="Z3805" s="67">
        <f>IF(База_КР_КК[[#This Row],[Таб.номер резервиста]]="-","-",IF(OR(База_КР_КК[[#This Row],[Уровень КК]]=2,База_КР_КК[[#This Row],[Уровень КК]]=3),IF(COUNTIFS($U$2:$U3805,$U3805,$F$2:$F3805,$F3805)=1,1,0),IF(COUNTIFS($U$2:$U3805,$U3805,$L$2:$L3805,$L3805)=1,1,0)))</f>
        <v>0</v>
      </c>
      <c r="AA38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5" s="106"/>
      <c r="AC3805" s="51"/>
      <c r="AD3805" s="106" t="s">
        <v>15</v>
      </c>
      <c r="AE3805" s="40" t="s">
        <v>390</v>
      </c>
    </row>
    <row r="3806" spans="1:31" ht="18" customHeight="1" x14ac:dyDescent="0.25">
      <c r="A38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6" s="79">
        <v>4</v>
      </c>
      <c r="C3806" s="23">
        <v>44190</v>
      </c>
      <c r="D3806" s="67">
        <f>IF(COUNTIF($G$2:$G3806,$G3806)=1,1,0)</f>
        <v>0</v>
      </c>
      <c r="E3806" s="67" t="str">
        <f>IFERROR(VLOOKUP(База_КР_КК[[#This Row],[ИД штатной должности (S)]],'уровень защищенности'!$B$7:$F$1095,5,0),"не защищена")</f>
        <v>низкий</v>
      </c>
      <c r="F3806" s="68">
        <v>500396</v>
      </c>
      <c r="G3806" s="74" t="s">
        <v>3092</v>
      </c>
      <c r="H3806" s="181">
        <f>INDEX('Списки данных'!$D$2:$D$1048576,MATCH(База_КР_КК[[#This Row],[Структурное подразделение]],'Списки данных'!$C$2:$C$1048576,0))</f>
        <v>51</v>
      </c>
      <c r="I3806" s="80" t="s">
        <v>134</v>
      </c>
      <c r="J3806" s="80" t="s">
        <v>257</v>
      </c>
      <c r="K3806" s="80" t="s">
        <v>260</v>
      </c>
      <c r="L3806" s="30" t="s">
        <v>198</v>
      </c>
      <c r="M3806" s="68">
        <v>7</v>
      </c>
      <c r="N3806" s="181" t="str">
        <f t="shared" si="60"/>
        <v>нет</v>
      </c>
      <c r="O3806" s="23"/>
      <c r="P3806" s="23"/>
      <c r="Q3806" s="106"/>
      <c r="R3806" s="37">
        <v>908</v>
      </c>
      <c r="S3806" s="37" t="s">
        <v>1317</v>
      </c>
      <c r="T3806" s="37">
        <v>2010</v>
      </c>
      <c r="U3806" s="37" t="s">
        <v>2045</v>
      </c>
      <c r="V3806" s="69" t="s">
        <v>272</v>
      </c>
      <c r="W3806" s="89" t="s">
        <v>134</v>
      </c>
      <c r="X3806" s="106" t="s">
        <v>297</v>
      </c>
      <c r="Y3806" s="107" t="s">
        <v>18</v>
      </c>
      <c r="Z3806" s="67">
        <f>IF(База_КР_КК[[#This Row],[Таб.номер резервиста]]="-","-",IF(OR(База_КР_КК[[#This Row],[Уровень КК]]=2,База_КР_КК[[#This Row],[Уровень КК]]=3),IF(COUNTIFS($U$2:$U3806,$U3806,$F$2:$F3806,$F3806)=1,1,0),IF(COUNTIFS($U$2:$U3806,$U3806,$L$2:$L3806,$L3806)=1,1,0)))</f>
        <v>1</v>
      </c>
      <c r="AA38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6" s="106" t="s">
        <v>20</v>
      </c>
      <c r="AC3806" s="51">
        <v>44603</v>
      </c>
      <c r="AD3806" s="106" t="s">
        <v>15</v>
      </c>
      <c r="AE3806" s="38" t="s">
        <v>394</v>
      </c>
    </row>
    <row r="3807" spans="1:31" ht="18" customHeight="1" x14ac:dyDescent="0.25">
      <c r="A38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7" s="79">
        <v>4</v>
      </c>
      <c r="C3807" s="23">
        <v>44190</v>
      </c>
      <c r="D3807" s="67">
        <f>IF(COUNTIF($G$2:$G3807,$G3807)=1,1,0)</f>
        <v>1</v>
      </c>
      <c r="E3807" s="67" t="str">
        <f>IFERROR(VLOOKUP(База_КР_КК[[#This Row],[ИД штатной должности (S)]],'уровень защищенности'!$B$7:$F$1095,5,0),"не защищена")</f>
        <v>низкий</v>
      </c>
      <c r="F3807" s="68">
        <v>500397</v>
      </c>
      <c r="G3807" s="74" t="s">
        <v>3093</v>
      </c>
      <c r="H3807" s="181">
        <f>INDEX('Списки данных'!$D$2:$D$1048576,MATCH(База_КР_КК[[#This Row],[Структурное подразделение]],'Списки данных'!$C$2:$C$1048576,0))</f>
        <v>51</v>
      </c>
      <c r="I3807" s="80" t="s">
        <v>134</v>
      </c>
      <c r="J3807" s="80" t="s">
        <v>257</v>
      </c>
      <c r="K3807" s="80" t="s">
        <v>260</v>
      </c>
      <c r="L3807" s="30" t="s">
        <v>192</v>
      </c>
      <c r="M3807" s="68">
        <v>7</v>
      </c>
      <c r="N3807" s="181" t="str">
        <f t="shared" si="60"/>
        <v>нет</v>
      </c>
      <c r="O3807" s="23"/>
      <c r="P3807" s="23"/>
      <c r="Q3807" s="106"/>
      <c r="R3807" s="37">
        <v>909</v>
      </c>
      <c r="S3807" s="37" t="s">
        <v>1318</v>
      </c>
      <c r="T3807" s="37">
        <v>2011</v>
      </c>
      <c r="U3807" s="37" t="s">
        <v>1900</v>
      </c>
      <c r="V3807" s="69" t="s">
        <v>272</v>
      </c>
      <c r="W3807" s="89" t="s">
        <v>134</v>
      </c>
      <c r="X3807" s="106" t="s">
        <v>296</v>
      </c>
      <c r="Y3807" s="107" t="s">
        <v>12</v>
      </c>
      <c r="Z3807" s="67">
        <f>IF(База_КР_КК[[#This Row],[Таб.номер резервиста]]="-","-",IF(OR(База_КР_КК[[#This Row],[Уровень КК]]=2,База_КР_КК[[#This Row],[Уровень КК]]=3),IF(COUNTIFS($U$2:$U3807,$U3807,$F$2:$F3807,$F3807)=1,1,0),IF(COUNTIFS($U$2:$U3807,$U3807,$L$2:$L3807,$L3807)=1,1,0)))</f>
        <v>1</v>
      </c>
      <c r="AA38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7" s="106"/>
      <c r="AC3807" s="51"/>
      <c r="AD3807" s="106" t="s">
        <v>13</v>
      </c>
      <c r="AE3807" s="40" t="s">
        <v>390</v>
      </c>
    </row>
    <row r="3808" spans="1:31" ht="18" customHeight="1" x14ac:dyDescent="0.25">
      <c r="A38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8" s="79">
        <v>3</v>
      </c>
      <c r="C3808" s="23">
        <v>44190</v>
      </c>
      <c r="D3808" s="67">
        <f>IF(COUNTIF($G$2:$G3808,$G3808)=1,1,0)</f>
        <v>1</v>
      </c>
      <c r="E3808" s="67" t="str">
        <f>IFERROR(VLOOKUP(База_КР_КК[[#This Row],[ИД штатной должности (S)]],'уровень защищенности'!$B$7:$F$1095,5,0),"не защищена")</f>
        <v>высокий</v>
      </c>
      <c r="F3808" s="68">
        <v>500398</v>
      </c>
      <c r="G3808" s="74" t="s">
        <v>3094</v>
      </c>
      <c r="H3808" s="181">
        <f>INDEX('Списки данных'!$D$2:$D$1048576,MATCH(База_КР_КК[[#This Row],[Структурное подразделение]],'Списки данных'!$C$2:$C$1048576,0))</f>
        <v>51</v>
      </c>
      <c r="I3808" s="80" t="s">
        <v>134</v>
      </c>
      <c r="J3808" s="80" t="s">
        <v>257</v>
      </c>
      <c r="K3808" s="80" t="s">
        <v>21</v>
      </c>
      <c r="L3808" s="30" t="s">
        <v>186</v>
      </c>
      <c r="M3808" s="68">
        <v>6</v>
      </c>
      <c r="N3808" s="181" t="str">
        <f t="shared" si="60"/>
        <v>нет</v>
      </c>
      <c r="O3808" s="23"/>
      <c r="P3808" s="23"/>
      <c r="Q3808" s="106"/>
      <c r="R3808" s="37">
        <v>910</v>
      </c>
      <c r="S3808" s="37" t="s">
        <v>1319</v>
      </c>
      <c r="T3808" s="37">
        <v>912</v>
      </c>
      <c r="U3808" s="37" t="s">
        <v>1321</v>
      </c>
      <c r="V3808" s="89" t="s">
        <v>198</v>
      </c>
      <c r="W3808" s="89" t="s">
        <v>134</v>
      </c>
      <c r="X3808" s="106" t="s">
        <v>295</v>
      </c>
      <c r="Y3808" s="107" t="s">
        <v>12</v>
      </c>
      <c r="Z3808" s="67">
        <f>IF(База_КР_КК[[#This Row],[Таб.номер резервиста]]="-","-",IF(OR(База_КР_КК[[#This Row],[Уровень КК]]=2,База_КР_КК[[#This Row],[Уровень КК]]=3),IF(COUNTIFS($U$2:$U3808,$U3808,$F$2:$F3808,$F3808)=1,1,0),IF(COUNTIFS($U$2:$U3808,$U3808,$L$2:$L3808,$L3808)=1,1,0)))</f>
        <v>1</v>
      </c>
      <c r="AA38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8" s="106"/>
      <c r="AC3808" s="51"/>
      <c r="AD3808" s="106" t="s">
        <v>13</v>
      </c>
      <c r="AE3808" s="38" t="s">
        <v>389</v>
      </c>
    </row>
    <row r="3809" spans="1:31" ht="18" customHeight="1" x14ac:dyDescent="0.25">
      <c r="A38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09" s="79">
        <v>4</v>
      </c>
      <c r="C3809" s="23">
        <v>44190</v>
      </c>
      <c r="D3809" s="67">
        <f>IF(COUNTIF($G$2:$G3809,$G3809)=1,1,0)</f>
        <v>1</v>
      </c>
      <c r="E3809" s="67" t="str">
        <f>IFERROR(VLOOKUP(База_КР_КК[[#This Row],[ИД штатной должности (S)]],'уровень защищенности'!$B$7:$F$1095,5,0),"не защищена")</f>
        <v>высокий</v>
      </c>
      <c r="F3809" s="68">
        <v>500399</v>
      </c>
      <c r="G3809" s="74" t="s">
        <v>3095</v>
      </c>
      <c r="H3809" s="181">
        <f>INDEX('Списки данных'!$D$2:$D$1048576,MATCH(База_КР_КК[[#This Row],[Структурное подразделение]],'Списки данных'!$C$2:$C$1048576,0))</f>
        <v>51</v>
      </c>
      <c r="I3809" s="80" t="s">
        <v>134</v>
      </c>
      <c r="J3809" s="80" t="s">
        <v>257</v>
      </c>
      <c r="K3809" s="80" t="s">
        <v>21</v>
      </c>
      <c r="L3809" s="30" t="s">
        <v>192</v>
      </c>
      <c r="M3809" s="68">
        <v>7</v>
      </c>
      <c r="N3809" s="181" t="str">
        <f t="shared" si="60"/>
        <v>нет</v>
      </c>
      <c r="O3809" s="23"/>
      <c r="P3809" s="23"/>
      <c r="Q3809" s="106"/>
      <c r="R3809" s="37">
        <v>911</v>
      </c>
      <c r="S3809" s="37" t="s">
        <v>1320</v>
      </c>
      <c r="T3809" s="37">
        <v>2012</v>
      </c>
      <c r="U3809" s="37" t="s">
        <v>2090</v>
      </c>
      <c r="V3809" s="69" t="s">
        <v>272</v>
      </c>
      <c r="W3809" s="89" t="s">
        <v>134</v>
      </c>
      <c r="X3809" s="106" t="s">
        <v>295</v>
      </c>
      <c r="Y3809" s="107" t="s">
        <v>12</v>
      </c>
      <c r="Z3809" s="67">
        <f>IF(База_КР_КК[[#This Row],[Таб.номер резервиста]]="-","-",IF(OR(База_КР_КК[[#This Row],[Уровень КК]]=2,База_КР_КК[[#This Row],[Уровень КК]]=3),IF(COUNTIFS($U$2:$U3809,$U3809,$F$2:$F3809,$F3809)=1,1,0),IF(COUNTIFS($U$2:$U3809,$U3809,$L$2:$L3809,$L3809)=1,1,0)))</f>
        <v>0</v>
      </c>
      <c r="AA38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09" s="106"/>
      <c r="AC3809" s="51"/>
      <c r="AD3809" s="106" t="s">
        <v>17</v>
      </c>
      <c r="AE3809" s="40" t="s">
        <v>390</v>
      </c>
    </row>
    <row r="3810" spans="1:31" ht="18" customHeight="1" x14ac:dyDescent="0.25">
      <c r="A38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0" s="79">
        <v>4</v>
      </c>
      <c r="C3810" s="23">
        <v>44190</v>
      </c>
      <c r="D3810" s="67">
        <f>IF(COUNTIF($G$2:$G3810,$G3810)=1,1,0)</f>
        <v>0</v>
      </c>
      <c r="E3810" s="67" t="str">
        <f>IFERROR(VLOOKUP(База_КР_КК[[#This Row],[ИД штатной должности (S)]],'уровень защищенности'!$B$7:$F$1095,5,0),"не защищена")</f>
        <v>высокий</v>
      </c>
      <c r="F3810" s="68">
        <v>500399</v>
      </c>
      <c r="G3810" s="74" t="s">
        <v>3095</v>
      </c>
      <c r="H3810" s="181">
        <f>INDEX('Списки данных'!$D$2:$D$1048576,MATCH(База_КР_КК[[#This Row],[Структурное подразделение]],'Списки данных'!$C$2:$C$1048576,0))</f>
        <v>51</v>
      </c>
      <c r="I3810" s="80" t="s">
        <v>134</v>
      </c>
      <c r="J3810" s="80" t="s">
        <v>257</v>
      </c>
      <c r="K3810" s="80" t="s">
        <v>21</v>
      </c>
      <c r="L3810" s="30" t="s">
        <v>192</v>
      </c>
      <c r="M3810" s="68">
        <v>7</v>
      </c>
      <c r="N3810" s="181" t="str">
        <f t="shared" si="60"/>
        <v>нет</v>
      </c>
      <c r="O3810" s="23"/>
      <c r="P3810" s="23"/>
      <c r="Q3810" s="106"/>
      <c r="R3810" s="37">
        <v>911</v>
      </c>
      <c r="S3810" s="37" t="s">
        <v>1320</v>
      </c>
      <c r="T3810" s="37">
        <v>2013</v>
      </c>
      <c r="U3810" s="37" t="s">
        <v>1582</v>
      </c>
      <c r="V3810" s="69" t="s">
        <v>272</v>
      </c>
      <c r="W3810" s="89" t="s">
        <v>134</v>
      </c>
      <c r="X3810" s="106" t="s">
        <v>296</v>
      </c>
      <c r="Y3810" s="107" t="s">
        <v>18</v>
      </c>
      <c r="Z3810" s="67">
        <f>IF(База_КР_КК[[#This Row],[Таб.номер резервиста]]="-","-",IF(OR(База_КР_КК[[#This Row],[Уровень КК]]=2,База_КР_КК[[#This Row],[Уровень КК]]=3),IF(COUNTIFS($U$2:$U3810,$U3810,$F$2:$F3810,$F3810)=1,1,0),IF(COUNTIFS($U$2:$U3810,$U3810,$L$2:$L3810,$L3810)=1,1,0)))</f>
        <v>0</v>
      </c>
      <c r="AA38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0" s="106" t="s">
        <v>20</v>
      </c>
      <c r="AC3810" s="51">
        <v>44511</v>
      </c>
      <c r="AD3810" s="106" t="s">
        <v>15</v>
      </c>
      <c r="AE3810" s="38" t="s">
        <v>394</v>
      </c>
    </row>
    <row r="3811" spans="1:31" ht="18" customHeight="1" x14ac:dyDescent="0.25">
      <c r="A38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1" s="79">
        <v>4</v>
      </c>
      <c r="C3811" s="23">
        <v>44190</v>
      </c>
      <c r="D3811" s="67">
        <f>IF(COUNTIF($G$2:$G3811,$G3811)=1,1,0)</f>
        <v>1</v>
      </c>
      <c r="E3811" s="67" t="str">
        <f>IFERROR(VLOOKUP(База_КР_КК[[#This Row],[ИД штатной должности (S)]],'уровень защищенности'!$B$7:$F$1095,5,0),"не защищена")</f>
        <v>высокий</v>
      </c>
      <c r="F3811" s="68">
        <v>500400</v>
      </c>
      <c r="G3811" s="74" t="s">
        <v>3096</v>
      </c>
      <c r="H3811" s="181">
        <f>INDEX('Списки данных'!$D$2:$D$1048576,MATCH(База_КР_КК[[#This Row],[Структурное подразделение]],'Списки данных'!$C$2:$C$1048576,0))</f>
        <v>51</v>
      </c>
      <c r="I3811" s="80" t="s">
        <v>134</v>
      </c>
      <c r="J3811" s="80" t="s">
        <v>257</v>
      </c>
      <c r="K3811" s="80" t="s">
        <v>260</v>
      </c>
      <c r="L3811" s="30" t="s">
        <v>198</v>
      </c>
      <c r="M3811" s="68">
        <v>7</v>
      </c>
      <c r="N3811" s="181" t="str">
        <f t="shared" si="60"/>
        <v>нет</v>
      </c>
      <c r="O3811" s="23"/>
      <c r="P3811" s="23"/>
      <c r="Q3811" s="106"/>
      <c r="R3811" s="37">
        <v>912</v>
      </c>
      <c r="S3811" s="37" t="s">
        <v>1321</v>
      </c>
      <c r="T3811" s="37">
        <v>911</v>
      </c>
      <c r="U3811" s="37" t="s">
        <v>1320</v>
      </c>
      <c r="V3811" s="89" t="s">
        <v>192</v>
      </c>
      <c r="W3811" s="89" t="s">
        <v>134</v>
      </c>
      <c r="X3811" s="106" t="s">
        <v>295</v>
      </c>
      <c r="Y3811" s="107" t="s">
        <v>12</v>
      </c>
      <c r="Z3811" s="67">
        <f>IF(База_КР_КК[[#This Row],[Таб.номер резервиста]]="-","-",IF(OR(База_КР_КК[[#This Row],[Уровень КК]]=2,База_КР_КК[[#This Row],[Уровень КК]]=3),IF(COUNTIFS($U$2:$U3811,$U3811,$F$2:$F3811,$F3811)=1,1,0),IF(COUNTIFS($U$2:$U3811,$U3811,$L$2:$L3811,$L3811)=1,1,0)))</f>
        <v>1</v>
      </c>
      <c r="AA38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1" s="106"/>
      <c r="AC3811" s="51"/>
      <c r="AD3811" s="106" t="s">
        <v>13</v>
      </c>
      <c r="AE3811" s="40" t="s">
        <v>390</v>
      </c>
    </row>
    <row r="3812" spans="1:31" ht="18" customHeight="1" x14ac:dyDescent="0.25">
      <c r="A38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2" s="79">
        <v>4</v>
      </c>
      <c r="C3812" s="23">
        <v>44190</v>
      </c>
      <c r="D3812" s="67">
        <f>IF(COUNTIF($G$2:$G3812,$G3812)=1,1,0)</f>
        <v>1</v>
      </c>
      <c r="E3812" s="67" t="str">
        <f>IFERROR(VLOOKUP(База_КР_КК[[#This Row],[ИД штатной должности (S)]],'уровень защищенности'!$B$7:$F$1095,5,0),"не защищена")</f>
        <v>высокий</v>
      </c>
      <c r="F3812" s="68">
        <v>500401</v>
      </c>
      <c r="G3812" s="74" t="s">
        <v>3097</v>
      </c>
      <c r="H3812" s="181">
        <f>INDEX('Списки данных'!$D$2:$D$1048576,MATCH(База_КР_КК[[#This Row],[Структурное подразделение]],'Списки данных'!$C$2:$C$1048576,0))</f>
        <v>51</v>
      </c>
      <c r="I3812" s="80" t="s">
        <v>134</v>
      </c>
      <c r="J3812" s="80" t="s">
        <v>257</v>
      </c>
      <c r="K3812" s="80" t="s">
        <v>260</v>
      </c>
      <c r="L3812" s="30" t="s">
        <v>192</v>
      </c>
      <c r="M3812" s="68">
        <v>7</v>
      </c>
      <c r="N3812" s="181" t="str">
        <f t="shared" si="60"/>
        <v>нет</v>
      </c>
      <c r="O3812" s="23"/>
      <c r="P3812" s="23"/>
      <c r="Q3812" s="106"/>
      <c r="R3812" s="37">
        <v>913</v>
      </c>
      <c r="S3812" s="37" t="s">
        <v>1322</v>
      </c>
      <c r="T3812" s="37">
        <v>2014</v>
      </c>
      <c r="U3812" s="37" t="s">
        <v>1981</v>
      </c>
      <c r="V3812" s="69" t="s">
        <v>272</v>
      </c>
      <c r="W3812" s="89" t="s">
        <v>134</v>
      </c>
      <c r="X3812" s="106" t="s">
        <v>295</v>
      </c>
      <c r="Y3812" s="107" t="s">
        <v>12</v>
      </c>
      <c r="Z3812" s="67">
        <f>IF(База_КР_КК[[#This Row],[Таб.номер резервиста]]="-","-",IF(OR(База_КР_КК[[#This Row],[Уровень КК]]=2,База_КР_КК[[#This Row],[Уровень КК]]=3),IF(COUNTIFS($U$2:$U3812,$U3812,$F$2:$F3812,$F3812)=1,1,0),IF(COUNTIFS($U$2:$U3812,$U3812,$L$2:$L3812,$L3812)=1,1,0)))</f>
        <v>0</v>
      </c>
      <c r="AA38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2" s="106"/>
      <c r="AC3812" s="51"/>
      <c r="AD3812" s="106" t="s">
        <v>13</v>
      </c>
      <c r="AE3812" s="40" t="s">
        <v>390</v>
      </c>
    </row>
    <row r="3813" spans="1:31" ht="18" customHeight="1" x14ac:dyDescent="0.25">
      <c r="A38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3" s="79">
        <v>4</v>
      </c>
      <c r="C3813" s="23">
        <v>44896</v>
      </c>
      <c r="D3813" s="67">
        <f>IF(COUNTIF($G$2:$G3813,$G3813)=1,1,0)</f>
        <v>0</v>
      </c>
      <c r="E3813" s="67" t="str">
        <f>IFERROR(VLOOKUP(База_КР_КК[[#This Row],[ИД штатной должности (S)]],'уровень защищенности'!$B$7:$F$1095,5,0),"не защищена")</f>
        <v>высокий</v>
      </c>
      <c r="F3813" s="68">
        <v>500401</v>
      </c>
      <c r="G3813" s="74" t="s">
        <v>3097</v>
      </c>
      <c r="H3813" s="181">
        <f>INDEX('Списки данных'!$D$2:$D$1048576,MATCH(База_КР_КК[[#This Row],[Структурное подразделение]],'Списки данных'!$C$2:$C$1048576,0))</f>
        <v>51</v>
      </c>
      <c r="I3813" s="80" t="s">
        <v>134</v>
      </c>
      <c r="J3813" s="80" t="s">
        <v>257</v>
      </c>
      <c r="K3813" s="80" t="s">
        <v>260</v>
      </c>
      <c r="L3813" s="30" t="s">
        <v>192</v>
      </c>
      <c r="M3813" s="68">
        <v>7</v>
      </c>
      <c r="N3813" s="181" t="str">
        <f t="shared" si="60"/>
        <v>нет</v>
      </c>
      <c r="O3813" s="23"/>
      <c r="P3813" s="23"/>
      <c r="Q3813" s="106"/>
      <c r="R3813" s="37">
        <v>913</v>
      </c>
      <c r="S3813" s="37" t="s">
        <v>1322</v>
      </c>
      <c r="T3813" s="37">
        <v>2015</v>
      </c>
      <c r="U3813" s="37" t="s">
        <v>1839</v>
      </c>
      <c r="V3813" s="69" t="s">
        <v>272</v>
      </c>
      <c r="W3813" s="89" t="s">
        <v>134</v>
      </c>
      <c r="X3813" s="106" t="s">
        <v>296</v>
      </c>
      <c r="Y3813" s="107" t="s">
        <v>12</v>
      </c>
      <c r="Z3813" s="67">
        <f>IF(База_КР_КК[[#This Row],[Таб.номер резервиста]]="-","-",IF(OR(База_КР_КК[[#This Row],[Уровень КК]]=2,База_КР_КК[[#This Row],[Уровень КК]]=3),IF(COUNTIFS($U$2:$U3813,$U3813,$F$2:$F3813,$F3813)=1,1,0),IF(COUNTIFS($U$2:$U3813,$U3813,$L$2:$L3813,$L3813)=1,1,0)))</f>
        <v>0</v>
      </c>
      <c r="AA38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3" s="106"/>
      <c r="AC3813" s="51"/>
      <c r="AD3813" s="106" t="s">
        <v>15</v>
      </c>
      <c r="AE3813" s="40" t="s">
        <v>390</v>
      </c>
    </row>
    <row r="3814" spans="1:31" ht="18" customHeight="1" x14ac:dyDescent="0.25">
      <c r="A38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4" s="79">
        <v>4</v>
      </c>
      <c r="C3814" s="23">
        <v>44190</v>
      </c>
      <c r="D3814" s="67">
        <f>IF(COUNTIF($G$2:$G3814,$G3814)=1,1,0)</f>
        <v>1</v>
      </c>
      <c r="E3814" s="67" t="str">
        <f>IFERROR(VLOOKUP(База_КР_КК[[#This Row],[ИД штатной должности (S)]],'уровень защищенности'!$B$7:$F$1095,5,0),"не защищена")</f>
        <v>высокий</v>
      </c>
      <c r="F3814" s="68">
        <v>500402</v>
      </c>
      <c r="G3814" s="74" t="s">
        <v>3098</v>
      </c>
      <c r="H3814" s="181">
        <f>INDEX('Списки данных'!$D$2:$D$1048576,MATCH(База_КР_КК[[#This Row],[Структурное подразделение]],'Списки данных'!$C$2:$C$1048576,0))</f>
        <v>51</v>
      </c>
      <c r="I3814" s="80" t="s">
        <v>134</v>
      </c>
      <c r="J3814" s="80" t="s">
        <v>257</v>
      </c>
      <c r="K3814" s="80" t="s">
        <v>260</v>
      </c>
      <c r="L3814" s="30" t="s">
        <v>198</v>
      </c>
      <c r="M3814" s="68">
        <v>7</v>
      </c>
      <c r="N3814" s="181" t="str">
        <f t="shared" si="60"/>
        <v>нет</v>
      </c>
      <c r="O3814" s="23"/>
      <c r="P3814" s="23"/>
      <c r="Q3814" s="106"/>
      <c r="R3814" s="37">
        <v>914</v>
      </c>
      <c r="S3814" s="37" t="s">
        <v>1323</v>
      </c>
      <c r="T3814" s="37">
        <v>915</v>
      </c>
      <c r="U3814" s="37" t="s">
        <v>1324</v>
      </c>
      <c r="V3814" s="89" t="s">
        <v>192</v>
      </c>
      <c r="W3814" s="89" t="s">
        <v>134</v>
      </c>
      <c r="X3814" s="106" t="s">
        <v>295</v>
      </c>
      <c r="Y3814" s="107" t="s">
        <v>12</v>
      </c>
      <c r="Z3814" s="67">
        <f>IF(База_КР_КК[[#This Row],[Таб.номер резервиста]]="-","-",IF(OR(База_КР_КК[[#This Row],[Уровень КК]]=2,База_КР_КК[[#This Row],[Уровень КК]]=3),IF(COUNTIFS($U$2:$U3814,$U3814,$F$2:$F3814,$F3814)=1,1,0),IF(COUNTIFS($U$2:$U3814,$U3814,$L$2:$L3814,$L3814)=1,1,0)))</f>
        <v>1</v>
      </c>
      <c r="AA38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4" s="106"/>
      <c r="AC3814" s="51"/>
      <c r="AD3814" s="106" t="s">
        <v>17</v>
      </c>
      <c r="AE3814" s="40" t="s">
        <v>390</v>
      </c>
    </row>
    <row r="3815" spans="1:31" ht="18" customHeight="1" x14ac:dyDescent="0.25">
      <c r="A38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5" s="79">
        <v>4</v>
      </c>
      <c r="C3815" s="23">
        <v>44190</v>
      </c>
      <c r="D3815" s="67">
        <f>IF(COUNTIF($G$2:$G3815,$G3815)=1,1,0)</f>
        <v>1</v>
      </c>
      <c r="E3815" s="67" t="str">
        <f>IFERROR(VLOOKUP(База_КР_КК[[#This Row],[ИД штатной должности (S)]],'уровень защищенности'!$B$7:$F$1095,5,0),"не защищена")</f>
        <v>низкий</v>
      </c>
      <c r="F3815" s="68">
        <v>500403</v>
      </c>
      <c r="G3815" s="74" t="s">
        <v>3099</v>
      </c>
      <c r="H3815" s="181">
        <f>INDEX('Списки данных'!$D$2:$D$1048576,MATCH(База_КР_КК[[#This Row],[Структурное подразделение]],'Списки данных'!$C$2:$C$1048576,0))</f>
        <v>51</v>
      </c>
      <c r="I3815" s="80" t="s">
        <v>134</v>
      </c>
      <c r="J3815" s="80" t="s">
        <v>257</v>
      </c>
      <c r="K3815" s="80" t="s">
        <v>260</v>
      </c>
      <c r="L3815" s="30" t="s">
        <v>192</v>
      </c>
      <c r="M3815" s="68">
        <v>7</v>
      </c>
      <c r="N3815" s="181" t="str">
        <f t="shared" si="60"/>
        <v>нет</v>
      </c>
      <c r="O3815" s="23"/>
      <c r="P3815" s="23"/>
      <c r="Q3815" s="106"/>
      <c r="R3815" s="37">
        <v>915</v>
      </c>
      <c r="S3815" s="37" t="s">
        <v>1324</v>
      </c>
      <c r="T3815" s="37">
        <v>2016</v>
      </c>
      <c r="U3815" s="37" t="s">
        <v>2122</v>
      </c>
      <c r="V3815" s="69" t="s">
        <v>272</v>
      </c>
      <c r="W3815" s="89" t="s">
        <v>273</v>
      </c>
      <c r="X3815" s="106" t="s">
        <v>296</v>
      </c>
      <c r="Y3815" s="107" t="s">
        <v>12</v>
      </c>
      <c r="Z3815" s="67">
        <f>IF(База_КР_КК[[#This Row],[Таб.номер резервиста]]="-","-",IF(OR(База_КР_КК[[#This Row],[Уровень КК]]=2,База_КР_КК[[#This Row],[Уровень КК]]=3),IF(COUNTIFS($U$2:$U3815,$U3815,$F$2:$F3815,$F3815)=1,1,0),IF(COUNTIFS($U$2:$U3815,$U3815,$L$2:$L3815,$L3815)=1,1,0)))</f>
        <v>1</v>
      </c>
      <c r="AA38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5" s="106"/>
      <c r="AC3815" s="51"/>
      <c r="AD3815" s="106" t="s">
        <v>13</v>
      </c>
      <c r="AE3815" s="40" t="s">
        <v>390</v>
      </c>
    </row>
    <row r="3816" spans="1:31" ht="18" customHeight="1" x14ac:dyDescent="0.25">
      <c r="A38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6" s="79">
        <v>4</v>
      </c>
      <c r="C3816" s="23">
        <v>44190</v>
      </c>
      <c r="D3816" s="67">
        <f>IF(COUNTIF($G$2:$G3816,$G3816)=1,1,0)</f>
        <v>0</v>
      </c>
      <c r="E3816" s="67" t="str">
        <f>IFERROR(VLOOKUP(База_КР_КК[[#This Row],[ИД штатной должности (S)]],'уровень защищенности'!$B$7:$F$1095,5,0),"не защищена")</f>
        <v>низкий</v>
      </c>
      <c r="F3816" s="68">
        <v>500403</v>
      </c>
      <c r="G3816" s="74" t="s">
        <v>3099</v>
      </c>
      <c r="H3816" s="181">
        <f>INDEX('Списки данных'!$D$2:$D$1048576,MATCH(База_КР_КК[[#This Row],[Структурное подразделение]],'Списки данных'!$C$2:$C$1048576,0))</f>
        <v>51</v>
      </c>
      <c r="I3816" s="80" t="s">
        <v>134</v>
      </c>
      <c r="J3816" s="80" t="s">
        <v>257</v>
      </c>
      <c r="K3816" s="80" t="s">
        <v>260</v>
      </c>
      <c r="L3816" s="30" t="s">
        <v>192</v>
      </c>
      <c r="M3816" s="68">
        <v>7</v>
      </c>
      <c r="N3816" s="181" t="str">
        <f t="shared" si="60"/>
        <v>нет</v>
      </c>
      <c r="O3816" s="23"/>
      <c r="P3816" s="23"/>
      <c r="Q3816" s="106"/>
      <c r="R3816" s="37">
        <v>915</v>
      </c>
      <c r="S3816" s="37" t="s">
        <v>1324</v>
      </c>
      <c r="T3816" s="37">
        <v>2017</v>
      </c>
      <c r="U3816" s="37" t="s">
        <v>2059</v>
      </c>
      <c r="V3816" s="69" t="s">
        <v>272</v>
      </c>
      <c r="W3816" s="89" t="s">
        <v>134</v>
      </c>
      <c r="X3816" s="106" t="s">
        <v>296</v>
      </c>
      <c r="Y3816" s="107" t="s">
        <v>12</v>
      </c>
      <c r="Z3816" s="67">
        <f>IF(База_КР_КК[[#This Row],[Таб.номер резервиста]]="-","-",IF(OR(База_КР_КК[[#This Row],[Уровень КК]]=2,База_КР_КК[[#This Row],[Уровень КК]]=3),IF(COUNTIFS($U$2:$U3816,$U3816,$F$2:$F3816,$F3816)=1,1,0),IF(COUNTIFS($U$2:$U3816,$U3816,$L$2:$L3816,$L3816)=1,1,0)))</f>
        <v>0</v>
      </c>
      <c r="AA38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6" s="106"/>
      <c r="AC3816" s="51"/>
      <c r="AD3816" s="106" t="s">
        <v>13</v>
      </c>
      <c r="AE3816" s="40" t="s">
        <v>390</v>
      </c>
    </row>
    <row r="3817" spans="1:31" ht="18" customHeight="1" x14ac:dyDescent="0.25">
      <c r="A38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7" s="79">
        <v>4</v>
      </c>
      <c r="C3817" s="23">
        <v>44190</v>
      </c>
      <c r="D3817" s="67">
        <f>IF(COUNTIF($G$2:$G3817,$G3817)=1,1,0)</f>
        <v>0</v>
      </c>
      <c r="E3817" s="67" t="str">
        <f>IFERROR(VLOOKUP(База_КР_КК[[#This Row],[ИД штатной должности (S)]],'уровень защищенности'!$B$7:$F$1095,5,0),"не защищена")</f>
        <v>низкий</v>
      </c>
      <c r="F3817" s="68">
        <v>500403</v>
      </c>
      <c r="G3817" s="74" t="s">
        <v>3099</v>
      </c>
      <c r="H3817" s="181">
        <f>INDEX('Списки данных'!$D$2:$D$1048576,MATCH(База_КР_КК[[#This Row],[Структурное подразделение]],'Списки данных'!$C$2:$C$1048576,0))</f>
        <v>51</v>
      </c>
      <c r="I3817" s="80" t="s">
        <v>134</v>
      </c>
      <c r="J3817" s="80" t="s">
        <v>257</v>
      </c>
      <c r="K3817" s="80" t="s">
        <v>260</v>
      </c>
      <c r="L3817" s="30" t="s">
        <v>192</v>
      </c>
      <c r="M3817" s="68">
        <v>7</v>
      </c>
      <c r="N3817" s="181" t="str">
        <f t="shared" si="60"/>
        <v>нет</v>
      </c>
      <c r="O3817" s="23"/>
      <c r="P3817" s="23"/>
      <c r="Q3817" s="106"/>
      <c r="R3817" s="37">
        <v>915</v>
      </c>
      <c r="S3817" s="37" t="s">
        <v>1324</v>
      </c>
      <c r="T3817" s="37">
        <v>2018</v>
      </c>
      <c r="U3817" s="37" t="s">
        <v>2123</v>
      </c>
      <c r="V3817" s="69" t="s">
        <v>272</v>
      </c>
      <c r="W3817" s="89" t="s">
        <v>134</v>
      </c>
      <c r="X3817" s="106" t="s">
        <v>295</v>
      </c>
      <c r="Y3817" s="107" t="s">
        <v>18</v>
      </c>
      <c r="Z3817" s="67">
        <f>IF(База_КР_КК[[#This Row],[Таб.номер резервиста]]="-","-",IF(OR(База_КР_КК[[#This Row],[Уровень КК]]=2,База_КР_КК[[#This Row],[Уровень КК]]=3),IF(COUNTIFS($U$2:$U3817,$U3817,$F$2:$F3817,$F3817)=1,1,0),IF(COUNTIFS($U$2:$U3817,$U3817,$L$2:$L3817,$L3817)=1,1,0)))</f>
        <v>1</v>
      </c>
      <c r="AA38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7" s="106" t="s">
        <v>38</v>
      </c>
      <c r="AC3817" s="51">
        <v>44896</v>
      </c>
      <c r="AD3817" s="106" t="s">
        <v>31</v>
      </c>
      <c r="AE3817" s="40" t="s">
        <v>390</v>
      </c>
    </row>
    <row r="3818" spans="1:31" ht="18" customHeight="1" x14ac:dyDescent="0.25">
      <c r="A38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8" s="79">
        <v>3</v>
      </c>
      <c r="C3818" s="23">
        <v>44190</v>
      </c>
      <c r="D3818" s="67">
        <f>IF(COUNTIF($G$2:$G3818,$G3818)=1,1,0)</f>
        <v>1</v>
      </c>
      <c r="E3818" s="67" t="str">
        <f>IFERROR(VLOOKUP(База_КР_КК[[#This Row],[ИД штатной должности (S)]],'уровень защищенности'!$B$7:$F$1095,5,0),"не защищена")</f>
        <v>высокий</v>
      </c>
      <c r="F3818" s="68">
        <v>500404</v>
      </c>
      <c r="G3818" s="74" t="s">
        <v>3100</v>
      </c>
      <c r="H3818" s="181">
        <f>INDEX('Списки данных'!$D$2:$D$1048576,MATCH(База_КР_КК[[#This Row],[Структурное подразделение]],'Списки данных'!$C$2:$C$1048576,0))</f>
        <v>51</v>
      </c>
      <c r="I3818" s="80" t="s">
        <v>134</v>
      </c>
      <c r="J3818" s="80" t="s">
        <v>257</v>
      </c>
      <c r="K3818" s="80" t="s">
        <v>21</v>
      </c>
      <c r="L3818" s="30" t="s">
        <v>186</v>
      </c>
      <c r="M3818" s="68">
        <v>6</v>
      </c>
      <c r="N3818" s="181" t="str">
        <f t="shared" si="60"/>
        <v>нет</v>
      </c>
      <c r="O3818" s="23"/>
      <c r="P3818" s="23"/>
      <c r="Q3818" s="106"/>
      <c r="R3818" s="37">
        <v>916</v>
      </c>
      <c r="S3818" s="37" t="s">
        <v>1325</v>
      </c>
      <c r="T3818" s="37">
        <v>917</v>
      </c>
      <c r="U3818" s="37" t="s">
        <v>1326</v>
      </c>
      <c r="V3818" s="89" t="s">
        <v>192</v>
      </c>
      <c r="W3818" s="89" t="s">
        <v>134</v>
      </c>
      <c r="X3818" s="106" t="s">
        <v>295</v>
      </c>
      <c r="Y3818" s="107" t="s">
        <v>12</v>
      </c>
      <c r="Z3818" s="67">
        <f>IF(База_КР_КК[[#This Row],[Таб.номер резервиста]]="-","-",IF(OR(База_КР_КК[[#This Row],[Уровень КК]]=2,База_КР_КК[[#This Row],[Уровень КК]]=3),IF(COUNTIFS($U$2:$U3818,$U3818,$F$2:$F3818,$F3818)=1,1,0),IF(COUNTIFS($U$2:$U3818,$U3818,$L$2:$L3818,$L3818)=1,1,0)))</f>
        <v>1</v>
      </c>
      <c r="AA38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8" s="106"/>
      <c r="AC3818" s="51"/>
      <c r="AD3818" s="106" t="s">
        <v>13</v>
      </c>
      <c r="AE3818" s="38" t="s">
        <v>389</v>
      </c>
    </row>
    <row r="3819" spans="1:31" ht="18" customHeight="1" x14ac:dyDescent="0.25">
      <c r="A38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19" s="79">
        <v>4</v>
      </c>
      <c r="C3819" s="23">
        <v>44190</v>
      </c>
      <c r="D3819" s="67">
        <f>IF(COUNTIF($G$2:$G3819,$G3819)=1,1,0)</f>
        <v>1</v>
      </c>
      <c r="E3819" s="67" t="str">
        <f>IFERROR(VLOOKUP(База_КР_КК[[#This Row],[ИД штатной должности (S)]],'уровень защищенности'!$B$7:$F$1095,5,0),"не защищена")</f>
        <v>средний</v>
      </c>
      <c r="F3819" s="68">
        <v>500405</v>
      </c>
      <c r="G3819" s="74" t="s">
        <v>3101</v>
      </c>
      <c r="H3819" s="181">
        <f>INDEX('Списки данных'!$D$2:$D$1048576,MATCH(База_КР_КК[[#This Row],[Структурное подразделение]],'Списки данных'!$C$2:$C$1048576,0))</f>
        <v>51</v>
      </c>
      <c r="I3819" s="80" t="s">
        <v>134</v>
      </c>
      <c r="J3819" s="80" t="s">
        <v>257</v>
      </c>
      <c r="K3819" s="80" t="s">
        <v>21</v>
      </c>
      <c r="L3819" s="82" t="s">
        <v>192</v>
      </c>
      <c r="M3819" s="68">
        <v>7</v>
      </c>
      <c r="N3819" s="181" t="str">
        <f t="shared" si="60"/>
        <v>нет</v>
      </c>
      <c r="O3819" s="23"/>
      <c r="P3819" s="23"/>
      <c r="Q3819" s="106"/>
      <c r="R3819" s="37">
        <v>917</v>
      </c>
      <c r="S3819" s="37" t="s">
        <v>1326</v>
      </c>
      <c r="T3819" s="37">
        <v>2019</v>
      </c>
      <c r="U3819" s="37" t="s">
        <v>1956</v>
      </c>
      <c r="V3819" s="69" t="s">
        <v>272</v>
      </c>
      <c r="W3819" s="89" t="s">
        <v>134</v>
      </c>
      <c r="X3819" s="106" t="s">
        <v>297</v>
      </c>
      <c r="Y3819" s="107" t="s">
        <v>12</v>
      </c>
      <c r="Z3819" s="67">
        <f>IF(База_КР_КК[[#This Row],[Таб.номер резервиста]]="-","-",IF(OR(База_КР_КК[[#This Row],[Уровень КК]]=2,База_КР_КК[[#This Row],[Уровень КК]]=3),IF(COUNTIFS($U$2:$U3819,$U3819,$F$2:$F3819,$F3819)=1,1,0),IF(COUNTIFS($U$2:$U3819,$U3819,$L$2:$L3819,$L3819)=1,1,0)))</f>
        <v>0</v>
      </c>
      <c r="AA38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19" s="106"/>
      <c r="AC3819" s="51"/>
      <c r="AD3819" s="106" t="s">
        <v>17</v>
      </c>
      <c r="AE3819" s="40" t="s">
        <v>390</v>
      </c>
    </row>
    <row r="3820" spans="1:31" ht="18" customHeight="1" x14ac:dyDescent="0.25">
      <c r="A38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0" s="79">
        <v>4</v>
      </c>
      <c r="C3820" s="23">
        <v>44190</v>
      </c>
      <c r="D3820" s="67">
        <f>IF(COUNTIF($G$2:$G3820,$G3820)=1,1,0)</f>
        <v>1</v>
      </c>
      <c r="E3820" s="67" t="str">
        <f>IFERROR(VLOOKUP(База_КР_КК[[#This Row],[ИД штатной должности (S)]],'уровень защищенности'!$B$7:$F$1095,5,0),"не защищена")</f>
        <v>высокий</v>
      </c>
      <c r="F3820" s="68">
        <v>500406</v>
      </c>
      <c r="G3820" s="74" t="s">
        <v>3102</v>
      </c>
      <c r="H3820" s="181">
        <f>INDEX('Списки данных'!$D$2:$D$1048576,MATCH(База_КР_КК[[#This Row],[Структурное подразделение]],'Списки данных'!$C$2:$C$1048576,0))</f>
        <v>51</v>
      </c>
      <c r="I3820" s="80" t="s">
        <v>134</v>
      </c>
      <c r="J3820" s="80" t="s">
        <v>257</v>
      </c>
      <c r="K3820" s="80" t="s">
        <v>260</v>
      </c>
      <c r="L3820" s="82" t="s">
        <v>192</v>
      </c>
      <c r="M3820" s="68">
        <v>7</v>
      </c>
      <c r="N3820" s="181" t="str">
        <f t="shared" si="60"/>
        <v>нет</v>
      </c>
      <c r="O3820" s="23"/>
      <c r="P3820" s="23"/>
      <c r="Q3820" s="106"/>
      <c r="R3820" s="37">
        <v>918</v>
      </c>
      <c r="S3820" s="37" t="s">
        <v>1327</v>
      </c>
      <c r="T3820" s="37">
        <v>2005</v>
      </c>
      <c r="U3820" s="37" t="s">
        <v>2090</v>
      </c>
      <c r="V3820" s="69" t="s">
        <v>272</v>
      </c>
      <c r="W3820" s="89" t="s">
        <v>134</v>
      </c>
      <c r="X3820" s="106" t="s">
        <v>295</v>
      </c>
      <c r="Y3820" s="107" t="s">
        <v>12</v>
      </c>
      <c r="Z3820" s="67">
        <f>IF(База_КР_КК[[#This Row],[Таб.номер резервиста]]="-","-",IF(OR(База_КР_КК[[#This Row],[Уровень КК]]=2,База_КР_КК[[#This Row],[Уровень КК]]=3),IF(COUNTIFS($U$2:$U3820,$U3820,$F$2:$F3820,$F3820)=1,1,0),IF(COUNTIFS($U$2:$U3820,$U3820,$L$2:$L3820,$L3820)=1,1,0)))</f>
        <v>0</v>
      </c>
      <c r="AA38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0" s="106"/>
      <c r="AC3820" s="51"/>
      <c r="AD3820" s="106" t="s">
        <v>17</v>
      </c>
      <c r="AE3820" s="40" t="s">
        <v>390</v>
      </c>
    </row>
    <row r="3821" spans="1:31" ht="18" customHeight="1" x14ac:dyDescent="0.25">
      <c r="A38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1" s="79">
        <v>4</v>
      </c>
      <c r="C3821" s="23">
        <v>44190</v>
      </c>
      <c r="D3821" s="67">
        <f>IF(COUNTIF($G$2:$G3821,$G3821)=1,1,0)</f>
        <v>0</v>
      </c>
      <c r="E3821" s="67" t="str">
        <f>IFERROR(VLOOKUP(База_КР_КК[[#This Row],[ИД штатной должности (S)]],'уровень защищенности'!$B$7:$F$1095,5,0),"не защищена")</f>
        <v>высокий</v>
      </c>
      <c r="F3821" s="68">
        <v>500406</v>
      </c>
      <c r="G3821" s="74" t="s">
        <v>3102</v>
      </c>
      <c r="H3821" s="181">
        <f>INDEX('Списки данных'!$D$2:$D$1048576,MATCH(База_КР_КК[[#This Row],[Структурное подразделение]],'Списки данных'!$C$2:$C$1048576,0))</f>
        <v>51</v>
      </c>
      <c r="I3821" s="80" t="s">
        <v>134</v>
      </c>
      <c r="J3821" s="80" t="s">
        <v>257</v>
      </c>
      <c r="K3821" s="80" t="s">
        <v>260</v>
      </c>
      <c r="L3821" s="82" t="s">
        <v>192</v>
      </c>
      <c r="M3821" s="68">
        <v>7</v>
      </c>
      <c r="N3821" s="181" t="str">
        <f t="shared" si="60"/>
        <v>нет</v>
      </c>
      <c r="O3821" s="23"/>
      <c r="P3821" s="23"/>
      <c r="Q3821" s="106"/>
      <c r="R3821" s="37">
        <v>918</v>
      </c>
      <c r="S3821" s="37" t="s">
        <v>1327</v>
      </c>
      <c r="T3821" s="37">
        <v>2004</v>
      </c>
      <c r="U3821" s="37" t="s">
        <v>1997</v>
      </c>
      <c r="V3821" s="69" t="s">
        <v>272</v>
      </c>
      <c r="W3821" s="89" t="s">
        <v>134</v>
      </c>
      <c r="X3821" s="106" t="s">
        <v>296</v>
      </c>
      <c r="Y3821" s="107" t="s">
        <v>18</v>
      </c>
      <c r="Z3821" s="67">
        <f>IF(База_КР_КК[[#This Row],[Таб.номер резервиста]]="-","-",IF(OR(База_КР_КК[[#This Row],[Уровень КК]]=2,База_КР_КК[[#This Row],[Уровень КК]]=3),IF(COUNTIFS($U$2:$U3821,$U3821,$F$2:$F3821,$F3821)=1,1,0),IF(COUNTIFS($U$2:$U3821,$U3821,$L$2:$L3821,$L3821)=1,1,0)))</f>
        <v>0</v>
      </c>
      <c r="AA38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1" s="106" t="s">
        <v>38</v>
      </c>
      <c r="AC3821" s="51">
        <v>44896</v>
      </c>
      <c r="AD3821" s="106" t="s">
        <v>31</v>
      </c>
      <c r="AE3821" s="40" t="s">
        <v>390</v>
      </c>
    </row>
    <row r="3822" spans="1:31" ht="18" customHeight="1" x14ac:dyDescent="0.25">
      <c r="A38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2" s="79">
        <v>3</v>
      </c>
      <c r="C3822" s="23">
        <v>43455</v>
      </c>
      <c r="D3822" s="67">
        <f>IF(COUNTIF($G$2:$G3822,$G3822)=1,1,0)</f>
        <v>1</v>
      </c>
      <c r="E3822" s="67" t="str">
        <f>IFERROR(VLOOKUP(База_КР_КК[[#This Row],[ИД штатной должности (S)]],'уровень защищенности'!$B$7:$F$1095,5,0),"не защищена")</f>
        <v>высокий</v>
      </c>
      <c r="F3822" s="68">
        <v>500407</v>
      </c>
      <c r="G3822" s="74" t="s">
        <v>3103</v>
      </c>
      <c r="H3822" s="181">
        <f>INDEX('Списки данных'!$D$2:$D$1048576,MATCH(База_КР_КК[[#This Row],[Структурное подразделение]],'Списки данных'!$C$2:$C$1048576,0))</f>
        <v>63</v>
      </c>
      <c r="I3822" s="80" t="s">
        <v>175</v>
      </c>
      <c r="J3822" s="80" t="s">
        <v>261</v>
      </c>
      <c r="K3822" s="80" t="s">
        <v>21</v>
      </c>
      <c r="L3822" s="30" t="s">
        <v>183</v>
      </c>
      <c r="M3822" s="68">
        <v>5</v>
      </c>
      <c r="N3822" s="181" t="str">
        <f t="shared" si="60"/>
        <v>нет</v>
      </c>
      <c r="O3822" s="23"/>
      <c r="P3822" s="23"/>
      <c r="Q3822" s="106"/>
      <c r="R3822" s="37">
        <v>919</v>
      </c>
      <c r="S3822" s="39" t="s">
        <v>1328</v>
      </c>
      <c r="T3822" s="37">
        <v>943</v>
      </c>
      <c r="U3822" s="38" t="s">
        <v>1352</v>
      </c>
      <c r="V3822" s="69" t="s">
        <v>186</v>
      </c>
      <c r="W3822" s="89" t="s">
        <v>175</v>
      </c>
      <c r="X3822" s="106" t="s">
        <v>295</v>
      </c>
      <c r="Y3822" s="107" t="s">
        <v>12</v>
      </c>
      <c r="Z3822" s="67">
        <f>IF(База_КР_КК[[#This Row],[Таб.номер резервиста]]="-","-",IF(OR(База_КР_КК[[#This Row],[Уровень КК]]=2,База_КР_КК[[#This Row],[Уровень КК]]=3),IF(COUNTIFS($U$2:$U3822,$U3822,$F$2:$F3822,$F3822)=1,1,0),IF(COUNTIFS($U$2:$U3822,$U3822,$L$2:$L3822,$L3822)=1,1,0)))</f>
        <v>1</v>
      </c>
      <c r="AA38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2" s="106"/>
      <c r="AC3822" s="51"/>
      <c r="AD3822" s="106" t="s">
        <v>13</v>
      </c>
      <c r="AE3822" s="38" t="s">
        <v>369</v>
      </c>
    </row>
    <row r="3823" spans="1:31" ht="18" customHeight="1" x14ac:dyDescent="0.25">
      <c r="A38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3" s="79">
        <v>3</v>
      </c>
      <c r="C3823" s="23">
        <v>43855</v>
      </c>
      <c r="D3823" s="67">
        <f>IF(COUNTIF($G$2:$G3823,$G3823)=1,1,0)</f>
        <v>0</v>
      </c>
      <c r="E3823" s="67" t="str">
        <f>IFERROR(VLOOKUP(База_КР_КК[[#This Row],[ИД штатной должности (S)]],'уровень защищенности'!$B$7:$F$1095,5,0),"не защищена")</f>
        <v>высокий</v>
      </c>
      <c r="F3823" s="68">
        <v>500407</v>
      </c>
      <c r="G3823" s="74" t="s">
        <v>3103</v>
      </c>
      <c r="H3823" s="181">
        <f>INDEX('Списки данных'!$D$2:$D$1048576,MATCH(База_КР_КК[[#This Row],[Структурное подразделение]],'Списки данных'!$C$2:$C$1048576,0))</f>
        <v>63</v>
      </c>
      <c r="I3823" s="80" t="s">
        <v>175</v>
      </c>
      <c r="J3823" s="80" t="s">
        <v>261</v>
      </c>
      <c r="K3823" s="80" t="s">
        <v>21</v>
      </c>
      <c r="L3823" s="30" t="s">
        <v>183</v>
      </c>
      <c r="M3823" s="68">
        <v>5</v>
      </c>
      <c r="N3823" s="181" t="str">
        <f t="shared" si="60"/>
        <v>нет</v>
      </c>
      <c r="O3823" s="23"/>
      <c r="P3823" s="23"/>
      <c r="Q3823" s="106"/>
      <c r="R3823" s="37">
        <v>919</v>
      </c>
      <c r="S3823" s="39" t="s">
        <v>1328</v>
      </c>
      <c r="T3823" s="37">
        <v>952</v>
      </c>
      <c r="U3823" s="38" t="s">
        <v>1361</v>
      </c>
      <c r="V3823" s="69" t="s">
        <v>186</v>
      </c>
      <c r="W3823" s="89" t="s">
        <v>175</v>
      </c>
      <c r="X3823" s="106" t="s">
        <v>297</v>
      </c>
      <c r="Y3823" s="107" t="s">
        <v>12</v>
      </c>
      <c r="Z3823" s="67">
        <f>IF(База_КР_КК[[#This Row],[Таб.номер резервиста]]="-","-",IF(OR(База_КР_КК[[#This Row],[Уровень КК]]=2,База_КР_КК[[#This Row],[Уровень КК]]=3),IF(COUNTIFS($U$2:$U3823,$U3823,$F$2:$F3823,$F3823)=1,1,0),IF(COUNTIFS($U$2:$U3823,$U3823,$L$2:$L3823,$L3823)=1,1,0)))</f>
        <v>1</v>
      </c>
      <c r="AA38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3" s="106"/>
      <c r="AC3823" s="51"/>
      <c r="AD3823" s="106" t="s">
        <v>13</v>
      </c>
      <c r="AE3823" s="38" t="s">
        <v>369</v>
      </c>
    </row>
    <row r="3824" spans="1:31" ht="18" customHeight="1" x14ac:dyDescent="0.25">
      <c r="A38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4" s="79">
        <v>3</v>
      </c>
      <c r="C3824" s="23">
        <v>42787</v>
      </c>
      <c r="D3824" s="67">
        <f>IF(COUNTIF($G$2:$G3824,$G3824)=1,1,0)</f>
        <v>0</v>
      </c>
      <c r="E3824" s="67" t="str">
        <f>IFERROR(VLOOKUP(База_КР_КК[[#This Row],[ИД штатной должности (S)]],'уровень защищенности'!$B$7:$F$1095,5,0),"не защищена")</f>
        <v>высокий</v>
      </c>
      <c r="F3824" s="68">
        <v>500407</v>
      </c>
      <c r="G3824" s="74" t="s">
        <v>3103</v>
      </c>
      <c r="H3824" s="181">
        <f>INDEX('Списки данных'!$D$2:$D$1048576,MATCH(База_КР_КК[[#This Row],[Структурное подразделение]],'Списки данных'!$C$2:$C$1048576,0))</f>
        <v>63</v>
      </c>
      <c r="I3824" s="80" t="s">
        <v>175</v>
      </c>
      <c r="J3824" s="80" t="s">
        <v>261</v>
      </c>
      <c r="K3824" s="80" t="s">
        <v>21</v>
      </c>
      <c r="L3824" s="30" t="s">
        <v>183</v>
      </c>
      <c r="M3824" s="68">
        <v>5</v>
      </c>
      <c r="N3824" s="181" t="str">
        <f t="shared" si="60"/>
        <v>нет</v>
      </c>
      <c r="O3824" s="23"/>
      <c r="P3824" s="23"/>
      <c r="Q3824" s="106"/>
      <c r="R3824" s="37">
        <v>919</v>
      </c>
      <c r="S3824" s="39" t="s">
        <v>1328</v>
      </c>
      <c r="T3824" s="37">
        <v>1087</v>
      </c>
      <c r="U3824" s="38" t="s">
        <v>1496</v>
      </c>
      <c r="V3824" s="69" t="s">
        <v>192</v>
      </c>
      <c r="W3824" s="89" t="s">
        <v>130</v>
      </c>
      <c r="X3824" s="106" t="s">
        <v>295</v>
      </c>
      <c r="Y3824" s="107" t="s">
        <v>18</v>
      </c>
      <c r="Z3824" s="67">
        <f>IF(База_КР_КК[[#This Row],[Таб.номер резервиста]]="-","-",IF(OR(База_КР_КК[[#This Row],[Уровень КК]]=2,База_КР_КК[[#This Row],[Уровень КК]]=3),IF(COUNTIFS($U$2:$U3824,$U3824,$F$2:$F3824,$F3824)=1,1,0),IF(COUNTIFS($U$2:$U3824,$U3824,$L$2:$L3824,$L3824)=1,1,0)))</f>
        <v>1</v>
      </c>
      <c r="AA38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4" s="106" t="s">
        <v>38</v>
      </c>
      <c r="AC3824" s="51">
        <v>43855</v>
      </c>
      <c r="AD3824" s="106" t="s">
        <v>31</v>
      </c>
      <c r="AE3824" s="38" t="s">
        <v>392</v>
      </c>
    </row>
    <row r="3825" spans="1:31" ht="18" customHeight="1" x14ac:dyDescent="0.25">
      <c r="A38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5" s="79">
        <v>3</v>
      </c>
      <c r="C3825" s="23">
        <v>42787</v>
      </c>
      <c r="D3825" s="67">
        <f>IF(COUNTIF($G$2:$G3825,$G3825)=1,1,0)</f>
        <v>0</v>
      </c>
      <c r="E3825" s="67" t="str">
        <f>IFERROR(VLOOKUP(База_КР_КК[[#This Row],[ИД штатной должности (S)]],'уровень защищенности'!$B$7:$F$1095,5,0),"не защищена")</f>
        <v>высокий</v>
      </c>
      <c r="F3825" s="68">
        <v>500407</v>
      </c>
      <c r="G3825" s="74" t="s">
        <v>3103</v>
      </c>
      <c r="H3825" s="181">
        <f>INDEX('Списки данных'!$D$2:$D$1048576,MATCH(База_КР_КК[[#This Row],[Структурное подразделение]],'Списки данных'!$C$2:$C$1048576,0))</f>
        <v>63</v>
      </c>
      <c r="I3825" s="80" t="s">
        <v>175</v>
      </c>
      <c r="J3825" s="80" t="s">
        <v>261</v>
      </c>
      <c r="K3825" s="80" t="s">
        <v>21</v>
      </c>
      <c r="L3825" s="30" t="s">
        <v>183</v>
      </c>
      <c r="M3825" s="68">
        <v>5</v>
      </c>
      <c r="N3825" s="181" t="str">
        <f t="shared" si="60"/>
        <v>нет</v>
      </c>
      <c r="O3825" s="23"/>
      <c r="P3825" s="23"/>
      <c r="Q3825" s="106"/>
      <c r="R3825" s="37">
        <v>919</v>
      </c>
      <c r="S3825" s="39" t="s">
        <v>1328</v>
      </c>
      <c r="T3825" s="37">
        <v>2020</v>
      </c>
      <c r="U3825" s="38" t="s">
        <v>1647</v>
      </c>
      <c r="V3825" s="69" t="s">
        <v>192</v>
      </c>
      <c r="W3825" s="89" t="s">
        <v>283</v>
      </c>
      <c r="X3825" s="106" t="s">
        <v>296</v>
      </c>
      <c r="Y3825" s="107" t="s">
        <v>18</v>
      </c>
      <c r="Z3825" s="67">
        <f>IF(База_КР_КК[[#This Row],[Таб.номер резервиста]]="-","-",IF(OR(База_КР_КК[[#This Row],[Уровень КК]]=2,База_КР_КК[[#This Row],[Уровень КК]]=3),IF(COUNTIFS($U$2:$U3825,$U3825,$F$2:$F3825,$F3825)=1,1,0),IF(COUNTIFS($U$2:$U3825,$U3825,$L$2:$L3825,$L3825)=1,1,0)))</f>
        <v>1</v>
      </c>
      <c r="AA38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5" s="106" t="s">
        <v>38</v>
      </c>
      <c r="AC3825" s="51">
        <v>43455</v>
      </c>
      <c r="AD3825" s="106" t="s">
        <v>31</v>
      </c>
      <c r="AE3825" s="38" t="s">
        <v>392</v>
      </c>
    </row>
    <row r="3826" spans="1:31" ht="18" customHeight="1" x14ac:dyDescent="0.25">
      <c r="A38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6" s="79">
        <v>3</v>
      </c>
      <c r="C3826" s="23">
        <v>42787</v>
      </c>
      <c r="D3826" s="67">
        <f>IF(COUNTIF($G$2:$G3826,$G3826)=1,1,0)</f>
        <v>0</v>
      </c>
      <c r="E3826" s="67" t="str">
        <f>IFERROR(VLOOKUP(База_КР_КК[[#This Row],[ИД штатной должности (S)]],'уровень защищенности'!$B$7:$F$1095,5,0),"не защищена")</f>
        <v>высокий</v>
      </c>
      <c r="F3826" s="68">
        <v>500407</v>
      </c>
      <c r="G3826" s="74" t="s">
        <v>3103</v>
      </c>
      <c r="H3826" s="181">
        <f>INDEX('Списки данных'!$D$2:$D$1048576,MATCH(База_КР_КК[[#This Row],[Структурное подразделение]],'Списки данных'!$C$2:$C$1048576,0))</f>
        <v>63</v>
      </c>
      <c r="I3826" s="80" t="s">
        <v>175</v>
      </c>
      <c r="J3826" s="80" t="s">
        <v>261</v>
      </c>
      <c r="K3826" s="80" t="s">
        <v>21</v>
      </c>
      <c r="L3826" s="30" t="s">
        <v>183</v>
      </c>
      <c r="M3826" s="68">
        <v>5</v>
      </c>
      <c r="N3826" s="181" t="str">
        <f t="shared" si="60"/>
        <v>нет</v>
      </c>
      <c r="O3826" s="23"/>
      <c r="P3826" s="23"/>
      <c r="Q3826" s="106"/>
      <c r="R3826" s="37">
        <v>919</v>
      </c>
      <c r="S3826" s="39" t="s">
        <v>1328</v>
      </c>
      <c r="T3826" s="37">
        <v>2021</v>
      </c>
      <c r="U3826" s="38" t="s">
        <v>1759</v>
      </c>
      <c r="V3826" s="69" t="s">
        <v>192</v>
      </c>
      <c r="W3826" s="89" t="s">
        <v>277</v>
      </c>
      <c r="X3826" s="106" t="s">
        <v>297</v>
      </c>
      <c r="Y3826" s="107" t="s">
        <v>18</v>
      </c>
      <c r="Z3826" s="67">
        <f>IF(База_КР_КК[[#This Row],[Таб.номер резервиста]]="-","-",IF(OR(База_КР_КК[[#This Row],[Уровень КК]]=2,База_КР_КК[[#This Row],[Уровень КК]]=3),IF(COUNTIFS($U$2:$U3826,$U3826,$F$2:$F3826,$F3826)=1,1,0),IF(COUNTIFS($U$2:$U3826,$U3826,$L$2:$L3826,$L3826)=1,1,0)))</f>
        <v>1</v>
      </c>
      <c r="AA38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6" s="106" t="s">
        <v>38</v>
      </c>
      <c r="AC3826" s="51">
        <v>44005</v>
      </c>
      <c r="AD3826" s="106" t="s">
        <v>31</v>
      </c>
      <c r="AE3826" s="38" t="s">
        <v>302</v>
      </c>
    </row>
    <row r="3827" spans="1:31" ht="18" customHeight="1" x14ac:dyDescent="0.25">
      <c r="A38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7" s="79">
        <v>3</v>
      </c>
      <c r="C3827" s="23">
        <v>44005</v>
      </c>
      <c r="D3827" s="67">
        <f>IF(COUNTIF($G$2:$G3827,$G3827)=1,1,0)</f>
        <v>0</v>
      </c>
      <c r="E3827" s="67" t="str">
        <f>IFERROR(VLOOKUP(База_КР_КК[[#This Row],[ИД штатной должности (S)]],'уровень защищенности'!$B$7:$F$1095,5,0),"не защищена")</f>
        <v>высокий</v>
      </c>
      <c r="F3827" s="68">
        <v>500407</v>
      </c>
      <c r="G3827" s="74" t="s">
        <v>3103</v>
      </c>
      <c r="H3827" s="181">
        <f>INDEX('Списки данных'!$D$2:$D$1048576,MATCH(База_КР_КК[[#This Row],[Структурное подразделение]],'Списки данных'!$C$2:$C$1048576,0))</f>
        <v>63</v>
      </c>
      <c r="I3827" s="80" t="s">
        <v>175</v>
      </c>
      <c r="J3827" s="80" t="s">
        <v>261</v>
      </c>
      <c r="K3827" s="80" t="s">
        <v>21</v>
      </c>
      <c r="L3827" s="30" t="s">
        <v>183</v>
      </c>
      <c r="M3827" s="68">
        <v>5</v>
      </c>
      <c r="N3827" s="181" t="str">
        <f t="shared" si="60"/>
        <v>нет</v>
      </c>
      <c r="O3827" s="23"/>
      <c r="P3827" s="23"/>
      <c r="Q3827" s="106"/>
      <c r="R3827" s="37">
        <v>919</v>
      </c>
      <c r="S3827" s="39" t="s">
        <v>1328</v>
      </c>
      <c r="T3827" s="37">
        <v>2022</v>
      </c>
      <c r="U3827" s="38" t="s">
        <v>2014</v>
      </c>
      <c r="V3827" s="69" t="s">
        <v>192</v>
      </c>
      <c r="W3827" s="89" t="s">
        <v>130</v>
      </c>
      <c r="X3827" s="106" t="s">
        <v>296</v>
      </c>
      <c r="Y3827" s="107" t="s">
        <v>18</v>
      </c>
      <c r="Z3827" s="67">
        <f>IF(База_КР_КК[[#This Row],[Таб.номер резервиста]]="-","-",IF(OR(База_КР_КК[[#This Row],[Уровень КК]]=2,База_КР_КК[[#This Row],[Уровень КК]]=3),IF(COUNTIFS($U$2:$U3827,$U3827,$F$2:$F3827,$F3827)=1,1,0),IF(COUNTIFS($U$2:$U3827,$U3827,$L$2:$L3827,$L3827)=1,1,0)))</f>
        <v>1</v>
      </c>
      <c r="AA38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7" s="106" t="s">
        <v>38</v>
      </c>
      <c r="AC3827" s="51">
        <v>44743</v>
      </c>
      <c r="AD3827" s="106" t="s">
        <v>31</v>
      </c>
      <c r="AE3827" s="38" t="s">
        <v>369</v>
      </c>
    </row>
    <row r="3828" spans="1:31" ht="18" customHeight="1" x14ac:dyDescent="0.25">
      <c r="A38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8" s="79">
        <v>4</v>
      </c>
      <c r="C3828" s="23">
        <v>44512</v>
      </c>
      <c r="D3828" s="67">
        <f>IF(COUNTIF($G$2:$G3828,$G3828)=1,1,0)</f>
        <v>1</v>
      </c>
      <c r="E3828" s="67" t="str">
        <f>IFERROR(VLOOKUP(База_КР_КК[[#This Row],[ИД штатной должности (S)]],'уровень защищенности'!$B$7:$F$1095,5,0),"не защищена")</f>
        <v>высокий</v>
      </c>
      <c r="F3828" s="68">
        <v>500408</v>
      </c>
      <c r="G3828" s="74" t="s">
        <v>3104</v>
      </c>
      <c r="H3828" s="181">
        <f>INDEX('Списки данных'!$D$2:$D$1048576,MATCH(База_КР_КК[[#This Row],[Структурное подразделение]],'Списки данных'!$C$2:$C$1048576,0))</f>
        <v>63</v>
      </c>
      <c r="I3828" s="80" t="s">
        <v>175</v>
      </c>
      <c r="J3828" s="80" t="s">
        <v>261</v>
      </c>
      <c r="K3828" s="80" t="s">
        <v>21</v>
      </c>
      <c r="L3828" s="30" t="s">
        <v>187</v>
      </c>
      <c r="M3828" s="68">
        <v>6</v>
      </c>
      <c r="N3828" s="181" t="str">
        <f t="shared" si="60"/>
        <v>нет</v>
      </c>
      <c r="O3828" s="23"/>
      <c r="P3828" s="23"/>
      <c r="Q3828" s="106"/>
      <c r="R3828" s="37">
        <v>920</v>
      </c>
      <c r="S3828" s="39" t="s">
        <v>1329</v>
      </c>
      <c r="T3828" s="37">
        <v>2023</v>
      </c>
      <c r="U3828" s="39" t="s">
        <v>1980</v>
      </c>
      <c r="V3828" s="69" t="s">
        <v>16</v>
      </c>
      <c r="W3828" s="89" t="s">
        <v>130</v>
      </c>
      <c r="X3828" s="106" t="s">
        <v>297</v>
      </c>
      <c r="Y3828" s="107" t="s">
        <v>12</v>
      </c>
      <c r="Z3828" s="67">
        <f>IF(База_КР_КК[[#This Row],[Таб.номер резервиста]]="-","-",IF(OR(База_КР_КК[[#This Row],[Уровень КК]]=2,База_КР_КК[[#This Row],[Уровень КК]]=3),IF(COUNTIFS($U$2:$U3828,$U3828,$F$2:$F3828,$F3828)=1,1,0),IF(COUNTIFS($U$2:$U3828,$U3828,$L$2:$L3828,$L3828)=1,1,0)))</f>
        <v>1</v>
      </c>
      <c r="AA38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8" s="106"/>
      <c r="AC3828" s="51"/>
      <c r="AD3828" s="106" t="s">
        <v>13</v>
      </c>
      <c r="AE3828" s="38" t="s">
        <v>389</v>
      </c>
    </row>
    <row r="3829" spans="1:31" ht="18" customHeight="1" x14ac:dyDescent="0.25">
      <c r="A38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29" s="79">
        <v>4</v>
      </c>
      <c r="C3829" s="23">
        <v>44512</v>
      </c>
      <c r="D3829" s="67">
        <f>IF(COUNTIF($G$2:$G3829,$G3829)=1,1,0)</f>
        <v>0</v>
      </c>
      <c r="E3829" s="67" t="str">
        <f>IFERROR(VLOOKUP(База_КР_КК[[#This Row],[ИД штатной должности (S)]],'уровень защищенности'!$B$7:$F$1095,5,0),"не защищена")</f>
        <v>высокий</v>
      </c>
      <c r="F3829" s="68">
        <v>500408</v>
      </c>
      <c r="G3829" s="74" t="s">
        <v>3104</v>
      </c>
      <c r="H3829" s="181">
        <f>INDEX('Списки данных'!$D$2:$D$1048576,MATCH(База_КР_КК[[#This Row],[Структурное подразделение]],'Списки данных'!$C$2:$C$1048576,0))</f>
        <v>63</v>
      </c>
      <c r="I3829" s="80" t="s">
        <v>175</v>
      </c>
      <c r="J3829" s="80" t="s">
        <v>261</v>
      </c>
      <c r="K3829" s="80" t="s">
        <v>21</v>
      </c>
      <c r="L3829" s="30" t="s">
        <v>187</v>
      </c>
      <c r="M3829" s="68">
        <v>6</v>
      </c>
      <c r="N3829" s="181" t="str">
        <f t="shared" si="60"/>
        <v>нет</v>
      </c>
      <c r="O3829" s="23"/>
      <c r="P3829" s="23"/>
      <c r="Q3829" s="106"/>
      <c r="R3829" s="37">
        <v>920</v>
      </c>
      <c r="S3829" s="39" t="s">
        <v>1329</v>
      </c>
      <c r="T3829" s="37">
        <v>2024</v>
      </c>
      <c r="U3829" s="39" t="s">
        <v>2124</v>
      </c>
      <c r="V3829" s="89" t="s">
        <v>16</v>
      </c>
      <c r="W3829" s="89" t="s">
        <v>175</v>
      </c>
      <c r="X3829" s="106" t="s">
        <v>295</v>
      </c>
      <c r="Y3829" s="107" t="s">
        <v>12</v>
      </c>
      <c r="Z3829" s="67">
        <f>IF(База_КР_КК[[#This Row],[Таб.номер резервиста]]="-","-",IF(OR(База_КР_КК[[#This Row],[Уровень КК]]=2,База_КР_КК[[#This Row],[Уровень КК]]=3),IF(COUNTIFS($U$2:$U3829,$U3829,$F$2:$F3829,$F3829)=1,1,0),IF(COUNTIFS($U$2:$U3829,$U3829,$L$2:$L3829,$L3829)=1,1,0)))</f>
        <v>1</v>
      </c>
      <c r="AA38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29" s="106"/>
      <c r="AC3829" s="51"/>
      <c r="AD3829" s="106" t="s">
        <v>13</v>
      </c>
      <c r="AE3829" s="38" t="s">
        <v>389</v>
      </c>
    </row>
    <row r="3830" spans="1:31" ht="18" customHeight="1" x14ac:dyDescent="0.25">
      <c r="A38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0" s="79">
        <v>4</v>
      </c>
      <c r="C3830" s="23">
        <v>44512</v>
      </c>
      <c r="D3830" s="67">
        <f>IF(COUNTIF($G$2:$G3830,$G3830)=1,1,0)</f>
        <v>1</v>
      </c>
      <c r="E3830" s="67" t="str">
        <f>IFERROR(VLOOKUP(База_КР_КК[[#This Row],[ИД штатной должности (S)]],'уровень защищенности'!$B$7:$F$1095,5,0),"не защищена")</f>
        <v>средний</v>
      </c>
      <c r="F3830" s="68">
        <v>500409</v>
      </c>
      <c r="G3830" s="74" t="s">
        <v>3105</v>
      </c>
      <c r="H3830" s="181">
        <f>INDEX('Списки данных'!$D$2:$D$1048576,MATCH(База_КР_КК[[#This Row],[Структурное подразделение]],'Списки данных'!$C$2:$C$1048576,0))</f>
        <v>63</v>
      </c>
      <c r="I3830" s="80" t="s">
        <v>175</v>
      </c>
      <c r="J3830" s="80" t="s">
        <v>261</v>
      </c>
      <c r="K3830" s="80" t="s">
        <v>262</v>
      </c>
      <c r="L3830" s="30" t="s">
        <v>191</v>
      </c>
      <c r="M3830" s="68">
        <v>7</v>
      </c>
      <c r="N3830" s="181" t="str">
        <f t="shared" si="60"/>
        <v>нет</v>
      </c>
      <c r="O3830" s="23"/>
      <c r="P3830" s="23"/>
      <c r="Q3830" s="106"/>
      <c r="R3830" s="37">
        <v>921</v>
      </c>
      <c r="S3830" s="39" t="s">
        <v>1330</v>
      </c>
      <c r="T3830" s="37">
        <v>2025</v>
      </c>
      <c r="U3830" s="39" t="s">
        <v>2013</v>
      </c>
      <c r="V3830" s="69" t="s">
        <v>272</v>
      </c>
      <c r="W3830" s="89" t="s">
        <v>175</v>
      </c>
      <c r="X3830" s="106" t="s">
        <v>297</v>
      </c>
      <c r="Y3830" s="107" t="s">
        <v>12</v>
      </c>
      <c r="Z3830" s="67">
        <f>IF(База_КР_КК[[#This Row],[Таб.номер резервиста]]="-","-",IF(OR(База_КР_КК[[#This Row],[Уровень КК]]=2,База_КР_КК[[#This Row],[Уровень КК]]=3),IF(COUNTIFS($U$2:$U3830,$U3830,$F$2:$F3830,$F3830)=1,1,0),IF(COUNTIFS($U$2:$U3830,$U3830,$L$2:$L3830,$L3830)=1,1,0)))</f>
        <v>0</v>
      </c>
      <c r="AA38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0" s="106"/>
      <c r="AC3830" s="51"/>
      <c r="AD3830" s="106" t="s">
        <v>15</v>
      </c>
      <c r="AE3830" s="38" t="s">
        <v>395</v>
      </c>
    </row>
    <row r="3831" spans="1:31" ht="18" customHeight="1" x14ac:dyDescent="0.25">
      <c r="A38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1" s="79">
        <v>4</v>
      </c>
      <c r="C3831" s="23">
        <v>44512</v>
      </c>
      <c r="D3831" s="67">
        <f>IF(COUNTIF($G$2:$G3831,$G3831)=1,1,0)</f>
        <v>0</v>
      </c>
      <c r="E3831" s="67" t="str">
        <f>IFERROR(VLOOKUP(База_КР_КК[[#This Row],[ИД штатной должности (S)]],'уровень защищенности'!$B$7:$F$1095,5,0),"не защищена")</f>
        <v>средний</v>
      </c>
      <c r="F3831" s="68">
        <v>500409</v>
      </c>
      <c r="G3831" s="74" t="s">
        <v>3105</v>
      </c>
      <c r="H3831" s="181">
        <f>INDEX('Списки данных'!$D$2:$D$1048576,MATCH(База_КР_КК[[#This Row],[Структурное подразделение]],'Списки данных'!$C$2:$C$1048576,0))</f>
        <v>63</v>
      </c>
      <c r="I3831" s="80" t="s">
        <v>175</v>
      </c>
      <c r="J3831" s="80" t="s">
        <v>261</v>
      </c>
      <c r="K3831" s="80" t="s">
        <v>262</v>
      </c>
      <c r="L3831" s="30" t="s">
        <v>191</v>
      </c>
      <c r="M3831" s="68">
        <v>7</v>
      </c>
      <c r="N3831" s="181" t="str">
        <f t="shared" si="60"/>
        <v>нет</v>
      </c>
      <c r="O3831" s="23"/>
      <c r="P3831" s="23"/>
      <c r="Q3831" s="106"/>
      <c r="R3831" s="37">
        <v>921</v>
      </c>
      <c r="S3831" s="39" t="s">
        <v>1330</v>
      </c>
      <c r="T3831" s="37">
        <v>2026</v>
      </c>
      <c r="U3831" s="39" t="s">
        <v>2115</v>
      </c>
      <c r="V3831" s="69" t="s">
        <v>272</v>
      </c>
      <c r="W3831" s="89" t="s">
        <v>175</v>
      </c>
      <c r="X3831" s="106" t="s">
        <v>297</v>
      </c>
      <c r="Y3831" s="107" t="s">
        <v>12</v>
      </c>
      <c r="Z3831" s="67">
        <f>IF(База_КР_КК[[#This Row],[Таб.номер резервиста]]="-","-",IF(OR(База_КР_КК[[#This Row],[Уровень КК]]=2,База_КР_КК[[#This Row],[Уровень КК]]=3),IF(COUNTIFS($U$2:$U3831,$U3831,$F$2:$F3831,$F3831)=1,1,0),IF(COUNTIFS($U$2:$U3831,$U3831,$L$2:$L3831,$L3831)=1,1,0)))</f>
        <v>1</v>
      </c>
      <c r="AA38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1" s="106"/>
      <c r="AC3831" s="51"/>
      <c r="AD3831" s="106" t="s">
        <v>15</v>
      </c>
      <c r="AE3831" s="38" t="s">
        <v>395</v>
      </c>
    </row>
    <row r="3832" spans="1:31" ht="18" customHeight="1" x14ac:dyDescent="0.25">
      <c r="A38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2" s="79">
        <v>4</v>
      </c>
      <c r="C3832" s="23">
        <v>44512</v>
      </c>
      <c r="D3832" s="67">
        <f>IF(COUNTIF($G$2:$G3832,$G3832)=1,1,0)</f>
        <v>0</v>
      </c>
      <c r="E3832" s="67" t="str">
        <f>IFERROR(VLOOKUP(База_КР_КК[[#This Row],[ИД штатной должности (S)]],'уровень защищенности'!$B$7:$F$1095,5,0),"не защищена")</f>
        <v>средний</v>
      </c>
      <c r="F3832" s="68">
        <v>500409</v>
      </c>
      <c r="G3832" s="74" t="s">
        <v>3105</v>
      </c>
      <c r="H3832" s="181">
        <f>INDEX('Списки данных'!$D$2:$D$1048576,MATCH(База_КР_КК[[#This Row],[Структурное подразделение]],'Списки данных'!$C$2:$C$1048576,0))</f>
        <v>63</v>
      </c>
      <c r="I3832" s="80" t="s">
        <v>175</v>
      </c>
      <c r="J3832" s="80" t="s">
        <v>261</v>
      </c>
      <c r="K3832" s="80" t="s">
        <v>262</v>
      </c>
      <c r="L3832" s="30" t="s">
        <v>191</v>
      </c>
      <c r="M3832" s="68">
        <v>7</v>
      </c>
      <c r="N3832" s="181" t="str">
        <f t="shared" si="60"/>
        <v>нет</v>
      </c>
      <c r="O3832" s="23"/>
      <c r="P3832" s="23"/>
      <c r="Q3832" s="106"/>
      <c r="R3832" s="37">
        <v>921</v>
      </c>
      <c r="S3832" s="39" t="s">
        <v>1330</v>
      </c>
      <c r="T3832" s="37">
        <v>2027</v>
      </c>
      <c r="U3832" s="39" t="s">
        <v>1987</v>
      </c>
      <c r="V3832" s="69" t="s">
        <v>272</v>
      </c>
      <c r="W3832" s="89" t="s">
        <v>175</v>
      </c>
      <c r="X3832" s="106" t="s">
        <v>297</v>
      </c>
      <c r="Y3832" s="107" t="s">
        <v>12</v>
      </c>
      <c r="Z3832" s="67">
        <f>IF(База_КР_КК[[#This Row],[Таб.номер резервиста]]="-","-",IF(OR(База_КР_КК[[#This Row],[Уровень КК]]=2,База_КР_КК[[#This Row],[Уровень КК]]=3),IF(COUNTIFS($U$2:$U3832,$U3832,$F$2:$F3832,$F3832)=1,1,0),IF(COUNTIFS($U$2:$U3832,$U3832,$L$2:$L3832,$L3832)=1,1,0)))</f>
        <v>1</v>
      </c>
      <c r="AA38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2" s="106"/>
      <c r="AC3832" s="51"/>
      <c r="AD3832" s="106" t="s">
        <v>15</v>
      </c>
      <c r="AE3832" s="38" t="s">
        <v>395</v>
      </c>
    </row>
    <row r="3833" spans="1:31" ht="18" customHeight="1" x14ac:dyDescent="0.25">
      <c r="A38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3" s="79">
        <v>4</v>
      </c>
      <c r="C3833" s="23">
        <v>44897</v>
      </c>
      <c r="D3833" s="67">
        <f>IF(COUNTIF($G$2:$G3833,$G3833)=1,1,0)</f>
        <v>0</v>
      </c>
      <c r="E3833" s="67" t="str">
        <f>IFERROR(VLOOKUP(База_КР_КК[[#This Row],[ИД штатной должности (S)]],'уровень защищенности'!$B$7:$F$1095,5,0),"не защищена")</f>
        <v>средний</v>
      </c>
      <c r="F3833" s="68">
        <v>500409</v>
      </c>
      <c r="G3833" s="74" t="s">
        <v>3105</v>
      </c>
      <c r="H3833" s="181">
        <f>INDEX('Списки данных'!$D$2:$D$1048576,MATCH(База_КР_КК[[#This Row],[Структурное подразделение]],'Списки данных'!$C$2:$C$1048576,0))</f>
        <v>63</v>
      </c>
      <c r="I3833" s="80" t="s">
        <v>175</v>
      </c>
      <c r="J3833" s="80" t="s">
        <v>261</v>
      </c>
      <c r="K3833" s="80" t="s">
        <v>262</v>
      </c>
      <c r="L3833" s="30" t="s">
        <v>191</v>
      </c>
      <c r="M3833" s="68">
        <v>7</v>
      </c>
      <c r="N3833" s="181" t="str">
        <f t="shared" si="60"/>
        <v>нет</v>
      </c>
      <c r="O3833" s="23"/>
      <c r="P3833" s="23"/>
      <c r="Q3833" s="106"/>
      <c r="R3833" s="37">
        <v>921</v>
      </c>
      <c r="S3833" s="39" t="s">
        <v>1330</v>
      </c>
      <c r="T3833" s="37">
        <v>2028</v>
      </c>
      <c r="U3833" s="38" t="s">
        <v>1457</v>
      </c>
      <c r="V3833" s="69" t="s">
        <v>272</v>
      </c>
      <c r="W3833" s="89" t="s">
        <v>175</v>
      </c>
      <c r="X3833" s="106" t="s">
        <v>296</v>
      </c>
      <c r="Y3833" s="107" t="s">
        <v>12</v>
      </c>
      <c r="Z3833" s="67">
        <f>IF(База_КР_КК[[#This Row],[Таб.номер резервиста]]="-","-",IF(OR(База_КР_КК[[#This Row],[Уровень КК]]=2,База_КР_КК[[#This Row],[Уровень КК]]=3),IF(COUNTIFS($U$2:$U3833,$U3833,$F$2:$F3833,$F3833)=1,1,0),IF(COUNTIFS($U$2:$U3833,$U3833,$L$2:$L3833,$L3833)=1,1,0)))</f>
        <v>0</v>
      </c>
      <c r="AA38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3" s="106"/>
      <c r="AC3833" s="51"/>
      <c r="AD3833" s="106" t="s">
        <v>15</v>
      </c>
      <c r="AE3833" s="38" t="s">
        <v>314</v>
      </c>
    </row>
    <row r="3834" spans="1:31" ht="18" customHeight="1" x14ac:dyDescent="0.25">
      <c r="A38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4" s="79">
        <v>4</v>
      </c>
      <c r="C3834" s="23">
        <v>44512</v>
      </c>
      <c r="D3834" s="67">
        <f>IF(COUNTIF($G$2:$G3834,$G3834)=1,1,0)</f>
        <v>1</v>
      </c>
      <c r="E3834" s="67" t="str">
        <f>IFERROR(VLOOKUP(База_КР_КК[[#This Row],[ИД штатной должности (S)]],'уровень защищенности'!$B$7:$F$1095,5,0),"не защищена")</f>
        <v>средний</v>
      </c>
      <c r="F3834" s="68">
        <v>500409</v>
      </c>
      <c r="G3834" s="74" t="s">
        <v>3106</v>
      </c>
      <c r="H3834" s="181">
        <f>INDEX('Списки данных'!$D$2:$D$1048576,MATCH(База_КР_КК[[#This Row],[Структурное подразделение]],'Списки данных'!$C$2:$C$1048576,0))</f>
        <v>63</v>
      </c>
      <c r="I3834" s="80" t="s">
        <v>175</v>
      </c>
      <c r="J3834" s="80" t="s">
        <v>261</v>
      </c>
      <c r="K3834" s="80" t="s">
        <v>262</v>
      </c>
      <c r="L3834" s="30" t="s">
        <v>191</v>
      </c>
      <c r="M3834" s="68">
        <v>7</v>
      </c>
      <c r="N3834" s="181" t="str">
        <f t="shared" si="60"/>
        <v>нет</v>
      </c>
      <c r="O3834" s="23"/>
      <c r="P3834" s="23"/>
      <c r="Q3834" s="106"/>
      <c r="R3834" s="37">
        <v>922</v>
      </c>
      <c r="S3834" s="39" t="s">
        <v>1331</v>
      </c>
      <c r="T3834" s="37">
        <v>2025</v>
      </c>
      <c r="U3834" s="39" t="s">
        <v>2013</v>
      </c>
      <c r="V3834" s="69" t="s">
        <v>272</v>
      </c>
      <c r="W3834" s="89" t="s">
        <v>175</v>
      </c>
      <c r="X3834" s="106" t="s">
        <v>297</v>
      </c>
      <c r="Y3834" s="107" t="s">
        <v>12</v>
      </c>
      <c r="Z3834" s="67">
        <f>IF(База_КР_КК[[#This Row],[Таб.номер резервиста]]="-","-",IF(OR(База_КР_КК[[#This Row],[Уровень КК]]=2,База_КР_КК[[#This Row],[Уровень КК]]=3),IF(COUNTIFS($U$2:$U3834,$U3834,$F$2:$F3834,$F3834)=1,1,0),IF(COUNTIFS($U$2:$U3834,$U3834,$L$2:$L3834,$L3834)=1,1,0)))</f>
        <v>0</v>
      </c>
      <c r="AA38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4" s="106"/>
      <c r="AC3834" s="51"/>
      <c r="AD3834" s="106" t="s">
        <v>15</v>
      </c>
      <c r="AE3834" s="38" t="s">
        <v>395</v>
      </c>
    </row>
    <row r="3835" spans="1:31" ht="18" customHeight="1" x14ac:dyDescent="0.25">
      <c r="A38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5" s="79">
        <v>4</v>
      </c>
      <c r="C3835" s="23">
        <v>44512</v>
      </c>
      <c r="D3835" s="67">
        <f>IF(COUNTIF($G$2:$G3835,$G3835)=1,1,0)</f>
        <v>0</v>
      </c>
      <c r="E3835" s="67" t="str">
        <f>IFERROR(VLOOKUP(База_КР_КК[[#This Row],[ИД штатной должности (S)]],'уровень защищенности'!$B$7:$F$1095,5,0),"не защищена")</f>
        <v>средний</v>
      </c>
      <c r="F3835" s="68">
        <v>500409</v>
      </c>
      <c r="G3835" s="74" t="s">
        <v>3106</v>
      </c>
      <c r="H3835" s="181">
        <f>INDEX('Списки данных'!$D$2:$D$1048576,MATCH(База_КР_КК[[#This Row],[Структурное подразделение]],'Списки данных'!$C$2:$C$1048576,0))</f>
        <v>63</v>
      </c>
      <c r="I3835" s="80" t="s">
        <v>175</v>
      </c>
      <c r="J3835" s="80" t="s">
        <v>261</v>
      </c>
      <c r="K3835" s="80" t="s">
        <v>262</v>
      </c>
      <c r="L3835" s="30" t="s">
        <v>191</v>
      </c>
      <c r="M3835" s="68">
        <v>7</v>
      </c>
      <c r="N3835" s="181" t="str">
        <f t="shared" si="60"/>
        <v>нет</v>
      </c>
      <c r="O3835" s="23"/>
      <c r="P3835" s="23"/>
      <c r="Q3835" s="106"/>
      <c r="R3835" s="37">
        <v>922</v>
      </c>
      <c r="S3835" s="39" t="s">
        <v>1331</v>
      </c>
      <c r="T3835" s="37">
        <v>2026</v>
      </c>
      <c r="U3835" s="39" t="s">
        <v>2115</v>
      </c>
      <c r="V3835" s="69" t="s">
        <v>272</v>
      </c>
      <c r="W3835" s="89" t="s">
        <v>175</v>
      </c>
      <c r="X3835" s="106" t="s">
        <v>297</v>
      </c>
      <c r="Y3835" s="107" t="s">
        <v>12</v>
      </c>
      <c r="Z3835" s="67">
        <f>IF(База_КР_КК[[#This Row],[Таб.номер резервиста]]="-","-",IF(OR(База_КР_КК[[#This Row],[Уровень КК]]=2,База_КР_КК[[#This Row],[Уровень КК]]=3),IF(COUNTIFS($U$2:$U3835,$U3835,$F$2:$F3835,$F3835)=1,1,0),IF(COUNTIFS($U$2:$U3835,$U3835,$L$2:$L3835,$L3835)=1,1,0)))</f>
        <v>0</v>
      </c>
      <c r="AA38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5" s="106"/>
      <c r="AC3835" s="51"/>
      <c r="AD3835" s="106" t="s">
        <v>15</v>
      </c>
      <c r="AE3835" s="38" t="s">
        <v>395</v>
      </c>
    </row>
    <row r="3836" spans="1:31" ht="18" customHeight="1" x14ac:dyDescent="0.25">
      <c r="A38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6" s="79">
        <v>4</v>
      </c>
      <c r="C3836" s="23">
        <v>44512</v>
      </c>
      <c r="D3836" s="67">
        <f>IF(COUNTIF($G$2:$G3836,$G3836)=1,1,0)</f>
        <v>0</v>
      </c>
      <c r="E3836" s="67" t="str">
        <f>IFERROR(VLOOKUP(База_КР_КК[[#This Row],[ИД штатной должности (S)]],'уровень защищенности'!$B$7:$F$1095,5,0),"не защищена")</f>
        <v>средний</v>
      </c>
      <c r="F3836" s="68">
        <v>500409</v>
      </c>
      <c r="G3836" s="74" t="s">
        <v>3106</v>
      </c>
      <c r="H3836" s="181">
        <f>INDEX('Списки данных'!$D$2:$D$1048576,MATCH(База_КР_КК[[#This Row],[Структурное подразделение]],'Списки данных'!$C$2:$C$1048576,0))</f>
        <v>63</v>
      </c>
      <c r="I3836" s="80" t="s">
        <v>175</v>
      </c>
      <c r="J3836" s="80" t="s">
        <v>261</v>
      </c>
      <c r="K3836" s="80" t="s">
        <v>262</v>
      </c>
      <c r="L3836" s="30" t="s">
        <v>191</v>
      </c>
      <c r="M3836" s="68">
        <v>7</v>
      </c>
      <c r="N3836" s="181" t="str">
        <f t="shared" si="60"/>
        <v>нет</v>
      </c>
      <c r="O3836" s="23"/>
      <c r="P3836" s="23"/>
      <c r="Q3836" s="106"/>
      <c r="R3836" s="37">
        <v>922</v>
      </c>
      <c r="S3836" s="39" t="s">
        <v>1331</v>
      </c>
      <c r="T3836" s="37">
        <v>2027</v>
      </c>
      <c r="U3836" s="39" t="s">
        <v>1987</v>
      </c>
      <c r="V3836" s="69" t="s">
        <v>272</v>
      </c>
      <c r="W3836" s="89" t="s">
        <v>175</v>
      </c>
      <c r="X3836" s="106" t="s">
        <v>297</v>
      </c>
      <c r="Y3836" s="107" t="s">
        <v>12</v>
      </c>
      <c r="Z3836" s="67">
        <f>IF(База_КР_КК[[#This Row],[Таб.номер резервиста]]="-","-",IF(OR(База_КР_КК[[#This Row],[Уровень КК]]=2,База_КР_КК[[#This Row],[Уровень КК]]=3),IF(COUNTIFS($U$2:$U3836,$U3836,$F$2:$F3836,$F3836)=1,1,0),IF(COUNTIFS($U$2:$U3836,$U3836,$L$2:$L3836,$L3836)=1,1,0)))</f>
        <v>0</v>
      </c>
      <c r="AA38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6" s="106"/>
      <c r="AC3836" s="51"/>
      <c r="AD3836" s="106" t="s">
        <v>15</v>
      </c>
      <c r="AE3836" s="38" t="s">
        <v>395</v>
      </c>
    </row>
    <row r="3837" spans="1:31" ht="18" customHeight="1" x14ac:dyDescent="0.25">
      <c r="A38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7" s="79">
        <v>4</v>
      </c>
      <c r="C3837" s="23">
        <v>44897</v>
      </c>
      <c r="D3837" s="67">
        <f>IF(COUNTIF($G$2:$G3837,$G3837)=1,1,0)</f>
        <v>0</v>
      </c>
      <c r="E3837" s="67" t="str">
        <f>IFERROR(VLOOKUP(База_КР_КК[[#This Row],[ИД штатной должности (S)]],'уровень защищенности'!$B$7:$F$1095,5,0),"не защищена")</f>
        <v>средний</v>
      </c>
      <c r="F3837" s="68">
        <v>500409</v>
      </c>
      <c r="G3837" s="74" t="s">
        <v>3106</v>
      </c>
      <c r="H3837" s="181">
        <f>INDEX('Списки данных'!$D$2:$D$1048576,MATCH(База_КР_КК[[#This Row],[Структурное подразделение]],'Списки данных'!$C$2:$C$1048576,0))</f>
        <v>63</v>
      </c>
      <c r="I3837" s="80" t="s">
        <v>175</v>
      </c>
      <c r="J3837" s="80" t="s">
        <v>261</v>
      </c>
      <c r="K3837" s="80" t="s">
        <v>262</v>
      </c>
      <c r="L3837" s="30" t="s">
        <v>191</v>
      </c>
      <c r="M3837" s="68">
        <v>7</v>
      </c>
      <c r="N3837" s="181" t="str">
        <f t="shared" ref="N3837:N3900" si="61">IF(ISBLANK(O3837),"нет","да")</f>
        <v>нет</v>
      </c>
      <c r="O3837" s="23"/>
      <c r="P3837" s="23"/>
      <c r="Q3837" s="106"/>
      <c r="R3837" s="37">
        <v>922</v>
      </c>
      <c r="S3837" s="39" t="s">
        <v>1331</v>
      </c>
      <c r="T3837" s="37">
        <v>2028</v>
      </c>
      <c r="U3837" s="38" t="s">
        <v>1457</v>
      </c>
      <c r="V3837" s="69" t="s">
        <v>272</v>
      </c>
      <c r="W3837" s="89" t="s">
        <v>175</v>
      </c>
      <c r="X3837" s="106" t="s">
        <v>296</v>
      </c>
      <c r="Y3837" s="107" t="s">
        <v>12</v>
      </c>
      <c r="Z3837" s="67">
        <f>IF(База_КР_КК[[#This Row],[Таб.номер резервиста]]="-","-",IF(OR(База_КР_КК[[#This Row],[Уровень КК]]=2,База_КР_КК[[#This Row],[Уровень КК]]=3),IF(COUNTIFS($U$2:$U3837,$U3837,$F$2:$F3837,$F3837)=1,1,0),IF(COUNTIFS($U$2:$U3837,$U3837,$L$2:$L3837,$L3837)=1,1,0)))</f>
        <v>0</v>
      </c>
      <c r="AA38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7" s="106"/>
      <c r="AC3837" s="51"/>
      <c r="AD3837" s="106" t="s">
        <v>15</v>
      </c>
      <c r="AE3837" s="38" t="s">
        <v>314</v>
      </c>
    </row>
    <row r="3838" spans="1:31" ht="18" customHeight="1" x14ac:dyDescent="0.25">
      <c r="A38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8" s="79">
        <v>4</v>
      </c>
      <c r="C3838" s="23">
        <v>44512</v>
      </c>
      <c r="D3838" s="67">
        <f>IF(COUNTIF($G$2:$G3838,$G3838)=1,1,0)</f>
        <v>1</v>
      </c>
      <c r="E3838" s="67" t="str">
        <f>IFERROR(VLOOKUP(База_КР_КК[[#This Row],[ИД штатной должности (S)]],'уровень защищенности'!$B$7:$F$1095,5,0),"не защищена")</f>
        <v>средний</v>
      </c>
      <c r="F3838" s="68">
        <v>500409</v>
      </c>
      <c r="G3838" s="74" t="s">
        <v>3107</v>
      </c>
      <c r="H3838" s="181">
        <f>INDEX('Списки данных'!$D$2:$D$1048576,MATCH(База_КР_КК[[#This Row],[Структурное подразделение]],'Списки данных'!$C$2:$C$1048576,0))</f>
        <v>63</v>
      </c>
      <c r="I3838" s="80" t="s">
        <v>175</v>
      </c>
      <c r="J3838" s="80" t="s">
        <v>261</v>
      </c>
      <c r="K3838" s="80" t="s">
        <v>262</v>
      </c>
      <c r="L3838" s="30" t="s">
        <v>191</v>
      </c>
      <c r="M3838" s="68">
        <v>7</v>
      </c>
      <c r="N3838" s="181" t="str">
        <f t="shared" si="61"/>
        <v>нет</v>
      </c>
      <c r="O3838" s="23"/>
      <c r="P3838" s="23"/>
      <c r="Q3838" s="106"/>
      <c r="R3838" s="37">
        <v>923</v>
      </c>
      <c r="S3838" s="39" t="s">
        <v>1332</v>
      </c>
      <c r="T3838" s="37">
        <v>2025</v>
      </c>
      <c r="U3838" s="39" t="s">
        <v>2013</v>
      </c>
      <c r="V3838" s="69" t="s">
        <v>272</v>
      </c>
      <c r="W3838" s="89" t="s">
        <v>175</v>
      </c>
      <c r="X3838" s="106" t="s">
        <v>297</v>
      </c>
      <c r="Y3838" s="107" t="s">
        <v>12</v>
      </c>
      <c r="Z3838" s="67">
        <f>IF(База_КР_КК[[#This Row],[Таб.номер резервиста]]="-","-",IF(OR(База_КР_КК[[#This Row],[Уровень КК]]=2,База_КР_КК[[#This Row],[Уровень КК]]=3),IF(COUNTIFS($U$2:$U3838,$U3838,$F$2:$F3838,$F3838)=1,1,0),IF(COUNTIFS($U$2:$U3838,$U3838,$L$2:$L3838,$L3838)=1,1,0)))</f>
        <v>0</v>
      </c>
      <c r="AA38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8" s="106"/>
      <c r="AC3838" s="51"/>
      <c r="AD3838" s="106" t="s">
        <v>15</v>
      </c>
      <c r="AE3838" s="38" t="s">
        <v>395</v>
      </c>
    </row>
    <row r="3839" spans="1:31" ht="18" customHeight="1" x14ac:dyDescent="0.25">
      <c r="A38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39" s="79">
        <v>4</v>
      </c>
      <c r="C3839" s="23">
        <v>44512</v>
      </c>
      <c r="D3839" s="67">
        <f>IF(COUNTIF($G$2:$G3839,$G3839)=1,1,0)</f>
        <v>0</v>
      </c>
      <c r="E3839" s="67" t="str">
        <f>IFERROR(VLOOKUP(База_КР_КК[[#This Row],[ИД штатной должности (S)]],'уровень защищенности'!$B$7:$F$1095,5,0),"не защищена")</f>
        <v>средний</v>
      </c>
      <c r="F3839" s="68">
        <v>500409</v>
      </c>
      <c r="G3839" s="74" t="s">
        <v>3107</v>
      </c>
      <c r="H3839" s="181">
        <f>INDEX('Списки данных'!$D$2:$D$1048576,MATCH(База_КР_КК[[#This Row],[Структурное подразделение]],'Списки данных'!$C$2:$C$1048576,0))</f>
        <v>63</v>
      </c>
      <c r="I3839" s="80" t="s">
        <v>175</v>
      </c>
      <c r="J3839" s="80" t="s">
        <v>261</v>
      </c>
      <c r="K3839" s="80" t="s">
        <v>262</v>
      </c>
      <c r="L3839" s="30" t="s">
        <v>191</v>
      </c>
      <c r="M3839" s="68">
        <v>7</v>
      </c>
      <c r="N3839" s="181" t="str">
        <f t="shared" si="61"/>
        <v>нет</v>
      </c>
      <c r="O3839" s="23"/>
      <c r="P3839" s="23"/>
      <c r="Q3839" s="106"/>
      <c r="R3839" s="37">
        <v>923</v>
      </c>
      <c r="S3839" s="39" t="s">
        <v>1332</v>
      </c>
      <c r="T3839" s="37">
        <v>2026</v>
      </c>
      <c r="U3839" s="39" t="s">
        <v>2115</v>
      </c>
      <c r="V3839" s="69" t="s">
        <v>272</v>
      </c>
      <c r="W3839" s="89" t="s">
        <v>175</v>
      </c>
      <c r="X3839" s="106" t="s">
        <v>297</v>
      </c>
      <c r="Y3839" s="107" t="s">
        <v>12</v>
      </c>
      <c r="Z3839" s="67">
        <f>IF(База_КР_КК[[#This Row],[Таб.номер резервиста]]="-","-",IF(OR(База_КР_КК[[#This Row],[Уровень КК]]=2,База_КР_КК[[#This Row],[Уровень КК]]=3),IF(COUNTIFS($U$2:$U3839,$U3839,$F$2:$F3839,$F3839)=1,1,0),IF(COUNTIFS($U$2:$U3839,$U3839,$L$2:$L3839,$L3839)=1,1,0)))</f>
        <v>0</v>
      </c>
      <c r="AA38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39" s="106"/>
      <c r="AC3839" s="51"/>
      <c r="AD3839" s="106" t="s">
        <v>15</v>
      </c>
      <c r="AE3839" s="38" t="s">
        <v>395</v>
      </c>
    </row>
    <row r="3840" spans="1:31" ht="18" customHeight="1" x14ac:dyDescent="0.25">
      <c r="A38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0" s="79">
        <v>4</v>
      </c>
      <c r="C3840" s="23">
        <v>44512</v>
      </c>
      <c r="D3840" s="67">
        <f>IF(COUNTIF($G$2:$G3840,$G3840)=1,1,0)</f>
        <v>0</v>
      </c>
      <c r="E3840" s="67" t="str">
        <f>IFERROR(VLOOKUP(База_КР_КК[[#This Row],[ИД штатной должности (S)]],'уровень защищенности'!$B$7:$F$1095,5,0),"не защищена")</f>
        <v>средний</v>
      </c>
      <c r="F3840" s="68">
        <v>500409</v>
      </c>
      <c r="G3840" s="74" t="s">
        <v>3107</v>
      </c>
      <c r="H3840" s="181">
        <f>INDEX('Списки данных'!$D$2:$D$1048576,MATCH(База_КР_КК[[#This Row],[Структурное подразделение]],'Списки данных'!$C$2:$C$1048576,0))</f>
        <v>63</v>
      </c>
      <c r="I3840" s="80" t="s">
        <v>175</v>
      </c>
      <c r="J3840" s="80" t="s">
        <v>261</v>
      </c>
      <c r="K3840" s="80" t="s">
        <v>262</v>
      </c>
      <c r="L3840" s="30" t="s">
        <v>191</v>
      </c>
      <c r="M3840" s="68">
        <v>7</v>
      </c>
      <c r="N3840" s="181" t="str">
        <f t="shared" si="61"/>
        <v>нет</v>
      </c>
      <c r="O3840" s="23"/>
      <c r="P3840" s="23"/>
      <c r="Q3840" s="106"/>
      <c r="R3840" s="37">
        <v>923</v>
      </c>
      <c r="S3840" s="39" t="s">
        <v>1332</v>
      </c>
      <c r="T3840" s="37">
        <v>2027</v>
      </c>
      <c r="U3840" s="39" t="s">
        <v>1987</v>
      </c>
      <c r="V3840" s="69" t="s">
        <v>272</v>
      </c>
      <c r="W3840" s="89" t="s">
        <v>175</v>
      </c>
      <c r="X3840" s="106" t="s">
        <v>297</v>
      </c>
      <c r="Y3840" s="107" t="s">
        <v>12</v>
      </c>
      <c r="Z3840" s="67">
        <f>IF(База_КР_КК[[#This Row],[Таб.номер резервиста]]="-","-",IF(OR(База_КР_КК[[#This Row],[Уровень КК]]=2,База_КР_КК[[#This Row],[Уровень КК]]=3),IF(COUNTIFS($U$2:$U3840,$U3840,$F$2:$F3840,$F3840)=1,1,0),IF(COUNTIFS($U$2:$U3840,$U3840,$L$2:$L3840,$L3840)=1,1,0)))</f>
        <v>0</v>
      </c>
      <c r="AA38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0" s="106"/>
      <c r="AC3840" s="51"/>
      <c r="AD3840" s="106" t="s">
        <v>15</v>
      </c>
      <c r="AE3840" s="38" t="s">
        <v>395</v>
      </c>
    </row>
    <row r="3841" spans="1:31" ht="18" customHeight="1" x14ac:dyDescent="0.25">
      <c r="A38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1" s="79">
        <v>4</v>
      </c>
      <c r="C3841" s="23">
        <v>44897</v>
      </c>
      <c r="D3841" s="67">
        <f>IF(COUNTIF($G$2:$G3841,$G3841)=1,1,0)</f>
        <v>0</v>
      </c>
      <c r="E3841" s="67" t="str">
        <f>IFERROR(VLOOKUP(База_КР_КК[[#This Row],[ИД штатной должности (S)]],'уровень защищенности'!$B$7:$F$1095,5,0),"не защищена")</f>
        <v>средний</v>
      </c>
      <c r="F3841" s="68">
        <v>500409</v>
      </c>
      <c r="G3841" s="74" t="s">
        <v>3107</v>
      </c>
      <c r="H3841" s="181">
        <f>INDEX('Списки данных'!$D$2:$D$1048576,MATCH(База_КР_КК[[#This Row],[Структурное подразделение]],'Списки данных'!$C$2:$C$1048576,0))</f>
        <v>63</v>
      </c>
      <c r="I3841" s="80" t="s">
        <v>175</v>
      </c>
      <c r="J3841" s="80" t="s">
        <v>261</v>
      </c>
      <c r="K3841" s="80" t="s">
        <v>262</v>
      </c>
      <c r="L3841" s="30" t="s">
        <v>191</v>
      </c>
      <c r="M3841" s="68">
        <v>7</v>
      </c>
      <c r="N3841" s="181" t="str">
        <f t="shared" si="61"/>
        <v>нет</v>
      </c>
      <c r="O3841" s="23"/>
      <c r="P3841" s="23"/>
      <c r="Q3841" s="106"/>
      <c r="R3841" s="37">
        <v>923</v>
      </c>
      <c r="S3841" s="39" t="s">
        <v>1332</v>
      </c>
      <c r="T3841" s="37">
        <v>2028</v>
      </c>
      <c r="U3841" s="38" t="s">
        <v>1457</v>
      </c>
      <c r="V3841" s="69" t="s">
        <v>272</v>
      </c>
      <c r="W3841" s="89" t="s">
        <v>175</v>
      </c>
      <c r="X3841" s="106" t="s">
        <v>296</v>
      </c>
      <c r="Y3841" s="107" t="s">
        <v>12</v>
      </c>
      <c r="Z3841" s="67">
        <f>IF(База_КР_КК[[#This Row],[Таб.номер резервиста]]="-","-",IF(OR(База_КР_КК[[#This Row],[Уровень КК]]=2,База_КР_КК[[#This Row],[Уровень КК]]=3),IF(COUNTIFS($U$2:$U3841,$U3841,$F$2:$F3841,$F3841)=1,1,0),IF(COUNTIFS($U$2:$U3841,$U3841,$L$2:$L3841,$L3841)=1,1,0)))</f>
        <v>0</v>
      </c>
      <c r="AA38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1" s="106"/>
      <c r="AC3841" s="51"/>
      <c r="AD3841" s="106" t="s">
        <v>15</v>
      </c>
      <c r="AE3841" s="38" t="s">
        <v>314</v>
      </c>
    </row>
    <row r="3842" spans="1:31" ht="18" customHeight="1" x14ac:dyDescent="0.25">
      <c r="A38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2" s="79">
        <v>4</v>
      </c>
      <c r="C3842" s="23">
        <v>44512</v>
      </c>
      <c r="D3842" s="67">
        <f>IF(COUNTIF($G$2:$G3842,$G3842)=1,1,0)</f>
        <v>1</v>
      </c>
      <c r="E3842" s="67" t="str">
        <f>IFERROR(VLOOKUP(База_КР_КК[[#This Row],[ИД штатной должности (S)]],'уровень защищенности'!$B$7:$F$1095,5,0),"не защищена")</f>
        <v>средний</v>
      </c>
      <c r="F3842" s="68">
        <v>500409</v>
      </c>
      <c r="G3842" s="74" t="s">
        <v>3108</v>
      </c>
      <c r="H3842" s="181">
        <f>INDEX('Списки данных'!$D$2:$D$1048576,MATCH(База_КР_КК[[#This Row],[Структурное подразделение]],'Списки данных'!$C$2:$C$1048576,0))</f>
        <v>63</v>
      </c>
      <c r="I3842" s="80" t="s">
        <v>175</v>
      </c>
      <c r="J3842" s="80" t="s">
        <v>261</v>
      </c>
      <c r="K3842" s="80" t="s">
        <v>262</v>
      </c>
      <c r="L3842" s="30" t="s">
        <v>191</v>
      </c>
      <c r="M3842" s="68">
        <v>7</v>
      </c>
      <c r="N3842" s="181" t="str">
        <f t="shared" si="61"/>
        <v>нет</v>
      </c>
      <c r="O3842" s="23"/>
      <c r="P3842" s="23"/>
      <c r="Q3842" s="106"/>
      <c r="R3842" s="37">
        <v>924</v>
      </c>
      <c r="S3842" s="39" t="s">
        <v>1333</v>
      </c>
      <c r="T3842" s="37">
        <v>2025</v>
      </c>
      <c r="U3842" s="39" t="s">
        <v>2013</v>
      </c>
      <c r="V3842" s="69" t="s">
        <v>272</v>
      </c>
      <c r="W3842" s="89" t="s">
        <v>175</v>
      </c>
      <c r="X3842" s="106" t="s">
        <v>297</v>
      </c>
      <c r="Y3842" s="107" t="s">
        <v>12</v>
      </c>
      <c r="Z3842" s="67">
        <f>IF(База_КР_КК[[#This Row],[Таб.номер резервиста]]="-","-",IF(OR(База_КР_КК[[#This Row],[Уровень КК]]=2,База_КР_КК[[#This Row],[Уровень КК]]=3),IF(COUNTIFS($U$2:$U3842,$U3842,$F$2:$F3842,$F3842)=1,1,0),IF(COUNTIFS($U$2:$U3842,$U3842,$L$2:$L3842,$L3842)=1,1,0)))</f>
        <v>0</v>
      </c>
      <c r="AA38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2" s="106"/>
      <c r="AC3842" s="51"/>
      <c r="AD3842" s="106" t="s">
        <v>15</v>
      </c>
      <c r="AE3842" s="38" t="s">
        <v>395</v>
      </c>
    </row>
    <row r="3843" spans="1:31" ht="18" customHeight="1" x14ac:dyDescent="0.25">
      <c r="A38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3" s="79">
        <v>4</v>
      </c>
      <c r="C3843" s="23">
        <v>44512</v>
      </c>
      <c r="D3843" s="67">
        <f>IF(COUNTIF($G$2:$G3843,$G3843)=1,1,0)</f>
        <v>0</v>
      </c>
      <c r="E3843" s="67" t="str">
        <f>IFERROR(VLOOKUP(База_КР_КК[[#This Row],[ИД штатной должности (S)]],'уровень защищенности'!$B$7:$F$1095,5,0),"не защищена")</f>
        <v>средний</v>
      </c>
      <c r="F3843" s="68">
        <v>500409</v>
      </c>
      <c r="G3843" s="74" t="s">
        <v>3108</v>
      </c>
      <c r="H3843" s="181">
        <f>INDEX('Списки данных'!$D$2:$D$1048576,MATCH(База_КР_КК[[#This Row],[Структурное подразделение]],'Списки данных'!$C$2:$C$1048576,0))</f>
        <v>63</v>
      </c>
      <c r="I3843" s="80" t="s">
        <v>175</v>
      </c>
      <c r="J3843" s="80" t="s">
        <v>261</v>
      </c>
      <c r="K3843" s="80" t="s">
        <v>262</v>
      </c>
      <c r="L3843" s="30" t="s">
        <v>191</v>
      </c>
      <c r="M3843" s="68">
        <v>7</v>
      </c>
      <c r="N3843" s="181" t="str">
        <f t="shared" si="61"/>
        <v>нет</v>
      </c>
      <c r="O3843" s="23"/>
      <c r="P3843" s="23"/>
      <c r="Q3843" s="106"/>
      <c r="R3843" s="37">
        <v>924</v>
      </c>
      <c r="S3843" s="39" t="s">
        <v>1333</v>
      </c>
      <c r="T3843" s="37">
        <v>2026</v>
      </c>
      <c r="U3843" s="39" t="s">
        <v>2115</v>
      </c>
      <c r="V3843" s="69" t="s">
        <v>272</v>
      </c>
      <c r="W3843" s="89" t="s">
        <v>175</v>
      </c>
      <c r="X3843" s="106" t="s">
        <v>297</v>
      </c>
      <c r="Y3843" s="107" t="s">
        <v>12</v>
      </c>
      <c r="Z3843" s="67">
        <f>IF(База_КР_КК[[#This Row],[Таб.номер резервиста]]="-","-",IF(OR(База_КР_КК[[#This Row],[Уровень КК]]=2,База_КР_КК[[#This Row],[Уровень КК]]=3),IF(COUNTIFS($U$2:$U3843,$U3843,$F$2:$F3843,$F3843)=1,1,0),IF(COUNTIFS($U$2:$U3843,$U3843,$L$2:$L3843,$L3843)=1,1,0)))</f>
        <v>0</v>
      </c>
      <c r="AA38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3" s="106"/>
      <c r="AC3843" s="51"/>
      <c r="AD3843" s="106" t="s">
        <v>15</v>
      </c>
      <c r="AE3843" s="38" t="s">
        <v>395</v>
      </c>
    </row>
    <row r="3844" spans="1:31" ht="18" customHeight="1" x14ac:dyDescent="0.25">
      <c r="A38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4" s="79">
        <v>4</v>
      </c>
      <c r="C3844" s="23">
        <v>44512</v>
      </c>
      <c r="D3844" s="67">
        <f>IF(COUNTIF($G$2:$G3844,$G3844)=1,1,0)</f>
        <v>0</v>
      </c>
      <c r="E3844" s="67" t="str">
        <f>IFERROR(VLOOKUP(База_КР_КК[[#This Row],[ИД штатной должности (S)]],'уровень защищенности'!$B$7:$F$1095,5,0),"не защищена")</f>
        <v>средний</v>
      </c>
      <c r="F3844" s="68">
        <v>500409</v>
      </c>
      <c r="G3844" s="74" t="s">
        <v>3108</v>
      </c>
      <c r="H3844" s="181">
        <f>INDEX('Списки данных'!$D$2:$D$1048576,MATCH(База_КР_КК[[#This Row],[Структурное подразделение]],'Списки данных'!$C$2:$C$1048576,0))</f>
        <v>63</v>
      </c>
      <c r="I3844" s="80" t="s">
        <v>175</v>
      </c>
      <c r="J3844" s="80" t="s">
        <v>261</v>
      </c>
      <c r="K3844" s="80" t="s">
        <v>262</v>
      </c>
      <c r="L3844" s="30" t="s">
        <v>191</v>
      </c>
      <c r="M3844" s="68">
        <v>7</v>
      </c>
      <c r="N3844" s="181" t="str">
        <f t="shared" si="61"/>
        <v>нет</v>
      </c>
      <c r="O3844" s="23"/>
      <c r="P3844" s="23"/>
      <c r="Q3844" s="106"/>
      <c r="R3844" s="37">
        <v>924</v>
      </c>
      <c r="S3844" s="39" t="s">
        <v>1333</v>
      </c>
      <c r="T3844" s="37">
        <v>2027</v>
      </c>
      <c r="U3844" s="39" t="s">
        <v>1987</v>
      </c>
      <c r="V3844" s="69" t="s">
        <v>272</v>
      </c>
      <c r="W3844" s="89" t="s">
        <v>175</v>
      </c>
      <c r="X3844" s="106" t="s">
        <v>297</v>
      </c>
      <c r="Y3844" s="107" t="s">
        <v>12</v>
      </c>
      <c r="Z3844" s="67">
        <f>IF(База_КР_КК[[#This Row],[Таб.номер резервиста]]="-","-",IF(OR(База_КР_КК[[#This Row],[Уровень КК]]=2,База_КР_КК[[#This Row],[Уровень КК]]=3),IF(COUNTIFS($U$2:$U3844,$U3844,$F$2:$F3844,$F3844)=1,1,0),IF(COUNTIFS($U$2:$U3844,$U3844,$L$2:$L3844,$L3844)=1,1,0)))</f>
        <v>0</v>
      </c>
      <c r="AA38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4" s="106"/>
      <c r="AC3844" s="51"/>
      <c r="AD3844" s="106" t="s">
        <v>15</v>
      </c>
      <c r="AE3844" s="38" t="s">
        <v>395</v>
      </c>
    </row>
    <row r="3845" spans="1:31" ht="18" customHeight="1" x14ac:dyDescent="0.25">
      <c r="A38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5" s="79">
        <v>4</v>
      </c>
      <c r="C3845" s="23">
        <v>44897</v>
      </c>
      <c r="D3845" s="67">
        <f>IF(COUNTIF($G$2:$G3845,$G3845)=1,1,0)</f>
        <v>0</v>
      </c>
      <c r="E3845" s="67" t="str">
        <f>IFERROR(VLOOKUP(База_КР_КК[[#This Row],[ИД штатной должности (S)]],'уровень защищенности'!$B$7:$F$1095,5,0),"не защищена")</f>
        <v>средний</v>
      </c>
      <c r="F3845" s="68">
        <v>500409</v>
      </c>
      <c r="G3845" s="74" t="s">
        <v>3108</v>
      </c>
      <c r="H3845" s="181">
        <f>INDEX('Списки данных'!$D$2:$D$1048576,MATCH(База_КР_КК[[#This Row],[Структурное подразделение]],'Списки данных'!$C$2:$C$1048576,0))</f>
        <v>63</v>
      </c>
      <c r="I3845" s="80" t="s">
        <v>175</v>
      </c>
      <c r="J3845" s="80" t="s">
        <v>261</v>
      </c>
      <c r="K3845" s="80" t="s">
        <v>262</v>
      </c>
      <c r="L3845" s="30" t="s">
        <v>191</v>
      </c>
      <c r="M3845" s="68">
        <v>7</v>
      </c>
      <c r="N3845" s="181" t="str">
        <f t="shared" si="61"/>
        <v>нет</v>
      </c>
      <c r="O3845" s="23"/>
      <c r="P3845" s="23"/>
      <c r="Q3845" s="106"/>
      <c r="R3845" s="37">
        <v>924</v>
      </c>
      <c r="S3845" s="39" t="s">
        <v>1333</v>
      </c>
      <c r="T3845" s="37">
        <v>2028</v>
      </c>
      <c r="U3845" s="38" t="s">
        <v>1457</v>
      </c>
      <c r="V3845" s="69" t="s">
        <v>272</v>
      </c>
      <c r="W3845" s="89" t="s">
        <v>175</v>
      </c>
      <c r="X3845" s="106" t="s">
        <v>296</v>
      </c>
      <c r="Y3845" s="107" t="s">
        <v>12</v>
      </c>
      <c r="Z3845" s="67">
        <f>IF(База_КР_КК[[#This Row],[Таб.номер резервиста]]="-","-",IF(OR(База_КР_КК[[#This Row],[Уровень КК]]=2,База_КР_КК[[#This Row],[Уровень КК]]=3),IF(COUNTIFS($U$2:$U3845,$U3845,$F$2:$F3845,$F3845)=1,1,0),IF(COUNTIFS($U$2:$U3845,$U3845,$L$2:$L3845,$L3845)=1,1,0)))</f>
        <v>0</v>
      </c>
      <c r="AA38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5" s="106"/>
      <c r="AC3845" s="51"/>
      <c r="AD3845" s="106" t="s">
        <v>15</v>
      </c>
      <c r="AE3845" s="38" t="s">
        <v>314</v>
      </c>
    </row>
    <row r="3846" spans="1:31" ht="18" customHeight="1" x14ac:dyDescent="0.25">
      <c r="A38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6" s="79">
        <v>4</v>
      </c>
      <c r="C3846" s="23">
        <v>44512</v>
      </c>
      <c r="D3846" s="67">
        <f>IF(COUNTIF($G$2:$G3846,$G3846)=1,1,0)</f>
        <v>1</v>
      </c>
      <c r="E3846" s="67" t="str">
        <f>IFERROR(VLOOKUP(База_КР_КК[[#This Row],[ИД штатной должности (S)]],'уровень защищенности'!$B$7:$F$1095,5,0),"не защищена")</f>
        <v>низкий</v>
      </c>
      <c r="F3846" s="68">
        <v>500410</v>
      </c>
      <c r="G3846" s="74" t="s">
        <v>3109</v>
      </c>
      <c r="H3846" s="181">
        <f>INDEX('Списки данных'!$D$2:$D$1048576,MATCH(База_КР_КК[[#This Row],[Структурное подразделение]],'Списки данных'!$C$2:$C$1048576,0))</f>
        <v>63</v>
      </c>
      <c r="I3846" s="80" t="s">
        <v>175</v>
      </c>
      <c r="J3846" s="80" t="s">
        <v>261</v>
      </c>
      <c r="K3846" s="80" t="s">
        <v>262</v>
      </c>
      <c r="L3846" s="30" t="s">
        <v>191</v>
      </c>
      <c r="M3846" s="68">
        <v>7</v>
      </c>
      <c r="N3846" s="181" t="str">
        <f t="shared" si="61"/>
        <v>нет</v>
      </c>
      <c r="O3846" s="23"/>
      <c r="P3846" s="23"/>
      <c r="Q3846" s="106"/>
      <c r="R3846" s="37">
        <v>925</v>
      </c>
      <c r="S3846" s="39" t="s">
        <v>1334</v>
      </c>
      <c r="T3846" s="37">
        <v>2029</v>
      </c>
      <c r="U3846" s="39" t="s">
        <v>2059</v>
      </c>
      <c r="V3846" s="69" t="s">
        <v>272</v>
      </c>
      <c r="W3846" s="89" t="s">
        <v>175</v>
      </c>
      <c r="X3846" s="106" t="s">
        <v>296</v>
      </c>
      <c r="Y3846" s="107" t="s">
        <v>12</v>
      </c>
      <c r="Z3846" s="67">
        <f>IF(База_КР_КК[[#This Row],[Таб.номер резервиста]]="-","-",IF(OR(База_КР_КК[[#This Row],[Уровень КК]]=2,База_КР_КК[[#This Row],[Уровень КК]]=3),IF(COUNTIFS($U$2:$U3846,$U3846,$F$2:$F3846,$F3846)=1,1,0),IF(COUNTIFS($U$2:$U3846,$U3846,$L$2:$L3846,$L3846)=1,1,0)))</f>
        <v>0</v>
      </c>
      <c r="AA38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6" s="106"/>
      <c r="AC3846" s="51"/>
      <c r="AD3846" s="106" t="s">
        <v>15</v>
      </c>
      <c r="AE3846" s="38" t="s">
        <v>395</v>
      </c>
    </row>
    <row r="3847" spans="1:31" ht="18" customHeight="1" x14ac:dyDescent="0.25">
      <c r="A38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7" s="79">
        <v>4</v>
      </c>
      <c r="C3847" s="23">
        <v>44512</v>
      </c>
      <c r="D3847" s="67">
        <f>IF(COUNTIF($G$2:$G3847,$G3847)=1,1,0)</f>
        <v>1</v>
      </c>
      <c r="E3847" s="67" t="str">
        <f>IFERROR(VLOOKUP(База_КР_КК[[#This Row],[ИД штатной должности (S)]],'уровень защищенности'!$B$7:$F$1095,5,0),"не защищена")</f>
        <v>низкий</v>
      </c>
      <c r="F3847" s="68">
        <v>500410</v>
      </c>
      <c r="G3847" s="74" t="s">
        <v>3110</v>
      </c>
      <c r="H3847" s="181">
        <f>INDEX('Списки данных'!$D$2:$D$1048576,MATCH(База_КР_КК[[#This Row],[Структурное подразделение]],'Списки данных'!$C$2:$C$1048576,0))</f>
        <v>63</v>
      </c>
      <c r="I3847" s="80" t="s">
        <v>175</v>
      </c>
      <c r="J3847" s="80" t="s">
        <v>261</v>
      </c>
      <c r="K3847" s="80" t="s">
        <v>262</v>
      </c>
      <c r="L3847" s="30" t="s">
        <v>191</v>
      </c>
      <c r="M3847" s="68">
        <v>7</v>
      </c>
      <c r="N3847" s="181" t="str">
        <f t="shared" si="61"/>
        <v>нет</v>
      </c>
      <c r="O3847" s="23"/>
      <c r="P3847" s="23"/>
      <c r="Q3847" s="106"/>
      <c r="R3847" s="37">
        <v>926</v>
      </c>
      <c r="S3847" s="39" t="s">
        <v>1335</v>
      </c>
      <c r="T3847" s="37">
        <v>2029</v>
      </c>
      <c r="U3847" s="39" t="s">
        <v>2059</v>
      </c>
      <c r="V3847" s="69" t="s">
        <v>272</v>
      </c>
      <c r="W3847" s="89" t="s">
        <v>175</v>
      </c>
      <c r="X3847" s="106" t="s">
        <v>296</v>
      </c>
      <c r="Y3847" s="107" t="s">
        <v>12</v>
      </c>
      <c r="Z3847" s="67">
        <f>IF(База_КР_КК[[#This Row],[Таб.номер резервиста]]="-","-",IF(OR(База_КР_КК[[#This Row],[Уровень КК]]=2,База_КР_КК[[#This Row],[Уровень КК]]=3),IF(COUNTIFS($U$2:$U3847,$U3847,$F$2:$F3847,$F3847)=1,1,0),IF(COUNTIFS($U$2:$U3847,$U3847,$L$2:$L3847,$L3847)=1,1,0)))</f>
        <v>0</v>
      </c>
      <c r="AA38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7" s="106"/>
      <c r="AC3847" s="51"/>
      <c r="AD3847" s="106" t="s">
        <v>15</v>
      </c>
      <c r="AE3847" s="38" t="s">
        <v>395</v>
      </c>
    </row>
    <row r="3848" spans="1:31" ht="18" customHeight="1" x14ac:dyDescent="0.25">
      <c r="A38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8" s="79">
        <v>4</v>
      </c>
      <c r="C3848" s="23">
        <v>44512</v>
      </c>
      <c r="D3848" s="67">
        <f>IF(COUNTIF($G$2:$G3848,$G3848)=1,1,0)</f>
        <v>1</v>
      </c>
      <c r="E3848" s="67" t="str">
        <f>IFERROR(VLOOKUP(База_КР_КК[[#This Row],[ИД штатной должности (S)]],'уровень защищенности'!$B$7:$F$1095,5,0),"не защищена")</f>
        <v>низкий</v>
      </c>
      <c r="F3848" s="68">
        <v>500410</v>
      </c>
      <c r="G3848" s="74" t="s">
        <v>3111</v>
      </c>
      <c r="H3848" s="181">
        <f>INDEX('Списки данных'!$D$2:$D$1048576,MATCH(База_КР_КК[[#This Row],[Структурное подразделение]],'Списки данных'!$C$2:$C$1048576,0))</f>
        <v>63</v>
      </c>
      <c r="I3848" s="80" t="s">
        <v>175</v>
      </c>
      <c r="J3848" s="80" t="s">
        <v>261</v>
      </c>
      <c r="K3848" s="80" t="s">
        <v>262</v>
      </c>
      <c r="L3848" s="30" t="s">
        <v>191</v>
      </c>
      <c r="M3848" s="68">
        <v>7</v>
      </c>
      <c r="N3848" s="181" t="str">
        <f t="shared" si="61"/>
        <v>нет</v>
      </c>
      <c r="O3848" s="23"/>
      <c r="P3848" s="23"/>
      <c r="Q3848" s="106"/>
      <c r="R3848" s="37">
        <v>927</v>
      </c>
      <c r="S3848" s="39" t="s">
        <v>1336</v>
      </c>
      <c r="T3848" s="37">
        <v>2029</v>
      </c>
      <c r="U3848" s="39" t="s">
        <v>2059</v>
      </c>
      <c r="V3848" s="69" t="s">
        <v>272</v>
      </c>
      <c r="W3848" s="89" t="s">
        <v>175</v>
      </c>
      <c r="X3848" s="106" t="s">
        <v>296</v>
      </c>
      <c r="Y3848" s="107" t="s">
        <v>12</v>
      </c>
      <c r="Z3848" s="67">
        <f>IF(База_КР_КК[[#This Row],[Таб.номер резервиста]]="-","-",IF(OR(База_КР_КК[[#This Row],[Уровень КК]]=2,База_КР_КК[[#This Row],[Уровень КК]]=3),IF(COUNTIFS($U$2:$U3848,$U3848,$F$2:$F3848,$F3848)=1,1,0),IF(COUNTIFS($U$2:$U3848,$U3848,$L$2:$L3848,$L3848)=1,1,0)))</f>
        <v>0</v>
      </c>
      <c r="AA38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8" s="106"/>
      <c r="AC3848" s="51"/>
      <c r="AD3848" s="106" t="s">
        <v>15</v>
      </c>
      <c r="AE3848" s="38" t="s">
        <v>395</v>
      </c>
    </row>
    <row r="3849" spans="1:31" ht="18" customHeight="1" x14ac:dyDescent="0.25">
      <c r="A38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49" s="79">
        <v>4</v>
      </c>
      <c r="C3849" s="23">
        <v>44512</v>
      </c>
      <c r="D3849" s="67">
        <f>IF(COUNTIF($G$2:$G3849,$G3849)=1,1,0)</f>
        <v>1</v>
      </c>
      <c r="E3849" s="67" t="str">
        <f>IFERROR(VLOOKUP(База_КР_КК[[#This Row],[ИД штатной должности (S)]],'уровень защищенности'!$B$7:$F$1095,5,0),"не защищена")</f>
        <v>высокий</v>
      </c>
      <c r="F3849" s="68">
        <v>500411</v>
      </c>
      <c r="G3849" s="74" t="s">
        <v>3112</v>
      </c>
      <c r="H3849" s="181">
        <f>INDEX('Списки данных'!$D$2:$D$1048576,MATCH(База_КР_КК[[#This Row],[Структурное подразделение]],'Списки данных'!$C$2:$C$1048576,0))</f>
        <v>63</v>
      </c>
      <c r="I3849" s="80" t="s">
        <v>175</v>
      </c>
      <c r="J3849" s="80" t="s">
        <v>261</v>
      </c>
      <c r="K3849" s="80" t="s">
        <v>262</v>
      </c>
      <c r="L3849" s="30" t="s">
        <v>198</v>
      </c>
      <c r="M3849" s="68">
        <v>6</v>
      </c>
      <c r="N3849" s="181" t="str">
        <f t="shared" si="61"/>
        <v>нет</v>
      </c>
      <c r="O3849" s="23"/>
      <c r="P3849" s="23"/>
      <c r="Q3849" s="106"/>
      <c r="R3849" s="37">
        <v>928</v>
      </c>
      <c r="S3849" s="39" t="s">
        <v>1337</v>
      </c>
      <c r="T3849" s="37">
        <v>924</v>
      </c>
      <c r="U3849" s="39" t="s">
        <v>1333</v>
      </c>
      <c r="V3849" s="69" t="s">
        <v>192</v>
      </c>
      <c r="W3849" s="89" t="s">
        <v>175</v>
      </c>
      <c r="X3849" s="106" t="s">
        <v>297</v>
      </c>
      <c r="Y3849" s="107" t="s">
        <v>12</v>
      </c>
      <c r="Z3849" s="67">
        <f>IF(База_КР_КК[[#This Row],[Таб.номер резервиста]]="-","-",IF(OR(База_КР_КК[[#This Row],[Уровень КК]]=2,База_КР_КК[[#This Row],[Уровень КК]]=3),IF(COUNTIFS($U$2:$U3849,$U3849,$F$2:$F3849,$F3849)=1,1,0),IF(COUNTIFS($U$2:$U3849,$U3849,$L$2:$L3849,$L3849)=1,1,0)))</f>
        <v>1</v>
      </c>
      <c r="AA38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49" s="106"/>
      <c r="AC3849" s="51"/>
      <c r="AD3849" s="106" t="s">
        <v>15</v>
      </c>
      <c r="AE3849" s="38" t="s">
        <v>395</v>
      </c>
    </row>
    <row r="3850" spans="1:31" ht="18" customHeight="1" x14ac:dyDescent="0.25">
      <c r="A38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0" s="79">
        <v>4</v>
      </c>
      <c r="C3850" s="23">
        <v>44512</v>
      </c>
      <c r="D3850" s="67">
        <f>IF(COUNTIF($G$2:$G3850,$G3850)=1,1,0)</f>
        <v>0</v>
      </c>
      <c r="E3850" s="67" t="str">
        <f>IFERROR(VLOOKUP(База_КР_КК[[#This Row],[ИД штатной должности (S)]],'уровень защищенности'!$B$7:$F$1095,5,0),"не защищена")</f>
        <v>высокий</v>
      </c>
      <c r="F3850" s="68">
        <v>500411</v>
      </c>
      <c r="G3850" s="74" t="s">
        <v>3112</v>
      </c>
      <c r="H3850" s="181">
        <f>INDEX('Списки данных'!$D$2:$D$1048576,MATCH(База_КР_КК[[#This Row],[Структурное подразделение]],'Списки данных'!$C$2:$C$1048576,0))</f>
        <v>63</v>
      </c>
      <c r="I3850" s="80" t="s">
        <v>175</v>
      </c>
      <c r="J3850" s="80" t="s">
        <v>261</v>
      </c>
      <c r="K3850" s="80" t="s">
        <v>262</v>
      </c>
      <c r="L3850" s="30" t="s">
        <v>198</v>
      </c>
      <c r="M3850" s="68">
        <v>6</v>
      </c>
      <c r="N3850" s="181" t="str">
        <f t="shared" si="61"/>
        <v>нет</v>
      </c>
      <c r="O3850" s="23"/>
      <c r="P3850" s="23"/>
      <c r="Q3850" s="106"/>
      <c r="R3850" s="37">
        <v>928</v>
      </c>
      <c r="S3850" s="39" t="s">
        <v>1337</v>
      </c>
      <c r="T3850" s="37">
        <v>925</v>
      </c>
      <c r="U3850" s="39" t="s">
        <v>1334</v>
      </c>
      <c r="V3850" s="69" t="s">
        <v>192</v>
      </c>
      <c r="W3850" s="89" t="s">
        <v>175</v>
      </c>
      <c r="X3850" s="106" t="s">
        <v>295</v>
      </c>
      <c r="Y3850" s="107" t="s">
        <v>12</v>
      </c>
      <c r="Z3850" s="67">
        <f>IF(База_КР_КК[[#This Row],[Таб.номер резервиста]]="-","-",IF(OR(База_КР_КК[[#This Row],[Уровень КК]]=2,База_КР_КК[[#This Row],[Уровень КК]]=3),IF(COUNTIFS($U$2:$U3850,$U3850,$F$2:$F3850,$F3850)=1,1,0),IF(COUNTIFS($U$2:$U3850,$U3850,$L$2:$L3850,$L3850)=1,1,0)))</f>
        <v>1</v>
      </c>
      <c r="AA38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0" s="106"/>
      <c r="AC3850" s="51"/>
      <c r="AD3850" s="106" t="s">
        <v>15</v>
      </c>
      <c r="AE3850" s="38" t="s">
        <v>395</v>
      </c>
    </row>
    <row r="3851" spans="1:31" ht="18" customHeight="1" x14ac:dyDescent="0.25">
      <c r="A38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1" s="79">
        <v>4</v>
      </c>
      <c r="C3851" s="23">
        <v>44897</v>
      </c>
      <c r="D3851" s="67">
        <f>IF(COUNTIF($G$2:$G3851,$G3851)=1,1,0)</f>
        <v>0</v>
      </c>
      <c r="E3851" s="67" t="str">
        <f>IFERROR(VLOOKUP(База_КР_КК[[#This Row],[ИД штатной должности (S)]],'уровень защищенности'!$B$7:$F$1095,5,0),"не защищена")</f>
        <v>высокий</v>
      </c>
      <c r="F3851" s="68">
        <v>500411</v>
      </c>
      <c r="G3851" s="74" t="s">
        <v>3112</v>
      </c>
      <c r="H3851" s="181">
        <f>INDEX('Списки данных'!$D$2:$D$1048576,MATCH(База_КР_КК[[#This Row],[Структурное подразделение]],'Списки данных'!$C$2:$C$1048576,0))</f>
        <v>63</v>
      </c>
      <c r="I3851" s="80" t="s">
        <v>175</v>
      </c>
      <c r="J3851" s="80" t="s">
        <v>261</v>
      </c>
      <c r="K3851" s="80" t="s">
        <v>262</v>
      </c>
      <c r="L3851" s="30" t="s">
        <v>198</v>
      </c>
      <c r="M3851" s="68">
        <v>6</v>
      </c>
      <c r="N3851" s="181" t="str">
        <f t="shared" si="61"/>
        <v>нет</v>
      </c>
      <c r="O3851" s="23"/>
      <c r="P3851" s="23"/>
      <c r="Q3851" s="106"/>
      <c r="R3851" s="37">
        <v>928</v>
      </c>
      <c r="S3851" s="39" t="s">
        <v>1337</v>
      </c>
      <c r="T3851" s="37">
        <v>927</v>
      </c>
      <c r="U3851" s="38" t="s">
        <v>1336</v>
      </c>
      <c r="V3851" s="69" t="s">
        <v>192</v>
      </c>
      <c r="W3851" s="89" t="s">
        <v>175</v>
      </c>
      <c r="X3851" s="106" t="s">
        <v>297</v>
      </c>
      <c r="Y3851" s="107" t="s">
        <v>12</v>
      </c>
      <c r="Z3851" s="67">
        <f>IF(База_КР_КК[[#This Row],[Таб.номер резервиста]]="-","-",IF(OR(База_КР_КК[[#This Row],[Уровень КК]]=2,База_КР_КК[[#This Row],[Уровень КК]]=3),IF(COUNTIFS($U$2:$U3851,$U3851,$F$2:$F3851,$F3851)=1,1,0),IF(COUNTIFS($U$2:$U3851,$U3851,$L$2:$L3851,$L3851)=1,1,0)))</f>
        <v>1</v>
      </c>
      <c r="AA38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1" s="106"/>
      <c r="AC3851" s="51"/>
      <c r="AD3851" s="106" t="s">
        <v>15</v>
      </c>
      <c r="AE3851" s="38" t="s">
        <v>314</v>
      </c>
    </row>
    <row r="3852" spans="1:31" ht="18" customHeight="1" x14ac:dyDescent="0.25">
      <c r="A38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2" s="79">
        <v>4</v>
      </c>
      <c r="C3852" s="23">
        <v>44512</v>
      </c>
      <c r="D3852" s="67">
        <f>IF(COUNTIF($G$2:$G3852,$G3852)=1,1,0)</f>
        <v>0</v>
      </c>
      <c r="E3852" s="67" t="str">
        <f>IFERROR(VLOOKUP(База_КР_КК[[#This Row],[ИД штатной должности (S)]],'уровень защищенности'!$B$7:$F$1095,5,0),"не защищена")</f>
        <v>высокий</v>
      </c>
      <c r="F3852" s="68">
        <v>500411</v>
      </c>
      <c r="G3852" s="74" t="s">
        <v>3112</v>
      </c>
      <c r="H3852" s="181">
        <f>INDEX('Списки данных'!$D$2:$D$1048576,MATCH(База_КР_КК[[#This Row],[Структурное подразделение]],'Списки данных'!$C$2:$C$1048576,0))</f>
        <v>63</v>
      </c>
      <c r="I3852" s="80" t="s">
        <v>175</v>
      </c>
      <c r="J3852" s="80" t="s">
        <v>261</v>
      </c>
      <c r="K3852" s="80" t="s">
        <v>262</v>
      </c>
      <c r="L3852" s="30" t="s">
        <v>198</v>
      </c>
      <c r="M3852" s="68">
        <v>6</v>
      </c>
      <c r="N3852" s="181" t="str">
        <f t="shared" si="61"/>
        <v>нет</v>
      </c>
      <c r="O3852" s="23"/>
      <c r="P3852" s="23"/>
      <c r="Q3852" s="106"/>
      <c r="R3852" s="37">
        <v>928</v>
      </c>
      <c r="S3852" s="39" t="s">
        <v>1337</v>
      </c>
      <c r="T3852" s="37">
        <v>926</v>
      </c>
      <c r="U3852" s="39" t="s">
        <v>1335</v>
      </c>
      <c r="V3852" s="69" t="s">
        <v>192</v>
      </c>
      <c r="W3852" s="89" t="s">
        <v>175</v>
      </c>
      <c r="X3852" s="106" t="s">
        <v>295</v>
      </c>
      <c r="Y3852" s="107" t="s">
        <v>18</v>
      </c>
      <c r="Z3852" s="67">
        <f>IF(База_КР_КК[[#This Row],[Таб.номер резервиста]]="-","-",IF(OR(База_КР_КК[[#This Row],[Уровень КК]]=2,База_КР_КК[[#This Row],[Уровень КК]]=3),IF(COUNTIFS($U$2:$U3852,$U3852,$F$2:$F3852,$F3852)=1,1,0),IF(COUNTIFS($U$2:$U3852,$U3852,$L$2:$L3852,$L3852)=1,1,0)))</f>
        <v>1</v>
      </c>
      <c r="AA38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2" s="106" t="s">
        <v>38</v>
      </c>
      <c r="AC3852" s="51">
        <v>44897</v>
      </c>
      <c r="AD3852" s="106" t="s">
        <v>31</v>
      </c>
      <c r="AE3852" s="38" t="s">
        <v>314</v>
      </c>
    </row>
    <row r="3853" spans="1:31" ht="18" customHeight="1" x14ac:dyDescent="0.25">
      <c r="A38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3" s="79">
        <v>4</v>
      </c>
      <c r="C3853" s="23">
        <v>44512</v>
      </c>
      <c r="D3853" s="67">
        <f>IF(COUNTIF($G$2:$G3853,$G3853)=1,1,0)</f>
        <v>1</v>
      </c>
      <c r="E3853" s="67" t="str">
        <f>IFERROR(VLOOKUP(База_КР_КК[[#This Row],[ИД штатной должности (S)]],'уровень защищенности'!$B$7:$F$1095,5,0),"не защищена")</f>
        <v>низкий</v>
      </c>
      <c r="F3853" s="68">
        <v>500412</v>
      </c>
      <c r="G3853" s="74" t="s">
        <v>3113</v>
      </c>
      <c r="H3853" s="181">
        <f>INDEX('Списки данных'!$D$2:$D$1048576,MATCH(База_КР_КК[[#This Row],[Структурное подразделение]],'Списки данных'!$C$2:$C$1048576,0))</f>
        <v>63</v>
      </c>
      <c r="I3853" s="80" t="s">
        <v>175</v>
      </c>
      <c r="J3853" s="80" t="s">
        <v>261</v>
      </c>
      <c r="K3853" s="80" t="s">
        <v>262</v>
      </c>
      <c r="L3853" s="82" t="s">
        <v>191</v>
      </c>
      <c r="M3853" s="68">
        <v>7</v>
      </c>
      <c r="N3853" s="181" t="str">
        <f t="shared" si="61"/>
        <v>нет</v>
      </c>
      <c r="O3853" s="23"/>
      <c r="P3853" s="23"/>
      <c r="Q3853" s="106"/>
      <c r="R3853" s="37">
        <v>929</v>
      </c>
      <c r="S3853" s="39" t="s">
        <v>1338</v>
      </c>
      <c r="T3853" s="37">
        <v>2030</v>
      </c>
      <c r="U3853" s="37" t="s">
        <v>1582</v>
      </c>
      <c r="V3853" s="69" t="s">
        <v>272</v>
      </c>
      <c r="W3853" s="89" t="s">
        <v>175</v>
      </c>
      <c r="X3853" s="106" t="s">
        <v>296</v>
      </c>
      <c r="Y3853" s="107" t="s">
        <v>12</v>
      </c>
      <c r="Z3853" s="67">
        <f>IF(База_КР_КК[[#This Row],[Таб.номер резервиста]]="-","-",IF(OR(База_КР_КК[[#This Row],[Уровень КК]]=2,База_КР_КК[[#This Row],[Уровень КК]]=3),IF(COUNTIFS($U$2:$U3853,$U3853,$F$2:$F3853,$F3853)=1,1,0),IF(COUNTIFS($U$2:$U3853,$U3853,$L$2:$L3853,$L3853)=1,1,0)))</f>
        <v>0</v>
      </c>
      <c r="AA38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3" s="106"/>
      <c r="AC3853" s="51"/>
      <c r="AD3853" s="106" t="s">
        <v>15</v>
      </c>
      <c r="AE3853" s="38" t="s">
        <v>395</v>
      </c>
    </row>
    <row r="3854" spans="1:31" ht="18" customHeight="1" x14ac:dyDescent="0.25">
      <c r="A38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4" s="79">
        <v>4</v>
      </c>
      <c r="C3854" s="23">
        <v>44512</v>
      </c>
      <c r="D3854" s="67">
        <f>IF(COUNTIF($G$2:$G3854,$G3854)=1,1,0)</f>
        <v>0</v>
      </c>
      <c r="E3854" s="67" t="str">
        <f>IFERROR(VLOOKUP(База_КР_КК[[#This Row],[ИД штатной должности (S)]],'уровень защищенности'!$B$7:$F$1095,5,0),"не защищена")</f>
        <v>низкий</v>
      </c>
      <c r="F3854" s="68">
        <v>500412</v>
      </c>
      <c r="G3854" s="74" t="s">
        <v>3113</v>
      </c>
      <c r="H3854" s="181">
        <f>INDEX('Списки данных'!$D$2:$D$1048576,MATCH(База_КР_КК[[#This Row],[Структурное подразделение]],'Списки данных'!$C$2:$C$1048576,0))</f>
        <v>63</v>
      </c>
      <c r="I3854" s="80" t="s">
        <v>175</v>
      </c>
      <c r="J3854" s="80" t="s">
        <v>261</v>
      </c>
      <c r="K3854" s="80" t="s">
        <v>262</v>
      </c>
      <c r="L3854" s="82" t="s">
        <v>191</v>
      </c>
      <c r="M3854" s="68">
        <v>7</v>
      </c>
      <c r="N3854" s="181" t="str">
        <f t="shared" si="61"/>
        <v>нет</v>
      </c>
      <c r="O3854" s="23"/>
      <c r="P3854" s="23"/>
      <c r="Q3854" s="106"/>
      <c r="R3854" s="37">
        <v>929</v>
      </c>
      <c r="S3854" s="39" t="s">
        <v>1338</v>
      </c>
      <c r="T3854" s="37">
        <v>2031</v>
      </c>
      <c r="U3854" s="37" t="s">
        <v>1925</v>
      </c>
      <c r="V3854" s="69" t="s">
        <v>272</v>
      </c>
      <c r="W3854" s="89" t="s">
        <v>175</v>
      </c>
      <c r="X3854" s="106" t="s">
        <v>296</v>
      </c>
      <c r="Y3854" s="107" t="s">
        <v>12</v>
      </c>
      <c r="Z3854" s="67">
        <f>IF(База_КР_КК[[#This Row],[Таб.номер резервиста]]="-","-",IF(OR(База_КР_КК[[#This Row],[Уровень КК]]=2,База_КР_КК[[#This Row],[Уровень КК]]=3),IF(COUNTIFS($U$2:$U3854,$U3854,$F$2:$F3854,$F3854)=1,1,0),IF(COUNTIFS($U$2:$U3854,$U3854,$L$2:$L3854,$L3854)=1,1,0)))</f>
        <v>0</v>
      </c>
      <c r="AA38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4" s="106"/>
      <c r="AC3854" s="51"/>
      <c r="AD3854" s="106" t="s">
        <v>15</v>
      </c>
      <c r="AE3854" s="38" t="s">
        <v>395</v>
      </c>
    </row>
    <row r="3855" spans="1:31" ht="18" customHeight="1" x14ac:dyDescent="0.25">
      <c r="A38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5" s="79">
        <v>4</v>
      </c>
      <c r="C3855" s="23">
        <v>44512</v>
      </c>
      <c r="D3855" s="67">
        <f>IF(COUNTIF($G$2:$G3855,$G3855)=1,1,0)</f>
        <v>0</v>
      </c>
      <c r="E3855" s="67" t="str">
        <f>IFERROR(VLOOKUP(База_КР_КК[[#This Row],[ИД штатной должности (S)]],'уровень защищенности'!$B$7:$F$1095,5,0),"не защищена")</f>
        <v>низкий</v>
      </c>
      <c r="F3855" s="68">
        <v>500412</v>
      </c>
      <c r="G3855" s="74" t="s">
        <v>3113</v>
      </c>
      <c r="H3855" s="181">
        <f>INDEX('Списки данных'!$D$2:$D$1048576,MATCH(База_КР_КК[[#This Row],[Структурное подразделение]],'Списки данных'!$C$2:$C$1048576,0))</f>
        <v>63</v>
      </c>
      <c r="I3855" s="80" t="s">
        <v>175</v>
      </c>
      <c r="J3855" s="80" t="s">
        <v>261</v>
      </c>
      <c r="K3855" s="80" t="s">
        <v>262</v>
      </c>
      <c r="L3855" s="82" t="s">
        <v>191</v>
      </c>
      <c r="M3855" s="68">
        <v>7</v>
      </c>
      <c r="N3855" s="181" t="str">
        <f t="shared" si="61"/>
        <v>нет</v>
      </c>
      <c r="O3855" s="23"/>
      <c r="P3855" s="23"/>
      <c r="Q3855" s="106"/>
      <c r="R3855" s="37">
        <v>929</v>
      </c>
      <c r="S3855" s="39" t="s">
        <v>1338</v>
      </c>
      <c r="T3855" s="37">
        <v>2032</v>
      </c>
      <c r="U3855" s="37" t="s">
        <v>1985</v>
      </c>
      <c r="V3855" s="69" t="s">
        <v>16</v>
      </c>
      <c r="W3855" s="89" t="s">
        <v>175</v>
      </c>
      <c r="X3855" s="106" t="s">
        <v>296</v>
      </c>
      <c r="Y3855" s="107" t="s">
        <v>18</v>
      </c>
      <c r="Z3855" s="67">
        <f>IF(База_КР_КК[[#This Row],[Таб.номер резервиста]]="-","-",IF(OR(База_КР_КК[[#This Row],[Уровень КК]]=2,База_КР_КК[[#This Row],[Уровень КК]]=3),IF(COUNTIFS($U$2:$U3855,$U3855,$F$2:$F3855,$F3855)=1,1,0),IF(COUNTIFS($U$2:$U3855,$U3855,$L$2:$L3855,$L3855)=1,1,0)))</f>
        <v>1</v>
      </c>
      <c r="AA38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5" s="106" t="s">
        <v>33</v>
      </c>
      <c r="AC3855" s="51">
        <v>44897</v>
      </c>
      <c r="AD3855" s="106" t="s">
        <v>31</v>
      </c>
      <c r="AE3855" s="38" t="s">
        <v>314</v>
      </c>
    </row>
    <row r="3856" spans="1:31" ht="18" customHeight="1" x14ac:dyDescent="0.25">
      <c r="A38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6" s="79">
        <v>4</v>
      </c>
      <c r="C3856" s="23">
        <v>44512</v>
      </c>
      <c r="D3856" s="67">
        <f>IF(COUNTIF($G$2:$G3856,$G3856)=1,1,0)</f>
        <v>1</v>
      </c>
      <c r="E3856" s="67" t="str">
        <f>IFERROR(VLOOKUP(База_КР_КК[[#This Row],[ИД штатной должности (S)]],'уровень защищенности'!$B$7:$F$1095,5,0),"не защищена")</f>
        <v>низкий</v>
      </c>
      <c r="F3856" s="68">
        <v>500412</v>
      </c>
      <c r="G3856" s="74" t="s">
        <v>3114</v>
      </c>
      <c r="H3856" s="181">
        <f>INDEX('Списки данных'!$D$2:$D$1048576,MATCH(База_КР_КК[[#This Row],[Структурное подразделение]],'Списки данных'!$C$2:$C$1048576,0))</f>
        <v>63</v>
      </c>
      <c r="I3856" s="80" t="s">
        <v>175</v>
      </c>
      <c r="J3856" s="80" t="s">
        <v>261</v>
      </c>
      <c r="K3856" s="80" t="s">
        <v>262</v>
      </c>
      <c r="L3856" s="82" t="s">
        <v>191</v>
      </c>
      <c r="M3856" s="68">
        <v>7</v>
      </c>
      <c r="N3856" s="181" t="str">
        <f t="shared" si="61"/>
        <v>нет</v>
      </c>
      <c r="O3856" s="23"/>
      <c r="P3856" s="23"/>
      <c r="Q3856" s="106"/>
      <c r="R3856" s="37">
        <v>930</v>
      </c>
      <c r="S3856" s="39" t="s">
        <v>1339</v>
      </c>
      <c r="T3856" s="37">
        <v>2030</v>
      </c>
      <c r="U3856" s="37" t="s">
        <v>1582</v>
      </c>
      <c r="V3856" s="69" t="s">
        <v>272</v>
      </c>
      <c r="W3856" s="89" t="s">
        <v>175</v>
      </c>
      <c r="X3856" s="106" t="s">
        <v>296</v>
      </c>
      <c r="Y3856" s="107" t="s">
        <v>12</v>
      </c>
      <c r="Z3856" s="67">
        <f>IF(База_КР_КК[[#This Row],[Таб.номер резервиста]]="-","-",IF(OR(База_КР_КК[[#This Row],[Уровень КК]]=2,База_КР_КК[[#This Row],[Уровень КК]]=3),IF(COUNTIFS($U$2:$U3856,$U3856,$F$2:$F3856,$F3856)=1,1,0),IF(COUNTIFS($U$2:$U3856,$U3856,$L$2:$L3856,$L3856)=1,1,0)))</f>
        <v>0</v>
      </c>
      <c r="AA38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6" s="106"/>
      <c r="AC3856" s="51"/>
      <c r="AD3856" s="106" t="s">
        <v>15</v>
      </c>
      <c r="AE3856" s="38" t="s">
        <v>395</v>
      </c>
    </row>
    <row r="3857" spans="1:31" ht="18" customHeight="1" x14ac:dyDescent="0.25">
      <c r="A38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7" s="79">
        <v>4</v>
      </c>
      <c r="C3857" s="23">
        <v>44512</v>
      </c>
      <c r="D3857" s="67">
        <f>IF(COUNTIF($G$2:$G3857,$G3857)=1,1,0)</f>
        <v>0</v>
      </c>
      <c r="E3857" s="67" t="str">
        <f>IFERROR(VLOOKUP(База_КР_КК[[#This Row],[ИД штатной должности (S)]],'уровень защищенности'!$B$7:$F$1095,5,0),"не защищена")</f>
        <v>низкий</v>
      </c>
      <c r="F3857" s="68">
        <v>500412</v>
      </c>
      <c r="G3857" s="74" t="s">
        <v>3114</v>
      </c>
      <c r="H3857" s="181">
        <f>INDEX('Списки данных'!$D$2:$D$1048576,MATCH(База_КР_КК[[#This Row],[Структурное подразделение]],'Списки данных'!$C$2:$C$1048576,0))</f>
        <v>63</v>
      </c>
      <c r="I3857" s="80" t="s">
        <v>175</v>
      </c>
      <c r="J3857" s="80" t="s">
        <v>261</v>
      </c>
      <c r="K3857" s="80" t="s">
        <v>262</v>
      </c>
      <c r="L3857" s="82" t="s">
        <v>191</v>
      </c>
      <c r="M3857" s="68">
        <v>7</v>
      </c>
      <c r="N3857" s="181" t="str">
        <f t="shared" si="61"/>
        <v>нет</v>
      </c>
      <c r="O3857" s="23"/>
      <c r="P3857" s="23"/>
      <c r="Q3857" s="106"/>
      <c r="R3857" s="37">
        <v>930</v>
      </c>
      <c r="S3857" s="39" t="s">
        <v>1339</v>
      </c>
      <c r="T3857" s="37">
        <v>2031</v>
      </c>
      <c r="U3857" s="37" t="s">
        <v>1925</v>
      </c>
      <c r="V3857" s="69" t="s">
        <v>272</v>
      </c>
      <c r="W3857" s="89" t="s">
        <v>175</v>
      </c>
      <c r="X3857" s="106" t="s">
        <v>296</v>
      </c>
      <c r="Y3857" s="107" t="s">
        <v>12</v>
      </c>
      <c r="Z3857" s="67">
        <f>IF(База_КР_КК[[#This Row],[Таб.номер резервиста]]="-","-",IF(OR(База_КР_КК[[#This Row],[Уровень КК]]=2,База_КР_КК[[#This Row],[Уровень КК]]=3),IF(COUNTIFS($U$2:$U3857,$U3857,$F$2:$F3857,$F3857)=1,1,0),IF(COUNTIFS($U$2:$U3857,$U3857,$L$2:$L3857,$L3857)=1,1,0)))</f>
        <v>0</v>
      </c>
      <c r="AA38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7" s="106"/>
      <c r="AC3857" s="51"/>
      <c r="AD3857" s="106" t="s">
        <v>15</v>
      </c>
      <c r="AE3857" s="38" t="s">
        <v>395</v>
      </c>
    </row>
    <row r="3858" spans="1:31" ht="18" customHeight="1" x14ac:dyDescent="0.25">
      <c r="A38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8" s="79">
        <v>4</v>
      </c>
      <c r="C3858" s="23">
        <v>44512</v>
      </c>
      <c r="D3858" s="67">
        <f>IF(COUNTIF($G$2:$G3858,$G3858)=1,1,0)</f>
        <v>0</v>
      </c>
      <c r="E3858" s="67" t="str">
        <f>IFERROR(VLOOKUP(База_КР_КК[[#This Row],[ИД штатной должности (S)]],'уровень защищенности'!$B$7:$F$1095,5,0),"не защищена")</f>
        <v>низкий</v>
      </c>
      <c r="F3858" s="68">
        <v>500412</v>
      </c>
      <c r="G3858" s="74" t="s">
        <v>3114</v>
      </c>
      <c r="H3858" s="181">
        <f>INDEX('Списки данных'!$D$2:$D$1048576,MATCH(База_КР_КК[[#This Row],[Структурное подразделение]],'Списки данных'!$C$2:$C$1048576,0))</f>
        <v>63</v>
      </c>
      <c r="I3858" s="80" t="s">
        <v>175</v>
      </c>
      <c r="J3858" s="80" t="s">
        <v>261</v>
      </c>
      <c r="K3858" s="80" t="s">
        <v>262</v>
      </c>
      <c r="L3858" s="82" t="s">
        <v>191</v>
      </c>
      <c r="M3858" s="68">
        <v>7</v>
      </c>
      <c r="N3858" s="181" t="str">
        <f t="shared" si="61"/>
        <v>нет</v>
      </c>
      <c r="O3858" s="23"/>
      <c r="P3858" s="23"/>
      <c r="Q3858" s="106"/>
      <c r="R3858" s="37">
        <v>930</v>
      </c>
      <c r="S3858" s="39" t="s">
        <v>1339</v>
      </c>
      <c r="T3858" s="37">
        <v>2032</v>
      </c>
      <c r="U3858" s="37" t="s">
        <v>1985</v>
      </c>
      <c r="V3858" s="69" t="s">
        <v>16</v>
      </c>
      <c r="W3858" s="89" t="s">
        <v>175</v>
      </c>
      <c r="X3858" s="106" t="s">
        <v>296</v>
      </c>
      <c r="Y3858" s="107" t="s">
        <v>18</v>
      </c>
      <c r="Z3858" s="67">
        <f>IF(База_КР_КК[[#This Row],[Таб.номер резервиста]]="-","-",IF(OR(База_КР_КК[[#This Row],[Уровень КК]]=2,База_КР_КК[[#This Row],[Уровень КК]]=3),IF(COUNTIFS($U$2:$U3858,$U3858,$F$2:$F3858,$F3858)=1,1,0),IF(COUNTIFS($U$2:$U3858,$U3858,$L$2:$L3858,$L3858)=1,1,0)))</f>
        <v>0</v>
      </c>
      <c r="AA38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8" s="106" t="s">
        <v>33</v>
      </c>
      <c r="AC3858" s="51">
        <v>44897</v>
      </c>
      <c r="AD3858" s="106" t="s">
        <v>31</v>
      </c>
      <c r="AE3858" s="38" t="s">
        <v>314</v>
      </c>
    </row>
    <row r="3859" spans="1:31" ht="18" customHeight="1" x14ac:dyDescent="0.25">
      <c r="A38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59" s="79">
        <v>4</v>
      </c>
      <c r="C3859" s="23">
        <v>44512</v>
      </c>
      <c r="D3859" s="67">
        <f>IF(COUNTIF($G$2:$G3859,$G3859)=1,1,0)</f>
        <v>1</v>
      </c>
      <c r="E3859" s="67" t="str">
        <f>IFERROR(VLOOKUP(База_КР_КК[[#This Row],[ИД штатной должности (S)]],'уровень защищенности'!$B$7:$F$1095,5,0),"не защищена")</f>
        <v>средний</v>
      </c>
      <c r="F3859" s="68">
        <v>500413</v>
      </c>
      <c r="G3859" s="74" t="s">
        <v>3115</v>
      </c>
      <c r="H3859" s="181">
        <f>INDEX('Списки данных'!$D$2:$D$1048576,MATCH(База_КР_КК[[#This Row],[Структурное подразделение]],'Списки данных'!$C$2:$C$1048576,0))</f>
        <v>63</v>
      </c>
      <c r="I3859" s="80" t="s">
        <v>175</v>
      </c>
      <c r="J3859" s="80" t="s">
        <v>261</v>
      </c>
      <c r="K3859" s="80" t="s">
        <v>262</v>
      </c>
      <c r="L3859" s="30" t="s">
        <v>198</v>
      </c>
      <c r="M3859" s="68">
        <v>6</v>
      </c>
      <c r="N3859" s="181" t="str">
        <f t="shared" si="61"/>
        <v>нет</v>
      </c>
      <c r="O3859" s="23"/>
      <c r="P3859" s="23"/>
      <c r="Q3859" s="106"/>
      <c r="R3859" s="37">
        <v>931</v>
      </c>
      <c r="S3859" s="39" t="s">
        <v>1340</v>
      </c>
      <c r="T3859" s="37">
        <v>933</v>
      </c>
      <c r="U3859" s="37" t="s">
        <v>1342</v>
      </c>
      <c r="V3859" s="69" t="s">
        <v>192</v>
      </c>
      <c r="W3859" s="89" t="s">
        <v>175</v>
      </c>
      <c r="X3859" s="106" t="s">
        <v>297</v>
      </c>
      <c r="Y3859" s="107" t="s">
        <v>12</v>
      </c>
      <c r="Z3859" s="67">
        <f>IF(База_КР_КК[[#This Row],[Таб.номер резервиста]]="-","-",IF(OR(База_КР_КК[[#This Row],[Уровень КК]]=2,База_КР_КК[[#This Row],[Уровень КК]]=3),IF(COUNTIFS($U$2:$U3859,$U3859,$F$2:$F3859,$F3859)=1,1,0),IF(COUNTIFS($U$2:$U3859,$U3859,$L$2:$L3859,$L3859)=1,1,0)))</f>
        <v>1</v>
      </c>
      <c r="AA38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59" s="106"/>
      <c r="AC3859" s="51"/>
      <c r="AD3859" s="106" t="s">
        <v>15</v>
      </c>
      <c r="AE3859" s="38" t="s">
        <v>395</v>
      </c>
    </row>
    <row r="3860" spans="1:31" ht="18" customHeight="1" x14ac:dyDescent="0.25">
      <c r="A38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0" s="79">
        <v>4</v>
      </c>
      <c r="C3860" s="23">
        <v>44512</v>
      </c>
      <c r="D3860" s="67">
        <f>IF(COUNTIF($G$2:$G3860,$G3860)=1,1,0)</f>
        <v>0</v>
      </c>
      <c r="E3860" s="67" t="str">
        <f>IFERROR(VLOOKUP(База_КР_КК[[#This Row],[ИД штатной должности (S)]],'уровень защищенности'!$B$7:$F$1095,5,0),"не защищена")</f>
        <v>средний</v>
      </c>
      <c r="F3860" s="68">
        <v>500413</v>
      </c>
      <c r="G3860" s="74" t="s">
        <v>3115</v>
      </c>
      <c r="H3860" s="181">
        <f>INDEX('Списки данных'!$D$2:$D$1048576,MATCH(База_КР_КК[[#This Row],[Структурное подразделение]],'Списки данных'!$C$2:$C$1048576,0))</f>
        <v>63</v>
      </c>
      <c r="I3860" s="80" t="s">
        <v>175</v>
      </c>
      <c r="J3860" s="80" t="s">
        <v>261</v>
      </c>
      <c r="K3860" s="80" t="s">
        <v>262</v>
      </c>
      <c r="L3860" s="30" t="s">
        <v>198</v>
      </c>
      <c r="M3860" s="68">
        <v>6</v>
      </c>
      <c r="N3860" s="181" t="str">
        <f t="shared" si="61"/>
        <v>нет</v>
      </c>
      <c r="O3860" s="23"/>
      <c r="P3860" s="23"/>
      <c r="Q3860" s="106"/>
      <c r="R3860" s="37">
        <v>931</v>
      </c>
      <c r="S3860" s="39" t="s">
        <v>1340</v>
      </c>
      <c r="T3860" s="37">
        <v>932</v>
      </c>
      <c r="U3860" s="37" t="s">
        <v>1341</v>
      </c>
      <c r="V3860" s="69" t="s">
        <v>192</v>
      </c>
      <c r="W3860" s="89" t="s">
        <v>175</v>
      </c>
      <c r="X3860" s="106" t="s">
        <v>296</v>
      </c>
      <c r="Y3860" s="107" t="s">
        <v>12</v>
      </c>
      <c r="Z3860" s="67">
        <f>IF(База_КР_КК[[#This Row],[Таб.номер резервиста]]="-","-",IF(OR(База_КР_КК[[#This Row],[Уровень КК]]=2,База_КР_КК[[#This Row],[Уровень КК]]=3),IF(COUNTIFS($U$2:$U3860,$U3860,$F$2:$F3860,$F3860)=1,1,0),IF(COUNTIFS($U$2:$U3860,$U3860,$L$2:$L3860,$L3860)=1,1,0)))</f>
        <v>1</v>
      </c>
      <c r="AA38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0" s="106"/>
      <c r="AC3860" s="51"/>
      <c r="AD3860" s="106" t="s">
        <v>15</v>
      </c>
      <c r="AE3860" s="38" t="s">
        <v>395</v>
      </c>
    </row>
    <row r="3861" spans="1:31" ht="18" customHeight="1" x14ac:dyDescent="0.25">
      <c r="A38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1" s="79">
        <v>4</v>
      </c>
      <c r="C3861" s="23">
        <v>44512</v>
      </c>
      <c r="D3861" s="67">
        <f>IF(COUNTIF($G$2:$G3861,$G3861)=1,1,0)</f>
        <v>1</v>
      </c>
      <c r="E3861" s="67" t="str">
        <f>IFERROR(VLOOKUP(База_КР_КК[[#This Row],[ИД штатной должности (S)]],'уровень защищенности'!$B$7:$F$1095,5,0),"не защищена")</f>
        <v>средний</v>
      </c>
      <c r="F3861" s="68">
        <v>500414</v>
      </c>
      <c r="G3861" s="74" t="s">
        <v>3116</v>
      </c>
      <c r="H3861" s="181">
        <f>INDEX('Списки данных'!$D$2:$D$1048576,MATCH(База_КР_КК[[#This Row],[Структурное подразделение]],'Списки данных'!$C$2:$C$1048576,0))</f>
        <v>63</v>
      </c>
      <c r="I3861" s="80" t="s">
        <v>175</v>
      </c>
      <c r="J3861" s="80" t="s">
        <v>261</v>
      </c>
      <c r="K3861" s="80" t="s">
        <v>262</v>
      </c>
      <c r="L3861" s="82" t="s">
        <v>191</v>
      </c>
      <c r="M3861" s="68">
        <v>7</v>
      </c>
      <c r="N3861" s="181" t="str">
        <f t="shared" si="61"/>
        <v>да</v>
      </c>
      <c r="O3861" s="23">
        <v>44674</v>
      </c>
      <c r="P3861" s="23">
        <v>44713</v>
      </c>
      <c r="Q3861" s="106" t="s">
        <v>66</v>
      </c>
      <c r="R3861" s="37">
        <v>932</v>
      </c>
      <c r="S3861" s="39" t="s">
        <v>1341</v>
      </c>
      <c r="T3861" s="37">
        <v>2033</v>
      </c>
      <c r="U3861" s="37" t="s">
        <v>2125</v>
      </c>
      <c r="V3861" s="69" t="s">
        <v>272</v>
      </c>
      <c r="W3861" s="89" t="s">
        <v>175</v>
      </c>
      <c r="X3861" s="106" t="s">
        <v>296</v>
      </c>
      <c r="Y3861" s="107" t="s">
        <v>12</v>
      </c>
      <c r="Z3861" s="67">
        <f>IF(База_КР_КК[[#This Row],[Таб.номер резервиста]]="-","-",IF(OR(База_КР_КК[[#This Row],[Уровень КК]]=2,База_КР_КК[[#This Row],[Уровень КК]]=3),IF(COUNTIFS($U$2:$U3861,$U3861,$F$2:$F3861,$F3861)=1,1,0),IF(COUNTIFS($U$2:$U3861,$U3861,$L$2:$L3861,$L3861)=1,1,0)))</f>
        <v>1</v>
      </c>
      <c r="AA38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1" s="106"/>
      <c r="AC3861" s="51"/>
      <c r="AD3861" s="106" t="s">
        <v>15</v>
      </c>
      <c r="AE3861" s="38" t="s">
        <v>395</v>
      </c>
    </row>
    <row r="3862" spans="1:31" ht="18" customHeight="1" x14ac:dyDescent="0.25">
      <c r="A38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2" s="79">
        <v>4</v>
      </c>
      <c r="C3862" s="23">
        <v>44512</v>
      </c>
      <c r="D3862" s="67">
        <f>IF(COUNTIF($G$2:$G3862,$G3862)=1,1,0)</f>
        <v>0</v>
      </c>
      <c r="E3862" s="67" t="str">
        <f>IFERROR(VLOOKUP(База_КР_КК[[#This Row],[ИД штатной должности (S)]],'уровень защищенности'!$B$7:$F$1095,5,0),"не защищена")</f>
        <v>средний</v>
      </c>
      <c r="F3862" s="68">
        <v>500414</v>
      </c>
      <c r="G3862" s="74" t="s">
        <v>3116</v>
      </c>
      <c r="H3862" s="181">
        <f>INDEX('Списки данных'!$D$2:$D$1048576,MATCH(База_КР_КК[[#This Row],[Структурное подразделение]],'Списки данных'!$C$2:$C$1048576,0))</f>
        <v>63</v>
      </c>
      <c r="I3862" s="80" t="s">
        <v>175</v>
      </c>
      <c r="J3862" s="80" t="s">
        <v>261</v>
      </c>
      <c r="K3862" s="80" t="s">
        <v>262</v>
      </c>
      <c r="L3862" s="82" t="s">
        <v>191</v>
      </c>
      <c r="M3862" s="68">
        <v>7</v>
      </c>
      <c r="N3862" s="181" t="str">
        <f t="shared" si="61"/>
        <v>да</v>
      </c>
      <c r="O3862" s="23">
        <v>44674</v>
      </c>
      <c r="P3862" s="23">
        <v>44713</v>
      </c>
      <c r="Q3862" s="106" t="s">
        <v>66</v>
      </c>
      <c r="R3862" s="37">
        <v>932</v>
      </c>
      <c r="S3862" s="39" t="s">
        <v>1341</v>
      </c>
      <c r="T3862" s="37">
        <v>2034</v>
      </c>
      <c r="U3862" s="38" t="s">
        <v>1987</v>
      </c>
      <c r="V3862" s="69" t="s">
        <v>272</v>
      </c>
      <c r="W3862" s="89" t="s">
        <v>175</v>
      </c>
      <c r="X3862" s="106" t="s">
        <v>297</v>
      </c>
      <c r="Y3862" s="107" t="s">
        <v>12</v>
      </c>
      <c r="Z3862" s="67">
        <f>IF(База_КР_КК[[#This Row],[Таб.номер резервиста]]="-","-",IF(OR(База_КР_КК[[#This Row],[Уровень КК]]=2,База_КР_КК[[#This Row],[Уровень КК]]=3),IF(COUNTIFS($U$2:$U3862,$U3862,$F$2:$F3862,$F3862)=1,1,0),IF(COUNTIFS($U$2:$U3862,$U3862,$L$2:$L3862,$L3862)=1,1,0)))</f>
        <v>0</v>
      </c>
      <c r="AA38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2" s="106"/>
      <c r="AC3862" s="51"/>
      <c r="AD3862" s="106" t="s">
        <v>15</v>
      </c>
      <c r="AE3862" s="38" t="s">
        <v>314</v>
      </c>
    </row>
    <row r="3863" spans="1:31" ht="18" customHeight="1" x14ac:dyDescent="0.25">
      <c r="A38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3" s="79">
        <v>4</v>
      </c>
      <c r="C3863" s="23">
        <v>44512</v>
      </c>
      <c r="D3863" s="67">
        <f>IF(COUNTIF($G$2:$G3863,$G3863)=1,1,0)</f>
        <v>0</v>
      </c>
      <c r="E3863" s="67" t="str">
        <f>IFERROR(VLOOKUP(База_КР_КК[[#This Row],[ИД штатной должности (S)]],'уровень защищенности'!$B$7:$F$1095,5,0),"не защищена")</f>
        <v>средний</v>
      </c>
      <c r="F3863" s="68">
        <v>500414</v>
      </c>
      <c r="G3863" s="74" t="s">
        <v>3116</v>
      </c>
      <c r="H3863" s="181">
        <f>INDEX('Списки данных'!$D$2:$D$1048576,MATCH(База_КР_КК[[#This Row],[Структурное подразделение]],'Списки данных'!$C$2:$C$1048576,0))</f>
        <v>63</v>
      </c>
      <c r="I3863" s="80" t="s">
        <v>175</v>
      </c>
      <c r="J3863" s="80" t="s">
        <v>261</v>
      </c>
      <c r="K3863" s="80" t="s">
        <v>262</v>
      </c>
      <c r="L3863" s="82" t="s">
        <v>191</v>
      </c>
      <c r="M3863" s="68">
        <v>7</v>
      </c>
      <c r="N3863" s="181" t="str">
        <f t="shared" si="61"/>
        <v>да</v>
      </c>
      <c r="O3863" s="23">
        <v>44674</v>
      </c>
      <c r="P3863" s="23">
        <v>44713</v>
      </c>
      <c r="Q3863" s="106" t="s">
        <v>66</v>
      </c>
      <c r="R3863" s="37">
        <v>932</v>
      </c>
      <c r="S3863" s="39" t="s">
        <v>1341</v>
      </c>
      <c r="T3863" s="37">
        <v>2035</v>
      </c>
      <c r="U3863" s="38" t="s">
        <v>1565</v>
      </c>
      <c r="V3863" s="69" t="s">
        <v>272</v>
      </c>
      <c r="W3863" s="89" t="s">
        <v>175</v>
      </c>
      <c r="X3863" s="106" t="s">
        <v>296</v>
      </c>
      <c r="Y3863" s="107" t="s">
        <v>12</v>
      </c>
      <c r="Z3863" s="67">
        <f>IF(База_КР_КК[[#This Row],[Таб.номер резервиста]]="-","-",IF(OR(База_КР_КК[[#This Row],[Уровень КК]]=2,База_КР_КК[[#This Row],[Уровень КК]]=3),IF(COUNTIFS($U$2:$U3863,$U3863,$F$2:$F3863,$F3863)=1,1,0),IF(COUNTIFS($U$2:$U3863,$U3863,$L$2:$L3863,$L3863)=1,1,0)))</f>
        <v>0</v>
      </c>
      <c r="AA38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3" s="106"/>
      <c r="AC3863" s="51"/>
      <c r="AD3863" s="106" t="s">
        <v>15</v>
      </c>
      <c r="AE3863" s="38" t="s">
        <v>314</v>
      </c>
    </row>
    <row r="3864" spans="1:31" ht="18" customHeight="1" x14ac:dyDescent="0.25">
      <c r="A38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4" s="79">
        <v>4</v>
      </c>
      <c r="C3864" s="23">
        <v>44512</v>
      </c>
      <c r="D3864" s="67">
        <f>IF(COUNTIF($G$2:$G3864,$G3864)=1,1,0)</f>
        <v>0</v>
      </c>
      <c r="E3864" s="67" t="str">
        <f>IFERROR(VLOOKUP(База_КР_КК[[#This Row],[ИД штатной должности (S)]],'уровень защищенности'!$B$7:$F$1095,5,0),"не защищена")</f>
        <v>средний</v>
      </c>
      <c r="F3864" s="68">
        <v>500414</v>
      </c>
      <c r="G3864" s="74" t="s">
        <v>3116</v>
      </c>
      <c r="H3864" s="181">
        <f>INDEX('Списки данных'!$D$2:$D$1048576,MATCH(База_КР_КК[[#This Row],[Структурное подразделение]],'Списки данных'!$C$2:$C$1048576,0))</f>
        <v>63</v>
      </c>
      <c r="I3864" s="80" t="s">
        <v>175</v>
      </c>
      <c r="J3864" s="80" t="s">
        <v>261</v>
      </c>
      <c r="K3864" s="80" t="s">
        <v>262</v>
      </c>
      <c r="L3864" s="82" t="s">
        <v>191</v>
      </c>
      <c r="M3864" s="68">
        <v>7</v>
      </c>
      <c r="N3864" s="181" t="str">
        <f t="shared" si="61"/>
        <v>да</v>
      </c>
      <c r="O3864" s="23">
        <v>44674</v>
      </c>
      <c r="P3864" s="23">
        <v>44713</v>
      </c>
      <c r="Q3864" s="106" t="s">
        <v>66</v>
      </c>
      <c r="R3864" s="37">
        <v>932</v>
      </c>
      <c r="S3864" s="39" t="s">
        <v>1341</v>
      </c>
      <c r="T3864" s="37">
        <v>932</v>
      </c>
      <c r="U3864" s="37" t="s">
        <v>1341</v>
      </c>
      <c r="V3864" s="69" t="s">
        <v>192</v>
      </c>
      <c r="W3864" s="89" t="s">
        <v>175</v>
      </c>
      <c r="X3864" s="106" t="s">
        <v>295</v>
      </c>
      <c r="Y3864" s="107" t="s">
        <v>14</v>
      </c>
      <c r="Z3864" s="67">
        <f>IF(База_КР_КК[[#This Row],[Таб.номер резервиста]]="-","-",IF(OR(База_КР_КК[[#This Row],[Уровень КК]]=2,База_КР_КК[[#This Row],[Уровень КК]]=3),IF(COUNTIFS($U$2:$U3864,$U3864,$F$2:$F3864,$F3864)=1,1,0),IF(COUNTIFS($U$2:$U3864,$U3864,$L$2:$L3864,$L3864)=1,1,0)))</f>
        <v>1</v>
      </c>
      <c r="AA38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864" s="106" t="s">
        <v>24</v>
      </c>
      <c r="AC3864" s="51">
        <v>44713</v>
      </c>
      <c r="AD3864" s="106" t="s">
        <v>31</v>
      </c>
      <c r="AE3864" s="38" t="s">
        <v>314</v>
      </c>
    </row>
    <row r="3865" spans="1:31" ht="18" customHeight="1" x14ac:dyDescent="0.25">
      <c r="A38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5" s="79">
        <v>4</v>
      </c>
      <c r="C3865" s="23">
        <v>44512</v>
      </c>
      <c r="D3865" s="67">
        <f>IF(COUNTIF($G$2:$G3865,$G3865)=1,1,0)</f>
        <v>0</v>
      </c>
      <c r="E3865" s="67" t="str">
        <f>IFERROR(VLOOKUP(База_КР_КК[[#This Row],[ИД штатной должности (S)]],'уровень защищенности'!$B$7:$F$1095,5,0),"не защищена")</f>
        <v>средний</v>
      </c>
      <c r="F3865" s="68">
        <v>500414</v>
      </c>
      <c r="G3865" s="74" t="s">
        <v>3116</v>
      </c>
      <c r="H3865" s="181">
        <f>INDEX('Списки данных'!$D$2:$D$1048576,MATCH(База_КР_КК[[#This Row],[Структурное подразделение]],'Списки данных'!$C$2:$C$1048576,0))</f>
        <v>63</v>
      </c>
      <c r="I3865" s="80" t="s">
        <v>175</v>
      </c>
      <c r="J3865" s="80" t="s">
        <v>261</v>
      </c>
      <c r="K3865" s="80" t="s">
        <v>262</v>
      </c>
      <c r="L3865" s="82" t="s">
        <v>191</v>
      </c>
      <c r="M3865" s="68">
        <v>7</v>
      </c>
      <c r="N3865" s="181" t="str">
        <f t="shared" si="61"/>
        <v>да</v>
      </c>
      <c r="O3865" s="23">
        <v>44674</v>
      </c>
      <c r="P3865" s="23">
        <v>44713</v>
      </c>
      <c r="Q3865" s="106" t="s">
        <v>66</v>
      </c>
      <c r="R3865" s="37">
        <v>932</v>
      </c>
      <c r="S3865" s="39" t="s">
        <v>1341</v>
      </c>
      <c r="T3865" s="37">
        <v>2036</v>
      </c>
      <c r="U3865" s="37" t="s">
        <v>1970</v>
      </c>
      <c r="V3865" s="69" t="s">
        <v>272</v>
      </c>
      <c r="W3865" s="89" t="s">
        <v>175</v>
      </c>
      <c r="X3865" s="106" t="s">
        <v>296</v>
      </c>
      <c r="Y3865" s="107" t="s">
        <v>18</v>
      </c>
      <c r="Z3865" s="67">
        <f>IF(База_КР_КК[[#This Row],[Таб.номер резервиста]]="-","-",IF(OR(База_КР_КК[[#This Row],[Уровень КК]]=2,База_КР_КК[[#This Row],[Уровень КК]]=3),IF(COUNTIFS($U$2:$U3865,$U3865,$F$2:$F3865,$F3865)=1,1,0),IF(COUNTIFS($U$2:$U3865,$U3865,$L$2:$L3865,$L3865)=1,1,0)))</f>
        <v>0</v>
      </c>
      <c r="AA38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5" s="106" t="s">
        <v>20</v>
      </c>
      <c r="AC3865" s="51">
        <v>44897</v>
      </c>
      <c r="AD3865" s="106" t="s">
        <v>31</v>
      </c>
      <c r="AE3865" s="38" t="s">
        <v>314</v>
      </c>
    </row>
    <row r="3866" spans="1:31" ht="18" customHeight="1" x14ac:dyDescent="0.25">
      <c r="A38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6" s="79">
        <v>4</v>
      </c>
      <c r="C3866" s="23">
        <v>44512</v>
      </c>
      <c r="D3866" s="67">
        <f>IF(COUNTIF($G$2:$G3866,$G3866)=1,1,0)</f>
        <v>1</v>
      </c>
      <c r="E3866" s="67" t="str">
        <f>IFERROR(VLOOKUP(База_КР_КК[[#This Row],[ИД штатной должности (S)]],'уровень защищенности'!$B$7:$F$1095,5,0),"не защищена")</f>
        <v>средний</v>
      </c>
      <c r="F3866" s="68">
        <v>500414</v>
      </c>
      <c r="G3866" s="74" t="s">
        <v>3117</v>
      </c>
      <c r="H3866" s="181">
        <f>INDEX('Списки данных'!$D$2:$D$1048576,MATCH(База_КР_КК[[#This Row],[Структурное подразделение]],'Списки данных'!$C$2:$C$1048576,0))</f>
        <v>63</v>
      </c>
      <c r="I3866" s="80" t="s">
        <v>175</v>
      </c>
      <c r="J3866" s="80" t="s">
        <v>261</v>
      </c>
      <c r="K3866" s="80" t="s">
        <v>262</v>
      </c>
      <c r="L3866" s="82" t="s">
        <v>191</v>
      </c>
      <c r="M3866" s="68">
        <v>7</v>
      </c>
      <c r="N3866" s="181" t="str">
        <f t="shared" si="61"/>
        <v>нет</v>
      </c>
      <c r="O3866" s="23"/>
      <c r="P3866" s="23"/>
      <c r="Q3866" s="106"/>
      <c r="R3866" s="37">
        <v>933</v>
      </c>
      <c r="S3866" s="39" t="s">
        <v>1342</v>
      </c>
      <c r="T3866" s="37">
        <v>2033</v>
      </c>
      <c r="U3866" s="37" t="s">
        <v>2125</v>
      </c>
      <c r="V3866" s="69" t="s">
        <v>272</v>
      </c>
      <c r="W3866" s="89" t="s">
        <v>175</v>
      </c>
      <c r="X3866" s="106" t="s">
        <v>296</v>
      </c>
      <c r="Y3866" s="107" t="s">
        <v>12</v>
      </c>
      <c r="Z3866" s="67">
        <f>IF(База_КР_КК[[#This Row],[Таб.номер резервиста]]="-","-",IF(OR(База_КР_КК[[#This Row],[Уровень КК]]=2,База_КР_КК[[#This Row],[Уровень КК]]=3),IF(COUNTIFS($U$2:$U3866,$U3866,$F$2:$F3866,$F3866)=1,1,0),IF(COUNTIFS($U$2:$U3866,$U3866,$L$2:$L3866,$L3866)=1,1,0)))</f>
        <v>0</v>
      </c>
      <c r="AA38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6" s="106"/>
      <c r="AC3866" s="51"/>
      <c r="AD3866" s="106" t="s">
        <v>15</v>
      </c>
      <c r="AE3866" s="38" t="s">
        <v>395</v>
      </c>
    </row>
    <row r="3867" spans="1:31" ht="18" customHeight="1" x14ac:dyDescent="0.25">
      <c r="A38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7" s="79">
        <v>4</v>
      </c>
      <c r="C3867" s="23">
        <v>44512</v>
      </c>
      <c r="D3867" s="67">
        <f>IF(COUNTIF($G$2:$G3867,$G3867)=1,1,0)</f>
        <v>0</v>
      </c>
      <c r="E3867" s="67" t="str">
        <f>IFERROR(VLOOKUP(База_КР_КК[[#This Row],[ИД штатной должности (S)]],'уровень защищенности'!$B$7:$F$1095,5,0),"не защищена")</f>
        <v>средний</v>
      </c>
      <c r="F3867" s="68">
        <v>500414</v>
      </c>
      <c r="G3867" s="74" t="s">
        <v>3117</v>
      </c>
      <c r="H3867" s="181">
        <f>INDEX('Списки данных'!$D$2:$D$1048576,MATCH(База_КР_КК[[#This Row],[Структурное подразделение]],'Списки данных'!$C$2:$C$1048576,0))</f>
        <v>63</v>
      </c>
      <c r="I3867" s="80" t="s">
        <v>175</v>
      </c>
      <c r="J3867" s="80" t="s">
        <v>261</v>
      </c>
      <c r="K3867" s="80" t="s">
        <v>262</v>
      </c>
      <c r="L3867" s="82" t="s">
        <v>191</v>
      </c>
      <c r="M3867" s="68">
        <v>7</v>
      </c>
      <c r="N3867" s="181" t="str">
        <f t="shared" si="61"/>
        <v>нет</v>
      </c>
      <c r="O3867" s="23"/>
      <c r="P3867" s="23"/>
      <c r="Q3867" s="106"/>
      <c r="R3867" s="37">
        <v>933</v>
      </c>
      <c r="S3867" s="39" t="s">
        <v>1342</v>
      </c>
      <c r="T3867" s="37">
        <v>2034</v>
      </c>
      <c r="U3867" s="38" t="s">
        <v>1987</v>
      </c>
      <c r="V3867" s="69" t="s">
        <v>272</v>
      </c>
      <c r="W3867" s="89" t="s">
        <v>175</v>
      </c>
      <c r="X3867" s="106" t="s">
        <v>297</v>
      </c>
      <c r="Y3867" s="107" t="s">
        <v>12</v>
      </c>
      <c r="Z3867" s="67">
        <f>IF(База_КР_КК[[#This Row],[Таб.номер резервиста]]="-","-",IF(OR(База_КР_КК[[#This Row],[Уровень КК]]=2,База_КР_КК[[#This Row],[Уровень КК]]=3),IF(COUNTIFS($U$2:$U3867,$U3867,$F$2:$F3867,$F3867)=1,1,0),IF(COUNTIFS($U$2:$U3867,$U3867,$L$2:$L3867,$L3867)=1,1,0)))</f>
        <v>0</v>
      </c>
      <c r="AA38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7" s="106"/>
      <c r="AC3867" s="51"/>
      <c r="AD3867" s="106" t="s">
        <v>15</v>
      </c>
      <c r="AE3867" s="38" t="s">
        <v>314</v>
      </c>
    </row>
    <row r="3868" spans="1:31" ht="18" customHeight="1" x14ac:dyDescent="0.25">
      <c r="A38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8" s="79">
        <v>4</v>
      </c>
      <c r="C3868" s="23">
        <v>44512</v>
      </c>
      <c r="D3868" s="67">
        <f>IF(COUNTIF($G$2:$G3868,$G3868)=1,1,0)</f>
        <v>0</v>
      </c>
      <c r="E3868" s="67" t="str">
        <f>IFERROR(VLOOKUP(База_КР_КК[[#This Row],[ИД штатной должности (S)]],'уровень защищенности'!$B$7:$F$1095,5,0),"не защищена")</f>
        <v>средний</v>
      </c>
      <c r="F3868" s="68">
        <v>500414</v>
      </c>
      <c r="G3868" s="74" t="s">
        <v>3117</v>
      </c>
      <c r="H3868" s="181">
        <f>INDEX('Списки данных'!$D$2:$D$1048576,MATCH(База_КР_КК[[#This Row],[Структурное подразделение]],'Списки данных'!$C$2:$C$1048576,0))</f>
        <v>63</v>
      </c>
      <c r="I3868" s="80" t="s">
        <v>175</v>
      </c>
      <c r="J3868" s="80" t="s">
        <v>261</v>
      </c>
      <c r="K3868" s="80" t="s">
        <v>262</v>
      </c>
      <c r="L3868" s="82" t="s">
        <v>191</v>
      </c>
      <c r="M3868" s="68">
        <v>7</v>
      </c>
      <c r="N3868" s="181" t="str">
        <f t="shared" si="61"/>
        <v>нет</v>
      </c>
      <c r="O3868" s="23"/>
      <c r="P3868" s="23"/>
      <c r="Q3868" s="106"/>
      <c r="R3868" s="37">
        <v>933</v>
      </c>
      <c r="S3868" s="39" t="s">
        <v>1342</v>
      </c>
      <c r="T3868" s="37">
        <v>2035</v>
      </c>
      <c r="U3868" s="38" t="s">
        <v>1565</v>
      </c>
      <c r="V3868" s="69" t="s">
        <v>272</v>
      </c>
      <c r="W3868" s="89" t="s">
        <v>175</v>
      </c>
      <c r="X3868" s="106" t="s">
        <v>296</v>
      </c>
      <c r="Y3868" s="107" t="s">
        <v>12</v>
      </c>
      <c r="Z3868" s="67">
        <f>IF(База_КР_КК[[#This Row],[Таб.номер резервиста]]="-","-",IF(OR(База_КР_КК[[#This Row],[Уровень КК]]=2,База_КР_КК[[#This Row],[Уровень КК]]=3),IF(COUNTIFS($U$2:$U3868,$U3868,$F$2:$F3868,$F3868)=1,1,0),IF(COUNTIFS($U$2:$U3868,$U3868,$L$2:$L3868,$L3868)=1,1,0)))</f>
        <v>0</v>
      </c>
      <c r="AA38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8" s="106"/>
      <c r="AC3868" s="51"/>
      <c r="AD3868" s="106" t="s">
        <v>15</v>
      </c>
      <c r="AE3868" s="38" t="s">
        <v>314</v>
      </c>
    </row>
    <row r="3869" spans="1:31" ht="18" customHeight="1" x14ac:dyDescent="0.25">
      <c r="A38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69" s="79">
        <v>4</v>
      </c>
      <c r="C3869" s="23">
        <v>44512</v>
      </c>
      <c r="D3869" s="67">
        <f>IF(COUNTIF($G$2:$G3869,$G3869)=1,1,0)</f>
        <v>0</v>
      </c>
      <c r="E3869" s="67" t="str">
        <f>IFERROR(VLOOKUP(База_КР_КК[[#This Row],[ИД штатной должности (S)]],'уровень защищенности'!$B$7:$F$1095,5,0),"не защищена")</f>
        <v>средний</v>
      </c>
      <c r="F3869" s="68">
        <v>500414</v>
      </c>
      <c r="G3869" s="74" t="s">
        <v>3117</v>
      </c>
      <c r="H3869" s="181">
        <f>INDEX('Списки данных'!$D$2:$D$1048576,MATCH(База_КР_КК[[#This Row],[Структурное подразделение]],'Списки данных'!$C$2:$C$1048576,0))</f>
        <v>63</v>
      </c>
      <c r="I3869" s="80" t="s">
        <v>175</v>
      </c>
      <c r="J3869" s="80" t="s">
        <v>261</v>
      </c>
      <c r="K3869" s="80" t="s">
        <v>262</v>
      </c>
      <c r="L3869" s="82" t="s">
        <v>191</v>
      </c>
      <c r="M3869" s="68">
        <v>7</v>
      </c>
      <c r="N3869" s="181" t="str">
        <f t="shared" si="61"/>
        <v>нет</v>
      </c>
      <c r="O3869" s="23"/>
      <c r="P3869" s="23"/>
      <c r="Q3869" s="106"/>
      <c r="R3869" s="37">
        <v>933</v>
      </c>
      <c r="S3869" s="39" t="s">
        <v>1342</v>
      </c>
      <c r="T3869" s="37">
        <v>2036</v>
      </c>
      <c r="U3869" s="37" t="s">
        <v>1970</v>
      </c>
      <c r="V3869" s="69" t="s">
        <v>272</v>
      </c>
      <c r="W3869" s="89" t="s">
        <v>175</v>
      </c>
      <c r="X3869" s="106" t="s">
        <v>296</v>
      </c>
      <c r="Y3869" s="107" t="s">
        <v>18</v>
      </c>
      <c r="Z3869" s="67">
        <f>IF(База_КР_КК[[#This Row],[Таб.номер резервиста]]="-","-",IF(OR(База_КР_КК[[#This Row],[Уровень КК]]=2,База_КР_КК[[#This Row],[Уровень КК]]=3),IF(COUNTIFS($U$2:$U3869,$U3869,$F$2:$F3869,$F3869)=1,1,0),IF(COUNTIFS($U$2:$U3869,$U3869,$L$2:$L3869,$L3869)=1,1,0)))</f>
        <v>0</v>
      </c>
      <c r="AA38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69" s="106" t="s">
        <v>20</v>
      </c>
      <c r="AC3869" s="51">
        <v>44897</v>
      </c>
      <c r="AD3869" s="106" t="s">
        <v>31</v>
      </c>
      <c r="AE3869" s="38" t="s">
        <v>314</v>
      </c>
    </row>
    <row r="3870" spans="1:31" ht="18" customHeight="1" x14ac:dyDescent="0.25">
      <c r="A38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0" s="79">
        <v>4</v>
      </c>
      <c r="C3870" s="23">
        <v>44512</v>
      </c>
      <c r="D3870" s="67">
        <f>IF(COUNTIF($G$2:$G3870,$G3870)=1,1,0)</f>
        <v>0</v>
      </c>
      <c r="E3870" s="67" t="str">
        <f>IFERROR(VLOOKUP(База_КР_КК[[#This Row],[ИД штатной должности (S)]],'уровень защищенности'!$B$7:$F$1095,5,0),"не защищена")</f>
        <v>средний</v>
      </c>
      <c r="F3870" s="68">
        <v>500414</v>
      </c>
      <c r="G3870" s="74" t="s">
        <v>3117</v>
      </c>
      <c r="H3870" s="181">
        <f>INDEX('Списки данных'!$D$2:$D$1048576,MATCH(База_КР_КК[[#This Row],[Структурное подразделение]],'Списки данных'!$C$2:$C$1048576,0))</f>
        <v>63</v>
      </c>
      <c r="I3870" s="80" t="s">
        <v>175</v>
      </c>
      <c r="J3870" s="80" t="s">
        <v>261</v>
      </c>
      <c r="K3870" s="80" t="s">
        <v>262</v>
      </c>
      <c r="L3870" s="82" t="s">
        <v>191</v>
      </c>
      <c r="M3870" s="68">
        <v>7</v>
      </c>
      <c r="N3870" s="181" t="str">
        <f t="shared" si="61"/>
        <v>нет</v>
      </c>
      <c r="O3870" s="23"/>
      <c r="P3870" s="23"/>
      <c r="Q3870" s="106"/>
      <c r="R3870" s="37">
        <v>933</v>
      </c>
      <c r="S3870" s="39" t="s">
        <v>1342</v>
      </c>
      <c r="T3870" s="37">
        <v>932</v>
      </c>
      <c r="U3870" s="37" t="s">
        <v>1341</v>
      </c>
      <c r="V3870" s="69" t="s">
        <v>192</v>
      </c>
      <c r="W3870" s="89" t="s">
        <v>175</v>
      </c>
      <c r="X3870" s="106" t="s">
        <v>295</v>
      </c>
      <c r="Y3870" s="107" t="s">
        <v>18</v>
      </c>
      <c r="Z3870" s="67">
        <f>IF(База_КР_КК[[#This Row],[Таб.номер резервиста]]="-","-",IF(OR(База_КР_КК[[#This Row],[Уровень КК]]=2,База_КР_КК[[#This Row],[Уровень КК]]=3),IF(COUNTIFS($U$2:$U3870,$U3870,$F$2:$F3870,$F3870)=1,1,0),IF(COUNTIFS($U$2:$U3870,$U3870,$L$2:$L3870,$L3870)=1,1,0)))</f>
        <v>0</v>
      </c>
      <c r="AA38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0" s="106" t="s">
        <v>24</v>
      </c>
      <c r="AC3870" s="51">
        <v>44713</v>
      </c>
      <c r="AD3870" s="106" t="s">
        <v>31</v>
      </c>
      <c r="AE3870" s="38" t="s">
        <v>314</v>
      </c>
    </row>
    <row r="3871" spans="1:31" ht="18" customHeight="1" x14ac:dyDescent="0.25">
      <c r="A38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1" s="79">
        <v>4</v>
      </c>
      <c r="C3871" s="23">
        <v>44512</v>
      </c>
      <c r="D3871" s="67">
        <f>IF(COUNTIF($G$2:$G3871,$G3871)=1,1,0)</f>
        <v>1</v>
      </c>
      <c r="E3871" s="67" t="str">
        <f>IFERROR(VLOOKUP(База_КР_КК[[#This Row],[ИД штатной должности (S)]],'уровень защищенности'!$B$7:$F$1095,5,0),"не защищена")</f>
        <v>высокий</v>
      </c>
      <c r="F3871" s="68">
        <v>500415</v>
      </c>
      <c r="G3871" s="74" t="s">
        <v>3118</v>
      </c>
      <c r="H3871" s="181">
        <f>INDEX('Списки данных'!$D$2:$D$1048576,MATCH(База_КР_КК[[#This Row],[Структурное подразделение]],'Списки данных'!$C$2:$C$1048576,0))</f>
        <v>63</v>
      </c>
      <c r="I3871" s="80" t="s">
        <v>175</v>
      </c>
      <c r="J3871" s="80" t="s">
        <v>261</v>
      </c>
      <c r="K3871" s="80" t="s">
        <v>21</v>
      </c>
      <c r="L3871" s="30" t="s">
        <v>198</v>
      </c>
      <c r="M3871" s="68">
        <v>6</v>
      </c>
      <c r="N3871" s="181" t="str">
        <f t="shared" si="61"/>
        <v>нет</v>
      </c>
      <c r="O3871" s="23"/>
      <c r="P3871" s="23"/>
      <c r="Q3871" s="106"/>
      <c r="R3871" s="37">
        <v>934</v>
      </c>
      <c r="S3871" s="39" t="s">
        <v>1343</v>
      </c>
      <c r="T3871" s="37">
        <v>958</v>
      </c>
      <c r="U3871" s="37" t="s">
        <v>1367</v>
      </c>
      <c r="V3871" s="69" t="s">
        <v>192</v>
      </c>
      <c r="W3871" s="89" t="s">
        <v>175</v>
      </c>
      <c r="X3871" s="106" t="s">
        <v>295</v>
      </c>
      <c r="Y3871" s="107" t="s">
        <v>12</v>
      </c>
      <c r="Z3871" s="67">
        <f>IF(База_КР_КК[[#This Row],[Таб.номер резервиста]]="-","-",IF(OR(База_КР_КК[[#This Row],[Уровень КК]]=2,База_КР_КК[[#This Row],[Уровень КК]]=3),IF(COUNTIFS($U$2:$U3871,$U3871,$F$2:$F3871,$F3871)=1,1,0),IF(COUNTIFS($U$2:$U3871,$U3871,$L$2:$L3871,$L3871)=1,1,0)))</f>
        <v>1</v>
      </c>
      <c r="AA38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1" s="106"/>
      <c r="AC3871" s="51"/>
      <c r="AD3871" s="106" t="s">
        <v>15</v>
      </c>
      <c r="AE3871" s="38" t="s">
        <v>395</v>
      </c>
    </row>
    <row r="3872" spans="1:31" ht="18" customHeight="1" x14ac:dyDescent="0.25">
      <c r="A38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2" s="79">
        <v>4</v>
      </c>
      <c r="C3872" s="23">
        <v>44512</v>
      </c>
      <c r="D3872" s="67">
        <f>IF(COUNTIF($G$2:$G3872,$G3872)=1,1,0)</f>
        <v>1</v>
      </c>
      <c r="E3872" s="67" t="str">
        <f>IFERROR(VLOOKUP(База_КР_КК[[#This Row],[ИД штатной должности (S)]],'уровень защищенности'!$B$7:$F$1095,5,0),"не защищена")</f>
        <v>низкий</v>
      </c>
      <c r="F3872" s="68">
        <v>500416</v>
      </c>
      <c r="G3872" s="74" t="s">
        <v>3119</v>
      </c>
      <c r="H3872" s="181">
        <f>INDEX('Списки данных'!$D$2:$D$1048576,MATCH(База_КР_КК[[#This Row],[Структурное подразделение]],'Списки данных'!$C$2:$C$1048576,0))</f>
        <v>63</v>
      </c>
      <c r="I3872" s="80" t="s">
        <v>175</v>
      </c>
      <c r="J3872" s="80" t="s">
        <v>261</v>
      </c>
      <c r="K3872" s="80" t="s">
        <v>262</v>
      </c>
      <c r="L3872" s="82" t="s">
        <v>192</v>
      </c>
      <c r="M3872" s="68">
        <v>7</v>
      </c>
      <c r="N3872" s="181" t="str">
        <f t="shared" si="61"/>
        <v>нет</v>
      </c>
      <c r="O3872" s="23"/>
      <c r="P3872" s="23"/>
      <c r="Q3872" s="106"/>
      <c r="R3872" s="37">
        <v>935</v>
      </c>
      <c r="S3872" s="39" t="s">
        <v>1344</v>
      </c>
      <c r="T3872" s="37">
        <v>2034</v>
      </c>
      <c r="U3872" s="37" t="s">
        <v>1987</v>
      </c>
      <c r="V3872" s="69" t="s">
        <v>272</v>
      </c>
      <c r="W3872" s="89" t="s">
        <v>175</v>
      </c>
      <c r="X3872" s="106" t="s">
        <v>296</v>
      </c>
      <c r="Y3872" s="107" t="s">
        <v>12</v>
      </c>
      <c r="Z3872" s="67">
        <f>IF(База_КР_КК[[#This Row],[Таб.номер резервиста]]="-","-",IF(OR(База_КР_КК[[#This Row],[Уровень КК]]=2,База_КР_КК[[#This Row],[Уровень КК]]=3),IF(COUNTIFS($U$2:$U3872,$U3872,$F$2:$F3872,$F3872)=1,1,0),IF(COUNTIFS($U$2:$U3872,$U3872,$L$2:$L3872,$L3872)=1,1,0)))</f>
        <v>1</v>
      </c>
      <c r="AA38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2" s="106"/>
      <c r="AC3872" s="51"/>
      <c r="AD3872" s="106" t="s">
        <v>15</v>
      </c>
      <c r="AE3872" s="38" t="s">
        <v>395</v>
      </c>
    </row>
    <row r="3873" spans="1:31" ht="18" customHeight="1" x14ac:dyDescent="0.25">
      <c r="A38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3" s="79">
        <v>4</v>
      </c>
      <c r="C3873" s="23">
        <v>44897</v>
      </c>
      <c r="D3873" s="67">
        <f>IF(COUNTIF($G$2:$G3873,$G3873)=1,1,0)</f>
        <v>0</v>
      </c>
      <c r="E3873" s="67" t="str">
        <f>IFERROR(VLOOKUP(База_КР_КК[[#This Row],[ИД штатной должности (S)]],'уровень защищенности'!$B$7:$F$1095,5,0),"не защищена")</f>
        <v>низкий</v>
      </c>
      <c r="F3873" s="68">
        <v>500416</v>
      </c>
      <c r="G3873" s="74" t="s">
        <v>3119</v>
      </c>
      <c r="H3873" s="181">
        <f>INDEX('Списки данных'!$D$2:$D$1048576,MATCH(База_КР_КК[[#This Row],[Структурное подразделение]],'Списки данных'!$C$2:$C$1048576,0))</f>
        <v>63</v>
      </c>
      <c r="I3873" s="80" t="s">
        <v>175</v>
      </c>
      <c r="J3873" s="80" t="s">
        <v>261</v>
      </c>
      <c r="K3873" s="80" t="s">
        <v>262</v>
      </c>
      <c r="L3873" s="82" t="s">
        <v>192</v>
      </c>
      <c r="M3873" s="68">
        <v>7</v>
      </c>
      <c r="N3873" s="181" t="str">
        <f t="shared" si="61"/>
        <v>нет</v>
      </c>
      <c r="O3873" s="23"/>
      <c r="P3873" s="23"/>
      <c r="Q3873" s="106"/>
      <c r="R3873" s="37">
        <v>935</v>
      </c>
      <c r="S3873" s="39" t="s">
        <v>1344</v>
      </c>
      <c r="T3873" s="37">
        <v>2037</v>
      </c>
      <c r="U3873" s="38" t="s">
        <v>2001</v>
      </c>
      <c r="V3873" s="69" t="s">
        <v>272</v>
      </c>
      <c r="W3873" s="89" t="s">
        <v>175</v>
      </c>
      <c r="X3873" s="106" t="s">
        <v>296</v>
      </c>
      <c r="Y3873" s="107" t="s">
        <v>12</v>
      </c>
      <c r="Z3873" s="67">
        <f>IF(База_КР_КК[[#This Row],[Таб.номер резервиста]]="-","-",IF(OR(База_КР_КК[[#This Row],[Уровень КК]]=2,База_КР_КК[[#This Row],[Уровень КК]]=3),IF(COUNTIFS($U$2:$U3873,$U3873,$F$2:$F3873,$F3873)=1,1,0),IF(COUNTIFS($U$2:$U3873,$U3873,$L$2:$L3873,$L3873)=1,1,0)))</f>
        <v>0</v>
      </c>
      <c r="AA38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3" s="106"/>
      <c r="AC3873" s="51"/>
      <c r="AD3873" s="106" t="s">
        <v>15</v>
      </c>
      <c r="AE3873" s="38" t="s">
        <v>314</v>
      </c>
    </row>
    <row r="3874" spans="1:31" ht="18" customHeight="1" x14ac:dyDescent="0.25">
      <c r="A38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4" s="79">
        <v>4</v>
      </c>
      <c r="C3874" s="23">
        <v>44512</v>
      </c>
      <c r="D3874" s="67">
        <f>IF(COUNTIF($G$2:$G3874,$G3874)=1,1,0)</f>
        <v>1</v>
      </c>
      <c r="E3874" s="67" t="str">
        <f>IFERROR(VLOOKUP(База_КР_КК[[#This Row],[ИД штатной должности (S)]],'уровень защищенности'!$B$7:$F$1095,5,0),"не защищена")</f>
        <v>низкий</v>
      </c>
      <c r="F3874" s="68">
        <v>500417</v>
      </c>
      <c r="G3874" s="74" t="s">
        <v>3120</v>
      </c>
      <c r="H3874" s="181">
        <f>INDEX('Списки данных'!$D$2:$D$1048576,MATCH(База_КР_КК[[#This Row],[Структурное подразделение]],'Списки данных'!$C$2:$C$1048576,0))</f>
        <v>63</v>
      </c>
      <c r="I3874" s="80" t="s">
        <v>175</v>
      </c>
      <c r="J3874" s="80" t="s">
        <v>261</v>
      </c>
      <c r="K3874" s="80" t="s">
        <v>262</v>
      </c>
      <c r="L3874" s="82" t="s">
        <v>192</v>
      </c>
      <c r="M3874" s="68">
        <v>7</v>
      </c>
      <c r="N3874" s="181" t="str">
        <f t="shared" si="61"/>
        <v>нет</v>
      </c>
      <c r="O3874" s="23"/>
      <c r="P3874" s="23"/>
      <c r="Q3874" s="106"/>
      <c r="R3874" s="37">
        <v>936</v>
      </c>
      <c r="S3874" s="39" t="s">
        <v>1345</v>
      </c>
      <c r="T3874" s="37">
        <v>2038</v>
      </c>
      <c r="U3874" s="39" t="s">
        <v>2126</v>
      </c>
      <c r="V3874" s="69" t="s">
        <v>272</v>
      </c>
      <c r="W3874" s="89" t="s">
        <v>175</v>
      </c>
      <c r="X3874" s="106" t="s">
        <v>296</v>
      </c>
      <c r="Y3874" s="107" t="s">
        <v>12</v>
      </c>
      <c r="Z3874" s="67">
        <f>IF(База_КР_КК[[#This Row],[Таб.номер резервиста]]="-","-",IF(OR(База_КР_КК[[#This Row],[Уровень КК]]=2,База_КР_КК[[#This Row],[Уровень КК]]=3),IF(COUNTIFS($U$2:$U3874,$U3874,$F$2:$F3874,$F3874)=1,1,0),IF(COUNTIFS($U$2:$U3874,$U3874,$L$2:$L3874,$L3874)=1,1,0)))</f>
        <v>1</v>
      </c>
      <c r="AA38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4" s="106"/>
      <c r="AC3874" s="51"/>
      <c r="AD3874" s="106" t="s">
        <v>15</v>
      </c>
      <c r="AE3874" s="38" t="s">
        <v>395</v>
      </c>
    </row>
    <row r="3875" spans="1:31" ht="18" customHeight="1" x14ac:dyDescent="0.25">
      <c r="A38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5" s="79">
        <v>4</v>
      </c>
      <c r="C3875" s="23">
        <v>44512</v>
      </c>
      <c r="D3875" s="67">
        <f>IF(COUNTIF($G$2:$G3875,$G3875)=1,1,0)</f>
        <v>1</v>
      </c>
      <c r="E3875" s="67" t="str">
        <f>IFERROR(VLOOKUP(База_КР_КК[[#This Row],[ИД штатной должности (S)]],'уровень защищенности'!$B$7:$F$1095,5,0),"не защищена")</f>
        <v>низкий</v>
      </c>
      <c r="F3875" s="68">
        <v>500417</v>
      </c>
      <c r="G3875" s="74" t="s">
        <v>3121</v>
      </c>
      <c r="H3875" s="181">
        <f>INDEX('Списки данных'!$D$2:$D$1048576,MATCH(База_КР_КК[[#This Row],[Структурное подразделение]],'Списки данных'!$C$2:$C$1048576,0))</f>
        <v>63</v>
      </c>
      <c r="I3875" s="80" t="s">
        <v>175</v>
      </c>
      <c r="J3875" s="80" t="s">
        <v>261</v>
      </c>
      <c r="K3875" s="80" t="s">
        <v>262</v>
      </c>
      <c r="L3875" s="82" t="s">
        <v>192</v>
      </c>
      <c r="M3875" s="68">
        <v>7</v>
      </c>
      <c r="N3875" s="181" t="str">
        <f t="shared" si="61"/>
        <v>нет</v>
      </c>
      <c r="O3875" s="23"/>
      <c r="P3875" s="23"/>
      <c r="Q3875" s="106"/>
      <c r="R3875" s="37">
        <v>937</v>
      </c>
      <c r="S3875" s="39" t="s">
        <v>1346</v>
      </c>
      <c r="T3875" s="37">
        <v>2038</v>
      </c>
      <c r="U3875" s="39" t="s">
        <v>2126</v>
      </c>
      <c r="V3875" s="69" t="s">
        <v>272</v>
      </c>
      <c r="W3875" s="89" t="s">
        <v>175</v>
      </c>
      <c r="X3875" s="106" t="s">
        <v>296</v>
      </c>
      <c r="Y3875" s="107" t="s">
        <v>12</v>
      </c>
      <c r="Z3875" s="67">
        <f>IF(База_КР_КК[[#This Row],[Таб.номер резервиста]]="-","-",IF(OR(База_КР_КК[[#This Row],[Уровень КК]]=2,База_КР_КК[[#This Row],[Уровень КК]]=3),IF(COUNTIFS($U$2:$U3875,$U3875,$F$2:$F3875,$F3875)=1,1,0),IF(COUNTIFS($U$2:$U3875,$U3875,$L$2:$L3875,$L3875)=1,1,0)))</f>
        <v>0</v>
      </c>
      <c r="AA38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5" s="106"/>
      <c r="AC3875" s="51"/>
      <c r="AD3875" s="106" t="s">
        <v>15</v>
      </c>
      <c r="AE3875" s="38" t="s">
        <v>395</v>
      </c>
    </row>
    <row r="3876" spans="1:31" ht="18" customHeight="1" x14ac:dyDescent="0.25">
      <c r="A38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6" s="79">
        <v>4</v>
      </c>
      <c r="C3876" s="23">
        <v>44512</v>
      </c>
      <c r="D3876" s="67">
        <f>IF(COUNTIF($G$2:$G3876,$G3876)=1,1,0)</f>
        <v>1</v>
      </c>
      <c r="E3876" s="67" t="str">
        <f>IFERROR(VLOOKUP(База_КР_КК[[#This Row],[ИД штатной должности (S)]],'уровень защищенности'!$B$7:$F$1095,5,0),"не защищена")</f>
        <v>низкий</v>
      </c>
      <c r="F3876" s="68">
        <v>500417</v>
      </c>
      <c r="G3876" s="74" t="s">
        <v>3122</v>
      </c>
      <c r="H3876" s="181">
        <f>INDEX('Списки данных'!$D$2:$D$1048576,MATCH(База_КР_КК[[#This Row],[Структурное подразделение]],'Списки данных'!$C$2:$C$1048576,0))</f>
        <v>63</v>
      </c>
      <c r="I3876" s="80" t="s">
        <v>175</v>
      </c>
      <c r="J3876" s="80" t="s">
        <v>261</v>
      </c>
      <c r="K3876" s="80" t="s">
        <v>262</v>
      </c>
      <c r="L3876" s="82" t="s">
        <v>192</v>
      </c>
      <c r="M3876" s="68">
        <v>7</v>
      </c>
      <c r="N3876" s="181" t="str">
        <f t="shared" si="61"/>
        <v>нет</v>
      </c>
      <c r="O3876" s="23"/>
      <c r="P3876" s="23"/>
      <c r="Q3876" s="106"/>
      <c r="R3876" s="37">
        <v>938</v>
      </c>
      <c r="S3876" s="39" t="s">
        <v>1347</v>
      </c>
      <c r="T3876" s="37">
        <v>2038</v>
      </c>
      <c r="U3876" s="39" t="s">
        <v>2126</v>
      </c>
      <c r="V3876" s="69" t="s">
        <v>272</v>
      </c>
      <c r="W3876" s="89" t="s">
        <v>175</v>
      </c>
      <c r="X3876" s="106" t="s">
        <v>296</v>
      </c>
      <c r="Y3876" s="107" t="s">
        <v>12</v>
      </c>
      <c r="Z3876" s="67">
        <f>IF(База_КР_КК[[#This Row],[Таб.номер резервиста]]="-","-",IF(OR(База_КР_КК[[#This Row],[Уровень КК]]=2,База_КР_КК[[#This Row],[Уровень КК]]=3),IF(COUNTIFS($U$2:$U3876,$U3876,$F$2:$F3876,$F3876)=1,1,0),IF(COUNTIFS($U$2:$U3876,$U3876,$L$2:$L3876,$L3876)=1,1,0)))</f>
        <v>0</v>
      </c>
      <c r="AA38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6" s="106"/>
      <c r="AC3876" s="51"/>
      <c r="AD3876" s="106" t="s">
        <v>15</v>
      </c>
      <c r="AE3876" s="38" t="s">
        <v>395</v>
      </c>
    </row>
    <row r="3877" spans="1:31" ht="18" customHeight="1" x14ac:dyDescent="0.25">
      <c r="A38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7" s="79">
        <v>4</v>
      </c>
      <c r="C3877" s="23">
        <v>44512</v>
      </c>
      <c r="D3877" s="67">
        <f>IF(COUNTIF($G$2:$G3877,$G3877)=1,1,0)</f>
        <v>1</v>
      </c>
      <c r="E3877" s="67" t="str">
        <f>IFERROR(VLOOKUP(База_КР_КК[[#This Row],[ИД штатной должности (S)]],'уровень защищенности'!$B$7:$F$1095,5,0),"не защищена")</f>
        <v>средний</v>
      </c>
      <c r="F3877" s="68">
        <v>500418</v>
      </c>
      <c r="G3877" s="74" t="s">
        <v>3123</v>
      </c>
      <c r="H3877" s="181">
        <f>INDEX('Списки данных'!$D$2:$D$1048576,MATCH(База_КР_КК[[#This Row],[Структурное подразделение]],'Списки данных'!$C$2:$C$1048576,0))</f>
        <v>63</v>
      </c>
      <c r="I3877" s="80" t="s">
        <v>175</v>
      </c>
      <c r="J3877" s="80" t="s">
        <v>261</v>
      </c>
      <c r="K3877" s="80" t="s">
        <v>262</v>
      </c>
      <c r="L3877" s="30" t="s">
        <v>251</v>
      </c>
      <c r="M3877" s="68">
        <v>6</v>
      </c>
      <c r="N3877" s="181" t="str">
        <f t="shared" si="61"/>
        <v>нет</v>
      </c>
      <c r="O3877" s="23"/>
      <c r="P3877" s="23"/>
      <c r="Q3877" s="106"/>
      <c r="R3877" s="37">
        <v>939</v>
      </c>
      <c r="S3877" s="39" t="s">
        <v>1348</v>
      </c>
      <c r="T3877" s="37">
        <v>2039</v>
      </c>
      <c r="U3877" s="37" t="s">
        <v>2089</v>
      </c>
      <c r="V3877" s="89" t="s">
        <v>16</v>
      </c>
      <c r="W3877" s="89" t="s">
        <v>175</v>
      </c>
      <c r="X3877" s="106" t="s">
        <v>297</v>
      </c>
      <c r="Y3877" s="107" t="s">
        <v>12</v>
      </c>
      <c r="Z3877" s="67">
        <f>IF(База_КР_КК[[#This Row],[Таб.номер резервиста]]="-","-",IF(OR(База_КР_КК[[#This Row],[Уровень КК]]=2,База_КР_КК[[#This Row],[Уровень КК]]=3),IF(COUNTIFS($U$2:$U3877,$U3877,$F$2:$F3877,$F3877)=1,1,0),IF(COUNTIFS($U$2:$U3877,$U3877,$L$2:$L3877,$L3877)=1,1,0)))</f>
        <v>1</v>
      </c>
      <c r="AA38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7" s="106"/>
      <c r="AC3877" s="51"/>
      <c r="AD3877" s="106" t="s">
        <v>15</v>
      </c>
      <c r="AE3877" s="38" t="s">
        <v>395</v>
      </c>
    </row>
    <row r="3878" spans="1:31" ht="18" customHeight="1" x14ac:dyDescent="0.25">
      <c r="A38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8" s="79">
        <v>4</v>
      </c>
      <c r="C3878" s="23">
        <v>44512</v>
      </c>
      <c r="D3878" s="67">
        <f>IF(COUNTIF($G$2:$G3878,$G3878)=1,1,0)</f>
        <v>0</v>
      </c>
      <c r="E3878" s="67" t="str">
        <f>IFERROR(VLOOKUP(База_КР_КК[[#This Row],[ИД штатной должности (S)]],'уровень защищенности'!$B$7:$F$1095,5,0),"не защищена")</f>
        <v>средний</v>
      </c>
      <c r="F3878" s="68">
        <v>500418</v>
      </c>
      <c r="G3878" s="74" t="s">
        <v>3123</v>
      </c>
      <c r="H3878" s="181">
        <f>INDEX('Списки данных'!$D$2:$D$1048576,MATCH(База_КР_КК[[#This Row],[Структурное подразделение]],'Списки данных'!$C$2:$C$1048576,0))</f>
        <v>63</v>
      </c>
      <c r="I3878" s="80" t="s">
        <v>175</v>
      </c>
      <c r="J3878" s="80" t="s">
        <v>261</v>
      </c>
      <c r="K3878" s="80" t="s">
        <v>262</v>
      </c>
      <c r="L3878" s="30" t="s">
        <v>251</v>
      </c>
      <c r="M3878" s="68">
        <v>6</v>
      </c>
      <c r="N3878" s="181" t="str">
        <f t="shared" si="61"/>
        <v>нет</v>
      </c>
      <c r="O3878" s="23"/>
      <c r="P3878" s="23"/>
      <c r="Q3878" s="106"/>
      <c r="R3878" s="37">
        <v>939</v>
      </c>
      <c r="S3878" s="39" t="s">
        <v>1348</v>
      </c>
      <c r="T3878" s="37">
        <v>2040</v>
      </c>
      <c r="U3878" s="37" t="s">
        <v>2104</v>
      </c>
      <c r="V3878" s="89" t="s">
        <v>16</v>
      </c>
      <c r="W3878" s="89" t="s">
        <v>175</v>
      </c>
      <c r="X3878" s="106" t="s">
        <v>297</v>
      </c>
      <c r="Y3878" s="107" t="s">
        <v>12</v>
      </c>
      <c r="Z3878" s="67">
        <f>IF(База_КР_КК[[#This Row],[Таб.номер резервиста]]="-","-",IF(OR(База_КР_КК[[#This Row],[Уровень КК]]=2,База_КР_КК[[#This Row],[Уровень КК]]=3),IF(COUNTIFS($U$2:$U3878,$U3878,$F$2:$F3878,$F3878)=1,1,0),IF(COUNTIFS($U$2:$U3878,$U3878,$L$2:$L3878,$L3878)=1,1,0)))</f>
        <v>1</v>
      </c>
      <c r="AA38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8" s="106"/>
      <c r="AC3878" s="51"/>
      <c r="AD3878" s="106" t="s">
        <v>15</v>
      </c>
      <c r="AE3878" s="38" t="s">
        <v>395</v>
      </c>
    </row>
    <row r="3879" spans="1:31" ht="18" customHeight="1" x14ac:dyDescent="0.25">
      <c r="A38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79" s="79">
        <v>4</v>
      </c>
      <c r="C3879" s="23">
        <v>44512</v>
      </c>
      <c r="D3879" s="67">
        <f>IF(COUNTIF($G$2:$G3879,$G3879)=1,1,0)</f>
        <v>0</v>
      </c>
      <c r="E3879" s="67" t="str">
        <f>IFERROR(VLOOKUP(База_КР_КК[[#This Row],[ИД штатной должности (S)]],'уровень защищенности'!$B$7:$F$1095,5,0),"не защищена")</f>
        <v>средний</v>
      </c>
      <c r="F3879" s="68">
        <v>500418</v>
      </c>
      <c r="G3879" s="74" t="s">
        <v>3123</v>
      </c>
      <c r="H3879" s="181">
        <f>INDEX('Списки данных'!$D$2:$D$1048576,MATCH(База_КР_КК[[#This Row],[Структурное подразделение]],'Списки данных'!$C$2:$C$1048576,0))</f>
        <v>63</v>
      </c>
      <c r="I3879" s="80" t="s">
        <v>175</v>
      </c>
      <c r="J3879" s="80" t="s">
        <v>261</v>
      </c>
      <c r="K3879" s="80" t="s">
        <v>262</v>
      </c>
      <c r="L3879" s="30" t="s">
        <v>251</v>
      </c>
      <c r="M3879" s="68">
        <v>6</v>
      </c>
      <c r="N3879" s="181" t="str">
        <f t="shared" si="61"/>
        <v>нет</v>
      </c>
      <c r="O3879" s="23"/>
      <c r="P3879" s="23"/>
      <c r="Q3879" s="106"/>
      <c r="R3879" s="37">
        <v>939</v>
      </c>
      <c r="S3879" s="39" t="s">
        <v>1348</v>
      </c>
      <c r="T3879" s="37">
        <v>2041</v>
      </c>
      <c r="U3879" s="37" t="s">
        <v>2060</v>
      </c>
      <c r="V3879" s="89" t="s">
        <v>16</v>
      </c>
      <c r="W3879" s="89" t="s">
        <v>175</v>
      </c>
      <c r="X3879" s="106" t="s">
        <v>297</v>
      </c>
      <c r="Y3879" s="107" t="s">
        <v>12</v>
      </c>
      <c r="Z3879" s="67">
        <f>IF(База_КР_КК[[#This Row],[Таб.номер резервиста]]="-","-",IF(OR(База_КР_КК[[#This Row],[Уровень КК]]=2,База_КР_КК[[#This Row],[Уровень КК]]=3),IF(COUNTIFS($U$2:$U3879,$U3879,$F$2:$F3879,$F3879)=1,1,0),IF(COUNTIFS($U$2:$U3879,$U3879,$L$2:$L3879,$L3879)=1,1,0)))</f>
        <v>1</v>
      </c>
      <c r="AA38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79" s="106"/>
      <c r="AC3879" s="51"/>
      <c r="AD3879" s="106" t="s">
        <v>15</v>
      </c>
      <c r="AE3879" s="38" t="s">
        <v>395</v>
      </c>
    </row>
    <row r="3880" spans="1:31" ht="18" customHeight="1" x14ac:dyDescent="0.25">
      <c r="A38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0" s="79">
        <v>4</v>
      </c>
      <c r="C3880" s="23">
        <v>44512</v>
      </c>
      <c r="D3880" s="67">
        <f>IF(COUNTIF($G$2:$G3880,$G3880)=1,1,0)</f>
        <v>1</v>
      </c>
      <c r="E3880" s="67" t="str">
        <f>IFERROR(VLOOKUP(База_КР_КК[[#This Row],[ИД штатной должности (S)]],'уровень защищенности'!$B$7:$F$1095,5,0),"не защищена")</f>
        <v>высокий</v>
      </c>
      <c r="F3880" s="68">
        <v>500419</v>
      </c>
      <c r="G3880" s="74" t="s">
        <v>3124</v>
      </c>
      <c r="H3880" s="181">
        <f>INDEX('Списки данных'!$D$2:$D$1048576,MATCH(База_КР_КК[[#This Row],[Структурное подразделение]],'Списки данных'!$C$2:$C$1048576,0))</f>
        <v>63</v>
      </c>
      <c r="I3880" s="80" t="s">
        <v>175</v>
      </c>
      <c r="J3880" s="80" t="s">
        <v>261</v>
      </c>
      <c r="K3880" s="80" t="s">
        <v>262</v>
      </c>
      <c r="L3880" s="30" t="s">
        <v>251</v>
      </c>
      <c r="M3880" s="68">
        <v>6</v>
      </c>
      <c r="N3880" s="181" t="str">
        <f t="shared" si="61"/>
        <v>нет</v>
      </c>
      <c r="O3880" s="23"/>
      <c r="P3880" s="23"/>
      <c r="Q3880" s="106"/>
      <c r="R3880" s="37">
        <v>940</v>
      </c>
      <c r="S3880" s="39" t="s">
        <v>1349</v>
      </c>
      <c r="T3880" s="37">
        <v>2042</v>
      </c>
      <c r="U3880" s="37" t="s">
        <v>1868</v>
      </c>
      <c r="V3880" s="89" t="s">
        <v>16</v>
      </c>
      <c r="W3880" s="89" t="s">
        <v>175</v>
      </c>
      <c r="X3880" s="106" t="s">
        <v>296</v>
      </c>
      <c r="Y3880" s="107" t="s">
        <v>12</v>
      </c>
      <c r="Z3880" s="67">
        <f>IF(База_КР_КК[[#This Row],[Таб.номер резервиста]]="-","-",IF(OR(База_КР_КК[[#This Row],[Уровень КК]]=2,База_КР_КК[[#This Row],[Уровень КК]]=3),IF(COUNTIFS($U$2:$U3880,$U3880,$F$2:$F3880,$F3880)=1,1,0),IF(COUNTIFS($U$2:$U3880,$U3880,$L$2:$L3880,$L3880)=1,1,0)))</f>
        <v>1</v>
      </c>
      <c r="AA38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0" s="106"/>
      <c r="AC3880" s="51"/>
      <c r="AD3880" s="106" t="s">
        <v>15</v>
      </c>
      <c r="AE3880" s="38" t="s">
        <v>395</v>
      </c>
    </row>
    <row r="3881" spans="1:31" ht="18" customHeight="1" x14ac:dyDescent="0.25">
      <c r="A38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1" s="79">
        <v>4</v>
      </c>
      <c r="C3881" s="23">
        <v>44897</v>
      </c>
      <c r="D3881" s="67">
        <f>IF(COUNTIF($G$2:$G3881,$G3881)=1,1,0)</f>
        <v>0</v>
      </c>
      <c r="E3881" s="67" t="str">
        <f>IFERROR(VLOOKUP(База_КР_КК[[#This Row],[ИД штатной должности (S)]],'уровень защищенности'!$B$7:$F$1095,5,0),"не защищена")</f>
        <v>высокий</v>
      </c>
      <c r="F3881" s="68">
        <v>500419</v>
      </c>
      <c r="G3881" s="74" t="s">
        <v>3124</v>
      </c>
      <c r="H3881" s="181">
        <f>INDEX('Списки данных'!$D$2:$D$1048576,MATCH(База_КР_КК[[#This Row],[Структурное подразделение]],'Списки данных'!$C$2:$C$1048576,0))</f>
        <v>63</v>
      </c>
      <c r="I3881" s="80" t="s">
        <v>175</v>
      </c>
      <c r="J3881" s="80" t="s">
        <v>261</v>
      </c>
      <c r="K3881" s="80" t="s">
        <v>262</v>
      </c>
      <c r="L3881" s="30" t="s">
        <v>251</v>
      </c>
      <c r="M3881" s="68">
        <v>6</v>
      </c>
      <c r="N3881" s="181" t="str">
        <f t="shared" si="61"/>
        <v>нет</v>
      </c>
      <c r="O3881" s="23"/>
      <c r="P3881" s="23"/>
      <c r="Q3881" s="106"/>
      <c r="R3881" s="37">
        <v>940</v>
      </c>
      <c r="S3881" s="39" t="s">
        <v>1349</v>
      </c>
      <c r="T3881" s="37">
        <v>2043</v>
      </c>
      <c r="U3881" s="38" t="s">
        <v>2127</v>
      </c>
      <c r="V3881" s="69" t="s">
        <v>16</v>
      </c>
      <c r="W3881" s="89" t="s">
        <v>175</v>
      </c>
      <c r="X3881" s="106" t="s">
        <v>295</v>
      </c>
      <c r="Y3881" s="107" t="s">
        <v>12</v>
      </c>
      <c r="Z3881" s="67">
        <f>IF(База_КР_КК[[#This Row],[Таб.номер резервиста]]="-","-",IF(OR(База_КР_КК[[#This Row],[Уровень КК]]=2,База_КР_КК[[#This Row],[Уровень КК]]=3),IF(COUNTIFS($U$2:$U3881,$U3881,$F$2:$F3881,$F3881)=1,1,0),IF(COUNTIFS($U$2:$U3881,$U3881,$L$2:$L3881,$L3881)=1,1,0)))</f>
        <v>1</v>
      </c>
      <c r="AA38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1" s="106"/>
      <c r="AC3881" s="51"/>
      <c r="AD3881" s="106" t="s">
        <v>15</v>
      </c>
      <c r="AE3881" s="38" t="s">
        <v>314</v>
      </c>
    </row>
    <row r="3882" spans="1:31" ht="18" customHeight="1" x14ac:dyDescent="0.25">
      <c r="A38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2" s="79">
        <v>4</v>
      </c>
      <c r="C3882" s="23">
        <v>44897</v>
      </c>
      <c r="D3882" s="67">
        <f>IF(COUNTIF($G$2:$G3882,$G3882)=1,1,0)</f>
        <v>0</v>
      </c>
      <c r="E3882" s="67" t="str">
        <f>IFERROR(VLOOKUP(База_КР_КК[[#This Row],[ИД штатной должности (S)]],'уровень защищенности'!$B$7:$F$1095,5,0),"не защищена")</f>
        <v>высокий</v>
      </c>
      <c r="F3882" s="68">
        <v>500419</v>
      </c>
      <c r="G3882" s="74" t="s">
        <v>3124</v>
      </c>
      <c r="H3882" s="181">
        <f>INDEX('Списки данных'!$D$2:$D$1048576,MATCH(База_КР_КК[[#This Row],[Структурное подразделение]],'Списки данных'!$C$2:$C$1048576,0))</f>
        <v>63</v>
      </c>
      <c r="I3882" s="80" t="s">
        <v>175</v>
      </c>
      <c r="J3882" s="80" t="s">
        <v>261</v>
      </c>
      <c r="K3882" s="80" t="s">
        <v>262</v>
      </c>
      <c r="L3882" s="30" t="s">
        <v>251</v>
      </c>
      <c r="M3882" s="68">
        <v>6</v>
      </c>
      <c r="N3882" s="181" t="str">
        <f t="shared" si="61"/>
        <v>нет</v>
      </c>
      <c r="O3882" s="23"/>
      <c r="P3882" s="23"/>
      <c r="Q3882" s="106"/>
      <c r="R3882" s="37">
        <v>940</v>
      </c>
      <c r="S3882" s="39" t="s">
        <v>1349</v>
      </c>
      <c r="T3882" s="37">
        <v>2044</v>
      </c>
      <c r="U3882" s="38" t="s">
        <v>1786</v>
      </c>
      <c r="V3882" s="69" t="s">
        <v>16</v>
      </c>
      <c r="W3882" s="89" t="s">
        <v>175</v>
      </c>
      <c r="X3882" s="106" t="s">
        <v>295</v>
      </c>
      <c r="Y3882" s="107" t="s">
        <v>12</v>
      </c>
      <c r="Z3882" s="67">
        <f>IF(База_КР_КК[[#This Row],[Таб.номер резервиста]]="-","-",IF(OR(База_КР_КК[[#This Row],[Уровень КК]]=2,База_КР_КК[[#This Row],[Уровень КК]]=3),IF(COUNTIFS($U$2:$U3882,$U3882,$F$2:$F3882,$F3882)=1,1,0),IF(COUNTIFS($U$2:$U3882,$U3882,$L$2:$L3882,$L3882)=1,1,0)))</f>
        <v>1</v>
      </c>
      <c r="AA38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2" s="106"/>
      <c r="AC3882" s="51"/>
      <c r="AD3882" s="106" t="s">
        <v>15</v>
      </c>
      <c r="AE3882" s="38" t="s">
        <v>314</v>
      </c>
    </row>
    <row r="3883" spans="1:31" ht="18" customHeight="1" x14ac:dyDescent="0.25">
      <c r="A38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3" s="79">
        <v>4</v>
      </c>
      <c r="C3883" s="23">
        <v>44512</v>
      </c>
      <c r="D3883" s="67">
        <f>IF(COUNTIF($G$2:$G3883,$G3883)=1,1,0)</f>
        <v>1</v>
      </c>
      <c r="E3883" s="67" t="str">
        <f>IFERROR(VLOOKUP(База_КР_КК[[#This Row],[ИД штатной должности (S)]],'уровень защищенности'!$B$7:$F$1095,5,0),"не защищена")</f>
        <v>высокий</v>
      </c>
      <c r="F3883" s="68">
        <v>500420</v>
      </c>
      <c r="G3883" s="74" t="s">
        <v>3125</v>
      </c>
      <c r="H3883" s="181">
        <f>INDEX('Списки данных'!$D$2:$D$1048576,MATCH(База_КР_КК[[#This Row],[Структурное подразделение]],'Списки данных'!$C$2:$C$1048576,0))</f>
        <v>63</v>
      </c>
      <c r="I3883" s="80" t="s">
        <v>175</v>
      </c>
      <c r="J3883" s="80" t="s">
        <v>261</v>
      </c>
      <c r="K3883" s="80" t="s">
        <v>262</v>
      </c>
      <c r="L3883" s="30" t="s">
        <v>251</v>
      </c>
      <c r="M3883" s="68">
        <v>6</v>
      </c>
      <c r="N3883" s="181" t="str">
        <f t="shared" si="61"/>
        <v>нет</v>
      </c>
      <c r="O3883" s="23"/>
      <c r="P3883" s="23"/>
      <c r="Q3883" s="106"/>
      <c r="R3883" s="37">
        <v>941</v>
      </c>
      <c r="S3883" s="39" t="s">
        <v>1350</v>
      </c>
      <c r="T3883" s="37">
        <v>2045</v>
      </c>
      <c r="U3883" s="37" t="s">
        <v>2128</v>
      </c>
      <c r="V3883" s="89" t="s">
        <v>16</v>
      </c>
      <c r="W3883" s="89" t="s">
        <v>175</v>
      </c>
      <c r="X3883" s="106" t="s">
        <v>297</v>
      </c>
      <c r="Y3883" s="107" t="s">
        <v>12</v>
      </c>
      <c r="Z3883" s="67">
        <f>IF(База_КР_КК[[#This Row],[Таб.номер резервиста]]="-","-",IF(OR(База_КР_КК[[#This Row],[Уровень КК]]=2,База_КР_КК[[#This Row],[Уровень КК]]=3),IF(COUNTIFS($U$2:$U3883,$U3883,$F$2:$F3883,$F3883)=1,1,0),IF(COUNTIFS($U$2:$U3883,$U3883,$L$2:$L3883,$L3883)=1,1,0)))</f>
        <v>1</v>
      </c>
      <c r="AA38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3" s="106"/>
      <c r="AC3883" s="51"/>
      <c r="AD3883" s="106" t="s">
        <v>15</v>
      </c>
      <c r="AE3883" s="38" t="s">
        <v>395</v>
      </c>
    </row>
    <row r="3884" spans="1:31" ht="18" customHeight="1" x14ac:dyDescent="0.25">
      <c r="A38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4" s="79">
        <v>4</v>
      </c>
      <c r="C3884" s="23">
        <v>44897</v>
      </c>
      <c r="D3884" s="67">
        <f>IF(COUNTIF($G$2:$G3884,$G3884)=1,1,0)</f>
        <v>0</v>
      </c>
      <c r="E3884" s="67" t="str">
        <f>IFERROR(VLOOKUP(База_КР_КК[[#This Row],[ИД штатной должности (S)]],'уровень защищенности'!$B$7:$F$1095,5,0),"не защищена")</f>
        <v>высокий</v>
      </c>
      <c r="F3884" s="68">
        <v>500420</v>
      </c>
      <c r="G3884" s="74" t="s">
        <v>3125</v>
      </c>
      <c r="H3884" s="181">
        <f>INDEX('Списки данных'!$D$2:$D$1048576,MATCH(База_КР_КК[[#This Row],[Структурное подразделение]],'Списки данных'!$C$2:$C$1048576,0))</f>
        <v>63</v>
      </c>
      <c r="I3884" s="80" t="s">
        <v>175</v>
      </c>
      <c r="J3884" s="80" t="s">
        <v>261</v>
      </c>
      <c r="K3884" s="80" t="s">
        <v>262</v>
      </c>
      <c r="L3884" s="30" t="s">
        <v>251</v>
      </c>
      <c r="M3884" s="68">
        <v>6</v>
      </c>
      <c r="N3884" s="181" t="str">
        <f t="shared" si="61"/>
        <v>нет</v>
      </c>
      <c r="O3884" s="23"/>
      <c r="P3884" s="23"/>
      <c r="Q3884" s="106"/>
      <c r="R3884" s="37">
        <v>941</v>
      </c>
      <c r="S3884" s="39" t="s">
        <v>1350</v>
      </c>
      <c r="T3884" s="37">
        <v>2046</v>
      </c>
      <c r="U3884" s="38" t="s">
        <v>2068</v>
      </c>
      <c r="V3884" s="69" t="s">
        <v>16</v>
      </c>
      <c r="W3884" s="89" t="s">
        <v>175</v>
      </c>
      <c r="X3884" s="106" t="s">
        <v>295</v>
      </c>
      <c r="Y3884" s="107" t="s">
        <v>12</v>
      </c>
      <c r="Z3884" s="67">
        <f>IF(База_КР_КК[[#This Row],[Таб.номер резервиста]]="-","-",IF(OR(База_КР_КК[[#This Row],[Уровень КК]]=2,База_КР_КК[[#This Row],[Уровень КК]]=3),IF(COUNTIFS($U$2:$U3884,$U3884,$F$2:$F3884,$F3884)=1,1,0),IF(COUNTIFS($U$2:$U3884,$U3884,$L$2:$L3884,$L3884)=1,1,0)))</f>
        <v>1</v>
      </c>
      <c r="AA38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4" s="106"/>
      <c r="AC3884" s="51"/>
      <c r="AD3884" s="106" t="s">
        <v>15</v>
      </c>
      <c r="AE3884" s="38" t="s">
        <v>314</v>
      </c>
    </row>
    <row r="3885" spans="1:31" ht="18" customHeight="1" x14ac:dyDescent="0.25">
      <c r="A38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5" s="79">
        <v>4</v>
      </c>
      <c r="C3885" s="23">
        <v>44512</v>
      </c>
      <c r="D3885" s="67">
        <f>IF(COUNTIF($G$2:$G3885,$G3885)=1,1,0)</f>
        <v>1</v>
      </c>
      <c r="E3885" s="67" t="str">
        <f>IFERROR(VLOOKUP(База_КР_КК[[#This Row],[ИД штатной должности (S)]],'уровень защищенности'!$B$7:$F$1095,5,0),"не защищена")</f>
        <v>высокий</v>
      </c>
      <c r="F3885" s="68">
        <v>500421</v>
      </c>
      <c r="G3885" s="74" t="s">
        <v>3126</v>
      </c>
      <c r="H3885" s="181">
        <f>INDEX('Списки данных'!$D$2:$D$1048576,MATCH(База_КР_КК[[#This Row],[Структурное подразделение]],'Списки данных'!$C$2:$C$1048576,0))</f>
        <v>63</v>
      </c>
      <c r="I3885" s="80" t="s">
        <v>175</v>
      </c>
      <c r="J3885" s="80" t="s">
        <v>261</v>
      </c>
      <c r="K3885" s="80" t="s">
        <v>262</v>
      </c>
      <c r="L3885" s="30" t="s">
        <v>251</v>
      </c>
      <c r="M3885" s="68">
        <v>6</v>
      </c>
      <c r="N3885" s="181" t="str">
        <f t="shared" si="61"/>
        <v>нет</v>
      </c>
      <c r="O3885" s="23"/>
      <c r="P3885" s="23"/>
      <c r="Q3885" s="106"/>
      <c r="R3885" s="37">
        <v>942</v>
      </c>
      <c r="S3885" s="39" t="s">
        <v>1351</v>
      </c>
      <c r="T3885" s="37">
        <v>2047</v>
      </c>
      <c r="U3885" s="37" t="s">
        <v>2129</v>
      </c>
      <c r="V3885" s="89" t="s">
        <v>16</v>
      </c>
      <c r="W3885" s="89" t="s">
        <v>175</v>
      </c>
      <c r="X3885" s="106" t="s">
        <v>295</v>
      </c>
      <c r="Y3885" s="107" t="s">
        <v>12</v>
      </c>
      <c r="Z3885" s="67">
        <f>IF(База_КР_КК[[#This Row],[Таб.номер резервиста]]="-","-",IF(OR(База_КР_КК[[#This Row],[Уровень КК]]=2,База_КР_КК[[#This Row],[Уровень КК]]=3),IF(COUNTIFS($U$2:$U3885,$U3885,$F$2:$F3885,$F3885)=1,1,0),IF(COUNTIFS($U$2:$U3885,$U3885,$L$2:$L3885,$L3885)=1,1,0)))</f>
        <v>1</v>
      </c>
      <c r="AA38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5" s="106"/>
      <c r="AC3885" s="51"/>
      <c r="AD3885" s="106" t="s">
        <v>13</v>
      </c>
      <c r="AE3885" s="38" t="s">
        <v>314</v>
      </c>
    </row>
    <row r="3886" spans="1:31" ht="18" customHeight="1" x14ac:dyDescent="0.25">
      <c r="A38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6" s="79">
        <v>4</v>
      </c>
      <c r="C3886" s="23">
        <v>44512</v>
      </c>
      <c r="D3886" s="67">
        <f>IF(COUNTIF($G$2:$G3886,$G3886)=1,1,0)</f>
        <v>1</v>
      </c>
      <c r="E3886" s="67" t="str">
        <f>IFERROR(VLOOKUP(База_КР_КК[[#This Row],[ИД штатной должности (S)]],'уровень защищенности'!$B$7:$F$1095,5,0),"не защищена")</f>
        <v>высокий</v>
      </c>
      <c r="F3886" s="68">
        <v>500422</v>
      </c>
      <c r="G3886" s="74" t="s">
        <v>3127</v>
      </c>
      <c r="H3886" s="181">
        <f>INDEX('Списки данных'!$D$2:$D$1048576,MATCH(База_КР_КК[[#This Row],[Структурное подразделение]],'Списки данных'!$C$2:$C$1048576,0))</f>
        <v>63</v>
      </c>
      <c r="I3886" s="80" t="s">
        <v>175</v>
      </c>
      <c r="J3886" s="80" t="s">
        <v>261</v>
      </c>
      <c r="K3886" s="80" t="s">
        <v>21</v>
      </c>
      <c r="L3886" s="30" t="s">
        <v>186</v>
      </c>
      <c r="M3886" s="68">
        <v>6</v>
      </c>
      <c r="N3886" s="181" t="str">
        <f t="shared" si="61"/>
        <v>нет</v>
      </c>
      <c r="O3886" s="23"/>
      <c r="P3886" s="23"/>
      <c r="Q3886" s="106"/>
      <c r="R3886" s="37">
        <v>943</v>
      </c>
      <c r="S3886" s="39" t="s">
        <v>1352</v>
      </c>
      <c r="T3886" s="37">
        <v>946</v>
      </c>
      <c r="U3886" s="39" t="s">
        <v>1355</v>
      </c>
      <c r="V3886" s="69" t="s">
        <v>186</v>
      </c>
      <c r="W3886" s="89" t="s">
        <v>175</v>
      </c>
      <c r="X3886" s="106" t="s">
        <v>295</v>
      </c>
      <c r="Y3886" s="107" t="s">
        <v>12</v>
      </c>
      <c r="Z3886" s="67">
        <f>IF(База_КР_КК[[#This Row],[Таб.номер резервиста]]="-","-",IF(OR(База_КР_КК[[#This Row],[Уровень КК]]=2,База_КР_КК[[#This Row],[Уровень КК]]=3),IF(COUNTIFS($U$2:$U3886,$U3886,$F$2:$F3886,$F3886)=1,1,0),IF(COUNTIFS($U$2:$U3886,$U3886,$L$2:$L3886,$L3886)=1,1,0)))</f>
        <v>1</v>
      </c>
      <c r="AA38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6" s="106"/>
      <c r="AC3886" s="51"/>
      <c r="AD3886" s="106" t="s">
        <v>13</v>
      </c>
      <c r="AE3886" s="38" t="s">
        <v>389</v>
      </c>
    </row>
    <row r="3887" spans="1:31" ht="18" customHeight="1" x14ac:dyDescent="0.25">
      <c r="A38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7" s="79">
        <v>4</v>
      </c>
      <c r="C3887" s="23">
        <v>44512</v>
      </c>
      <c r="D3887" s="67">
        <f>IF(COUNTIF($G$2:$G3887,$G3887)=1,1,0)</f>
        <v>0</v>
      </c>
      <c r="E3887" s="67" t="str">
        <f>IFERROR(VLOOKUP(База_КР_КК[[#This Row],[ИД штатной должности (S)]],'уровень защищенности'!$B$7:$F$1095,5,0),"не защищена")</f>
        <v>высокий</v>
      </c>
      <c r="F3887" s="68">
        <v>500422</v>
      </c>
      <c r="G3887" s="74" t="s">
        <v>3127</v>
      </c>
      <c r="H3887" s="181">
        <f>INDEX('Списки данных'!$D$2:$D$1048576,MATCH(База_КР_КК[[#This Row],[Структурное подразделение]],'Списки данных'!$C$2:$C$1048576,0))</f>
        <v>63</v>
      </c>
      <c r="I3887" s="80" t="s">
        <v>175</v>
      </c>
      <c r="J3887" s="80" t="s">
        <v>261</v>
      </c>
      <c r="K3887" s="80" t="s">
        <v>21</v>
      </c>
      <c r="L3887" s="30" t="s">
        <v>186</v>
      </c>
      <c r="M3887" s="68">
        <v>6</v>
      </c>
      <c r="N3887" s="181" t="str">
        <f t="shared" si="61"/>
        <v>нет</v>
      </c>
      <c r="O3887" s="23"/>
      <c r="P3887" s="23"/>
      <c r="Q3887" s="106"/>
      <c r="R3887" s="37">
        <v>943</v>
      </c>
      <c r="S3887" s="39" t="s">
        <v>1352</v>
      </c>
      <c r="T3887" s="37">
        <v>920</v>
      </c>
      <c r="U3887" s="39" t="s">
        <v>1329</v>
      </c>
      <c r="V3887" s="69" t="s">
        <v>187</v>
      </c>
      <c r="W3887" s="89" t="s">
        <v>175</v>
      </c>
      <c r="X3887" s="106" t="s">
        <v>297</v>
      </c>
      <c r="Y3887" s="107" t="s">
        <v>12</v>
      </c>
      <c r="Z3887" s="67">
        <f>IF(База_КР_КК[[#This Row],[Таб.номер резервиста]]="-","-",IF(OR(База_КР_КК[[#This Row],[Уровень КК]]=2,База_КР_КК[[#This Row],[Уровень КК]]=3),IF(COUNTIFS($U$2:$U3887,$U3887,$F$2:$F3887,$F3887)=1,1,0),IF(COUNTIFS($U$2:$U3887,$U3887,$L$2:$L3887,$L3887)=1,1,0)))</f>
        <v>1</v>
      </c>
      <c r="AA38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7" s="106"/>
      <c r="AC3887" s="51"/>
      <c r="AD3887" s="106" t="s">
        <v>13</v>
      </c>
      <c r="AE3887" s="38" t="s">
        <v>389</v>
      </c>
    </row>
    <row r="3888" spans="1:31" ht="18" customHeight="1" x14ac:dyDescent="0.25">
      <c r="A38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8" s="79">
        <v>4</v>
      </c>
      <c r="C3888" s="23">
        <v>44897</v>
      </c>
      <c r="D3888" s="67">
        <f>IF(COUNTIF($G$2:$G3888,$G3888)=1,1,0)</f>
        <v>1</v>
      </c>
      <c r="E3888" s="67" t="str">
        <f>IFERROR(VLOOKUP(База_КР_КК[[#This Row],[ИД штатной должности (S)]],'уровень защищенности'!$B$7:$F$1095,5,0),"не защищена")</f>
        <v>низкий</v>
      </c>
      <c r="F3888" s="68">
        <v>500423</v>
      </c>
      <c r="G3888" s="74" t="s">
        <v>3128</v>
      </c>
      <c r="H3888" s="181">
        <f>INDEX('Списки данных'!$D$2:$D$1048576,MATCH(База_КР_КК[[#This Row],[Структурное подразделение]],'Списки данных'!$C$2:$C$1048576,0))</f>
        <v>63</v>
      </c>
      <c r="I3888" s="80" t="s">
        <v>175</v>
      </c>
      <c r="J3888" s="80" t="s">
        <v>261</v>
      </c>
      <c r="K3888" s="80" t="s">
        <v>262</v>
      </c>
      <c r="L3888" s="82" t="s">
        <v>192</v>
      </c>
      <c r="M3888" s="68">
        <v>7</v>
      </c>
      <c r="N3888" s="181" t="str">
        <f t="shared" si="61"/>
        <v>нет</v>
      </c>
      <c r="O3888" s="23"/>
      <c r="P3888" s="23"/>
      <c r="Q3888" s="106"/>
      <c r="R3888" s="37">
        <v>944</v>
      </c>
      <c r="S3888" s="39" t="s">
        <v>1353</v>
      </c>
      <c r="T3888" s="37">
        <v>2032</v>
      </c>
      <c r="U3888" s="38" t="s">
        <v>1985</v>
      </c>
      <c r="V3888" s="69" t="s">
        <v>16</v>
      </c>
      <c r="W3888" s="89" t="s">
        <v>175</v>
      </c>
      <c r="X3888" s="106" t="s">
        <v>296</v>
      </c>
      <c r="Y3888" s="107" t="s">
        <v>12</v>
      </c>
      <c r="Z3888" s="67">
        <f>IF(База_КР_КК[[#This Row],[Таб.номер резервиста]]="-","-",IF(OR(База_КР_КК[[#This Row],[Уровень КК]]=2,База_КР_КК[[#This Row],[Уровень КК]]=3),IF(COUNTIFS($U$2:$U3888,$U3888,$F$2:$F3888,$F3888)=1,1,0),IF(COUNTIFS($U$2:$U3888,$U3888,$L$2:$L3888,$L3888)=1,1,0)))</f>
        <v>0</v>
      </c>
      <c r="AA38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8" s="106"/>
      <c r="AC3888" s="51"/>
      <c r="AD3888" s="106" t="s">
        <v>15</v>
      </c>
      <c r="AE3888" s="38" t="s">
        <v>314</v>
      </c>
    </row>
    <row r="3889" spans="1:31" ht="18" customHeight="1" x14ac:dyDescent="0.25">
      <c r="A38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89" s="79">
        <v>4</v>
      </c>
      <c r="C3889" s="23">
        <v>44512</v>
      </c>
      <c r="D3889" s="67">
        <f>IF(COUNTIF($G$2:$G3889,$G3889)=1,1,0)</f>
        <v>0</v>
      </c>
      <c r="E3889" s="67" t="str">
        <f>IFERROR(VLOOKUP(База_КР_КК[[#This Row],[ИД штатной должности (S)]],'уровень защищенности'!$B$7:$F$1095,5,0),"не защищена")</f>
        <v>низкий</v>
      </c>
      <c r="F3889" s="68">
        <v>500423</v>
      </c>
      <c r="G3889" s="74" t="s">
        <v>3128</v>
      </c>
      <c r="H3889" s="181">
        <f>INDEX('Списки данных'!$D$2:$D$1048576,MATCH(База_КР_КК[[#This Row],[Структурное подразделение]],'Списки данных'!$C$2:$C$1048576,0))</f>
        <v>63</v>
      </c>
      <c r="I3889" s="80" t="s">
        <v>175</v>
      </c>
      <c r="J3889" s="80" t="s">
        <v>261</v>
      </c>
      <c r="K3889" s="80" t="s">
        <v>262</v>
      </c>
      <c r="L3889" s="82" t="s">
        <v>192</v>
      </c>
      <c r="M3889" s="68">
        <v>7</v>
      </c>
      <c r="N3889" s="181" t="str">
        <f t="shared" si="61"/>
        <v>нет</v>
      </c>
      <c r="O3889" s="23"/>
      <c r="P3889" s="23"/>
      <c r="Q3889" s="106"/>
      <c r="R3889" s="37">
        <v>944</v>
      </c>
      <c r="S3889" s="39" t="s">
        <v>1353</v>
      </c>
      <c r="T3889" s="37">
        <v>2048</v>
      </c>
      <c r="U3889" s="39" t="s">
        <v>1967</v>
      </c>
      <c r="V3889" s="69" t="s">
        <v>192</v>
      </c>
      <c r="W3889" s="89" t="s">
        <v>130</v>
      </c>
      <c r="X3889" s="106" t="s">
        <v>297</v>
      </c>
      <c r="Y3889" s="107" t="s">
        <v>18</v>
      </c>
      <c r="Z3889" s="67">
        <f>IF(База_КР_КК[[#This Row],[Таб.номер резервиста]]="-","-",IF(OR(База_КР_КК[[#This Row],[Уровень КК]]=2,База_КР_КК[[#This Row],[Уровень КК]]=3),IF(COUNTIFS($U$2:$U3889,$U3889,$F$2:$F3889,$F3889)=1,1,0),IF(COUNTIFS($U$2:$U3889,$U3889,$L$2:$L3889,$L3889)=1,1,0)))</f>
        <v>0</v>
      </c>
      <c r="AA38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89" s="106" t="s">
        <v>33</v>
      </c>
      <c r="AC3889" s="51">
        <v>44897</v>
      </c>
      <c r="AD3889" s="106" t="s">
        <v>31</v>
      </c>
      <c r="AE3889" s="38" t="s">
        <v>314</v>
      </c>
    </row>
    <row r="3890" spans="1:31" ht="18" customHeight="1" x14ac:dyDescent="0.25">
      <c r="A38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0" s="79">
        <v>4</v>
      </c>
      <c r="C3890" s="23">
        <v>44512</v>
      </c>
      <c r="D3890" s="67">
        <f>IF(COUNTIF($G$2:$G3890,$G3890)=1,1,0)</f>
        <v>1</v>
      </c>
      <c r="E3890" s="67" t="str">
        <f>IFERROR(VLOOKUP(База_КР_КК[[#This Row],[ИД штатной должности (S)]],'уровень защищенности'!$B$7:$F$1095,5,0),"не защищена")</f>
        <v>высокий</v>
      </c>
      <c r="F3890" s="68">
        <v>500424</v>
      </c>
      <c r="G3890" s="74" t="s">
        <v>3129</v>
      </c>
      <c r="H3890" s="181">
        <f>INDEX('Списки данных'!$D$2:$D$1048576,MATCH(База_КР_КК[[#This Row],[Структурное подразделение]],'Списки данных'!$C$2:$C$1048576,0))</f>
        <v>63</v>
      </c>
      <c r="I3890" s="80" t="s">
        <v>175</v>
      </c>
      <c r="J3890" s="80" t="s">
        <v>261</v>
      </c>
      <c r="K3890" s="80" t="s">
        <v>262</v>
      </c>
      <c r="L3890" s="30" t="s">
        <v>187</v>
      </c>
      <c r="M3890" s="68">
        <v>6</v>
      </c>
      <c r="N3890" s="181" t="str">
        <f t="shared" si="61"/>
        <v>нет</v>
      </c>
      <c r="O3890" s="23"/>
      <c r="P3890" s="23"/>
      <c r="Q3890" s="106"/>
      <c r="R3890" s="37">
        <v>945</v>
      </c>
      <c r="S3890" s="39" t="s">
        <v>1354</v>
      </c>
      <c r="T3890" s="37">
        <v>2049</v>
      </c>
      <c r="U3890" s="39" t="s">
        <v>2068</v>
      </c>
      <c r="V3890" s="89" t="s">
        <v>16</v>
      </c>
      <c r="W3890" s="89" t="s">
        <v>175</v>
      </c>
      <c r="X3890" s="106" t="s">
        <v>295</v>
      </c>
      <c r="Y3890" s="107" t="s">
        <v>12</v>
      </c>
      <c r="Z3890" s="67">
        <f>IF(База_КР_КК[[#This Row],[Таб.номер резервиста]]="-","-",IF(OR(База_КР_КК[[#This Row],[Уровень КК]]=2,База_КР_КК[[#This Row],[Уровень КК]]=3),IF(COUNTIFS($U$2:$U3890,$U3890,$F$2:$F3890,$F3890)=1,1,0),IF(COUNTIFS($U$2:$U3890,$U3890,$L$2:$L3890,$L3890)=1,1,0)))</f>
        <v>1</v>
      </c>
      <c r="AA38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0" s="106"/>
      <c r="AC3890" s="51"/>
      <c r="AD3890" s="106" t="s">
        <v>13</v>
      </c>
      <c r="AE3890" s="38" t="s">
        <v>389</v>
      </c>
    </row>
    <row r="3891" spans="1:31" ht="18" customHeight="1" x14ac:dyDescent="0.25">
      <c r="A38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1" s="79">
        <v>4</v>
      </c>
      <c r="C3891" s="23">
        <v>44512</v>
      </c>
      <c r="D3891" s="67">
        <f>IF(COUNTIF($G$2:$G3891,$G3891)=1,1,0)</f>
        <v>0</v>
      </c>
      <c r="E3891" s="67" t="str">
        <f>IFERROR(VLOOKUP(База_КР_КК[[#This Row],[ИД штатной должности (S)]],'уровень защищенности'!$B$7:$F$1095,5,0),"не защищена")</f>
        <v>высокий</v>
      </c>
      <c r="F3891" s="68">
        <v>500424</v>
      </c>
      <c r="G3891" s="74" t="s">
        <v>3129</v>
      </c>
      <c r="H3891" s="181">
        <f>INDEX('Списки данных'!$D$2:$D$1048576,MATCH(База_КР_КК[[#This Row],[Структурное подразделение]],'Списки данных'!$C$2:$C$1048576,0))</f>
        <v>63</v>
      </c>
      <c r="I3891" s="80" t="s">
        <v>175</v>
      </c>
      <c r="J3891" s="80" t="s">
        <v>261</v>
      </c>
      <c r="K3891" s="80" t="s">
        <v>262</v>
      </c>
      <c r="L3891" s="30" t="s">
        <v>187</v>
      </c>
      <c r="M3891" s="68">
        <v>6</v>
      </c>
      <c r="N3891" s="181" t="str">
        <f t="shared" si="61"/>
        <v>нет</v>
      </c>
      <c r="O3891" s="23"/>
      <c r="P3891" s="23"/>
      <c r="Q3891" s="106"/>
      <c r="R3891" s="37">
        <v>945</v>
      </c>
      <c r="S3891" s="39" t="s">
        <v>1354</v>
      </c>
      <c r="T3891" s="37">
        <v>2050</v>
      </c>
      <c r="U3891" s="39" t="s">
        <v>2060</v>
      </c>
      <c r="V3891" s="89" t="s">
        <v>16</v>
      </c>
      <c r="W3891" s="89" t="s">
        <v>175</v>
      </c>
      <c r="X3891" s="106" t="s">
        <v>297</v>
      </c>
      <c r="Y3891" s="107" t="s">
        <v>12</v>
      </c>
      <c r="Z3891" s="67">
        <f>IF(База_КР_КК[[#This Row],[Таб.номер резервиста]]="-","-",IF(OR(База_КР_КК[[#This Row],[Уровень КК]]=2,База_КР_КК[[#This Row],[Уровень КК]]=3),IF(COUNTIFS($U$2:$U3891,$U3891,$F$2:$F3891,$F3891)=1,1,0),IF(COUNTIFS($U$2:$U3891,$U3891,$L$2:$L3891,$L3891)=1,1,0)))</f>
        <v>1</v>
      </c>
      <c r="AA38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1" s="106"/>
      <c r="AC3891" s="51"/>
      <c r="AD3891" s="106" t="s">
        <v>13</v>
      </c>
      <c r="AE3891" s="38" t="s">
        <v>389</v>
      </c>
    </row>
    <row r="3892" spans="1:31" ht="18" customHeight="1" x14ac:dyDescent="0.25">
      <c r="A38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2" s="79">
        <v>4</v>
      </c>
      <c r="C3892" s="23">
        <v>44512</v>
      </c>
      <c r="D3892" s="67">
        <f>IF(COUNTIF($G$2:$G3892,$G3892)=1,1,0)</f>
        <v>0</v>
      </c>
      <c r="E3892" s="67" t="str">
        <f>IFERROR(VLOOKUP(База_КР_КК[[#This Row],[ИД штатной должности (S)]],'уровень защищенности'!$B$7:$F$1095,5,0),"не защищена")</f>
        <v>высокий</v>
      </c>
      <c r="F3892" s="68">
        <v>500424</v>
      </c>
      <c r="G3892" s="74" t="s">
        <v>3129</v>
      </c>
      <c r="H3892" s="181">
        <f>INDEX('Списки данных'!$D$2:$D$1048576,MATCH(База_КР_КК[[#This Row],[Структурное подразделение]],'Списки данных'!$C$2:$C$1048576,0))</f>
        <v>63</v>
      </c>
      <c r="I3892" s="80" t="s">
        <v>175</v>
      </c>
      <c r="J3892" s="80" t="s">
        <v>261</v>
      </c>
      <c r="K3892" s="80" t="s">
        <v>262</v>
      </c>
      <c r="L3892" s="30" t="s">
        <v>187</v>
      </c>
      <c r="M3892" s="68">
        <v>6</v>
      </c>
      <c r="N3892" s="181" t="str">
        <f t="shared" si="61"/>
        <v>нет</v>
      </c>
      <c r="O3892" s="23"/>
      <c r="P3892" s="23"/>
      <c r="Q3892" s="106"/>
      <c r="R3892" s="37">
        <v>945</v>
      </c>
      <c r="S3892" s="39" t="s">
        <v>1354</v>
      </c>
      <c r="T3892" s="37">
        <v>2051</v>
      </c>
      <c r="U3892" s="39" t="s">
        <v>2001</v>
      </c>
      <c r="V3892" s="89" t="s">
        <v>16</v>
      </c>
      <c r="W3892" s="89" t="s">
        <v>175</v>
      </c>
      <c r="X3892" s="106" t="s">
        <v>297</v>
      </c>
      <c r="Y3892" s="107" t="s">
        <v>12</v>
      </c>
      <c r="Z3892" s="67">
        <f>IF(База_КР_КК[[#This Row],[Таб.номер резервиста]]="-","-",IF(OR(База_КР_КК[[#This Row],[Уровень КК]]=2,База_КР_КК[[#This Row],[Уровень КК]]=3),IF(COUNTIFS($U$2:$U3892,$U3892,$F$2:$F3892,$F3892)=1,1,0),IF(COUNTIFS($U$2:$U3892,$U3892,$L$2:$L3892,$L3892)=1,1,0)))</f>
        <v>1</v>
      </c>
      <c r="AA38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2" s="106"/>
      <c r="AC3892" s="51"/>
      <c r="AD3892" s="106" t="s">
        <v>13</v>
      </c>
      <c r="AE3892" s="38" t="s">
        <v>389</v>
      </c>
    </row>
    <row r="3893" spans="1:31" ht="18" customHeight="1" x14ac:dyDescent="0.25">
      <c r="A38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3" s="79">
        <v>4</v>
      </c>
      <c r="C3893" s="23">
        <v>44512</v>
      </c>
      <c r="D3893" s="67">
        <f>IF(COUNTIF($G$2:$G3893,$G3893)=1,1,0)</f>
        <v>1</v>
      </c>
      <c r="E3893" s="67" t="str">
        <f>IFERROR(VLOOKUP(База_КР_КК[[#This Row],[ИД штатной должности (S)]],'уровень защищенности'!$B$7:$F$1095,5,0),"не защищена")</f>
        <v>низкий</v>
      </c>
      <c r="F3893" s="68">
        <v>500425</v>
      </c>
      <c r="G3893" s="74" t="s">
        <v>3130</v>
      </c>
      <c r="H3893" s="181">
        <f>INDEX('Списки данных'!$D$2:$D$1048576,MATCH(База_КР_КК[[#This Row],[Структурное подразделение]],'Списки данных'!$C$2:$C$1048576,0))</f>
        <v>63</v>
      </c>
      <c r="I3893" s="80" t="s">
        <v>175</v>
      </c>
      <c r="J3893" s="80" t="s">
        <v>261</v>
      </c>
      <c r="K3893" s="80" t="s">
        <v>21</v>
      </c>
      <c r="L3893" s="30" t="s">
        <v>186</v>
      </c>
      <c r="M3893" s="68">
        <v>6</v>
      </c>
      <c r="N3893" s="181" t="str">
        <f t="shared" si="61"/>
        <v>нет</v>
      </c>
      <c r="O3893" s="23"/>
      <c r="P3893" s="23"/>
      <c r="Q3893" s="106"/>
      <c r="R3893" s="37">
        <v>946</v>
      </c>
      <c r="S3893" s="39" t="s">
        <v>1355</v>
      </c>
      <c r="T3893" s="37">
        <v>2052</v>
      </c>
      <c r="U3893" s="39" t="s">
        <v>2099</v>
      </c>
      <c r="V3893" s="69" t="s">
        <v>16</v>
      </c>
      <c r="W3893" s="89" t="s">
        <v>175</v>
      </c>
      <c r="X3893" s="106" t="s">
        <v>296</v>
      </c>
      <c r="Y3893" s="107" t="s">
        <v>12</v>
      </c>
      <c r="Z3893" s="67">
        <f>IF(База_КР_КК[[#This Row],[Таб.номер резервиста]]="-","-",IF(OR(База_КР_КК[[#This Row],[Уровень КК]]=2,База_КР_КК[[#This Row],[Уровень КК]]=3),IF(COUNTIFS($U$2:$U3893,$U3893,$F$2:$F3893,$F3893)=1,1,0),IF(COUNTIFS($U$2:$U3893,$U3893,$L$2:$L3893,$L3893)=1,1,0)))</f>
        <v>1</v>
      </c>
      <c r="AA38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3" s="106"/>
      <c r="AC3893" s="51"/>
      <c r="AD3893" s="106" t="s">
        <v>13</v>
      </c>
      <c r="AE3893" s="38" t="s">
        <v>389</v>
      </c>
    </row>
    <row r="3894" spans="1:31" ht="18" customHeight="1" x14ac:dyDescent="0.25">
      <c r="A38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4" s="79">
        <v>4</v>
      </c>
      <c r="C3894" s="23">
        <v>44512</v>
      </c>
      <c r="D3894" s="67">
        <f>IF(COUNTIF($G$2:$G3894,$G3894)=1,1,0)</f>
        <v>1</v>
      </c>
      <c r="E3894" s="67" t="str">
        <f>IFERROR(VLOOKUP(База_КР_КК[[#This Row],[ИД штатной должности (S)]],'уровень защищенности'!$B$7:$F$1095,5,0),"не защищена")</f>
        <v>средний</v>
      </c>
      <c r="F3894" s="68">
        <v>500426</v>
      </c>
      <c r="G3894" s="74" t="s">
        <v>3131</v>
      </c>
      <c r="H3894" s="181">
        <f>INDEX('Списки данных'!$D$2:$D$1048576,MATCH(База_КР_КК[[#This Row],[Структурное подразделение]],'Списки данных'!$C$2:$C$1048576,0))</f>
        <v>63</v>
      </c>
      <c r="I3894" s="80" t="s">
        <v>175</v>
      </c>
      <c r="J3894" s="80" t="s">
        <v>261</v>
      </c>
      <c r="K3894" s="80" t="s">
        <v>21</v>
      </c>
      <c r="L3894" s="30" t="s">
        <v>194</v>
      </c>
      <c r="M3894" s="68">
        <v>6</v>
      </c>
      <c r="N3894" s="181" t="str">
        <f t="shared" si="61"/>
        <v>нет</v>
      </c>
      <c r="O3894" s="23"/>
      <c r="P3894" s="23"/>
      <c r="Q3894" s="106"/>
      <c r="R3894" s="37">
        <v>947</v>
      </c>
      <c r="S3894" s="39" t="s">
        <v>1356</v>
      </c>
      <c r="T3894" s="37">
        <v>2053</v>
      </c>
      <c r="U3894" s="39" t="s">
        <v>2086</v>
      </c>
      <c r="V3894" s="69" t="s">
        <v>16</v>
      </c>
      <c r="W3894" s="89" t="s">
        <v>175</v>
      </c>
      <c r="X3894" s="106" t="s">
        <v>296</v>
      </c>
      <c r="Y3894" s="107" t="s">
        <v>12</v>
      </c>
      <c r="Z3894" s="67">
        <f>IF(База_КР_КК[[#This Row],[Таб.номер резервиста]]="-","-",IF(OR(База_КР_КК[[#This Row],[Уровень КК]]=2,База_КР_КК[[#This Row],[Уровень КК]]=3),IF(COUNTIFS($U$2:$U3894,$U3894,$F$2:$F3894,$F3894)=1,1,0),IF(COUNTIFS($U$2:$U3894,$U3894,$L$2:$L3894,$L3894)=1,1,0)))</f>
        <v>1</v>
      </c>
      <c r="AA38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4" s="106"/>
      <c r="AC3894" s="51"/>
      <c r="AD3894" s="106" t="s">
        <v>15</v>
      </c>
      <c r="AE3894" s="38" t="s">
        <v>395</v>
      </c>
    </row>
    <row r="3895" spans="1:31" ht="18" customHeight="1" x14ac:dyDescent="0.25">
      <c r="A38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5" s="79">
        <v>4</v>
      </c>
      <c r="C3895" s="23">
        <v>44512</v>
      </c>
      <c r="D3895" s="67">
        <f>IF(COUNTIF($G$2:$G3895,$G3895)=1,1,0)</f>
        <v>0</v>
      </c>
      <c r="E3895" s="67" t="str">
        <f>IFERROR(VLOOKUP(База_КР_КК[[#This Row],[ИД штатной должности (S)]],'уровень защищенности'!$B$7:$F$1095,5,0),"не защищена")</f>
        <v>средний</v>
      </c>
      <c r="F3895" s="68">
        <v>500426</v>
      </c>
      <c r="G3895" s="74" t="s">
        <v>3131</v>
      </c>
      <c r="H3895" s="181">
        <f>INDEX('Списки данных'!$D$2:$D$1048576,MATCH(База_КР_КК[[#This Row],[Структурное подразделение]],'Списки данных'!$C$2:$C$1048576,0))</f>
        <v>63</v>
      </c>
      <c r="I3895" s="80" t="s">
        <v>175</v>
      </c>
      <c r="J3895" s="80" t="s">
        <v>261</v>
      </c>
      <c r="K3895" s="80" t="s">
        <v>21</v>
      </c>
      <c r="L3895" s="30" t="s">
        <v>194</v>
      </c>
      <c r="M3895" s="68">
        <v>6</v>
      </c>
      <c r="N3895" s="181" t="str">
        <f t="shared" si="61"/>
        <v>нет</v>
      </c>
      <c r="O3895" s="23"/>
      <c r="P3895" s="23"/>
      <c r="Q3895" s="106"/>
      <c r="R3895" s="37">
        <v>947</v>
      </c>
      <c r="S3895" s="39" t="s">
        <v>1356</v>
      </c>
      <c r="T3895" s="37">
        <v>2054</v>
      </c>
      <c r="U3895" s="39" t="s">
        <v>2130</v>
      </c>
      <c r="V3895" s="69" t="s">
        <v>16</v>
      </c>
      <c r="W3895" s="89" t="s">
        <v>175</v>
      </c>
      <c r="X3895" s="106" t="s">
        <v>297</v>
      </c>
      <c r="Y3895" s="107" t="s">
        <v>12</v>
      </c>
      <c r="Z3895" s="67">
        <f>IF(База_КР_КК[[#This Row],[Таб.номер резервиста]]="-","-",IF(OR(База_КР_КК[[#This Row],[Уровень КК]]=2,База_КР_КК[[#This Row],[Уровень КК]]=3),IF(COUNTIFS($U$2:$U3895,$U3895,$F$2:$F3895,$F3895)=1,1,0),IF(COUNTIFS($U$2:$U3895,$U3895,$L$2:$L3895,$L3895)=1,1,0)))</f>
        <v>1</v>
      </c>
      <c r="AA38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5" s="106"/>
      <c r="AC3895" s="51"/>
      <c r="AD3895" s="106" t="s">
        <v>15</v>
      </c>
      <c r="AE3895" s="38" t="s">
        <v>395</v>
      </c>
    </row>
    <row r="3896" spans="1:31" ht="18" customHeight="1" x14ac:dyDescent="0.25">
      <c r="A38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6" s="79">
        <v>4</v>
      </c>
      <c r="C3896" s="23">
        <v>44512</v>
      </c>
      <c r="D3896" s="67">
        <f>IF(COUNTIF($G$2:$G3896,$G3896)=1,1,0)</f>
        <v>0</v>
      </c>
      <c r="E3896" s="67" t="str">
        <f>IFERROR(VLOOKUP(База_КР_КК[[#This Row],[ИД штатной должности (S)]],'уровень защищенности'!$B$7:$F$1095,5,0),"не защищена")</f>
        <v>средний</v>
      </c>
      <c r="F3896" s="68">
        <v>500426</v>
      </c>
      <c r="G3896" s="74" t="s">
        <v>3131</v>
      </c>
      <c r="H3896" s="181">
        <f>INDEX('Списки данных'!$D$2:$D$1048576,MATCH(База_КР_КК[[#This Row],[Структурное подразделение]],'Списки данных'!$C$2:$C$1048576,0))</f>
        <v>63</v>
      </c>
      <c r="I3896" s="80" t="s">
        <v>175</v>
      </c>
      <c r="J3896" s="80" t="s">
        <v>261</v>
      </c>
      <c r="K3896" s="80" t="s">
        <v>21</v>
      </c>
      <c r="L3896" s="30" t="s">
        <v>194</v>
      </c>
      <c r="M3896" s="68">
        <v>6</v>
      </c>
      <c r="N3896" s="181" t="str">
        <f t="shared" si="61"/>
        <v>нет</v>
      </c>
      <c r="O3896" s="23"/>
      <c r="P3896" s="23"/>
      <c r="Q3896" s="106"/>
      <c r="R3896" s="37">
        <v>947</v>
      </c>
      <c r="S3896" s="39" t="s">
        <v>1356</v>
      </c>
      <c r="T3896" s="37">
        <v>2052</v>
      </c>
      <c r="U3896" s="39" t="s">
        <v>2099</v>
      </c>
      <c r="V3896" s="69" t="s">
        <v>16</v>
      </c>
      <c r="W3896" s="89" t="s">
        <v>175</v>
      </c>
      <c r="X3896" s="106" t="s">
        <v>296</v>
      </c>
      <c r="Y3896" s="107" t="s">
        <v>12</v>
      </c>
      <c r="Z3896" s="67">
        <f>IF(База_КР_КК[[#This Row],[Таб.номер резервиста]]="-","-",IF(OR(База_КР_КК[[#This Row],[Уровень КК]]=2,База_КР_КК[[#This Row],[Уровень КК]]=3),IF(COUNTIFS($U$2:$U3896,$U3896,$F$2:$F3896,$F3896)=1,1,0),IF(COUNTIFS($U$2:$U3896,$U3896,$L$2:$L3896,$L3896)=1,1,0)))</f>
        <v>1</v>
      </c>
      <c r="AA38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6" s="106"/>
      <c r="AC3896" s="51"/>
      <c r="AD3896" s="106" t="s">
        <v>15</v>
      </c>
      <c r="AE3896" s="38" t="s">
        <v>395</v>
      </c>
    </row>
    <row r="3897" spans="1:31" ht="18" customHeight="1" x14ac:dyDescent="0.25">
      <c r="A38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7" s="79">
        <v>4</v>
      </c>
      <c r="C3897" s="23">
        <v>44512</v>
      </c>
      <c r="D3897" s="67">
        <f>IF(COUNTIF($G$2:$G3897,$G3897)=1,1,0)</f>
        <v>0</v>
      </c>
      <c r="E3897" s="67" t="str">
        <f>IFERROR(VLOOKUP(База_КР_КК[[#This Row],[ИД штатной должности (S)]],'уровень защищенности'!$B$7:$F$1095,5,0),"не защищена")</f>
        <v>средний</v>
      </c>
      <c r="F3897" s="68">
        <v>500426</v>
      </c>
      <c r="G3897" s="74" t="s">
        <v>3131</v>
      </c>
      <c r="H3897" s="181">
        <f>INDEX('Списки данных'!$D$2:$D$1048576,MATCH(База_КР_КК[[#This Row],[Структурное подразделение]],'Списки данных'!$C$2:$C$1048576,0))</f>
        <v>63</v>
      </c>
      <c r="I3897" s="80" t="s">
        <v>175</v>
      </c>
      <c r="J3897" s="80" t="s">
        <v>261</v>
      </c>
      <c r="K3897" s="80" t="s">
        <v>21</v>
      </c>
      <c r="L3897" s="30" t="s">
        <v>194</v>
      </c>
      <c r="M3897" s="68">
        <v>6</v>
      </c>
      <c r="N3897" s="181" t="str">
        <f t="shared" si="61"/>
        <v>нет</v>
      </c>
      <c r="O3897" s="23"/>
      <c r="P3897" s="23"/>
      <c r="Q3897" s="106"/>
      <c r="R3897" s="37">
        <v>947</v>
      </c>
      <c r="S3897" s="39" t="s">
        <v>1356</v>
      </c>
      <c r="T3897" s="37">
        <v>949</v>
      </c>
      <c r="U3897" s="39" t="s">
        <v>1358</v>
      </c>
      <c r="V3897" s="69" t="s">
        <v>192</v>
      </c>
      <c r="W3897" s="89" t="s">
        <v>175</v>
      </c>
      <c r="X3897" s="106" t="s">
        <v>295</v>
      </c>
      <c r="Y3897" s="107" t="s">
        <v>14</v>
      </c>
      <c r="Z3897" s="67">
        <f>IF(База_КР_КК[[#This Row],[Таб.номер резервиста]]="-","-",IF(OR(База_КР_КК[[#This Row],[Уровень КК]]=2,База_КР_КК[[#This Row],[Уровень КК]]=3),IF(COUNTIFS($U$2:$U3897,$U3897,$F$2:$F3897,$F3897)=1,1,0),IF(COUNTIFS($U$2:$U3897,$U3897,$L$2:$L3897,$L3897)=1,1,0)))</f>
        <v>1</v>
      </c>
      <c r="AA38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7" s="106" t="s">
        <v>24</v>
      </c>
      <c r="AC3897" s="51">
        <v>44967</v>
      </c>
      <c r="AD3897" s="106" t="s">
        <v>15</v>
      </c>
      <c r="AE3897" s="38" t="s">
        <v>395</v>
      </c>
    </row>
    <row r="3898" spans="1:31" ht="18" customHeight="1" x14ac:dyDescent="0.25">
      <c r="A38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8" s="79">
        <v>4</v>
      </c>
      <c r="C3898" s="23">
        <v>44512</v>
      </c>
      <c r="D3898" s="67">
        <f>IF(COUNTIF($G$2:$G3898,$G3898)=1,1,0)</f>
        <v>1</v>
      </c>
      <c r="E3898" s="67" t="str">
        <f>IFERROR(VLOOKUP(База_КР_КК[[#This Row],[ИД штатной должности (S)]],'уровень защищенности'!$B$7:$F$1095,5,0),"не защищена")</f>
        <v>средний</v>
      </c>
      <c r="F3898" s="68">
        <v>500426</v>
      </c>
      <c r="G3898" s="74" t="s">
        <v>3132</v>
      </c>
      <c r="H3898" s="181">
        <f>INDEX('Списки данных'!$D$2:$D$1048576,MATCH(База_КР_КК[[#This Row],[Структурное подразделение]],'Списки данных'!$C$2:$C$1048576,0))</f>
        <v>63</v>
      </c>
      <c r="I3898" s="80" t="s">
        <v>175</v>
      </c>
      <c r="J3898" s="80" t="s">
        <v>261</v>
      </c>
      <c r="K3898" s="80" t="s">
        <v>21</v>
      </c>
      <c r="L3898" s="30" t="s">
        <v>194</v>
      </c>
      <c r="M3898" s="68">
        <v>6</v>
      </c>
      <c r="N3898" s="181" t="str">
        <f t="shared" si="61"/>
        <v>нет</v>
      </c>
      <c r="O3898" s="23"/>
      <c r="P3898" s="23"/>
      <c r="Q3898" s="106"/>
      <c r="R3898" s="37">
        <v>948</v>
      </c>
      <c r="S3898" s="39" t="s">
        <v>1357</v>
      </c>
      <c r="T3898" s="37">
        <v>2053</v>
      </c>
      <c r="U3898" s="39" t="s">
        <v>2086</v>
      </c>
      <c r="V3898" s="69" t="s">
        <v>16</v>
      </c>
      <c r="W3898" s="89" t="s">
        <v>175</v>
      </c>
      <c r="X3898" s="106" t="s">
        <v>296</v>
      </c>
      <c r="Y3898" s="107" t="s">
        <v>12</v>
      </c>
      <c r="Z3898" s="67">
        <f>IF(База_КР_КК[[#This Row],[Таб.номер резервиста]]="-","-",IF(OR(База_КР_КК[[#This Row],[Уровень КК]]=2,База_КР_КК[[#This Row],[Уровень КК]]=3),IF(COUNTIFS($U$2:$U3898,$U3898,$F$2:$F3898,$F3898)=1,1,0),IF(COUNTIFS($U$2:$U3898,$U3898,$L$2:$L3898,$L3898)=1,1,0)))</f>
        <v>0</v>
      </c>
      <c r="AA38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8" s="106"/>
      <c r="AC3898" s="51"/>
      <c r="AD3898" s="106" t="s">
        <v>15</v>
      </c>
      <c r="AE3898" s="38" t="s">
        <v>395</v>
      </c>
    </row>
    <row r="3899" spans="1:31" ht="18" customHeight="1" x14ac:dyDescent="0.25">
      <c r="A38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899" s="79">
        <v>4</v>
      </c>
      <c r="C3899" s="23">
        <v>44512</v>
      </c>
      <c r="D3899" s="67">
        <f>IF(COUNTIF($G$2:$G3899,$G3899)=1,1,0)</f>
        <v>0</v>
      </c>
      <c r="E3899" s="67" t="str">
        <f>IFERROR(VLOOKUP(База_КР_КК[[#This Row],[ИД штатной должности (S)]],'уровень защищенности'!$B$7:$F$1095,5,0),"не защищена")</f>
        <v>средний</v>
      </c>
      <c r="F3899" s="68">
        <v>500426</v>
      </c>
      <c r="G3899" s="74" t="s">
        <v>3132</v>
      </c>
      <c r="H3899" s="181">
        <f>INDEX('Списки данных'!$D$2:$D$1048576,MATCH(База_КР_КК[[#This Row],[Структурное подразделение]],'Списки данных'!$C$2:$C$1048576,0))</f>
        <v>63</v>
      </c>
      <c r="I3899" s="80" t="s">
        <v>175</v>
      </c>
      <c r="J3899" s="80" t="s">
        <v>261</v>
      </c>
      <c r="K3899" s="80" t="s">
        <v>21</v>
      </c>
      <c r="L3899" s="30" t="s">
        <v>194</v>
      </c>
      <c r="M3899" s="68">
        <v>6</v>
      </c>
      <c r="N3899" s="181" t="str">
        <f t="shared" si="61"/>
        <v>нет</v>
      </c>
      <c r="O3899" s="23"/>
      <c r="P3899" s="23"/>
      <c r="Q3899" s="106"/>
      <c r="R3899" s="37">
        <v>948</v>
      </c>
      <c r="S3899" s="39" t="s">
        <v>1357</v>
      </c>
      <c r="T3899" s="37">
        <v>2054</v>
      </c>
      <c r="U3899" s="39" t="s">
        <v>2130</v>
      </c>
      <c r="V3899" s="69" t="s">
        <v>16</v>
      </c>
      <c r="W3899" s="89" t="s">
        <v>175</v>
      </c>
      <c r="X3899" s="106" t="s">
        <v>297</v>
      </c>
      <c r="Y3899" s="107" t="s">
        <v>12</v>
      </c>
      <c r="Z3899" s="67">
        <f>IF(База_КР_КК[[#This Row],[Таб.номер резервиста]]="-","-",IF(OR(База_КР_КК[[#This Row],[Уровень КК]]=2,База_КР_КК[[#This Row],[Уровень КК]]=3),IF(COUNTIFS($U$2:$U3899,$U3899,$F$2:$F3899,$F3899)=1,1,0),IF(COUNTIFS($U$2:$U3899,$U3899,$L$2:$L3899,$L3899)=1,1,0)))</f>
        <v>0</v>
      </c>
      <c r="AA38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899" s="106"/>
      <c r="AC3899" s="51"/>
      <c r="AD3899" s="106" t="s">
        <v>15</v>
      </c>
      <c r="AE3899" s="38" t="s">
        <v>395</v>
      </c>
    </row>
    <row r="3900" spans="1:31" ht="18" customHeight="1" x14ac:dyDescent="0.25">
      <c r="A39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0" s="79">
        <v>4</v>
      </c>
      <c r="C3900" s="23">
        <v>44512</v>
      </c>
      <c r="D3900" s="67">
        <f>IF(COUNTIF($G$2:$G3900,$G3900)=1,1,0)</f>
        <v>0</v>
      </c>
      <c r="E3900" s="67" t="str">
        <f>IFERROR(VLOOKUP(База_КР_КК[[#This Row],[ИД штатной должности (S)]],'уровень защищенности'!$B$7:$F$1095,5,0),"не защищена")</f>
        <v>средний</v>
      </c>
      <c r="F3900" s="68">
        <v>500426</v>
      </c>
      <c r="G3900" s="74" t="s">
        <v>3132</v>
      </c>
      <c r="H3900" s="181">
        <f>INDEX('Списки данных'!$D$2:$D$1048576,MATCH(База_КР_КК[[#This Row],[Структурное подразделение]],'Списки данных'!$C$2:$C$1048576,0))</f>
        <v>63</v>
      </c>
      <c r="I3900" s="80" t="s">
        <v>175</v>
      </c>
      <c r="J3900" s="80" t="s">
        <v>261</v>
      </c>
      <c r="K3900" s="80" t="s">
        <v>21</v>
      </c>
      <c r="L3900" s="30" t="s">
        <v>194</v>
      </c>
      <c r="M3900" s="68">
        <v>6</v>
      </c>
      <c r="N3900" s="181" t="str">
        <f t="shared" si="61"/>
        <v>нет</v>
      </c>
      <c r="O3900" s="23"/>
      <c r="P3900" s="23"/>
      <c r="Q3900" s="106"/>
      <c r="R3900" s="37">
        <v>948</v>
      </c>
      <c r="S3900" s="39" t="s">
        <v>1357</v>
      </c>
      <c r="T3900" s="37">
        <v>2052</v>
      </c>
      <c r="U3900" s="39" t="s">
        <v>2099</v>
      </c>
      <c r="V3900" s="69" t="s">
        <v>16</v>
      </c>
      <c r="W3900" s="89" t="s">
        <v>175</v>
      </c>
      <c r="X3900" s="106" t="s">
        <v>296</v>
      </c>
      <c r="Y3900" s="107" t="s">
        <v>12</v>
      </c>
      <c r="Z3900" s="67">
        <f>IF(База_КР_КК[[#This Row],[Таб.номер резервиста]]="-","-",IF(OR(База_КР_КК[[#This Row],[Уровень КК]]=2,База_КР_КК[[#This Row],[Уровень КК]]=3),IF(COUNTIFS($U$2:$U3900,$U3900,$F$2:$F3900,$F3900)=1,1,0),IF(COUNTIFS($U$2:$U3900,$U3900,$L$2:$L3900,$L3900)=1,1,0)))</f>
        <v>0</v>
      </c>
      <c r="AA39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0" s="106"/>
      <c r="AC3900" s="51"/>
      <c r="AD3900" s="106" t="s">
        <v>15</v>
      </c>
      <c r="AE3900" s="38" t="s">
        <v>395</v>
      </c>
    </row>
    <row r="3901" spans="1:31" ht="18" customHeight="1" x14ac:dyDescent="0.25">
      <c r="A39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1" s="79">
        <v>4</v>
      </c>
      <c r="C3901" s="23">
        <v>44512</v>
      </c>
      <c r="D3901" s="67">
        <f>IF(COUNTIF($G$2:$G3901,$G3901)=1,1,0)</f>
        <v>0</v>
      </c>
      <c r="E3901" s="67" t="str">
        <f>IFERROR(VLOOKUP(База_КР_КК[[#This Row],[ИД штатной должности (S)]],'уровень защищенности'!$B$7:$F$1095,5,0),"не защищена")</f>
        <v>средний</v>
      </c>
      <c r="F3901" s="68">
        <v>500426</v>
      </c>
      <c r="G3901" s="74" t="s">
        <v>3132</v>
      </c>
      <c r="H3901" s="181">
        <f>INDEX('Списки данных'!$D$2:$D$1048576,MATCH(База_КР_КК[[#This Row],[Структурное подразделение]],'Списки данных'!$C$2:$C$1048576,0))</f>
        <v>63</v>
      </c>
      <c r="I3901" s="80" t="s">
        <v>175</v>
      </c>
      <c r="J3901" s="80" t="s">
        <v>261</v>
      </c>
      <c r="K3901" s="80" t="s">
        <v>21</v>
      </c>
      <c r="L3901" s="30" t="s">
        <v>194</v>
      </c>
      <c r="M3901" s="68">
        <v>6</v>
      </c>
      <c r="N3901" s="181" t="str">
        <f t="shared" ref="N3901:N3964" si="62">IF(ISBLANK(O3901),"нет","да")</f>
        <v>нет</v>
      </c>
      <c r="O3901" s="23"/>
      <c r="P3901" s="23"/>
      <c r="Q3901" s="106"/>
      <c r="R3901" s="37">
        <v>948</v>
      </c>
      <c r="S3901" s="39" t="s">
        <v>1357</v>
      </c>
      <c r="T3901" s="37">
        <v>949</v>
      </c>
      <c r="U3901" s="39" t="s">
        <v>1358</v>
      </c>
      <c r="V3901" s="69" t="s">
        <v>192</v>
      </c>
      <c r="W3901" s="89" t="s">
        <v>175</v>
      </c>
      <c r="X3901" s="106" t="s">
        <v>295</v>
      </c>
      <c r="Y3901" s="107" t="s">
        <v>14</v>
      </c>
      <c r="Z3901" s="67">
        <f>IF(База_КР_КК[[#This Row],[Таб.номер резервиста]]="-","-",IF(OR(База_КР_КК[[#This Row],[Уровень КК]]=2,База_КР_КК[[#This Row],[Уровень КК]]=3),IF(COUNTIFS($U$2:$U3901,$U3901,$F$2:$F3901,$F3901)=1,1,0),IF(COUNTIFS($U$2:$U3901,$U3901,$L$2:$L3901,$L3901)=1,1,0)))</f>
        <v>0</v>
      </c>
      <c r="AA39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1" s="106" t="s">
        <v>24</v>
      </c>
      <c r="AC3901" s="51">
        <v>44967</v>
      </c>
      <c r="AD3901" s="106" t="s">
        <v>15</v>
      </c>
      <c r="AE3901" s="38" t="s">
        <v>395</v>
      </c>
    </row>
    <row r="3902" spans="1:31" ht="18" customHeight="1" x14ac:dyDescent="0.25">
      <c r="A39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2" s="79">
        <v>4</v>
      </c>
      <c r="C3902" s="23">
        <v>44512</v>
      </c>
      <c r="D3902" s="67">
        <f>IF(COUNTIF($G$2:$G3902,$G3902)=1,1,0)</f>
        <v>1</v>
      </c>
      <c r="E3902" s="67" t="str">
        <f>IFERROR(VLOOKUP(База_КР_КК[[#This Row],[ИД штатной должности (S)]],'уровень защищенности'!$B$7:$F$1095,5,0),"не защищена")</f>
        <v>средний</v>
      </c>
      <c r="F3902" s="68">
        <v>500426</v>
      </c>
      <c r="G3902" s="74" t="s">
        <v>3133</v>
      </c>
      <c r="H3902" s="181">
        <f>INDEX('Списки данных'!$D$2:$D$1048576,MATCH(База_КР_КК[[#This Row],[Структурное подразделение]],'Списки данных'!$C$2:$C$1048576,0))</f>
        <v>63</v>
      </c>
      <c r="I3902" s="80" t="s">
        <v>175</v>
      </c>
      <c r="J3902" s="80" t="s">
        <v>261</v>
      </c>
      <c r="K3902" s="80" t="s">
        <v>21</v>
      </c>
      <c r="L3902" s="30" t="s">
        <v>194</v>
      </c>
      <c r="M3902" s="68">
        <v>6</v>
      </c>
      <c r="N3902" s="181" t="str">
        <f t="shared" si="62"/>
        <v>да</v>
      </c>
      <c r="O3902" s="23">
        <v>44946</v>
      </c>
      <c r="P3902" s="23">
        <v>44967</v>
      </c>
      <c r="Q3902" s="106" t="s">
        <v>66</v>
      </c>
      <c r="R3902" s="37">
        <v>949</v>
      </c>
      <c r="S3902" s="39" t="s">
        <v>1358</v>
      </c>
      <c r="T3902" s="37">
        <v>2053</v>
      </c>
      <c r="U3902" s="39" t="s">
        <v>2086</v>
      </c>
      <c r="V3902" s="69" t="s">
        <v>16</v>
      </c>
      <c r="W3902" s="89" t="s">
        <v>175</v>
      </c>
      <c r="X3902" s="106" t="s">
        <v>296</v>
      </c>
      <c r="Y3902" s="107" t="s">
        <v>12</v>
      </c>
      <c r="Z3902" s="67">
        <f>IF(База_КР_КК[[#This Row],[Таб.номер резервиста]]="-","-",IF(OR(База_КР_КК[[#This Row],[Уровень КК]]=2,База_КР_КК[[#This Row],[Уровень КК]]=3),IF(COUNTIFS($U$2:$U3902,$U3902,$F$2:$F3902,$F3902)=1,1,0),IF(COUNTIFS($U$2:$U3902,$U3902,$L$2:$L3902,$L3902)=1,1,0)))</f>
        <v>0</v>
      </c>
      <c r="AA39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2" s="106"/>
      <c r="AC3902" s="51"/>
      <c r="AD3902" s="106" t="s">
        <v>15</v>
      </c>
      <c r="AE3902" s="38" t="s">
        <v>395</v>
      </c>
    </row>
    <row r="3903" spans="1:31" ht="18" customHeight="1" x14ac:dyDescent="0.25">
      <c r="A39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3" s="79">
        <v>4</v>
      </c>
      <c r="C3903" s="23">
        <v>44512</v>
      </c>
      <c r="D3903" s="67">
        <f>IF(COUNTIF($G$2:$G3903,$G3903)=1,1,0)</f>
        <v>0</v>
      </c>
      <c r="E3903" s="67" t="str">
        <f>IFERROR(VLOOKUP(База_КР_КК[[#This Row],[ИД штатной должности (S)]],'уровень защищенности'!$B$7:$F$1095,5,0),"не защищена")</f>
        <v>средний</v>
      </c>
      <c r="F3903" s="68">
        <v>500426</v>
      </c>
      <c r="G3903" s="74" t="s">
        <v>3133</v>
      </c>
      <c r="H3903" s="181">
        <f>INDEX('Списки данных'!$D$2:$D$1048576,MATCH(База_КР_КК[[#This Row],[Структурное подразделение]],'Списки данных'!$C$2:$C$1048576,0))</f>
        <v>63</v>
      </c>
      <c r="I3903" s="80" t="s">
        <v>175</v>
      </c>
      <c r="J3903" s="80" t="s">
        <v>261</v>
      </c>
      <c r="K3903" s="80" t="s">
        <v>21</v>
      </c>
      <c r="L3903" s="30" t="s">
        <v>194</v>
      </c>
      <c r="M3903" s="68">
        <v>6</v>
      </c>
      <c r="N3903" s="181" t="str">
        <f t="shared" si="62"/>
        <v>да</v>
      </c>
      <c r="O3903" s="23">
        <v>44946</v>
      </c>
      <c r="P3903" s="23">
        <v>44967</v>
      </c>
      <c r="Q3903" s="106" t="s">
        <v>66</v>
      </c>
      <c r="R3903" s="37">
        <v>949</v>
      </c>
      <c r="S3903" s="39" t="s">
        <v>1358</v>
      </c>
      <c r="T3903" s="37">
        <v>2054</v>
      </c>
      <c r="U3903" s="39" t="s">
        <v>2130</v>
      </c>
      <c r="V3903" s="69" t="s">
        <v>16</v>
      </c>
      <c r="W3903" s="89" t="s">
        <v>175</v>
      </c>
      <c r="X3903" s="106" t="s">
        <v>297</v>
      </c>
      <c r="Y3903" s="107" t="s">
        <v>12</v>
      </c>
      <c r="Z3903" s="67">
        <f>IF(База_КР_КК[[#This Row],[Таб.номер резервиста]]="-","-",IF(OR(База_КР_КК[[#This Row],[Уровень КК]]=2,База_КР_КК[[#This Row],[Уровень КК]]=3),IF(COUNTIFS($U$2:$U3903,$U3903,$F$2:$F3903,$F3903)=1,1,0),IF(COUNTIFS($U$2:$U3903,$U3903,$L$2:$L3903,$L3903)=1,1,0)))</f>
        <v>0</v>
      </c>
      <c r="AA39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3" s="106"/>
      <c r="AC3903" s="51"/>
      <c r="AD3903" s="106" t="s">
        <v>15</v>
      </c>
      <c r="AE3903" s="38" t="s">
        <v>395</v>
      </c>
    </row>
    <row r="3904" spans="1:31" ht="18" customHeight="1" x14ac:dyDescent="0.25">
      <c r="A39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4" s="79">
        <v>4</v>
      </c>
      <c r="C3904" s="23">
        <v>44512</v>
      </c>
      <c r="D3904" s="67">
        <f>IF(COUNTIF($G$2:$G3904,$G3904)=1,1,0)</f>
        <v>0</v>
      </c>
      <c r="E3904" s="67" t="str">
        <f>IFERROR(VLOOKUP(База_КР_КК[[#This Row],[ИД штатной должности (S)]],'уровень защищенности'!$B$7:$F$1095,5,0),"не защищена")</f>
        <v>средний</v>
      </c>
      <c r="F3904" s="68">
        <v>500426</v>
      </c>
      <c r="G3904" s="74" t="s">
        <v>3133</v>
      </c>
      <c r="H3904" s="181">
        <f>INDEX('Списки данных'!$D$2:$D$1048576,MATCH(База_КР_КК[[#This Row],[Структурное подразделение]],'Списки данных'!$C$2:$C$1048576,0))</f>
        <v>63</v>
      </c>
      <c r="I3904" s="80" t="s">
        <v>175</v>
      </c>
      <c r="J3904" s="80" t="s">
        <v>261</v>
      </c>
      <c r="K3904" s="80" t="s">
        <v>21</v>
      </c>
      <c r="L3904" s="30" t="s">
        <v>194</v>
      </c>
      <c r="M3904" s="68">
        <v>6</v>
      </c>
      <c r="N3904" s="181" t="str">
        <f t="shared" si="62"/>
        <v>да</v>
      </c>
      <c r="O3904" s="23">
        <v>44946</v>
      </c>
      <c r="P3904" s="23">
        <v>44967</v>
      </c>
      <c r="Q3904" s="106" t="s">
        <v>66</v>
      </c>
      <c r="R3904" s="37">
        <v>949</v>
      </c>
      <c r="S3904" s="39" t="s">
        <v>1358</v>
      </c>
      <c r="T3904" s="37">
        <v>2052</v>
      </c>
      <c r="U3904" s="39" t="s">
        <v>2099</v>
      </c>
      <c r="V3904" s="69" t="s">
        <v>16</v>
      </c>
      <c r="W3904" s="89" t="s">
        <v>175</v>
      </c>
      <c r="X3904" s="106" t="s">
        <v>296</v>
      </c>
      <c r="Y3904" s="107" t="s">
        <v>12</v>
      </c>
      <c r="Z3904" s="67">
        <f>IF(База_КР_КК[[#This Row],[Таб.номер резервиста]]="-","-",IF(OR(База_КР_КК[[#This Row],[Уровень КК]]=2,База_КР_КК[[#This Row],[Уровень КК]]=3),IF(COUNTIFS($U$2:$U3904,$U3904,$F$2:$F3904,$F3904)=1,1,0),IF(COUNTIFS($U$2:$U3904,$U3904,$L$2:$L3904,$L3904)=1,1,0)))</f>
        <v>0</v>
      </c>
      <c r="AA39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4" s="106"/>
      <c r="AC3904" s="51"/>
      <c r="AD3904" s="106" t="s">
        <v>15</v>
      </c>
      <c r="AE3904" s="38" t="s">
        <v>395</v>
      </c>
    </row>
    <row r="3905" spans="1:31" ht="18" customHeight="1" x14ac:dyDescent="0.25">
      <c r="A39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5" s="79">
        <v>4</v>
      </c>
      <c r="C3905" s="23">
        <v>44512</v>
      </c>
      <c r="D3905" s="67">
        <f>IF(COUNTIF($G$2:$G3905,$G3905)=1,1,0)</f>
        <v>0</v>
      </c>
      <c r="E3905" s="67" t="str">
        <f>IFERROR(VLOOKUP(База_КР_КК[[#This Row],[ИД штатной должности (S)]],'уровень защищенности'!$B$7:$F$1095,5,0),"не защищена")</f>
        <v>средний</v>
      </c>
      <c r="F3905" s="68">
        <v>500426</v>
      </c>
      <c r="G3905" s="74" t="s">
        <v>3133</v>
      </c>
      <c r="H3905" s="181">
        <f>INDEX('Списки данных'!$D$2:$D$1048576,MATCH(База_КР_КК[[#This Row],[Структурное подразделение]],'Списки данных'!$C$2:$C$1048576,0))</f>
        <v>63</v>
      </c>
      <c r="I3905" s="80" t="s">
        <v>175</v>
      </c>
      <c r="J3905" s="80" t="s">
        <v>261</v>
      </c>
      <c r="K3905" s="80" t="s">
        <v>21</v>
      </c>
      <c r="L3905" s="30" t="s">
        <v>194</v>
      </c>
      <c r="M3905" s="68">
        <v>6</v>
      </c>
      <c r="N3905" s="181" t="str">
        <f t="shared" si="62"/>
        <v>да</v>
      </c>
      <c r="O3905" s="23">
        <v>44946</v>
      </c>
      <c r="P3905" s="23">
        <v>44967</v>
      </c>
      <c r="Q3905" s="106" t="s">
        <v>66</v>
      </c>
      <c r="R3905" s="37">
        <v>949</v>
      </c>
      <c r="S3905" s="39" t="s">
        <v>1358</v>
      </c>
      <c r="T3905" s="37">
        <v>949</v>
      </c>
      <c r="U3905" s="39" t="s">
        <v>1358</v>
      </c>
      <c r="V3905" s="69" t="s">
        <v>192</v>
      </c>
      <c r="W3905" s="89" t="s">
        <v>175</v>
      </c>
      <c r="X3905" s="106" t="s">
        <v>295</v>
      </c>
      <c r="Y3905" s="107" t="s">
        <v>14</v>
      </c>
      <c r="Z3905" s="67">
        <f>IF(База_КР_КК[[#This Row],[Таб.номер резервиста]]="-","-",IF(OR(База_КР_КК[[#This Row],[Уровень КК]]=2,База_КР_КК[[#This Row],[Уровень КК]]=3),IF(COUNTIFS($U$2:$U3905,$U3905,$F$2:$F3905,$F3905)=1,1,0),IF(COUNTIFS($U$2:$U3905,$U3905,$L$2:$L3905,$L3905)=1,1,0)))</f>
        <v>0</v>
      </c>
      <c r="AA39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905" s="106" t="s">
        <v>24</v>
      </c>
      <c r="AC3905" s="51">
        <v>44967</v>
      </c>
      <c r="AD3905" s="106" t="s">
        <v>15</v>
      </c>
      <c r="AE3905" s="38" t="s">
        <v>395</v>
      </c>
    </row>
    <row r="3906" spans="1:31" ht="18" customHeight="1" x14ac:dyDescent="0.25">
      <c r="A39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6" s="79">
        <v>4</v>
      </c>
      <c r="C3906" s="23">
        <v>44512</v>
      </c>
      <c r="D3906" s="67">
        <f>IF(COUNTIF($G$2:$G3906,$G3906)=1,1,0)</f>
        <v>1</v>
      </c>
      <c r="E3906" s="67" t="str">
        <f>IFERROR(VLOOKUP(База_КР_КК[[#This Row],[ИД штатной должности (S)]],'уровень защищенности'!$B$7:$F$1095,5,0),"не защищена")</f>
        <v>средний</v>
      </c>
      <c r="F3906" s="68">
        <v>500426</v>
      </c>
      <c r="G3906" s="74" t="s">
        <v>3134</v>
      </c>
      <c r="H3906" s="181">
        <f>INDEX('Списки данных'!$D$2:$D$1048576,MATCH(База_КР_КК[[#This Row],[Структурное подразделение]],'Списки данных'!$C$2:$C$1048576,0))</f>
        <v>63</v>
      </c>
      <c r="I3906" s="80" t="s">
        <v>175</v>
      </c>
      <c r="J3906" s="80" t="s">
        <v>261</v>
      </c>
      <c r="K3906" s="80" t="s">
        <v>21</v>
      </c>
      <c r="L3906" s="30" t="s">
        <v>194</v>
      </c>
      <c r="M3906" s="68">
        <v>6</v>
      </c>
      <c r="N3906" s="181" t="str">
        <f t="shared" si="62"/>
        <v>нет</v>
      </c>
      <c r="O3906" s="23"/>
      <c r="P3906" s="23"/>
      <c r="Q3906" s="106"/>
      <c r="R3906" s="37">
        <v>950</v>
      </c>
      <c r="S3906" s="39" t="s">
        <v>1359</v>
      </c>
      <c r="T3906" s="37">
        <v>2053</v>
      </c>
      <c r="U3906" s="39" t="s">
        <v>2086</v>
      </c>
      <c r="V3906" s="69" t="s">
        <v>16</v>
      </c>
      <c r="W3906" s="89" t="s">
        <v>175</v>
      </c>
      <c r="X3906" s="106" t="s">
        <v>296</v>
      </c>
      <c r="Y3906" s="107" t="s">
        <v>12</v>
      </c>
      <c r="Z3906" s="67">
        <f>IF(База_КР_КК[[#This Row],[Таб.номер резервиста]]="-","-",IF(OR(База_КР_КК[[#This Row],[Уровень КК]]=2,База_КР_КК[[#This Row],[Уровень КК]]=3),IF(COUNTIFS($U$2:$U3906,$U3906,$F$2:$F3906,$F3906)=1,1,0),IF(COUNTIFS($U$2:$U3906,$U3906,$L$2:$L3906,$L3906)=1,1,0)))</f>
        <v>0</v>
      </c>
      <c r="AA39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6" s="106"/>
      <c r="AC3906" s="51"/>
      <c r="AD3906" s="106" t="s">
        <v>15</v>
      </c>
      <c r="AE3906" s="38" t="s">
        <v>395</v>
      </c>
    </row>
    <row r="3907" spans="1:31" ht="18" customHeight="1" x14ac:dyDescent="0.25">
      <c r="A39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7" s="79">
        <v>4</v>
      </c>
      <c r="C3907" s="23">
        <v>44512</v>
      </c>
      <c r="D3907" s="67">
        <f>IF(COUNTIF($G$2:$G3907,$G3907)=1,1,0)</f>
        <v>0</v>
      </c>
      <c r="E3907" s="67" t="str">
        <f>IFERROR(VLOOKUP(База_КР_КК[[#This Row],[ИД штатной должности (S)]],'уровень защищенности'!$B$7:$F$1095,5,0),"не защищена")</f>
        <v>средний</v>
      </c>
      <c r="F3907" s="68">
        <v>500426</v>
      </c>
      <c r="G3907" s="74" t="s">
        <v>3134</v>
      </c>
      <c r="H3907" s="181">
        <f>INDEX('Списки данных'!$D$2:$D$1048576,MATCH(База_КР_КК[[#This Row],[Структурное подразделение]],'Списки данных'!$C$2:$C$1048576,0))</f>
        <v>63</v>
      </c>
      <c r="I3907" s="80" t="s">
        <v>175</v>
      </c>
      <c r="J3907" s="80" t="s">
        <v>261</v>
      </c>
      <c r="K3907" s="80" t="s">
        <v>21</v>
      </c>
      <c r="L3907" s="30" t="s">
        <v>194</v>
      </c>
      <c r="M3907" s="68">
        <v>6</v>
      </c>
      <c r="N3907" s="181" t="str">
        <f t="shared" si="62"/>
        <v>нет</v>
      </c>
      <c r="O3907" s="23"/>
      <c r="P3907" s="23"/>
      <c r="Q3907" s="106"/>
      <c r="R3907" s="37">
        <v>950</v>
      </c>
      <c r="S3907" s="39" t="s">
        <v>1359</v>
      </c>
      <c r="T3907" s="37">
        <v>2054</v>
      </c>
      <c r="U3907" s="39" t="s">
        <v>2130</v>
      </c>
      <c r="V3907" s="69" t="s">
        <v>16</v>
      </c>
      <c r="W3907" s="89" t="s">
        <v>175</v>
      </c>
      <c r="X3907" s="106" t="s">
        <v>297</v>
      </c>
      <c r="Y3907" s="107" t="s">
        <v>12</v>
      </c>
      <c r="Z3907" s="67">
        <f>IF(База_КР_КК[[#This Row],[Таб.номер резервиста]]="-","-",IF(OR(База_КР_КК[[#This Row],[Уровень КК]]=2,База_КР_КК[[#This Row],[Уровень КК]]=3),IF(COUNTIFS($U$2:$U3907,$U3907,$F$2:$F3907,$F3907)=1,1,0),IF(COUNTIFS($U$2:$U3907,$U3907,$L$2:$L3907,$L3907)=1,1,0)))</f>
        <v>0</v>
      </c>
      <c r="AA39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7" s="106"/>
      <c r="AC3907" s="51"/>
      <c r="AD3907" s="106" t="s">
        <v>15</v>
      </c>
      <c r="AE3907" s="38" t="s">
        <v>395</v>
      </c>
    </row>
    <row r="3908" spans="1:31" ht="18" customHeight="1" x14ac:dyDescent="0.25">
      <c r="A39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8" s="79">
        <v>4</v>
      </c>
      <c r="C3908" s="23">
        <v>44512</v>
      </c>
      <c r="D3908" s="67">
        <f>IF(COUNTIF($G$2:$G3908,$G3908)=1,1,0)</f>
        <v>0</v>
      </c>
      <c r="E3908" s="67" t="str">
        <f>IFERROR(VLOOKUP(База_КР_КК[[#This Row],[ИД штатной должности (S)]],'уровень защищенности'!$B$7:$F$1095,5,0),"не защищена")</f>
        <v>средний</v>
      </c>
      <c r="F3908" s="68">
        <v>500426</v>
      </c>
      <c r="G3908" s="74" t="s">
        <v>3134</v>
      </c>
      <c r="H3908" s="181">
        <f>INDEX('Списки данных'!$D$2:$D$1048576,MATCH(База_КР_КК[[#This Row],[Структурное подразделение]],'Списки данных'!$C$2:$C$1048576,0))</f>
        <v>63</v>
      </c>
      <c r="I3908" s="80" t="s">
        <v>175</v>
      </c>
      <c r="J3908" s="80" t="s">
        <v>261</v>
      </c>
      <c r="K3908" s="80" t="s">
        <v>21</v>
      </c>
      <c r="L3908" s="30" t="s">
        <v>194</v>
      </c>
      <c r="M3908" s="68">
        <v>6</v>
      </c>
      <c r="N3908" s="181" t="str">
        <f t="shared" si="62"/>
        <v>нет</v>
      </c>
      <c r="O3908" s="23"/>
      <c r="P3908" s="23"/>
      <c r="Q3908" s="106"/>
      <c r="R3908" s="37">
        <v>950</v>
      </c>
      <c r="S3908" s="39" t="s">
        <v>1359</v>
      </c>
      <c r="T3908" s="37">
        <v>2052</v>
      </c>
      <c r="U3908" s="39" t="s">
        <v>2099</v>
      </c>
      <c r="V3908" s="69" t="s">
        <v>16</v>
      </c>
      <c r="W3908" s="89" t="s">
        <v>175</v>
      </c>
      <c r="X3908" s="106" t="s">
        <v>296</v>
      </c>
      <c r="Y3908" s="107" t="s">
        <v>12</v>
      </c>
      <c r="Z3908" s="67">
        <f>IF(База_КР_КК[[#This Row],[Таб.номер резервиста]]="-","-",IF(OR(База_КР_КК[[#This Row],[Уровень КК]]=2,База_КР_КК[[#This Row],[Уровень КК]]=3),IF(COUNTIFS($U$2:$U3908,$U3908,$F$2:$F3908,$F3908)=1,1,0),IF(COUNTIFS($U$2:$U3908,$U3908,$L$2:$L3908,$L3908)=1,1,0)))</f>
        <v>0</v>
      </c>
      <c r="AA39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8" s="106"/>
      <c r="AC3908" s="51"/>
      <c r="AD3908" s="106" t="s">
        <v>15</v>
      </c>
      <c r="AE3908" s="38" t="s">
        <v>395</v>
      </c>
    </row>
    <row r="3909" spans="1:31" ht="18" customHeight="1" x14ac:dyDescent="0.25">
      <c r="A39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09" s="79">
        <v>4</v>
      </c>
      <c r="C3909" s="23">
        <v>44512</v>
      </c>
      <c r="D3909" s="67">
        <f>IF(COUNTIF($G$2:$G3909,$G3909)=1,1,0)</f>
        <v>0</v>
      </c>
      <c r="E3909" s="67" t="str">
        <f>IFERROR(VLOOKUP(База_КР_КК[[#This Row],[ИД штатной должности (S)]],'уровень защищенности'!$B$7:$F$1095,5,0),"не защищена")</f>
        <v>средний</v>
      </c>
      <c r="F3909" s="68">
        <v>500426</v>
      </c>
      <c r="G3909" s="74" t="s">
        <v>3134</v>
      </c>
      <c r="H3909" s="181">
        <f>INDEX('Списки данных'!$D$2:$D$1048576,MATCH(База_КР_КК[[#This Row],[Структурное подразделение]],'Списки данных'!$C$2:$C$1048576,0))</f>
        <v>63</v>
      </c>
      <c r="I3909" s="80" t="s">
        <v>175</v>
      </c>
      <c r="J3909" s="80" t="s">
        <v>261</v>
      </c>
      <c r="K3909" s="80" t="s">
        <v>21</v>
      </c>
      <c r="L3909" s="30" t="s">
        <v>194</v>
      </c>
      <c r="M3909" s="68">
        <v>6</v>
      </c>
      <c r="N3909" s="181" t="str">
        <f t="shared" si="62"/>
        <v>нет</v>
      </c>
      <c r="O3909" s="23"/>
      <c r="P3909" s="23"/>
      <c r="Q3909" s="106"/>
      <c r="R3909" s="37">
        <v>950</v>
      </c>
      <c r="S3909" s="39" t="s">
        <v>1359</v>
      </c>
      <c r="T3909" s="37">
        <v>949</v>
      </c>
      <c r="U3909" s="39" t="s">
        <v>1358</v>
      </c>
      <c r="V3909" s="69" t="s">
        <v>192</v>
      </c>
      <c r="W3909" s="89" t="s">
        <v>175</v>
      </c>
      <c r="X3909" s="106" t="s">
        <v>295</v>
      </c>
      <c r="Y3909" s="107" t="s">
        <v>14</v>
      </c>
      <c r="Z3909" s="67">
        <f>IF(База_КР_КК[[#This Row],[Таб.номер резервиста]]="-","-",IF(OR(База_КР_КК[[#This Row],[Уровень КК]]=2,База_КР_КК[[#This Row],[Уровень КК]]=3),IF(COUNTIFS($U$2:$U3909,$U3909,$F$2:$F3909,$F3909)=1,1,0),IF(COUNTIFS($U$2:$U3909,$U3909,$L$2:$L3909,$L3909)=1,1,0)))</f>
        <v>0</v>
      </c>
      <c r="AA39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09" s="106" t="s">
        <v>24</v>
      </c>
      <c r="AC3909" s="51">
        <v>44967</v>
      </c>
      <c r="AD3909" s="106" t="s">
        <v>15</v>
      </c>
      <c r="AE3909" s="38" t="s">
        <v>395</v>
      </c>
    </row>
    <row r="3910" spans="1:31" ht="18" customHeight="1" x14ac:dyDescent="0.25">
      <c r="A39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0" s="79">
        <v>4</v>
      </c>
      <c r="C3910" s="23">
        <v>44512</v>
      </c>
      <c r="D3910" s="67">
        <f>IF(COUNTIF($G$2:$G3910,$G3910)=1,1,0)</f>
        <v>1</v>
      </c>
      <c r="E3910" s="67" t="str">
        <f>IFERROR(VLOOKUP(База_КР_КК[[#This Row],[ИД штатной должности (S)]],'уровень защищенности'!$B$7:$F$1095,5,0),"не защищена")</f>
        <v>средний</v>
      </c>
      <c r="F3910" s="68">
        <v>500426</v>
      </c>
      <c r="G3910" s="74" t="s">
        <v>3135</v>
      </c>
      <c r="H3910" s="181">
        <f>INDEX('Списки данных'!$D$2:$D$1048576,MATCH(База_КР_КК[[#This Row],[Структурное подразделение]],'Списки данных'!$C$2:$C$1048576,0))</f>
        <v>63</v>
      </c>
      <c r="I3910" s="80" t="s">
        <v>175</v>
      </c>
      <c r="J3910" s="80" t="s">
        <v>261</v>
      </c>
      <c r="K3910" s="80" t="s">
        <v>21</v>
      </c>
      <c r="L3910" s="30" t="s">
        <v>194</v>
      </c>
      <c r="M3910" s="68">
        <v>6</v>
      </c>
      <c r="N3910" s="181" t="str">
        <f t="shared" si="62"/>
        <v>нет</v>
      </c>
      <c r="O3910" s="23"/>
      <c r="P3910" s="23"/>
      <c r="Q3910" s="106"/>
      <c r="R3910" s="37">
        <v>951</v>
      </c>
      <c r="S3910" s="39" t="s">
        <v>1360</v>
      </c>
      <c r="T3910" s="37">
        <v>2053</v>
      </c>
      <c r="U3910" s="39" t="s">
        <v>2086</v>
      </c>
      <c r="V3910" s="69" t="s">
        <v>16</v>
      </c>
      <c r="W3910" s="89" t="s">
        <v>175</v>
      </c>
      <c r="X3910" s="106" t="s">
        <v>296</v>
      </c>
      <c r="Y3910" s="107" t="s">
        <v>12</v>
      </c>
      <c r="Z3910" s="67">
        <f>IF(База_КР_КК[[#This Row],[Таб.номер резервиста]]="-","-",IF(OR(База_КР_КК[[#This Row],[Уровень КК]]=2,База_КР_КК[[#This Row],[Уровень КК]]=3),IF(COUNTIFS($U$2:$U3910,$U3910,$F$2:$F3910,$F3910)=1,1,0),IF(COUNTIFS($U$2:$U3910,$U3910,$L$2:$L3910,$L3910)=1,1,0)))</f>
        <v>0</v>
      </c>
      <c r="AA39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0" s="106"/>
      <c r="AC3910" s="51"/>
      <c r="AD3910" s="106" t="s">
        <v>15</v>
      </c>
      <c r="AE3910" s="38" t="s">
        <v>395</v>
      </c>
    </row>
    <row r="3911" spans="1:31" ht="18" customHeight="1" x14ac:dyDescent="0.25">
      <c r="A39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1" s="79">
        <v>4</v>
      </c>
      <c r="C3911" s="23">
        <v>44512</v>
      </c>
      <c r="D3911" s="67">
        <f>IF(COUNTIF($G$2:$G3911,$G3911)=1,1,0)</f>
        <v>0</v>
      </c>
      <c r="E3911" s="67" t="str">
        <f>IFERROR(VLOOKUP(База_КР_КК[[#This Row],[ИД штатной должности (S)]],'уровень защищенности'!$B$7:$F$1095,5,0),"не защищена")</f>
        <v>средний</v>
      </c>
      <c r="F3911" s="68">
        <v>500426</v>
      </c>
      <c r="G3911" s="74" t="s">
        <v>3135</v>
      </c>
      <c r="H3911" s="181">
        <f>INDEX('Списки данных'!$D$2:$D$1048576,MATCH(База_КР_КК[[#This Row],[Структурное подразделение]],'Списки данных'!$C$2:$C$1048576,0))</f>
        <v>63</v>
      </c>
      <c r="I3911" s="80" t="s">
        <v>175</v>
      </c>
      <c r="J3911" s="80" t="s">
        <v>261</v>
      </c>
      <c r="K3911" s="80" t="s">
        <v>21</v>
      </c>
      <c r="L3911" s="30" t="s">
        <v>194</v>
      </c>
      <c r="M3911" s="68">
        <v>6</v>
      </c>
      <c r="N3911" s="181" t="str">
        <f t="shared" si="62"/>
        <v>нет</v>
      </c>
      <c r="O3911" s="23"/>
      <c r="P3911" s="23"/>
      <c r="Q3911" s="106"/>
      <c r="R3911" s="37">
        <v>951</v>
      </c>
      <c r="S3911" s="39" t="s">
        <v>1360</v>
      </c>
      <c r="T3911" s="37">
        <v>2054</v>
      </c>
      <c r="U3911" s="39" t="s">
        <v>2130</v>
      </c>
      <c r="V3911" s="69" t="s">
        <v>16</v>
      </c>
      <c r="W3911" s="89" t="s">
        <v>175</v>
      </c>
      <c r="X3911" s="106" t="s">
        <v>297</v>
      </c>
      <c r="Y3911" s="107" t="s">
        <v>12</v>
      </c>
      <c r="Z3911" s="67">
        <f>IF(База_КР_КК[[#This Row],[Таб.номер резервиста]]="-","-",IF(OR(База_КР_КК[[#This Row],[Уровень КК]]=2,База_КР_КК[[#This Row],[Уровень КК]]=3),IF(COUNTIFS($U$2:$U3911,$U3911,$F$2:$F3911,$F3911)=1,1,0),IF(COUNTIFS($U$2:$U3911,$U3911,$L$2:$L3911,$L3911)=1,1,0)))</f>
        <v>0</v>
      </c>
      <c r="AA39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1" s="106"/>
      <c r="AC3911" s="51"/>
      <c r="AD3911" s="106" t="s">
        <v>15</v>
      </c>
      <c r="AE3911" s="38" t="s">
        <v>395</v>
      </c>
    </row>
    <row r="3912" spans="1:31" ht="18" customHeight="1" x14ac:dyDescent="0.25">
      <c r="A39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2" s="79">
        <v>4</v>
      </c>
      <c r="C3912" s="23">
        <v>44512</v>
      </c>
      <c r="D3912" s="67">
        <f>IF(COUNTIF($G$2:$G3912,$G3912)=1,1,0)</f>
        <v>0</v>
      </c>
      <c r="E3912" s="67" t="str">
        <f>IFERROR(VLOOKUP(База_КР_КК[[#This Row],[ИД штатной должности (S)]],'уровень защищенности'!$B$7:$F$1095,5,0),"не защищена")</f>
        <v>средний</v>
      </c>
      <c r="F3912" s="68">
        <v>500426</v>
      </c>
      <c r="G3912" s="74" t="s">
        <v>3135</v>
      </c>
      <c r="H3912" s="181">
        <f>INDEX('Списки данных'!$D$2:$D$1048576,MATCH(База_КР_КК[[#This Row],[Структурное подразделение]],'Списки данных'!$C$2:$C$1048576,0))</f>
        <v>63</v>
      </c>
      <c r="I3912" s="80" t="s">
        <v>175</v>
      </c>
      <c r="J3912" s="80" t="s">
        <v>261</v>
      </c>
      <c r="K3912" s="80" t="s">
        <v>21</v>
      </c>
      <c r="L3912" s="30" t="s">
        <v>194</v>
      </c>
      <c r="M3912" s="68">
        <v>6</v>
      </c>
      <c r="N3912" s="181" t="str">
        <f t="shared" si="62"/>
        <v>нет</v>
      </c>
      <c r="O3912" s="23"/>
      <c r="P3912" s="23"/>
      <c r="Q3912" s="106"/>
      <c r="R3912" s="37">
        <v>951</v>
      </c>
      <c r="S3912" s="39" t="s">
        <v>1360</v>
      </c>
      <c r="T3912" s="37">
        <v>2052</v>
      </c>
      <c r="U3912" s="39" t="s">
        <v>2099</v>
      </c>
      <c r="V3912" s="69" t="s">
        <v>16</v>
      </c>
      <c r="W3912" s="89" t="s">
        <v>175</v>
      </c>
      <c r="X3912" s="106" t="s">
        <v>296</v>
      </c>
      <c r="Y3912" s="107" t="s">
        <v>12</v>
      </c>
      <c r="Z3912" s="67">
        <f>IF(База_КР_КК[[#This Row],[Таб.номер резервиста]]="-","-",IF(OR(База_КР_КК[[#This Row],[Уровень КК]]=2,База_КР_КК[[#This Row],[Уровень КК]]=3),IF(COUNTIFS($U$2:$U3912,$U3912,$F$2:$F3912,$F3912)=1,1,0),IF(COUNTIFS($U$2:$U3912,$U3912,$L$2:$L3912,$L3912)=1,1,0)))</f>
        <v>0</v>
      </c>
      <c r="AA39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2" s="106"/>
      <c r="AC3912" s="51"/>
      <c r="AD3912" s="106" t="s">
        <v>15</v>
      </c>
      <c r="AE3912" s="38" t="s">
        <v>395</v>
      </c>
    </row>
    <row r="3913" spans="1:31" ht="18" customHeight="1" x14ac:dyDescent="0.25">
      <c r="A39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3" s="79">
        <v>4</v>
      </c>
      <c r="C3913" s="23">
        <v>44512</v>
      </c>
      <c r="D3913" s="67">
        <f>IF(COUNTIF($G$2:$G3913,$G3913)=1,1,0)</f>
        <v>0</v>
      </c>
      <c r="E3913" s="67" t="str">
        <f>IFERROR(VLOOKUP(База_КР_КК[[#This Row],[ИД штатной должности (S)]],'уровень защищенности'!$B$7:$F$1095,5,0),"не защищена")</f>
        <v>средний</v>
      </c>
      <c r="F3913" s="68">
        <v>500426</v>
      </c>
      <c r="G3913" s="74" t="s">
        <v>3135</v>
      </c>
      <c r="H3913" s="181">
        <f>INDEX('Списки данных'!$D$2:$D$1048576,MATCH(База_КР_КК[[#This Row],[Структурное подразделение]],'Списки данных'!$C$2:$C$1048576,0))</f>
        <v>63</v>
      </c>
      <c r="I3913" s="80" t="s">
        <v>175</v>
      </c>
      <c r="J3913" s="80" t="s">
        <v>261</v>
      </c>
      <c r="K3913" s="80" t="s">
        <v>21</v>
      </c>
      <c r="L3913" s="30" t="s">
        <v>194</v>
      </c>
      <c r="M3913" s="68">
        <v>6</v>
      </c>
      <c r="N3913" s="181" t="str">
        <f t="shared" si="62"/>
        <v>нет</v>
      </c>
      <c r="O3913" s="23"/>
      <c r="P3913" s="23"/>
      <c r="Q3913" s="106"/>
      <c r="R3913" s="37">
        <v>951</v>
      </c>
      <c r="S3913" s="39" t="s">
        <v>1360</v>
      </c>
      <c r="T3913" s="37">
        <v>949</v>
      </c>
      <c r="U3913" s="39" t="s">
        <v>1358</v>
      </c>
      <c r="V3913" s="69" t="s">
        <v>192</v>
      </c>
      <c r="W3913" s="89" t="s">
        <v>175</v>
      </c>
      <c r="X3913" s="106" t="s">
        <v>295</v>
      </c>
      <c r="Y3913" s="107" t="s">
        <v>14</v>
      </c>
      <c r="Z3913" s="67">
        <f>IF(База_КР_КК[[#This Row],[Таб.номер резервиста]]="-","-",IF(OR(База_КР_КК[[#This Row],[Уровень КК]]=2,База_КР_КК[[#This Row],[Уровень КК]]=3),IF(COUNTIFS($U$2:$U3913,$U3913,$F$2:$F3913,$F3913)=1,1,0),IF(COUNTIFS($U$2:$U3913,$U3913,$L$2:$L3913,$L3913)=1,1,0)))</f>
        <v>0</v>
      </c>
      <c r="AA39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3" s="106" t="s">
        <v>24</v>
      </c>
      <c r="AC3913" s="51">
        <v>44967</v>
      </c>
      <c r="AD3913" s="106" t="s">
        <v>15</v>
      </c>
      <c r="AE3913" s="38" t="s">
        <v>395</v>
      </c>
    </row>
    <row r="3914" spans="1:31" ht="18" customHeight="1" x14ac:dyDescent="0.25">
      <c r="A39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4" s="79">
        <v>4</v>
      </c>
      <c r="C3914" s="23">
        <v>44512</v>
      </c>
      <c r="D3914" s="67">
        <f>IF(COUNTIF($G$2:$G3914,$G3914)=1,1,0)</f>
        <v>1</v>
      </c>
      <c r="E3914" s="67" t="str">
        <f>IFERROR(VLOOKUP(База_КР_КК[[#This Row],[ИД штатной должности (S)]],'уровень защищенности'!$B$7:$F$1095,5,0),"не защищена")</f>
        <v>высокий</v>
      </c>
      <c r="F3914" s="68">
        <v>500427</v>
      </c>
      <c r="G3914" s="74" t="s">
        <v>3136</v>
      </c>
      <c r="H3914" s="181">
        <f>INDEX('Списки данных'!$D$2:$D$1048576,MATCH(База_КР_КК[[#This Row],[Структурное подразделение]],'Списки данных'!$C$2:$C$1048576,0))</f>
        <v>63</v>
      </c>
      <c r="I3914" s="80" t="s">
        <v>175</v>
      </c>
      <c r="J3914" s="80" t="s">
        <v>261</v>
      </c>
      <c r="K3914" s="80" t="s">
        <v>21</v>
      </c>
      <c r="L3914" s="30" t="s">
        <v>186</v>
      </c>
      <c r="M3914" s="68">
        <v>5</v>
      </c>
      <c r="N3914" s="181" t="str">
        <f t="shared" si="62"/>
        <v>нет</v>
      </c>
      <c r="O3914" s="23"/>
      <c r="P3914" s="23"/>
      <c r="Q3914" s="106"/>
      <c r="R3914" s="37">
        <v>952</v>
      </c>
      <c r="S3914" s="39" t="s">
        <v>1361</v>
      </c>
      <c r="T3914" s="37">
        <v>928</v>
      </c>
      <c r="U3914" s="39" t="s">
        <v>1337</v>
      </c>
      <c r="V3914" s="69" t="s">
        <v>198</v>
      </c>
      <c r="W3914" s="89" t="s">
        <v>175</v>
      </c>
      <c r="X3914" s="106" t="s">
        <v>295</v>
      </c>
      <c r="Y3914" s="107" t="s">
        <v>12</v>
      </c>
      <c r="Z3914" s="67">
        <f>IF(База_КР_КК[[#This Row],[Таб.номер резервиста]]="-","-",IF(OR(База_КР_КК[[#This Row],[Уровень КК]]=2,База_КР_КК[[#This Row],[Уровень КК]]=3),IF(COUNTIFS($U$2:$U3914,$U3914,$F$2:$F3914,$F3914)=1,1,0),IF(COUNTIFS($U$2:$U3914,$U3914,$L$2:$L3914,$L3914)=1,1,0)))</f>
        <v>1</v>
      </c>
      <c r="AA39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4" s="106"/>
      <c r="AC3914" s="51"/>
      <c r="AD3914" s="106" t="s">
        <v>13</v>
      </c>
      <c r="AE3914" s="38" t="s">
        <v>389</v>
      </c>
    </row>
    <row r="3915" spans="1:31" ht="18" customHeight="1" x14ac:dyDescent="0.25">
      <c r="A39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5" s="79">
        <v>4</v>
      </c>
      <c r="C3915" s="23">
        <v>44512</v>
      </c>
      <c r="D3915" s="67">
        <f>IF(COUNTIF($G$2:$G3915,$G3915)=1,1,0)</f>
        <v>0</v>
      </c>
      <c r="E3915" s="67" t="str">
        <f>IFERROR(VLOOKUP(База_КР_КК[[#This Row],[ИД штатной должности (S)]],'уровень защищенности'!$B$7:$F$1095,5,0),"не защищена")</f>
        <v>высокий</v>
      </c>
      <c r="F3915" s="68">
        <v>500427</v>
      </c>
      <c r="G3915" s="74" t="s">
        <v>3136</v>
      </c>
      <c r="H3915" s="181">
        <f>INDEX('Списки данных'!$D$2:$D$1048576,MATCH(База_КР_КК[[#This Row],[Структурное подразделение]],'Списки данных'!$C$2:$C$1048576,0))</f>
        <v>63</v>
      </c>
      <c r="I3915" s="80" t="s">
        <v>175</v>
      </c>
      <c r="J3915" s="80" t="s">
        <v>261</v>
      </c>
      <c r="K3915" s="80" t="s">
        <v>21</v>
      </c>
      <c r="L3915" s="30" t="s">
        <v>186</v>
      </c>
      <c r="M3915" s="68">
        <v>5</v>
      </c>
      <c r="N3915" s="181" t="str">
        <f t="shared" si="62"/>
        <v>нет</v>
      </c>
      <c r="O3915" s="23"/>
      <c r="P3915" s="23"/>
      <c r="Q3915" s="106"/>
      <c r="R3915" s="37">
        <v>952</v>
      </c>
      <c r="S3915" s="39" t="s">
        <v>1361</v>
      </c>
      <c r="T3915" s="37">
        <v>953</v>
      </c>
      <c r="U3915" s="39" t="s">
        <v>1362</v>
      </c>
      <c r="V3915" s="69" t="s">
        <v>198</v>
      </c>
      <c r="W3915" s="89" t="s">
        <v>175</v>
      </c>
      <c r="X3915" s="106" t="s">
        <v>295</v>
      </c>
      <c r="Y3915" s="107" t="s">
        <v>12</v>
      </c>
      <c r="Z3915" s="67">
        <f>IF(База_КР_КК[[#This Row],[Таб.номер резервиста]]="-","-",IF(OR(База_КР_КК[[#This Row],[Уровень КК]]=2,База_КР_КК[[#This Row],[Уровень КК]]=3),IF(COUNTIFS($U$2:$U3915,$U3915,$F$2:$F3915,$F3915)=1,1,0),IF(COUNTIFS($U$2:$U3915,$U3915,$L$2:$L3915,$L3915)=1,1,0)))</f>
        <v>1</v>
      </c>
      <c r="AA39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5" s="106"/>
      <c r="AC3915" s="51"/>
      <c r="AD3915" s="106" t="s">
        <v>13</v>
      </c>
      <c r="AE3915" s="38" t="s">
        <v>389</v>
      </c>
    </row>
    <row r="3916" spans="1:31" ht="18" customHeight="1" x14ac:dyDescent="0.25">
      <c r="A39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6" s="79">
        <v>4</v>
      </c>
      <c r="C3916" s="23">
        <v>44512</v>
      </c>
      <c r="D3916" s="67">
        <f>IF(COUNTIF($G$2:$G3916,$G3916)=1,1,0)</f>
        <v>1</v>
      </c>
      <c r="E3916" s="67" t="str">
        <f>IFERROR(VLOOKUP(База_КР_КК[[#This Row],[ИД штатной должности (S)]],'уровень защищенности'!$B$7:$F$1095,5,0),"не защищена")</f>
        <v>высокий</v>
      </c>
      <c r="F3916" s="68">
        <v>500428</v>
      </c>
      <c r="G3916" s="74" t="s">
        <v>3137</v>
      </c>
      <c r="H3916" s="181">
        <f>INDEX('Списки данных'!$D$2:$D$1048576,MATCH(База_КР_КК[[#This Row],[Структурное подразделение]],'Списки данных'!$C$2:$C$1048576,0))</f>
        <v>63</v>
      </c>
      <c r="I3916" s="80" t="s">
        <v>175</v>
      </c>
      <c r="J3916" s="80" t="s">
        <v>261</v>
      </c>
      <c r="K3916" s="80" t="s">
        <v>262</v>
      </c>
      <c r="L3916" s="30" t="s">
        <v>198</v>
      </c>
      <c r="M3916" s="68">
        <v>6</v>
      </c>
      <c r="N3916" s="181" t="str">
        <f t="shared" si="62"/>
        <v>нет</v>
      </c>
      <c r="O3916" s="23"/>
      <c r="P3916" s="23"/>
      <c r="Q3916" s="106"/>
      <c r="R3916" s="37">
        <v>953</v>
      </c>
      <c r="S3916" s="39" t="s">
        <v>1362</v>
      </c>
      <c r="T3916" s="37">
        <v>924</v>
      </c>
      <c r="U3916" s="39" t="s">
        <v>1333</v>
      </c>
      <c r="V3916" s="69" t="s">
        <v>192</v>
      </c>
      <c r="W3916" s="89" t="s">
        <v>175</v>
      </c>
      <c r="X3916" s="106" t="s">
        <v>297</v>
      </c>
      <c r="Y3916" s="107" t="s">
        <v>12</v>
      </c>
      <c r="Z3916" s="67">
        <f>IF(База_КР_КК[[#This Row],[Таб.номер резервиста]]="-","-",IF(OR(База_КР_КК[[#This Row],[Уровень КК]]=2,База_КР_КК[[#This Row],[Уровень КК]]=3),IF(COUNTIFS($U$2:$U3916,$U3916,$F$2:$F3916,$F3916)=1,1,0),IF(COUNTIFS($U$2:$U3916,$U3916,$L$2:$L3916,$L3916)=1,1,0)))</f>
        <v>0</v>
      </c>
      <c r="AA39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6" s="106"/>
      <c r="AC3916" s="51"/>
      <c r="AD3916" s="106" t="s">
        <v>15</v>
      </c>
      <c r="AE3916" s="38" t="s">
        <v>395</v>
      </c>
    </row>
    <row r="3917" spans="1:31" ht="18" customHeight="1" x14ac:dyDescent="0.25">
      <c r="A39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7" s="79">
        <v>4</v>
      </c>
      <c r="C3917" s="23">
        <v>44512</v>
      </c>
      <c r="D3917" s="67">
        <f>IF(COUNTIF($G$2:$G3917,$G3917)=1,1,0)</f>
        <v>0</v>
      </c>
      <c r="E3917" s="67" t="str">
        <f>IFERROR(VLOOKUP(База_КР_КК[[#This Row],[ИД штатной должности (S)]],'уровень защищенности'!$B$7:$F$1095,5,0),"не защищена")</f>
        <v>высокий</v>
      </c>
      <c r="F3917" s="68">
        <v>500428</v>
      </c>
      <c r="G3917" s="74" t="s">
        <v>3137</v>
      </c>
      <c r="H3917" s="181">
        <f>INDEX('Списки данных'!$D$2:$D$1048576,MATCH(База_КР_КК[[#This Row],[Структурное подразделение]],'Списки данных'!$C$2:$C$1048576,0))</f>
        <v>63</v>
      </c>
      <c r="I3917" s="80" t="s">
        <v>175</v>
      </c>
      <c r="J3917" s="80" t="s">
        <v>261</v>
      </c>
      <c r="K3917" s="80" t="s">
        <v>262</v>
      </c>
      <c r="L3917" s="30" t="s">
        <v>198</v>
      </c>
      <c r="M3917" s="68">
        <v>6</v>
      </c>
      <c r="N3917" s="181" t="str">
        <f t="shared" si="62"/>
        <v>нет</v>
      </c>
      <c r="O3917" s="23"/>
      <c r="P3917" s="23"/>
      <c r="Q3917" s="106"/>
      <c r="R3917" s="37">
        <v>953</v>
      </c>
      <c r="S3917" s="39" t="s">
        <v>1362</v>
      </c>
      <c r="T3917" s="37">
        <v>925</v>
      </c>
      <c r="U3917" s="39" t="s">
        <v>1334</v>
      </c>
      <c r="V3917" s="69" t="s">
        <v>192</v>
      </c>
      <c r="W3917" s="89" t="s">
        <v>175</v>
      </c>
      <c r="X3917" s="106" t="s">
        <v>295</v>
      </c>
      <c r="Y3917" s="107" t="s">
        <v>12</v>
      </c>
      <c r="Z3917" s="67">
        <f>IF(База_КР_КК[[#This Row],[Таб.номер резервиста]]="-","-",IF(OR(База_КР_КК[[#This Row],[Уровень КК]]=2,База_КР_КК[[#This Row],[Уровень КК]]=3),IF(COUNTIFS($U$2:$U3917,$U3917,$F$2:$F3917,$F3917)=1,1,0),IF(COUNTIFS($U$2:$U3917,$U3917,$L$2:$L3917,$L3917)=1,1,0)))</f>
        <v>0</v>
      </c>
      <c r="AA39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7" s="106"/>
      <c r="AC3917" s="51"/>
      <c r="AD3917" s="106" t="s">
        <v>15</v>
      </c>
      <c r="AE3917" s="38" t="s">
        <v>395</v>
      </c>
    </row>
    <row r="3918" spans="1:31" ht="18" customHeight="1" x14ac:dyDescent="0.25">
      <c r="A39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8" s="79">
        <v>4</v>
      </c>
      <c r="C3918" s="23">
        <v>44897</v>
      </c>
      <c r="D3918" s="67">
        <f>IF(COUNTIF($G$2:$G3918,$G3918)=1,1,0)</f>
        <v>0</v>
      </c>
      <c r="E3918" s="67" t="str">
        <f>IFERROR(VLOOKUP(База_КР_КК[[#This Row],[ИД штатной должности (S)]],'уровень защищенности'!$B$7:$F$1095,5,0),"не защищена")</f>
        <v>высокий</v>
      </c>
      <c r="F3918" s="68">
        <v>500428</v>
      </c>
      <c r="G3918" s="74" t="s">
        <v>3137</v>
      </c>
      <c r="H3918" s="181">
        <f>INDEX('Списки данных'!$D$2:$D$1048576,MATCH(База_КР_КК[[#This Row],[Структурное подразделение]],'Списки данных'!$C$2:$C$1048576,0))</f>
        <v>63</v>
      </c>
      <c r="I3918" s="80" t="s">
        <v>175</v>
      </c>
      <c r="J3918" s="80" t="s">
        <v>261</v>
      </c>
      <c r="K3918" s="80" t="s">
        <v>262</v>
      </c>
      <c r="L3918" s="30" t="s">
        <v>198</v>
      </c>
      <c r="M3918" s="68">
        <v>6</v>
      </c>
      <c r="N3918" s="181" t="str">
        <f t="shared" si="62"/>
        <v>нет</v>
      </c>
      <c r="O3918" s="23"/>
      <c r="P3918" s="23"/>
      <c r="Q3918" s="106"/>
      <c r="R3918" s="37">
        <v>953</v>
      </c>
      <c r="S3918" s="39" t="s">
        <v>1362</v>
      </c>
      <c r="T3918" s="37">
        <v>927</v>
      </c>
      <c r="U3918" s="38" t="s">
        <v>1336</v>
      </c>
      <c r="V3918" s="69" t="s">
        <v>192</v>
      </c>
      <c r="W3918" s="89" t="s">
        <v>175</v>
      </c>
      <c r="X3918" s="106" t="s">
        <v>297</v>
      </c>
      <c r="Y3918" s="107" t="s">
        <v>12</v>
      </c>
      <c r="Z3918" s="67">
        <f>IF(База_КР_КК[[#This Row],[Таб.номер резервиста]]="-","-",IF(OR(База_КР_КК[[#This Row],[Уровень КК]]=2,База_КР_КК[[#This Row],[Уровень КК]]=3),IF(COUNTIFS($U$2:$U3918,$U3918,$F$2:$F3918,$F3918)=1,1,0),IF(COUNTIFS($U$2:$U3918,$U3918,$L$2:$L3918,$L3918)=1,1,0)))</f>
        <v>0</v>
      </c>
      <c r="AA39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8" s="106"/>
      <c r="AC3918" s="51"/>
      <c r="AD3918" s="106" t="s">
        <v>15</v>
      </c>
      <c r="AE3918" s="38" t="s">
        <v>314</v>
      </c>
    </row>
    <row r="3919" spans="1:31" ht="18" customHeight="1" x14ac:dyDescent="0.25">
      <c r="A39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19" s="79">
        <v>4</v>
      </c>
      <c r="C3919" s="23">
        <v>44512</v>
      </c>
      <c r="D3919" s="67">
        <f>IF(COUNTIF($G$2:$G3919,$G3919)=1,1,0)</f>
        <v>0</v>
      </c>
      <c r="E3919" s="67" t="str">
        <f>IFERROR(VLOOKUP(База_КР_КК[[#This Row],[ИД штатной должности (S)]],'уровень защищенности'!$B$7:$F$1095,5,0),"не защищена")</f>
        <v>высокий</v>
      </c>
      <c r="F3919" s="68">
        <v>500428</v>
      </c>
      <c r="G3919" s="74" t="s">
        <v>3137</v>
      </c>
      <c r="H3919" s="181">
        <f>INDEX('Списки данных'!$D$2:$D$1048576,MATCH(База_КР_КК[[#This Row],[Структурное подразделение]],'Списки данных'!$C$2:$C$1048576,0))</f>
        <v>63</v>
      </c>
      <c r="I3919" s="80" t="s">
        <v>175</v>
      </c>
      <c r="J3919" s="80" t="s">
        <v>261</v>
      </c>
      <c r="K3919" s="80" t="s">
        <v>262</v>
      </c>
      <c r="L3919" s="30" t="s">
        <v>198</v>
      </c>
      <c r="M3919" s="68">
        <v>6</v>
      </c>
      <c r="N3919" s="181" t="str">
        <f t="shared" si="62"/>
        <v>нет</v>
      </c>
      <c r="O3919" s="23"/>
      <c r="P3919" s="23"/>
      <c r="Q3919" s="106"/>
      <c r="R3919" s="37">
        <v>953</v>
      </c>
      <c r="S3919" s="39" t="s">
        <v>1362</v>
      </c>
      <c r="T3919" s="37">
        <v>926</v>
      </c>
      <c r="U3919" s="39" t="s">
        <v>1335</v>
      </c>
      <c r="V3919" s="69" t="s">
        <v>192</v>
      </c>
      <c r="W3919" s="89" t="s">
        <v>175</v>
      </c>
      <c r="X3919" s="106" t="s">
        <v>295</v>
      </c>
      <c r="Y3919" s="107" t="s">
        <v>18</v>
      </c>
      <c r="Z3919" s="67">
        <f>IF(База_КР_КК[[#This Row],[Таб.номер резервиста]]="-","-",IF(OR(База_КР_КК[[#This Row],[Уровень КК]]=2,База_КР_КК[[#This Row],[Уровень КК]]=3),IF(COUNTIFS($U$2:$U3919,$U3919,$F$2:$F3919,$F3919)=1,1,0),IF(COUNTIFS($U$2:$U3919,$U3919,$L$2:$L3919,$L3919)=1,1,0)))</f>
        <v>0</v>
      </c>
      <c r="AA39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19" s="106" t="s">
        <v>38</v>
      </c>
      <c r="AC3919" s="51">
        <v>44897</v>
      </c>
      <c r="AD3919" s="106" t="s">
        <v>31</v>
      </c>
      <c r="AE3919" s="38" t="s">
        <v>314</v>
      </c>
    </row>
    <row r="3920" spans="1:31" ht="18" customHeight="1" x14ac:dyDescent="0.25">
      <c r="A39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0" s="79">
        <v>4</v>
      </c>
      <c r="C3920" s="23">
        <v>44512</v>
      </c>
      <c r="D3920" s="67">
        <f>IF(COUNTIF($G$2:$G3920,$G3920)=1,1,0)</f>
        <v>1</v>
      </c>
      <c r="E3920" s="67" t="str">
        <f>IFERROR(VLOOKUP(База_КР_КК[[#This Row],[ИД штатной должности (S)]],'уровень защищенности'!$B$7:$F$1095,5,0),"не защищена")</f>
        <v>высокий</v>
      </c>
      <c r="F3920" s="68">
        <v>500429</v>
      </c>
      <c r="G3920" s="74" t="s">
        <v>3138</v>
      </c>
      <c r="H3920" s="181">
        <f>INDEX('Списки данных'!$D$2:$D$1048576,MATCH(База_КР_КК[[#This Row],[Структурное подразделение]],'Списки данных'!$C$2:$C$1048576,0))</f>
        <v>63</v>
      </c>
      <c r="I3920" s="80" t="s">
        <v>175</v>
      </c>
      <c r="J3920" s="80" t="s">
        <v>261</v>
      </c>
      <c r="K3920" s="80" t="s">
        <v>262</v>
      </c>
      <c r="L3920" s="30" t="s">
        <v>198</v>
      </c>
      <c r="M3920" s="68">
        <v>6</v>
      </c>
      <c r="N3920" s="181" t="str">
        <f t="shared" si="62"/>
        <v>нет</v>
      </c>
      <c r="O3920" s="23"/>
      <c r="P3920" s="23"/>
      <c r="Q3920" s="106"/>
      <c r="R3920" s="37">
        <v>954</v>
      </c>
      <c r="S3920" s="39" t="s">
        <v>1363</v>
      </c>
      <c r="T3920" s="37">
        <v>924</v>
      </c>
      <c r="U3920" s="39" t="s">
        <v>1333</v>
      </c>
      <c r="V3920" s="69" t="s">
        <v>192</v>
      </c>
      <c r="W3920" s="89" t="s">
        <v>175</v>
      </c>
      <c r="X3920" s="106" t="s">
        <v>297</v>
      </c>
      <c r="Y3920" s="107" t="s">
        <v>12</v>
      </c>
      <c r="Z3920" s="67">
        <f>IF(База_КР_КК[[#This Row],[Таб.номер резервиста]]="-","-",IF(OR(База_КР_КК[[#This Row],[Уровень КК]]=2,База_КР_КК[[#This Row],[Уровень КК]]=3),IF(COUNTIFS($U$2:$U3920,$U3920,$F$2:$F3920,$F3920)=1,1,0),IF(COUNTIFS($U$2:$U3920,$U3920,$L$2:$L3920,$L3920)=1,1,0)))</f>
        <v>0</v>
      </c>
      <c r="AA39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0" s="106"/>
      <c r="AC3920" s="51"/>
      <c r="AD3920" s="106" t="s">
        <v>15</v>
      </c>
      <c r="AE3920" s="38" t="s">
        <v>395</v>
      </c>
    </row>
    <row r="3921" spans="1:31" ht="18" customHeight="1" x14ac:dyDescent="0.25">
      <c r="A39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1" s="79">
        <v>4</v>
      </c>
      <c r="C3921" s="23">
        <v>44512</v>
      </c>
      <c r="D3921" s="67">
        <f>IF(COUNTIF($G$2:$G3921,$G3921)=1,1,0)</f>
        <v>0</v>
      </c>
      <c r="E3921" s="67" t="str">
        <f>IFERROR(VLOOKUP(База_КР_КК[[#This Row],[ИД штатной должности (S)]],'уровень защищенности'!$B$7:$F$1095,5,0),"не защищена")</f>
        <v>высокий</v>
      </c>
      <c r="F3921" s="68">
        <v>500429</v>
      </c>
      <c r="G3921" s="74" t="s">
        <v>3138</v>
      </c>
      <c r="H3921" s="181">
        <f>INDEX('Списки данных'!$D$2:$D$1048576,MATCH(База_КР_КК[[#This Row],[Структурное подразделение]],'Списки данных'!$C$2:$C$1048576,0))</f>
        <v>63</v>
      </c>
      <c r="I3921" s="80" t="s">
        <v>175</v>
      </c>
      <c r="J3921" s="80" t="s">
        <v>261</v>
      </c>
      <c r="K3921" s="80" t="s">
        <v>262</v>
      </c>
      <c r="L3921" s="30" t="s">
        <v>198</v>
      </c>
      <c r="M3921" s="68">
        <v>6</v>
      </c>
      <c r="N3921" s="181" t="str">
        <f t="shared" si="62"/>
        <v>нет</v>
      </c>
      <c r="O3921" s="23"/>
      <c r="P3921" s="23"/>
      <c r="Q3921" s="106"/>
      <c r="R3921" s="37">
        <v>954</v>
      </c>
      <c r="S3921" s="39" t="s">
        <v>1363</v>
      </c>
      <c r="T3921" s="37">
        <v>925</v>
      </c>
      <c r="U3921" s="39" t="s">
        <v>1334</v>
      </c>
      <c r="V3921" s="69" t="s">
        <v>192</v>
      </c>
      <c r="W3921" s="89" t="s">
        <v>175</v>
      </c>
      <c r="X3921" s="106" t="s">
        <v>295</v>
      </c>
      <c r="Y3921" s="107" t="s">
        <v>12</v>
      </c>
      <c r="Z3921" s="67">
        <f>IF(База_КР_КК[[#This Row],[Таб.номер резервиста]]="-","-",IF(OR(База_КР_КК[[#This Row],[Уровень КК]]=2,База_КР_КК[[#This Row],[Уровень КК]]=3),IF(COUNTIFS($U$2:$U3921,$U3921,$F$2:$F3921,$F3921)=1,1,0),IF(COUNTIFS($U$2:$U3921,$U3921,$L$2:$L3921,$L3921)=1,1,0)))</f>
        <v>0</v>
      </c>
      <c r="AA39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1" s="106"/>
      <c r="AC3921" s="51"/>
      <c r="AD3921" s="106" t="s">
        <v>15</v>
      </c>
      <c r="AE3921" s="38" t="s">
        <v>395</v>
      </c>
    </row>
    <row r="3922" spans="1:31" ht="18" customHeight="1" x14ac:dyDescent="0.25">
      <c r="A39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2" s="79">
        <v>4</v>
      </c>
      <c r="C3922" s="23">
        <v>44897</v>
      </c>
      <c r="D3922" s="67">
        <f>IF(COUNTIF($G$2:$G3922,$G3922)=1,1,0)</f>
        <v>0</v>
      </c>
      <c r="E3922" s="67" t="str">
        <f>IFERROR(VLOOKUP(База_КР_КК[[#This Row],[ИД штатной должности (S)]],'уровень защищенности'!$B$7:$F$1095,5,0),"не защищена")</f>
        <v>высокий</v>
      </c>
      <c r="F3922" s="68">
        <v>500429</v>
      </c>
      <c r="G3922" s="74" t="s">
        <v>3138</v>
      </c>
      <c r="H3922" s="181">
        <f>INDEX('Списки данных'!$D$2:$D$1048576,MATCH(База_КР_КК[[#This Row],[Структурное подразделение]],'Списки данных'!$C$2:$C$1048576,0))</f>
        <v>63</v>
      </c>
      <c r="I3922" s="80" t="s">
        <v>175</v>
      </c>
      <c r="J3922" s="80" t="s">
        <v>261</v>
      </c>
      <c r="K3922" s="80" t="s">
        <v>262</v>
      </c>
      <c r="L3922" s="30" t="s">
        <v>198</v>
      </c>
      <c r="M3922" s="68">
        <v>6</v>
      </c>
      <c r="N3922" s="181" t="str">
        <f t="shared" si="62"/>
        <v>нет</v>
      </c>
      <c r="O3922" s="23"/>
      <c r="P3922" s="23"/>
      <c r="Q3922" s="106"/>
      <c r="R3922" s="37">
        <v>954</v>
      </c>
      <c r="S3922" s="39" t="s">
        <v>1363</v>
      </c>
      <c r="T3922" s="37">
        <v>927</v>
      </c>
      <c r="U3922" s="38" t="s">
        <v>1336</v>
      </c>
      <c r="V3922" s="69" t="s">
        <v>192</v>
      </c>
      <c r="W3922" s="89" t="s">
        <v>175</v>
      </c>
      <c r="X3922" s="106" t="s">
        <v>297</v>
      </c>
      <c r="Y3922" s="107" t="s">
        <v>12</v>
      </c>
      <c r="Z3922" s="67">
        <f>IF(База_КР_КК[[#This Row],[Таб.номер резервиста]]="-","-",IF(OR(База_КР_КК[[#This Row],[Уровень КК]]=2,База_КР_КК[[#This Row],[Уровень КК]]=3),IF(COUNTIFS($U$2:$U3922,$U3922,$F$2:$F3922,$F3922)=1,1,0),IF(COUNTIFS($U$2:$U3922,$U3922,$L$2:$L3922,$L3922)=1,1,0)))</f>
        <v>0</v>
      </c>
      <c r="AA39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2" s="106"/>
      <c r="AC3922" s="51"/>
      <c r="AD3922" s="106" t="s">
        <v>15</v>
      </c>
      <c r="AE3922" s="38" t="s">
        <v>314</v>
      </c>
    </row>
    <row r="3923" spans="1:31" ht="18" customHeight="1" x14ac:dyDescent="0.25">
      <c r="A39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3" s="79">
        <v>4</v>
      </c>
      <c r="C3923" s="23">
        <v>44512</v>
      </c>
      <c r="D3923" s="67">
        <f>IF(COUNTIF($G$2:$G3923,$G3923)=1,1,0)</f>
        <v>0</v>
      </c>
      <c r="E3923" s="67" t="str">
        <f>IFERROR(VLOOKUP(База_КР_КК[[#This Row],[ИД штатной должности (S)]],'уровень защищенности'!$B$7:$F$1095,5,0),"не защищена")</f>
        <v>высокий</v>
      </c>
      <c r="F3923" s="68">
        <v>500429</v>
      </c>
      <c r="G3923" s="74" t="s">
        <v>3138</v>
      </c>
      <c r="H3923" s="181">
        <f>INDEX('Списки данных'!$D$2:$D$1048576,MATCH(База_КР_КК[[#This Row],[Структурное подразделение]],'Списки данных'!$C$2:$C$1048576,0))</f>
        <v>63</v>
      </c>
      <c r="I3923" s="80" t="s">
        <v>175</v>
      </c>
      <c r="J3923" s="80" t="s">
        <v>261</v>
      </c>
      <c r="K3923" s="80" t="s">
        <v>262</v>
      </c>
      <c r="L3923" s="30" t="s">
        <v>198</v>
      </c>
      <c r="M3923" s="68">
        <v>6</v>
      </c>
      <c r="N3923" s="181" t="str">
        <f t="shared" si="62"/>
        <v>нет</v>
      </c>
      <c r="O3923" s="23"/>
      <c r="P3923" s="23"/>
      <c r="Q3923" s="106"/>
      <c r="R3923" s="37">
        <v>954</v>
      </c>
      <c r="S3923" s="39" t="s">
        <v>1363</v>
      </c>
      <c r="T3923" s="37">
        <v>926</v>
      </c>
      <c r="U3923" s="39" t="s">
        <v>1335</v>
      </c>
      <c r="V3923" s="69" t="s">
        <v>192</v>
      </c>
      <c r="W3923" s="89" t="s">
        <v>175</v>
      </c>
      <c r="X3923" s="106" t="s">
        <v>295</v>
      </c>
      <c r="Y3923" s="107" t="s">
        <v>18</v>
      </c>
      <c r="Z3923" s="67">
        <f>IF(База_КР_КК[[#This Row],[Таб.номер резервиста]]="-","-",IF(OR(База_КР_КК[[#This Row],[Уровень КК]]=2,База_КР_КК[[#This Row],[Уровень КК]]=3),IF(COUNTIFS($U$2:$U3923,$U3923,$F$2:$F3923,$F3923)=1,1,0),IF(COUNTIFS($U$2:$U3923,$U3923,$L$2:$L3923,$L3923)=1,1,0)))</f>
        <v>0</v>
      </c>
      <c r="AA39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3" s="106" t="s">
        <v>38</v>
      </c>
      <c r="AC3923" s="51">
        <v>44897</v>
      </c>
      <c r="AD3923" s="106" t="s">
        <v>31</v>
      </c>
      <c r="AE3923" s="38" t="s">
        <v>314</v>
      </c>
    </row>
    <row r="3924" spans="1:31" ht="18" customHeight="1" x14ac:dyDescent="0.25">
      <c r="A39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4" s="79">
        <v>4</v>
      </c>
      <c r="C3924" s="23">
        <v>44512</v>
      </c>
      <c r="D3924" s="67">
        <f>IF(COUNTIF($G$2:$G3924,$G3924)=1,1,0)</f>
        <v>1</v>
      </c>
      <c r="E3924" s="67" t="str">
        <f>IFERROR(VLOOKUP(База_КР_КК[[#This Row],[ИД штатной должности (S)]],'уровень защищенности'!$B$7:$F$1095,5,0),"не защищена")</f>
        <v>высокий</v>
      </c>
      <c r="F3924" s="68">
        <v>500430</v>
      </c>
      <c r="G3924" s="74" t="s">
        <v>3139</v>
      </c>
      <c r="H3924" s="181">
        <f>INDEX('Списки данных'!$D$2:$D$1048576,MATCH(База_КР_КК[[#This Row],[Структурное подразделение]],'Списки данных'!$C$2:$C$1048576,0))</f>
        <v>63</v>
      </c>
      <c r="I3924" s="80" t="s">
        <v>175</v>
      </c>
      <c r="J3924" s="80" t="s">
        <v>261</v>
      </c>
      <c r="K3924" s="80" t="s">
        <v>21</v>
      </c>
      <c r="L3924" s="30" t="s">
        <v>186</v>
      </c>
      <c r="M3924" s="68">
        <v>6</v>
      </c>
      <c r="N3924" s="181" t="str">
        <f t="shared" si="62"/>
        <v>нет</v>
      </c>
      <c r="O3924" s="23"/>
      <c r="P3924" s="23"/>
      <c r="Q3924" s="106"/>
      <c r="R3924" s="37">
        <v>955</v>
      </c>
      <c r="S3924" s="39" t="s">
        <v>1364</v>
      </c>
      <c r="T3924" s="37">
        <v>956</v>
      </c>
      <c r="U3924" s="37" t="s">
        <v>1365</v>
      </c>
      <c r="V3924" s="69" t="s">
        <v>198</v>
      </c>
      <c r="W3924" s="89" t="s">
        <v>175</v>
      </c>
      <c r="X3924" s="106" t="s">
        <v>295</v>
      </c>
      <c r="Y3924" s="107" t="s">
        <v>12</v>
      </c>
      <c r="Z3924" s="67">
        <f>IF(База_КР_КК[[#This Row],[Таб.номер резервиста]]="-","-",IF(OR(База_КР_КК[[#This Row],[Уровень КК]]=2,База_КР_КК[[#This Row],[Уровень КК]]=3),IF(COUNTIFS($U$2:$U3924,$U3924,$F$2:$F3924,$F3924)=1,1,0),IF(COUNTIFS($U$2:$U3924,$U3924,$L$2:$L3924,$L3924)=1,1,0)))</f>
        <v>1</v>
      </c>
      <c r="AA39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4" s="106"/>
      <c r="AC3924" s="51"/>
      <c r="AD3924" s="106" t="s">
        <v>15</v>
      </c>
      <c r="AE3924" s="38" t="s">
        <v>395</v>
      </c>
    </row>
    <row r="3925" spans="1:31" ht="18" customHeight="1" x14ac:dyDescent="0.25">
      <c r="A39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5" s="79">
        <v>4</v>
      </c>
      <c r="C3925" s="23">
        <v>44512</v>
      </c>
      <c r="D3925" s="67">
        <f>IF(COUNTIF($G$2:$G3925,$G3925)=1,1,0)</f>
        <v>1</v>
      </c>
      <c r="E3925" s="67" t="str">
        <f>IFERROR(VLOOKUP(База_КР_КК[[#This Row],[ИД штатной должности (S)]],'уровень защищенности'!$B$7:$F$1095,5,0),"не защищена")</f>
        <v>средний</v>
      </c>
      <c r="F3925" s="68">
        <v>500431</v>
      </c>
      <c r="G3925" s="74" t="s">
        <v>3140</v>
      </c>
      <c r="H3925" s="181">
        <f>INDEX('Списки данных'!$D$2:$D$1048576,MATCH(База_КР_КК[[#This Row],[Структурное подразделение]],'Списки данных'!$C$2:$C$1048576,0))</f>
        <v>63</v>
      </c>
      <c r="I3925" s="80" t="s">
        <v>175</v>
      </c>
      <c r="J3925" s="80" t="s">
        <v>261</v>
      </c>
      <c r="K3925" s="80" t="s">
        <v>262</v>
      </c>
      <c r="L3925" s="30" t="s">
        <v>198</v>
      </c>
      <c r="M3925" s="68">
        <v>6</v>
      </c>
      <c r="N3925" s="181" t="str">
        <f t="shared" si="62"/>
        <v>нет</v>
      </c>
      <c r="O3925" s="23"/>
      <c r="P3925" s="23"/>
      <c r="Q3925" s="106"/>
      <c r="R3925" s="37">
        <v>956</v>
      </c>
      <c r="S3925" s="39" t="s">
        <v>1365</v>
      </c>
      <c r="T3925" s="37">
        <v>930</v>
      </c>
      <c r="U3925" s="37" t="s">
        <v>1339</v>
      </c>
      <c r="V3925" s="69" t="s">
        <v>192</v>
      </c>
      <c r="W3925" s="89" t="s">
        <v>175</v>
      </c>
      <c r="X3925" s="106" t="s">
        <v>297</v>
      </c>
      <c r="Y3925" s="107" t="s">
        <v>12</v>
      </c>
      <c r="Z3925" s="67">
        <f>IF(База_КР_КК[[#This Row],[Таб.номер резервиста]]="-","-",IF(OR(База_КР_КК[[#This Row],[Уровень КК]]=2,База_КР_КК[[#This Row],[Уровень КК]]=3),IF(COUNTIFS($U$2:$U3925,$U3925,$F$2:$F3925,$F3925)=1,1,0),IF(COUNTIFS($U$2:$U3925,$U3925,$L$2:$L3925,$L3925)=1,1,0)))</f>
        <v>1</v>
      </c>
      <c r="AA39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5" s="106"/>
      <c r="AC3925" s="51"/>
      <c r="AD3925" s="106" t="s">
        <v>15</v>
      </c>
      <c r="AE3925" s="38" t="s">
        <v>395</v>
      </c>
    </row>
    <row r="3926" spans="1:31" ht="18" customHeight="1" x14ac:dyDescent="0.25">
      <c r="A39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6" s="79">
        <v>4</v>
      </c>
      <c r="C3926" s="23">
        <v>44512</v>
      </c>
      <c r="D3926" s="67">
        <f>IF(COUNTIF($G$2:$G3926,$G3926)=1,1,0)</f>
        <v>1</v>
      </c>
      <c r="E3926" s="67" t="str">
        <f>IFERROR(VLOOKUP(База_КР_КК[[#This Row],[ИД штатной должности (S)]],'уровень защищенности'!$B$7:$F$1095,5,0),"не защищена")</f>
        <v>высокий</v>
      </c>
      <c r="F3926" s="68">
        <v>500432</v>
      </c>
      <c r="G3926" s="74" t="s">
        <v>3141</v>
      </c>
      <c r="H3926" s="181">
        <f>INDEX('Списки данных'!$D$2:$D$1048576,MATCH(База_КР_КК[[#This Row],[Структурное подразделение]],'Списки данных'!$C$2:$C$1048576,0))</f>
        <v>63</v>
      </c>
      <c r="I3926" s="80" t="s">
        <v>175</v>
      </c>
      <c r="J3926" s="80" t="s">
        <v>261</v>
      </c>
      <c r="K3926" s="80" t="s">
        <v>21</v>
      </c>
      <c r="L3926" s="30" t="s">
        <v>186</v>
      </c>
      <c r="M3926" s="68">
        <v>6</v>
      </c>
      <c r="N3926" s="181" t="str">
        <f t="shared" si="62"/>
        <v>нет</v>
      </c>
      <c r="O3926" s="23"/>
      <c r="P3926" s="23"/>
      <c r="Q3926" s="106"/>
      <c r="R3926" s="37">
        <v>957</v>
      </c>
      <c r="S3926" s="39" t="s">
        <v>1366</v>
      </c>
      <c r="T3926" s="37">
        <v>939</v>
      </c>
      <c r="U3926" s="37" t="s">
        <v>1348</v>
      </c>
      <c r="V3926" s="69" t="s">
        <v>251</v>
      </c>
      <c r="W3926" s="89" t="s">
        <v>175</v>
      </c>
      <c r="X3926" s="106" t="s">
        <v>297</v>
      </c>
      <c r="Y3926" s="107" t="s">
        <v>12</v>
      </c>
      <c r="Z3926" s="67">
        <f>IF(База_КР_КК[[#This Row],[Таб.номер резервиста]]="-","-",IF(OR(База_КР_КК[[#This Row],[Уровень КК]]=2,База_КР_КК[[#This Row],[Уровень КК]]=3),IF(COUNTIFS($U$2:$U3926,$U3926,$F$2:$F3926,$F3926)=1,1,0),IF(COUNTIFS($U$2:$U3926,$U3926,$L$2:$L3926,$L3926)=1,1,0)))</f>
        <v>1</v>
      </c>
      <c r="AA39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6" s="106"/>
      <c r="AC3926" s="51"/>
      <c r="AD3926" s="106" t="s">
        <v>13</v>
      </c>
      <c r="AE3926" s="38" t="s">
        <v>389</v>
      </c>
    </row>
    <row r="3927" spans="1:31" ht="18" customHeight="1" x14ac:dyDescent="0.25">
      <c r="A39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7" s="79">
        <v>4</v>
      </c>
      <c r="C3927" s="23">
        <v>44512</v>
      </c>
      <c r="D3927" s="67">
        <f>IF(COUNTIF($G$2:$G3927,$G3927)=1,1,0)</f>
        <v>0</v>
      </c>
      <c r="E3927" s="67" t="str">
        <f>IFERROR(VLOOKUP(База_КР_КК[[#This Row],[ИД штатной должности (S)]],'уровень защищенности'!$B$7:$F$1095,5,0),"не защищена")</f>
        <v>высокий</v>
      </c>
      <c r="F3927" s="68">
        <v>500432</v>
      </c>
      <c r="G3927" s="74" t="s">
        <v>3141</v>
      </c>
      <c r="H3927" s="181">
        <f>INDEX('Списки данных'!$D$2:$D$1048576,MATCH(База_КР_КК[[#This Row],[Структурное подразделение]],'Списки данных'!$C$2:$C$1048576,0))</f>
        <v>63</v>
      </c>
      <c r="I3927" s="80" t="s">
        <v>175</v>
      </c>
      <c r="J3927" s="80" t="s">
        <v>261</v>
      </c>
      <c r="K3927" s="80" t="s">
        <v>21</v>
      </c>
      <c r="L3927" s="30" t="s">
        <v>186</v>
      </c>
      <c r="M3927" s="68">
        <v>6</v>
      </c>
      <c r="N3927" s="181" t="str">
        <f t="shared" si="62"/>
        <v>нет</v>
      </c>
      <c r="O3927" s="23"/>
      <c r="P3927" s="23"/>
      <c r="Q3927" s="106"/>
      <c r="R3927" s="37">
        <v>957</v>
      </c>
      <c r="S3927" s="39" t="s">
        <v>1366</v>
      </c>
      <c r="T3927" s="37">
        <v>940</v>
      </c>
      <c r="U3927" s="37" t="s">
        <v>1349</v>
      </c>
      <c r="V3927" s="69" t="s">
        <v>251</v>
      </c>
      <c r="W3927" s="89" t="s">
        <v>175</v>
      </c>
      <c r="X3927" s="106" t="s">
        <v>295</v>
      </c>
      <c r="Y3927" s="107" t="s">
        <v>12</v>
      </c>
      <c r="Z3927" s="67">
        <f>IF(База_КР_КК[[#This Row],[Таб.номер резервиста]]="-","-",IF(OR(База_КР_КК[[#This Row],[Уровень КК]]=2,База_КР_КК[[#This Row],[Уровень КК]]=3),IF(COUNTIFS($U$2:$U3927,$U3927,$F$2:$F3927,$F3927)=1,1,0),IF(COUNTIFS($U$2:$U3927,$U3927,$L$2:$L3927,$L3927)=1,1,0)))</f>
        <v>1</v>
      </c>
      <c r="AA39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7" s="106"/>
      <c r="AC3927" s="51"/>
      <c r="AD3927" s="106" t="s">
        <v>13</v>
      </c>
      <c r="AE3927" s="38" t="s">
        <v>389</v>
      </c>
    </row>
    <row r="3928" spans="1:31" ht="18" customHeight="1" x14ac:dyDescent="0.25">
      <c r="A39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8" s="79">
        <v>4</v>
      </c>
      <c r="C3928" s="23">
        <v>44512</v>
      </c>
      <c r="D3928" s="67">
        <f>IF(COUNTIF($G$2:$G3928,$G3928)=1,1,0)</f>
        <v>1</v>
      </c>
      <c r="E3928" s="67" t="str">
        <f>IFERROR(VLOOKUP(База_КР_КК[[#This Row],[ИД штатной должности (S)]],'уровень защищенности'!$B$7:$F$1095,5,0),"не защищена")</f>
        <v>средний</v>
      </c>
      <c r="F3928" s="68">
        <v>500433</v>
      </c>
      <c r="G3928" s="74" t="s">
        <v>3142</v>
      </c>
      <c r="H3928" s="181">
        <f>INDEX('Списки данных'!$D$2:$D$1048576,MATCH(База_КР_КК[[#This Row],[Структурное подразделение]],'Списки данных'!$C$2:$C$1048576,0))</f>
        <v>63</v>
      </c>
      <c r="I3928" s="80" t="s">
        <v>175</v>
      </c>
      <c r="J3928" s="80" t="s">
        <v>261</v>
      </c>
      <c r="K3928" s="80" t="s">
        <v>21</v>
      </c>
      <c r="L3928" s="82" t="s">
        <v>192</v>
      </c>
      <c r="M3928" s="68">
        <v>6</v>
      </c>
      <c r="N3928" s="181" t="str">
        <f t="shared" si="62"/>
        <v>нет</v>
      </c>
      <c r="O3928" s="23"/>
      <c r="P3928" s="23"/>
      <c r="Q3928" s="106"/>
      <c r="R3928" s="37">
        <v>958</v>
      </c>
      <c r="S3928" s="39" t="s">
        <v>1367</v>
      </c>
      <c r="T3928" s="37">
        <v>2030</v>
      </c>
      <c r="U3928" s="37" t="s">
        <v>1582</v>
      </c>
      <c r="V3928" s="69" t="s">
        <v>272</v>
      </c>
      <c r="W3928" s="89" t="s">
        <v>175</v>
      </c>
      <c r="X3928" s="106" t="s">
        <v>297</v>
      </c>
      <c r="Y3928" s="107" t="s">
        <v>12</v>
      </c>
      <c r="Z3928" s="67">
        <f>IF(База_КР_КК[[#This Row],[Таб.номер резервиста]]="-","-",IF(OR(База_КР_КК[[#This Row],[Уровень КК]]=2,База_КР_КК[[#This Row],[Уровень КК]]=3),IF(COUNTIFS($U$2:$U3928,$U3928,$F$2:$F3928,$F3928)=1,1,0),IF(COUNTIFS($U$2:$U3928,$U3928,$L$2:$L3928,$L3928)=1,1,0)))</f>
        <v>0</v>
      </c>
      <c r="AA39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8" s="106"/>
      <c r="AC3928" s="51"/>
      <c r="AD3928" s="106" t="s">
        <v>15</v>
      </c>
      <c r="AE3928" s="38" t="s">
        <v>395</v>
      </c>
    </row>
    <row r="3929" spans="1:31" ht="18" customHeight="1" x14ac:dyDescent="0.25">
      <c r="A39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29" s="79">
        <v>4</v>
      </c>
      <c r="C3929" s="23">
        <v>44897</v>
      </c>
      <c r="D3929" s="67">
        <f>IF(COUNTIF($G$2:$G3929,$G3929)=1,1,0)</f>
        <v>0</v>
      </c>
      <c r="E3929" s="67" t="str">
        <f>IFERROR(VLOOKUP(База_КР_КК[[#This Row],[ИД штатной должности (S)]],'уровень защищенности'!$B$7:$F$1095,5,0),"не защищена")</f>
        <v>средний</v>
      </c>
      <c r="F3929" s="68">
        <v>500433</v>
      </c>
      <c r="G3929" s="74" t="s">
        <v>3142</v>
      </c>
      <c r="H3929" s="181">
        <f>INDEX('Списки данных'!$D$2:$D$1048576,MATCH(База_КР_КК[[#This Row],[Структурное подразделение]],'Списки данных'!$C$2:$C$1048576,0))</f>
        <v>63</v>
      </c>
      <c r="I3929" s="80" t="s">
        <v>175</v>
      </c>
      <c r="J3929" s="80" t="s">
        <v>261</v>
      </c>
      <c r="K3929" s="80" t="s">
        <v>21</v>
      </c>
      <c r="L3929" s="82" t="s">
        <v>192</v>
      </c>
      <c r="M3929" s="68">
        <v>6</v>
      </c>
      <c r="N3929" s="181" t="str">
        <f t="shared" si="62"/>
        <v>нет</v>
      </c>
      <c r="O3929" s="23"/>
      <c r="P3929" s="23"/>
      <c r="Q3929" s="106"/>
      <c r="R3929" s="37">
        <v>958</v>
      </c>
      <c r="S3929" s="39" t="s">
        <v>1367</v>
      </c>
      <c r="T3929" s="37">
        <v>2055</v>
      </c>
      <c r="U3929" s="38" t="s">
        <v>2040</v>
      </c>
      <c r="V3929" s="69" t="s">
        <v>272</v>
      </c>
      <c r="W3929" s="89" t="s">
        <v>175</v>
      </c>
      <c r="X3929" s="106" t="s">
        <v>296</v>
      </c>
      <c r="Y3929" s="107" t="s">
        <v>12</v>
      </c>
      <c r="Z3929" s="67">
        <f>IF(База_КР_КК[[#This Row],[Таб.номер резервиста]]="-","-",IF(OR(База_КР_КК[[#This Row],[Уровень КК]]=2,База_КР_КК[[#This Row],[Уровень КК]]=3),IF(COUNTIFS($U$2:$U3929,$U3929,$F$2:$F3929,$F3929)=1,1,0),IF(COUNTIFS($U$2:$U3929,$U3929,$L$2:$L3929,$L3929)=1,1,0)))</f>
        <v>1</v>
      </c>
      <c r="AA39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29" s="106"/>
      <c r="AC3929" s="51"/>
      <c r="AD3929" s="106" t="s">
        <v>15</v>
      </c>
      <c r="AE3929" s="38" t="s">
        <v>314</v>
      </c>
    </row>
    <row r="3930" spans="1:31" ht="18" customHeight="1" x14ac:dyDescent="0.25">
      <c r="A39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0" s="79">
        <v>3</v>
      </c>
      <c r="C3930" s="23">
        <v>43455</v>
      </c>
      <c r="D3930" s="67">
        <f>IF(COUNTIF($G$2:$G3930,$G3930)=1,1,0)</f>
        <v>1</v>
      </c>
      <c r="E3930" s="67" t="str">
        <f>IFERROR(VLOOKUP(База_КР_КК[[#This Row],[ИД штатной должности (S)]],'уровень защищенности'!$B$7:$F$1095,5,0),"не защищена")</f>
        <v>не защищена</v>
      </c>
      <c r="F3930" s="68">
        <v>500434</v>
      </c>
      <c r="G3930" s="74" t="s">
        <v>3143</v>
      </c>
      <c r="H3930" s="181">
        <f>INDEX('Списки данных'!$D$2:$D$1048576,MATCH(База_КР_КК[[#This Row],[Структурное подразделение]],'Списки данных'!$C$2:$C$1048576,0))</f>
        <v>50</v>
      </c>
      <c r="I3930" s="80" t="s">
        <v>159</v>
      </c>
      <c r="J3930" s="80" t="s">
        <v>255</v>
      </c>
      <c r="K3930" s="80" t="s">
        <v>21</v>
      </c>
      <c r="L3930" s="30" t="s">
        <v>187</v>
      </c>
      <c r="M3930" s="68">
        <v>5</v>
      </c>
      <c r="N3930" s="181" t="str">
        <f t="shared" si="62"/>
        <v>нет</v>
      </c>
      <c r="O3930" s="51"/>
      <c r="P3930" s="51"/>
      <c r="Q3930" s="106"/>
      <c r="R3930" s="37">
        <v>959</v>
      </c>
      <c r="S3930" s="39" t="s">
        <v>1368</v>
      </c>
      <c r="T3930" s="37">
        <v>1001</v>
      </c>
      <c r="U3930" s="38" t="s">
        <v>1410</v>
      </c>
      <c r="V3930" s="69" t="s">
        <v>192</v>
      </c>
      <c r="W3930" s="89" t="s">
        <v>168</v>
      </c>
      <c r="X3930" s="106" t="s">
        <v>295</v>
      </c>
      <c r="Y3930" s="107" t="s">
        <v>18</v>
      </c>
      <c r="Z3930" s="67">
        <f>IF(База_КР_КК[[#This Row],[Таб.номер резервиста]]="-","-",IF(OR(База_КР_КК[[#This Row],[Уровень КК]]=2,База_КР_КК[[#This Row],[Уровень КК]]=3),IF(COUNTIFS($U$2:$U3930,$U3930,$F$2:$F3930,$F3930)=1,1,0),IF(COUNTIFS($U$2:$U3930,$U3930,$L$2:$L3930,$L3930)=1,1,0)))</f>
        <v>1</v>
      </c>
      <c r="AA39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0" s="106" t="s">
        <v>37</v>
      </c>
      <c r="AC3930" s="51">
        <v>43739</v>
      </c>
      <c r="AD3930" s="106" t="s">
        <v>15</v>
      </c>
      <c r="AE3930" s="38" t="s">
        <v>392</v>
      </c>
    </row>
    <row r="3931" spans="1:31" ht="18" customHeight="1" x14ac:dyDescent="0.25">
      <c r="A39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1" s="79">
        <v>3</v>
      </c>
      <c r="C3931" s="23">
        <v>43455</v>
      </c>
      <c r="D3931" s="67">
        <f>IF(COUNTIF($G$2:$G3931,$G3931)=1,1,0)</f>
        <v>0</v>
      </c>
      <c r="E3931" s="67" t="str">
        <f>IFERROR(VLOOKUP(База_КР_КК[[#This Row],[ИД штатной должности (S)]],'уровень защищенности'!$B$7:$F$1095,5,0),"не защищена")</f>
        <v>не защищена</v>
      </c>
      <c r="F3931" s="68">
        <v>500434</v>
      </c>
      <c r="G3931" s="74" t="s">
        <v>3143</v>
      </c>
      <c r="H3931" s="181">
        <f>INDEX('Списки данных'!$D$2:$D$1048576,MATCH(База_КР_КК[[#This Row],[Структурное подразделение]],'Списки данных'!$C$2:$C$1048576,0))</f>
        <v>50</v>
      </c>
      <c r="I3931" s="80" t="s">
        <v>159</v>
      </c>
      <c r="J3931" s="80" t="s">
        <v>255</v>
      </c>
      <c r="K3931" s="80" t="s">
        <v>21</v>
      </c>
      <c r="L3931" s="30" t="s">
        <v>187</v>
      </c>
      <c r="M3931" s="68">
        <v>5</v>
      </c>
      <c r="N3931" s="181" t="str">
        <f t="shared" si="62"/>
        <v>нет</v>
      </c>
      <c r="O3931" s="51"/>
      <c r="P3931" s="51"/>
      <c r="Q3931" s="106"/>
      <c r="R3931" s="37">
        <v>959</v>
      </c>
      <c r="S3931" s="39" t="s">
        <v>1368</v>
      </c>
      <c r="T3931" s="37">
        <v>2056</v>
      </c>
      <c r="U3931" s="38" t="s">
        <v>2001</v>
      </c>
      <c r="V3931" s="69" t="s">
        <v>198</v>
      </c>
      <c r="W3931" s="22" t="s">
        <v>159</v>
      </c>
      <c r="X3931" s="106" t="s">
        <v>297</v>
      </c>
      <c r="Y3931" s="107" t="s">
        <v>18</v>
      </c>
      <c r="Z3931" s="67">
        <f>IF(База_КР_КК[[#This Row],[Таб.номер резервиста]]="-","-",IF(OR(База_КР_КК[[#This Row],[Уровень КК]]=2,База_КР_КК[[#This Row],[Уровень КК]]=3),IF(COUNTIFS($U$2:$U3931,$U3931,$F$2:$F3931,$F3931)=1,1,0),IF(COUNTIFS($U$2:$U3931,$U3931,$L$2:$L3931,$L3931)=1,1,0)))</f>
        <v>1</v>
      </c>
      <c r="AA39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1" s="106" t="s">
        <v>19</v>
      </c>
      <c r="AC3931" s="51">
        <v>43983</v>
      </c>
      <c r="AD3931" s="106" t="s">
        <v>15</v>
      </c>
      <c r="AE3931" s="38" t="s">
        <v>392</v>
      </c>
    </row>
    <row r="3932" spans="1:31" ht="18" customHeight="1" x14ac:dyDescent="0.25">
      <c r="A39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2" s="79">
        <v>3</v>
      </c>
      <c r="C3932" s="23">
        <v>44747</v>
      </c>
      <c r="D3932" s="67">
        <f>IF(COUNTIF($G$2:$G3932,$G3932)=1,1,0)</f>
        <v>1</v>
      </c>
      <c r="E3932" s="67" t="str">
        <f>IFERROR(VLOOKUP(База_КР_КК[[#This Row],[ИД штатной должности (S)]],'уровень защищенности'!$B$7:$F$1095,5,0),"не защищена")</f>
        <v>средний</v>
      </c>
      <c r="F3932" s="68">
        <v>500435</v>
      </c>
      <c r="G3932" s="74" t="s">
        <v>3144</v>
      </c>
      <c r="H3932" s="181">
        <f>INDEX('Списки данных'!$D$2:$D$1048576,MATCH(База_КР_КК[[#This Row],[Структурное подразделение]],'Списки данных'!$C$2:$C$1048576,0))</f>
        <v>50</v>
      </c>
      <c r="I3932" s="80" t="s">
        <v>159</v>
      </c>
      <c r="J3932" s="80" t="s">
        <v>255</v>
      </c>
      <c r="K3932" s="80" t="s">
        <v>21</v>
      </c>
      <c r="L3932" s="30" t="s">
        <v>186</v>
      </c>
      <c r="M3932" s="68">
        <v>5</v>
      </c>
      <c r="N3932" s="181" t="str">
        <f t="shared" si="62"/>
        <v>нет</v>
      </c>
      <c r="O3932" s="23"/>
      <c r="P3932" s="23"/>
      <c r="Q3932" s="106"/>
      <c r="R3932" s="37">
        <v>960</v>
      </c>
      <c r="S3932" s="39" t="s">
        <v>1369</v>
      </c>
      <c r="T3932" s="37">
        <v>973</v>
      </c>
      <c r="U3932" s="38" t="s">
        <v>1382</v>
      </c>
      <c r="V3932" s="69" t="s">
        <v>198</v>
      </c>
      <c r="W3932" s="89" t="s">
        <v>159</v>
      </c>
      <c r="X3932" s="106" t="s">
        <v>297</v>
      </c>
      <c r="Y3932" s="107" t="s">
        <v>12</v>
      </c>
      <c r="Z3932" s="67">
        <f>IF(База_КР_КК[[#This Row],[Таб.номер резервиста]]="-","-",IF(OR(База_КР_КК[[#This Row],[Уровень КК]]=2,База_КР_КК[[#This Row],[Уровень КК]]=3),IF(COUNTIFS($U$2:$U3932,$U3932,$F$2:$F3932,$F3932)=1,1,0),IF(COUNTIFS($U$2:$U3932,$U3932,$L$2:$L3932,$L3932)=1,1,0)))</f>
        <v>1</v>
      </c>
      <c r="AA39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2" s="106"/>
      <c r="AC3932" s="51"/>
      <c r="AD3932" s="106" t="s">
        <v>15</v>
      </c>
      <c r="AE3932" s="38" t="s">
        <v>389</v>
      </c>
    </row>
    <row r="3933" spans="1:31" ht="18" customHeight="1" x14ac:dyDescent="0.25">
      <c r="A39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3" s="79">
        <v>3</v>
      </c>
      <c r="C3933" s="23">
        <v>43455</v>
      </c>
      <c r="D3933" s="67">
        <f>IF(COUNTIF($G$2:$G3933,$G3933)=1,1,0)</f>
        <v>0</v>
      </c>
      <c r="E3933" s="67" t="str">
        <f>IFERROR(VLOOKUP(База_КР_КК[[#This Row],[ИД штатной должности (S)]],'уровень защищенности'!$B$7:$F$1095,5,0),"не защищена")</f>
        <v>средний</v>
      </c>
      <c r="F3933" s="68">
        <v>500435</v>
      </c>
      <c r="G3933" s="74" t="s">
        <v>3144</v>
      </c>
      <c r="H3933" s="181">
        <f>INDEX('Списки данных'!$D$2:$D$1048576,MATCH(База_КР_КК[[#This Row],[Структурное подразделение]],'Списки данных'!$C$2:$C$1048576,0))</f>
        <v>50</v>
      </c>
      <c r="I3933" s="80" t="s">
        <v>159</v>
      </c>
      <c r="J3933" s="80" t="s">
        <v>255</v>
      </c>
      <c r="K3933" s="80" t="s">
        <v>21</v>
      </c>
      <c r="L3933" s="30" t="s">
        <v>186</v>
      </c>
      <c r="M3933" s="68">
        <v>5</v>
      </c>
      <c r="N3933" s="181" t="str">
        <f t="shared" si="62"/>
        <v>нет</v>
      </c>
      <c r="O3933" s="23"/>
      <c r="P3933" s="23"/>
      <c r="Q3933" s="106"/>
      <c r="R3933" s="37">
        <v>960</v>
      </c>
      <c r="S3933" s="39" t="s">
        <v>1369</v>
      </c>
      <c r="T3933" s="37">
        <v>2057</v>
      </c>
      <c r="U3933" s="38" t="s">
        <v>1759</v>
      </c>
      <c r="V3933" s="69" t="s">
        <v>192</v>
      </c>
      <c r="W3933" s="89" t="s">
        <v>130</v>
      </c>
      <c r="X3933" s="106" t="s">
        <v>297</v>
      </c>
      <c r="Y3933" s="107" t="s">
        <v>18</v>
      </c>
      <c r="Z3933" s="67">
        <f>IF(База_КР_КК[[#This Row],[Таб.номер резервиста]]="-","-",IF(OR(База_КР_КК[[#This Row],[Уровень КК]]=2,База_КР_КК[[#This Row],[Уровень КК]]=3),IF(COUNTIFS($U$2:$U3933,$U3933,$F$2:$F3933,$F3933)=1,1,0),IF(COUNTIFS($U$2:$U3933,$U3933,$L$2:$L3933,$L3933)=1,1,0)))</f>
        <v>1</v>
      </c>
      <c r="AA39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3" s="106" t="s">
        <v>33</v>
      </c>
      <c r="AC3933" s="51">
        <v>44747</v>
      </c>
      <c r="AD3933" s="106" t="s">
        <v>31</v>
      </c>
      <c r="AE3933" s="38" t="s">
        <v>389</v>
      </c>
    </row>
    <row r="3934" spans="1:31" ht="18" customHeight="1" x14ac:dyDescent="0.25">
      <c r="A39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4" s="79">
        <v>4</v>
      </c>
      <c r="C3934" s="23">
        <v>44190</v>
      </c>
      <c r="D3934" s="67">
        <f>IF(COUNTIF($G$2:$G3934,$G3934)=1,1,0)</f>
        <v>1</v>
      </c>
      <c r="E3934" s="67" t="str">
        <f>IFERROR(VLOOKUP(База_КР_КК[[#This Row],[ИД штатной должности (S)]],'уровень защищенности'!$B$7:$F$1095,5,0),"не защищена")</f>
        <v>высокий</v>
      </c>
      <c r="F3934" s="68">
        <v>500436</v>
      </c>
      <c r="G3934" s="74" t="s">
        <v>3145</v>
      </c>
      <c r="H3934" s="181">
        <f>INDEX('Списки данных'!$D$2:$D$1048576,MATCH(База_КР_КК[[#This Row],[Структурное подразделение]],'Списки данных'!$C$2:$C$1048576,0))</f>
        <v>50</v>
      </c>
      <c r="I3934" s="80" t="s">
        <v>159</v>
      </c>
      <c r="J3934" s="80" t="s">
        <v>255</v>
      </c>
      <c r="K3934" s="80" t="s">
        <v>263</v>
      </c>
      <c r="L3934" s="30" t="s">
        <v>198</v>
      </c>
      <c r="M3934" s="68">
        <v>6</v>
      </c>
      <c r="N3934" s="181" t="str">
        <f t="shared" si="62"/>
        <v>нет</v>
      </c>
      <c r="O3934" s="23"/>
      <c r="P3934" s="23"/>
      <c r="Q3934" s="106"/>
      <c r="R3934" s="37">
        <v>961</v>
      </c>
      <c r="S3934" s="39" t="s">
        <v>1370</v>
      </c>
      <c r="T3934" s="37">
        <v>966</v>
      </c>
      <c r="U3934" s="37" t="s">
        <v>1375</v>
      </c>
      <c r="V3934" s="89" t="s">
        <v>192</v>
      </c>
      <c r="W3934" s="89" t="s">
        <v>159</v>
      </c>
      <c r="X3934" s="106" t="s">
        <v>295</v>
      </c>
      <c r="Y3934" s="107" t="s">
        <v>12</v>
      </c>
      <c r="Z3934" s="67">
        <f>IF(База_КР_КК[[#This Row],[Таб.номер резервиста]]="-","-",IF(OR(База_КР_КК[[#This Row],[Уровень КК]]=2,База_КР_КК[[#This Row],[Уровень КК]]=3),IF(COUNTIFS($U$2:$U3934,$U3934,$F$2:$F3934,$F3934)=1,1,0),IF(COUNTIFS($U$2:$U3934,$U3934,$L$2:$L3934,$L3934)=1,1,0)))</f>
        <v>1</v>
      </c>
      <c r="AA39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4" s="106"/>
      <c r="AC3934" s="51"/>
      <c r="AD3934" s="106" t="s">
        <v>13</v>
      </c>
      <c r="AE3934" s="38" t="s">
        <v>356</v>
      </c>
    </row>
    <row r="3935" spans="1:31" ht="18" customHeight="1" x14ac:dyDescent="0.25">
      <c r="A39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5" s="79">
        <v>4</v>
      </c>
      <c r="C3935" s="23">
        <v>44190</v>
      </c>
      <c r="D3935" s="67">
        <f>IF(COUNTIF($G$2:$G3935,$G3935)=1,1,0)</f>
        <v>1</v>
      </c>
      <c r="E3935" s="67" t="str">
        <f>IFERROR(VLOOKUP(База_КР_КК[[#This Row],[ИД штатной должности (S)]],'уровень защищенности'!$B$7:$F$1095,5,0),"не защищена")</f>
        <v>средний</v>
      </c>
      <c r="F3935" s="68">
        <v>500437</v>
      </c>
      <c r="G3935" s="74" t="s">
        <v>3146</v>
      </c>
      <c r="H3935" s="181">
        <f>INDEX('Списки данных'!$D$2:$D$1048576,MATCH(База_КР_КК[[#This Row],[Структурное подразделение]],'Списки данных'!$C$2:$C$1048576,0))</f>
        <v>50</v>
      </c>
      <c r="I3935" s="80" t="s">
        <v>159</v>
      </c>
      <c r="J3935" s="80" t="s">
        <v>255</v>
      </c>
      <c r="K3935" s="80" t="s">
        <v>263</v>
      </c>
      <c r="L3935" s="30" t="s">
        <v>194</v>
      </c>
      <c r="M3935" s="68">
        <v>6</v>
      </c>
      <c r="N3935" s="181" t="str">
        <f t="shared" si="62"/>
        <v>нет</v>
      </c>
      <c r="O3935" s="23"/>
      <c r="P3935" s="23"/>
      <c r="Q3935" s="106"/>
      <c r="R3935" s="37">
        <v>962</v>
      </c>
      <c r="S3935" s="39" t="s">
        <v>1371</v>
      </c>
      <c r="T3935" s="37">
        <v>969</v>
      </c>
      <c r="U3935" s="37" t="s">
        <v>1378</v>
      </c>
      <c r="V3935" s="89" t="s">
        <v>192</v>
      </c>
      <c r="W3935" s="89" t="s">
        <v>159</v>
      </c>
      <c r="X3935" s="106" t="s">
        <v>297</v>
      </c>
      <c r="Y3935" s="107" t="s">
        <v>12</v>
      </c>
      <c r="Z3935" s="67">
        <f>IF(База_КР_КК[[#This Row],[Таб.номер резервиста]]="-","-",IF(OR(База_КР_КК[[#This Row],[Уровень КК]]=2,База_КР_КК[[#This Row],[Уровень КК]]=3),IF(COUNTIFS($U$2:$U3935,$U3935,$F$2:$F3935,$F3935)=1,1,0),IF(COUNTIFS($U$2:$U3935,$U3935,$L$2:$L3935,$L3935)=1,1,0)))</f>
        <v>1</v>
      </c>
      <c r="AA39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5" s="106"/>
      <c r="AC3935" s="51"/>
      <c r="AD3935" s="106" t="s">
        <v>13</v>
      </c>
      <c r="AE3935" s="38" t="s">
        <v>356</v>
      </c>
    </row>
    <row r="3936" spans="1:31" ht="18" customHeight="1" x14ac:dyDescent="0.25">
      <c r="A39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6" s="79">
        <v>4</v>
      </c>
      <c r="C3936" s="23">
        <v>44190</v>
      </c>
      <c r="D3936" s="67">
        <f>IF(COUNTIF($G$2:$G3936,$G3936)=1,1,0)</f>
        <v>0</v>
      </c>
      <c r="E3936" s="67" t="str">
        <f>IFERROR(VLOOKUP(База_КР_КК[[#This Row],[ИД штатной должности (S)]],'уровень защищенности'!$B$7:$F$1095,5,0),"не защищена")</f>
        <v>средний</v>
      </c>
      <c r="F3936" s="68">
        <v>500437</v>
      </c>
      <c r="G3936" s="74" t="s">
        <v>3146</v>
      </c>
      <c r="H3936" s="181">
        <f>INDEX('Списки данных'!$D$2:$D$1048576,MATCH(База_КР_КК[[#This Row],[Структурное подразделение]],'Списки данных'!$C$2:$C$1048576,0))</f>
        <v>50</v>
      </c>
      <c r="I3936" s="80" t="s">
        <v>159</v>
      </c>
      <c r="J3936" s="80" t="s">
        <v>255</v>
      </c>
      <c r="K3936" s="80" t="s">
        <v>263</v>
      </c>
      <c r="L3936" s="30" t="s">
        <v>194</v>
      </c>
      <c r="M3936" s="68">
        <v>6</v>
      </c>
      <c r="N3936" s="181" t="str">
        <f t="shared" si="62"/>
        <v>нет</v>
      </c>
      <c r="O3936" s="23"/>
      <c r="P3936" s="23"/>
      <c r="Q3936" s="106"/>
      <c r="R3936" s="37">
        <v>962</v>
      </c>
      <c r="S3936" s="39" t="s">
        <v>1371</v>
      </c>
      <c r="T3936" s="37">
        <v>963</v>
      </c>
      <c r="U3936" s="37" t="s">
        <v>1372</v>
      </c>
      <c r="V3936" s="69" t="s">
        <v>194</v>
      </c>
      <c r="W3936" s="89" t="s">
        <v>159</v>
      </c>
      <c r="X3936" s="106" t="s">
        <v>295</v>
      </c>
      <c r="Y3936" s="107" t="s">
        <v>14</v>
      </c>
      <c r="Z3936" s="67">
        <f>IF(База_КР_КК[[#This Row],[Таб.номер резервиста]]="-","-",IF(OR(База_КР_КК[[#This Row],[Уровень КК]]=2,База_КР_КК[[#This Row],[Уровень КК]]=3),IF(COUNTIFS($U$2:$U3936,$U3936,$F$2:$F3936,$F3936)=1,1,0),IF(COUNTIFS($U$2:$U3936,$U3936,$L$2:$L3936,$L3936)=1,1,0)))</f>
        <v>1</v>
      </c>
      <c r="AA39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6" s="106" t="s">
        <v>24</v>
      </c>
      <c r="AC3936" s="51">
        <v>44669</v>
      </c>
      <c r="AD3936" s="106" t="s">
        <v>15</v>
      </c>
      <c r="AE3936" s="38" t="s">
        <v>396</v>
      </c>
    </row>
    <row r="3937" spans="1:31" ht="18" customHeight="1" x14ac:dyDescent="0.25">
      <c r="A39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7" s="79">
        <v>4</v>
      </c>
      <c r="C3937" s="23">
        <v>44190</v>
      </c>
      <c r="D3937" s="67">
        <f>IF(COUNTIF($G$2:$G3937,$G3937)=1,1,0)</f>
        <v>1</v>
      </c>
      <c r="E3937" s="67" t="str">
        <f>IFERROR(VLOOKUP(База_КР_КК[[#This Row],[ИД штатной должности (S)]],'уровень защищенности'!$B$7:$F$1095,5,0),"не защищена")</f>
        <v>средний</v>
      </c>
      <c r="F3937" s="68">
        <v>500437</v>
      </c>
      <c r="G3937" s="74" t="s">
        <v>3147</v>
      </c>
      <c r="H3937" s="181">
        <f>INDEX('Списки данных'!$D$2:$D$1048576,MATCH(База_КР_КК[[#This Row],[Структурное подразделение]],'Списки данных'!$C$2:$C$1048576,0))</f>
        <v>50</v>
      </c>
      <c r="I3937" s="80" t="s">
        <v>159</v>
      </c>
      <c r="J3937" s="80" t="s">
        <v>255</v>
      </c>
      <c r="K3937" s="80" t="s">
        <v>263</v>
      </c>
      <c r="L3937" s="30" t="s">
        <v>194</v>
      </c>
      <c r="M3937" s="68">
        <v>6</v>
      </c>
      <c r="N3937" s="181" t="str">
        <f t="shared" si="62"/>
        <v>да</v>
      </c>
      <c r="O3937" s="23">
        <v>44607</v>
      </c>
      <c r="P3937" s="23">
        <v>44669</v>
      </c>
      <c r="Q3937" s="106" t="s">
        <v>66</v>
      </c>
      <c r="R3937" s="37">
        <v>963</v>
      </c>
      <c r="S3937" s="39" t="s">
        <v>1372</v>
      </c>
      <c r="T3937" s="37">
        <v>969</v>
      </c>
      <c r="U3937" s="37" t="s">
        <v>1378</v>
      </c>
      <c r="V3937" s="89" t="s">
        <v>192</v>
      </c>
      <c r="W3937" s="89" t="s">
        <v>159</v>
      </c>
      <c r="X3937" s="106" t="s">
        <v>297</v>
      </c>
      <c r="Y3937" s="107" t="s">
        <v>12</v>
      </c>
      <c r="Z3937" s="67">
        <f>IF(База_КР_КК[[#This Row],[Таб.номер резервиста]]="-","-",IF(OR(База_КР_КК[[#This Row],[Уровень КК]]=2,База_КР_КК[[#This Row],[Уровень КК]]=3),IF(COUNTIFS($U$2:$U3937,$U3937,$F$2:$F3937,$F3937)=1,1,0),IF(COUNTIFS($U$2:$U3937,$U3937,$L$2:$L3937,$L3937)=1,1,0)))</f>
        <v>0</v>
      </c>
      <c r="AA39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7" s="106"/>
      <c r="AC3937" s="51"/>
      <c r="AD3937" s="106" t="s">
        <v>13</v>
      </c>
      <c r="AE3937" s="38" t="s">
        <v>356</v>
      </c>
    </row>
    <row r="3938" spans="1:31" ht="18" customHeight="1" x14ac:dyDescent="0.25">
      <c r="A39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8" s="79">
        <v>4</v>
      </c>
      <c r="C3938" s="23">
        <v>44190</v>
      </c>
      <c r="D3938" s="67">
        <f>IF(COUNTIF($G$2:$G3938,$G3938)=1,1,0)</f>
        <v>0</v>
      </c>
      <c r="E3938" s="67" t="str">
        <f>IFERROR(VLOOKUP(База_КР_КК[[#This Row],[ИД штатной должности (S)]],'уровень защищенности'!$B$7:$F$1095,5,0),"не защищена")</f>
        <v>средний</v>
      </c>
      <c r="F3938" s="68">
        <v>500437</v>
      </c>
      <c r="G3938" s="74" t="s">
        <v>3147</v>
      </c>
      <c r="H3938" s="181">
        <f>INDEX('Списки данных'!$D$2:$D$1048576,MATCH(База_КР_КК[[#This Row],[Структурное подразделение]],'Списки данных'!$C$2:$C$1048576,0))</f>
        <v>50</v>
      </c>
      <c r="I3938" s="80" t="s">
        <v>159</v>
      </c>
      <c r="J3938" s="80" t="s">
        <v>255</v>
      </c>
      <c r="K3938" s="80" t="s">
        <v>263</v>
      </c>
      <c r="L3938" s="30" t="s">
        <v>194</v>
      </c>
      <c r="M3938" s="68">
        <v>6</v>
      </c>
      <c r="N3938" s="181" t="str">
        <f t="shared" si="62"/>
        <v>да</v>
      </c>
      <c r="O3938" s="23">
        <v>44607</v>
      </c>
      <c r="P3938" s="23">
        <v>44669</v>
      </c>
      <c r="Q3938" s="106" t="s">
        <v>66</v>
      </c>
      <c r="R3938" s="37">
        <v>963</v>
      </c>
      <c r="S3938" s="39" t="s">
        <v>1372</v>
      </c>
      <c r="T3938" s="37">
        <v>963</v>
      </c>
      <c r="U3938" s="37" t="s">
        <v>1372</v>
      </c>
      <c r="V3938" s="69" t="s">
        <v>194</v>
      </c>
      <c r="W3938" s="89" t="s">
        <v>159</v>
      </c>
      <c r="X3938" s="106" t="s">
        <v>295</v>
      </c>
      <c r="Y3938" s="107" t="s">
        <v>14</v>
      </c>
      <c r="Z3938" s="67">
        <f>IF(База_КР_КК[[#This Row],[Таб.номер резервиста]]="-","-",IF(OR(База_КР_КК[[#This Row],[Уровень КК]]=2,База_КР_КК[[#This Row],[Уровень КК]]=3),IF(COUNTIFS($U$2:$U3938,$U3938,$F$2:$F3938,$F3938)=1,1,0),IF(COUNTIFS($U$2:$U3938,$U3938,$L$2:$L3938,$L3938)=1,1,0)))</f>
        <v>0</v>
      </c>
      <c r="AA39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938" s="106" t="s">
        <v>24</v>
      </c>
      <c r="AC3938" s="51">
        <v>44669</v>
      </c>
      <c r="AD3938" s="106" t="s">
        <v>15</v>
      </c>
      <c r="AE3938" s="38" t="s">
        <v>396</v>
      </c>
    </row>
    <row r="3939" spans="1:31" ht="18" customHeight="1" x14ac:dyDescent="0.25">
      <c r="A39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39" s="79">
        <v>4</v>
      </c>
      <c r="C3939" s="23">
        <v>44190</v>
      </c>
      <c r="D3939" s="67">
        <f>IF(COUNTIF($G$2:$G3939,$G3939)=1,1,0)</f>
        <v>1</v>
      </c>
      <c r="E3939" s="67" t="str">
        <f>IFERROR(VLOOKUP(База_КР_КК[[#This Row],[ИД штатной должности (S)]],'уровень защищенности'!$B$7:$F$1095,5,0),"не защищена")</f>
        <v>средний</v>
      </c>
      <c r="F3939" s="68">
        <v>500437</v>
      </c>
      <c r="G3939" s="74" t="s">
        <v>3148</v>
      </c>
      <c r="H3939" s="181">
        <f>INDEX('Списки данных'!$D$2:$D$1048576,MATCH(База_КР_КК[[#This Row],[Структурное подразделение]],'Списки данных'!$C$2:$C$1048576,0))</f>
        <v>50</v>
      </c>
      <c r="I3939" s="80" t="s">
        <v>159</v>
      </c>
      <c r="J3939" s="80" t="s">
        <v>255</v>
      </c>
      <c r="K3939" s="80" t="s">
        <v>263</v>
      </c>
      <c r="L3939" s="30" t="s">
        <v>194</v>
      </c>
      <c r="M3939" s="68">
        <v>6</v>
      </c>
      <c r="N3939" s="181" t="str">
        <f t="shared" si="62"/>
        <v>нет</v>
      </c>
      <c r="O3939" s="23"/>
      <c r="P3939" s="23"/>
      <c r="Q3939" s="106"/>
      <c r="R3939" s="37">
        <v>964</v>
      </c>
      <c r="S3939" s="39" t="s">
        <v>1373</v>
      </c>
      <c r="T3939" s="37">
        <v>969</v>
      </c>
      <c r="U3939" s="37" t="s">
        <v>1378</v>
      </c>
      <c r="V3939" s="89" t="s">
        <v>192</v>
      </c>
      <c r="W3939" s="89" t="s">
        <v>159</v>
      </c>
      <c r="X3939" s="106" t="s">
        <v>297</v>
      </c>
      <c r="Y3939" s="107" t="s">
        <v>12</v>
      </c>
      <c r="Z3939" s="67">
        <f>IF(База_КР_КК[[#This Row],[Таб.номер резервиста]]="-","-",IF(OR(База_КР_КК[[#This Row],[Уровень КК]]=2,База_КР_КК[[#This Row],[Уровень КК]]=3),IF(COUNTIFS($U$2:$U3939,$U3939,$F$2:$F3939,$F3939)=1,1,0),IF(COUNTIFS($U$2:$U3939,$U3939,$L$2:$L3939,$L3939)=1,1,0)))</f>
        <v>0</v>
      </c>
      <c r="AA39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39" s="106"/>
      <c r="AC3939" s="51"/>
      <c r="AD3939" s="106" t="s">
        <v>13</v>
      </c>
      <c r="AE3939" s="38" t="s">
        <v>356</v>
      </c>
    </row>
    <row r="3940" spans="1:31" ht="18" customHeight="1" x14ac:dyDescent="0.25">
      <c r="A39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0" s="79">
        <v>4</v>
      </c>
      <c r="C3940" s="23">
        <v>44190</v>
      </c>
      <c r="D3940" s="67">
        <f>IF(COUNTIF($G$2:$G3940,$G3940)=1,1,0)</f>
        <v>0</v>
      </c>
      <c r="E3940" s="67" t="str">
        <f>IFERROR(VLOOKUP(База_КР_КК[[#This Row],[ИД штатной должности (S)]],'уровень защищенности'!$B$7:$F$1095,5,0),"не защищена")</f>
        <v>средний</v>
      </c>
      <c r="F3940" s="68">
        <v>500437</v>
      </c>
      <c r="G3940" s="74" t="s">
        <v>3148</v>
      </c>
      <c r="H3940" s="181">
        <f>INDEX('Списки данных'!$D$2:$D$1048576,MATCH(База_КР_КК[[#This Row],[Структурное подразделение]],'Списки данных'!$C$2:$C$1048576,0))</f>
        <v>50</v>
      </c>
      <c r="I3940" s="80" t="s">
        <v>159</v>
      </c>
      <c r="J3940" s="80" t="s">
        <v>255</v>
      </c>
      <c r="K3940" s="80" t="s">
        <v>263</v>
      </c>
      <c r="L3940" s="30" t="s">
        <v>194</v>
      </c>
      <c r="M3940" s="68">
        <v>6</v>
      </c>
      <c r="N3940" s="181" t="str">
        <f t="shared" si="62"/>
        <v>нет</v>
      </c>
      <c r="O3940" s="23"/>
      <c r="P3940" s="23"/>
      <c r="Q3940" s="106"/>
      <c r="R3940" s="37">
        <v>964</v>
      </c>
      <c r="S3940" s="39" t="s">
        <v>1373</v>
      </c>
      <c r="T3940" s="37">
        <v>963</v>
      </c>
      <c r="U3940" s="37" t="s">
        <v>1372</v>
      </c>
      <c r="V3940" s="69" t="s">
        <v>194</v>
      </c>
      <c r="W3940" s="89" t="s">
        <v>159</v>
      </c>
      <c r="X3940" s="106" t="s">
        <v>295</v>
      </c>
      <c r="Y3940" s="107" t="s">
        <v>14</v>
      </c>
      <c r="Z3940" s="67">
        <f>IF(База_КР_КК[[#This Row],[Таб.номер резервиста]]="-","-",IF(OR(База_КР_КК[[#This Row],[Уровень КК]]=2,База_КР_КК[[#This Row],[Уровень КК]]=3),IF(COUNTIFS($U$2:$U3940,$U3940,$F$2:$F3940,$F3940)=1,1,0),IF(COUNTIFS($U$2:$U3940,$U3940,$L$2:$L3940,$L3940)=1,1,0)))</f>
        <v>0</v>
      </c>
      <c r="AA39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0" s="106" t="s">
        <v>24</v>
      </c>
      <c r="AC3940" s="51">
        <v>44669</v>
      </c>
      <c r="AD3940" s="106" t="s">
        <v>15</v>
      </c>
      <c r="AE3940" s="38" t="s">
        <v>396</v>
      </c>
    </row>
    <row r="3941" spans="1:31" ht="18" customHeight="1" x14ac:dyDescent="0.25">
      <c r="A39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1" s="79">
        <v>4</v>
      </c>
      <c r="C3941" s="23">
        <v>44190</v>
      </c>
      <c r="D3941" s="67">
        <f>IF(COUNTIF($G$2:$G3941,$G3941)=1,1,0)</f>
        <v>1</v>
      </c>
      <c r="E3941" s="67" t="str">
        <f>IFERROR(VLOOKUP(База_КР_КК[[#This Row],[ИД штатной должности (S)]],'уровень защищенности'!$B$7:$F$1095,5,0),"не защищена")</f>
        <v>средний</v>
      </c>
      <c r="F3941" s="68">
        <v>500437</v>
      </c>
      <c r="G3941" s="74" t="s">
        <v>3149</v>
      </c>
      <c r="H3941" s="181">
        <f>INDEX('Списки данных'!$D$2:$D$1048576,MATCH(База_КР_КК[[#This Row],[Структурное подразделение]],'Списки данных'!$C$2:$C$1048576,0))</f>
        <v>50</v>
      </c>
      <c r="I3941" s="80" t="s">
        <v>159</v>
      </c>
      <c r="J3941" s="80" t="s">
        <v>255</v>
      </c>
      <c r="K3941" s="80" t="s">
        <v>263</v>
      </c>
      <c r="L3941" s="30" t="s">
        <v>194</v>
      </c>
      <c r="M3941" s="68">
        <v>6</v>
      </c>
      <c r="N3941" s="181" t="str">
        <f t="shared" si="62"/>
        <v>нет</v>
      </c>
      <c r="O3941" s="23"/>
      <c r="P3941" s="23"/>
      <c r="Q3941" s="106"/>
      <c r="R3941" s="37">
        <v>965</v>
      </c>
      <c r="S3941" s="39" t="s">
        <v>1374</v>
      </c>
      <c r="T3941" s="37">
        <v>969</v>
      </c>
      <c r="U3941" s="37" t="s">
        <v>1378</v>
      </c>
      <c r="V3941" s="89" t="s">
        <v>192</v>
      </c>
      <c r="W3941" s="89" t="s">
        <v>159</v>
      </c>
      <c r="X3941" s="106" t="s">
        <v>297</v>
      </c>
      <c r="Y3941" s="107" t="s">
        <v>12</v>
      </c>
      <c r="Z3941" s="67">
        <f>IF(База_КР_КК[[#This Row],[Таб.номер резервиста]]="-","-",IF(OR(База_КР_КК[[#This Row],[Уровень КК]]=2,База_КР_КК[[#This Row],[Уровень КК]]=3),IF(COUNTIFS($U$2:$U3941,$U3941,$F$2:$F3941,$F3941)=1,1,0),IF(COUNTIFS($U$2:$U3941,$U3941,$L$2:$L3941,$L3941)=1,1,0)))</f>
        <v>0</v>
      </c>
      <c r="AA39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1" s="106"/>
      <c r="AC3941" s="51"/>
      <c r="AD3941" s="106" t="s">
        <v>13</v>
      </c>
      <c r="AE3941" s="38" t="s">
        <v>356</v>
      </c>
    </row>
    <row r="3942" spans="1:31" ht="18" customHeight="1" x14ac:dyDescent="0.25">
      <c r="A39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2" s="79">
        <v>4</v>
      </c>
      <c r="C3942" s="23">
        <v>44190</v>
      </c>
      <c r="D3942" s="67">
        <f>IF(COUNTIF($G$2:$G3942,$G3942)=1,1,0)</f>
        <v>0</v>
      </c>
      <c r="E3942" s="67" t="str">
        <f>IFERROR(VLOOKUP(База_КР_КК[[#This Row],[ИД штатной должности (S)]],'уровень защищенности'!$B$7:$F$1095,5,0),"не защищена")</f>
        <v>средний</v>
      </c>
      <c r="F3942" s="68">
        <v>500437</v>
      </c>
      <c r="G3942" s="74" t="s">
        <v>3149</v>
      </c>
      <c r="H3942" s="181">
        <f>INDEX('Списки данных'!$D$2:$D$1048576,MATCH(База_КР_КК[[#This Row],[Структурное подразделение]],'Списки данных'!$C$2:$C$1048576,0))</f>
        <v>50</v>
      </c>
      <c r="I3942" s="80" t="s">
        <v>159</v>
      </c>
      <c r="J3942" s="80" t="s">
        <v>255</v>
      </c>
      <c r="K3942" s="80" t="s">
        <v>263</v>
      </c>
      <c r="L3942" s="30" t="s">
        <v>194</v>
      </c>
      <c r="M3942" s="68">
        <v>6</v>
      </c>
      <c r="N3942" s="181" t="str">
        <f t="shared" si="62"/>
        <v>нет</v>
      </c>
      <c r="O3942" s="23"/>
      <c r="P3942" s="23"/>
      <c r="Q3942" s="106"/>
      <c r="R3942" s="37">
        <v>965</v>
      </c>
      <c r="S3942" s="39" t="s">
        <v>1374</v>
      </c>
      <c r="T3942" s="37">
        <v>963</v>
      </c>
      <c r="U3942" s="37" t="s">
        <v>1372</v>
      </c>
      <c r="V3942" s="69" t="s">
        <v>194</v>
      </c>
      <c r="W3942" s="89" t="s">
        <v>159</v>
      </c>
      <c r="X3942" s="106" t="s">
        <v>295</v>
      </c>
      <c r="Y3942" s="107" t="s">
        <v>14</v>
      </c>
      <c r="Z3942" s="67">
        <f>IF(База_КР_КК[[#This Row],[Таб.номер резервиста]]="-","-",IF(OR(База_КР_КК[[#This Row],[Уровень КК]]=2,База_КР_КК[[#This Row],[Уровень КК]]=3),IF(COUNTIFS($U$2:$U3942,$U3942,$F$2:$F3942,$F3942)=1,1,0),IF(COUNTIFS($U$2:$U3942,$U3942,$L$2:$L3942,$L3942)=1,1,0)))</f>
        <v>0</v>
      </c>
      <c r="AA39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2" s="106" t="s">
        <v>24</v>
      </c>
      <c r="AC3942" s="51">
        <v>44669</v>
      </c>
      <c r="AD3942" s="106" t="s">
        <v>15</v>
      </c>
      <c r="AE3942" s="38" t="s">
        <v>396</v>
      </c>
    </row>
    <row r="3943" spans="1:31" ht="18" customHeight="1" x14ac:dyDescent="0.25">
      <c r="A39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3" s="79">
        <v>4</v>
      </c>
      <c r="C3943" s="23">
        <v>44888</v>
      </c>
      <c r="D3943" s="67">
        <f>IF(COUNTIF($G$2:$G3943,$G3943)=1,1,0)</f>
        <v>1</v>
      </c>
      <c r="E3943" s="67" t="str">
        <f>IFERROR(VLOOKUP(База_КР_КК[[#This Row],[ИД штатной должности (S)]],'уровень защищенности'!$B$7:$F$1095,5,0),"не защищена")</f>
        <v>средний</v>
      </c>
      <c r="F3943" s="68">
        <v>500438</v>
      </c>
      <c r="G3943" s="74" t="s">
        <v>3150</v>
      </c>
      <c r="H3943" s="181">
        <f>INDEX('Списки данных'!$D$2:$D$1048576,MATCH(База_КР_КК[[#This Row],[Структурное подразделение]],'Списки данных'!$C$2:$C$1048576,0))</f>
        <v>50</v>
      </c>
      <c r="I3943" s="80" t="s">
        <v>159</v>
      </c>
      <c r="J3943" s="80" t="s">
        <v>255</v>
      </c>
      <c r="K3943" s="80" t="s">
        <v>263</v>
      </c>
      <c r="L3943" s="30" t="s">
        <v>191</v>
      </c>
      <c r="M3943" s="68">
        <v>6</v>
      </c>
      <c r="N3943" s="181" t="str">
        <f t="shared" si="62"/>
        <v>нет</v>
      </c>
      <c r="O3943" s="23"/>
      <c r="P3943" s="23"/>
      <c r="Q3943" s="106"/>
      <c r="R3943" s="37">
        <v>966</v>
      </c>
      <c r="S3943" s="39" t="s">
        <v>1375</v>
      </c>
      <c r="T3943" s="37">
        <v>2058</v>
      </c>
      <c r="U3943" s="38" t="s">
        <v>2115</v>
      </c>
      <c r="V3943" s="69" t="s">
        <v>272</v>
      </c>
      <c r="W3943" s="89" t="s">
        <v>159</v>
      </c>
      <c r="X3943" s="106" t="s">
        <v>297</v>
      </c>
      <c r="Y3943" s="107" t="s">
        <v>12</v>
      </c>
      <c r="Z3943" s="67">
        <f>IF(База_КР_КК[[#This Row],[Таб.номер резервиста]]="-","-",IF(OR(База_КР_КК[[#This Row],[Уровень КК]]=2,База_КР_КК[[#This Row],[Уровень КК]]=3),IF(COUNTIFS($U$2:$U3943,$U3943,$F$2:$F3943,$F3943)=1,1,0),IF(COUNTIFS($U$2:$U3943,$U3943,$L$2:$L3943,$L3943)=1,1,0)))</f>
        <v>0</v>
      </c>
      <c r="AA39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3" s="106"/>
      <c r="AC3943" s="51"/>
      <c r="AD3943" s="106" t="s">
        <v>15</v>
      </c>
      <c r="AE3943" s="38" t="s">
        <v>356</v>
      </c>
    </row>
    <row r="3944" spans="1:31" ht="18" customHeight="1" x14ac:dyDescent="0.25">
      <c r="A39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4" s="79">
        <v>4</v>
      </c>
      <c r="C3944" s="23">
        <v>44888</v>
      </c>
      <c r="D3944" s="67">
        <f>IF(COUNTIF($G$2:$G3944,$G3944)=1,1,0)</f>
        <v>0</v>
      </c>
      <c r="E3944" s="67" t="str">
        <f>IFERROR(VLOOKUP(База_КР_КК[[#This Row],[ИД штатной должности (S)]],'уровень защищенности'!$B$7:$F$1095,5,0),"не защищена")</f>
        <v>средний</v>
      </c>
      <c r="F3944" s="68">
        <v>500438</v>
      </c>
      <c r="G3944" s="74" t="s">
        <v>3150</v>
      </c>
      <c r="H3944" s="181">
        <f>INDEX('Списки данных'!$D$2:$D$1048576,MATCH(База_КР_КК[[#This Row],[Структурное подразделение]],'Списки данных'!$C$2:$C$1048576,0))</f>
        <v>50</v>
      </c>
      <c r="I3944" s="80" t="s">
        <v>159</v>
      </c>
      <c r="J3944" s="80" t="s">
        <v>255</v>
      </c>
      <c r="K3944" s="80" t="s">
        <v>263</v>
      </c>
      <c r="L3944" s="30" t="s">
        <v>191</v>
      </c>
      <c r="M3944" s="68">
        <v>6</v>
      </c>
      <c r="N3944" s="181" t="str">
        <f t="shared" si="62"/>
        <v>нет</v>
      </c>
      <c r="O3944" s="23"/>
      <c r="P3944" s="23"/>
      <c r="Q3944" s="106"/>
      <c r="R3944" s="37">
        <v>966</v>
      </c>
      <c r="S3944" s="39" t="s">
        <v>1375</v>
      </c>
      <c r="T3944" s="37">
        <v>2059</v>
      </c>
      <c r="U3944" s="38" t="s">
        <v>2102</v>
      </c>
      <c r="V3944" s="69" t="s">
        <v>272</v>
      </c>
      <c r="W3944" s="89" t="s">
        <v>159</v>
      </c>
      <c r="X3944" s="106" t="s">
        <v>297</v>
      </c>
      <c r="Y3944" s="107" t="s">
        <v>12</v>
      </c>
      <c r="Z3944" s="67">
        <f>IF(База_КР_КК[[#This Row],[Таб.номер резервиста]]="-","-",IF(OR(База_КР_КК[[#This Row],[Уровень КК]]=2,База_КР_КК[[#This Row],[Уровень КК]]=3),IF(COUNTIFS($U$2:$U3944,$U3944,$F$2:$F3944,$F3944)=1,1,0),IF(COUNTIFS($U$2:$U3944,$U3944,$L$2:$L3944,$L3944)=1,1,0)))</f>
        <v>1</v>
      </c>
      <c r="AA39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4" s="106"/>
      <c r="AC3944" s="51"/>
      <c r="AD3944" s="106" t="s">
        <v>15</v>
      </c>
      <c r="AE3944" s="38" t="s">
        <v>356</v>
      </c>
    </row>
    <row r="3945" spans="1:31" ht="18" customHeight="1" x14ac:dyDescent="0.25">
      <c r="A39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5" s="79">
        <v>4</v>
      </c>
      <c r="C3945" s="23">
        <v>44190</v>
      </c>
      <c r="D3945" s="67">
        <f>IF(COUNTIF($G$2:$G3945,$G3945)=1,1,0)</f>
        <v>0</v>
      </c>
      <c r="E3945" s="67" t="str">
        <f>IFERROR(VLOOKUP(База_КР_КК[[#This Row],[ИД штатной должности (S)]],'уровень защищенности'!$B$7:$F$1095,5,0),"не защищена")</f>
        <v>средний</v>
      </c>
      <c r="F3945" s="68">
        <v>500438</v>
      </c>
      <c r="G3945" s="74" t="s">
        <v>3150</v>
      </c>
      <c r="H3945" s="181">
        <f>INDEX('Списки данных'!$D$2:$D$1048576,MATCH(База_КР_КК[[#This Row],[Структурное подразделение]],'Списки данных'!$C$2:$C$1048576,0))</f>
        <v>50</v>
      </c>
      <c r="I3945" s="80" t="s">
        <v>159</v>
      </c>
      <c r="J3945" s="80" t="s">
        <v>255</v>
      </c>
      <c r="K3945" s="80" t="s">
        <v>263</v>
      </c>
      <c r="L3945" s="30" t="s">
        <v>191</v>
      </c>
      <c r="M3945" s="68">
        <v>7</v>
      </c>
      <c r="N3945" s="181" t="str">
        <f t="shared" si="62"/>
        <v>нет</v>
      </c>
      <c r="O3945" s="23"/>
      <c r="P3945" s="23"/>
      <c r="Q3945" s="106"/>
      <c r="R3945" s="37">
        <v>966</v>
      </c>
      <c r="S3945" s="39" t="s">
        <v>1375</v>
      </c>
      <c r="T3945" s="37">
        <v>970</v>
      </c>
      <c r="U3945" s="37" t="s">
        <v>1379</v>
      </c>
      <c r="V3945" s="69" t="s">
        <v>192</v>
      </c>
      <c r="W3945" s="89" t="s">
        <v>159</v>
      </c>
      <c r="X3945" s="106" t="s">
        <v>295</v>
      </c>
      <c r="Y3945" s="107" t="s">
        <v>14</v>
      </c>
      <c r="Z3945" s="67">
        <f>IF(База_КР_КК[[#This Row],[Таб.номер резервиста]]="-","-",IF(OR(База_КР_КК[[#This Row],[Уровень КК]]=2,База_КР_КК[[#This Row],[Уровень КК]]=3),IF(COUNTIFS($U$2:$U3945,$U3945,$F$2:$F3945,$F3945)=1,1,0),IF(COUNTIFS($U$2:$U3945,$U3945,$L$2:$L3945,$L3945)=1,1,0)))</f>
        <v>1</v>
      </c>
      <c r="AA39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5" s="106" t="s">
        <v>24</v>
      </c>
      <c r="AC3945" s="51">
        <v>44669</v>
      </c>
      <c r="AD3945" s="106" t="s">
        <v>15</v>
      </c>
      <c r="AE3945" s="38" t="s">
        <v>396</v>
      </c>
    </row>
    <row r="3946" spans="1:31" ht="18" customHeight="1" x14ac:dyDescent="0.25">
      <c r="A39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6" s="79">
        <v>4</v>
      </c>
      <c r="C3946" s="23">
        <v>44190</v>
      </c>
      <c r="D3946" s="67">
        <f>IF(COUNTIF($G$2:$G3946,$G3946)=1,1,0)</f>
        <v>0</v>
      </c>
      <c r="E3946" s="67" t="str">
        <f>IFERROR(VLOOKUP(База_КР_КК[[#This Row],[ИД штатной должности (S)]],'уровень защищенности'!$B$7:$F$1095,5,0),"не защищена")</f>
        <v>средний</v>
      </c>
      <c r="F3946" s="68">
        <v>500438</v>
      </c>
      <c r="G3946" s="74" t="s">
        <v>3150</v>
      </c>
      <c r="H3946" s="181">
        <f>INDEX('Списки данных'!$D$2:$D$1048576,MATCH(База_КР_КК[[#This Row],[Структурное подразделение]],'Списки данных'!$C$2:$C$1048576,0))</f>
        <v>50</v>
      </c>
      <c r="I3946" s="80" t="s">
        <v>159</v>
      </c>
      <c r="J3946" s="80" t="s">
        <v>255</v>
      </c>
      <c r="K3946" s="80" t="s">
        <v>263</v>
      </c>
      <c r="L3946" s="30" t="s">
        <v>191</v>
      </c>
      <c r="M3946" s="68">
        <v>7</v>
      </c>
      <c r="N3946" s="181" t="str">
        <f t="shared" si="62"/>
        <v>нет</v>
      </c>
      <c r="O3946" s="23"/>
      <c r="P3946" s="23"/>
      <c r="Q3946" s="106"/>
      <c r="R3946" s="37">
        <v>966</v>
      </c>
      <c r="S3946" s="39" t="s">
        <v>1375</v>
      </c>
      <c r="T3946" s="37">
        <v>2060</v>
      </c>
      <c r="U3946" s="37" t="s">
        <v>1980</v>
      </c>
      <c r="V3946" s="69" t="s">
        <v>192</v>
      </c>
      <c r="W3946" s="89" t="s">
        <v>130</v>
      </c>
      <c r="X3946" s="106" t="s">
        <v>295</v>
      </c>
      <c r="Y3946" s="107" t="s">
        <v>18</v>
      </c>
      <c r="Z3946" s="67">
        <f>IF(База_КР_КК[[#This Row],[Таб.номер резервиста]]="-","-",IF(OR(База_КР_КК[[#This Row],[Уровень КК]]=2,База_КР_КК[[#This Row],[Уровень КК]]=3),IF(COUNTIFS($U$2:$U3946,$U3946,$F$2:$F3946,$F3946)=1,1,0),IF(COUNTIFS($U$2:$U3946,$U3946,$L$2:$L3946,$L3946)=1,1,0)))</f>
        <v>0</v>
      </c>
      <c r="AA39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6" s="106" t="s">
        <v>37</v>
      </c>
      <c r="AC3946" s="51">
        <v>44403</v>
      </c>
      <c r="AD3946" s="106" t="s">
        <v>15</v>
      </c>
      <c r="AE3946" s="38" t="s">
        <v>394</v>
      </c>
    </row>
    <row r="3947" spans="1:31" ht="18" customHeight="1" x14ac:dyDescent="0.25">
      <c r="A39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7" s="79">
        <v>4</v>
      </c>
      <c r="C3947" s="23">
        <v>44888</v>
      </c>
      <c r="D3947" s="67">
        <f>IF(COUNTIF($G$2:$G3947,$G3947)=1,1,0)</f>
        <v>1</v>
      </c>
      <c r="E3947" s="67" t="str">
        <f>IFERROR(VLOOKUP(База_КР_КК[[#This Row],[ИД штатной должности (S)]],'уровень защищенности'!$B$7:$F$1095,5,0),"не защищена")</f>
        <v>средний</v>
      </c>
      <c r="F3947" s="68">
        <v>500438</v>
      </c>
      <c r="G3947" s="74" t="s">
        <v>3151</v>
      </c>
      <c r="H3947" s="181">
        <f>INDEX('Списки данных'!$D$2:$D$1048576,MATCH(База_КР_КК[[#This Row],[Структурное подразделение]],'Списки данных'!$C$2:$C$1048576,0))</f>
        <v>50</v>
      </c>
      <c r="I3947" s="80" t="s">
        <v>159</v>
      </c>
      <c r="J3947" s="80" t="s">
        <v>255</v>
      </c>
      <c r="K3947" s="80" t="s">
        <v>263</v>
      </c>
      <c r="L3947" s="30" t="s">
        <v>191</v>
      </c>
      <c r="M3947" s="68">
        <v>6</v>
      </c>
      <c r="N3947" s="181" t="str">
        <f t="shared" si="62"/>
        <v>нет</v>
      </c>
      <c r="O3947" s="23"/>
      <c r="P3947" s="23"/>
      <c r="Q3947" s="106"/>
      <c r="R3947" s="37">
        <v>967</v>
      </c>
      <c r="S3947" s="39" t="s">
        <v>1376</v>
      </c>
      <c r="T3947" s="37">
        <v>2058</v>
      </c>
      <c r="U3947" s="38" t="s">
        <v>2115</v>
      </c>
      <c r="V3947" s="69" t="s">
        <v>272</v>
      </c>
      <c r="W3947" s="89" t="s">
        <v>159</v>
      </c>
      <c r="X3947" s="106" t="s">
        <v>297</v>
      </c>
      <c r="Y3947" s="107" t="s">
        <v>12</v>
      </c>
      <c r="Z3947" s="67">
        <f>IF(База_КР_КК[[#This Row],[Таб.номер резервиста]]="-","-",IF(OR(База_КР_КК[[#This Row],[Уровень КК]]=2,База_КР_КК[[#This Row],[Уровень КК]]=3),IF(COUNTIFS($U$2:$U3947,$U3947,$F$2:$F3947,$F3947)=1,1,0),IF(COUNTIFS($U$2:$U3947,$U3947,$L$2:$L3947,$L3947)=1,1,0)))</f>
        <v>0</v>
      </c>
      <c r="AA39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7" s="106"/>
      <c r="AC3947" s="51"/>
      <c r="AD3947" s="106" t="s">
        <v>15</v>
      </c>
      <c r="AE3947" s="38" t="s">
        <v>356</v>
      </c>
    </row>
    <row r="3948" spans="1:31" ht="18" customHeight="1" x14ac:dyDescent="0.25">
      <c r="A39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8" s="79">
        <v>4</v>
      </c>
      <c r="C3948" s="23">
        <v>44888</v>
      </c>
      <c r="D3948" s="67">
        <f>IF(COUNTIF($G$2:$G3948,$G3948)=1,1,0)</f>
        <v>0</v>
      </c>
      <c r="E3948" s="67" t="str">
        <f>IFERROR(VLOOKUP(База_КР_КК[[#This Row],[ИД штатной должности (S)]],'уровень защищенности'!$B$7:$F$1095,5,0),"не защищена")</f>
        <v>средний</v>
      </c>
      <c r="F3948" s="68">
        <v>500438</v>
      </c>
      <c r="G3948" s="74" t="s">
        <v>3151</v>
      </c>
      <c r="H3948" s="181">
        <f>INDEX('Списки данных'!$D$2:$D$1048576,MATCH(База_КР_КК[[#This Row],[Структурное подразделение]],'Списки данных'!$C$2:$C$1048576,0))</f>
        <v>50</v>
      </c>
      <c r="I3948" s="80" t="s">
        <v>159</v>
      </c>
      <c r="J3948" s="80" t="s">
        <v>255</v>
      </c>
      <c r="K3948" s="80" t="s">
        <v>263</v>
      </c>
      <c r="L3948" s="30" t="s">
        <v>191</v>
      </c>
      <c r="M3948" s="68">
        <v>6</v>
      </c>
      <c r="N3948" s="181" t="str">
        <f t="shared" si="62"/>
        <v>нет</v>
      </c>
      <c r="O3948" s="23"/>
      <c r="P3948" s="23"/>
      <c r="Q3948" s="106"/>
      <c r="R3948" s="37">
        <v>967</v>
      </c>
      <c r="S3948" s="39" t="s">
        <v>1376</v>
      </c>
      <c r="T3948" s="37">
        <v>2059</v>
      </c>
      <c r="U3948" s="38" t="s">
        <v>2102</v>
      </c>
      <c r="V3948" s="69" t="s">
        <v>272</v>
      </c>
      <c r="W3948" s="89" t="s">
        <v>159</v>
      </c>
      <c r="X3948" s="106" t="s">
        <v>297</v>
      </c>
      <c r="Y3948" s="107" t="s">
        <v>12</v>
      </c>
      <c r="Z3948" s="67">
        <f>IF(База_КР_КК[[#This Row],[Таб.номер резервиста]]="-","-",IF(OR(База_КР_КК[[#This Row],[Уровень КК]]=2,База_КР_КК[[#This Row],[Уровень КК]]=3),IF(COUNTIFS($U$2:$U3948,$U3948,$F$2:$F3948,$F3948)=1,1,0),IF(COUNTIFS($U$2:$U3948,$U3948,$L$2:$L3948,$L3948)=1,1,0)))</f>
        <v>0</v>
      </c>
      <c r="AA39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8" s="106"/>
      <c r="AC3948" s="51"/>
      <c r="AD3948" s="106" t="s">
        <v>15</v>
      </c>
      <c r="AE3948" s="38" t="s">
        <v>356</v>
      </c>
    </row>
    <row r="3949" spans="1:31" ht="18" customHeight="1" x14ac:dyDescent="0.25">
      <c r="A39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49" s="79">
        <v>4</v>
      </c>
      <c r="C3949" s="23">
        <v>44190</v>
      </c>
      <c r="D3949" s="67">
        <f>IF(COUNTIF($G$2:$G3949,$G3949)=1,1,0)</f>
        <v>0</v>
      </c>
      <c r="E3949" s="67" t="str">
        <f>IFERROR(VLOOKUP(База_КР_КК[[#This Row],[ИД штатной должности (S)]],'уровень защищенности'!$B$7:$F$1095,5,0),"не защищена")</f>
        <v>средний</v>
      </c>
      <c r="F3949" s="68">
        <v>500438</v>
      </c>
      <c r="G3949" s="74" t="s">
        <v>3151</v>
      </c>
      <c r="H3949" s="181">
        <f>INDEX('Списки данных'!$D$2:$D$1048576,MATCH(База_КР_КК[[#This Row],[Структурное подразделение]],'Списки данных'!$C$2:$C$1048576,0))</f>
        <v>50</v>
      </c>
      <c r="I3949" s="80" t="s">
        <v>159</v>
      </c>
      <c r="J3949" s="80" t="s">
        <v>255</v>
      </c>
      <c r="K3949" s="80" t="s">
        <v>263</v>
      </c>
      <c r="L3949" s="30" t="s">
        <v>191</v>
      </c>
      <c r="M3949" s="68">
        <v>7</v>
      </c>
      <c r="N3949" s="181" t="str">
        <f t="shared" si="62"/>
        <v>нет</v>
      </c>
      <c r="O3949" s="23"/>
      <c r="P3949" s="23"/>
      <c r="Q3949" s="106"/>
      <c r="R3949" s="37">
        <v>967</v>
      </c>
      <c r="S3949" s="39" t="s">
        <v>1376</v>
      </c>
      <c r="T3949" s="37">
        <v>970</v>
      </c>
      <c r="U3949" s="37" t="s">
        <v>1379</v>
      </c>
      <c r="V3949" s="69" t="s">
        <v>192</v>
      </c>
      <c r="W3949" s="89" t="s">
        <v>159</v>
      </c>
      <c r="X3949" s="106" t="s">
        <v>295</v>
      </c>
      <c r="Y3949" s="107" t="s">
        <v>14</v>
      </c>
      <c r="Z3949" s="67">
        <f>IF(База_КР_КК[[#This Row],[Таб.номер резервиста]]="-","-",IF(OR(База_КР_КК[[#This Row],[Уровень КК]]=2,База_КР_КК[[#This Row],[Уровень КК]]=3),IF(COUNTIFS($U$2:$U3949,$U3949,$F$2:$F3949,$F3949)=1,1,0),IF(COUNTIFS($U$2:$U3949,$U3949,$L$2:$L3949,$L3949)=1,1,0)))</f>
        <v>0</v>
      </c>
      <c r="AA39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49" s="106" t="s">
        <v>24</v>
      </c>
      <c r="AC3949" s="51">
        <v>44669</v>
      </c>
      <c r="AD3949" s="106" t="s">
        <v>15</v>
      </c>
      <c r="AE3949" s="38" t="s">
        <v>396</v>
      </c>
    </row>
    <row r="3950" spans="1:31" ht="18" customHeight="1" x14ac:dyDescent="0.25">
      <c r="A39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0" s="79">
        <v>4</v>
      </c>
      <c r="C3950" s="23">
        <v>44190</v>
      </c>
      <c r="D3950" s="67">
        <f>IF(COUNTIF($G$2:$G3950,$G3950)=1,1,0)</f>
        <v>0</v>
      </c>
      <c r="E3950" s="67" t="str">
        <f>IFERROR(VLOOKUP(База_КР_КК[[#This Row],[ИД штатной должности (S)]],'уровень защищенности'!$B$7:$F$1095,5,0),"не защищена")</f>
        <v>средний</v>
      </c>
      <c r="F3950" s="68">
        <v>500438</v>
      </c>
      <c r="G3950" s="74" t="s">
        <v>3151</v>
      </c>
      <c r="H3950" s="181">
        <f>INDEX('Списки данных'!$D$2:$D$1048576,MATCH(База_КР_КК[[#This Row],[Структурное подразделение]],'Списки данных'!$C$2:$C$1048576,0))</f>
        <v>50</v>
      </c>
      <c r="I3950" s="80" t="s">
        <v>159</v>
      </c>
      <c r="J3950" s="80" t="s">
        <v>255</v>
      </c>
      <c r="K3950" s="80" t="s">
        <v>263</v>
      </c>
      <c r="L3950" s="30" t="s">
        <v>191</v>
      </c>
      <c r="M3950" s="68">
        <v>7</v>
      </c>
      <c r="N3950" s="181" t="str">
        <f t="shared" si="62"/>
        <v>нет</v>
      </c>
      <c r="O3950" s="23"/>
      <c r="P3950" s="23"/>
      <c r="Q3950" s="106"/>
      <c r="R3950" s="37">
        <v>967</v>
      </c>
      <c r="S3950" s="39" t="s">
        <v>1376</v>
      </c>
      <c r="T3950" s="37">
        <v>2060</v>
      </c>
      <c r="U3950" s="37" t="s">
        <v>1980</v>
      </c>
      <c r="V3950" s="69" t="s">
        <v>192</v>
      </c>
      <c r="W3950" s="89" t="s">
        <v>130</v>
      </c>
      <c r="X3950" s="106" t="s">
        <v>295</v>
      </c>
      <c r="Y3950" s="107" t="s">
        <v>18</v>
      </c>
      <c r="Z3950" s="67">
        <f>IF(База_КР_КК[[#This Row],[Таб.номер резервиста]]="-","-",IF(OR(База_КР_КК[[#This Row],[Уровень КК]]=2,База_КР_КК[[#This Row],[Уровень КК]]=3),IF(COUNTIFS($U$2:$U3950,$U3950,$F$2:$F3950,$F3950)=1,1,0),IF(COUNTIFS($U$2:$U3950,$U3950,$L$2:$L3950,$L3950)=1,1,0)))</f>
        <v>0</v>
      </c>
      <c r="AA39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0" s="106" t="s">
        <v>37</v>
      </c>
      <c r="AC3950" s="51">
        <v>44403</v>
      </c>
      <c r="AD3950" s="106" t="s">
        <v>15</v>
      </c>
      <c r="AE3950" s="38" t="s">
        <v>394</v>
      </c>
    </row>
    <row r="3951" spans="1:31" ht="18" customHeight="1" x14ac:dyDescent="0.25">
      <c r="A39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1" s="79">
        <v>4</v>
      </c>
      <c r="C3951" s="23">
        <v>44888</v>
      </c>
      <c r="D3951" s="67">
        <f>IF(COUNTIF($G$2:$G3951,$G3951)=1,1,0)</f>
        <v>1</v>
      </c>
      <c r="E3951" s="67" t="str">
        <f>IFERROR(VLOOKUP(База_КР_КК[[#This Row],[ИД штатной должности (S)]],'уровень защищенности'!$B$7:$F$1095,5,0),"не защищена")</f>
        <v>средний</v>
      </c>
      <c r="F3951" s="68">
        <v>500438</v>
      </c>
      <c r="G3951" s="74" t="s">
        <v>3152</v>
      </c>
      <c r="H3951" s="181">
        <f>INDEX('Списки данных'!$D$2:$D$1048576,MATCH(База_КР_КК[[#This Row],[Структурное подразделение]],'Списки данных'!$C$2:$C$1048576,0))</f>
        <v>50</v>
      </c>
      <c r="I3951" s="80" t="s">
        <v>159</v>
      </c>
      <c r="J3951" s="80" t="s">
        <v>255</v>
      </c>
      <c r="K3951" s="80" t="s">
        <v>263</v>
      </c>
      <c r="L3951" s="30" t="s">
        <v>191</v>
      </c>
      <c r="M3951" s="68">
        <v>6</v>
      </c>
      <c r="N3951" s="181" t="str">
        <f t="shared" si="62"/>
        <v>нет</v>
      </c>
      <c r="O3951" s="23"/>
      <c r="P3951" s="23"/>
      <c r="Q3951" s="106"/>
      <c r="R3951" s="37">
        <v>968</v>
      </c>
      <c r="S3951" s="39" t="s">
        <v>1377</v>
      </c>
      <c r="T3951" s="37">
        <v>2058</v>
      </c>
      <c r="U3951" s="38" t="s">
        <v>2115</v>
      </c>
      <c r="V3951" s="69" t="s">
        <v>272</v>
      </c>
      <c r="W3951" s="89" t="s">
        <v>159</v>
      </c>
      <c r="X3951" s="106" t="s">
        <v>297</v>
      </c>
      <c r="Y3951" s="107" t="s">
        <v>12</v>
      </c>
      <c r="Z3951" s="67">
        <f>IF(База_КР_КК[[#This Row],[Таб.номер резервиста]]="-","-",IF(OR(База_КР_КК[[#This Row],[Уровень КК]]=2,База_КР_КК[[#This Row],[Уровень КК]]=3),IF(COUNTIFS($U$2:$U3951,$U3951,$F$2:$F3951,$F3951)=1,1,0),IF(COUNTIFS($U$2:$U3951,$U3951,$L$2:$L3951,$L3951)=1,1,0)))</f>
        <v>0</v>
      </c>
      <c r="AA39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1" s="106"/>
      <c r="AC3951" s="51"/>
      <c r="AD3951" s="106" t="s">
        <v>15</v>
      </c>
      <c r="AE3951" s="38" t="s">
        <v>356</v>
      </c>
    </row>
    <row r="3952" spans="1:31" ht="18" customHeight="1" x14ac:dyDescent="0.25">
      <c r="A39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2" s="79">
        <v>4</v>
      </c>
      <c r="C3952" s="23">
        <v>44888</v>
      </c>
      <c r="D3952" s="67">
        <f>IF(COUNTIF($G$2:$G3952,$G3952)=1,1,0)</f>
        <v>0</v>
      </c>
      <c r="E3952" s="67" t="str">
        <f>IFERROR(VLOOKUP(База_КР_КК[[#This Row],[ИД штатной должности (S)]],'уровень защищенности'!$B$7:$F$1095,5,0),"не защищена")</f>
        <v>средний</v>
      </c>
      <c r="F3952" s="68">
        <v>500438</v>
      </c>
      <c r="G3952" s="74" t="s">
        <v>3152</v>
      </c>
      <c r="H3952" s="181">
        <f>INDEX('Списки данных'!$D$2:$D$1048576,MATCH(База_КР_КК[[#This Row],[Структурное подразделение]],'Списки данных'!$C$2:$C$1048576,0))</f>
        <v>50</v>
      </c>
      <c r="I3952" s="80" t="s">
        <v>159</v>
      </c>
      <c r="J3952" s="80" t="s">
        <v>255</v>
      </c>
      <c r="K3952" s="80" t="s">
        <v>263</v>
      </c>
      <c r="L3952" s="30" t="s">
        <v>191</v>
      </c>
      <c r="M3952" s="68">
        <v>6</v>
      </c>
      <c r="N3952" s="181" t="str">
        <f t="shared" si="62"/>
        <v>нет</v>
      </c>
      <c r="O3952" s="23"/>
      <c r="P3952" s="23"/>
      <c r="Q3952" s="106"/>
      <c r="R3952" s="37">
        <v>968</v>
      </c>
      <c r="S3952" s="39" t="s">
        <v>1377</v>
      </c>
      <c r="T3952" s="37">
        <v>2059</v>
      </c>
      <c r="U3952" s="38" t="s">
        <v>2102</v>
      </c>
      <c r="V3952" s="69" t="s">
        <v>272</v>
      </c>
      <c r="W3952" s="89" t="s">
        <v>159</v>
      </c>
      <c r="X3952" s="106" t="s">
        <v>297</v>
      </c>
      <c r="Y3952" s="107" t="s">
        <v>12</v>
      </c>
      <c r="Z3952" s="67">
        <f>IF(База_КР_КК[[#This Row],[Таб.номер резервиста]]="-","-",IF(OR(База_КР_КК[[#This Row],[Уровень КК]]=2,База_КР_КК[[#This Row],[Уровень КК]]=3),IF(COUNTIFS($U$2:$U3952,$U3952,$F$2:$F3952,$F3952)=1,1,0),IF(COUNTIFS($U$2:$U3952,$U3952,$L$2:$L3952,$L3952)=1,1,0)))</f>
        <v>0</v>
      </c>
      <c r="AA39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2" s="106"/>
      <c r="AC3952" s="51"/>
      <c r="AD3952" s="106" t="s">
        <v>15</v>
      </c>
      <c r="AE3952" s="38" t="s">
        <v>356</v>
      </c>
    </row>
    <row r="3953" spans="1:31" ht="18" customHeight="1" x14ac:dyDescent="0.25">
      <c r="A39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3" s="79">
        <v>4</v>
      </c>
      <c r="C3953" s="23">
        <v>44190</v>
      </c>
      <c r="D3953" s="67">
        <f>IF(COUNTIF($G$2:$G3953,$G3953)=1,1,0)</f>
        <v>0</v>
      </c>
      <c r="E3953" s="67" t="str">
        <f>IFERROR(VLOOKUP(База_КР_КК[[#This Row],[ИД штатной должности (S)]],'уровень защищенности'!$B$7:$F$1095,5,0),"не защищена")</f>
        <v>средний</v>
      </c>
      <c r="F3953" s="68">
        <v>500438</v>
      </c>
      <c r="G3953" s="74" t="s">
        <v>3152</v>
      </c>
      <c r="H3953" s="181">
        <f>INDEX('Списки данных'!$D$2:$D$1048576,MATCH(База_КР_КК[[#This Row],[Структурное подразделение]],'Списки данных'!$C$2:$C$1048576,0))</f>
        <v>50</v>
      </c>
      <c r="I3953" s="80" t="s">
        <v>159</v>
      </c>
      <c r="J3953" s="80" t="s">
        <v>255</v>
      </c>
      <c r="K3953" s="80" t="s">
        <v>263</v>
      </c>
      <c r="L3953" s="30" t="s">
        <v>191</v>
      </c>
      <c r="M3953" s="68">
        <v>7</v>
      </c>
      <c r="N3953" s="181" t="str">
        <f t="shared" si="62"/>
        <v>нет</v>
      </c>
      <c r="O3953" s="23"/>
      <c r="P3953" s="23"/>
      <c r="Q3953" s="106"/>
      <c r="R3953" s="37">
        <v>968</v>
      </c>
      <c r="S3953" s="39" t="s">
        <v>1377</v>
      </c>
      <c r="T3953" s="37">
        <v>970</v>
      </c>
      <c r="U3953" s="37" t="s">
        <v>1379</v>
      </c>
      <c r="V3953" s="69" t="s">
        <v>192</v>
      </c>
      <c r="W3953" s="89" t="s">
        <v>159</v>
      </c>
      <c r="X3953" s="106" t="s">
        <v>295</v>
      </c>
      <c r="Y3953" s="107" t="s">
        <v>14</v>
      </c>
      <c r="Z3953" s="67">
        <f>IF(База_КР_КК[[#This Row],[Таб.номер резервиста]]="-","-",IF(OR(База_КР_КК[[#This Row],[Уровень КК]]=2,База_КР_КК[[#This Row],[Уровень КК]]=3),IF(COUNTIFS($U$2:$U3953,$U3953,$F$2:$F3953,$F3953)=1,1,0),IF(COUNTIFS($U$2:$U3953,$U3953,$L$2:$L3953,$L3953)=1,1,0)))</f>
        <v>0</v>
      </c>
      <c r="AA39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3" s="106" t="s">
        <v>24</v>
      </c>
      <c r="AC3953" s="51">
        <v>44669</v>
      </c>
      <c r="AD3953" s="106" t="s">
        <v>15</v>
      </c>
      <c r="AE3953" s="38" t="s">
        <v>396</v>
      </c>
    </row>
    <row r="3954" spans="1:31" ht="18" customHeight="1" x14ac:dyDescent="0.25">
      <c r="A39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4" s="79">
        <v>4</v>
      </c>
      <c r="C3954" s="23">
        <v>44190</v>
      </c>
      <c r="D3954" s="67">
        <f>IF(COUNTIF($G$2:$G3954,$G3954)=1,1,0)</f>
        <v>0</v>
      </c>
      <c r="E3954" s="67" t="str">
        <f>IFERROR(VLOOKUP(База_КР_КК[[#This Row],[ИД штатной должности (S)]],'уровень защищенности'!$B$7:$F$1095,5,0),"не защищена")</f>
        <v>средний</v>
      </c>
      <c r="F3954" s="68">
        <v>500438</v>
      </c>
      <c r="G3954" s="74" t="s">
        <v>3152</v>
      </c>
      <c r="H3954" s="181">
        <f>INDEX('Списки данных'!$D$2:$D$1048576,MATCH(База_КР_КК[[#This Row],[Структурное подразделение]],'Списки данных'!$C$2:$C$1048576,0))</f>
        <v>50</v>
      </c>
      <c r="I3954" s="80" t="s">
        <v>159</v>
      </c>
      <c r="J3954" s="80" t="s">
        <v>255</v>
      </c>
      <c r="K3954" s="80" t="s">
        <v>263</v>
      </c>
      <c r="L3954" s="30" t="s">
        <v>191</v>
      </c>
      <c r="M3954" s="68">
        <v>7</v>
      </c>
      <c r="N3954" s="181" t="str">
        <f t="shared" si="62"/>
        <v>нет</v>
      </c>
      <c r="O3954" s="23"/>
      <c r="P3954" s="23"/>
      <c r="Q3954" s="106"/>
      <c r="R3954" s="37">
        <v>968</v>
      </c>
      <c r="S3954" s="39" t="s">
        <v>1377</v>
      </c>
      <c r="T3954" s="37">
        <v>2060</v>
      </c>
      <c r="U3954" s="37" t="s">
        <v>1980</v>
      </c>
      <c r="V3954" s="69" t="s">
        <v>192</v>
      </c>
      <c r="W3954" s="89" t="s">
        <v>130</v>
      </c>
      <c r="X3954" s="106" t="s">
        <v>295</v>
      </c>
      <c r="Y3954" s="107" t="s">
        <v>18</v>
      </c>
      <c r="Z3954" s="67">
        <f>IF(База_КР_КК[[#This Row],[Таб.номер резервиста]]="-","-",IF(OR(База_КР_КК[[#This Row],[Уровень КК]]=2,База_КР_КК[[#This Row],[Уровень КК]]=3),IF(COUNTIFS($U$2:$U3954,$U3954,$F$2:$F3954,$F3954)=1,1,0),IF(COUNTIFS($U$2:$U3954,$U3954,$L$2:$L3954,$L3954)=1,1,0)))</f>
        <v>0</v>
      </c>
      <c r="AA39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4" s="106" t="s">
        <v>37</v>
      </c>
      <c r="AC3954" s="51">
        <v>44403</v>
      </c>
      <c r="AD3954" s="106" t="s">
        <v>15</v>
      </c>
      <c r="AE3954" s="38" t="s">
        <v>394</v>
      </c>
    </row>
    <row r="3955" spans="1:31" ht="18" customHeight="1" x14ac:dyDescent="0.25">
      <c r="A39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5" s="79">
        <v>4</v>
      </c>
      <c r="C3955" s="23">
        <v>44888</v>
      </c>
      <c r="D3955" s="67">
        <f>IF(COUNTIF($G$2:$G3955,$G3955)=1,1,0)</f>
        <v>1</v>
      </c>
      <c r="E3955" s="67" t="str">
        <f>IFERROR(VLOOKUP(База_КР_КК[[#This Row],[ИД штатной должности (S)]],'уровень защищенности'!$B$7:$F$1095,5,0),"не защищена")</f>
        <v>средний</v>
      </c>
      <c r="F3955" s="68">
        <v>500438</v>
      </c>
      <c r="G3955" s="74" t="s">
        <v>3153</v>
      </c>
      <c r="H3955" s="181">
        <f>INDEX('Списки данных'!$D$2:$D$1048576,MATCH(База_КР_КК[[#This Row],[Структурное подразделение]],'Списки данных'!$C$2:$C$1048576,0))</f>
        <v>50</v>
      </c>
      <c r="I3955" s="80" t="s">
        <v>159</v>
      </c>
      <c r="J3955" s="80" t="s">
        <v>255</v>
      </c>
      <c r="K3955" s="80" t="s">
        <v>263</v>
      </c>
      <c r="L3955" s="30" t="s">
        <v>191</v>
      </c>
      <c r="M3955" s="68">
        <v>6</v>
      </c>
      <c r="N3955" s="181" t="str">
        <f t="shared" si="62"/>
        <v>нет</v>
      </c>
      <c r="O3955" s="23"/>
      <c r="P3955" s="23"/>
      <c r="Q3955" s="106"/>
      <c r="R3955" s="37">
        <v>969</v>
      </c>
      <c r="S3955" s="39" t="s">
        <v>1378</v>
      </c>
      <c r="T3955" s="37">
        <v>2058</v>
      </c>
      <c r="U3955" s="38" t="s">
        <v>2115</v>
      </c>
      <c r="V3955" s="69" t="s">
        <v>272</v>
      </c>
      <c r="W3955" s="89" t="s">
        <v>159</v>
      </c>
      <c r="X3955" s="106" t="s">
        <v>297</v>
      </c>
      <c r="Y3955" s="107" t="s">
        <v>12</v>
      </c>
      <c r="Z3955" s="67">
        <f>IF(База_КР_КК[[#This Row],[Таб.номер резервиста]]="-","-",IF(OR(База_КР_КК[[#This Row],[Уровень КК]]=2,База_КР_КК[[#This Row],[Уровень КК]]=3),IF(COUNTIFS($U$2:$U3955,$U3955,$F$2:$F3955,$F3955)=1,1,0),IF(COUNTIFS($U$2:$U3955,$U3955,$L$2:$L3955,$L3955)=1,1,0)))</f>
        <v>0</v>
      </c>
      <c r="AA39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5" s="106"/>
      <c r="AC3955" s="51"/>
      <c r="AD3955" s="106" t="s">
        <v>15</v>
      </c>
      <c r="AE3955" s="38" t="s">
        <v>356</v>
      </c>
    </row>
    <row r="3956" spans="1:31" ht="18" customHeight="1" x14ac:dyDescent="0.25">
      <c r="A39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6" s="79">
        <v>4</v>
      </c>
      <c r="C3956" s="23">
        <v>44888</v>
      </c>
      <c r="D3956" s="67">
        <f>IF(COUNTIF($G$2:$G3956,$G3956)=1,1,0)</f>
        <v>0</v>
      </c>
      <c r="E3956" s="67" t="str">
        <f>IFERROR(VLOOKUP(База_КР_КК[[#This Row],[ИД штатной должности (S)]],'уровень защищенности'!$B$7:$F$1095,5,0),"не защищена")</f>
        <v>средний</v>
      </c>
      <c r="F3956" s="68">
        <v>500438</v>
      </c>
      <c r="G3956" s="74" t="s">
        <v>3153</v>
      </c>
      <c r="H3956" s="181">
        <f>INDEX('Списки данных'!$D$2:$D$1048576,MATCH(База_КР_КК[[#This Row],[Структурное подразделение]],'Списки данных'!$C$2:$C$1048576,0))</f>
        <v>50</v>
      </c>
      <c r="I3956" s="80" t="s">
        <v>159</v>
      </c>
      <c r="J3956" s="80" t="s">
        <v>255</v>
      </c>
      <c r="K3956" s="80" t="s">
        <v>263</v>
      </c>
      <c r="L3956" s="30" t="s">
        <v>191</v>
      </c>
      <c r="M3956" s="68">
        <v>6</v>
      </c>
      <c r="N3956" s="181" t="str">
        <f t="shared" si="62"/>
        <v>нет</v>
      </c>
      <c r="O3956" s="23"/>
      <c r="P3956" s="23"/>
      <c r="Q3956" s="106"/>
      <c r="R3956" s="37">
        <v>969</v>
      </c>
      <c r="S3956" s="39" t="s">
        <v>1378</v>
      </c>
      <c r="T3956" s="37">
        <v>2059</v>
      </c>
      <c r="U3956" s="38" t="s">
        <v>2102</v>
      </c>
      <c r="V3956" s="69" t="s">
        <v>272</v>
      </c>
      <c r="W3956" s="89" t="s">
        <v>159</v>
      </c>
      <c r="X3956" s="106" t="s">
        <v>297</v>
      </c>
      <c r="Y3956" s="107" t="s">
        <v>12</v>
      </c>
      <c r="Z3956" s="67">
        <f>IF(База_КР_КК[[#This Row],[Таб.номер резервиста]]="-","-",IF(OR(База_КР_КК[[#This Row],[Уровень КК]]=2,База_КР_КК[[#This Row],[Уровень КК]]=3),IF(COUNTIFS($U$2:$U3956,$U3956,$F$2:$F3956,$F3956)=1,1,0),IF(COUNTIFS($U$2:$U3956,$U3956,$L$2:$L3956,$L3956)=1,1,0)))</f>
        <v>0</v>
      </c>
      <c r="AA39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6" s="106"/>
      <c r="AC3956" s="51"/>
      <c r="AD3956" s="106" t="s">
        <v>15</v>
      </c>
      <c r="AE3956" s="38" t="s">
        <v>356</v>
      </c>
    </row>
    <row r="3957" spans="1:31" ht="18" customHeight="1" x14ac:dyDescent="0.25">
      <c r="A39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7" s="79">
        <v>4</v>
      </c>
      <c r="C3957" s="23">
        <v>44190</v>
      </c>
      <c r="D3957" s="67">
        <f>IF(COUNTIF($G$2:$G3957,$G3957)=1,1,0)</f>
        <v>0</v>
      </c>
      <c r="E3957" s="67" t="str">
        <f>IFERROR(VLOOKUP(База_КР_КК[[#This Row],[ИД штатной должности (S)]],'уровень защищенности'!$B$7:$F$1095,5,0),"не защищена")</f>
        <v>средний</v>
      </c>
      <c r="F3957" s="68">
        <v>500438</v>
      </c>
      <c r="G3957" s="74" t="s">
        <v>3153</v>
      </c>
      <c r="H3957" s="181">
        <f>INDEX('Списки данных'!$D$2:$D$1048576,MATCH(База_КР_КК[[#This Row],[Структурное подразделение]],'Списки данных'!$C$2:$C$1048576,0))</f>
        <v>50</v>
      </c>
      <c r="I3957" s="80" t="s">
        <v>159</v>
      </c>
      <c r="J3957" s="80" t="s">
        <v>255</v>
      </c>
      <c r="K3957" s="80" t="s">
        <v>263</v>
      </c>
      <c r="L3957" s="30" t="s">
        <v>191</v>
      </c>
      <c r="M3957" s="68">
        <v>7</v>
      </c>
      <c r="N3957" s="181" t="str">
        <f t="shared" si="62"/>
        <v>нет</v>
      </c>
      <c r="O3957" s="23"/>
      <c r="P3957" s="23"/>
      <c r="Q3957" s="106"/>
      <c r="R3957" s="37">
        <v>969</v>
      </c>
      <c r="S3957" s="39" t="s">
        <v>1378</v>
      </c>
      <c r="T3957" s="37">
        <v>970</v>
      </c>
      <c r="U3957" s="37" t="s">
        <v>1379</v>
      </c>
      <c r="V3957" s="69" t="s">
        <v>192</v>
      </c>
      <c r="W3957" s="89" t="s">
        <v>159</v>
      </c>
      <c r="X3957" s="106" t="s">
        <v>295</v>
      </c>
      <c r="Y3957" s="107" t="s">
        <v>14</v>
      </c>
      <c r="Z3957" s="67">
        <f>IF(База_КР_КК[[#This Row],[Таб.номер резервиста]]="-","-",IF(OR(База_КР_КК[[#This Row],[Уровень КК]]=2,База_КР_КК[[#This Row],[Уровень КК]]=3),IF(COUNTIFS($U$2:$U3957,$U3957,$F$2:$F3957,$F3957)=1,1,0),IF(COUNTIFS($U$2:$U3957,$U3957,$L$2:$L3957,$L3957)=1,1,0)))</f>
        <v>0</v>
      </c>
      <c r="AA39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7" s="106" t="s">
        <v>24</v>
      </c>
      <c r="AC3957" s="51">
        <v>44669</v>
      </c>
      <c r="AD3957" s="106" t="s">
        <v>15</v>
      </c>
      <c r="AE3957" s="38" t="s">
        <v>396</v>
      </c>
    </row>
    <row r="3958" spans="1:31" ht="18" customHeight="1" x14ac:dyDescent="0.25">
      <c r="A39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8" s="79">
        <v>4</v>
      </c>
      <c r="C3958" s="23">
        <v>44190</v>
      </c>
      <c r="D3958" s="67">
        <f>IF(COUNTIF($G$2:$G3958,$G3958)=1,1,0)</f>
        <v>0</v>
      </c>
      <c r="E3958" s="67" t="str">
        <f>IFERROR(VLOOKUP(База_КР_КК[[#This Row],[ИД штатной должности (S)]],'уровень защищенности'!$B$7:$F$1095,5,0),"не защищена")</f>
        <v>средний</v>
      </c>
      <c r="F3958" s="68">
        <v>500438</v>
      </c>
      <c r="G3958" s="74" t="s">
        <v>3153</v>
      </c>
      <c r="H3958" s="181">
        <f>INDEX('Списки данных'!$D$2:$D$1048576,MATCH(База_КР_КК[[#This Row],[Структурное подразделение]],'Списки данных'!$C$2:$C$1048576,0))</f>
        <v>50</v>
      </c>
      <c r="I3958" s="80" t="s">
        <v>159</v>
      </c>
      <c r="J3958" s="80" t="s">
        <v>255</v>
      </c>
      <c r="K3958" s="80" t="s">
        <v>263</v>
      </c>
      <c r="L3958" s="30" t="s">
        <v>191</v>
      </c>
      <c r="M3958" s="68">
        <v>7</v>
      </c>
      <c r="N3958" s="181" t="str">
        <f t="shared" si="62"/>
        <v>нет</v>
      </c>
      <c r="O3958" s="23"/>
      <c r="P3958" s="23"/>
      <c r="Q3958" s="106"/>
      <c r="R3958" s="37">
        <v>969</v>
      </c>
      <c r="S3958" s="39" t="s">
        <v>1378</v>
      </c>
      <c r="T3958" s="37">
        <v>2060</v>
      </c>
      <c r="U3958" s="37" t="s">
        <v>1980</v>
      </c>
      <c r="V3958" s="69" t="s">
        <v>192</v>
      </c>
      <c r="W3958" s="89" t="s">
        <v>130</v>
      </c>
      <c r="X3958" s="106" t="s">
        <v>295</v>
      </c>
      <c r="Y3958" s="107" t="s">
        <v>18</v>
      </c>
      <c r="Z3958" s="67">
        <f>IF(База_КР_КК[[#This Row],[Таб.номер резервиста]]="-","-",IF(OR(База_КР_КК[[#This Row],[Уровень КК]]=2,База_КР_КК[[#This Row],[Уровень КК]]=3),IF(COUNTIFS($U$2:$U3958,$U3958,$F$2:$F3958,$F3958)=1,1,0),IF(COUNTIFS($U$2:$U3958,$U3958,$L$2:$L3958,$L3958)=1,1,0)))</f>
        <v>0</v>
      </c>
      <c r="AA39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8" s="106" t="s">
        <v>37</v>
      </c>
      <c r="AC3958" s="51">
        <v>44403</v>
      </c>
      <c r="AD3958" s="106" t="s">
        <v>15</v>
      </c>
      <c r="AE3958" s="38" t="s">
        <v>394</v>
      </c>
    </row>
    <row r="3959" spans="1:31" ht="18" customHeight="1" x14ac:dyDescent="0.25">
      <c r="A39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59" s="79">
        <v>4</v>
      </c>
      <c r="C3959" s="23">
        <v>44888</v>
      </c>
      <c r="D3959" s="67">
        <f>IF(COUNTIF($G$2:$G3959,$G3959)=1,1,0)</f>
        <v>1</v>
      </c>
      <c r="E3959" s="67" t="str">
        <f>IFERROR(VLOOKUP(База_КР_КК[[#This Row],[ИД штатной должности (S)]],'уровень защищенности'!$B$7:$F$1095,5,0),"не защищена")</f>
        <v>средний</v>
      </c>
      <c r="F3959" s="68">
        <v>500438</v>
      </c>
      <c r="G3959" s="74" t="s">
        <v>3154</v>
      </c>
      <c r="H3959" s="181">
        <f>INDEX('Списки данных'!$D$2:$D$1048576,MATCH(База_КР_КК[[#This Row],[Структурное подразделение]],'Списки данных'!$C$2:$C$1048576,0))</f>
        <v>50</v>
      </c>
      <c r="I3959" s="80" t="s">
        <v>159</v>
      </c>
      <c r="J3959" s="80" t="s">
        <v>255</v>
      </c>
      <c r="K3959" s="80" t="s">
        <v>263</v>
      </c>
      <c r="L3959" s="30" t="s">
        <v>191</v>
      </c>
      <c r="M3959" s="68">
        <v>6</v>
      </c>
      <c r="N3959" s="181" t="str">
        <f t="shared" si="62"/>
        <v>нет</v>
      </c>
      <c r="O3959" s="23"/>
      <c r="P3959" s="23"/>
      <c r="Q3959" s="106"/>
      <c r="R3959" s="37">
        <v>970</v>
      </c>
      <c r="S3959" s="39" t="s">
        <v>1379</v>
      </c>
      <c r="T3959" s="37">
        <v>2058</v>
      </c>
      <c r="U3959" s="38" t="s">
        <v>2115</v>
      </c>
      <c r="V3959" s="69" t="s">
        <v>272</v>
      </c>
      <c r="W3959" s="89" t="s">
        <v>159</v>
      </c>
      <c r="X3959" s="106" t="s">
        <v>297</v>
      </c>
      <c r="Y3959" s="107" t="s">
        <v>12</v>
      </c>
      <c r="Z3959" s="67">
        <f>IF(База_КР_КК[[#This Row],[Таб.номер резервиста]]="-","-",IF(OR(База_КР_КК[[#This Row],[Уровень КК]]=2,База_КР_КК[[#This Row],[Уровень КК]]=3),IF(COUNTIFS($U$2:$U3959,$U3959,$F$2:$F3959,$F3959)=1,1,0),IF(COUNTIFS($U$2:$U3959,$U3959,$L$2:$L3959,$L3959)=1,1,0)))</f>
        <v>0</v>
      </c>
      <c r="AA39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59" s="106"/>
      <c r="AC3959" s="51"/>
      <c r="AD3959" s="106" t="s">
        <v>15</v>
      </c>
      <c r="AE3959" s="38" t="s">
        <v>356</v>
      </c>
    </row>
    <row r="3960" spans="1:31" ht="18" customHeight="1" x14ac:dyDescent="0.25">
      <c r="A39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0" s="79">
        <v>4</v>
      </c>
      <c r="C3960" s="23">
        <v>44888</v>
      </c>
      <c r="D3960" s="67">
        <f>IF(COUNTIF($G$2:$G3960,$G3960)=1,1,0)</f>
        <v>0</v>
      </c>
      <c r="E3960" s="67" t="str">
        <f>IFERROR(VLOOKUP(База_КР_КК[[#This Row],[ИД штатной должности (S)]],'уровень защищенности'!$B$7:$F$1095,5,0),"не защищена")</f>
        <v>средний</v>
      </c>
      <c r="F3960" s="68">
        <v>500438</v>
      </c>
      <c r="G3960" s="74" t="s">
        <v>3154</v>
      </c>
      <c r="H3960" s="181">
        <f>INDEX('Списки данных'!$D$2:$D$1048576,MATCH(База_КР_КК[[#This Row],[Структурное подразделение]],'Списки данных'!$C$2:$C$1048576,0))</f>
        <v>50</v>
      </c>
      <c r="I3960" s="80" t="s">
        <v>159</v>
      </c>
      <c r="J3960" s="80" t="s">
        <v>255</v>
      </c>
      <c r="K3960" s="80" t="s">
        <v>263</v>
      </c>
      <c r="L3960" s="30" t="s">
        <v>191</v>
      </c>
      <c r="M3960" s="68">
        <v>6</v>
      </c>
      <c r="N3960" s="181" t="str">
        <f t="shared" si="62"/>
        <v>нет</v>
      </c>
      <c r="O3960" s="23"/>
      <c r="P3960" s="23"/>
      <c r="Q3960" s="106"/>
      <c r="R3960" s="37">
        <v>970</v>
      </c>
      <c r="S3960" s="39" t="s">
        <v>1379</v>
      </c>
      <c r="T3960" s="37">
        <v>2059</v>
      </c>
      <c r="U3960" s="38" t="s">
        <v>2102</v>
      </c>
      <c r="V3960" s="69" t="s">
        <v>272</v>
      </c>
      <c r="W3960" s="89" t="s">
        <v>159</v>
      </c>
      <c r="X3960" s="106" t="s">
        <v>297</v>
      </c>
      <c r="Y3960" s="107" t="s">
        <v>12</v>
      </c>
      <c r="Z3960" s="67">
        <f>IF(База_КР_КК[[#This Row],[Таб.номер резервиста]]="-","-",IF(OR(База_КР_КК[[#This Row],[Уровень КК]]=2,База_КР_КК[[#This Row],[Уровень КК]]=3),IF(COUNTIFS($U$2:$U3960,$U3960,$F$2:$F3960,$F3960)=1,1,0),IF(COUNTIFS($U$2:$U3960,$U3960,$L$2:$L3960,$L3960)=1,1,0)))</f>
        <v>0</v>
      </c>
      <c r="AA39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0" s="106"/>
      <c r="AC3960" s="51"/>
      <c r="AD3960" s="106" t="s">
        <v>15</v>
      </c>
      <c r="AE3960" s="38" t="s">
        <v>356</v>
      </c>
    </row>
    <row r="3961" spans="1:31" ht="18" customHeight="1" x14ac:dyDescent="0.25">
      <c r="A39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1" s="79">
        <v>4</v>
      </c>
      <c r="C3961" s="23">
        <v>44190</v>
      </c>
      <c r="D3961" s="67">
        <f>IF(COUNTIF($G$2:$G3961,$G3961)=1,1,0)</f>
        <v>0</v>
      </c>
      <c r="E3961" s="67" t="str">
        <f>IFERROR(VLOOKUP(База_КР_КК[[#This Row],[ИД штатной должности (S)]],'уровень защищенности'!$B$7:$F$1095,5,0),"не защищена")</f>
        <v>средний</v>
      </c>
      <c r="F3961" s="68">
        <v>500438</v>
      </c>
      <c r="G3961" s="74" t="s">
        <v>3154</v>
      </c>
      <c r="H3961" s="181">
        <f>INDEX('Списки данных'!$D$2:$D$1048576,MATCH(База_КР_КК[[#This Row],[Структурное подразделение]],'Списки данных'!$C$2:$C$1048576,0))</f>
        <v>50</v>
      </c>
      <c r="I3961" s="80" t="s">
        <v>159</v>
      </c>
      <c r="J3961" s="80" t="s">
        <v>255</v>
      </c>
      <c r="K3961" s="80" t="s">
        <v>263</v>
      </c>
      <c r="L3961" s="30" t="s">
        <v>191</v>
      </c>
      <c r="M3961" s="68">
        <v>7</v>
      </c>
      <c r="N3961" s="181" t="str">
        <f t="shared" si="62"/>
        <v>да</v>
      </c>
      <c r="O3961" s="23">
        <v>44607</v>
      </c>
      <c r="P3961" s="23">
        <v>44669</v>
      </c>
      <c r="Q3961" s="106" t="s">
        <v>66</v>
      </c>
      <c r="R3961" s="37">
        <v>970</v>
      </c>
      <c r="S3961" s="39" t="s">
        <v>1379</v>
      </c>
      <c r="T3961" s="37">
        <v>970</v>
      </c>
      <c r="U3961" s="37" t="s">
        <v>1379</v>
      </c>
      <c r="V3961" s="69" t="s">
        <v>192</v>
      </c>
      <c r="W3961" s="89" t="s">
        <v>159</v>
      </c>
      <c r="X3961" s="106" t="s">
        <v>295</v>
      </c>
      <c r="Y3961" s="107" t="s">
        <v>14</v>
      </c>
      <c r="Z3961" s="67">
        <f>IF(База_КР_КК[[#This Row],[Таб.номер резервиста]]="-","-",IF(OR(База_КР_КК[[#This Row],[Уровень КК]]=2,База_КР_КК[[#This Row],[Уровень КК]]=3),IF(COUNTIFS($U$2:$U3961,$U3961,$F$2:$F3961,$F3961)=1,1,0),IF(COUNTIFS($U$2:$U3961,$U3961,$L$2:$L3961,$L3961)=1,1,0)))</f>
        <v>0</v>
      </c>
      <c r="AA39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3961" s="106" t="s">
        <v>24</v>
      </c>
      <c r="AC3961" s="51">
        <v>44669</v>
      </c>
      <c r="AD3961" s="106" t="s">
        <v>15</v>
      </c>
      <c r="AE3961" s="38" t="s">
        <v>396</v>
      </c>
    </row>
    <row r="3962" spans="1:31" ht="18" customHeight="1" x14ac:dyDescent="0.25">
      <c r="A39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2" s="79">
        <v>4</v>
      </c>
      <c r="C3962" s="23">
        <v>44190</v>
      </c>
      <c r="D3962" s="67">
        <f>IF(COUNTIF($G$2:$G3962,$G3962)=1,1,0)</f>
        <v>0</v>
      </c>
      <c r="E3962" s="67" t="str">
        <f>IFERROR(VLOOKUP(База_КР_КК[[#This Row],[ИД штатной должности (S)]],'уровень защищенности'!$B$7:$F$1095,5,0),"не защищена")</f>
        <v>средний</v>
      </c>
      <c r="F3962" s="68">
        <v>500438</v>
      </c>
      <c r="G3962" s="74" t="s">
        <v>3154</v>
      </c>
      <c r="H3962" s="181">
        <f>INDEX('Списки данных'!$D$2:$D$1048576,MATCH(База_КР_КК[[#This Row],[Структурное подразделение]],'Списки данных'!$C$2:$C$1048576,0))</f>
        <v>50</v>
      </c>
      <c r="I3962" s="80" t="s">
        <v>159</v>
      </c>
      <c r="J3962" s="80" t="s">
        <v>255</v>
      </c>
      <c r="K3962" s="80" t="s">
        <v>263</v>
      </c>
      <c r="L3962" s="30" t="s">
        <v>191</v>
      </c>
      <c r="M3962" s="68">
        <v>7</v>
      </c>
      <c r="N3962" s="181" t="str">
        <f t="shared" si="62"/>
        <v>да</v>
      </c>
      <c r="O3962" s="23">
        <v>44607</v>
      </c>
      <c r="P3962" s="23">
        <v>44669</v>
      </c>
      <c r="Q3962" s="106" t="s">
        <v>66</v>
      </c>
      <c r="R3962" s="37">
        <v>970</v>
      </c>
      <c r="S3962" s="39" t="s">
        <v>1379</v>
      </c>
      <c r="T3962" s="37">
        <v>2060</v>
      </c>
      <c r="U3962" s="37" t="s">
        <v>1980</v>
      </c>
      <c r="V3962" s="69" t="s">
        <v>192</v>
      </c>
      <c r="W3962" s="89" t="s">
        <v>130</v>
      </c>
      <c r="X3962" s="106" t="s">
        <v>295</v>
      </c>
      <c r="Y3962" s="107" t="s">
        <v>18</v>
      </c>
      <c r="Z3962" s="67">
        <f>IF(База_КР_КК[[#This Row],[Таб.номер резервиста]]="-","-",IF(OR(База_КР_КК[[#This Row],[Уровень КК]]=2,База_КР_КК[[#This Row],[Уровень КК]]=3),IF(COUNTIFS($U$2:$U3962,$U3962,$F$2:$F3962,$F3962)=1,1,0),IF(COUNTIFS($U$2:$U3962,$U3962,$L$2:$L3962,$L3962)=1,1,0)))</f>
        <v>0</v>
      </c>
      <c r="AA39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2" s="106" t="s">
        <v>37</v>
      </c>
      <c r="AC3962" s="51">
        <v>44403</v>
      </c>
      <c r="AD3962" s="106" t="s">
        <v>15</v>
      </c>
      <c r="AE3962" s="38" t="s">
        <v>394</v>
      </c>
    </row>
    <row r="3963" spans="1:31" ht="18" customHeight="1" x14ac:dyDescent="0.25">
      <c r="A39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3" s="79">
        <v>4</v>
      </c>
      <c r="C3963" s="23">
        <v>44190</v>
      </c>
      <c r="D3963" s="67">
        <f>IF(COUNTIF($G$2:$G3963,$G3963)=1,1,0)</f>
        <v>1</v>
      </c>
      <c r="E3963" s="67" t="str">
        <f>IFERROR(VLOOKUP(База_КР_КК[[#This Row],[ИД штатной должности (S)]],'уровень защищенности'!$B$7:$F$1095,5,0),"не защищена")</f>
        <v>высокий</v>
      </c>
      <c r="F3963" s="68">
        <v>500468</v>
      </c>
      <c r="G3963" s="74" t="s">
        <v>3155</v>
      </c>
      <c r="H3963" s="181">
        <f>INDEX('Списки данных'!$D$2:$D$1048576,MATCH(База_КР_КК[[#This Row],[Структурное подразделение]],'Списки данных'!$C$2:$C$1048576,0))</f>
        <v>50</v>
      </c>
      <c r="I3963" s="80" t="s">
        <v>159</v>
      </c>
      <c r="J3963" s="80" t="s">
        <v>255</v>
      </c>
      <c r="K3963" s="80" t="s">
        <v>263</v>
      </c>
      <c r="L3963" s="30" t="s">
        <v>198</v>
      </c>
      <c r="M3963" s="68">
        <v>6</v>
      </c>
      <c r="N3963" s="181" t="str">
        <f t="shared" si="62"/>
        <v>нет</v>
      </c>
      <c r="O3963" s="23"/>
      <c r="P3963" s="23"/>
      <c r="Q3963" s="107"/>
      <c r="R3963" s="37">
        <v>971</v>
      </c>
      <c r="S3963" s="39" t="s">
        <v>1380</v>
      </c>
      <c r="T3963" s="37">
        <v>1085</v>
      </c>
      <c r="U3963" s="37" t="s">
        <v>1494</v>
      </c>
      <c r="V3963" s="89" t="s">
        <v>192</v>
      </c>
      <c r="W3963" s="89" t="s">
        <v>159</v>
      </c>
      <c r="X3963" s="106" t="s">
        <v>295</v>
      </c>
      <c r="Y3963" s="107" t="s">
        <v>12</v>
      </c>
      <c r="Z3963" s="67">
        <f>IF(База_КР_КК[[#This Row],[Таб.номер резервиста]]="-","-",IF(OR(База_КР_КК[[#This Row],[Уровень КК]]=2,База_КР_КК[[#This Row],[Уровень КК]]=3),IF(COUNTIFS($U$2:$U3963,$U3963,$F$2:$F3963,$F3963)=1,1,0),IF(COUNTIFS($U$2:$U3963,$U3963,$L$2:$L3963,$L3963)=1,1,0)))</f>
        <v>1</v>
      </c>
      <c r="AA39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3" s="106"/>
      <c r="AC3963" s="51"/>
      <c r="AD3963" s="106" t="s">
        <v>17</v>
      </c>
      <c r="AE3963" s="38" t="s">
        <v>356</v>
      </c>
    </row>
    <row r="3964" spans="1:31" ht="18" customHeight="1" x14ac:dyDescent="0.25">
      <c r="A39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4" s="79">
        <v>4</v>
      </c>
      <c r="C3964" s="23">
        <v>44190</v>
      </c>
      <c r="D3964" s="67">
        <f>IF(COUNTIF($G$2:$G3964,$G3964)=1,1,0)</f>
        <v>1</v>
      </c>
      <c r="E3964" s="67" t="str">
        <f>IFERROR(VLOOKUP(База_КР_КК[[#This Row],[ИД штатной должности (S)]],'уровень защищенности'!$B$7:$F$1095,5,0),"не защищена")</f>
        <v>низкий</v>
      </c>
      <c r="F3964" s="68">
        <v>500469</v>
      </c>
      <c r="G3964" s="74" t="s">
        <v>3156</v>
      </c>
      <c r="H3964" s="181">
        <f>INDEX('Списки данных'!$D$2:$D$1048576,MATCH(База_КР_КК[[#This Row],[Структурное подразделение]],'Списки данных'!$C$2:$C$1048576,0))</f>
        <v>50</v>
      </c>
      <c r="I3964" s="80" t="s">
        <v>159</v>
      </c>
      <c r="J3964" s="80" t="s">
        <v>255</v>
      </c>
      <c r="K3964" s="80" t="s">
        <v>263</v>
      </c>
      <c r="L3964" s="82" t="s">
        <v>192</v>
      </c>
      <c r="M3964" s="68">
        <v>7</v>
      </c>
      <c r="N3964" s="181" t="str">
        <f t="shared" si="62"/>
        <v>нет</v>
      </c>
      <c r="O3964" s="23"/>
      <c r="P3964" s="23"/>
      <c r="Q3964" s="106"/>
      <c r="R3964" s="37">
        <v>972</v>
      </c>
      <c r="S3964" s="39" t="s">
        <v>1381</v>
      </c>
      <c r="T3964" s="37">
        <v>995</v>
      </c>
      <c r="U3964" s="37" t="s">
        <v>1404</v>
      </c>
      <c r="V3964" s="69" t="s">
        <v>192</v>
      </c>
      <c r="W3964" s="89" t="s">
        <v>159</v>
      </c>
      <c r="X3964" s="106" t="s">
        <v>296</v>
      </c>
      <c r="Y3964" s="107" t="s">
        <v>12</v>
      </c>
      <c r="Z3964" s="67">
        <f>IF(База_КР_КК[[#This Row],[Таб.номер резервиста]]="-","-",IF(OR(База_КР_КК[[#This Row],[Уровень КК]]=2,База_КР_КК[[#This Row],[Уровень КК]]=3),IF(COUNTIFS($U$2:$U3964,$U3964,$F$2:$F3964,$F3964)=1,1,0),IF(COUNTIFS($U$2:$U3964,$U3964,$L$2:$L3964,$L3964)=1,1,0)))</f>
        <v>1</v>
      </c>
      <c r="AA39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4" s="106"/>
      <c r="AC3964" s="51"/>
      <c r="AD3964" s="106" t="s">
        <v>15</v>
      </c>
      <c r="AE3964" s="38" t="s">
        <v>394</v>
      </c>
    </row>
    <row r="3965" spans="1:31" ht="18" customHeight="1" x14ac:dyDescent="0.25">
      <c r="A39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5" s="79">
        <v>4</v>
      </c>
      <c r="C3965" s="23">
        <v>44190</v>
      </c>
      <c r="D3965" s="67">
        <f>IF(COUNTIF($G$2:$G3965,$G3965)=1,1,0)</f>
        <v>0</v>
      </c>
      <c r="E3965" s="67" t="str">
        <f>IFERROR(VLOOKUP(База_КР_КК[[#This Row],[ИД штатной должности (S)]],'уровень защищенности'!$B$7:$F$1095,5,0),"не защищена")</f>
        <v>низкий</v>
      </c>
      <c r="F3965" s="68">
        <v>500469</v>
      </c>
      <c r="G3965" s="74" t="s">
        <v>3156</v>
      </c>
      <c r="H3965" s="181">
        <f>INDEX('Списки данных'!$D$2:$D$1048576,MATCH(База_КР_КК[[#This Row],[Структурное подразделение]],'Списки данных'!$C$2:$C$1048576,0))</f>
        <v>50</v>
      </c>
      <c r="I3965" s="80" t="s">
        <v>159</v>
      </c>
      <c r="J3965" s="80" t="s">
        <v>255</v>
      </c>
      <c r="K3965" s="80" t="s">
        <v>263</v>
      </c>
      <c r="L3965" s="82" t="s">
        <v>192</v>
      </c>
      <c r="M3965" s="68">
        <v>7</v>
      </c>
      <c r="N3965" s="181" t="str">
        <f t="shared" ref="N3965:N4028" si="63">IF(ISBLANK(O3965),"нет","да")</f>
        <v>нет</v>
      </c>
      <c r="O3965" s="23"/>
      <c r="P3965" s="23"/>
      <c r="Q3965" s="106"/>
      <c r="R3965" s="37">
        <v>972</v>
      </c>
      <c r="S3965" s="39" t="s">
        <v>1381</v>
      </c>
      <c r="T3965" s="37">
        <v>2061</v>
      </c>
      <c r="U3965" s="37" t="s">
        <v>1859</v>
      </c>
      <c r="V3965" s="69" t="s">
        <v>272</v>
      </c>
      <c r="W3965" s="89" t="s">
        <v>159</v>
      </c>
      <c r="X3965" s="106" t="s">
        <v>296</v>
      </c>
      <c r="Y3965" s="107" t="s">
        <v>12</v>
      </c>
      <c r="Z3965" s="67">
        <f>IF(База_КР_КК[[#This Row],[Таб.номер резервиста]]="-","-",IF(OR(База_КР_КК[[#This Row],[Уровень КК]]=2,База_КР_КК[[#This Row],[Уровень КК]]=3),IF(COUNTIFS($U$2:$U3965,$U3965,$F$2:$F3965,$F3965)=1,1,0),IF(COUNTIFS($U$2:$U3965,$U3965,$L$2:$L3965,$L3965)=1,1,0)))</f>
        <v>0</v>
      </c>
      <c r="AA39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5" s="106"/>
      <c r="AC3965" s="51"/>
      <c r="AD3965" s="106" t="s">
        <v>13</v>
      </c>
      <c r="AE3965" s="38" t="s">
        <v>356</v>
      </c>
    </row>
    <row r="3966" spans="1:31" ht="18" customHeight="1" x14ac:dyDescent="0.25">
      <c r="A39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6" s="79">
        <v>4</v>
      </c>
      <c r="C3966" s="23">
        <v>44888</v>
      </c>
      <c r="D3966" s="67">
        <f>IF(COUNTIF($G$2:$G3966,$G3966)=1,1,0)</f>
        <v>0</v>
      </c>
      <c r="E3966" s="67" t="str">
        <f>IFERROR(VLOOKUP(База_КР_КК[[#This Row],[ИД штатной должности (S)]],'уровень защищенности'!$B$7:$F$1095,5,0),"не защищена")</f>
        <v>низкий</v>
      </c>
      <c r="F3966" s="68">
        <v>500469</v>
      </c>
      <c r="G3966" s="74" t="s">
        <v>3156</v>
      </c>
      <c r="H3966" s="181">
        <f>INDEX('Списки данных'!$D$2:$D$1048576,MATCH(База_КР_КК[[#This Row],[Структурное подразделение]],'Списки данных'!$C$2:$C$1048576,0))</f>
        <v>50</v>
      </c>
      <c r="I3966" s="80" t="s">
        <v>159</v>
      </c>
      <c r="J3966" s="80" t="s">
        <v>255</v>
      </c>
      <c r="K3966" s="80" t="s">
        <v>263</v>
      </c>
      <c r="L3966" s="82" t="s">
        <v>192</v>
      </c>
      <c r="M3966" s="68">
        <v>7</v>
      </c>
      <c r="N3966" s="181" t="str">
        <f t="shared" si="63"/>
        <v>нет</v>
      </c>
      <c r="O3966" s="23"/>
      <c r="P3966" s="23"/>
      <c r="Q3966" s="106"/>
      <c r="R3966" s="37">
        <v>972</v>
      </c>
      <c r="S3966" s="39" t="s">
        <v>1381</v>
      </c>
      <c r="T3966" s="37">
        <v>2062</v>
      </c>
      <c r="U3966" s="38" t="s">
        <v>2131</v>
      </c>
      <c r="V3966" s="69" t="s">
        <v>272</v>
      </c>
      <c r="W3966" s="89" t="s">
        <v>159</v>
      </c>
      <c r="X3966" s="106" t="s">
        <v>296</v>
      </c>
      <c r="Y3966" s="107" t="s">
        <v>12</v>
      </c>
      <c r="Z3966" s="67">
        <f>IF(База_КР_КК[[#This Row],[Таб.номер резервиста]]="-","-",IF(OR(База_КР_КК[[#This Row],[Уровень КК]]=2,База_КР_КК[[#This Row],[Уровень КК]]=3),IF(COUNTIFS($U$2:$U3966,$U3966,$F$2:$F3966,$F3966)=1,1,0),IF(COUNTIFS($U$2:$U3966,$U3966,$L$2:$L3966,$L3966)=1,1,0)))</f>
        <v>1</v>
      </c>
      <c r="AA39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6" s="106"/>
      <c r="AC3966" s="51"/>
      <c r="AD3966" s="106" t="s">
        <v>15</v>
      </c>
      <c r="AE3966" s="38" t="s">
        <v>356</v>
      </c>
    </row>
    <row r="3967" spans="1:31" ht="18" customHeight="1" x14ac:dyDescent="0.25">
      <c r="A39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7" s="79">
        <v>4</v>
      </c>
      <c r="C3967" s="23">
        <v>44888</v>
      </c>
      <c r="D3967" s="67">
        <f>IF(COUNTIF($G$2:$G3967,$G3967)=1,1,0)</f>
        <v>0</v>
      </c>
      <c r="E3967" s="67" t="str">
        <f>IFERROR(VLOOKUP(База_КР_КК[[#This Row],[ИД штатной должности (S)]],'уровень защищенности'!$B$7:$F$1095,5,0),"не защищена")</f>
        <v>низкий</v>
      </c>
      <c r="F3967" s="68">
        <v>500469</v>
      </c>
      <c r="G3967" s="74" t="s">
        <v>3156</v>
      </c>
      <c r="H3967" s="181">
        <f>INDEX('Списки данных'!$D$2:$D$1048576,MATCH(База_КР_КК[[#This Row],[Структурное подразделение]],'Списки данных'!$C$2:$C$1048576,0))</f>
        <v>50</v>
      </c>
      <c r="I3967" s="80" t="s">
        <v>159</v>
      </c>
      <c r="J3967" s="80" t="s">
        <v>255</v>
      </c>
      <c r="K3967" s="80" t="s">
        <v>263</v>
      </c>
      <c r="L3967" s="82" t="s">
        <v>192</v>
      </c>
      <c r="M3967" s="68">
        <v>7</v>
      </c>
      <c r="N3967" s="181" t="str">
        <f t="shared" si="63"/>
        <v>нет</v>
      </c>
      <c r="O3967" s="23"/>
      <c r="P3967" s="23"/>
      <c r="Q3967" s="106"/>
      <c r="R3967" s="37">
        <v>972</v>
      </c>
      <c r="S3967" s="39" t="s">
        <v>1381</v>
      </c>
      <c r="T3967" s="37">
        <v>2063</v>
      </c>
      <c r="U3967" s="38" t="s">
        <v>1925</v>
      </c>
      <c r="V3967" s="69" t="s">
        <v>272</v>
      </c>
      <c r="W3967" s="89" t="s">
        <v>159</v>
      </c>
      <c r="X3967" s="106" t="s">
        <v>296</v>
      </c>
      <c r="Y3967" s="107" t="s">
        <v>12</v>
      </c>
      <c r="Z3967" s="67">
        <f>IF(База_КР_КК[[#This Row],[Таб.номер резервиста]]="-","-",IF(OR(База_КР_КК[[#This Row],[Уровень КК]]=2,База_КР_КК[[#This Row],[Уровень КК]]=3),IF(COUNTIFS($U$2:$U3967,$U3967,$F$2:$F3967,$F3967)=1,1,0),IF(COUNTIFS($U$2:$U3967,$U3967,$L$2:$L3967,$L3967)=1,1,0)))</f>
        <v>0</v>
      </c>
      <c r="AA39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7" s="106"/>
      <c r="AC3967" s="51"/>
      <c r="AD3967" s="106" t="s">
        <v>15</v>
      </c>
      <c r="AE3967" s="38" t="s">
        <v>356</v>
      </c>
    </row>
    <row r="3968" spans="1:31" ht="18" customHeight="1" x14ac:dyDescent="0.25">
      <c r="A39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8" s="79">
        <v>4</v>
      </c>
      <c r="C3968" s="23">
        <v>44190</v>
      </c>
      <c r="D3968" s="67">
        <f>IF(COUNTIF($G$2:$G3968,$G3968)=1,1,0)</f>
        <v>0</v>
      </c>
      <c r="E3968" s="67" t="str">
        <f>IFERROR(VLOOKUP(База_КР_КК[[#This Row],[ИД штатной должности (S)]],'уровень защищенности'!$B$7:$F$1095,5,0),"не защищена")</f>
        <v>низкий</v>
      </c>
      <c r="F3968" s="68">
        <v>500469</v>
      </c>
      <c r="G3968" s="74" t="s">
        <v>3156</v>
      </c>
      <c r="H3968" s="181">
        <f>INDEX('Списки данных'!$D$2:$D$1048576,MATCH(База_КР_КК[[#This Row],[Структурное подразделение]],'Списки данных'!$C$2:$C$1048576,0))</f>
        <v>50</v>
      </c>
      <c r="I3968" s="80" t="s">
        <v>159</v>
      </c>
      <c r="J3968" s="80" t="s">
        <v>255</v>
      </c>
      <c r="K3968" s="80" t="s">
        <v>263</v>
      </c>
      <c r="L3968" s="82" t="s">
        <v>192</v>
      </c>
      <c r="M3968" s="68">
        <v>7</v>
      </c>
      <c r="N3968" s="181" t="str">
        <f t="shared" si="63"/>
        <v>нет</v>
      </c>
      <c r="O3968" s="23"/>
      <c r="P3968" s="23"/>
      <c r="Q3968" s="106"/>
      <c r="R3968" s="37">
        <v>972</v>
      </c>
      <c r="S3968" s="39" t="s">
        <v>1381</v>
      </c>
      <c r="T3968" s="37">
        <v>982</v>
      </c>
      <c r="U3968" s="37" t="s">
        <v>1391</v>
      </c>
      <c r="V3968" s="80" t="s">
        <v>192</v>
      </c>
      <c r="W3968" s="89" t="s">
        <v>159</v>
      </c>
      <c r="X3968" s="106" t="s">
        <v>295</v>
      </c>
      <c r="Y3968" s="107" t="s">
        <v>18</v>
      </c>
      <c r="Z3968" s="67">
        <f>IF(База_КР_КК[[#This Row],[Таб.номер резервиста]]="-","-",IF(OR(База_КР_КК[[#This Row],[Уровень КК]]=2,База_КР_КК[[#This Row],[Уровень КК]]=3),IF(COUNTIFS($U$2:$U3968,$U3968,$F$2:$F3968,$F3968)=1,1,0),IF(COUNTIFS($U$2:$U3968,$U3968,$L$2:$L3968,$L3968)=1,1,0)))</f>
        <v>1</v>
      </c>
      <c r="AA39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8" s="106" t="s">
        <v>37</v>
      </c>
      <c r="AC3968" s="51">
        <v>44558</v>
      </c>
      <c r="AD3968" s="106" t="s">
        <v>15</v>
      </c>
      <c r="AE3968" s="38" t="s">
        <v>394</v>
      </c>
    </row>
    <row r="3969" spans="1:31" ht="18" customHeight="1" x14ac:dyDescent="0.25">
      <c r="A39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69" s="79">
        <v>4</v>
      </c>
      <c r="C3969" s="23">
        <v>44190</v>
      </c>
      <c r="D3969" s="67">
        <f>IF(COUNTIF($G$2:$G3969,$G3969)=1,1,0)</f>
        <v>1</v>
      </c>
      <c r="E3969" s="67" t="str">
        <f>IFERROR(VLOOKUP(База_КР_КК[[#This Row],[ИД штатной должности (S)]],'уровень защищенности'!$B$7:$F$1095,5,0),"не защищена")</f>
        <v>высокий</v>
      </c>
      <c r="F3969" s="68">
        <v>500470</v>
      </c>
      <c r="G3969" s="74" t="s">
        <v>3157</v>
      </c>
      <c r="H3969" s="181">
        <f>INDEX('Списки данных'!$D$2:$D$1048576,MATCH(База_КР_КК[[#This Row],[Структурное подразделение]],'Списки данных'!$C$2:$C$1048576,0))</f>
        <v>50</v>
      </c>
      <c r="I3969" s="80" t="s">
        <v>159</v>
      </c>
      <c r="J3969" s="80" t="s">
        <v>255</v>
      </c>
      <c r="K3969" s="80" t="s">
        <v>263</v>
      </c>
      <c r="L3969" s="30" t="s">
        <v>198</v>
      </c>
      <c r="M3969" s="68">
        <v>6</v>
      </c>
      <c r="N3969" s="181" t="str">
        <f t="shared" si="63"/>
        <v>нет</v>
      </c>
      <c r="O3969" s="23"/>
      <c r="P3969" s="23"/>
      <c r="Q3969" s="106"/>
      <c r="R3969" s="37">
        <v>973</v>
      </c>
      <c r="S3969" s="39" t="s">
        <v>1382</v>
      </c>
      <c r="T3969" s="37">
        <v>975</v>
      </c>
      <c r="U3969" s="37" t="s">
        <v>1384</v>
      </c>
      <c r="V3969" s="89" t="s">
        <v>192</v>
      </c>
      <c r="W3969" s="89" t="s">
        <v>159</v>
      </c>
      <c r="X3969" s="106" t="s">
        <v>295</v>
      </c>
      <c r="Y3969" s="107" t="s">
        <v>12</v>
      </c>
      <c r="Z3969" s="67">
        <f>IF(База_КР_КК[[#This Row],[Таб.номер резервиста]]="-","-",IF(OR(База_КР_КК[[#This Row],[Уровень КК]]=2,База_КР_КК[[#This Row],[Уровень КК]]=3),IF(COUNTIFS($U$2:$U3969,$U3969,$F$2:$F3969,$F3969)=1,1,0),IF(COUNTIFS($U$2:$U3969,$U3969,$L$2:$L3969,$L3969)=1,1,0)))</f>
        <v>1</v>
      </c>
      <c r="AA39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69" s="106"/>
      <c r="AC3969" s="51"/>
      <c r="AD3969" s="106" t="s">
        <v>13</v>
      </c>
      <c r="AE3969" s="38" t="s">
        <v>356</v>
      </c>
    </row>
    <row r="3970" spans="1:31" ht="18" customHeight="1" x14ac:dyDescent="0.25">
      <c r="A39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0" s="79">
        <v>4</v>
      </c>
      <c r="C3970" s="23">
        <v>44888</v>
      </c>
      <c r="D3970" s="67">
        <f>IF(COUNTIF($G$2:$G3970,$G3970)=1,1,0)</f>
        <v>1</v>
      </c>
      <c r="E3970" s="67" t="str">
        <f>IFERROR(VLOOKUP(База_КР_КК[[#This Row],[ИД штатной должности (S)]],'уровень защищенности'!$B$7:$F$1095,5,0),"не защищена")</f>
        <v>низкий</v>
      </c>
      <c r="F3970" s="68">
        <v>500471</v>
      </c>
      <c r="G3970" s="74" t="s">
        <v>3158</v>
      </c>
      <c r="H3970" s="181">
        <f>INDEX('Списки данных'!$D$2:$D$1048576,MATCH(База_КР_КК[[#This Row],[Структурное подразделение]],'Списки данных'!$C$2:$C$1048576,0))</f>
        <v>50</v>
      </c>
      <c r="I3970" s="80" t="s">
        <v>159</v>
      </c>
      <c r="J3970" s="80" t="s">
        <v>255</v>
      </c>
      <c r="K3970" s="80" t="s">
        <v>263</v>
      </c>
      <c r="L3970" s="82" t="s">
        <v>192</v>
      </c>
      <c r="M3970" s="68">
        <v>7</v>
      </c>
      <c r="N3970" s="181" t="str">
        <f t="shared" si="63"/>
        <v>нет</v>
      </c>
      <c r="O3970" s="23"/>
      <c r="P3970" s="23"/>
      <c r="Q3970" s="106"/>
      <c r="R3970" s="37">
        <v>974</v>
      </c>
      <c r="S3970" s="39" t="s">
        <v>1383</v>
      </c>
      <c r="T3970" s="37">
        <v>2063</v>
      </c>
      <c r="U3970" s="38" t="s">
        <v>1925</v>
      </c>
      <c r="V3970" s="69" t="s">
        <v>272</v>
      </c>
      <c r="W3970" s="89" t="s">
        <v>159</v>
      </c>
      <c r="X3970" s="106" t="s">
        <v>296</v>
      </c>
      <c r="Y3970" s="107" t="s">
        <v>12</v>
      </c>
      <c r="Z3970" s="67">
        <f>IF(База_КР_КК[[#This Row],[Таб.номер резервиста]]="-","-",IF(OR(База_КР_КК[[#This Row],[Уровень КК]]=2,База_КР_КК[[#This Row],[Уровень КК]]=3),IF(COUNTIFS($U$2:$U3970,$U3970,$F$2:$F3970,$F3970)=1,1,0),IF(COUNTIFS($U$2:$U3970,$U3970,$L$2:$L3970,$L3970)=1,1,0)))</f>
        <v>0</v>
      </c>
      <c r="AA39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0" s="106"/>
      <c r="AC3970" s="51"/>
      <c r="AD3970" s="106" t="s">
        <v>15</v>
      </c>
      <c r="AE3970" s="38" t="s">
        <v>356</v>
      </c>
    </row>
    <row r="3971" spans="1:31" ht="18" customHeight="1" x14ac:dyDescent="0.25">
      <c r="A39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1" s="79">
        <v>4</v>
      </c>
      <c r="C3971" s="23">
        <v>44190</v>
      </c>
      <c r="D3971" s="67">
        <f>IF(COUNTIF($G$2:$G3971,$G3971)=1,1,0)</f>
        <v>0</v>
      </c>
      <c r="E3971" s="67" t="str">
        <f>IFERROR(VLOOKUP(База_КР_КК[[#This Row],[ИД штатной должности (S)]],'уровень защищенности'!$B$7:$F$1095,5,0),"не защищена")</f>
        <v>низкий</v>
      </c>
      <c r="F3971" s="68">
        <v>500471</v>
      </c>
      <c r="G3971" s="74" t="s">
        <v>3158</v>
      </c>
      <c r="H3971" s="181">
        <f>INDEX('Списки данных'!$D$2:$D$1048576,MATCH(База_КР_КК[[#This Row],[Структурное подразделение]],'Списки данных'!$C$2:$C$1048576,0))</f>
        <v>50</v>
      </c>
      <c r="I3971" s="80" t="s">
        <v>159</v>
      </c>
      <c r="J3971" s="80" t="s">
        <v>255</v>
      </c>
      <c r="K3971" s="80" t="s">
        <v>263</v>
      </c>
      <c r="L3971" s="82" t="s">
        <v>192</v>
      </c>
      <c r="M3971" s="68">
        <v>7</v>
      </c>
      <c r="N3971" s="181" t="str">
        <f t="shared" si="63"/>
        <v>нет</v>
      </c>
      <c r="O3971" s="23"/>
      <c r="P3971" s="23"/>
      <c r="Q3971" s="106"/>
      <c r="R3971" s="37">
        <v>974</v>
      </c>
      <c r="S3971" s="39" t="s">
        <v>1383</v>
      </c>
      <c r="T3971" s="37">
        <v>982</v>
      </c>
      <c r="U3971" s="37" t="s">
        <v>1391</v>
      </c>
      <c r="V3971" s="80" t="s">
        <v>192</v>
      </c>
      <c r="W3971" s="89" t="s">
        <v>159</v>
      </c>
      <c r="X3971" s="106" t="s">
        <v>295</v>
      </c>
      <c r="Y3971" s="107" t="s">
        <v>18</v>
      </c>
      <c r="Z3971" s="67">
        <f>IF(База_КР_КК[[#This Row],[Таб.номер резервиста]]="-","-",IF(OR(База_КР_КК[[#This Row],[Уровень КК]]=2,База_КР_КК[[#This Row],[Уровень КК]]=3),IF(COUNTIFS($U$2:$U3971,$U3971,$F$2:$F3971,$F3971)=1,1,0),IF(COUNTIFS($U$2:$U3971,$U3971,$L$2:$L3971,$L3971)=1,1,0)))</f>
        <v>0</v>
      </c>
      <c r="AA39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1" s="106" t="s">
        <v>37</v>
      </c>
      <c r="AC3971" s="51">
        <v>44558</v>
      </c>
      <c r="AD3971" s="106" t="s">
        <v>15</v>
      </c>
      <c r="AE3971" s="38" t="s">
        <v>394</v>
      </c>
    </row>
    <row r="3972" spans="1:31" ht="18" customHeight="1" x14ac:dyDescent="0.25">
      <c r="A39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2" s="79">
        <v>4</v>
      </c>
      <c r="C3972" s="23">
        <v>44888</v>
      </c>
      <c r="D3972" s="67">
        <f>IF(COUNTIF($G$2:$G3972,$G3972)=1,1,0)</f>
        <v>1</v>
      </c>
      <c r="E3972" s="67" t="str">
        <f>IFERROR(VLOOKUP(База_КР_КК[[#This Row],[ИД штатной должности (S)]],'уровень защищенности'!$B$7:$F$1095,5,0),"не защищена")</f>
        <v>низкий</v>
      </c>
      <c r="F3972" s="68">
        <v>500471</v>
      </c>
      <c r="G3972" s="74" t="s">
        <v>3159</v>
      </c>
      <c r="H3972" s="181">
        <f>INDEX('Списки данных'!$D$2:$D$1048576,MATCH(База_КР_КК[[#This Row],[Структурное подразделение]],'Списки данных'!$C$2:$C$1048576,0))</f>
        <v>50</v>
      </c>
      <c r="I3972" s="80" t="s">
        <v>159</v>
      </c>
      <c r="J3972" s="80" t="s">
        <v>255</v>
      </c>
      <c r="K3972" s="80" t="s">
        <v>263</v>
      </c>
      <c r="L3972" s="82" t="s">
        <v>192</v>
      </c>
      <c r="M3972" s="68">
        <v>7</v>
      </c>
      <c r="N3972" s="181" t="str">
        <f t="shared" si="63"/>
        <v>нет</v>
      </c>
      <c r="O3972" s="23"/>
      <c r="P3972" s="23"/>
      <c r="Q3972" s="106"/>
      <c r="R3972" s="37">
        <v>975</v>
      </c>
      <c r="S3972" s="39" t="s">
        <v>1384</v>
      </c>
      <c r="T3972" s="37">
        <v>2063</v>
      </c>
      <c r="U3972" s="38" t="s">
        <v>1925</v>
      </c>
      <c r="V3972" s="69" t="s">
        <v>272</v>
      </c>
      <c r="W3972" s="89" t="s">
        <v>159</v>
      </c>
      <c r="X3972" s="106" t="s">
        <v>296</v>
      </c>
      <c r="Y3972" s="107" t="s">
        <v>12</v>
      </c>
      <c r="Z3972" s="67">
        <f>IF(База_КР_КК[[#This Row],[Таб.номер резервиста]]="-","-",IF(OR(База_КР_КК[[#This Row],[Уровень КК]]=2,База_КР_КК[[#This Row],[Уровень КК]]=3),IF(COUNTIFS($U$2:$U3972,$U3972,$F$2:$F3972,$F3972)=1,1,0),IF(COUNTIFS($U$2:$U3972,$U3972,$L$2:$L3972,$L3972)=1,1,0)))</f>
        <v>0</v>
      </c>
      <c r="AA39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2" s="106"/>
      <c r="AC3972" s="51"/>
      <c r="AD3972" s="106" t="s">
        <v>15</v>
      </c>
      <c r="AE3972" s="38" t="s">
        <v>356</v>
      </c>
    </row>
    <row r="3973" spans="1:31" ht="18" customHeight="1" x14ac:dyDescent="0.25">
      <c r="A39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3" s="79">
        <v>4</v>
      </c>
      <c r="C3973" s="23">
        <v>44190</v>
      </c>
      <c r="D3973" s="67">
        <f>IF(COUNTIF($G$2:$G3973,$G3973)=1,1,0)</f>
        <v>0</v>
      </c>
      <c r="E3973" s="67" t="str">
        <f>IFERROR(VLOOKUP(База_КР_КК[[#This Row],[ИД штатной должности (S)]],'уровень защищенности'!$B$7:$F$1095,5,0),"не защищена")</f>
        <v>низкий</v>
      </c>
      <c r="F3973" s="68">
        <v>500471</v>
      </c>
      <c r="G3973" s="74" t="s">
        <v>3159</v>
      </c>
      <c r="H3973" s="181">
        <f>INDEX('Списки данных'!$D$2:$D$1048576,MATCH(База_КР_КК[[#This Row],[Структурное подразделение]],'Списки данных'!$C$2:$C$1048576,0))</f>
        <v>50</v>
      </c>
      <c r="I3973" s="80" t="s">
        <v>159</v>
      </c>
      <c r="J3973" s="80" t="s">
        <v>255</v>
      </c>
      <c r="K3973" s="80" t="s">
        <v>263</v>
      </c>
      <c r="L3973" s="82" t="s">
        <v>192</v>
      </c>
      <c r="M3973" s="68">
        <v>7</v>
      </c>
      <c r="N3973" s="181" t="str">
        <f t="shared" si="63"/>
        <v>нет</v>
      </c>
      <c r="O3973" s="23"/>
      <c r="P3973" s="23"/>
      <c r="Q3973" s="106"/>
      <c r="R3973" s="37">
        <v>975</v>
      </c>
      <c r="S3973" s="39" t="s">
        <v>1384</v>
      </c>
      <c r="T3973" s="37">
        <v>982</v>
      </c>
      <c r="U3973" s="37" t="s">
        <v>1391</v>
      </c>
      <c r="V3973" s="80" t="s">
        <v>192</v>
      </c>
      <c r="W3973" s="89" t="s">
        <v>159</v>
      </c>
      <c r="X3973" s="106" t="s">
        <v>295</v>
      </c>
      <c r="Y3973" s="107" t="s">
        <v>18</v>
      </c>
      <c r="Z3973" s="67">
        <f>IF(База_КР_КК[[#This Row],[Таб.номер резервиста]]="-","-",IF(OR(База_КР_КК[[#This Row],[Уровень КК]]=2,База_КР_КК[[#This Row],[Уровень КК]]=3),IF(COUNTIFS($U$2:$U3973,$U3973,$F$2:$F3973,$F3973)=1,1,0),IF(COUNTIFS($U$2:$U3973,$U3973,$L$2:$L3973,$L3973)=1,1,0)))</f>
        <v>0</v>
      </c>
      <c r="AA39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3" s="106" t="s">
        <v>37</v>
      </c>
      <c r="AC3973" s="51">
        <v>44558</v>
      </c>
      <c r="AD3973" s="106" t="s">
        <v>15</v>
      </c>
      <c r="AE3973" s="38" t="s">
        <v>394</v>
      </c>
    </row>
    <row r="3974" spans="1:31" ht="18" customHeight="1" x14ac:dyDescent="0.25">
      <c r="A39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4" s="79">
        <v>4</v>
      </c>
      <c r="C3974" s="23">
        <v>44888</v>
      </c>
      <c r="D3974" s="67">
        <f>IF(COUNTIF($G$2:$G3974,$G3974)=1,1,0)</f>
        <v>1</v>
      </c>
      <c r="E3974" s="67" t="str">
        <f>IFERROR(VLOOKUP(База_КР_КК[[#This Row],[ИД штатной должности (S)]],'уровень защищенности'!$B$7:$F$1095,5,0),"не защищена")</f>
        <v>низкий</v>
      </c>
      <c r="F3974" s="68">
        <v>500471</v>
      </c>
      <c r="G3974" s="74" t="s">
        <v>3160</v>
      </c>
      <c r="H3974" s="181">
        <f>INDEX('Списки данных'!$D$2:$D$1048576,MATCH(База_КР_КК[[#This Row],[Структурное подразделение]],'Списки данных'!$C$2:$C$1048576,0))</f>
        <v>50</v>
      </c>
      <c r="I3974" s="80" t="s">
        <v>159</v>
      </c>
      <c r="J3974" s="80" t="s">
        <v>255</v>
      </c>
      <c r="K3974" s="80" t="s">
        <v>263</v>
      </c>
      <c r="L3974" s="82" t="s">
        <v>192</v>
      </c>
      <c r="M3974" s="68">
        <v>7</v>
      </c>
      <c r="N3974" s="181" t="str">
        <f t="shared" si="63"/>
        <v>нет</v>
      </c>
      <c r="O3974" s="23"/>
      <c r="P3974" s="23"/>
      <c r="Q3974" s="106"/>
      <c r="R3974" s="37">
        <v>976</v>
      </c>
      <c r="S3974" s="39" t="s">
        <v>1385</v>
      </c>
      <c r="T3974" s="37">
        <v>2063</v>
      </c>
      <c r="U3974" s="38" t="s">
        <v>1925</v>
      </c>
      <c r="V3974" s="69" t="s">
        <v>272</v>
      </c>
      <c r="W3974" s="89" t="s">
        <v>159</v>
      </c>
      <c r="X3974" s="106" t="s">
        <v>296</v>
      </c>
      <c r="Y3974" s="107" t="s">
        <v>12</v>
      </c>
      <c r="Z3974" s="67">
        <f>IF(База_КР_КК[[#This Row],[Таб.номер резервиста]]="-","-",IF(OR(База_КР_КК[[#This Row],[Уровень КК]]=2,База_КР_КК[[#This Row],[Уровень КК]]=3),IF(COUNTIFS($U$2:$U3974,$U3974,$F$2:$F3974,$F3974)=1,1,0),IF(COUNTIFS($U$2:$U3974,$U3974,$L$2:$L3974,$L3974)=1,1,0)))</f>
        <v>0</v>
      </c>
      <c r="AA39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4" s="106"/>
      <c r="AC3974" s="51"/>
      <c r="AD3974" s="106" t="s">
        <v>15</v>
      </c>
      <c r="AE3974" s="38" t="s">
        <v>356</v>
      </c>
    </row>
    <row r="3975" spans="1:31" ht="18" customHeight="1" x14ac:dyDescent="0.25">
      <c r="A39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5" s="79">
        <v>4</v>
      </c>
      <c r="C3975" s="23">
        <v>44190</v>
      </c>
      <c r="D3975" s="67">
        <f>IF(COUNTIF($G$2:$G3975,$G3975)=1,1,0)</f>
        <v>0</v>
      </c>
      <c r="E3975" s="67" t="str">
        <f>IFERROR(VLOOKUP(База_КР_КК[[#This Row],[ИД штатной должности (S)]],'уровень защищенности'!$B$7:$F$1095,5,0),"не защищена")</f>
        <v>низкий</v>
      </c>
      <c r="F3975" s="68">
        <v>500471</v>
      </c>
      <c r="G3975" s="74" t="s">
        <v>3160</v>
      </c>
      <c r="H3975" s="181">
        <f>INDEX('Списки данных'!$D$2:$D$1048576,MATCH(База_КР_КК[[#This Row],[Структурное подразделение]],'Списки данных'!$C$2:$C$1048576,0))</f>
        <v>50</v>
      </c>
      <c r="I3975" s="80" t="s">
        <v>159</v>
      </c>
      <c r="J3975" s="80" t="s">
        <v>255</v>
      </c>
      <c r="K3975" s="80" t="s">
        <v>263</v>
      </c>
      <c r="L3975" s="82" t="s">
        <v>192</v>
      </c>
      <c r="M3975" s="68">
        <v>7</v>
      </c>
      <c r="N3975" s="181" t="str">
        <f t="shared" si="63"/>
        <v>нет</v>
      </c>
      <c r="O3975" s="23"/>
      <c r="P3975" s="23"/>
      <c r="Q3975" s="106"/>
      <c r="R3975" s="37">
        <v>976</v>
      </c>
      <c r="S3975" s="39" t="s">
        <v>1385</v>
      </c>
      <c r="T3975" s="37">
        <v>982</v>
      </c>
      <c r="U3975" s="37" t="s">
        <v>1391</v>
      </c>
      <c r="V3975" s="80" t="s">
        <v>192</v>
      </c>
      <c r="W3975" s="89" t="s">
        <v>159</v>
      </c>
      <c r="X3975" s="106" t="s">
        <v>295</v>
      </c>
      <c r="Y3975" s="107" t="s">
        <v>18</v>
      </c>
      <c r="Z3975" s="67">
        <f>IF(База_КР_КК[[#This Row],[Таб.номер резервиста]]="-","-",IF(OR(База_КР_КК[[#This Row],[Уровень КК]]=2,База_КР_КК[[#This Row],[Уровень КК]]=3),IF(COUNTIFS($U$2:$U3975,$U3975,$F$2:$F3975,$F3975)=1,1,0),IF(COUNTIFS($U$2:$U3975,$U3975,$L$2:$L3975,$L3975)=1,1,0)))</f>
        <v>0</v>
      </c>
      <c r="AA39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5" s="106" t="s">
        <v>37</v>
      </c>
      <c r="AC3975" s="51">
        <v>44558</v>
      </c>
      <c r="AD3975" s="106" t="s">
        <v>15</v>
      </c>
      <c r="AE3975" s="38" t="s">
        <v>394</v>
      </c>
    </row>
    <row r="3976" spans="1:31" ht="18" customHeight="1" x14ac:dyDescent="0.25">
      <c r="A39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6" s="79">
        <v>4</v>
      </c>
      <c r="C3976" s="23">
        <v>44190</v>
      </c>
      <c r="D3976" s="67">
        <f>IF(COUNTIF($G$2:$G3976,$G3976)=1,1,0)</f>
        <v>1</v>
      </c>
      <c r="E3976" s="67" t="str">
        <f>IFERROR(VLOOKUP(База_КР_КК[[#This Row],[ИД штатной должности (S)]],'уровень защищенности'!$B$7:$F$1095,5,0),"не защищена")</f>
        <v>высокий</v>
      </c>
      <c r="F3976" s="68">
        <v>500472</v>
      </c>
      <c r="G3976" s="74" t="s">
        <v>3161</v>
      </c>
      <c r="H3976" s="181">
        <f>INDEX('Списки данных'!$D$2:$D$1048576,MATCH(База_КР_КК[[#This Row],[Структурное подразделение]],'Списки данных'!$C$2:$C$1048576,0))</f>
        <v>50</v>
      </c>
      <c r="I3976" s="80" t="s">
        <v>159</v>
      </c>
      <c r="J3976" s="80" t="s">
        <v>255</v>
      </c>
      <c r="K3976" s="80" t="s">
        <v>263</v>
      </c>
      <c r="L3976" s="30" t="s">
        <v>198</v>
      </c>
      <c r="M3976" s="68">
        <v>6</v>
      </c>
      <c r="N3976" s="181" t="str">
        <f t="shared" si="63"/>
        <v>нет</v>
      </c>
      <c r="O3976" s="23"/>
      <c r="P3976" s="23"/>
      <c r="Q3976" s="106"/>
      <c r="R3976" s="37">
        <v>977</v>
      </c>
      <c r="S3976" s="39" t="s">
        <v>1386</v>
      </c>
      <c r="T3976" s="37">
        <v>978</v>
      </c>
      <c r="U3976" s="37" t="s">
        <v>1387</v>
      </c>
      <c r="V3976" s="89" t="s">
        <v>192</v>
      </c>
      <c r="W3976" s="89" t="s">
        <v>159</v>
      </c>
      <c r="X3976" s="106" t="s">
        <v>295</v>
      </c>
      <c r="Y3976" s="107" t="s">
        <v>12</v>
      </c>
      <c r="Z3976" s="67">
        <f>IF(База_КР_КК[[#This Row],[Таб.номер резервиста]]="-","-",IF(OR(База_КР_КК[[#This Row],[Уровень КК]]=2,База_КР_КК[[#This Row],[Уровень КК]]=3),IF(COUNTIFS($U$2:$U3976,$U3976,$F$2:$F3976,$F3976)=1,1,0),IF(COUNTIFS($U$2:$U3976,$U3976,$L$2:$L3976,$L3976)=1,1,0)))</f>
        <v>1</v>
      </c>
      <c r="AA39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6" s="106"/>
      <c r="AC3976" s="51"/>
      <c r="AD3976" s="106" t="s">
        <v>13</v>
      </c>
      <c r="AE3976" s="38" t="s">
        <v>356</v>
      </c>
    </row>
    <row r="3977" spans="1:31" ht="18" customHeight="1" x14ac:dyDescent="0.25">
      <c r="A39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7" s="79">
        <v>4</v>
      </c>
      <c r="C3977" s="23">
        <v>44190</v>
      </c>
      <c r="D3977" s="67">
        <f>IF(COUNTIF($G$2:$G3977,$G3977)=1,1,0)</f>
        <v>1</v>
      </c>
      <c r="E3977" s="67" t="str">
        <f>IFERROR(VLOOKUP(База_КР_КК[[#This Row],[ИД штатной должности (S)]],'уровень защищенности'!$B$7:$F$1095,5,0),"не защищена")</f>
        <v>низкий</v>
      </c>
      <c r="F3977" s="68">
        <v>500473</v>
      </c>
      <c r="G3977" s="74" t="s">
        <v>3162</v>
      </c>
      <c r="H3977" s="181">
        <f>INDEX('Списки данных'!$D$2:$D$1048576,MATCH(База_КР_КК[[#This Row],[Структурное подразделение]],'Списки данных'!$C$2:$C$1048576,0))</f>
        <v>50</v>
      </c>
      <c r="I3977" s="80" t="s">
        <v>159</v>
      </c>
      <c r="J3977" s="80" t="s">
        <v>255</v>
      </c>
      <c r="K3977" s="80" t="s">
        <v>263</v>
      </c>
      <c r="L3977" s="82" t="s">
        <v>192</v>
      </c>
      <c r="M3977" s="68">
        <v>7</v>
      </c>
      <c r="N3977" s="181" t="str">
        <f t="shared" si="63"/>
        <v>нет</v>
      </c>
      <c r="O3977" s="23"/>
      <c r="P3977" s="23"/>
      <c r="Q3977" s="106"/>
      <c r="R3977" s="37">
        <v>978</v>
      </c>
      <c r="S3977" s="39" t="s">
        <v>1387</v>
      </c>
      <c r="T3977" s="37">
        <v>2061</v>
      </c>
      <c r="U3977" s="37" t="s">
        <v>1859</v>
      </c>
      <c r="V3977" s="69" t="s">
        <v>272</v>
      </c>
      <c r="W3977" s="89" t="s">
        <v>159</v>
      </c>
      <c r="X3977" s="106" t="s">
        <v>296</v>
      </c>
      <c r="Y3977" s="107" t="s">
        <v>12</v>
      </c>
      <c r="Z3977" s="67">
        <f>IF(База_КР_КК[[#This Row],[Таб.номер резервиста]]="-","-",IF(OR(База_КР_КК[[#This Row],[Уровень КК]]=2,База_КР_КК[[#This Row],[Уровень КК]]=3),IF(COUNTIFS($U$2:$U3977,$U3977,$F$2:$F3977,$F3977)=1,1,0),IF(COUNTIFS($U$2:$U3977,$U3977,$L$2:$L3977,$L3977)=1,1,0)))</f>
        <v>0</v>
      </c>
      <c r="AA39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7" s="106"/>
      <c r="AC3977" s="51"/>
      <c r="AD3977" s="106" t="s">
        <v>13</v>
      </c>
      <c r="AE3977" s="38" t="s">
        <v>356</v>
      </c>
    </row>
    <row r="3978" spans="1:31" ht="18" customHeight="1" x14ac:dyDescent="0.25">
      <c r="A39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8" s="79">
        <v>4</v>
      </c>
      <c r="C3978" s="23">
        <v>44190</v>
      </c>
      <c r="D3978" s="67">
        <f>IF(COUNTIF($G$2:$G3978,$G3978)=1,1,0)</f>
        <v>0</v>
      </c>
      <c r="E3978" s="67" t="str">
        <f>IFERROR(VLOOKUP(База_КР_КК[[#This Row],[ИД штатной должности (S)]],'уровень защищенности'!$B$7:$F$1095,5,0),"не защищена")</f>
        <v>низкий</v>
      </c>
      <c r="F3978" s="68">
        <v>500473</v>
      </c>
      <c r="G3978" s="74" t="s">
        <v>3162</v>
      </c>
      <c r="H3978" s="181">
        <f>INDEX('Списки данных'!$D$2:$D$1048576,MATCH(База_КР_КК[[#This Row],[Структурное подразделение]],'Списки данных'!$C$2:$C$1048576,0))</f>
        <v>50</v>
      </c>
      <c r="I3978" s="80" t="s">
        <v>159</v>
      </c>
      <c r="J3978" s="80" t="s">
        <v>255</v>
      </c>
      <c r="K3978" s="80" t="s">
        <v>263</v>
      </c>
      <c r="L3978" s="82" t="s">
        <v>192</v>
      </c>
      <c r="M3978" s="68">
        <v>7</v>
      </c>
      <c r="N3978" s="181" t="str">
        <f t="shared" si="63"/>
        <v>нет</v>
      </c>
      <c r="O3978" s="23"/>
      <c r="P3978" s="23"/>
      <c r="Q3978" s="106"/>
      <c r="R3978" s="37">
        <v>978</v>
      </c>
      <c r="S3978" s="39" t="s">
        <v>1387</v>
      </c>
      <c r="T3978" s="37">
        <v>982</v>
      </c>
      <c r="U3978" s="37" t="s">
        <v>1391</v>
      </c>
      <c r="V3978" s="80" t="s">
        <v>192</v>
      </c>
      <c r="W3978" s="89" t="s">
        <v>159</v>
      </c>
      <c r="X3978" s="106" t="s">
        <v>295</v>
      </c>
      <c r="Y3978" s="107" t="s">
        <v>18</v>
      </c>
      <c r="Z3978" s="67">
        <f>IF(База_КР_КК[[#This Row],[Таб.номер резервиста]]="-","-",IF(OR(База_КР_КК[[#This Row],[Уровень КК]]=2,База_КР_КК[[#This Row],[Уровень КК]]=3),IF(COUNTIFS($U$2:$U3978,$U3978,$F$2:$F3978,$F3978)=1,1,0),IF(COUNTIFS($U$2:$U3978,$U3978,$L$2:$L3978,$L3978)=1,1,0)))</f>
        <v>0</v>
      </c>
      <c r="AA39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8" s="106" t="s">
        <v>37</v>
      </c>
      <c r="AC3978" s="51">
        <v>44558</v>
      </c>
      <c r="AD3978" s="106" t="s">
        <v>15</v>
      </c>
      <c r="AE3978" s="38" t="s">
        <v>394</v>
      </c>
    </row>
    <row r="3979" spans="1:31" ht="18" customHeight="1" x14ac:dyDescent="0.25">
      <c r="A39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79" s="79">
        <v>3</v>
      </c>
      <c r="C3979" s="23">
        <v>43455</v>
      </c>
      <c r="D3979" s="67">
        <f>IF(COUNTIF($G$2:$G3979,$G3979)=1,1,0)</f>
        <v>1</v>
      </c>
      <c r="E3979" s="67" t="str">
        <f>IFERROR(VLOOKUP(База_КР_КК[[#This Row],[ИД штатной должности (S)]],'уровень защищенности'!$B$7:$F$1095,5,0),"не защищена")</f>
        <v>высокий</v>
      </c>
      <c r="F3979" s="68">
        <v>500474</v>
      </c>
      <c r="G3979" s="74" t="s">
        <v>3163</v>
      </c>
      <c r="H3979" s="181">
        <f>INDEX('Списки данных'!$D$2:$D$1048576,MATCH(База_КР_КК[[#This Row],[Структурное подразделение]],'Списки данных'!$C$2:$C$1048576,0))</f>
        <v>50</v>
      </c>
      <c r="I3979" s="80" t="s">
        <v>159</v>
      </c>
      <c r="J3979" s="80" t="s">
        <v>255</v>
      </c>
      <c r="K3979" s="80" t="s">
        <v>21</v>
      </c>
      <c r="L3979" s="30" t="s">
        <v>186</v>
      </c>
      <c r="M3979" s="68">
        <v>5</v>
      </c>
      <c r="N3979" s="181" t="str">
        <f t="shared" si="63"/>
        <v>нет</v>
      </c>
      <c r="O3979" s="23"/>
      <c r="P3979" s="23"/>
      <c r="Q3979" s="106"/>
      <c r="R3979" s="37">
        <v>979</v>
      </c>
      <c r="S3979" s="39" t="s">
        <v>1388</v>
      </c>
      <c r="T3979" s="37">
        <v>980</v>
      </c>
      <c r="U3979" s="38" t="s">
        <v>1389</v>
      </c>
      <c r="V3979" s="89" t="s">
        <v>198</v>
      </c>
      <c r="W3979" s="89" t="s">
        <v>159</v>
      </c>
      <c r="X3979" s="106" t="s">
        <v>295</v>
      </c>
      <c r="Y3979" s="107" t="s">
        <v>12</v>
      </c>
      <c r="Z3979" s="67">
        <f>IF(База_КР_КК[[#This Row],[Таб.номер резервиста]]="-","-",IF(OR(База_КР_КК[[#This Row],[Уровень КК]]=2,База_КР_КК[[#This Row],[Уровень КК]]=3),IF(COUNTIFS($U$2:$U3979,$U3979,$F$2:$F3979,$F3979)=1,1,0),IF(COUNTIFS($U$2:$U3979,$U3979,$L$2:$L3979,$L3979)=1,1,0)))</f>
        <v>1</v>
      </c>
      <c r="AA39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79" s="106"/>
      <c r="AC3979" s="51"/>
      <c r="AD3979" s="106" t="s">
        <v>13</v>
      </c>
      <c r="AE3979" s="38" t="s">
        <v>389</v>
      </c>
    </row>
    <row r="3980" spans="1:31" ht="18" customHeight="1" x14ac:dyDescent="0.25">
      <c r="A39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0" s="79">
        <v>4</v>
      </c>
      <c r="C3980" s="23">
        <v>44888</v>
      </c>
      <c r="D3980" s="67">
        <f>IF(COUNTIF($G$2:$G3980,$G3980)=1,1,0)</f>
        <v>1</v>
      </c>
      <c r="E3980" s="67" t="str">
        <f>IFERROR(VLOOKUP(База_КР_КК[[#This Row],[ИД штатной должности (S)]],'уровень защищенности'!$B$7:$F$1095,5,0),"не защищена")</f>
        <v>средний</v>
      </c>
      <c r="F3980" s="68">
        <v>500475</v>
      </c>
      <c r="G3980" s="74" t="s">
        <v>3164</v>
      </c>
      <c r="H3980" s="181">
        <f>INDEX('Списки данных'!$D$2:$D$1048576,MATCH(База_КР_КК[[#This Row],[Структурное подразделение]],'Списки данных'!$C$2:$C$1048576,0))</f>
        <v>50</v>
      </c>
      <c r="I3980" s="80" t="s">
        <v>159</v>
      </c>
      <c r="J3980" s="80" t="s">
        <v>255</v>
      </c>
      <c r="K3980" s="80" t="s">
        <v>263</v>
      </c>
      <c r="L3980" s="30" t="s">
        <v>198</v>
      </c>
      <c r="M3980" s="68">
        <v>6</v>
      </c>
      <c r="N3980" s="181" t="str">
        <f t="shared" si="63"/>
        <v>нет</v>
      </c>
      <c r="O3980" s="23"/>
      <c r="P3980" s="23"/>
      <c r="Q3980" s="106"/>
      <c r="R3980" s="37">
        <v>980</v>
      </c>
      <c r="S3980" s="39" t="s">
        <v>1389</v>
      </c>
      <c r="T3980" s="37">
        <v>1080</v>
      </c>
      <c r="U3980" s="38" t="s">
        <v>1489</v>
      </c>
      <c r="V3980" s="69" t="s">
        <v>192</v>
      </c>
      <c r="W3980" s="89" t="s">
        <v>159</v>
      </c>
      <c r="X3980" s="106" t="s">
        <v>296</v>
      </c>
      <c r="Y3980" s="107" t="s">
        <v>12</v>
      </c>
      <c r="Z3980" s="67">
        <f>IF(База_КР_КК[[#This Row],[Таб.номер резервиста]]="-","-",IF(OR(База_КР_КК[[#This Row],[Уровень КК]]=2,База_КР_КК[[#This Row],[Уровень КК]]=3),IF(COUNTIFS($U$2:$U3980,$U3980,$F$2:$F3980,$F3980)=1,1,0),IF(COUNTIFS($U$2:$U3980,$U3980,$L$2:$L3980,$L3980)=1,1,0)))</f>
        <v>1</v>
      </c>
      <c r="AA39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0" s="106"/>
      <c r="AC3980" s="51"/>
      <c r="AD3980" s="106" t="s">
        <v>15</v>
      </c>
      <c r="AE3980" s="38" t="s">
        <v>356</v>
      </c>
    </row>
    <row r="3981" spans="1:31" ht="18" customHeight="1" x14ac:dyDescent="0.25">
      <c r="A39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1" s="79">
        <v>4</v>
      </c>
      <c r="C3981" s="23">
        <v>44888</v>
      </c>
      <c r="D3981" s="67">
        <f>IF(COUNTIF($G$2:$G3981,$G3981)=1,1,0)</f>
        <v>0</v>
      </c>
      <c r="E3981" s="67" t="str">
        <f>IFERROR(VLOOKUP(База_КР_КК[[#This Row],[ИД штатной должности (S)]],'уровень защищенности'!$B$7:$F$1095,5,0),"не защищена")</f>
        <v>средний</v>
      </c>
      <c r="F3981" s="68">
        <v>500475</v>
      </c>
      <c r="G3981" s="74" t="s">
        <v>3164</v>
      </c>
      <c r="H3981" s="181">
        <f>INDEX('Списки данных'!$D$2:$D$1048576,MATCH(База_КР_КК[[#This Row],[Структурное подразделение]],'Списки данных'!$C$2:$C$1048576,0))</f>
        <v>50</v>
      </c>
      <c r="I3981" s="80" t="s">
        <v>159</v>
      </c>
      <c r="J3981" s="80" t="s">
        <v>255</v>
      </c>
      <c r="K3981" s="80" t="s">
        <v>263</v>
      </c>
      <c r="L3981" s="30" t="s">
        <v>198</v>
      </c>
      <c r="M3981" s="68">
        <v>6</v>
      </c>
      <c r="N3981" s="181" t="str">
        <f t="shared" si="63"/>
        <v>нет</v>
      </c>
      <c r="O3981" s="23"/>
      <c r="P3981" s="23"/>
      <c r="Q3981" s="106"/>
      <c r="R3981" s="37">
        <v>980</v>
      </c>
      <c r="S3981" s="39" t="s">
        <v>1389</v>
      </c>
      <c r="T3981" s="37">
        <v>981</v>
      </c>
      <c r="U3981" s="38" t="s">
        <v>1390</v>
      </c>
      <c r="V3981" s="69" t="s">
        <v>192</v>
      </c>
      <c r="W3981" s="89" t="s">
        <v>159</v>
      </c>
      <c r="X3981" s="106" t="s">
        <v>297</v>
      </c>
      <c r="Y3981" s="107" t="s">
        <v>12</v>
      </c>
      <c r="Z3981" s="67">
        <f>IF(База_КР_КК[[#This Row],[Таб.номер резервиста]]="-","-",IF(OR(База_КР_КК[[#This Row],[Уровень КК]]=2,База_КР_КК[[#This Row],[Уровень КК]]=3),IF(COUNTIFS($U$2:$U3981,$U3981,$F$2:$F3981,$F3981)=1,1,0),IF(COUNTIFS($U$2:$U3981,$U3981,$L$2:$L3981,$L3981)=1,1,0)))</f>
        <v>1</v>
      </c>
      <c r="AA39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1" s="106"/>
      <c r="AC3981" s="51"/>
      <c r="AD3981" s="106" t="s">
        <v>15</v>
      </c>
      <c r="AE3981" s="38" t="s">
        <v>356</v>
      </c>
    </row>
    <row r="3982" spans="1:31" ht="18" customHeight="1" x14ac:dyDescent="0.25">
      <c r="A39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2" s="79">
        <v>4</v>
      </c>
      <c r="C3982" s="23">
        <v>44190</v>
      </c>
      <c r="D3982" s="67">
        <f>IF(COUNTIF($G$2:$G3982,$G3982)=1,1,0)</f>
        <v>0</v>
      </c>
      <c r="E3982" s="67" t="str">
        <f>IFERROR(VLOOKUP(База_КР_КК[[#This Row],[ИД штатной должности (S)]],'уровень защищенности'!$B$7:$F$1095,5,0),"не защищена")</f>
        <v>средний</v>
      </c>
      <c r="F3982" s="68">
        <v>500475</v>
      </c>
      <c r="G3982" s="74" t="s">
        <v>3164</v>
      </c>
      <c r="H3982" s="181">
        <f>INDEX('Списки данных'!$D$2:$D$1048576,MATCH(База_КР_КК[[#This Row],[Структурное подразделение]],'Списки данных'!$C$2:$C$1048576,0))</f>
        <v>50</v>
      </c>
      <c r="I3982" s="80" t="s">
        <v>159</v>
      </c>
      <c r="J3982" s="80" t="s">
        <v>255</v>
      </c>
      <c r="K3982" s="80" t="s">
        <v>263</v>
      </c>
      <c r="L3982" s="30" t="s">
        <v>198</v>
      </c>
      <c r="M3982" s="68">
        <v>6</v>
      </c>
      <c r="N3982" s="181" t="str">
        <f t="shared" si="63"/>
        <v>нет</v>
      </c>
      <c r="O3982" s="23"/>
      <c r="P3982" s="23"/>
      <c r="Q3982" s="106"/>
      <c r="R3982" s="37">
        <v>980</v>
      </c>
      <c r="S3982" s="39" t="s">
        <v>1389</v>
      </c>
      <c r="T3982" s="37">
        <v>971</v>
      </c>
      <c r="U3982" s="37" t="s">
        <v>1380</v>
      </c>
      <c r="V3982" s="69" t="s">
        <v>192</v>
      </c>
      <c r="W3982" s="89" t="s">
        <v>159</v>
      </c>
      <c r="X3982" s="106" t="s">
        <v>295</v>
      </c>
      <c r="Y3982" s="107" t="s">
        <v>18</v>
      </c>
      <c r="Z3982" s="67">
        <f>IF(База_КР_КК[[#This Row],[Таб.номер резервиста]]="-","-",IF(OR(База_КР_КК[[#This Row],[Уровень КК]]=2,База_КР_КК[[#This Row],[Уровень КК]]=3),IF(COUNTIFS($U$2:$U3982,$U3982,$F$2:$F3982,$F3982)=1,1,0),IF(COUNTIFS($U$2:$U3982,$U3982,$L$2:$L3982,$L3982)=1,1,0)))</f>
        <v>1</v>
      </c>
      <c r="AA39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2" s="106" t="s">
        <v>37</v>
      </c>
      <c r="AC3982" s="51">
        <v>44554</v>
      </c>
      <c r="AD3982" s="106" t="s">
        <v>15</v>
      </c>
      <c r="AE3982" s="38" t="s">
        <v>394</v>
      </c>
    </row>
    <row r="3983" spans="1:31" ht="18" customHeight="1" x14ac:dyDescent="0.25">
      <c r="A39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3" s="79">
        <v>4</v>
      </c>
      <c r="C3983" s="23">
        <v>44190</v>
      </c>
      <c r="D3983" s="67">
        <f>IF(COUNTIF($G$2:$G3983,$G3983)=1,1,0)</f>
        <v>1</v>
      </c>
      <c r="E3983" s="67" t="str">
        <f>IFERROR(VLOOKUP(База_КР_КК[[#This Row],[ИД штатной должности (S)]],'уровень защищенности'!$B$7:$F$1095,5,0),"не защищена")</f>
        <v>низкий</v>
      </c>
      <c r="F3983" s="68">
        <v>500476</v>
      </c>
      <c r="G3983" s="74" t="s">
        <v>3165</v>
      </c>
      <c r="H3983" s="181">
        <f>INDEX('Списки данных'!$D$2:$D$1048576,MATCH(База_КР_КК[[#This Row],[Структурное подразделение]],'Списки данных'!$C$2:$C$1048576,0))</f>
        <v>50</v>
      </c>
      <c r="I3983" s="80" t="s">
        <v>159</v>
      </c>
      <c r="J3983" s="80" t="s">
        <v>255</v>
      </c>
      <c r="K3983" s="80" t="s">
        <v>263</v>
      </c>
      <c r="L3983" s="82" t="s">
        <v>192</v>
      </c>
      <c r="M3983" s="68">
        <v>7</v>
      </c>
      <c r="N3983" s="181" t="str">
        <f t="shared" si="63"/>
        <v>нет</v>
      </c>
      <c r="O3983" s="23"/>
      <c r="P3983" s="23"/>
      <c r="Q3983" s="106"/>
      <c r="R3983" s="37">
        <v>981</v>
      </c>
      <c r="S3983" s="39" t="s">
        <v>1390</v>
      </c>
      <c r="T3983" s="37">
        <v>2064</v>
      </c>
      <c r="U3983" s="37" t="s">
        <v>2049</v>
      </c>
      <c r="V3983" s="69" t="s">
        <v>272</v>
      </c>
      <c r="W3983" s="89" t="s">
        <v>159</v>
      </c>
      <c r="X3983" s="106" t="s">
        <v>296</v>
      </c>
      <c r="Y3983" s="107" t="s">
        <v>12</v>
      </c>
      <c r="Z3983" s="67">
        <f>IF(База_КР_КК[[#This Row],[Таб.номер резервиста]]="-","-",IF(OR(База_КР_КК[[#This Row],[Уровень КК]]=2,База_КР_КК[[#This Row],[Уровень КК]]=3),IF(COUNTIFS($U$2:$U3983,$U3983,$F$2:$F3983,$F3983)=1,1,0),IF(COUNTIFS($U$2:$U3983,$U3983,$L$2:$L3983,$L3983)=1,1,0)))</f>
        <v>1</v>
      </c>
      <c r="AA39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3" s="106"/>
      <c r="AC3983" s="51"/>
      <c r="AD3983" s="106" t="s">
        <v>13</v>
      </c>
      <c r="AE3983" s="38" t="s">
        <v>356</v>
      </c>
    </row>
    <row r="3984" spans="1:31" ht="18" customHeight="1" x14ac:dyDescent="0.25">
      <c r="A39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4" s="79">
        <v>4</v>
      </c>
      <c r="C3984" s="23">
        <v>44190</v>
      </c>
      <c r="D3984" s="67">
        <f>IF(COUNTIF($G$2:$G3984,$G3984)=1,1,0)</f>
        <v>1</v>
      </c>
      <c r="E3984" s="67" t="str">
        <f>IFERROR(VLOOKUP(База_КР_КК[[#This Row],[ИД штатной должности (S)]],'уровень защищенности'!$B$7:$F$1095,5,0),"не защищена")</f>
        <v>низкий</v>
      </c>
      <c r="F3984" s="68">
        <v>500476</v>
      </c>
      <c r="G3984" s="74" t="s">
        <v>3166</v>
      </c>
      <c r="H3984" s="181">
        <f>INDEX('Списки данных'!$D$2:$D$1048576,MATCH(База_КР_КК[[#This Row],[Структурное подразделение]],'Списки данных'!$C$2:$C$1048576,0))</f>
        <v>50</v>
      </c>
      <c r="I3984" s="80" t="s">
        <v>159</v>
      </c>
      <c r="J3984" s="80" t="s">
        <v>255</v>
      </c>
      <c r="K3984" s="80" t="s">
        <v>263</v>
      </c>
      <c r="L3984" s="82" t="s">
        <v>192</v>
      </c>
      <c r="M3984" s="68">
        <v>7</v>
      </c>
      <c r="N3984" s="181" t="str">
        <f t="shared" si="63"/>
        <v>нет</v>
      </c>
      <c r="O3984" s="23"/>
      <c r="P3984" s="23"/>
      <c r="Q3984" s="107"/>
      <c r="R3984" s="37">
        <v>982</v>
      </c>
      <c r="S3984" s="37" t="s">
        <v>1391</v>
      </c>
      <c r="T3984" s="37">
        <v>2064</v>
      </c>
      <c r="U3984" s="37" t="s">
        <v>2049</v>
      </c>
      <c r="V3984" s="69" t="s">
        <v>272</v>
      </c>
      <c r="W3984" s="90" t="s">
        <v>159</v>
      </c>
      <c r="X3984" s="106" t="s">
        <v>296</v>
      </c>
      <c r="Y3984" s="107" t="s">
        <v>12</v>
      </c>
      <c r="Z3984" s="67">
        <f>IF(База_КР_КК[[#This Row],[Таб.номер резервиста]]="-","-",IF(OR(База_КР_КК[[#This Row],[Уровень КК]]=2,База_КР_КК[[#This Row],[Уровень КК]]=3),IF(COUNTIFS($U$2:$U3984,$U3984,$F$2:$F3984,$F3984)=1,1,0),IF(COUNTIFS($U$2:$U3984,$U3984,$L$2:$L3984,$L3984)=1,1,0)))</f>
        <v>0</v>
      </c>
      <c r="AA39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4" s="106"/>
      <c r="AC3984" s="51"/>
      <c r="AD3984" s="106" t="s">
        <v>13</v>
      </c>
      <c r="AE3984" s="38" t="s">
        <v>356</v>
      </c>
    </row>
    <row r="3985" spans="1:31" ht="18" customHeight="1" x14ac:dyDescent="0.25">
      <c r="A39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5" s="79">
        <v>3</v>
      </c>
      <c r="C3985" s="23">
        <v>43455</v>
      </c>
      <c r="D3985" s="67">
        <f>IF(COUNTIF($G$2:$G3985,$G3985)=1,1,0)</f>
        <v>1</v>
      </c>
      <c r="E3985" s="67" t="str">
        <f>IFERROR(VLOOKUP(База_КР_КК[[#This Row],[ИД штатной должности (S)]],'уровень защищенности'!$B$7:$F$1095,5,0),"не защищена")</f>
        <v>высокий</v>
      </c>
      <c r="F3985" s="68">
        <v>500477</v>
      </c>
      <c r="G3985" s="74" t="s">
        <v>3167</v>
      </c>
      <c r="H3985" s="181">
        <f>INDEX('Списки данных'!$D$2:$D$1048576,MATCH(База_КР_КК[[#This Row],[Структурное подразделение]],'Списки данных'!$C$2:$C$1048576,0))</f>
        <v>50</v>
      </c>
      <c r="I3985" s="80" t="s">
        <v>159</v>
      </c>
      <c r="J3985" s="80" t="s">
        <v>255</v>
      </c>
      <c r="K3985" s="80" t="s">
        <v>21</v>
      </c>
      <c r="L3985" s="30" t="s">
        <v>186</v>
      </c>
      <c r="M3985" s="68">
        <v>5</v>
      </c>
      <c r="N3985" s="181" t="str">
        <f t="shared" si="63"/>
        <v>нет</v>
      </c>
      <c r="O3985" s="23"/>
      <c r="P3985" s="23"/>
      <c r="Q3985" s="106"/>
      <c r="R3985" s="37">
        <v>983</v>
      </c>
      <c r="S3985" s="39" t="s">
        <v>1392</v>
      </c>
      <c r="T3985" s="37">
        <v>984</v>
      </c>
      <c r="U3985" s="38" t="s">
        <v>1393</v>
      </c>
      <c r="V3985" s="89" t="s">
        <v>198</v>
      </c>
      <c r="W3985" s="89" t="s">
        <v>159</v>
      </c>
      <c r="X3985" s="106" t="s">
        <v>297</v>
      </c>
      <c r="Y3985" s="107" t="s">
        <v>12</v>
      </c>
      <c r="Z3985" s="67">
        <f>IF(База_КР_КК[[#This Row],[Таб.номер резервиста]]="-","-",IF(OR(База_КР_КК[[#This Row],[Уровень КК]]=2,База_КР_КК[[#This Row],[Уровень КК]]=3),IF(COUNTIFS($U$2:$U3985,$U3985,$F$2:$F3985,$F3985)=1,1,0),IF(COUNTIFS($U$2:$U3985,$U3985,$L$2:$L3985,$L3985)=1,1,0)))</f>
        <v>1</v>
      </c>
      <c r="AA39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5" s="106"/>
      <c r="AC3985" s="51"/>
      <c r="AD3985" s="106" t="s">
        <v>13</v>
      </c>
      <c r="AE3985" s="38" t="s">
        <v>389</v>
      </c>
    </row>
    <row r="3986" spans="1:31" ht="18" customHeight="1" x14ac:dyDescent="0.25">
      <c r="A39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6" s="79">
        <v>3</v>
      </c>
      <c r="C3986" s="23">
        <v>43455</v>
      </c>
      <c r="D3986" s="67">
        <f>IF(COUNTIF($G$2:$G3986,$G3986)=1,1,0)</f>
        <v>0</v>
      </c>
      <c r="E3986" s="67" t="str">
        <f>IFERROR(VLOOKUP(База_КР_КК[[#This Row],[ИД штатной должности (S)]],'уровень защищенности'!$B$7:$F$1095,5,0),"не защищена")</f>
        <v>высокий</v>
      </c>
      <c r="F3986" s="68">
        <v>500477</v>
      </c>
      <c r="G3986" s="74" t="s">
        <v>3167</v>
      </c>
      <c r="H3986" s="181">
        <f>INDEX('Списки данных'!$D$2:$D$1048576,MATCH(База_КР_КК[[#This Row],[Структурное подразделение]],'Списки данных'!$C$2:$C$1048576,0))</f>
        <v>50</v>
      </c>
      <c r="I3986" s="80" t="s">
        <v>159</v>
      </c>
      <c r="J3986" s="80" t="s">
        <v>255</v>
      </c>
      <c r="K3986" s="80" t="s">
        <v>21</v>
      </c>
      <c r="L3986" s="30" t="s">
        <v>186</v>
      </c>
      <c r="M3986" s="68">
        <v>5</v>
      </c>
      <c r="N3986" s="181" t="str">
        <f t="shared" si="63"/>
        <v>нет</v>
      </c>
      <c r="O3986" s="23"/>
      <c r="P3986" s="23"/>
      <c r="Q3986" s="106"/>
      <c r="R3986" s="37">
        <v>983</v>
      </c>
      <c r="S3986" s="39" t="s">
        <v>1392</v>
      </c>
      <c r="T3986" s="37">
        <v>992</v>
      </c>
      <c r="U3986" s="38" t="s">
        <v>1401</v>
      </c>
      <c r="V3986" s="89" t="s">
        <v>198</v>
      </c>
      <c r="W3986" s="89" t="s">
        <v>159</v>
      </c>
      <c r="X3986" s="106" t="s">
        <v>295</v>
      </c>
      <c r="Y3986" s="107" t="s">
        <v>12</v>
      </c>
      <c r="Z3986" s="67">
        <f>IF(База_КР_КК[[#This Row],[Таб.номер резервиста]]="-","-",IF(OR(База_КР_КК[[#This Row],[Уровень КК]]=2,База_КР_КК[[#This Row],[Уровень КК]]=3),IF(COUNTIFS($U$2:$U3986,$U3986,$F$2:$F3986,$F3986)=1,1,0),IF(COUNTIFS($U$2:$U3986,$U3986,$L$2:$L3986,$L3986)=1,1,0)))</f>
        <v>1</v>
      </c>
      <c r="AA39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6" s="106"/>
      <c r="AC3986" s="51"/>
      <c r="AD3986" s="106" t="s">
        <v>13</v>
      </c>
      <c r="AE3986" s="38" t="s">
        <v>389</v>
      </c>
    </row>
    <row r="3987" spans="1:31" ht="18" customHeight="1" x14ac:dyDescent="0.25">
      <c r="A39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7" s="79">
        <v>4</v>
      </c>
      <c r="C3987" s="23">
        <v>44190</v>
      </c>
      <c r="D3987" s="67">
        <f>IF(COUNTIF($G$2:$G3987,$G3987)=1,1,0)</f>
        <v>1</v>
      </c>
      <c r="E3987" s="67" t="str">
        <f>IFERROR(VLOOKUP(База_КР_КК[[#This Row],[ИД штатной должности (S)]],'уровень защищенности'!$B$7:$F$1095,5,0),"не защищена")</f>
        <v>высокий</v>
      </c>
      <c r="F3987" s="68">
        <v>500478</v>
      </c>
      <c r="G3987" s="74" t="s">
        <v>3168</v>
      </c>
      <c r="H3987" s="181">
        <f>INDEX('Списки данных'!$D$2:$D$1048576,MATCH(База_КР_КК[[#This Row],[Структурное подразделение]],'Списки данных'!$C$2:$C$1048576,0))</f>
        <v>50</v>
      </c>
      <c r="I3987" s="80" t="s">
        <v>159</v>
      </c>
      <c r="J3987" s="80" t="s">
        <v>255</v>
      </c>
      <c r="K3987" s="80" t="s">
        <v>263</v>
      </c>
      <c r="L3987" s="30" t="s">
        <v>198</v>
      </c>
      <c r="M3987" s="68">
        <v>6</v>
      </c>
      <c r="N3987" s="181" t="str">
        <f t="shared" si="63"/>
        <v>нет</v>
      </c>
      <c r="O3987" s="23"/>
      <c r="P3987" s="23"/>
      <c r="Q3987" s="106"/>
      <c r="R3987" s="37">
        <v>984</v>
      </c>
      <c r="S3987" s="39" t="s">
        <v>1393</v>
      </c>
      <c r="T3987" s="37">
        <v>991</v>
      </c>
      <c r="U3987" s="37" t="s">
        <v>1400</v>
      </c>
      <c r="V3987" s="89" t="s">
        <v>192</v>
      </c>
      <c r="W3987" s="89" t="s">
        <v>159</v>
      </c>
      <c r="X3987" s="106" t="s">
        <v>295</v>
      </c>
      <c r="Y3987" s="107" t="s">
        <v>12</v>
      </c>
      <c r="Z3987" s="67">
        <f>IF(База_КР_КК[[#This Row],[Таб.номер резервиста]]="-","-",IF(OR(База_КР_КК[[#This Row],[Уровень КК]]=2,База_КР_КК[[#This Row],[Уровень КК]]=3),IF(COUNTIFS($U$2:$U3987,$U3987,$F$2:$F3987,$F3987)=1,1,0),IF(COUNTIFS($U$2:$U3987,$U3987,$L$2:$L3987,$L3987)=1,1,0)))</f>
        <v>1</v>
      </c>
      <c r="AA39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7" s="106"/>
      <c r="AC3987" s="51"/>
      <c r="AD3987" s="106" t="s">
        <v>17</v>
      </c>
      <c r="AE3987" s="38" t="s">
        <v>356</v>
      </c>
    </row>
    <row r="3988" spans="1:31" ht="18" customHeight="1" x14ac:dyDescent="0.25">
      <c r="A39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8" s="79">
        <v>4</v>
      </c>
      <c r="C3988" s="23">
        <v>44190</v>
      </c>
      <c r="D3988" s="67">
        <f>IF(COUNTIF($G$2:$G3988,$G3988)=1,1,0)</f>
        <v>0</v>
      </c>
      <c r="E3988" s="67" t="str">
        <f>IFERROR(VLOOKUP(База_КР_КК[[#This Row],[ИД штатной должности (S)]],'уровень защищенности'!$B$7:$F$1095,5,0),"не защищена")</f>
        <v>высокий</v>
      </c>
      <c r="F3988" s="68">
        <v>500478</v>
      </c>
      <c r="G3988" s="74" t="s">
        <v>3168</v>
      </c>
      <c r="H3988" s="181">
        <f>INDEX('Списки данных'!$D$2:$D$1048576,MATCH(База_КР_КК[[#This Row],[Структурное подразделение]],'Списки данных'!$C$2:$C$1048576,0))</f>
        <v>50</v>
      </c>
      <c r="I3988" s="80" t="s">
        <v>159</v>
      </c>
      <c r="J3988" s="80" t="s">
        <v>255</v>
      </c>
      <c r="K3988" s="80" t="s">
        <v>263</v>
      </c>
      <c r="L3988" s="30" t="s">
        <v>198</v>
      </c>
      <c r="M3988" s="68">
        <v>6</v>
      </c>
      <c r="N3988" s="181" t="str">
        <f t="shared" si="63"/>
        <v>нет</v>
      </c>
      <c r="O3988" s="23"/>
      <c r="P3988" s="23"/>
      <c r="Q3988" s="106"/>
      <c r="R3988" s="37">
        <v>984</v>
      </c>
      <c r="S3988" s="39" t="s">
        <v>1393</v>
      </c>
      <c r="T3988" s="37">
        <v>2065</v>
      </c>
      <c r="U3988" s="37" t="s">
        <v>1997</v>
      </c>
      <c r="V3988" s="69" t="s">
        <v>192</v>
      </c>
      <c r="W3988" s="89" t="s">
        <v>287</v>
      </c>
      <c r="X3988" s="106" t="s">
        <v>295</v>
      </c>
      <c r="Y3988" s="107" t="s">
        <v>18</v>
      </c>
      <c r="Z3988" s="67">
        <f>IF(База_КР_КК[[#This Row],[Таб.номер резервиста]]="-","-",IF(OR(База_КР_КК[[#This Row],[Уровень КК]]=2,База_КР_КК[[#This Row],[Уровень КК]]=3),IF(COUNTIFS($U$2:$U3988,$U3988,$F$2:$F3988,$F3988)=1,1,0),IF(COUNTIFS($U$2:$U3988,$U3988,$L$2:$L3988,$L3988)=1,1,0)))</f>
        <v>1</v>
      </c>
      <c r="AA39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8" s="106" t="s">
        <v>33</v>
      </c>
      <c r="AC3988" s="51">
        <v>44335</v>
      </c>
      <c r="AD3988" s="106" t="s">
        <v>15</v>
      </c>
      <c r="AE3988" s="38" t="s">
        <v>394</v>
      </c>
    </row>
    <row r="3989" spans="1:31" ht="18" customHeight="1" x14ac:dyDescent="0.25">
      <c r="A39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89" s="79">
        <v>4</v>
      </c>
      <c r="C3989" s="23">
        <v>44190</v>
      </c>
      <c r="D3989" s="67">
        <f>IF(COUNTIF($G$2:$G3989,$G3989)=1,1,0)</f>
        <v>1</v>
      </c>
      <c r="E3989" s="67" t="str">
        <f>IFERROR(VLOOKUP(База_КР_КК[[#This Row],[ИД штатной должности (S)]],'уровень защищенности'!$B$7:$F$1095,5,0),"не защищена")</f>
        <v>высокий</v>
      </c>
      <c r="F3989" s="68">
        <v>500479</v>
      </c>
      <c r="G3989" s="74" t="s">
        <v>3169</v>
      </c>
      <c r="H3989" s="181">
        <f>INDEX('Списки данных'!$D$2:$D$1048576,MATCH(База_КР_КК[[#This Row],[Структурное подразделение]],'Списки данных'!$C$2:$C$1048576,0))</f>
        <v>50</v>
      </c>
      <c r="I3989" s="80" t="s">
        <v>159</v>
      </c>
      <c r="J3989" s="80" t="s">
        <v>255</v>
      </c>
      <c r="K3989" s="80" t="s">
        <v>263</v>
      </c>
      <c r="L3989" s="30" t="s">
        <v>191</v>
      </c>
      <c r="M3989" s="68">
        <v>7</v>
      </c>
      <c r="N3989" s="181" t="str">
        <f t="shared" si="63"/>
        <v>нет</v>
      </c>
      <c r="O3989" s="23"/>
      <c r="P3989" s="23"/>
      <c r="Q3989" s="106"/>
      <c r="R3989" s="37">
        <v>985</v>
      </c>
      <c r="S3989" s="39" t="s">
        <v>1394</v>
      </c>
      <c r="T3989" s="37">
        <v>2066</v>
      </c>
      <c r="U3989" s="37" t="s">
        <v>1886</v>
      </c>
      <c r="V3989" s="69" t="s">
        <v>272</v>
      </c>
      <c r="W3989" s="89" t="s">
        <v>159</v>
      </c>
      <c r="X3989" s="106" t="s">
        <v>295</v>
      </c>
      <c r="Y3989" s="107" t="s">
        <v>12</v>
      </c>
      <c r="Z3989" s="67">
        <f>IF(База_КР_КК[[#This Row],[Таб.номер резервиста]]="-","-",IF(OR(База_КР_КК[[#This Row],[Уровень КК]]=2,База_КР_КК[[#This Row],[Уровень КК]]=3),IF(COUNTIFS($U$2:$U3989,$U3989,$F$2:$F3989,$F3989)=1,1,0),IF(COUNTIFS($U$2:$U3989,$U3989,$L$2:$L3989,$L3989)=1,1,0)))</f>
        <v>0</v>
      </c>
      <c r="AA39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89" s="106"/>
      <c r="AC3989" s="51"/>
      <c r="AD3989" s="106" t="s">
        <v>13</v>
      </c>
      <c r="AE3989" s="38" t="s">
        <v>356</v>
      </c>
    </row>
    <row r="3990" spans="1:31" ht="18" customHeight="1" x14ac:dyDescent="0.25">
      <c r="A39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0" s="79">
        <v>4</v>
      </c>
      <c r="C3990" s="23">
        <v>44190</v>
      </c>
      <c r="D3990" s="67">
        <f>IF(COUNTIF($G$2:$G3990,$G3990)=1,1,0)</f>
        <v>0</v>
      </c>
      <c r="E3990" s="67" t="str">
        <f>IFERROR(VLOOKUP(База_КР_КК[[#This Row],[ИД штатной должности (S)]],'уровень защищенности'!$B$7:$F$1095,5,0),"не защищена")</f>
        <v>высокий</v>
      </c>
      <c r="F3990" s="68">
        <v>500479</v>
      </c>
      <c r="G3990" s="74" t="s">
        <v>3169</v>
      </c>
      <c r="H3990" s="181">
        <f>INDEX('Списки данных'!$D$2:$D$1048576,MATCH(База_КР_КК[[#This Row],[Структурное подразделение]],'Списки данных'!$C$2:$C$1048576,0))</f>
        <v>50</v>
      </c>
      <c r="I3990" s="80" t="s">
        <v>159</v>
      </c>
      <c r="J3990" s="80" t="s">
        <v>255</v>
      </c>
      <c r="K3990" s="80" t="s">
        <v>263</v>
      </c>
      <c r="L3990" s="30" t="s">
        <v>191</v>
      </c>
      <c r="M3990" s="68">
        <v>7</v>
      </c>
      <c r="N3990" s="181" t="str">
        <f t="shared" si="63"/>
        <v>нет</v>
      </c>
      <c r="O3990" s="23"/>
      <c r="P3990" s="23"/>
      <c r="Q3990" s="106"/>
      <c r="R3990" s="37">
        <v>985</v>
      </c>
      <c r="S3990" s="39" t="s">
        <v>1394</v>
      </c>
      <c r="T3990" s="37">
        <v>2067</v>
      </c>
      <c r="U3990" s="37" t="s">
        <v>1845</v>
      </c>
      <c r="V3990" s="69" t="s">
        <v>272</v>
      </c>
      <c r="W3990" s="89" t="s">
        <v>159</v>
      </c>
      <c r="X3990" s="106" t="s">
        <v>295</v>
      </c>
      <c r="Y3990" s="107" t="s">
        <v>12</v>
      </c>
      <c r="Z3990" s="67">
        <f>IF(База_КР_КК[[#This Row],[Таб.номер резервиста]]="-","-",IF(OR(База_КР_КК[[#This Row],[Уровень КК]]=2,База_КР_КК[[#This Row],[Уровень КК]]=3),IF(COUNTIFS($U$2:$U3990,$U3990,$F$2:$F3990,$F3990)=1,1,0),IF(COUNTIFS($U$2:$U3990,$U3990,$L$2:$L3990,$L3990)=1,1,0)))</f>
        <v>1</v>
      </c>
      <c r="AA39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0" s="106"/>
      <c r="AC3990" s="51"/>
      <c r="AD3990" s="106" t="s">
        <v>17</v>
      </c>
      <c r="AE3990" s="38" t="s">
        <v>356</v>
      </c>
    </row>
    <row r="3991" spans="1:31" ht="18" customHeight="1" x14ac:dyDescent="0.25">
      <c r="A39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1" s="79">
        <v>4</v>
      </c>
      <c r="C3991" s="23">
        <v>44190</v>
      </c>
      <c r="D3991" s="67">
        <f>IF(COUNTIF($G$2:$G3991,$G3991)=1,1,0)</f>
        <v>0</v>
      </c>
      <c r="E3991" s="67" t="str">
        <f>IFERROR(VLOOKUP(База_КР_КК[[#This Row],[ИД штатной должности (S)]],'уровень защищенности'!$B$7:$F$1095,5,0),"не защищена")</f>
        <v>высокий</v>
      </c>
      <c r="F3991" s="68">
        <v>500479</v>
      </c>
      <c r="G3991" s="74" t="s">
        <v>3169</v>
      </c>
      <c r="H3991" s="181">
        <f>INDEX('Списки данных'!$D$2:$D$1048576,MATCH(База_КР_КК[[#This Row],[Структурное подразделение]],'Списки данных'!$C$2:$C$1048576,0))</f>
        <v>50</v>
      </c>
      <c r="I3991" s="80" t="s">
        <v>159</v>
      </c>
      <c r="J3991" s="80" t="s">
        <v>255</v>
      </c>
      <c r="K3991" s="80" t="s">
        <v>263</v>
      </c>
      <c r="L3991" s="30" t="s">
        <v>191</v>
      </c>
      <c r="M3991" s="68">
        <v>7</v>
      </c>
      <c r="N3991" s="181" t="str">
        <f t="shared" si="63"/>
        <v>нет</v>
      </c>
      <c r="O3991" s="23"/>
      <c r="P3991" s="23"/>
      <c r="Q3991" s="106"/>
      <c r="R3991" s="37">
        <v>985</v>
      </c>
      <c r="S3991" s="39" t="s">
        <v>1394</v>
      </c>
      <c r="T3991" s="37">
        <v>2068</v>
      </c>
      <c r="U3991" s="37" t="s">
        <v>2132</v>
      </c>
      <c r="V3991" s="69" t="s">
        <v>272</v>
      </c>
      <c r="W3991" s="89" t="s">
        <v>159</v>
      </c>
      <c r="X3991" s="106" t="s">
        <v>295</v>
      </c>
      <c r="Y3991" s="107" t="s">
        <v>12</v>
      </c>
      <c r="Z3991" s="67">
        <f>IF(База_КР_КК[[#This Row],[Таб.номер резервиста]]="-","-",IF(OR(База_КР_КК[[#This Row],[Уровень КК]]=2,База_КР_КК[[#This Row],[Уровень КК]]=3),IF(COUNTIFS($U$2:$U3991,$U3991,$F$2:$F3991,$F3991)=1,1,0),IF(COUNTIFS($U$2:$U3991,$U3991,$L$2:$L3991,$L3991)=1,1,0)))</f>
        <v>1</v>
      </c>
      <c r="AA39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1" s="106"/>
      <c r="AC3991" s="51"/>
      <c r="AD3991" s="106" t="s">
        <v>13</v>
      </c>
      <c r="AE3991" s="38" t="s">
        <v>356</v>
      </c>
    </row>
    <row r="3992" spans="1:31" ht="18" customHeight="1" x14ac:dyDescent="0.25">
      <c r="A39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2" s="79">
        <v>4</v>
      </c>
      <c r="C3992" s="23">
        <v>44190</v>
      </c>
      <c r="D3992" s="67">
        <f>IF(COUNTIF($G$2:$G3992,$G3992)=1,1,0)</f>
        <v>0</v>
      </c>
      <c r="E3992" s="67" t="str">
        <f>IFERROR(VLOOKUP(База_КР_КК[[#This Row],[ИД штатной должности (S)]],'уровень защищенности'!$B$7:$F$1095,5,0),"не защищена")</f>
        <v>высокий</v>
      </c>
      <c r="F3992" s="68">
        <v>500479</v>
      </c>
      <c r="G3992" s="74" t="s">
        <v>3169</v>
      </c>
      <c r="H3992" s="181">
        <f>INDEX('Списки данных'!$D$2:$D$1048576,MATCH(База_КР_КК[[#This Row],[Структурное подразделение]],'Списки данных'!$C$2:$C$1048576,0))</f>
        <v>50</v>
      </c>
      <c r="I3992" s="80" t="s">
        <v>159</v>
      </c>
      <c r="J3992" s="80" t="s">
        <v>255</v>
      </c>
      <c r="K3992" s="80" t="s">
        <v>263</v>
      </c>
      <c r="L3992" s="30" t="s">
        <v>191</v>
      </c>
      <c r="M3992" s="68">
        <v>7</v>
      </c>
      <c r="N3992" s="181" t="str">
        <f t="shared" si="63"/>
        <v>нет</v>
      </c>
      <c r="O3992" s="23"/>
      <c r="P3992" s="23"/>
      <c r="Q3992" s="106"/>
      <c r="R3992" s="37">
        <v>985</v>
      </c>
      <c r="S3992" s="39" t="s">
        <v>1394</v>
      </c>
      <c r="T3992" s="37">
        <v>990</v>
      </c>
      <c r="U3992" s="37" t="s">
        <v>1399</v>
      </c>
      <c r="V3992" s="69" t="s">
        <v>192</v>
      </c>
      <c r="W3992" s="89" t="s">
        <v>159</v>
      </c>
      <c r="X3992" s="106" t="s">
        <v>295</v>
      </c>
      <c r="Y3992" s="107" t="s">
        <v>14</v>
      </c>
      <c r="Z3992" s="67">
        <f>IF(База_КР_КК[[#This Row],[Таб.номер резервиста]]="-","-",IF(OR(База_КР_КК[[#This Row],[Уровень КК]]=2,База_КР_КК[[#This Row],[Уровень КК]]=3),IF(COUNTIFS($U$2:$U3992,$U3992,$F$2:$F3992,$F3992)=1,1,0),IF(COUNTIFS($U$2:$U3992,$U3992,$L$2:$L3992,$L3992)=1,1,0)))</f>
        <v>1</v>
      </c>
      <c r="AA39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2" s="106" t="s">
        <v>24</v>
      </c>
      <c r="AC3992" s="51">
        <v>44414</v>
      </c>
      <c r="AD3992" s="106" t="s">
        <v>15</v>
      </c>
      <c r="AE3992" s="38" t="s">
        <v>394</v>
      </c>
    </row>
    <row r="3993" spans="1:31" ht="18" customHeight="1" x14ac:dyDescent="0.25">
      <c r="A39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3" s="79">
        <v>4</v>
      </c>
      <c r="C3993" s="23">
        <v>44190</v>
      </c>
      <c r="D3993" s="67">
        <f>IF(COUNTIF($G$2:$G3993,$G3993)=1,1,0)</f>
        <v>1</v>
      </c>
      <c r="E3993" s="67" t="str">
        <f>IFERROR(VLOOKUP(База_КР_КК[[#This Row],[ИД штатной должности (S)]],'уровень защищенности'!$B$7:$F$1095,5,0),"не защищена")</f>
        <v>высокий</v>
      </c>
      <c r="F3993" s="68">
        <v>500479</v>
      </c>
      <c r="G3993" s="74" t="s">
        <v>3170</v>
      </c>
      <c r="H3993" s="181">
        <f>INDEX('Списки данных'!$D$2:$D$1048576,MATCH(База_КР_КК[[#This Row],[Структурное подразделение]],'Списки данных'!$C$2:$C$1048576,0))</f>
        <v>50</v>
      </c>
      <c r="I3993" s="80" t="s">
        <v>159</v>
      </c>
      <c r="J3993" s="80" t="s">
        <v>255</v>
      </c>
      <c r="K3993" s="80" t="s">
        <v>263</v>
      </c>
      <c r="L3993" s="30" t="s">
        <v>191</v>
      </c>
      <c r="M3993" s="68">
        <v>7</v>
      </c>
      <c r="N3993" s="181" t="str">
        <f t="shared" si="63"/>
        <v>нет</v>
      </c>
      <c r="O3993" s="23"/>
      <c r="P3993" s="23"/>
      <c r="Q3993" s="106"/>
      <c r="R3993" s="37">
        <v>986</v>
      </c>
      <c r="S3993" s="39" t="s">
        <v>1395</v>
      </c>
      <c r="T3993" s="37">
        <v>2066</v>
      </c>
      <c r="U3993" s="37" t="s">
        <v>1886</v>
      </c>
      <c r="V3993" s="69" t="s">
        <v>272</v>
      </c>
      <c r="W3993" s="89" t="s">
        <v>159</v>
      </c>
      <c r="X3993" s="106" t="s">
        <v>295</v>
      </c>
      <c r="Y3993" s="107" t="s">
        <v>12</v>
      </c>
      <c r="Z3993" s="67">
        <f>IF(База_КР_КК[[#This Row],[Таб.номер резервиста]]="-","-",IF(OR(База_КР_КК[[#This Row],[Уровень КК]]=2,База_КР_КК[[#This Row],[Уровень КК]]=3),IF(COUNTIFS($U$2:$U3993,$U3993,$F$2:$F3993,$F3993)=1,1,0),IF(COUNTIFS($U$2:$U3993,$U3993,$L$2:$L3993,$L3993)=1,1,0)))</f>
        <v>0</v>
      </c>
      <c r="AA39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3" s="106"/>
      <c r="AC3993" s="51"/>
      <c r="AD3993" s="106" t="s">
        <v>13</v>
      </c>
      <c r="AE3993" s="38" t="s">
        <v>356</v>
      </c>
    </row>
    <row r="3994" spans="1:31" ht="18" customHeight="1" x14ac:dyDescent="0.25">
      <c r="A39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4" s="79">
        <v>4</v>
      </c>
      <c r="C3994" s="23">
        <v>44190</v>
      </c>
      <c r="D3994" s="67">
        <f>IF(COUNTIF($G$2:$G3994,$G3994)=1,1,0)</f>
        <v>0</v>
      </c>
      <c r="E3994" s="67" t="str">
        <f>IFERROR(VLOOKUP(База_КР_КК[[#This Row],[ИД штатной должности (S)]],'уровень защищенности'!$B$7:$F$1095,5,0),"не защищена")</f>
        <v>высокий</v>
      </c>
      <c r="F3994" s="68">
        <v>500479</v>
      </c>
      <c r="G3994" s="74" t="s">
        <v>3170</v>
      </c>
      <c r="H3994" s="181">
        <f>INDEX('Списки данных'!$D$2:$D$1048576,MATCH(База_КР_КК[[#This Row],[Структурное подразделение]],'Списки данных'!$C$2:$C$1048576,0))</f>
        <v>50</v>
      </c>
      <c r="I3994" s="80" t="s">
        <v>159</v>
      </c>
      <c r="J3994" s="80" t="s">
        <v>255</v>
      </c>
      <c r="K3994" s="80" t="s">
        <v>263</v>
      </c>
      <c r="L3994" s="30" t="s">
        <v>191</v>
      </c>
      <c r="M3994" s="68">
        <v>7</v>
      </c>
      <c r="N3994" s="181" t="str">
        <f t="shared" si="63"/>
        <v>нет</v>
      </c>
      <c r="O3994" s="23"/>
      <c r="P3994" s="23"/>
      <c r="Q3994" s="106"/>
      <c r="R3994" s="37">
        <v>986</v>
      </c>
      <c r="S3994" s="39" t="s">
        <v>1395</v>
      </c>
      <c r="T3994" s="37">
        <v>2067</v>
      </c>
      <c r="U3994" s="37" t="s">
        <v>1845</v>
      </c>
      <c r="V3994" s="69" t="s">
        <v>272</v>
      </c>
      <c r="W3994" s="89" t="s">
        <v>159</v>
      </c>
      <c r="X3994" s="106" t="s">
        <v>295</v>
      </c>
      <c r="Y3994" s="107" t="s">
        <v>12</v>
      </c>
      <c r="Z3994" s="67">
        <f>IF(База_КР_КК[[#This Row],[Таб.номер резервиста]]="-","-",IF(OR(База_КР_КК[[#This Row],[Уровень КК]]=2,База_КР_КК[[#This Row],[Уровень КК]]=3),IF(COUNTIFS($U$2:$U3994,$U3994,$F$2:$F3994,$F3994)=1,1,0),IF(COUNTIFS($U$2:$U3994,$U3994,$L$2:$L3994,$L3994)=1,1,0)))</f>
        <v>0</v>
      </c>
      <c r="AA39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4" s="106"/>
      <c r="AC3994" s="51"/>
      <c r="AD3994" s="106" t="s">
        <v>17</v>
      </c>
      <c r="AE3994" s="38" t="s">
        <v>356</v>
      </c>
    </row>
    <row r="3995" spans="1:31" ht="18" customHeight="1" x14ac:dyDescent="0.25">
      <c r="A39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5" s="79">
        <v>4</v>
      </c>
      <c r="C3995" s="23">
        <v>44190</v>
      </c>
      <c r="D3995" s="67">
        <f>IF(COUNTIF($G$2:$G3995,$G3995)=1,1,0)</f>
        <v>0</v>
      </c>
      <c r="E3995" s="67" t="str">
        <f>IFERROR(VLOOKUP(База_КР_КК[[#This Row],[ИД штатной должности (S)]],'уровень защищенности'!$B$7:$F$1095,5,0),"не защищена")</f>
        <v>высокий</v>
      </c>
      <c r="F3995" s="68">
        <v>500479</v>
      </c>
      <c r="G3995" s="74" t="s">
        <v>3170</v>
      </c>
      <c r="H3995" s="181">
        <f>INDEX('Списки данных'!$D$2:$D$1048576,MATCH(База_КР_КК[[#This Row],[Структурное подразделение]],'Списки данных'!$C$2:$C$1048576,0))</f>
        <v>50</v>
      </c>
      <c r="I3995" s="80" t="s">
        <v>159</v>
      </c>
      <c r="J3995" s="80" t="s">
        <v>255</v>
      </c>
      <c r="K3995" s="80" t="s">
        <v>263</v>
      </c>
      <c r="L3995" s="30" t="s">
        <v>191</v>
      </c>
      <c r="M3995" s="68">
        <v>7</v>
      </c>
      <c r="N3995" s="181" t="str">
        <f t="shared" si="63"/>
        <v>нет</v>
      </c>
      <c r="O3995" s="23"/>
      <c r="P3995" s="23"/>
      <c r="Q3995" s="106"/>
      <c r="R3995" s="37">
        <v>986</v>
      </c>
      <c r="S3995" s="39" t="s">
        <v>1395</v>
      </c>
      <c r="T3995" s="37">
        <v>2068</v>
      </c>
      <c r="U3995" s="37" t="s">
        <v>2132</v>
      </c>
      <c r="V3995" s="69" t="s">
        <v>272</v>
      </c>
      <c r="W3995" s="89" t="s">
        <v>159</v>
      </c>
      <c r="X3995" s="106" t="s">
        <v>295</v>
      </c>
      <c r="Y3995" s="107" t="s">
        <v>12</v>
      </c>
      <c r="Z3995" s="67">
        <f>IF(База_КР_КК[[#This Row],[Таб.номер резервиста]]="-","-",IF(OR(База_КР_КК[[#This Row],[Уровень КК]]=2,База_КР_КК[[#This Row],[Уровень КК]]=3),IF(COUNTIFS($U$2:$U3995,$U3995,$F$2:$F3995,$F3995)=1,1,0),IF(COUNTIFS($U$2:$U3995,$U3995,$L$2:$L3995,$L3995)=1,1,0)))</f>
        <v>0</v>
      </c>
      <c r="AA39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5" s="106"/>
      <c r="AC3995" s="51"/>
      <c r="AD3995" s="106" t="s">
        <v>13</v>
      </c>
      <c r="AE3995" s="38" t="s">
        <v>356</v>
      </c>
    </row>
    <row r="3996" spans="1:31" ht="18" customHeight="1" x14ac:dyDescent="0.25">
      <c r="A39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6" s="79">
        <v>4</v>
      </c>
      <c r="C3996" s="23">
        <v>44190</v>
      </c>
      <c r="D3996" s="67">
        <f>IF(COUNTIF($G$2:$G3996,$G3996)=1,1,0)</f>
        <v>0</v>
      </c>
      <c r="E3996" s="67" t="str">
        <f>IFERROR(VLOOKUP(База_КР_КК[[#This Row],[ИД штатной должности (S)]],'уровень защищенности'!$B$7:$F$1095,5,0),"не защищена")</f>
        <v>высокий</v>
      </c>
      <c r="F3996" s="68">
        <v>500479</v>
      </c>
      <c r="G3996" s="74" t="s">
        <v>3170</v>
      </c>
      <c r="H3996" s="181">
        <f>INDEX('Списки данных'!$D$2:$D$1048576,MATCH(База_КР_КК[[#This Row],[Структурное подразделение]],'Списки данных'!$C$2:$C$1048576,0))</f>
        <v>50</v>
      </c>
      <c r="I3996" s="80" t="s">
        <v>159</v>
      </c>
      <c r="J3996" s="80" t="s">
        <v>255</v>
      </c>
      <c r="K3996" s="80" t="s">
        <v>263</v>
      </c>
      <c r="L3996" s="30" t="s">
        <v>191</v>
      </c>
      <c r="M3996" s="68">
        <v>7</v>
      </c>
      <c r="N3996" s="181" t="str">
        <f t="shared" si="63"/>
        <v>нет</v>
      </c>
      <c r="O3996" s="23"/>
      <c r="P3996" s="23"/>
      <c r="Q3996" s="106"/>
      <c r="R3996" s="37">
        <v>986</v>
      </c>
      <c r="S3996" s="39" t="s">
        <v>1395</v>
      </c>
      <c r="T3996" s="37">
        <v>990</v>
      </c>
      <c r="U3996" s="37" t="s">
        <v>1399</v>
      </c>
      <c r="V3996" s="69" t="s">
        <v>192</v>
      </c>
      <c r="W3996" s="89" t="s">
        <v>159</v>
      </c>
      <c r="X3996" s="106" t="s">
        <v>295</v>
      </c>
      <c r="Y3996" s="107" t="s">
        <v>14</v>
      </c>
      <c r="Z3996" s="67">
        <f>IF(База_КР_КК[[#This Row],[Таб.номер резервиста]]="-","-",IF(OR(База_КР_КК[[#This Row],[Уровень КК]]=2,База_КР_КК[[#This Row],[Уровень КК]]=3),IF(COUNTIFS($U$2:$U3996,$U3996,$F$2:$F3996,$F3996)=1,1,0),IF(COUNTIFS($U$2:$U3996,$U3996,$L$2:$L3996,$L3996)=1,1,0)))</f>
        <v>0</v>
      </c>
      <c r="AA39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6" s="106" t="s">
        <v>24</v>
      </c>
      <c r="AC3996" s="51">
        <v>44414</v>
      </c>
      <c r="AD3996" s="106" t="s">
        <v>15</v>
      </c>
      <c r="AE3996" s="38" t="s">
        <v>394</v>
      </c>
    </row>
    <row r="3997" spans="1:31" ht="18" customHeight="1" x14ac:dyDescent="0.25">
      <c r="A39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7" s="79">
        <v>4</v>
      </c>
      <c r="C3997" s="23">
        <v>44190</v>
      </c>
      <c r="D3997" s="67">
        <f>IF(COUNTIF($G$2:$G3997,$G3997)=1,1,0)</f>
        <v>1</v>
      </c>
      <c r="E3997" s="67" t="str">
        <f>IFERROR(VLOOKUP(База_КР_КК[[#This Row],[ИД штатной должности (S)]],'уровень защищенности'!$B$7:$F$1095,5,0),"не защищена")</f>
        <v>высокий</v>
      </c>
      <c r="F3997" s="68">
        <v>500479</v>
      </c>
      <c r="G3997" s="74" t="s">
        <v>3171</v>
      </c>
      <c r="H3997" s="181">
        <f>INDEX('Списки данных'!$D$2:$D$1048576,MATCH(База_КР_КК[[#This Row],[Структурное подразделение]],'Списки данных'!$C$2:$C$1048576,0))</f>
        <v>50</v>
      </c>
      <c r="I3997" s="80" t="s">
        <v>159</v>
      </c>
      <c r="J3997" s="80" t="s">
        <v>255</v>
      </c>
      <c r="K3997" s="80" t="s">
        <v>263</v>
      </c>
      <c r="L3997" s="30" t="s">
        <v>191</v>
      </c>
      <c r="M3997" s="68">
        <v>7</v>
      </c>
      <c r="N3997" s="181" t="str">
        <f t="shared" si="63"/>
        <v>нет</v>
      </c>
      <c r="O3997" s="23"/>
      <c r="P3997" s="23"/>
      <c r="Q3997" s="106"/>
      <c r="R3997" s="37">
        <v>987</v>
      </c>
      <c r="S3997" s="39" t="s">
        <v>1396</v>
      </c>
      <c r="T3997" s="37">
        <v>2066</v>
      </c>
      <c r="U3997" s="37" t="s">
        <v>1886</v>
      </c>
      <c r="V3997" s="69" t="s">
        <v>272</v>
      </c>
      <c r="W3997" s="89" t="s">
        <v>159</v>
      </c>
      <c r="X3997" s="106" t="s">
        <v>295</v>
      </c>
      <c r="Y3997" s="107" t="s">
        <v>12</v>
      </c>
      <c r="Z3997" s="67">
        <f>IF(База_КР_КК[[#This Row],[Таб.номер резервиста]]="-","-",IF(OR(База_КР_КК[[#This Row],[Уровень КК]]=2,База_КР_КК[[#This Row],[Уровень КК]]=3),IF(COUNTIFS($U$2:$U3997,$U3997,$F$2:$F3997,$F3997)=1,1,0),IF(COUNTIFS($U$2:$U3997,$U3997,$L$2:$L3997,$L3997)=1,1,0)))</f>
        <v>0</v>
      </c>
      <c r="AA39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7" s="106"/>
      <c r="AC3997" s="51"/>
      <c r="AD3997" s="106" t="s">
        <v>13</v>
      </c>
      <c r="AE3997" s="38" t="s">
        <v>356</v>
      </c>
    </row>
    <row r="3998" spans="1:31" ht="18" customHeight="1" x14ac:dyDescent="0.25">
      <c r="A39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8" s="79">
        <v>4</v>
      </c>
      <c r="C3998" s="23">
        <v>44190</v>
      </c>
      <c r="D3998" s="67">
        <f>IF(COUNTIF($G$2:$G3998,$G3998)=1,1,0)</f>
        <v>0</v>
      </c>
      <c r="E3998" s="67" t="str">
        <f>IFERROR(VLOOKUP(База_КР_КК[[#This Row],[ИД штатной должности (S)]],'уровень защищенности'!$B$7:$F$1095,5,0),"не защищена")</f>
        <v>высокий</v>
      </c>
      <c r="F3998" s="68">
        <v>500479</v>
      </c>
      <c r="G3998" s="74" t="s">
        <v>3171</v>
      </c>
      <c r="H3998" s="181">
        <f>INDEX('Списки данных'!$D$2:$D$1048576,MATCH(База_КР_КК[[#This Row],[Структурное подразделение]],'Списки данных'!$C$2:$C$1048576,0))</f>
        <v>50</v>
      </c>
      <c r="I3998" s="80" t="s">
        <v>159</v>
      </c>
      <c r="J3998" s="80" t="s">
        <v>255</v>
      </c>
      <c r="K3998" s="80" t="s">
        <v>263</v>
      </c>
      <c r="L3998" s="30" t="s">
        <v>191</v>
      </c>
      <c r="M3998" s="68">
        <v>7</v>
      </c>
      <c r="N3998" s="181" t="str">
        <f t="shared" si="63"/>
        <v>нет</v>
      </c>
      <c r="O3998" s="23"/>
      <c r="P3998" s="23"/>
      <c r="Q3998" s="106"/>
      <c r="R3998" s="37">
        <v>987</v>
      </c>
      <c r="S3998" s="39" t="s">
        <v>1396</v>
      </c>
      <c r="T3998" s="37">
        <v>2067</v>
      </c>
      <c r="U3998" s="37" t="s">
        <v>1845</v>
      </c>
      <c r="V3998" s="69" t="s">
        <v>272</v>
      </c>
      <c r="W3998" s="89" t="s">
        <v>159</v>
      </c>
      <c r="X3998" s="106" t="s">
        <v>295</v>
      </c>
      <c r="Y3998" s="107" t="s">
        <v>12</v>
      </c>
      <c r="Z3998" s="67">
        <f>IF(База_КР_КК[[#This Row],[Таб.номер резервиста]]="-","-",IF(OR(База_КР_КК[[#This Row],[Уровень КК]]=2,База_КР_КК[[#This Row],[Уровень КК]]=3),IF(COUNTIFS($U$2:$U3998,$U3998,$F$2:$F3998,$F3998)=1,1,0),IF(COUNTIFS($U$2:$U3998,$U3998,$L$2:$L3998,$L3998)=1,1,0)))</f>
        <v>0</v>
      </c>
      <c r="AA39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8" s="106"/>
      <c r="AC3998" s="51"/>
      <c r="AD3998" s="106" t="s">
        <v>17</v>
      </c>
      <c r="AE3998" s="38" t="s">
        <v>356</v>
      </c>
    </row>
    <row r="3999" spans="1:31" ht="18" customHeight="1" x14ac:dyDescent="0.25">
      <c r="A39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3999" s="79">
        <v>4</v>
      </c>
      <c r="C3999" s="23">
        <v>44190</v>
      </c>
      <c r="D3999" s="67">
        <f>IF(COUNTIF($G$2:$G3999,$G3999)=1,1,0)</f>
        <v>0</v>
      </c>
      <c r="E3999" s="67" t="str">
        <f>IFERROR(VLOOKUP(База_КР_КК[[#This Row],[ИД штатной должности (S)]],'уровень защищенности'!$B$7:$F$1095,5,0),"не защищена")</f>
        <v>высокий</v>
      </c>
      <c r="F3999" s="68">
        <v>500479</v>
      </c>
      <c r="G3999" s="74" t="s">
        <v>3171</v>
      </c>
      <c r="H3999" s="181">
        <f>INDEX('Списки данных'!$D$2:$D$1048576,MATCH(База_КР_КК[[#This Row],[Структурное подразделение]],'Списки данных'!$C$2:$C$1048576,0))</f>
        <v>50</v>
      </c>
      <c r="I3999" s="80" t="s">
        <v>159</v>
      </c>
      <c r="J3999" s="80" t="s">
        <v>255</v>
      </c>
      <c r="K3999" s="80" t="s">
        <v>263</v>
      </c>
      <c r="L3999" s="30" t="s">
        <v>191</v>
      </c>
      <c r="M3999" s="68">
        <v>7</v>
      </c>
      <c r="N3999" s="181" t="str">
        <f t="shared" si="63"/>
        <v>нет</v>
      </c>
      <c r="O3999" s="23"/>
      <c r="P3999" s="23"/>
      <c r="Q3999" s="106"/>
      <c r="R3999" s="37">
        <v>987</v>
      </c>
      <c r="S3999" s="39" t="s">
        <v>1396</v>
      </c>
      <c r="T3999" s="37">
        <v>2068</v>
      </c>
      <c r="U3999" s="37" t="s">
        <v>2132</v>
      </c>
      <c r="V3999" s="69" t="s">
        <v>272</v>
      </c>
      <c r="W3999" s="89" t="s">
        <v>159</v>
      </c>
      <c r="X3999" s="106" t="s">
        <v>295</v>
      </c>
      <c r="Y3999" s="107" t="s">
        <v>12</v>
      </c>
      <c r="Z3999" s="67">
        <f>IF(База_КР_КК[[#This Row],[Таб.номер резервиста]]="-","-",IF(OR(База_КР_КК[[#This Row],[Уровень КК]]=2,База_КР_КК[[#This Row],[Уровень КК]]=3),IF(COUNTIFS($U$2:$U3999,$U3999,$F$2:$F3999,$F3999)=1,1,0),IF(COUNTIFS($U$2:$U3999,$U3999,$L$2:$L3999,$L3999)=1,1,0)))</f>
        <v>0</v>
      </c>
      <c r="AA39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3999" s="106"/>
      <c r="AC3999" s="51"/>
      <c r="AD3999" s="106" t="s">
        <v>13</v>
      </c>
      <c r="AE3999" s="38" t="s">
        <v>356</v>
      </c>
    </row>
    <row r="4000" spans="1:31" ht="18" customHeight="1" x14ac:dyDescent="0.25">
      <c r="A40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0" s="79">
        <v>4</v>
      </c>
      <c r="C4000" s="23">
        <v>44190</v>
      </c>
      <c r="D4000" s="67">
        <f>IF(COUNTIF($G$2:$G4000,$G4000)=1,1,0)</f>
        <v>0</v>
      </c>
      <c r="E4000" s="67" t="str">
        <f>IFERROR(VLOOKUP(База_КР_КК[[#This Row],[ИД штатной должности (S)]],'уровень защищенности'!$B$7:$F$1095,5,0),"не защищена")</f>
        <v>высокий</v>
      </c>
      <c r="F4000" s="68">
        <v>500479</v>
      </c>
      <c r="G4000" s="74" t="s">
        <v>3171</v>
      </c>
      <c r="H4000" s="181">
        <f>INDEX('Списки данных'!$D$2:$D$1048576,MATCH(База_КР_КК[[#This Row],[Структурное подразделение]],'Списки данных'!$C$2:$C$1048576,0))</f>
        <v>50</v>
      </c>
      <c r="I4000" s="80" t="s">
        <v>159</v>
      </c>
      <c r="J4000" s="80" t="s">
        <v>255</v>
      </c>
      <c r="K4000" s="80" t="s">
        <v>263</v>
      </c>
      <c r="L4000" s="30" t="s">
        <v>191</v>
      </c>
      <c r="M4000" s="68">
        <v>7</v>
      </c>
      <c r="N4000" s="181" t="str">
        <f t="shared" si="63"/>
        <v>нет</v>
      </c>
      <c r="O4000" s="23"/>
      <c r="P4000" s="23"/>
      <c r="Q4000" s="106"/>
      <c r="R4000" s="37">
        <v>987</v>
      </c>
      <c r="S4000" s="39" t="s">
        <v>1396</v>
      </c>
      <c r="T4000" s="37">
        <v>990</v>
      </c>
      <c r="U4000" s="37" t="s">
        <v>1399</v>
      </c>
      <c r="V4000" s="69" t="s">
        <v>192</v>
      </c>
      <c r="W4000" s="89" t="s">
        <v>159</v>
      </c>
      <c r="X4000" s="106" t="s">
        <v>295</v>
      </c>
      <c r="Y4000" s="107" t="s">
        <v>14</v>
      </c>
      <c r="Z4000" s="67">
        <f>IF(База_КР_КК[[#This Row],[Таб.номер резервиста]]="-","-",IF(OR(База_КР_КК[[#This Row],[Уровень КК]]=2,База_КР_КК[[#This Row],[Уровень КК]]=3),IF(COUNTIFS($U$2:$U4000,$U4000,$F$2:$F4000,$F4000)=1,1,0),IF(COUNTIFS($U$2:$U4000,$U4000,$L$2:$L4000,$L4000)=1,1,0)))</f>
        <v>0</v>
      </c>
      <c r="AA40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0" s="106" t="s">
        <v>24</v>
      </c>
      <c r="AC4000" s="51">
        <v>44414</v>
      </c>
      <c r="AD4000" s="106" t="s">
        <v>15</v>
      </c>
      <c r="AE4000" s="38" t="s">
        <v>394</v>
      </c>
    </row>
    <row r="4001" spans="1:31" ht="18" customHeight="1" x14ac:dyDescent="0.25">
      <c r="A40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1" s="79">
        <v>4</v>
      </c>
      <c r="C4001" s="23">
        <v>44190</v>
      </c>
      <c r="D4001" s="67">
        <f>IF(COUNTIF($G$2:$G4001,$G4001)=1,1,0)</f>
        <v>1</v>
      </c>
      <c r="E4001" s="67" t="str">
        <f>IFERROR(VLOOKUP(База_КР_КК[[#This Row],[ИД штатной должности (S)]],'уровень защищенности'!$B$7:$F$1095,5,0),"не защищена")</f>
        <v>высокий</v>
      </c>
      <c r="F4001" s="68">
        <v>500479</v>
      </c>
      <c r="G4001" s="74" t="s">
        <v>3172</v>
      </c>
      <c r="H4001" s="181">
        <f>INDEX('Списки данных'!$D$2:$D$1048576,MATCH(База_КР_КК[[#This Row],[Структурное подразделение]],'Списки данных'!$C$2:$C$1048576,0))</f>
        <v>50</v>
      </c>
      <c r="I4001" s="80" t="s">
        <v>159</v>
      </c>
      <c r="J4001" s="80" t="s">
        <v>255</v>
      </c>
      <c r="K4001" s="80" t="s">
        <v>263</v>
      </c>
      <c r="L4001" s="30" t="s">
        <v>191</v>
      </c>
      <c r="M4001" s="68">
        <v>7</v>
      </c>
      <c r="N4001" s="181" t="str">
        <f t="shared" si="63"/>
        <v>нет</v>
      </c>
      <c r="O4001" s="23"/>
      <c r="P4001" s="23"/>
      <c r="Q4001" s="106"/>
      <c r="R4001" s="37">
        <v>988</v>
      </c>
      <c r="S4001" s="39" t="s">
        <v>1397</v>
      </c>
      <c r="T4001" s="37">
        <v>2066</v>
      </c>
      <c r="U4001" s="37" t="s">
        <v>1886</v>
      </c>
      <c r="V4001" s="69" t="s">
        <v>272</v>
      </c>
      <c r="W4001" s="89" t="s">
        <v>159</v>
      </c>
      <c r="X4001" s="106" t="s">
        <v>295</v>
      </c>
      <c r="Y4001" s="107" t="s">
        <v>12</v>
      </c>
      <c r="Z4001" s="67">
        <f>IF(База_КР_КК[[#This Row],[Таб.номер резервиста]]="-","-",IF(OR(База_КР_КК[[#This Row],[Уровень КК]]=2,База_КР_КК[[#This Row],[Уровень КК]]=3),IF(COUNTIFS($U$2:$U4001,$U4001,$F$2:$F4001,$F4001)=1,1,0),IF(COUNTIFS($U$2:$U4001,$U4001,$L$2:$L4001,$L4001)=1,1,0)))</f>
        <v>0</v>
      </c>
      <c r="AA40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1" s="106"/>
      <c r="AC4001" s="51"/>
      <c r="AD4001" s="106" t="s">
        <v>13</v>
      </c>
      <c r="AE4001" s="38" t="s">
        <v>356</v>
      </c>
    </row>
    <row r="4002" spans="1:31" ht="18" customHeight="1" x14ac:dyDescent="0.25">
      <c r="A40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2" s="79">
        <v>4</v>
      </c>
      <c r="C4002" s="23">
        <v>44190</v>
      </c>
      <c r="D4002" s="67">
        <f>IF(COUNTIF($G$2:$G4002,$G4002)=1,1,0)</f>
        <v>0</v>
      </c>
      <c r="E4002" s="67" t="str">
        <f>IFERROR(VLOOKUP(База_КР_КК[[#This Row],[ИД штатной должности (S)]],'уровень защищенности'!$B$7:$F$1095,5,0),"не защищена")</f>
        <v>высокий</v>
      </c>
      <c r="F4002" s="68">
        <v>500479</v>
      </c>
      <c r="G4002" s="74" t="s">
        <v>3172</v>
      </c>
      <c r="H4002" s="181">
        <f>INDEX('Списки данных'!$D$2:$D$1048576,MATCH(База_КР_КК[[#This Row],[Структурное подразделение]],'Списки данных'!$C$2:$C$1048576,0))</f>
        <v>50</v>
      </c>
      <c r="I4002" s="80" t="s">
        <v>159</v>
      </c>
      <c r="J4002" s="80" t="s">
        <v>255</v>
      </c>
      <c r="K4002" s="80" t="s">
        <v>263</v>
      </c>
      <c r="L4002" s="30" t="s">
        <v>191</v>
      </c>
      <c r="M4002" s="68">
        <v>7</v>
      </c>
      <c r="N4002" s="181" t="str">
        <f t="shared" si="63"/>
        <v>нет</v>
      </c>
      <c r="O4002" s="23"/>
      <c r="P4002" s="23"/>
      <c r="Q4002" s="106"/>
      <c r="R4002" s="37">
        <v>988</v>
      </c>
      <c r="S4002" s="39" t="s">
        <v>1397</v>
      </c>
      <c r="T4002" s="37">
        <v>2067</v>
      </c>
      <c r="U4002" s="37" t="s">
        <v>1845</v>
      </c>
      <c r="V4002" s="69" t="s">
        <v>272</v>
      </c>
      <c r="W4002" s="89" t="s">
        <v>159</v>
      </c>
      <c r="X4002" s="106" t="s">
        <v>295</v>
      </c>
      <c r="Y4002" s="107" t="s">
        <v>12</v>
      </c>
      <c r="Z4002" s="67">
        <f>IF(База_КР_КК[[#This Row],[Таб.номер резервиста]]="-","-",IF(OR(База_КР_КК[[#This Row],[Уровень КК]]=2,База_КР_КК[[#This Row],[Уровень КК]]=3),IF(COUNTIFS($U$2:$U4002,$U4002,$F$2:$F4002,$F4002)=1,1,0),IF(COUNTIFS($U$2:$U4002,$U4002,$L$2:$L4002,$L4002)=1,1,0)))</f>
        <v>0</v>
      </c>
      <c r="AA40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2" s="106"/>
      <c r="AC4002" s="51"/>
      <c r="AD4002" s="106" t="s">
        <v>17</v>
      </c>
      <c r="AE4002" s="38" t="s">
        <v>356</v>
      </c>
    </row>
    <row r="4003" spans="1:31" ht="18" customHeight="1" x14ac:dyDescent="0.25">
      <c r="A40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3" s="79">
        <v>4</v>
      </c>
      <c r="C4003" s="23">
        <v>44190</v>
      </c>
      <c r="D4003" s="67">
        <f>IF(COUNTIF($G$2:$G4003,$G4003)=1,1,0)</f>
        <v>0</v>
      </c>
      <c r="E4003" s="67" t="str">
        <f>IFERROR(VLOOKUP(База_КР_КК[[#This Row],[ИД штатной должности (S)]],'уровень защищенности'!$B$7:$F$1095,5,0),"не защищена")</f>
        <v>высокий</v>
      </c>
      <c r="F4003" s="68">
        <v>500479</v>
      </c>
      <c r="G4003" s="74" t="s">
        <v>3172</v>
      </c>
      <c r="H4003" s="181">
        <f>INDEX('Списки данных'!$D$2:$D$1048576,MATCH(База_КР_КК[[#This Row],[Структурное подразделение]],'Списки данных'!$C$2:$C$1048576,0))</f>
        <v>50</v>
      </c>
      <c r="I4003" s="80" t="s">
        <v>159</v>
      </c>
      <c r="J4003" s="80" t="s">
        <v>255</v>
      </c>
      <c r="K4003" s="80" t="s">
        <v>263</v>
      </c>
      <c r="L4003" s="30" t="s">
        <v>191</v>
      </c>
      <c r="M4003" s="68">
        <v>7</v>
      </c>
      <c r="N4003" s="181" t="str">
        <f t="shared" si="63"/>
        <v>нет</v>
      </c>
      <c r="O4003" s="23"/>
      <c r="P4003" s="23"/>
      <c r="Q4003" s="106"/>
      <c r="R4003" s="37">
        <v>988</v>
      </c>
      <c r="S4003" s="39" t="s">
        <v>1397</v>
      </c>
      <c r="T4003" s="37">
        <v>2068</v>
      </c>
      <c r="U4003" s="37" t="s">
        <v>2132</v>
      </c>
      <c r="V4003" s="69" t="s">
        <v>272</v>
      </c>
      <c r="W4003" s="89" t="s">
        <v>159</v>
      </c>
      <c r="X4003" s="106" t="s">
        <v>295</v>
      </c>
      <c r="Y4003" s="107" t="s">
        <v>12</v>
      </c>
      <c r="Z4003" s="67">
        <f>IF(База_КР_КК[[#This Row],[Таб.номер резервиста]]="-","-",IF(OR(База_КР_КК[[#This Row],[Уровень КК]]=2,База_КР_КК[[#This Row],[Уровень КК]]=3),IF(COUNTIFS($U$2:$U4003,$U4003,$F$2:$F4003,$F4003)=1,1,0),IF(COUNTIFS($U$2:$U4003,$U4003,$L$2:$L4003,$L4003)=1,1,0)))</f>
        <v>0</v>
      </c>
      <c r="AA40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3" s="106"/>
      <c r="AC4003" s="51"/>
      <c r="AD4003" s="106" t="s">
        <v>13</v>
      </c>
      <c r="AE4003" s="38" t="s">
        <v>356</v>
      </c>
    </row>
    <row r="4004" spans="1:31" ht="18" customHeight="1" x14ac:dyDescent="0.25">
      <c r="A40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4" s="79">
        <v>4</v>
      </c>
      <c r="C4004" s="23">
        <v>44190</v>
      </c>
      <c r="D4004" s="67">
        <f>IF(COUNTIF($G$2:$G4004,$G4004)=1,1,0)</f>
        <v>0</v>
      </c>
      <c r="E4004" s="67" t="str">
        <f>IFERROR(VLOOKUP(База_КР_КК[[#This Row],[ИД штатной должности (S)]],'уровень защищенности'!$B$7:$F$1095,5,0),"не защищена")</f>
        <v>высокий</v>
      </c>
      <c r="F4004" s="68">
        <v>500479</v>
      </c>
      <c r="G4004" s="74" t="s">
        <v>3172</v>
      </c>
      <c r="H4004" s="181">
        <f>INDEX('Списки данных'!$D$2:$D$1048576,MATCH(База_КР_КК[[#This Row],[Структурное подразделение]],'Списки данных'!$C$2:$C$1048576,0))</f>
        <v>50</v>
      </c>
      <c r="I4004" s="80" t="s">
        <v>159</v>
      </c>
      <c r="J4004" s="80" t="s">
        <v>255</v>
      </c>
      <c r="K4004" s="80" t="s">
        <v>263</v>
      </c>
      <c r="L4004" s="30" t="s">
        <v>191</v>
      </c>
      <c r="M4004" s="68">
        <v>7</v>
      </c>
      <c r="N4004" s="181" t="str">
        <f t="shared" si="63"/>
        <v>нет</v>
      </c>
      <c r="O4004" s="23"/>
      <c r="P4004" s="23"/>
      <c r="Q4004" s="106"/>
      <c r="R4004" s="37">
        <v>988</v>
      </c>
      <c r="S4004" s="39" t="s">
        <v>1397</v>
      </c>
      <c r="T4004" s="37">
        <v>990</v>
      </c>
      <c r="U4004" s="37" t="s">
        <v>1399</v>
      </c>
      <c r="V4004" s="69" t="s">
        <v>192</v>
      </c>
      <c r="W4004" s="89" t="s">
        <v>159</v>
      </c>
      <c r="X4004" s="106" t="s">
        <v>295</v>
      </c>
      <c r="Y4004" s="107" t="s">
        <v>14</v>
      </c>
      <c r="Z4004" s="67">
        <f>IF(База_КР_КК[[#This Row],[Таб.номер резервиста]]="-","-",IF(OR(База_КР_КК[[#This Row],[Уровень КК]]=2,База_КР_КК[[#This Row],[Уровень КК]]=3),IF(COUNTIFS($U$2:$U4004,$U4004,$F$2:$F4004,$F4004)=1,1,0),IF(COUNTIFS($U$2:$U4004,$U4004,$L$2:$L4004,$L4004)=1,1,0)))</f>
        <v>0</v>
      </c>
      <c r="AA40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4" s="106" t="s">
        <v>24</v>
      </c>
      <c r="AC4004" s="51">
        <v>44414</v>
      </c>
      <c r="AD4004" s="106" t="s">
        <v>15</v>
      </c>
      <c r="AE4004" s="38" t="s">
        <v>394</v>
      </c>
    </row>
    <row r="4005" spans="1:31" ht="18" customHeight="1" x14ac:dyDescent="0.25">
      <c r="A40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5" s="79">
        <v>4</v>
      </c>
      <c r="C4005" s="23">
        <v>44190</v>
      </c>
      <c r="D4005" s="67">
        <f>IF(COUNTIF($G$2:$G4005,$G4005)=1,1,0)</f>
        <v>1</v>
      </c>
      <c r="E4005" s="67" t="str">
        <f>IFERROR(VLOOKUP(База_КР_КК[[#This Row],[ИД штатной должности (S)]],'уровень защищенности'!$B$7:$F$1095,5,0),"не защищена")</f>
        <v>высокий</v>
      </c>
      <c r="F4005" s="68">
        <v>500479</v>
      </c>
      <c r="G4005" s="74" t="s">
        <v>3173</v>
      </c>
      <c r="H4005" s="181">
        <f>INDEX('Списки данных'!$D$2:$D$1048576,MATCH(База_КР_КК[[#This Row],[Структурное подразделение]],'Списки данных'!$C$2:$C$1048576,0))</f>
        <v>50</v>
      </c>
      <c r="I4005" s="80" t="s">
        <v>159</v>
      </c>
      <c r="J4005" s="80" t="s">
        <v>255</v>
      </c>
      <c r="K4005" s="80" t="s">
        <v>263</v>
      </c>
      <c r="L4005" s="30" t="s">
        <v>191</v>
      </c>
      <c r="M4005" s="68">
        <v>7</v>
      </c>
      <c r="N4005" s="181" t="str">
        <f t="shared" si="63"/>
        <v>нет</v>
      </c>
      <c r="O4005" s="23"/>
      <c r="P4005" s="23"/>
      <c r="Q4005" s="106"/>
      <c r="R4005" s="37">
        <v>989</v>
      </c>
      <c r="S4005" s="39" t="s">
        <v>1398</v>
      </c>
      <c r="T4005" s="37">
        <v>2066</v>
      </c>
      <c r="U4005" s="37" t="s">
        <v>1886</v>
      </c>
      <c r="V4005" s="69" t="s">
        <v>272</v>
      </c>
      <c r="W4005" s="89" t="s">
        <v>159</v>
      </c>
      <c r="X4005" s="106" t="s">
        <v>295</v>
      </c>
      <c r="Y4005" s="107" t="s">
        <v>12</v>
      </c>
      <c r="Z4005" s="67">
        <f>IF(База_КР_КК[[#This Row],[Таб.номер резервиста]]="-","-",IF(OR(База_КР_КК[[#This Row],[Уровень КК]]=2,База_КР_КК[[#This Row],[Уровень КК]]=3),IF(COUNTIFS($U$2:$U4005,$U4005,$F$2:$F4005,$F4005)=1,1,0),IF(COUNTIFS($U$2:$U4005,$U4005,$L$2:$L4005,$L4005)=1,1,0)))</f>
        <v>0</v>
      </c>
      <c r="AA40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5" s="106"/>
      <c r="AC4005" s="51"/>
      <c r="AD4005" s="106" t="s">
        <v>13</v>
      </c>
      <c r="AE4005" s="38" t="s">
        <v>356</v>
      </c>
    </row>
    <row r="4006" spans="1:31" ht="18" customHeight="1" x14ac:dyDescent="0.25">
      <c r="A40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6" s="79">
        <v>4</v>
      </c>
      <c r="C4006" s="23">
        <v>44190</v>
      </c>
      <c r="D4006" s="67">
        <f>IF(COUNTIF($G$2:$G4006,$G4006)=1,1,0)</f>
        <v>0</v>
      </c>
      <c r="E4006" s="67" t="str">
        <f>IFERROR(VLOOKUP(База_КР_КК[[#This Row],[ИД штатной должности (S)]],'уровень защищенности'!$B$7:$F$1095,5,0),"не защищена")</f>
        <v>высокий</v>
      </c>
      <c r="F4006" s="68">
        <v>500479</v>
      </c>
      <c r="G4006" s="74" t="s">
        <v>3173</v>
      </c>
      <c r="H4006" s="181">
        <f>INDEX('Списки данных'!$D$2:$D$1048576,MATCH(База_КР_КК[[#This Row],[Структурное подразделение]],'Списки данных'!$C$2:$C$1048576,0))</f>
        <v>50</v>
      </c>
      <c r="I4006" s="80" t="s">
        <v>159</v>
      </c>
      <c r="J4006" s="80" t="s">
        <v>255</v>
      </c>
      <c r="K4006" s="80" t="s">
        <v>263</v>
      </c>
      <c r="L4006" s="30" t="s">
        <v>191</v>
      </c>
      <c r="M4006" s="68">
        <v>7</v>
      </c>
      <c r="N4006" s="181" t="str">
        <f t="shared" si="63"/>
        <v>нет</v>
      </c>
      <c r="O4006" s="23"/>
      <c r="P4006" s="23"/>
      <c r="Q4006" s="106"/>
      <c r="R4006" s="37">
        <v>989</v>
      </c>
      <c r="S4006" s="39" t="s">
        <v>1398</v>
      </c>
      <c r="T4006" s="37">
        <v>2067</v>
      </c>
      <c r="U4006" s="37" t="s">
        <v>1845</v>
      </c>
      <c r="V4006" s="69" t="s">
        <v>272</v>
      </c>
      <c r="W4006" s="89" t="s">
        <v>159</v>
      </c>
      <c r="X4006" s="106" t="s">
        <v>295</v>
      </c>
      <c r="Y4006" s="107" t="s">
        <v>12</v>
      </c>
      <c r="Z4006" s="67">
        <f>IF(База_КР_КК[[#This Row],[Таб.номер резервиста]]="-","-",IF(OR(База_КР_КК[[#This Row],[Уровень КК]]=2,База_КР_КК[[#This Row],[Уровень КК]]=3),IF(COUNTIFS($U$2:$U4006,$U4006,$F$2:$F4006,$F4006)=1,1,0),IF(COUNTIFS($U$2:$U4006,$U4006,$L$2:$L4006,$L4006)=1,1,0)))</f>
        <v>0</v>
      </c>
      <c r="AA40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6" s="106"/>
      <c r="AC4006" s="51"/>
      <c r="AD4006" s="106" t="s">
        <v>17</v>
      </c>
      <c r="AE4006" s="38" t="s">
        <v>356</v>
      </c>
    </row>
    <row r="4007" spans="1:31" ht="18" customHeight="1" x14ac:dyDescent="0.25">
      <c r="A40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7" s="79">
        <v>4</v>
      </c>
      <c r="C4007" s="23">
        <v>44190</v>
      </c>
      <c r="D4007" s="67">
        <f>IF(COUNTIF($G$2:$G4007,$G4007)=1,1,0)</f>
        <v>0</v>
      </c>
      <c r="E4007" s="67" t="str">
        <f>IFERROR(VLOOKUP(База_КР_КК[[#This Row],[ИД штатной должности (S)]],'уровень защищенности'!$B$7:$F$1095,5,0),"не защищена")</f>
        <v>высокий</v>
      </c>
      <c r="F4007" s="68">
        <v>500479</v>
      </c>
      <c r="G4007" s="74" t="s">
        <v>3173</v>
      </c>
      <c r="H4007" s="181">
        <f>INDEX('Списки данных'!$D$2:$D$1048576,MATCH(База_КР_КК[[#This Row],[Структурное подразделение]],'Списки данных'!$C$2:$C$1048576,0))</f>
        <v>50</v>
      </c>
      <c r="I4007" s="80" t="s">
        <v>159</v>
      </c>
      <c r="J4007" s="80" t="s">
        <v>255</v>
      </c>
      <c r="K4007" s="80" t="s">
        <v>263</v>
      </c>
      <c r="L4007" s="30" t="s">
        <v>191</v>
      </c>
      <c r="M4007" s="68">
        <v>7</v>
      </c>
      <c r="N4007" s="181" t="str">
        <f t="shared" si="63"/>
        <v>нет</v>
      </c>
      <c r="O4007" s="23"/>
      <c r="P4007" s="23"/>
      <c r="Q4007" s="106"/>
      <c r="R4007" s="37">
        <v>989</v>
      </c>
      <c r="S4007" s="39" t="s">
        <v>1398</v>
      </c>
      <c r="T4007" s="37">
        <v>2068</v>
      </c>
      <c r="U4007" s="37" t="s">
        <v>2132</v>
      </c>
      <c r="V4007" s="69" t="s">
        <v>272</v>
      </c>
      <c r="W4007" s="89" t="s">
        <v>159</v>
      </c>
      <c r="X4007" s="106" t="s">
        <v>295</v>
      </c>
      <c r="Y4007" s="107" t="s">
        <v>12</v>
      </c>
      <c r="Z4007" s="67">
        <f>IF(База_КР_КК[[#This Row],[Таб.номер резервиста]]="-","-",IF(OR(База_КР_КК[[#This Row],[Уровень КК]]=2,База_КР_КК[[#This Row],[Уровень КК]]=3),IF(COUNTIFS($U$2:$U4007,$U4007,$F$2:$F4007,$F4007)=1,1,0),IF(COUNTIFS($U$2:$U4007,$U4007,$L$2:$L4007,$L4007)=1,1,0)))</f>
        <v>0</v>
      </c>
      <c r="AA40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7" s="106"/>
      <c r="AC4007" s="51"/>
      <c r="AD4007" s="106" t="s">
        <v>13</v>
      </c>
      <c r="AE4007" s="38" t="s">
        <v>356</v>
      </c>
    </row>
    <row r="4008" spans="1:31" ht="18" customHeight="1" x14ac:dyDescent="0.25">
      <c r="A40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8" s="79">
        <v>4</v>
      </c>
      <c r="C4008" s="23">
        <v>44190</v>
      </c>
      <c r="D4008" s="67">
        <f>IF(COUNTIF($G$2:$G4008,$G4008)=1,1,0)</f>
        <v>0</v>
      </c>
      <c r="E4008" s="67" t="str">
        <f>IFERROR(VLOOKUP(База_КР_КК[[#This Row],[ИД штатной должности (S)]],'уровень защищенности'!$B$7:$F$1095,5,0),"не защищена")</f>
        <v>высокий</v>
      </c>
      <c r="F4008" s="68">
        <v>500479</v>
      </c>
      <c r="G4008" s="74" t="s">
        <v>3173</v>
      </c>
      <c r="H4008" s="181">
        <f>INDEX('Списки данных'!$D$2:$D$1048576,MATCH(База_КР_КК[[#This Row],[Структурное подразделение]],'Списки данных'!$C$2:$C$1048576,0))</f>
        <v>50</v>
      </c>
      <c r="I4008" s="80" t="s">
        <v>159</v>
      </c>
      <c r="J4008" s="80" t="s">
        <v>255</v>
      </c>
      <c r="K4008" s="80" t="s">
        <v>263</v>
      </c>
      <c r="L4008" s="30" t="s">
        <v>191</v>
      </c>
      <c r="M4008" s="68">
        <v>7</v>
      </c>
      <c r="N4008" s="181" t="str">
        <f t="shared" si="63"/>
        <v>нет</v>
      </c>
      <c r="O4008" s="23"/>
      <c r="P4008" s="23"/>
      <c r="Q4008" s="106"/>
      <c r="R4008" s="37">
        <v>989</v>
      </c>
      <c r="S4008" s="39" t="s">
        <v>1398</v>
      </c>
      <c r="T4008" s="37">
        <v>990</v>
      </c>
      <c r="U4008" s="37" t="s">
        <v>1399</v>
      </c>
      <c r="V4008" s="69" t="s">
        <v>192</v>
      </c>
      <c r="W4008" s="89" t="s">
        <v>159</v>
      </c>
      <c r="X4008" s="106" t="s">
        <v>295</v>
      </c>
      <c r="Y4008" s="107" t="s">
        <v>14</v>
      </c>
      <c r="Z4008" s="67">
        <f>IF(База_КР_КК[[#This Row],[Таб.номер резервиста]]="-","-",IF(OR(База_КР_КК[[#This Row],[Уровень КК]]=2,База_КР_КК[[#This Row],[Уровень КК]]=3),IF(COUNTIFS($U$2:$U4008,$U4008,$F$2:$F4008,$F4008)=1,1,0),IF(COUNTIFS($U$2:$U4008,$U4008,$L$2:$L4008,$L4008)=1,1,0)))</f>
        <v>0</v>
      </c>
      <c r="AA40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8" s="106" t="s">
        <v>24</v>
      </c>
      <c r="AC4008" s="51">
        <v>44414</v>
      </c>
      <c r="AD4008" s="106" t="s">
        <v>15</v>
      </c>
      <c r="AE4008" s="38" t="s">
        <v>394</v>
      </c>
    </row>
    <row r="4009" spans="1:31" ht="18" customHeight="1" x14ac:dyDescent="0.25">
      <c r="A40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09" s="79">
        <v>4</v>
      </c>
      <c r="C4009" s="23">
        <v>44190</v>
      </c>
      <c r="D4009" s="67">
        <f>IF(COUNTIF($G$2:$G4009,$G4009)=1,1,0)</f>
        <v>1</v>
      </c>
      <c r="E4009" s="67" t="str">
        <f>IFERROR(VLOOKUP(База_КР_КК[[#This Row],[ИД штатной должности (S)]],'уровень защищенности'!$B$7:$F$1095,5,0),"не защищена")</f>
        <v>высокий</v>
      </c>
      <c r="F4009" s="68">
        <v>500479</v>
      </c>
      <c r="G4009" s="74" t="s">
        <v>3174</v>
      </c>
      <c r="H4009" s="181">
        <f>INDEX('Списки данных'!$D$2:$D$1048576,MATCH(База_КР_КК[[#This Row],[Структурное подразделение]],'Списки данных'!$C$2:$C$1048576,0))</f>
        <v>50</v>
      </c>
      <c r="I4009" s="80" t="s">
        <v>159</v>
      </c>
      <c r="J4009" s="80" t="s">
        <v>255</v>
      </c>
      <c r="K4009" s="80" t="s">
        <v>263</v>
      </c>
      <c r="L4009" s="30" t="s">
        <v>191</v>
      </c>
      <c r="M4009" s="68">
        <v>7</v>
      </c>
      <c r="N4009" s="181" t="str">
        <f t="shared" si="63"/>
        <v>да</v>
      </c>
      <c r="O4009" s="23">
        <v>44334</v>
      </c>
      <c r="P4009" s="23">
        <v>44414</v>
      </c>
      <c r="Q4009" s="106" t="s">
        <v>66</v>
      </c>
      <c r="R4009" s="37">
        <v>990</v>
      </c>
      <c r="S4009" s="39" t="s">
        <v>1399</v>
      </c>
      <c r="T4009" s="37">
        <v>2066</v>
      </c>
      <c r="U4009" s="37" t="s">
        <v>1886</v>
      </c>
      <c r="V4009" s="69" t="s">
        <v>272</v>
      </c>
      <c r="W4009" s="89" t="s">
        <v>159</v>
      </c>
      <c r="X4009" s="106" t="s">
        <v>295</v>
      </c>
      <c r="Y4009" s="107" t="s">
        <v>12</v>
      </c>
      <c r="Z4009" s="67">
        <f>IF(База_КР_КК[[#This Row],[Таб.номер резервиста]]="-","-",IF(OR(База_КР_КК[[#This Row],[Уровень КК]]=2,База_КР_КК[[#This Row],[Уровень КК]]=3),IF(COUNTIFS($U$2:$U4009,$U4009,$F$2:$F4009,$F4009)=1,1,0),IF(COUNTIFS($U$2:$U4009,$U4009,$L$2:$L4009,$L4009)=1,1,0)))</f>
        <v>0</v>
      </c>
      <c r="AA40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09" s="106"/>
      <c r="AC4009" s="51"/>
      <c r="AD4009" s="106" t="s">
        <v>13</v>
      </c>
      <c r="AE4009" s="38" t="s">
        <v>356</v>
      </c>
    </row>
    <row r="4010" spans="1:31" ht="18" customHeight="1" x14ac:dyDescent="0.25">
      <c r="A40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0" s="79">
        <v>4</v>
      </c>
      <c r="C4010" s="23">
        <v>44190</v>
      </c>
      <c r="D4010" s="67">
        <f>IF(COUNTIF($G$2:$G4010,$G4010)=1,1,0)</f>
        <v>0</v>
      </c>
      <c r="E4010" s="67" t="str">
        <f>IFERROR(VLOOKUP(База_КР_КК[[#This Row],[ИД штатной должности (S)]],'уровень защищенности'!$B$7:$F$1095,5,0),"не защищена")</f>
        <v>высокий</v>
      </c>
      <c r="F4010" s="68">
        <v>500479</v>
      </c>
      <c r="G4010" s="74" t="s">
        <v>3174</v>
      </c>
      <c r="H4010" s="181">
        <f>INDEX('Списки данных'!$D$2:$D$1048576,MATCH(База_КР_КК[[#This Row],[Структурное подразделение]],'Списки данных'!$C$2:$C$1048576,0))</f>
        <v>50</v>
      </c>
      <c r="I4010" s="80" t="s">
        <v>159</v>
      </c>
      <c r="J4010" s="80" t="s">
        <v>255</v>
      </c>
      <c r="K4010" s="80" t="s">
        <v>263</v>
      </c>
      <c r="L4010" s="30" t="s">
        <v>191</v>
      </c>
      <c r="M4010" s="68">
        <v>7</v>
      </c>
      <c r="N4010" s="181" t="str">
        <f t="shared" si="63"/>
        <v>да</v>
      </c>
      <c r="O4010" s="23">
        <v>44334</v>
      </c>
      <c r="P4010" s="23">
        <v>44414</v>
      </c>
      <c r="Q4010" s="106" t="s">
        <v>66</v>
      </c>
      <c r="R4010" s="37">
        <v>990</v>
      </c>
      <c r="S4010" s="39" t="s">
        <v>1399</v>
      </c>
      <c r="T4010" s="37">
        <v>2067</v>
      </c>
      <c r="U4010" s="37" t="s">
        <v>1845</v>
      </c>
      <c r="V4010" s="69" t="s">
        <v>272</v>
      </c>
      <c r="W4010" s="89" t="s">
        <v>159</v>
      </c>
      <c r="X4010" s="106" t="s">
        <v>295</v>
      </c>
      <c r="Y4010" s="107" t="s">
        <v>12</v>
      </c>
      <c r="Z4010" s="67">
        <f>IF(База_КР_КК[[#This Row],[Таб.номер резервиста]]="-","-",IF(OR(База_КР_КК[[#This Row],[Уровень КК]]=2,База_КР_КК[[#This Row],[Уровень КК]]=3),IF(COUNTIFS($U$2:$U4010,$U4010,$F$2:$F4010,$F4010)=1,1,0),IF(COUNTIFS($U$2:$U4010,$U4010,$L$2:$L4010,$L4010)=1,1,0)))</f>
        <v>0</v>
      </c>
      <c r="AA40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0" s="106"/>
      <c r="AC4010" s="51"/>
      <c r="AD4010" s="106" t="s">
        <v>17</v>
      </c>
      <c r="AE4010" s="38" t="s">
        <v>356</v>
      </c>
    </row>
    <row r="4011" spans="1:31" ht="18" customHeight="1" x14ac:dyDescent="0.25">
      <c r="A40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1" s="79">
        <v>4</v>
      </c>
      <c r="C4011" s="23">
        <v>44190</v>
      </c>
      <c r="D4011" s="67">
        <f>IF(COUNTIF($G$2:$G4011,$G4011)=1,1,0)</f>
        <v>0</v>
      </c>
      <c r="E4011" s="67" t="str">
        <f>IFERROR(VLOOKUP(База_КР_КК[[#This Row],[ИД штатной должности (S)]],'уровень защищенности'!$B$7:$F$1095,5,0),"не защищена")</f>
        <v>высокий</v>
      </c>
      <c r="F4011" s="68">
        <v>500479</v>
      </c>
      <c r="G4011" s="74" t="s">
        <v>3174</v>
      </c>
      <c r="H4011" s="181">
        <f>INDEX('Списки данных'!$D$2:$D$1048576,MATCH(База_КР_КК[[#This Row],[Структурное подразделение]],'Списки данных'!$C$2:$C$1048576,0))</f>
        <v>50</v>
      </c>
      <c r="I4011" s="80" t="s">
        <v>159</v>
      </c>
      <c r="J4011" s="80" t="s">
        <v>255</v>
      </c>
      <c r="K4011" s="80" t="s">
        <v>263</v>
      </c>
      <c r="L4011" s="30" t="s">
        <v>191</v>
      </c>
      <c r="M4011" s="68">
        <v>7</v>
      </c>
      <c r="N4011" s="181" t="str">
        <f t="shared" si="63"/>
        <v>да</v>
      </c>
      <c r="O4011" s="23">
        <v>44334</v>
      </c>
      <c r="P4011" s="23">
        <v>44414</v>
      </c>
      <c r="Q4011" s="106" t="s">
        <v>66</v>
      </c>
      <c r="R4011" s="37">
        <v>990</v>
      </c>
      <c r="S4011" s="39" t="s">
        <v>1399</v>
      </c>
      <c r="T4011" s="37">
        <v>2068</v>
      </c>
      <c r="U4011" s="37" t="s">
        <v>2132</v>
      </c>
      <c r="V4011" s="69" t="s">
        <v>272</v>
      </c>
      <c r="W4011" s="89" t="s">
        <v>159</v>
      </c>
      <c r="X4011" s="106" t="s">
        <v>295</v>
      </c>
      <c r="Y4011" s="107" t="s">
        <v>12</v>
      </c>
      <c r="Z4011" s="67">
        <f>IF(База_КР_КК[[#This Row],[Таб.номер резервиста]]="-","-",IF(OR(База_КР_КК[[#This Row],[Уровень КК]]=2,База_КР_КК[[#This Row],[Уровень КК]]=3),IF(COUNTIFS($U$2:$U4011,$U4011,$F$2:$F4011,$F4011)=1,1,0),IF(COUNTIFS($U$2:$U4011,$U4011,$L$2:$L4011,$L4011)=1,1,0)))</f>
        <v>0</v>
      </c>
      <c r="AA40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1" s="106"/>
      <c r="AC4011" s="51"/>
      <c r="AD4011" s="106" t="s">
        <v>13</v>
      </c>
      <c r="AE4011" s="38" t="s">
        <v>356</v>
      </c>
    </row>
    <row r="4012" spans="1:31" ht="18" customHeight="1" x14ac:dyDescent="0.25">
      <c r="A40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2" s="79">
        <v>4</v>
      </c>
      <c r="C4012" s="23">
        <v>44190</v>
      </c>
      <c r="D4012" s="67">
        <f>IF(COUNTIF($G$2:$G4012,$G4012)=1,1,0)</f>
        <v>0</v>
      </c>
      <c r="E4012" s="67" t="str">
        <f>IFERROR(VLOOKUP(База_КР_КК[[#This Row],[ИД штатной должности (S)]],'уровень защищенности'!$B$7:$F$1095,5,0),"не защищена")</f>
        <v>высокий</v>
      </c>
      <c r="F4012" s="68">
        <v>500479</v>
      </c>
      <c r="G4012" s="74" t="s">
        <v>3174</v>
      </c>
      <c r="H4012" s="181">
        <f>INDEX('Списки данных'!$D$2:$D$1048576,MATCH(База_КР_КК[[#This Row],[Структурное подразделение]],'Списки данных'!$C$2:$C$1048576,0))</f>
        <v>50</v>
      </c>
      <c r="I4012" s="80" t="s">
        <v>159</v>
      </c>
      <c r="J4012" s="80" t="s">
        <v>255</v>
      </c>
      <c r="K4012" s="80" t="s">
        <v>263</v>
      </c>
      <c r="L4012" s="30" t="s">
        <v>191</v>
      </c>
      <c r="M4012" s="68">
        <v>7</v>
      </c>
      <c r="N4012" s="181" t="str">
        <f t="shared" si="63"/>
        <v>да</v>
      </c>
      <c r="O4012" s="23">
        <v>44334</v>
      </c>
      <c r="P4012" s="23">
        <v>44414</v>
      </c>
      <c r="Q4012" s="106" t="s">
        <v>66</v>
      </c>
      <c r="R4012" s="37">
        <v>990</v>
      </c>
      <c r="S4012" s="39" t="s">
        <v>1399</v>
      </c>
      <c r="T4012" s="37">
        <v>990</v>
      </c>
      <c r="U4012" s="37" t="s">
        <v>1399</v>
      </c>
      <c r="V4012" s="69" t="s">
        <v>192</v>
      </c>
      <c r="W4012" s="89" t="s">
        <v>159</v>
      </c>
      <c r="X4012" s="106" t="s">
        <v>295</v>
      </c>
      <c r="Y4012" s="107" t="s">
        <v>14</v>
      </c>
      <c r="Z4012" s="67">
        <f>IF(База_КР_КК[[#This Row],[Таб.номер резервиста]]="-","-",IF(OR(База_КР_КК[[#This Row],[Уровень КК]]=2,База_КР_КК[[#This Row],[Уровень КК]]=3),IF(COUNTIFS($U$2:$U4012,$U4012,$F$2:$F4012,$F4012)=1,1,0),IF(COUNTIFS($U$2:$U4012,$U4012,$L$2:$L4012,$L4012)=1,1,0)))</f>
        <v>0</v>
      </c>
      <c r="AA40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012" s="106" t="s">
        <v>24</v>
      </c>
      <c r="AC4012" s="51">
        <v>44414</v>
      </c>
      <c r="AD4012" s="106" t="s">
        <v>15</v>
      </c>
      <c r="AE4012" s="38" t="s">
        <v>394</v>
      </c>
    </row>
    <row r="4013" spans="1:31" ht="18" customHeight="1" x14ac:dyDescent="0.25">
      <c r="A40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3" s="79">
        <v>4</v>
      </c>
      <c r="C4013" s="23">
        <v>44190</v>
      </c>
      <c r="D4013" s="67">
        <f>IF(COUNTIF($G$2:$G4013,$G4013)=1,1,0)</f>
        <v>1</v>
      </c>
      <c r="E4013" s="67" t="str">
        <f>IFERROR(VLOOKUP(База_КР_КК[[#This Row],[ИД штатной должности (S)]],'уровень защищенности'!$B$7:$F$1095,5,0),"не защищена")</f>
        <v>высокий</v>
      </c>
      <c r="F4013" s="68">
        <v>500479</v>
      </c>
      <c r="G4013" s="74" t="s">
        <v>3175</v>
      </c>
      <c r="H4013" s="181">
        <f>INDEX('Списки данных'!$D$2:$D$1048576,MATCH(База_КР_КК[[#This Row],[Структурное подразделение]],'Списки данных'!$C$2:$C$1048576,0))</f>
        <v>50</v>
      </c>
      <c r="I4013" s="80" t="s">
        <v>159</v>
      </c>
      <c r="J4013" s="80" t="s">
        <v>255</v>
      </c>
      <c r="K4013" s="80" t="s">
        <v>263</v>
      </c>
      <c r="L4013" s="30" t="s">
        <v>191</v>
      </c>
      <c r="M4013" s="68">
        <v>7</v>
      </c>
      <c r="N4013" s="181" t="str">
        <f t="shared" si="63"/>
        <v>нет</v>
      </c>
      <c r="O4013" s="23"/>
      <c r="P4013" s="23"/>
      <c r="Q4013" s="106"/>
      <c r="R4013" s="37">
        <v>991</v>
      </c>
      <c r="S4013" s="39" t="s">
        <v>1400</v>
      </c>
      <c r="T4013" s="37">
        <v>2066</v>
      </c>
      <c r="U4013" s="37" t="s">
        <v>1886</v>
      </c>
      <c r="V4013" s="69" t="s">
        <v>272</v>
      </c>
      <c r="W4013" s="89" t="s">
        <v>159</v>
      </c>
      <c r="X4013" s="106" t="s">
        <v>295</v>
      </c>
      <c r="Y4013" s="107" t="s">
        <v>12</v>
      </c>
      <c r="Z4013" s="67">
        <f>IF(База_КР_КК[[#This Row],[Таб.номер резервиста]]="-","-",IF(OR(База_КР_КК[[#This Row],[Уровень КК]]=2,База_КР_КК[[#This Row],[Уровень КК]]=3),IF(COUNTIFS($U$2:$U4013,$U4013,$F$2:$F4013,$F4013)=1,1,0),IF(COUNTIFS($U$2:$U4013,$U4013,$L$2:$L4013,$L4013)=1,1,0)))</f>
        <v>0</v>
      </c>
      <c r="AA40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3" s="106"/>
      <c r="AC4013" s="51"/>
      <c r="AD4013" s="106" t="s">
        <v>13</v>
      </c>
      <c r="AE4013" s="38" t="s">
        <v>356</v>
      </c>
    </row>
    <row r="4014" spans="1:31" ht="18" customHeight="1" x14ac:dyDescent="0.25">
      <c r="A40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4" s="79">
        <v>4</v>
      </c>
      <c r="C4014" s="23">
        <v>44190</v>
      </c>
      <c r="D4014" s="67">
        <f>IF(COUNTIF($G$2:$G4014,$G4014)=1,1,0)</f>
        <v>0</v>
      </c>
      <c r="E4014" s="67" t="str">
        <f>IFERROR(VLOOKUP(База_КР_КК[[#This Row],[ИД штатной должности (S)]],'уровень защищенности'!$B$7:$F$1095,5,0),"не защищена")</f>
        <v>высокий</v>
      </c>
      <c r="F4014" s="68">
        <v>500479</v>
      </c>
      <c r="G4014" s="74" t="s">
        <v>3175</v>
      </c>
      <c r="H4014" s="181">
        <f>INDEX('Списки данных'!$D$2:$D$1048576,MATCH(База_КР_КК[[#This Row],[Структурное подразделение]],'Списки данных'!$C$2:$C$1048576,0))</f>
        <v>50</v>
      </c>
      <c r="I4014" s="80" t="s">
        <v>159</v>
      </c>
      <c r="J4014" s="80" t="s">
        <v>255</v>
      </c>
      <c r="K4014" s="80" t="s">
        <v>263</v>
      </c>
      <c r="L4014" s="30" t="s">
        <v>191</v>
      </c>
      <c r="M4014" s="68">
        <v>7</v>
      </c>
      <c r="N4014" s="181" t="str">
        <f t="shared" si="63"/>
        <v>нет</v>
      </c>
      <c r="O4014" s="23"/>
      <c r="P4014" s="23"/>
      <c r="Q4014" s="106"/>
      <c r="R4014" s="37">
        <v>991</v>
      </c>
      <c r="S4014" s="39" t="s">
        <v>1400</v>
      </c>
      <c r="T4014" s="37">
        <v>2067</v>
      </c>
      <c r="U4014" s="37" t="s">
        <v>1845</v>
      </c>
      <c r="V4014" s="69" t="s">
        <v>272</v>
      </c>
      <c r="W4014" s="89" t="s">
        <v>159</v>
      </c>
      <c r="X4014" s="106" t="s">
        <v>295</v>
      </c>
      <c r="Y4014" s="107" t="s">
        <v>12</v>
      </c>
      <c r="Z4014" s="67">
        <f>IF(База_КР_КК[[#This Row],[Таб.номер резервиста]]="-","-",IF(OR(База_КР_КК[[#This Row],[Уровень КК]]=2,База_КР_КК[[#This Row],[Уровень КК]]=3),IF(COUNTIFS($U$2:$U4014,$U4014,$F$2:$F4014,$F4014)=1,1,0),IF(COUNTIFS($U$2:$U4014,$U4014,$L$2:$L4014,$L4014)=1,1,0)))</f>
        <v>0</v>
      </c>
      <c r="AA40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4" s="106"/>
      <c r="AC4014" s="51"/>
      <c r="AD4014" s="106" t="s">
        <v>17</v>
      </c>
      <c r="AE4014" s="38" t="s">
        <v>356</v>
      </c>
    </row>
    <row r="4015" spans="1:31" ht="18" customHeight="1" x14ac:dyDescent="0.25">
      <c r="A40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5" s="79">
        <v>4</v>
      </c>
      <c r="C4015" s="23">
        <v>44190</v>
      </c>
      <c r="D4015" s="67">
        <f>IF(COUNTIF($G$2:$G4015,$G4015)=1,1,0)</f>
        <v>0</v>
      </c>
      <c r="E4015" s="67" t="str">
        <f>IFERROR(VLOOKUP(База_КР_КК[[#This Row],[ИД штатной должности (S)]],'уровень защищенности'!$B$7:$F$1095,5,0),"не защищена")</f>
        <v>высокий</v>
      </c>
      <c r="F4015" s="68">
        <v>500479</v>
      </c>
      <c r="G4015" s="74" t="s">
        <v>3175</v>
      </c>
      <c r="H4015" s="181">
        <f>INDEX('Списки данных'!$D$2:$D$1048576,MATCH(База_КР_КК[[#This Row],[Структурное подразделение]],'Списки данных'!$C$2:$C$1048576,0))</f>
        <v>50</v>
      </c>
      <c r="I4015" s="80" t="s">
        <v>159</v>
      </c>
      <c r="J4015" s="80" t="s">
        <v>255</v>
      </c>
      <c r="K4015" s="80" t="s">
        <v>263</v>
      </c>
      <c r="L4015" s="30" t="s">
        <v>191</v>
      </c>
      <c r="M4015" s="68">
        <v>7</v>
      </c>
      <c r="N4015" s="181" t="str">
        <f t="shared" si="63"/>
        <v>нет</v>
      </c>
      <c r="O4015" s="23"/>
      <c r="P4015" s="23"/>
      <c r="Q4015" s="106"/>
      <c r="R4015" s="37">
        <v>991</v>
      </c>
      <c r="S4015" s="39" t="s">
        <v>1400</v>
      </c>
      <c r="T4015" s="37">
        <v>2068</v>
      </c>
      <c r="U4015" s="37" t="s">
        <v>2132</v>
      </c>
      <c r="V4015" s="69" t="s">
        <v>272</v>
      </c>
      <c r="W4015" s="89" t="s">
        <v>159</v>
      </c>
      <c r="X4015" s="106" t="s">
        <v>295</v>
      </c>
      <c r="Y4015" s="107" t="s">
        <v>12</v>
      </c>
      <c r="Z4015" s="67">
        <f>IF(База_КР_КК[[#This Row],[Таб.номер резервиста]]="-","-",IF(OR(База_КР_КК[[#This Row],[Уровень КК]]=2,База_КР_КК[[#This Row],[Уровень КК]]=3),IF(COUNTIFS($U$2:$U4015,$U4015,$F$2:$F4015,$F4015)=1,1,0),IF(COUNTIFS($U$2:$U4015,$U4015,$L$2:$L4015,$L4015)=1,1,0)))</f>
        <v>0</v>
      </c>
      <c r="AA40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5" s="106"/>
      <c r="AC4015" s="51"/>
      <c r="AD4015" s="106" t="s">
        <v>13</v>
      </c>
      <c r="AE4015" s="38" t="s">
        <v>356</v>
      </c>
    </row>
    <row r="4016" spans="1:31" ht="18" customHeight="1" x14ac:dyDescent="0.25">
      <c r="A40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6" s="79">
        <v>4</v>
      </c>
      <c r="C4016" s="23">
        <v>44190</v>
      </c>
      <c r="D4016" s="67">
        <f>IF(COUNTIF($G$2:$G4016,$G4016)=1,1,0)</f>
        <v>0</v>
      </c>
      <c r="E4016" s="67" t="str">
        <f>IFERROR(VLOOKUP(База_КР_КК[[#This Row],[ИД штатной должности (S)]],'уровень защищенности'!$B$7:$F$1095,5,0),"не защищена")</f>
        <v>высокий</v>
      </c>
      <c r="F4016" s="68">
        <v>500479</v>
      </c>
      <c r="G4016" s="74" t="s">
        <v>3175</v>
      </c>
      <c r="H4016" s="181">
        <f>INDEX('Списки данных'!$D$2:$D$1048576,MATCH(База_КР_КК[[#This Row],[Структурное подразделение]],'Списки данных'!$C$2:$C$1048576,0))</f>
        <v>50</v>
      </c>
      <c r="I4016" s="80" t="s">
        <v>159</v>
      </c>
      <c r="J4016" s="80" t="s">
        <v>255</v>
      </c>
      <c r="K4016" s="80" t="s">
        <v>263</v>
      </c>
      <c r="L4016" s="30" t="s">
        <v>191</v>
      </c>
      <c r="M4016" s="68">
        <v>7</v>
      </c>
      <c r="N4016" s="181" t="str">
        <f t="shared" si="63"/>
        <v>нет</v>
      </c>
      <c r="O4016" s="23"/>
      <c r="P4016" s="23"/>
      <c r="Q4016" s="106"/>
      <c r="R4016" s="37">
        <v>991</v>
      </c>
      <c r="S4016" s="39" t="s">
        <v>1400</v>
      </c>
      <c r="T4016" s="37">
        <v>990</v>
      </c>
      <c r="U4016" s="37" t="s">
        <v>1399</v>
      </c>
      <c r="V4016" s="69" t="s">
        <v>192</v>
      </c>
      <c r="W4016" s="89" t="s">
        <v>159</v>
      </c>
      <c r="X4016" s="106" t="s">
        <v>295</v>
      </c>
      <c r="Y4016" s="107" t="s">
        <v>14</v>
      </c>
      <c r="Z4016" s="67">
        <f>IF(База_КР_КК[[#This Row],[Таб.номер резервиста]]="-","-",IF(OR(База_КР_КК[[#This Row],[Уровень КК]]=2,База_КР_КК[[#This Row],[Уровень КК]]=3),IF(COUNTIFS($U$2:$U4016,$U4016,$F$2:$F4016,$F4016)=1,1,0),IF(COUNTIFS($U$2:$U4016,$U4016,$L$2:$L4016,$L4016)=1,1,0)))</f>
        <v>0</v>
      </c>
      <c r="AA40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6" s="106" t="s">
        <v>24</v>
      </c>
      <c r="AC4016" s="51">
        <v>44414</v>
      </c>
      <c r="AD4016" s="106" t="s">
        <v>15</v>
      </c>
      <c r="AE4016" s="38" t="s">
        <v>394</v>
      </c>
    </row>
    <row r="4017" spans="1:31" ht="18" customHeight="1" x14ac:dyDescent="0.25">
      <c r="A40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7" s="79">
        <v>4</v>
      </c>
      <c r="C4017" s="23">
        <v>44190</v>
      </c>
      <c r="D4017" s="67">
        <f>IF(COUNTIF($G$2:$G4017,$G4017)=1,1,0)</f>
        <v>1</v>
      </c>
      <c r="E4017" s="67" t="str">
        <f>IFERROR(VLOOKUP(База_КР_КК[[#This Row],[ИД штатной должности (S)]],'уровень защищенности'!$B$7:$F$1095,5,0),"не защищена")</f>
        <v>высокий</v>
      </c>
      <c r="F4017" s="68">
        <v>500480</v>
      </c>
      <c r="G4017" s="74" t="s">
        <v>3176</v>
      </c>
      <c r="H4017" s="181">
        <f>INDEX('Списки данных'!$D$2:$D$1048576,MATCH(База_КР_КК[[#This Row],[Структурное подразделение]],'Списки данных'!$C$2:$C$1048576,0))</f>
        <v>50</v>
      </c>
      <c r="I4017" s="80" t="s">
        <v>159</v>
      </c>
      <c r="J4017" s="80" t="s">
        <v>255</v>
      </c>
      <c r="K4017" s="80" t="s">
        <v>263</v>
      </c>
      <c r="L4017" s="30" t="s">
        <v>198</v>
      </c>
      <c r="M4017" s="68">
        <v>6</v>
      </c>
      <c r="N4017" s="181" t="str">
        <f t="shared" si="63"/>
        <v>нет</v>
      </c>
      <c r="O4017" s="23"/>
      <c r="P4017" s="23"/>
      <c r="Q4017" s="107"/>
      <c r="R4017" s="37">
        <v>992</v>
      </c>
      <c r="S4017" s="39" t="s">
        <v>1401</v>
      </c>
      <c r="T4017" s="37">
        <v>993</v>
      </c>
      <c r="U4017" s="37" t="s">
        <v>1402</v>
      </c>
      <c r="V4017" s="89" t="s">
        <v>192</v>
      </c>
      <c r="W4017" s="89" t="s">
        <v>159</v>
      </c>
      <c r="X4017" s="106" t="s">
        <v>295</v>
      </c>
      <c r="Y4017" s="107" t="s">
        <v>12</v>
      </c>
      <c r="Z4017" s="67">
        <f>IF(База_КР_КК[[#This Row],[Таб.номер резервиста]]="-","-",IF(OR(База_КР_КК[[#This Row],[Уровень КК]]=2,База_КР_КК[[#This Row],[Уровень КК]]=3),IF(COUNTIFS($U$2:$U4017,$U4017,$F$2:$F4017,$F4017)=1,1,0),IF(COUNTIFS($U$2:$U4017,$U4017,$L$2:$L4017,$L4017)=1,1,0)))</f>
        <v>1</v>
      </c>
      <c r="AA40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7" s="106"/>
      <c r="AC4017" s="51"/>
      <c r="AD4017" s="106" t="s">
        <v>13</v>
      </c>
      <c r="AE4017" s="38" t="s">
        <v>356</v>
      </c>
    </row>
    <row r="4018" spans="1:31" ht="18" customHeight="1" x14ac:dyDescent="0.25">
      <c r="A40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8" s="79">
        <v>4</v>
      </c>
      <c r="C4018" s="23">
        <v>44190</v>
      </c>
      <c r="D4018" s="67">
        <f>IF(COUNTIF($G$2:$G4018,$G4018)=1,1,0)</f>
        <v>0</v>
      </c>
      <c r="E4018" s="67" t="str">
        <f>IFERROR(VLOOKUP(База_КР_КК[[#This Row],[ИД штатной должности (S)]],'уровень защищенности'!$B$7:$F$1095,5,0),"не защищена")</f>
        <v>высокий</v>
      </c>
      <c r="F4018" s="68">
        <v>500480</v>
      </c>
      <c r="G4018" s="74" t="s">
        <v>3176</v>
      </c>
      <c r="H4018" s="181">
        <f>INDEX('Списки данных'!$D$2:$D$1048576,MATCH(База_КР_КК[[#This Row],[Структурное подразделение]],'Списки данных'!$C$2:$C$1048576,0))</f>
        <v>50</v>
      </c>
      <c r="I4018" s="80" t="s">
        <v>159</v>
      </c>
      <c r="J4018" s="80" t="s">
        <v>255</v>
      </c>
      <c r="K4018" s="80" t="s">
        <v>263</v>
      </c>
      <c r="L4018" s="30" t="s">
        <v>198</v>
      </c>
      <c r="M4018" s="68">
        <v>6</v>
      </c>
      <c r="N4018" s="181" t="str">
        <f t="shared" si="63"/>
        <v>нет</v>
      </c>
      <c r="O4018" s="23"/>
      <c r="P4018" s="23"/>
      <c r="Q4018" s="107"/>
      <c r="R4018" s="37">
        <v>992</v>
      </c>
      <c r="S4018" s="39" t="s">
        <v>1401</v>
      </c>
      <c r="T4018" s="37">
        <v>2065</v>
      </c>
      <c r="U4018" s="37" t="s">
        <v>1997</v>
      </c>
      <c r="V4018" s="69" t="s">
        <v>192</v>
      </c>
      <c r="W4018" s="89" t="s">
        <v>287</v>
      </c>
      <c r="X4018" s="106" t="s">
        <v>295</v>
      </c>
      <c r="Y4018" s="107" t="s">
        <v>18</v>
      </c>
      <c r="Z4018" s="67">
        <f>IF(База_КР_КК[[#This Row],[Таб.номер резервиста]]="-","-",IF(OR(База_КР_КК[[#This Row],[Уровень КК]]=2,База_КР_КК[[#This Row],[Уровень КК]]=3),IF(COUNTIFS($U$2:$U4018,$U4018,$F$2:$F4018,$F4018)=1,1,0),IF(COUNTIFS($U$2:$U4018,$U4018,$L$2:$L4018,$L4018)=1,1,0)))</f>
        <v>0</v>
      </c>
      <c r="AA40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8" s="106" t="s">
        <v>33</v>
      </c>
      <c r="AC4018" s="51">
        <v>44335</v>
      </c>
      <c r="AD4018" s="106" t="s">
        <v>15</v>
      </c>
      <c r="AE4018" s="38" t="s">
        <v>394</v>
      </c>
    </row>
    <row r="4019" spans="1:31" ht="18" customHeight="1" x14ac:dyDescent="0.25">
      <c r="A40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19" s="79">
        <v>4</v>
      </c>
      <c r="C4019" s="23">
        <v>44190</v>
      </c>
      <c r="D4019" s="67">
        <f>IF(COUNTIF($G$2:$G4019,$G4019)=1,1,0)</f>
        <v>1</v>
      </c>
      <c r="E4019" s="67" t="str">
        <f>IFERROR(VLOOKUP(База_КР_КК[[#This Row],[ИД штатной должности (S)]],'уровень защищенности'!$B$7:$F$1095,5,0),"не защищена")</f>
        <v>высокий</v>
      </c>
      <c r="F4019" s="68">
        <v>500481</v>
      </c>
      <c r="G4019" s="74" t="s">
        <v>3177</v>
      </c>
      <c r="H4019" s="181">
        <f>INDEX('Списки данных'!$D$2:$D$1048576,MATCH(База_КР_КК[[#This Row],[Структурное подразделение]],'Списки данных'!$C$2:$C$1048576,0))</f>
        <v>50</v>
      </c>
      <c r="I4019" s="80" t="s">
        <v>159</v>
      </c>
      <c r="J4019" s="80" t="s">
        <v>255</v>
      </c>
      <c r="K4019" s="80" t="s">
        <v>263</v>
      </c>
      <c r="L4019" s="30" t="s">
        <v>191</v>
      </c>
      <c r="M4019" s="68">
        <v>7</v>
      </c>
      <c r="N4019" s="181" t="str">
        <f t="shared" si="63"/>
        <v>нет</v>
      </c>
      <c r="O4019" s="23"/>
      <c r="P4019" s="23"/>
      <c r="Q4019" s="106"/>
      <c r="R4019" s="37">
        <v>993</v>
      </c>
      <c r="S4019" s="39" t="s">
        <v>1402</v>
      </c>
      <c r="T4019" s="37">
        <v>2066</v>
      </c>
      <c r="U4019" s="37" t="s">
        <v>1886</v>
      </c>
      <c r="V4019" s="69" t="s">
        <v>272</v>
      </c>
      <c r="W4019" s="89" t="s">
        <v>159</v>
      </c>
      <c r="X4019" s="106" t="s">
        <v>295</v>
      </c>
      <c r="Y4019" s="107" t="s">
        <v>12</v>
      </c>
      <c r="Z4019" s="67">
        <f>IF(База_КР_КК[[#This Row],[Таб.номер резервиста]]="-","-",IF(OR(База_КР_КК[[#This Row],[Уровень КК]]=2,База_КР_КК[[#This Row],[Уровень КК]]=3),IF(COUNTIFS($U$2:$U4019,$U4019,$F$2:$F4019,$F4019)=1,1,0),IF(COUNTIFS($U$2:$U4019,$U4019,$L$2:$L4019,$L4019)=1,1,0)))</f>
        <v>0</v>
      </c>
      <c r="AA40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19" s="106"/>
      <c r="AC4019" s="51"/>
      <c r="AD4019" s="106" t="s">
        <v>13</v>
      </c>
      <c r="AE4019" s="38" t="s">
        <v>356</v>
      </c>
    </row>
    <row r="4020" spans="1:31" ht="18" customHeight="1" x14ac:dyDescent="0.25">
      <c r="A40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0" s="79">
        <v>4</v>
      </c>
      <c r="C4020" s="23">
        <v>44190</v>
      </c>
      <c r="D4020" s="67">
        <f>IF(COUNTIF($G$2:$G4020,$G4020)=1,1,0)</f>
        <v>0</v>
      </c>
      <c r="E4020" s="67" t="str">
        <f>IFERROR(VLOOKUP(База_КР_КК[[#This Row],[ИД штатной должности (S)]],'уровень защищенности'!$B$7:$F$1095,5,0),"не защищена")</f>
        <v>высокий</v>
      </c>
      <c r="F4020" s="68">
        <v>500481</v>
      </c>
      <c r="G4020" s="74" t="s">
        <v>3177</v>
      </c>
      <c r="H4020" s="181">
        <f>INDEX('Списки данных'!$D$2:$D$1048576,MATCH(База_КР_КК[[#This Row],[Структурное подразделение]],'Списки данных'!$C$2:$C$1048576,0))</f>
        <v>50</v>
      </c>
      <c r="I4020" s="80" t="s">
        <v>159</v>
      </c>
      <c r="J4020" s="80" t="s">
        <v>255</v>
      </c>
      <c r="K4020" s="80" t="s">
        <v>263</v>
      </c>
      <c r="L4020" s="30" t="s">
        <v>191</v>
      </c>
      <c r="M4020" s="68">
        <v>7</v>
      </c>
      <c r="N4020" s="181" t="str">
        <f t="shared" si="63"/>
        <v>нет</v>
      </c>
      <c r="O4020" s="23"/>
      <c r="P4020" s="23"/>
      <c r="Q4020" s="106"/>
      <c r="R4020" s="37">
        <v>993</v>
      </c>
      <c r="S4020" s="39" t="s">
        <v>1402</v>
      </c>
      <c r="T4020" s="37">
        <v>2067</v>
      </c>
      <c r="U4020" s="37" t="s">
        <v>1845</v>
      </c>
      <c r="V4020" s="69" t="s">
        <v>272</v>
      </c>
      <c r="W4020" s="89" t="s">
        <v>159</v>
      </c>
      <c r="X4020" s="106" t="s">
        <v>295</v>
      </c>
      <c r="Y4020" s="107" t="s">
        <v>12</v>
      </c>
      <c r="Z4020" s="67">
        <f>IF(База_КР_КК[[#This Row],[Таб.номер резервиста]]="-","-",IF(OR(База_КР_КК[[#This Row],[Уровень КК]]=2,База_КР_КК[[#This Row],[Уровень КК]]=3),IF(COUNTIFS($U$2:$U4020,$U4020,$F$2:$F4020,$F4020)=1,1,0),IF(COUNTIFS($U$2:$U4020,$U4020,$L$2:$L4020,$L4020)=1,1,0)))</f>
        <v>0</v>
      </c>
      <c r="AA40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0" s="106"/>
      <c r="AC4020" s="51"/>
      <c r="AD4020" s="106" t="s">
        <v>17</v>
      </c>
      <c r="AE4020" s="38" t="s">
        <v>356</v>
      </c>
    </row>
    <row r="4021" spans="1:31" ht="18" customHeight="1" x14ac:dyDescent="0.25">
      <c r="A40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1" s="79">
        <v>4</v>
      </c>
      <c r="C4021" s="23">
        <v>44190</v>
      </c>
      <c r="D4021" s="67">
        <f>IF(COUNTIF($G$2:$G4021,$G4021)=1,1,0)</f>
        <v>0</v>
      </c>
      <c r="E4021" s="67" t="str">
        <f>IFERROR(VLOOKUP(База_КР_КК[[#This Row],[ИД штатной должности (S)]],'уровень защищенности'!$B$7:$F$1095,5,0),"не защищена")</f>
        <v>высокий</v>
      </c>
      <c r="F4021" s="68">
        <v>500481</v>
      </c>
      <c r="G4021" s="74" t="s">
        <v>3177</v>
      </c>
      <c r="H4021" s="181">
        <f>INDEX('Списки данных'!$D$2:$D$1048576,MATCH(База_КР_КК[[#This Row],[Структурное подразделение]],'Списки данных'!$C$2:$C$1048576,0))</f>
        <v>50</v>
      </c>
      <c r="I4021" s="80" t="s">
        <v>159</v>
      </c>
      <c r="J4021" s="80" t="s">
        <v>255</v>
      </c>
      <c r="K4021" s="80" t="s">
        <v>263</v>
      </c>
      <c r="L4021" s="30" t="s">
        <v>191</v>
      </c>
      <c r="M4021" s="68">
        <v>7</v>
      </c>
      <c r="N4021" s="181" t="str">
        <f t="shared" si="63"/>
        <v>нет</v>
      </c>
      <c r="O4021" s="23"/>
      <c r="P4021" s="23"/>
      <c r="Q4021" s="106"/>
      <c r="R4021" s="37">
        <v>993</v>
      </c>
      <c r="S4021" s="39" t="s">
        <v>1402</v>
      </c>
      <c r="T4021" s="37">
        <v>2068</v>
      </c>
      <c r="U4021" s="37" t="s">
        <v>2132</v>
      </c>
      <c r="V4021" s="69" t="s">
        <v>272</v>
      </c>
      <c r="W4021" s="89" t="s">
        <v>159</v>
      </c>
      <c r="X4021" s="106" t="s">
        <v>295</v>
      </c>
      <c r="Y4021" s="107" t="s">
        <v>12</v>
      </c>
      <c r="Z4021" s="67">
        <f>IF(База_КР_КК[[#This Row],[Таб.номер резервиста]]="-","-",IF(OR(База_КР_КК[[#This Row],[Уровень КК]]=2,База_КР_КК[[#This Row],[Уровень КК]]=3),IF(COUNTIFS($U$2:$U4021,$U4021,$F$2:$F4021,$F4021)=1,1,0),IF(COUNTIFS($U$2:$U4021,$U4021,$L$2:$L4021,$L4021)=1,1,0)))</f>
        <v>0</v>
      </c>
      <c r="AA40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1" s="106"/>
      <c r="AC4021" s="51"/>
      <c r="AD4021" s="106" t="s">
        <v>13</v>
      </c>
      <c r="AE4021" s="38" t="s">
        <v>356</v>
      </c>
    </row>
    <row r="4022" spans="1:31" ht="18" customHeight="1" x14ac:dyDescent="0.25">
      <c r="A40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2" s="79">
        <v>4</v>
      </c>
      <c r="C4022" s="23">
        <v>44190</v>
      </c>
      <c r="D4022" s="67">
        <f>IF(COUNTIF($G$2:$G4022,$G4022)=1,1,0)</f>
        <v>0</v>
      </c>
      <c r="E4022" s="67" t="str">
        <f>IFERROR(VLOOKUP(База_КР_КК[[#This Row],[ИД штатной должности (S)]],'уровень защищенности'!$B$7:$F$1095,5,0),"не защищена")</f>
        <v>высокий</v>
      </c>
      <c r="F4022" s="68">
        <v>500481</v>
      </c>
      <c r="G4022" s="74" t="s">
        <v>3177</v>
      </c>
      <c r="H4022" s="181">
        <f>INDEX('Списки данных'!$D$2:$D$1048576,MATCH(База_КР_КК[[#This Row],[Структурное подразделение]],'Списки данных'!$C$2:$C$1048576,0))</f>
        <v>50</v>
      </c>
      <c r="I4022" s="80" t="s">
        <v>159</v>
      </c>
      <c r="J4022" s="80" t="s">
        <v>255</v>
      </c>
      <c r="K4022" s="80" t="s">
        <v>263</v>
      </c>
      <c r="L4022" s="30" t="s">
        <v>191</v>
      </c>
      <c r="M4022" s="68">
        <v>7</v>
      </c>
      <c r="N4022" s="181" t="str">
        <f t="shared" si="63"/>
        <v>нет</v>
      </c>
      <c r="O4022" s="23"/>
      <c r="P4022" s="23"/>
      <c r="Q4022" s="106"/>
      <c r="R4022" s="37">
        <v>993</v>
      </c>
      <c r="S4022" s="39" t="s">
        <v>1402</v>
      </c>
      <c r="T4022" s="37">
        <v>2069</v>
      </c>
      <c r="U4022" s="37" t="s">
        <v>2110</v>
      </c>
      <c r="V4022" s="69" t="s">
        <v>272</v>
      </c>
      <c r="W4022" s="89" t="s">
        <v>159</v>
      </c>
      <c r="X4022" s="106" t="s">
        <v>296</v>
      </c>
      <c r="Y4022" s="107" t="s">
        <v>12</v>
      </c>
      <c r="Z4022" s="67">
        <f>IF(База_КР_КК[[#This Row],[Таб.номер резервиста]]="-","-",IF(OR(База_КР_КК[[#This Row],[Уровень КК]]=2,База_КР_КК[[#This Row],[Уровень КК]]=3),IF(COUNTIFS($U$2:$U4022,$U4022,$F$2:$F4022,$F4022)=1,1,0),IF(COUNTIFS($U$2:$U4022,$U4022,$L$2:$L4022,$L4022)=1,1,0)))</f>
        <v>1</v>
      </c>
      <c r="AA40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2" s="106"/>
      <c r="AC4022" s="51"/>
      <c r="AD4022" s="106" t="s">
        <v>13</v>
      </c>
      <c r="AE4022" s="38" t="s">
        <v>356</v>
      </c>
    </row>
    <row r="4023" spans="1:31" ht="18" customHeight="1" x14ac:dyDescent="0.25">
      <c r="A40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3" s="79">
        <v>4</v>
      </c>
      <c r="C4023" s="23">
        <v>44190</v>
      </c>
      <c r="D4023" s="67">
        <f>IF(COUNTIF($G$2:$G4023,$G4023)=1,1,0)</f>
        <v>0</v>
      </c>
      <c r="E4023" s="67" t="str">
        <f>IFERROR(VLOOKUP(База_КР_КК[[#This Row],[ИД штатной должности (S)]],'уровень защищенности'!$B$7:$F$1095,5,0),"не защищена")</f>
        <v>высокий</v>
      </c>
      <c r="F4023" s="68">
        <v>500481</v>
      </c>
      <c r="G4023" s="74" t="s">
        <v>3177</v>
      </c>
      <c r="H4023" s="181">
        <f>INDEX('Списки данных'!$D$2:$D$1048576,MATCH(База_КР_КК[[#This Row],[Структурное подразделение]],'Списки данных'!$C$2:$C$1048576,0))</f>
        <v>50</v>
      </c>
      <c r="I4023" s="80" t="s">
        <v>159</v>
      </c>
      <c r="J4023" s="80" t="s">
        <v>255</v>
      </c>
      <c r="K4023" s="80" t="s">
        <v>263</v>
      </c>
      <c r="L4023" s="30" t="s">
        <v>191</v>
      </c>
      <c r="M4023" s="68">
        <v>7</v>
      </c>
      <c r="N4023" s="181" t="str">
        <f t="shared" si="63"/>
        <v>нет</v>
      </c>
      <c r="O4023" s="23"/>
      <c r="P4023" s="23"/>
      <c r="Q4023" s="106"/>
      <c r="R4023" s="37">
        <v>993</v>
      </c>
      <c r="S4023" s="39" t="s">
        <v>1402</v>
      </c>
      <c r="T4023" s="37">
        <v>2070</v>
      </c>
      <c r="U4023" s="37" t="s">
        <v>2081</v>
      </c>
      <c r="V4023" s="69" t="s">
        <v>272</v>
      </c>
      <c r="W4023" s="89" t="s">
        <v>159</v>
      </c>
      <c r="X4023" s="106" t="s">
        <v>297</v>
      </c>
      <c r="Y4023" s="107" t="s">
        <v>12</v>
      </c>
      <c r="Z4023" s="67">
        <f>IF(База_КР_КК[[#This Row],[Таб.номер резервиста]]="-","-",IF(OR(База_КР_КК[[#This Row],[Уровень КК]]=2,База_КР_КК[[#This Row],[Уровень КК]]=3),IF(COUNTIFS($U$2:$U4023,$U4023,$F$2:$F4023,$F4023)=1,1,0),IF(COUNTIFS($U$2:$U4023,$U4023,$L$2:$L4023,$L4023)=1,1,0)))</f>
        <v>0</v>
      </c>
      <c r="AA40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3" s="106"/>
      <c r="AC4023" s="51"/>
      <c r="AD4023" s="106" t="s">
        <v>13</v>
      </c>
      <c r="AE4023" s="38" t="s">
        <v>356</v>
      </c>
    </row>
    <row r="4024" spans="1:31" ht="18" customHeight="1" x14ac:dyDescent="0.25">
      <c r="A40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4" s="79">
        <v>4</v>
      </c>
      <c r="C4024" s="23">
        <v>44888</v>
      </c>
      <c r="D4024" s="67">
        <f>IF(COUNTIF($G$2:$G4024,$G4024)=1,1,0)</f>
        <v>0</v>
      </c>
      <c r="E4024" s="67" t="str">
        <f>IFERROR(VLOOKUP(База_КР_КК[[#This Row],[ИД штатной должности (S)]],'уровень защищенности'!$B$7:$F$1095,5,0),"не защищена")</f>
        <v>высокий</v>
      </c>
      <c r="F4024" s="68">
        <v>500481</v>
      </c>
      <c r="G4024" s="74" t="s">
        <v>3177</v>
      </c>
      <c r="H4024" s="181">
        <f>INDEX('Списки данных'!$D$2:$D$1048576,MATCH(База_КР_КК[[#This Row],[Структурное подразделение]],'Списки данных'!$C$2:$C$1048576,0))</f>
        <v>50</v>
      </c>
      <c r="I4024" s="80" t="s">
        <v>159</v>
      </c>
      <c r="J4024" s="80" t="s">
        <v>255</v>
      </c>
      <c r="K4024" s="80" t="s">
        <v>263</v>
      </c>
      <c r="L4024" s="30" t="s">
        <v>191</v>
      </c>
      <c r="M4024" s="68">
        <v>7</v>
      </c>
      <c r="N4024" s="181" t="str">
        <f t="shared" si="63"/>
        <v>нет</v>
      </c>
      <c r="O4024" s="23"/>
      <c r="P4024" s="23"/>
      <c r="Q4024" s="106"/>
      <c r="R4024" s="37">
        <v>993</v>
      </c>
      <c r="S4024" s="39" t="s">
        <v>1402</v>
      </c>
      <c r="T4024" s="37">
        <v>2071</v>
      </c>
      <c r="U4024" s="38" t="s">
        <v>2077</v>
      </c>
      <c r="V4024" s="89" t="s">
        <v>272</v>
      </c>
      <c r="W4024" s="89" t="s">
        <v>159</v>
      </c>
      <c r="X4024" s="106" t="s">
        <v>296</v>
      </c>
      <c r="Y4024" s="107" t="s">
        <v>12</v>
      </c>
      <c r="Z4024" s="67">
        <f>IF(База_КР_КК[[#This Row],[Таб.номер резервиста]]="-","-",IF(OR(База_КР_КК[[#This Row],[Уровень КК]]=2,База_КР_КК[[#This Row],[Уровень КК]]=3),IF(COUNTIFS($U$2:$U4024,$U4024,$F$2:$F4024,$F4024)=1,1,0),IF(COUNTIFS($U$2:$U4024,$U4024,$L$2:$L4024,$L4024)=1,1,0)))</f>
        <v>0</v>
      </c>
      <c r="AA40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4" s="106"/>
      <c r="AC4024" s="51"/>
      <c r="AD4024" s="106" t="s">
        <v>15</v>
      </c>
      <c r="AE4024" s="38" t="s">
        <v>356</v>
      </c>
    </row>
    <row r="4025" spans="1:31" ht="18" customHeight="1" x14ac:dyDescent="0.25">
      <c r="A40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5" s="79">
        <v>4</v>
      </c>
      <c r="C4025" s="23">
        <v>44888</v>
      </c>
      <c r="D4025" s="67">
        <f>IF(COUNTIF($G$2:$G4025,$G4025)=1,1,0)</f>
        <v>0</v>
      </c>
      <c r="E4025" s="67" t="str">
        <f>IFERROR(VLOOKUP(База_КР_КК[[#This Row],[ИД штатной должности (S)]],'уровень защищенности'!$B$7:$F$1095,5,0),"не защищена")</f>
        <v>высокий</v>
      </c>
      <c r="F4025" s="68">
        <v>500481</v>
      </c>
      <c r="G4025" s="74" t="s">
        <v>3177</v>
      </c>
      <c r="H4025" s="181">
        <f>INDEX('Списки данных'!$D$2:$D$1048576,MATCH(База_КР_КК[[#This Row],[Структурное подразделение]],'Списки данных'!$C$2:$C$1048576,0))</f>
        <v>50</v>
      </c>
      <c r="I4025" s="80" t="s">
        <v>159</v>
      </c>
      <c r="J4025" s="80" t="s">
        <v>255</v>
      </c>
      <c r="K4025" s="80" t="s">
        <v>263</v>
      </c>
      <c r="L4025" s="30" t="s">
        <v>191</v>
      </c>
      <c r="M4025" s="68">
        <v>7</v>
      </c>
      <c r="N4025" s="181" t="str">
        <f t="shared" si="63"/>
        <v>нет</v>
      </c>
      <c r="O4025" s="23"/>
      <c r="P4025" s="23"/>
      <c r="Q4025" s="106"/>
      <c r="R4025" s="37">
        <v>993</v>
      </c>
      <c r="S4025" s="39" t="s">
        <v>1402</v>
      </c>
      <c r="T4025" s="37">
        <v>2072</v>
      </c>
      <c r="U4025" s="38" t="s">
        <v>2027</v>
      </c>
      <c r="V4025" s="89" t="s">
        <v>272</v>
      </c>
      <c r="W4025" s="89" t="s">
        <v>159</v>
      </c>
      <c r="X4025" s="106" t="s">
        <v>296</v>
      </c>
      <c r="Y4025" s="107" t="s">
        <v>12</v>
      </c>
      <c r="Z4025" s="67">
        <f>IF(База_КР_КК[[#This Row],[Таб.номер резервиста]]="-","-",IF(OR(База_КР_КК[[#This Row],[Уровень КК]]=2,База_КР_КК[[#This Row],[Уровень КК]]=3),IF(COUNTIFS($U$2:$U4025,$U4025,$F$2:$F4025,$F4025)=1,1,0),IF(COUNTIFS($U$2:$U4025,$U4025,$L$2:$L4025,$L4025)=1,1,0)))</f>
        <v>0</v>
      </c>
      <c r="AA40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5" s="106"/>
      <c r="AC4025" s="51"/>
      <c r="AD4025" s="106" t="s">
        <v>15</v>
      </c>
      <c r="AE4025" s="38" t="s">
        <v>356</v>
      </c>
    </row>
    <row r="4026" spans="1:31" ht="18" customHeight="1" x14ac:dyDescent="0.25">
      <c r="A40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6" s="79">
        <v>4</v>
      </c>
      <c r="C4026" s="23">
        <v>44190</v>
      </c>
      <c r="D4026" s="67">
        <f>IF(COUNTIF($G$2:$G4026,$G4026)=1,1,0)</f>
        <v>0</v>
      </c>
      <c r="E4026" s="67" t="str">
        <f>IFERROR(VLOOKUP(База_КР_КК[[#This Row],[ИД штатной должности (S)]],'уровень защищенности'!$B$7:$F$1095,5,0),"не защищена")</f>
        <v>высокий</v>
      </c>
      <c r="F4026" s="68">
        <v>500481</v>
      </c>
      <c r="G4026" s="74" t="s">
        <v>3177</v>
      </c>
      <c r="H4026" s="181">
        <f>INDEX('Списки данных'!$D$2:$D$1048576,MATCH(База_КР_КК[[#This Row],[Структурное подразделение]],'Списки данных'!$C$2:$C$1048576,0))</f>
        <v>50</v>
      </c>
      <c r="I4026" s="80" t="s">
        <v>159</v>
      </c>
      <c r="J4026" s="80" t="s">
        <v>255</v>
      </c>
      <c r="K4026" s="80" t="s">
        <v>263</v>
      </c>
      <c r="L4026" s="30" t="s">
        <v>191</v>
      </c>
      <c r="M4026" s="68">
        <v>7</v>
      </c>
      <c r="N4026" s="181" t="str">
        <f t="shared" si="63"/>
        <v>нет</v>
      </c>
      <c r="O4026" s="23"/>
      <c r="P4026" s="23"/>
      <c r="Q4026" s="106"/>
      <c r="R4026" s="37">
        <v>993</v>
      </c>
      <c r="S4026" s="39" t="s">
        <v>1402</v>
      </c>
      <c r="T4026" s="37">
        <v>990</v>
      </c>
      <c r="U4026" s="37" t="s">
        <v>1399</v>
      </c>
      <c r="V4026" s="69" t="s">
        <v>192</v>
      </c>
      <c r="W4026" s="89" t="s">
        <v>159</v>
      </c>
      <c r="X4026" s="106" t="s">
        <v>295</v>
      </c>
      <c r="Y4026" s="107" t="s">
        <v>14</v>
      </c>
      <c r="Z4026" s="67">
        <f>IF(База_КР_КК[[#This Row],[Таб.номер резервиста]]="-","-",IF(OR(База_КР_КК[[#This Row],[Уровень КК]]=2,База_КР_КК[[#This Row],[Уровень КК]]=3),IF(COUNTIFS($U$2:$U4026,$U4026,$F$2:$F4026,$F4026)=1,1,0),IF(COUNTIFS($U$2:$U4026,$U4026,$L$2:$L4026,$L4026)=1,1,0)))</f>
        <v>0</v>
      </c>
      <c r="AA40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6" s="106" t="s">
        <v>24</v>
      </c>
      <c r="AC4026" s="51">
        <v>44414</v>
      </c>
      <c r="AD4026" s="106" t="s">
        <v>15</v>
      </c>
      <c r="AE4026" s="38" t="s">
        <v>394</v>
      </c>
    </row>
    <row r="4027" spans="1:31" ht="18" customHeight="1" x14ac:dyDescent="0.25">
      <c r="A40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7" s="79">
        <v>4</v>
      </c>
      <c r="C4027" s="23">
        <v>44190</v>
      </c>
      <c r="D4027" s="67">
        <f>IF(COUNTIF($G$2:$G4027,$G4027)=1,1,0)</f>
        <v>1</v>
      </c>
      <c r="E4027" s="67" t="str">
        <f>IFERROR(VLOOKUP(База_КР_КК[[#This Row],[ИД штатной должности (S)]],'уровень защищенности'!$B$7:$F$1095,5,0),"не защищена")</f>
        <v>высокий</v>
      </c>
      <c r="F4027" s="68">
        <v>500481</v>
      </c>
      <c r="G4027" s="74" t="s">
        <v>3178</v>
      </c>
      <c r="H4027" s="181">
        <f>INDEX('Списки данных'!$D$2:$D$1048576,MATCH(База_КР_КК[[#This Row],[Структурное подразделение]],'Списки данных'!$C$2:$C$1048576,0))</f>
        <v>50</v>
      </c>
      <c r="I4027" s="80" t="s">
        <v>159</v>
      </c>
      <c r="J4027" s="80" t="s">
        <v>255</v>
      </c>
      <c r="K4027" s="80" t="s">
        <v>263</v>
      </c>
      <c r="L4027" s="30" t="s">
        <v>191</v>
      </c>
      <c r="M4027" s="68">
        <v>7</v>
      </c>
      <c r="N4027" s="181" t="str">
        <f t="shared" si="63"/>
        <v>нет</v>
      </c>
      <c r="O4027" s="23"/>
      <c r="P4027" s="23"/>
      <c r="Q4027" s="106"/>
      <c r="R4027" s="37">
        <v>994</v>
      </c>
      <c r="S4027" s="39" t="s">
        <v>1403</v>
      </c>
      <c r="T4027" s="37">
        <v>2066</v>
      </c>
      <c r="U4027" s="37" t="s">
        <v>1886</v>
      </c>
      <c r="V4027" s="69" t="s">
        <v>272</v>
      </c>
      <c r="W4027" s="89" t="s">
        <v>159</v>
      </c>
      <c r="X4027" s="106" t="s">
        <v>295</v>
      </c>
      <c r="Y4027" s="107" t="s">
        <v>12</v>
      </c>
      <c r="Z4027" s="67">
        <f>IF(База_КР_КК[[#This Row],[Таб.номер резервиста]]="-","-",IF(OR(База_КР_КК[[#This Row],[Уровень КК]]=2,База_КР_КК[[#This Row],[Уровень КК]]=3),IF(COUNTIFS($U$2:$U4027,$U4027,$F$2:$F4027,$F4027)=1,1,0),IF(COUNTIFS($U$2:$U4027,$U4027,$L$2:$L4027,$L4027)=1,1,0)))</f>
        <v>0</v>
      </c>
      <c r="AA40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7" s="106"/>
      <c r="AC4027" s="51"/>
      <c r="AD4027" s="106" t="s">
        <v>13</v>
      </c>
      <c r="AE4027" s="38" t="s">
        <v>356</v>
      </c>
    </row>
    <row r="4028" spans="1:31" ht="18" customHeight="1" x14ac:dyDescent="0.25">
      <c r="A40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8" s="79">
        <v>4</v>
      </c>
      <c r="C4028" s="23">
        <v>44190</v>
      </c>
      <c r="D4028" s="67">
        <f>IF(COUNTIF($G$2:$G4028,$G4028)=1,1,0)</f>
        <v>0</v>
      </c>
      <c r="E4028" s="67" t="str">
        <f>IFERROR(VLOOKUP(База_КР_КК[[#This Row],[ИД штатной должности (S)]],'уровень защищенности'!$B$7:$F$1095,5,0),"не защищена")</f>
        <v>высокий</v>
      </c>
      <c r="F4028" s="68">
        <v>500481</v>
      </c>
      <c r="G4028" s="74" t="s">
        <v>3178</v>
      </c>
      <c r="H4028" s="181">
        <f>INDEX('Списки данных'!$D$2:$D$1048576,MATCH(База_КР_КК[[#This Row],[Структурное подразделение]],'Списки данных'!$C$2:$C$1048576,0))</f>
        <v>50</v>
      </c>
      <c r="I4028" s="80" t="s">
        <v>159</v>
      </c>
      <c r="J4028" s="80" t="s">
        <v>255</v>
      </c>
      <c r="K4028" s="80" t="s">
        <v>263</v>
      </c>
      <c r="L4028" s="30" t="s">
        <v>191</v>
      </c>
      <c r="M4028" s="68">
        <v>7</v>
      </c>
      <c r="N4028" s="181" t="str">
        <f t="shared" si="63"/>
        <v>нет</v>
      </c>
      <c r="O4028" s="23"/>
      <c r="P4028" s="23"/>
      <c r="Q4028" s="106"/>
      <c r="R4028" s="37">
        <v>994</v>
      </c>
      <c r="S4028" s="39" t="s">
        <v>1403</v>
      </c>
      <c r="T4028" s="37">
        <v>2067</v>
      </c>
      <c r="U4028" s="37" t="s">
        <v>1845</v>
      </c>
      <c r="V4028" s="69" t="s">
        <v>272</v>
      </c>
      <c r="W4028" s="89" t="s">
        <v>159</v>
      </c>
      <c r="X4028" s="106" t="s">
        <v>295</v>
      </c>
      <c r="Y4028" s="107" t="s">
        <v>12</v>
      </c>
      <c r="Z4028" s="67">
        <f>IF(База_КР_КК[[#This Row],[Таб.номер резервиста]]="-","-",IF(OR(База_КР_КК[[#This Row],[Уровень КК]]=2,База_КР_КК[[#This Row],[Уровень КК]]=3),IF(COUNTIFS($U$2:$U4028,$U4028,$F$2:$F4028,$F4028)=1,1,0),IF(COUNTIFS($U$2:$U4028,$U4028,$L$2:$L4028,$L4028)=1,1,0)))</f>
        <v>0</v>
      </c>
      <c r="AA40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8" s="106"/>
      <c r="AC4028" s="51"/>
      <c r="AD4028" s="106" t="s">
        <v>17</v>
      </c>
      <c r="AE4028" s="38" t="s">
        <v>356</v>
      </c>
    </row>
    <row r="4029" spans="1:31" ht="18" customHeight="1" x14ac:dyDescent="0.25">
      <c r="A40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29" s="79">
        <v>4</v>
      </c>
      <c r="C4029" s="23">
        <v>44190</v>
      </c>
      <c r="D4029" s="67">
        <f>IF(COUNTIF($G$2:$G4029,$G4029)=1,1,0)</f>
        <v>0</v>
      </c>
      <c r="E4029" s="67" t="str">
        <f>IFERROR(VLOOKUP(База_КР_КК[[#This Row],[ИД штатной должности (S)]],'уровень защищенности'!$B$7:$F$1095,5,0),"не защищена")</f>
        <v>высокий</v>
      </c>
      <c r="F4029" s="68">
        <v>500481</v>
      </c>
      <c r="G4029" s="74" t="s">
        <v>3178</v>
      </c>
      <c r="H4029" s="181">
        <f>INDEX('Списки данных'!$D$2:$D$1048576,MATCH(База_КР_КК[[#This Row],[Структурное подразделение]],'Списки данных'!$C$2:$C$1048576,0))</f>
        <v>50</v>
      </c>
      <c r="I4029" s="80" t="s">
        <v>159</v>
      </c>
      <c r="J4029" s="80" t="s">
        <v>255</v>
      </c>
      <c r="K4029" s="80" t="s">
        <v>263</v>
      </c>
      <c r="L4029" s="30" t="s">
        <v>191</v>
      </c>
      <c r="M4029" s="68">
        <v>7</v>
      </c>
      <c r="N4029" s="181" t="str">
        <f t="shared" ref="N4029:N4092" si="64">IF(ISBLANK(O4029),"нет","да")</f>
        <v>нет</v>
      </c>
      <c r="O4029" s="23"/>
      <c r="P4029" s="23"/>
      <c r="Q4029" s="106"/>
      <c r="R4029" s="37">
        <v>994</v>
      </c>
      <c r="S4029" s="39" t="s">
        <v>1403</v>
      </c>
      <c r="T4029" s="37">
        <v>2068</v>
      </c>
      <c r="U4029" s="37" t="s">
        <v>2132</v>
      </c>
      <c r="V4029" s="69" t="s">
        <v>272</v>
      </c>
      <c r="W4029" s="89" t="s">
        <v>159</v>
      </c>
      <c r="X4029" s="106" t="s">
        <v>295</v>
      </c>
      <c r="Y4029" s="107" t="s">
        <v>12</v>
      </c>
      <c r="Z4029" s="67">
        <f>IF(База_КР_КК[[#This Row],[Таб.номер резервиста]]="-","-",IF(OR(База_КР_КК[[#This Row],[Уровень КК]]=2,База_КР_КК[[#This Row],[Уровень КК]]=3),IF(COUNTIFS($U$2:$U4029,$U4029,$F$2:$F4029,$F4029)=1,1,0),IF(COUNTIFS($U$2:$U4029,$U4029,$L$2:$L4029,$L4029)=1,1,0)))</f>
        <v>0</v>
      </c>
      <c r="AA40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29" s="106"/>
      <c r="AC4029" s="51"/>
      <c r="AD4029" s="106" t="s">
        <v>13</v>
      </c>
      <c r="AE4029" s="38" t="s">
        <v>356</v>
      </c>
    </row>
    <row r="4030" spans="1:31" ht="18" customHeight="1" x14ac:dyDescent="0.25">
      <c r="A40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0" s="79">
        <v>4</v>
      </c>
      <c r="C4030" s="23">
        <v>44190</v>
      </c>
      <c r="D4030" s="67">
        <f>IF(COUNTIF($G$2:$G4030,$G4030)=1,1,0)</f>
        <v>0</v>
      </c>
      <c r="E4030" s="67" t="str">
        <f>IFERROR(VLOOKUP(База_КР_КК[[#This Row],[ИД штатной должности (S)]],'уровень защищенности'!$B$7:$F$1095,5,0),"не защищена")</f>
        <v>высокий</v>
      </c>
      <c r="F4030" s="68">
        <v>500481</v>
      </c>
      <c r="G4030" s="74" t="s">
        <v>3178</v>
      </c>
      <c r="H4030" s="181">
        <f>INDEX('Списки данных'!$D$2:$D$1048576,MATCH(База_КР_КК[[#This Row],[Структурное подразделение]],'Списки данных'!$C$2:$C$1048576,0))</f>
        <v>50</v>
      </c>
      <c r="I4030" s="80" t="s">
        <v>159</v>
      </c>
      <c r="J4030" s="80" t="s">
        <v>255</v>
      </c>
      <c r="K4030" s="80" t="s">
        <v>263</v>
      </c>
      <c r="L4030" s="30" t="s">
        <v>191</v>
      </c>
      <c r="M4030" s="68">
        <v>7</v>
      </c>
      <c r="N4030" s="181" t="str">
        <f t="shared" si="64"/>
        <v>нет</v>
      </c>
      <c r="O4030" s="23"/>
      <c r="P4030" s="23"/>
      <c r="Q4030" s="106"/>
      <c r="R4030" s="37">
        <v>994</v>
      </c>
      <c r="S4030" s="39" t="s">
        <v>1403</v>
      </c>
      <c r="T4030" s="37">
        <v>2069</v>
      </c>
      <c r="U4030" s="37" t="s">
        <v>2110</v>
      </c>
      <c r="V4030" s="69" t="s">
        <v>272</v>
      </c>
      <c r="W4030" s="89" t="s">
        <v>159</v>
      </c>
      <c r="X4030" s="106" t="s">
        <v>296</v>
      </c>
      <c r="Y4030" s="107" t="s">
        <v>12</v>
      </c>
      <c r="Z4030" s="67">
        <f>IF(База_КР_КК[[#This Row],[Таб.номер резервиста]]="-","-",IF(OR(База_КР_КК[[#This Row],[Уровень КК]]=2,База_КР_КК[[#This Row],[Уровень КК]]=3),IF(COUNTIFS($U$2:$U4030,$U4030,$F$2:$F4030,$F4030)=1,1,0),IF(COUNTIFS($U$2:$U4030,$U4030,$L$2:$L4030,$L4030)=1,1,0)))</f>
        <v>0</v>
      </c>
      <c r="AA40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0" s="106"/>
      <c r="AC4030" s="51"/>
      <c r="AD4030" s="106" t="s">
        <v>13</v>
      </c>
      <c r="AE4030" s="38" t="s">
        <v>356</v>
      </c>
    </row>
    <row r="4031" spans="1:31" ht="18" customHeight="1" x14ac:dyDescent="0.25">
      <c r="A40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1" s="79">
        <v>4</v>
      </c>
      <c r="C4031" s="23">
        <v>44190</v>
      </c>
      <c r="D4031" s="67">
        <f>IF(COUNTIF($G$2:$G4031,$G4031)=1,1,0)</f>
        <v>0</v>
      </c>
      <c r="E4031" s="67" t="str">
        <f>IFERROR(VLOOKUP(База_КР_КК[[#This Row],[ИД штатной должности (S)]],'уровень защищенности'!$B$7:$F$1095,5,0),"не защищена")</f>
        <v>высокий</v>
      </c>
      <c r="F4031" s="68">
        <v>500481</v>
      </c>
      <c r="G4031" s="74" t="s">
        <v>3178</v>
      </c>
      <c r="H4031" s="181">
        <f>INDEX('Списки данных'!$D$2:$D$1048576,MATCH(База_КР_КК[[#This Row],[Структурное подразделение]],'Списки данных'!$C$2:$C$1048576,0))</f>
        <v>50</v>
      </c>
      <c r="I4031" s="80" t="s">
        <v>159</v>
      </c>
      <c r="J4031" s="80" t="s">
        <v>255</v>
      </c>
      <c r="K4031" s="80" t="s">
        <v>263</v>
      </c>
      <c r="L4031" s="30" t="s">
        <v>191</v>
      </c>
      <c r="M4031" s="68">
        <v>7</v>
      </c>
      <c r="N4031" s="181" t="str">
        <f t="shared" si="64"/>
        <v>нет</v>
      </c>
      <c r="O4031" s="23"/>
      <c r="P4031" s="23"/>
      <c r="Q4031" s="106"/>
      <c r="R4031" s="37">
        <v>994</v>
      </c>
      <c r="S4031" s="39" t="s">
        <v>1403</v>
      </c>
      <c r="T4031" s="37">
        <v>2070</v>
      </c>
      <c r="U4031" s="37" t="s">
        <v>2081</v>
      </c>
      <c r="V4031" s="69" t="s">
        <v>272</v>
      </c>
      <c r="W4031" s="89" t="s">
        <v>159</v>
      </c>
      <c r="X4031" s="106" t="s">
        <v>297</v>
      </c>
      <c r="Y4031" s="107" t="s">
        <v>12</v>
      </c>
      <c r="Z4031" s="67">
        <f>IF(База_КР_КК[[#This Row],[Таб.номер резервиста]]="-","-",IF(OR(База_КР_КК[[#This Row],[Уровень КК]]=2,База_КР_КК[[#This Row],[Уровень КК]]=3),IF(COUNTIFS($U$2:$U4031,$U4031,$F$2:$F4031,$F4031)=1,1,0),IF(COUNTIFS($U$2:$U4031,$U4031,$L$2:$L4031,$L4031)=1,1,0)))</f>
        <v>0</v>
      </c>
      <c r="AA40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1" s="106"/>
      <c r="AC4031" s="51"/>
      <c r="AD4031" s="106" t="s">
        <v>13</v>
      </c>
      <c r="AE4031" s="38" t="s">
        <v>356</v>
      </c>
    </row>
    <row r="4032" spans="1:31" ht="18" customHeight="1" x14ac:dyDescent="0.25">
      <c r="A40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2" s="79">
        <v>4</v>
      </c>
      <c r="C4032" s="23">
        <v>44888</v>
      </c>
      <c r="D4032" s="67">
        <f>IF(COUNTIF($G$2:$G4032,$G4032)=1,1,0)</f>
        <v>0</v>
      </c>
      <c r="E4032" s="67" t="str">
        <f>IFERROR(VLOOKUP(База_КР_КК[[#This Row],[ИД штатной должности (S)]],'уровень защищенности'!$B$7:$F$1095,5,0),"не защищена")</f>
        <v>высокий</v>
      </c>
      <c r="F4032" s="68">
        <v>500481</v>
      </c>
      <c r="G4032" s="74" t="s">
        <v>3178</v>
      </c>
      <c r="H4032" s="181">
        <f>INDEX('Списки данных'!$D$2:$D$1048576,MATCH(База_КР_КК[[#This Row],[Структурное подразделение]],'Списки данных'!$C$2:$C$1048576,0))</f>
        <v>50</v>
      </c>
      <c r="I4032" s="80" t="s">
        <v>159</v>
      </c>
      <c r="J4032" s="80" t="s">
        <v>255</v>
      </c>
      <c r="K4032" s="80" t="s">
        <v>263</v>
      </c>
      <c r="L4032" s="30" t="s">
        <v>191</v>
      </c>
      <c r="M4032" s="68">
        <v>7</v>
      </c>
      <c r="N4032" s="181" t="str">
        <f t="shared" si="64"/>
        <v>нет</v>
      </c>
      <c r="O4032" s="23"/>
      <c r="P4032" s="23"/>
      <c r="Q4032" s="106"/>
      <c r="R4032" s="37">
        <v>994</v>
      </c>
      <c r="S4032" s="39" t="s">
        <v>1403</v>
      </c>
      <c r="T4032" s="37">
        <v>2071</v>
      </c>
      <c r="U4032" s="38" t="s">
        <v>2077</v>
      </c>
      <c r="V4032" s="89" t="s">
        <v>272</v>
      </c>
      <c r="W4032" s="89" t="s">
        <v>159</v>
      </c>
      <c r="X4032" s="106" t="s">
        <v>296</v>
      </c>
      <c r="Y4032" s="107" t="s">
        <v>12</v>
      </c>
      <c r="Z4032" s="67">
        <f>IF(База_КР_КК[[#This Row],[Таб.номер резервиста]]="-","-",IF(OR(База_КР_КК[[#This Row],[Уровень КК]]=2,База_КР_КК[[#This Row],[Уровень КК]]=3),IF(COUNTIFS($U$2:$U4032,$U4032,$F$2:$F4032,$F4032)=1,1,0),IF(COUNTIFS($U$2:$U4032,$U4032,$L$2:$L4032,$L4032)=1,1,0)))</f>
        <v>0</v>
      </c>
      <c r="AA40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2" s="106"/>
      <c r="AC4032" s="51"/>
      <c r="AD4032" s="106" t="s">
        <v>15</v>
      </c>
      <c r="AE4032" s="38" t="s">
        <v>356</v>
      </c>
    </row>
    <row r="4033" spans="1:31" ht="18" customHeight="1" x14ac:dyDescent="0.25">
      <c r="A40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3" s="79">
        <v>4</v>
      </c>
      <c r="C4033" s="23">
        <v>44888</v>
      </c>
      <c r="D4033" s="67">
        <f>IF(COUNTIF($G$2:$G4033,$G4033)=1,1,0)</f>
        <v>0</v>
      </c>
      <c r="E4033" s="67" t="str">
        <f>IFERROR(VLOOKUP(База_КР_КК[[#This Row],[ИД штатной должности (S)]],'уровень защищенности'!$B$7:$F$1095,5,0),"не защищена")</f>
        <v>высокий</v>
      </c>
      <c r="F4033" s="68">
        <v>500481</v>
      </c>
      <c r="G4033" s="74" t="s">
        <v>3178</v>
      </c>
      <c r="H4033" s="181">
        <f>INDEX('Списки данных'!$D$2:$D$1048576,MATCH(База_КР_КК[[#This Row],[Структурное подразделение]],'Списки данных'!$C$2:$C$1048576,0))</f>
        <v>50</v>
      </c>
      <c r="I4033" s="80" t="s">
        <v>159</v>
      </c>
      <c r="J4033" s="80" t="s">
        <v>255</v>
      </c>
      <c r="K4033" s="80" t="s">
        <v>263</v>
      </c>
      <c r="L4033" s="30" t="s">
        <v>191</v>
      </c>
      <c r="M4033" s="68">
        <v>7</v>
      </c>
      <c r="N4033" s="181" t="str">
        <f t="shared" si="64"/>
        <v>нет</v>
      </c>
      <c r="O4033" s="23"/>
      <c r="P4033" s="23"/>
      <c r="Q4033" s="106"/>
      <c r="R4033" s="37">
        <v>994</v>
      </c>
      <c r="S4033" s="39" t="s">
        <v>1403</v>
      </c>
      <c r="T4033" s="37">
        <v>2072</v>
      </c>
      <c r="U4033" s="38" t="s">
        <v>2027</v>
      </c>
      <c r="V4033" s="89" t="s">
        <v>272</v>
      </c>
      <c r="W4033" s="89" t="s">
        <v>159</v>
      </c>
      <c r="X4033" s="106" t="s">
        <v>296</v>
      </c>
      <c r="Y4033" s="107" t="s">
        <v>12</v>
      </c>
      <c r="Z4033" s="67">
        <f>IF(База_КР_КК[[#This Row],[Таб.номер резервиста]]="-","-",IF(OR(База_КР_КК[[#This Row],[Уровень КК]]=2,База_КР_КК[[#This Row],[Уровень КК]]=3),IF(COUNTIFS($U$2:$U4033,$U4033,$F$2:$F4033,$F4033)=1,1,0),IF(COUNTIFS($U$2:$U4033,$U4033,$L$2:$L4033,$L4033)=1,1,0)))</f>
        <v>0</v>
      </c>
      <c r="AA40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3" s="106"/>
      <c r="AC4033" s="51"/>
      <c r="AD4033" s="106" t="s">
        <v>15</v>
      </c>
      <c r="AE4033" s="38" t="s">
        <v>356</v>
      </c>
    </row>
    <row r="4034" spans="1:31" ht="18" customHeight="1" x14ac:dyDescent="0.25">
      <c r="A40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4" s="79">
        <v>4</v>
      </c>
      <c r="C4034" s="23">
        <v>44190</v>
      </c>
      <c r="D4034" s="67">
        <f>IF(COUNTIF($G$2:$G4034,$G4034)=1,1,0)</f>
        <v>0</v>
      </c>
      <c r="E4034" s="67" t="str">
        <f>IFERROR(VLOOKUP(База_КР_КК[[#This Row],[ИД штатной должности (S)]],'уровень защищенности'!$B$7:$F$1095,5,0),"не защищена")</f>
        <v>высокий</v>
      </c>
      <c r="F4034" s="68">
        <v>500481</v>
      </c>
      <c r="G4034" s="74" t="s">
        <v>3178</v>
      </c>
      <c r="H4034" s="181">
        <f>INDEX('Списки данных'!$D$2:$D$1048576,MATCH(База_КР_КК[[#This Row],[Структурное подразделение]],'Списки данных'!$C$2:$C$1048576,0))</f>
        <v>50</v>
      </c>
      <c r="I4034" s="80" t="s">
        <v>159</v>
      </c>
      <c r="J4034" s="80" t="s">
        <v>255</v>
      </c>
      <c r="K4034" s="80" t="s">
        <v>263</v>
      </c>
      <c r="L4034" s="30" t="s">
        <v>191</v>
      </c>
      <c r="M4034" s="68">
        <v>7</v>
      </c>
      <c r="N4034" s="181" t="str">
        <f t="shared" si="64"/>
        <v>нет</v>
      </c>
      <c r="O4034" s="23"/>
      <c r="P4034" s="23"/>
      <c r="Q4034" s="106"/>
      <c r="R4034" s="37">
        <v>994</v>
      </c>
      <c r="S4034" s="39" t="s">
        <v>1403</v>
      </c>
      <c r="T4034" s="37">
        <v>990</v>
      </c>
      <c r="U4034" s="37" t="s">
        <v>1399</v>
      </c>
      <c r="V4034" s="69" t="s">
        <v>192</v>
      </c>
      <c r="W4034" s="89" t="s">
        <v>159</v>
      </c>
      <c r="X4034" s="106" t="s">
        <v>295</v>
      </c>
      <c r="Y4034" s="107" t="s">
        <v>14</v>
      </c>
      <c r="Z4034" s="67">
        <f>IF(База_КР_КК[[#This Row],[Таб.номер резервиста]]="-","-",IF(OR(База_КР_КК[[#This Row],[Уровень КК]]=2,База_КР_КК[[#This Row],[Уровень КК]]=3),IF(COUNTIFS($U$2:$U4034,$U4034,$F$2:$F4034,$F4034)=1,1,0),IF(COUNTIFS($U$2:$U4034,$U4034,$L$2:$L4034,$L4034)=1,1,0)))</f>
        <v>0</v>
      </c>
      <c r="AA40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4" s="106" t="s">
        <v>24</v>
      </c>
      <c r="AC4034" s="51">
        <v>44414</v>
      </c>
      <c r="AD4034" s="106" t="s">
        <v>15</v>
      </c>
      <c r="AE4034" s="38" t="s">
        <v>394</v>
      </c>
    </row>
    <row r="4035" spans="1:31" ht="18" customHeight="1" x14ac:dyDescent="0.25">
      <c r="A40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5" s="79">
        <v>4</v>
      </c>
      <c r="C4035" s="23">
        <v>44190</v>
      </c>
      <c r="D4035" s="67">
        <f>IF(COUNTIF($G$2:$G4035,$G4035)=1,1,0)</f>
        <v>1</v>
      </c>
      <c r="E4035" s="67" t="str">
        <f>IFERROR(VLOOKUP(База_КР_КК[[#This Row],[ИД штатной должности (S)]],'уровень защищенности'!$B$7:$F$1095,5,0),"не защищена")</f>
        <v>высокий</v>
      </c>
      <c r="F4035" s="68">
        <v>500481</v>
      </c>
      <c r="G4035" s="74" t="s">
        <v>3179</v>
      </c>
      <c r="H4035" s="181">
        <f>INDEX('Списки данных'!$D$2:$D$1048576,MATCH(База_КР_КК[[#This Row],[Структурное подразделение]],'Списки данных'!$C$2:$C$1048576,0))</f>
        <v>50</v>
      </c>
      <c r="I4035" s="80" t="s">
        <v>159</v>
      </c>
      <c r="J4035" s="80" t="s">
        <v>255</v>
      </c>
      <c r="K4035" s="80" t="s">
        <v>263</v>
      </c>
      <c r="L4035" s="30" t="s">
        <v>191</v>
      </c>
      <c r="M4035" s="68">
        <v>7</v>
      </c>
      <c r="N4035" s="181" t="str">
        <f t="shared" si="64"/>
        <v>нет</v>
      </c>
      <c r="O4035" s="23"/>
      <c r="P4035" s="23"/>
      <c r="Q4035" s="107"/>
      <c r="R4035" s="37">
        <v>995</v>
      </c>
      <c r="S4035" s="39" t="s">
        <v>1404</v>
      </c>
      <c r="T4035" s="37">
        <v>2066</v>
      </c>
      <c r="U4035" s="37" t="s">
        <v>1886</v>
      </c>
      <c r="V4035" s="69" t="s">
        <v>272</v>
      </c>
      <c r="W4035" s="89" t="s">
        <v>159</v>
      </c>
      <c r="X4035" s="106" t="s">
        <v>295</v>
      </c>
      <c r="Y4035" s="107" t="s">
        <v>12</v>
      </c>
      <c r="Z4035" s="67">
        <f>IF(База_КР_КК[[#This Row],[Таб.номер резервиста]]="-","-",IF(OR(База_КР_КК[[#This Row],[Уровень КК]]=2,База_КР_КК[[#This Row],[Уровень КК]]=3),IF(COUNTIFS($U$2:$U4035,$U4035,$F$2:$F4035,$F4035)=1,1,0),IF(COUNTIFS($U$2:$U4035,$U4035,$L$2:$L4035,$L4035)=1,1,0)))</f>
        <v>0</v>
      </c>
      <c r="AA40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5" s="106"/>
      <c r="AC4035" s="51"/>
      <c r="AD4035" s="106" t="s">
        <v>13</v>
      </c>
      <c r="AE4035" s="38" t="s">
        <v>356</v>
      </c>
    </row>
    <row r="4036" spans="1:31" ht="18" customHeight="1" x14ac:dyDescent="0.25">
      <c r="A40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6" s="79">
        <v>4</v>
      </c>
      <c r="C4036" s="23">
        <v>44190</v>
      </c>
      <c r="D4036" s="67">
        <f>IF(COUNTIF($G$2:$G4036,$G4036)=1,1,0)</f>
        <v>0</v>
      </c>
      <c r="E4036" s="67" t="str">
        <f>IFERROR(VLOOKUP(База_КР_КК[[#This Row],[ИД штатной должности (S)]],'уровень защищенности'!$B$7:$F$1095,5,0),"не защищена")</f>
        <v>высокий</v>
      </c>
      <c r="F4036" s="68">
        <v>500481</v>
      </c>
      <c r="G4036" s="74" t="s">
        <v>3179</v>
      </c>
      <c r="H4036" s="181">
        <f>INDEX('Списки данных'!$D$2:$D$1048576,MATCH(База_КР_КК[[#This Row],[Структурное подразделение]],'Списки данных'!$C$2:$C$1048576,0))</f>
        <v>50</v>
      </c>
      <c r="I4036" s="80" t="s">
        <v>159</v>
      </c>
      <c r="J4036" s="80" t="s">
        <v>255</v>
      </c>
      <c r="K4036" s="80" t="s">
        <v>263</v>
      </c>
      <c r="L4036" s="30" t="s">
        <v>191</v>
      </c>
      <c r="M4036" s="68">
        <v>7</v>
      </c>
      <c r="N4036" s="181" t="str">
        <f t="shared" si="64"/>
        <v>нет</v>
      </c>
      <c r="O4036" s="23"/>
      <c r="P4036" s="23"/>
      <c r="Q4036" s="107"/>
      <c r="R4036" s="37">
        <v>995</v>
      </c>
      <c r="S4036" s="39" t="s">
        <v>1404</v>
      </c>
      <c r="T4036" s="37">
        <v>2067</v>
      </c>
      <c r="U4036" s="37" t="s">
        <v>1845</v>
      </c>
      <c r="V4036" s="69" t="s">
        <v>272</v>
      </c>
      <c r="W4036" s="89" t="s">
        <v>159</v>
      </c>
      <c r="X4036" s="106" t="s">
        <v>295</v>
      </c>
      <c r="Y4036" s="107" t="s">
        <v>12</v>
      </c>
      <c r="Z4036" s="67">
        <f>IF(База_КР_КК[[#This Row],[Таб.номер резервиста]]="-","-",IF(OR(База_КР_КК[[#This Row],[Уровень КК]]=2,База_КР_КК[[#This Row],[Уровень КК]]=3),IF(COUNTIFS($U$2:$U4036,$U4036,$F$2:$F4036,$F4036)=1,1,0),IF(COUNTIFS($U$2:$U4036,$U4036,$L$2:$L4036,$L4036)=1,1,0)))</f>
        <v>0</v>
      </c>
      <c r="AA40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6" s="106"/>
      <c r="AC4036" s="51"/>
      <c r="AD4036" s="106" t="s">
        <v>17</v>
      </c>
      <c r="AE4036" s="38" t="s">
        <v>356</v>
      </c>
    </row>
    <row r="4037" spans="1:31" ht="18" customHeight="1" x14ac:dyDescent="0.25">
      <c r="A40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7" s="79">
        <v>4</v>
      </c>
      <c r="C4037" s="23">
        <v>44190</v>
      </c>
      <c r="D4037" s="67">
        <f>IF(COUNTIF($G$2:$G4037,$G4037)=1,1,0)</f>
        <v>0</v>
      </c>
      <c r="E4037" s="67" t="str">
        <f>IFERROR(VLOOKUP(База_КР_КК[[#This Row],[ИД штатной должности (S)]],'уровень защищенности'!$B$7:$F$1095,5,0),"не защищена")</f>
        <v>высокий</v>
      </c>
      <c r="F4037" s="68">
        <v>500481</v>
      </c>
      <c r="G4037" s="74" t="s">
        <v>3179</v>
      </c>
      <c r="H4037" s="181">
        <f>INDEX('Списки данных'!$D$2:$D$1048576,MATCH(База_КР_КК[[#This Row],[Структурное подразделение]],'Списки данных'!$C$2:$C$1048576,0))</f>
        <v>50</v>
      </c>
      <c r="I4037" s="80" t="s">
        <v>159</v>
      </c>
      <c r="J4037" s="80" t="s">
        <v>255</v>
      </c>
      <c r="K4037" s="80" t="s">
        <v>263</v>
      </c>
      <c r="L4037" s="30" t="s">
        <v>191</v>
      </c>
      <c r="M4037" s="68">
        <v>7</v>
      </c>
      <c r="N4037" s="181" t="str">
        <f t="shared" si="64"/>
        <v>нет</v>
      </c>
      <c r="O4037" s="23"/>
      <c r="P4037" s="23"/>
      <c r="Q4037" s="107"/>
      <c r="R4037" s="37">
        <v>995</v>
      </c>
      <c r="S4037" s="39" t="s">
        <v>1404</v>
      </c>
      <c r="T4037" s="37">
        <v>2068</v>
      </c>
      <c r="U4037" s="37" t="s">
        <v>2132</v>
      </c>
      <c r="V4037" s="69" t="s">
        <v>272</v>
      </c>
      <c r="W4037" s="89" t="s">
        <v>159</v>
      </c>
      <c r="X4037" s="106" t="s">
        <v>295</v>
      </c>
      <c r="Y4037" s="107" t="s">
        <v>12</v>
      </c>
      <c r="Z4037" s="67">
        <f>IF(База_КР_КК[[#This Row],[Таб.номер резервиста]]="-","-",IF(OR(База_КР_КК[[#This Row],[Уровень КК]]=2,База_КР_КК[[#This Row],[Уровень КК]]=3),IF(COUNTIFS($U$2:$U4037,$U4037,$F$2:$F4037,$F4037)=1,1,0),IF(COUNTIFS($U$2:$U4037,$U4037,$L$2:$L4037,$L4037)=1,1,0)))</f>
        <v>0</v>
      </c>
      <c r="AA40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7" s="106"/>
      <c r="AC4037" s="51"/>
      <c r="AD4037" s="106" t="s">
        <v>13</v>
      </c>
      <c r="AE4037" s="38" t="s">
        <v>356</v>
      </c>
    </row>
    <row r="4038" spans="1:31" ht="18" customHeight="1" x14ac:dyDescent="0.25">
      <c r="A40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8" s="79">
        <v>4</v>
      </c>
      <c r="C4038" s="23">
        <v>44190</v>
      </c>
      <c r="D4038" s="67">
        <f>IF(COUNTIF($G$2:$G4038,$G4038)=1,1,0)</f>
        <v>0</v>
      </c>
      <c r="E4038" s="67" t="str">
        <f>IFERROR(VLOOKUP(База_КР_КК[[#This Row],[ИД штатной должности (S)]],'уровень защищенности'!$B$7:$F$1095,5,0),"не защищена")</f>
        <v>высокий</v>
      </c>
      <c r="F4038" s="68">
        <v>500481</v>
      </c>
      <c r="G4038" s="74" t="s">
        <v>3179</v>
      </c>
      <c r="H4038" s="181">
        <f>INDEX('Списки данных'!$D$2:$D$1048576,MATCH(База_КР_КК[[#This Row],[Структурное подразделение]],'Списки данных'!$C$2:$C$1048576,0))</f>
        <v>50</v>
      </c>
      <c r="I4038" s="80" t="s">
        <v>159</v>
      </c>
      <c r="J4038" s="80" t="s">
        <v>255</v>
      </c>
      <c r="K4038" s="80" t="s">
        <v>263</v>
      </c>
      <c r="L4038" s="30" t="s">
        <v>191</v>
      </c>
      <c r="M4038" s="68">
        <v>7</v>
      </c>
      <c r="N4038" s="181" t="str">
        <f t="shared" si="64"/>
        <v>нет</v>
      </c>
      <c r="O4038" s="23"/>
      <c r="P4038" s="23"/>
      <c r="Q4038" s="107"/>
      <c r="R4038" s="37">
        <v>995</v>
      </c>
      <c r="S4038" s="39" t="s">
        <v>1404</v>
      </c>
      <c r="T4038" s="37">
        <v>2069</v>
      </c>
      <c r="U4038" s="37" t="s">
        <v>2110</v>
      </c>
      <c r="V4038" s="69" t="s">
        <v>272</v>
      </c>
      <c r="W4038" s="89" t="s">
        <v>159</v>
      </c>
      <c r="X4038" s="106" t="s">
        <v>296</v>
      </c>
      <c r="Y4038" s="107" t="s">
        <v>12</v>
      </c>
      <c r="Z4038" s="67">
        <f>IF(База_КР_КК[[#This Row],[Таб.номер резервиста]]="-","-",IF(OR(База_КР_КК[[#This Row],[Уровень КК]]=2,База_КР_КК[[#This Row],[Уровень КК]]=3),IF(COUNTIFS($U$2:$U4038,$U4038,$F$2:$F4038,$F4038)=1,1,0),IF(COUNTIFS($U$2:$U4038,$U4038,$L$2:$L4038,$L4038)=1,1,0)))</f>
        <v>0</v>
      </c>
      <c r="AA40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8" s="106"/>
      <c r="AC4038" s="51"/>
      <c r="AD4038" s="106" t="s">
        <v>13</v>
      </c>
      <c r="AE4038" s="38" t="s">
        <v>356</v>
      </c>
    </row>
    <row r="4039" spans="1:31" ht="18" customHeight="1" x14ac:dyDescent="0.25">
      <c r="A40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39" s="79">
        <v>4</v>
      </c>
      <c r="C4039" s="23">
        <v>44190</v>
      </c>
      <c r="D4039" s="67">
        <f>IF(COUNTIF($G$2:$G4039,$G4039)=1,1,0)</f>
        <v>0</v>
      </c>
      <c r="E4039" s="67" t="str">
        <f>IFERROR(VLOOKUP(База_КР_КК[[#This Row],[ИД штатной должности (S)]],'уровень защищенности'!$B$7:$F$1095,5,0),"не защищена")</f>
        <v>высокий</v>
      </c>
      <c r="F4039" s="68">
        <v>500481</v>
      </c>
      <c r="G4039" s="74" t="s">
        <v>3179</v>
      </c>
      <c r="H4039" s="181">
        <f>INDEX('Списки данных'!$D$2:$D$1048576,MATCH(База_КР_КК[[#This Row],[Структурное подразделение]],'Списки данных'!$C$2:$C$1048576,0))</f>
        <v>50</v>
      </c>
      <c r="I4039" s="80" t="s">
        <v>159</v>
      </c>
      <c r="J4039" s="80" t="s">
        <v>255</v>
      </c>
      <c r="K4039" s="80" t="s">
        <v>263</v>
      </c>
      <c r="L4039" s="30" t="s">
        <v>191</v>
      </c>
      <c r="M4039" s="68">
        <v>7</v>
      </c>
      <c r="N4039" s="181" t="str">
        <f t="shared" si="64"/>
        <v>нет</v>
      </c>
      <c r="O4039" s="23"/>
      <c r="P4039" s="23"/>
      <c r="Q4039" s="107"/>
      <c r="R4039" s="37">
        <v>995</v>
      </c>
      <c r="S4039" s="39" t="s">
        <v>1404</v>
      </c>
      <c r="T4039" s="37">
        <v>2070</v>
      </c>
      <c r="U4039" s="37" t="s">
        <v>2081</v>
      </c>
      <c r="V4039" s="69" t="s">
        <v>272</v>
      </c>
      <c r="W4039" s="89" t="s">
        <v>159</v>
      </c>
      <c r="X4039" s="106" t="s">
        <v>297</v>
      </c>
      <c r="Y4039" s="107" t="s">
        <v>12</v>
      </c>
      <c r="Z4039" s="67">
        <f>IF(База_КР_КК[[#This Row],[Таб.номер резервиста]]="-","-",IF(OR(База_КР_КК[[#This Row],[Уровень КК]]=2,База_КР_КК[[#This Row],[Уровень КК]]=3),IF(COUNTIFS($U$2:$U4039,$U4039,$F$2:$F4039,$F4039)=1,1,0),IF(COUNTIFS($U$2:$U4039,$U4039,$L$2:$L4039,$L4039)=1,1,0)))</f>
        <v>0</v>
      </c>
      <c r="AA40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39" s="106"/>
      <c r="AC4039" s="51"/>
      <c r="AD4039" s="106" t="s">
        <v>13</v>
      </c>
      <c r="AE4039" s="38" t="s">
        <v>356</v>
      </c>
    </row>
    <row r="4040" spans="1:31" ht="18" customHeight="1" x14ac:dyDescent="0.25">
      <c r="A40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0" s="79">
        <v>4</v>
      </c>
      <c r="C4040" s="23">
        <v>44888</v>
      </c>
      <c r="D4040" s="67">
        <f>IF(COUNTIF($G$2:$G4040,$G4040)=1,1,0)</f>
        <v>0</v>
      </c>
      <c r="E4040" s="67" t="str">
        <f>IFERROR(VLOOKUP(База_КР_КК[[#This Row],[ИД штатной должности (S)]],'уровень защищенности'!$B$7:$F$1095,5,0),"не защищена")</f>
        <v>высокий</v>
      </c>
      <c r="F4040" s="68">
        <v>500481</v>
      </c>
      <c r="G4040" s="74" t="s">
        <v>3179</v>
      </c>
      <c r="H4040" s="181">
        <f>INDEX('Списки данных'!$D$2:$D$1048576,MATCH(База_КР_КК[[#This Row],[Структурное подразделение]],'Списки данных'!$C$2:$C$1048576,0))</f>
        <v>50</v>
      </c>
      <c r="I4040" s="80" t="s">
        <v>159</v>
      </c>
      <c r="J4040" s="80" t="s">
        <v>255</v>
      </c>
      <c r="K4040" s="80" t="s">
        <v>263</v>
      </c>
      <c r="L4040" s="30" t="s">
        <v>191</v>
      </c>
      <c r="M4040" s="68">
        <v>7</v>
      </c>
      <c r="N4040" s="181" t="str">
        <f t="shared" si="64"/>
        <v>нет</v>
      </c>
      <c r="O4040" s="23"/>
      <c r="P4040" s="23"/>
      <c r="Q4040" s="107"/>
      <c r="R4040" s="37">
        <v>995</v>
      </c>
      <c r="S4040" s="39" t="s">
        <v>1404</v>
      </c>
      <c r="T4040" s="37">
        <v>2071</v>
      </c>
      <c r="U4040" s="38" t="s">
        <v>2077</v>
      </c>
      <c r="V4040" s="89" t="s">
        <v>272</v>
      </c>
      <c r="W4040" s="89" t="s">
        <v>159</v>
      </c>
      <c r="X4040" s="106" t="s">
        <v>296</v>
      </c>
      <c r="Y4040" s="107" t="s">
        <v>12</v>
      </c>
      <c r="Z4040" s="67">
        <f>IF(База_КР_КК[[#This Row],[Таб.номер резервиста]]="-","-",IF(OR(База_КР_КК[[#This Row],[Уровень КК]]=2,База_КР_КК[[#This Row],[Уровень КК]]=3),IF(COUNTIFS($U$2:$U4040,$U4040,$F$2:$F4040,$F4040)=1,1,0),IF(COUNTIFS($U$2:$U4040,$U4040,$L$2:$L4040,$L4040)=1,1,0)))</f>
        <v>0</v>
      </c>
      <c r="AA40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0" s="106"/>
      <c r="AC4040" s="51"/>
      <c r="AD4040" s="106" t="s">
        <v>15</v>
      </c>
      <c r="AE4040" s="38" t="s">
        <v>356</v>
      </c>
    </row>
    <row r="4041" spans="1:31" ht="18" customHeight="1" x14ac:dyDescent="0.25">
      <c r="A40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1" s="79">
        <v>4</v>
      </c>
      <c r="C4041" s="23">
        <v>44888</v>
      </c>
      <c r="D4041" s="67">
        <f>IF(COUNTIF($G$2:$G4041,$G4041)=1,1,0)</f>
        <v>0</v>
      </c>
      <c r="E4041" s="67" t="str">
        <f>IFERROR(VLOOKUP(База_КР_КК[[#This Row],[ИД штатной должности (S)]],'уровень защищенности'!$B$7:$F$1095,5,0),"не защищена")</f>
        <v>высокий</v>
      </c>
      <c r="F4041" s="68">
        <v>500481</v>
      </c>
      <c r="G4041" s="74" t="s">
        <v>3179</v>
      </c>
      <c r="H4041" s="181">
        <f>INDEX('Списки данных'!$D$2:$D$1048576,MATCH(База_КР_КК[[#This Row],[Структурное подразделение]],'Списки данных'!$C$2:$C$1048576,0))</f>
        <v>50</v>
      </c>
      <c r="I4041" s="80" t="s">
        <v>159</v>
      </c>
      <c r="J4041" s="80" t="s">
        <v>255</v>
      </c>
      <c r="K4041" s="80" t="s">
        <v>263</v>
      </c>
      <c r="L4041" s="30" t="s">
        <v>191</v>
      </c>
      <c r="M4041" s="68">
        <v>7</v>
      </c>
      <c r="N4041" s="181" t="str">
        <f t="shared" si="64"/>
        <v>нет</v>
      </c>
      <c r="O4041" s="23"/>
      <c r="P4041" s="23"/>
      <c r="Q4041" s="107"/>
      <c r="R4041" s="37">
        <v>995</v>
      </c>
      <c r="S4041" s="39" t="s">
        <v>1404</v>
      </c>
      <c r="T4041" s="37">
        <v>2072</v>
      </c>
      <c r="U4041" s="38" t="s">
        <v>2027</v>
      </c>
      <c r="V4041" s="89" t="s">
        <v>272</v>
      </c>
      <c r="W4041" s="89" t="s">
        <v>159</v>
      </c>
      <c r="X4041" s="106" t="s">
        <v>296</v>
      </c>
      <c r="Y4041" s="107" t="s">
        <v>12</v>
      </c>
      <c r="Z4041" s="67">
        <f>IF(База_КР_КК[[#This Row],[Таб.номер резервиста]]="-","-",IF(OR(База_КР_КК[[#This Row],[Уровень КК]]=2,База_КР_КК[[#This Row],[Уровень КК]]=3),IF(COUNTIFS($U$2:$U4041,$U4041,$F$2:$F4041,$F4041)=1,1,0),IF(COUNTIFS($U$2:$U4041,$U4041,$L$2:$L4041,$L4041)=1,1,0)))</f>
        <v>0</v>
      </c>
      <c r="AA40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1" s="106"/>
      <c r="AC4041" s="51"/>
      <c r="AD4041" s="106" t="s">
        <v>15</v>
      </c>
      <c r="AE4041" s="38" t="s">
        <v>356</v>
      </c>
    </row>
    <row r="4042" spans="1:31" ht="18" customHeight="1" x14ac:dyDescent="0.25">
      <c r="A40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2" s="79">
        <v>4</v>
      </c>
      <c r="C4042" s="23">
        <v>44190</v>
      </c>
      <c r="D4042" s="67">
        <f>IF(COUNTIF($G$2:$G4042,$G4042)=1,1,0)</f>
        <v>0</v>
      </c>
      <c r="E4042" s="67" t="str">
        <f>IFERROR(VLOOKUP(База_КР_КК[[#This Row],[ИД штатной должности (S)]],'уровень защищенности'!$B$7:$F$1095,5,0),"не защищена")</f>
        <v>высокий</v>
      </c>
      <c r="F4042" s="68">
        <v>500481</v>
      </c>
      <c r="G4042" s="74" t="s">
        <v>3179</v>
      </c>
      <c r="H4042" s="181">
        <f>INDEX('Списки данных'!$D$2:$D$1048576,MATCH(База_КР_КК[[#This Row],[Структурное подразделение]],'Списки данных'!$C$2:$C$1048576,0))</f>
        <v>50</v>
      </c>
      <c r="I4042" s="80" t="s">
        <v>159</v>
      </c>
      <c r="J4042" s="80" t="s">
        <v>255</v>
      </c>
      <c r="K4042" s="80" t="s">
        <v>263</v>
      </c>
      <c r="L4042" s="30" t="s">
        <v>191</v>
      </c>
      <c r="M4042" s="68">
        <v>7</v>
      </c>
      <c r="N4042" s="181" t="str">
        <f t="shared" si="64"/>
        <v>нет</v>
      </c>
      <c r="O4042" s="23"/>
      <c r="P4042" s="23"/>
      <c r="Q4042" s="107"/>
      <c r="R4042" s="37">
        <v>995</v>
      </c>
      <c r="S4042" s="39" t="s">
        <v>1404</v>
      </c>
      <c r="T4042" s="37">
        <v>990</v>
      </c>
      <c r="U4042" s="37" t="s">
        <v>1399</v>
      </c>
      <c r="V4042" s="69" t="s">
        <v>192</v>
      </c>
      <c r="W4042" s="89" t="s">
        <v>159</v>
      </c>
      <c r="X4042" s="106" t="s">
        <v>295</v>
      </c>
      <c r="Y4042" s="107" t="s">
        <v>14</v>
      </c>
      <c r="Z4042" s="67">
        <f>IF(База_КР_КК[[#This Row],[Таб.номер резервиста]]="-","-",IF(OR(База_КР_КК[[#This Row],[Уровень КК]]=2,База_КР_КК[[#This Row],[Уровень КК]]=3),IF(COUNTIFS($U$2:$U4042,$U4042,$F$2:$F4042,$F4042)=1,1,0),IF(COUNTIFS($U$2:$U4042,$U4042,$L$2:$L4042,$L4042)=1,1,0)))</f>
        <v>0</v>
      </c>
      <c r="AA40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2" s="106" t="s">
        <v>24</v>
      </c>
      <c r="AC4042" s="51">
        <v>44414</v>
      </c>
      <c r="AD4042" s="106" t="s">
        <v>15</v>
      </c>
      <c r="AE4042" s="38" t="s">
        <v>394</v>
      </c>
    </row>
    <row r="4043" spans="1:31" ht="18" customHeight="1" x14ac:dyDescent="0.25">
      <c r="A40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3" s="79">
        <v>4</v>
      </c>
      <c r="C4043" s="23">
        <v>44190</v>
      </c>
      <c r="D4043" s="67">
        <f>IF(COUNTIF($G$2:$G4043,$G4043)=1,1,0)</f>
        <v>1</v>
      </c>
      <c r="E4043" s="67" t="str">
        <f>IFERROR(VLOOKUP(База_КР_КК[[#This Row],[ИД штатной должности (S)]],'уровень защищенности'!$B$7:$F$1095,5,0),"не защищена")</f>
        <v>высокий</v>
      </c>
      <c r="F4043" s="68">
        <v>500481</v>
      </c>
      <c r="G4043" s="74" t="s">
        <v>3180</v>
      </c>
      <c r="H4043" s="181">
        <f>INDEX('Списки данных'!$D$2:$D$1048576,MATCH(База_КР_КК[[#This Row],[Структурное подразделение]],'Списки данных'!$C$2:$C$1048576,0))</f>
        <v>50</v>
      </c>
      <c r="I4043" s="80" t="s">
        <v>159</v>
      </c>
      <c r="J4043" s="80" t="s">
        <v>255</v>
      </c>
      <c r="K4043" s="80" t="s">
        <v>263</v>
      </c>
      <c r="L4043" s="30" t="s">
        <v>191</v>
      </c>
      <c r="M4043" s="68">
        <v>7</v>
      </c>
      <c r="N4043" s="181" t="str">
        <f t="shared" si="64"/>
        <v>нет</v>
      </c>
      <c r="O4043" s="23"/>
      <c r="P4043" s="23"/>
      <c r="Q4043" s="106"/>
      <c r="R4043" s="37">
        <v>996</v>
      </c>
      <c r="S4043" s="39" t="s">
        <v>1405</v>
      </c>
      <c r="T4043" s="37">
        <v>2066</v>
      </c>
      <c r="U4043" s="37" t="s">
        <v>1886</v>
      </c>
      <c r="V4043" s="69" t="s">
        <v>272</v>
      </c>
      <c r="W4043" s="89" t="s">
        <v>159</v>
      </c>
      <c r="X4043" s="106" t="s">
        <v>295</v>
      </c>
      <c r="Y4043" s="107" t="s">
        <v>12</v>
      </c>
      <c r="Z4043" s="67">
        <f>IF(База_КР_КК[[#This Row],[Таб.номер резервиста]]="-","-",IF(OR(База_КР_КК[[#This Row],[Уровень КК]]=2,База_КР_КК[[#This Row],[Уровень КК]]=3),IF(COUNTIFS($U$2:$U4043,$U4043,$F$2:$F4043,$F4043)=1,1,0),IF(COUNTIFS($U$2:$U4043,$U4043,$L$2:$L4043,$L4043)=1,1,0)))</f>
        <v>0</v>
      </c>
      <c r="AA40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3" s="106"/>
      <c r="AC4043" s="51"/>
      <c r="AD4043" s="106" t="s">
        <v>13</v>
      </c>
      <c r="AE4043" s="38" t="s">
        <v>356</v>
      </c>
    </row>
    <row r="4044" spans="1:31" ht="18" customHeight="1" x14ac:dyDescent="0.25">
      <c r="A40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4" s="79">
        <v>4</v>
      </c>
      <c r="C4044" s="23">
        <v>44190</v>
      </c>
      <c r="D4044" s="67">
        <f>IF(COUNTIF($G$2:$G4044,$G4044)=1,1,0)</f>
        <v>0</v>
      </c>
      <c r="E4044" s="67" t="str">
        <f>IFERROR(VLOOKUP(База_КР_КК[[#This Row],[ИД штатной должности (S)]],'уровень защищенности'!$B$7:$F$1095,5,0),"не защищена")</f>
        <v>высокий</v>
      </c>
      <c r="F4044" s="68">
        <v>500481</v>
      </c>
      <c r="G4044" s="74" t="s">
        <v>3180</v>
      </c>
      <c r="H4044" s="181">
        <f>INDEX('Списки данных'!$D$2:$D$1048576,MATCH(База_КР_КК[[#This Row],[Структурное подразделение]],'Списки данных'!$C$2:$C$1048576,0))</f>
        <v>50</v>
      </c>
      <c r="I4044" s="80" t="s">
        <v>159</v>
      </c>
      <c r="J4044" s="80" t="s">
        <v>255</v>
      </c>
      <c r="K4044" s="80" t="s">
        <v>263</v>
      </c>
      <c r="L4044" s="30" t="s">
        <v>191</v>
      </c>
      <c r="M4044" s="68">
        <v>7</v>
      </c>
      <c r="N4044" s="181" t="str">
        <f t="shared" si="64"/>
        <v>нет</v>
      </c>
      <c r="O4044" s="23"/>
      <c r="P4044" s="23"/>
      <c r="Q4044" s="106"/>
      <c r="R4044" s="37">
        <v>996</v>
      </c>
      <c r="S4044" s="39" t="s">
        <v>1405</v>
      </c>
      <c r="T4044" s="37">
        <v>2067</v>
      </c>
      <c r="U4044" s="37" t="s">
        <v>1845</v>
      </c>
      <c r="V4044" s="69" t="s">
        <v>272</v>
      </c>
      <c r="W4044" s="89" t="s">
        <v>159</v>
      </c>
      <c r="X4044" s="106" t="s">
        <v>295</v>
      </c>
      <c r="Y4044" s="107" t="s">
        <v>12</v>
      </c>
      <c r="Z4044" s="67">
        <f>IF(База_КР_КК[[#This Row],[Таб.номер резервиста]]="-","-",IF(OR(База_КР_КК[[#This Row],[Уровень КК]]=2,База_КР_КК[[#This Row],[Уровень КК]]=3),IF(COUNTIFS($U$2:$U4044,$U4044,$F$2:$F4044,$F4044)=1,1,0),IF(COUNTIFS($U$2:$U4044,$U4044,$L$2:$L4044,$L4044)=1,1,0)))</f>
        <v>0</v>
      </c>
      <c r="AA40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4" s="106"/>
      <c r="AC4044" s="51"/>
      <c r="AD4044" s="106" t="s">
        <v>17</v>
      </c>
      <c r="AE4044" s="38" t="s">
        <v>356</v>
      </c>
    </row>
    <row r="4045" spans="1:31" ht="18" customHeight="1" x14ac:dyDescent="0.25">
      <c r="A40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5" s="79">
        <v>4</v>
      </c>
      <c r="C4045" s="23">
        <v>44190</v>
      </c>
      <c r="D4045" s="67">
        <f>IF(COUNTIF($G$2:$G4045,$G4045)=1,1,0)</f>
        <v>0</v>
      </c>
      <c r="E4045" s="67" t="str">
        <f>IFERROR(VLOOKUP(База_КР_КК[[#This Row],[ИД штатной должности (S)]],'уровень защищенности'!$B$7:$F$1095,5,0),"не защищена")</f>
        <v>высокий</v>
      </c>
      <c r="F4045" s="68">
        <v>500481</v>
      </c>
      <c r="G4045" s="74" t="s">
        <v>3180</v>
      </c>
      <c r="H4045" s="181">
        <f>INDEX('Списки данных'!$D$2:$D$1048576,MATCH(База_КР_КК[[#This Row],[Структурное подразделение]],'Списки данных'!$C$2:$C$1048576,0))</f>
        <v>50</v>
      </c>
      <c r="I4045" s="80" t="s">
        <v>159</v>
      </c>
      <c r="J4045" s="80" t="s">
        <v>255</v>
      </c>
      <c r="K4045" s="80" t="s">
        <v>263</v>
      </c>
      <c r="L4045" s="30" t="s">
        <v>191</v>
      </c>
      <c r="M4045" s="68">
        <v>7</v>
      </c>
      <c r="N4045" s="181" t="str">
        <f t="shared" si="64"/>
        <v>нет</v>
      </c>
      <c r="O4045" s="23"/>
      <c r="P4045" s="23"/>
      <c r="Q4045" s="106"/>
      <c r="R4045" s="37">
        <v>996</v>
      </c>
      <c r="S4045" s="39" t="s">
        <v>1405</v>
      </c>
      <c r="T4045" s="37">
        <v>2068</v>
      </c>
      <c r="U4045" s="37" t="s">
        <v>2132</v>
      </c>
      <c r="V4045" s="69" t="s">
        <v>272</v>
      </c>
      <c r="W4045" s="89" t="s">
        <v>159</v>
      </c>
      <c r="X4045" s="106" t="s">
        <v>295</v>
      </c>
      <c r="Y4045" s="107" t="s">
        <v>12</v>
      </c>
      <c r="Z4045" s="67">
        <f>IF(База_КР_КК[[#This Row],[Таб.номер резервиста]]="-","-",IF(OR(База_КР_КК[[#This Row],[Уровень КК]]=2,База_КР_КК[[#This Row],[Уровень КК]]=3),IF(COUNTIFS($U$2:$U4045,$U4045,$F$2:$F4045,$F4045)=1,1,0),IF(COUNTIFS($U$2:$U4045,$U4045,$L$2:$L4045,$L4045)=1,1,0)))</f>
        <v>0</v>
      </c>
      <c r="AA40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5" s="106"/>
      <c r="AC4045" s="51"/>
      <c r="AD4045" s="106" t="s">
        <v>13</v>
      </c>
      <c r="AE4045" s="38" t="s">
        <v>356</v>
      </c>
    </row>
    <row r="4046" spans="1:31" ht="18" customHeight="1" x14ac:dyDescent="0.25">
      <c r="A40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6" s="79">
        <v>4</v>
      </c>
      <c r="C4046" s="23">
        <v>44190</v>
      </c>
      <c r="D4046" s="67">
        <f>IF(COUNTIF($G$2:$G4046,$G4046)=1,1,0)</f>
        <v>0</v>
      </c>
      <c r="E4046" s="67" t="str">
        <f>IFERROR(VLOOKUP(База_КР_КК[[#This Row],[ИД штатной должности (S)]],'уровень защищенности'!$B$7:$F$1095,5,0),"не защищена")</f>
        <v>высокий</v>
      </c>
      <c r="F4046" s="68">
        <v>500481</v>
      </c>
      <c r="G4046" s="74" t="s">
        <v>3180</v>
      </c>
      <c r="H4046" s="181">
        <f>INDEX('Списки данных'!$D$2:$D$1048576,MATCH(База_КР_КК[[#This Row],[Структурное подразделение]],'Списки данных'!$C$2:$C$1048576,0))</f>
        <v>50</v>
      </c>
      <c r="I4046" s="80" t="s">
        <v>159</v>
      </c>
      <c r="J4046" s="80" t="s">
        <v>255</v>
      </c>
      <c r="K4046" s="80" t="s">
        <v>263</v>
      </c>
      <c r="L4046" s="30" t="s">
        <v>191</v>
      </c>
      <c r="M4046" s="68">
        <v>7</v>
      </c>
      <c r="N4046" s="181" t="str">
        <f t="shared" si="64"/>
        <v>нет</v>
      </c>
      <c r="O4046" s="23"/>
      <c r="P4046" s="23"/>
      <c r="Q4046" s="106"/>
      <c r="R4046" s="37">
        <v>996</v>
      </c>
      <c r="S4046" s="39" t="s">
        <v>1405</v>
      </c>
      <c r="T4046" s="37">
        <v>2069</v>
      </c>
      <c r="U4046" s="37" t="s">
        <v>2110</v>
      </c>
      <c r="V4046" s="69" t="s">
        <v>272</v>
      </c>
      <c r="W4046" s="89" t="s">
        <v>159</v>
      </c>
      <c r="X4046" s="106" t="s">
        <v>296</v>
      </c>
      <c r="Y4046" s="107" t="s">
        <v>12</v>
      </c>
      <c r="Z4046" s="67">
        <f>IF(База_КР_КК[[#This Row],[Таб.номер резервиста]]="-","-",IF(OR(База_КР_КК[[#This Row],[Уровень КК]]=2,База_КР_КК[[#This Row],[Уровень КК]]=3),IF(COUNTIFS($U$2:$U4046,$U4046,$F$2:$F4046,$F4046)=1,1,0),IF(COUNTIFS($U$2:$U4046,$U4046,$L$2:$L4046,$L4046)=1,1,0)))</f>
        <v>0</v>
      </c>
      <c r="AA40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6" s="106"/>
      <c r="AC4046" s="51"/>
      <c r="AD4046" s="106" t="s">
        <v>13</v>
      </c>
      <c r="AE4046" s="38" t="s">
        <v>356</v>
      </c>
    </row>
    <row r="4047" spans="1:31" ht="18" customHeight="1" x14ac:dyDescent="0.25">
      <c r="A40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7" s="79">
        <v>4</v>
      </c>
      <c r="C4047" s="23">
        <v>44190</v>
      </c>
      <c r="D4047" s="67">
        <f>IF(COUNTIF($G$2:$G4047,$G4047)=1,1,0)</f>
        <v>0</v>
      </c>
      <c r="E4047" s="67" t="str">
        <f>IFERROR(VLOOKUP(База_КР_КК[[#This Row],[ИД штатной должности (S)]],'уровень защищенности'!$B$7:$F$1095,5,0),"не защищена")</f>
        <v>высокий</v>
      </c>
      <c r="F4047" s="68">
        <v>500481</v>
      </c>
      <c r="G4047" s="74" t="s">
        <v>3180</v>
      </c>
      <c r="H4047" s="181">
        <f>INDEX('Списки данных'!$D$2:$D$1048576,MATCH(База_КР_КК[[#This Row],[Структурное подразделение]],'Списки данных'!$C$2:$C$1048576,0))</f>
        <v>50</v>
      </c>
      <c r="I4047" s="80" t="s">
        <v>159</v>
      </c>
      <c r="J4047" s="80" t="s">
        <v>255</v>
      </c>
      <c r="K4047" s="80" t="s">
        <v>263</v>
      </c>
      <c r="L4047" s="30" t="s">
        <v>191</v>
      </c>
      <c r="M4047" s="68">
        <v>7</v>
      </c>
      <c r="N4047" s="181" t="str">
        <f t="shared" si="64"/>
        <v>нет</v>
      </c>
      <c r="O4047" s="23"/>
      <c r="P4047" s="23"/>
      <c r="Q4047" s="106"/>
      <c r="R4047" s="37">
        <v>996</v>
      </c>
      <c r="S4047" s="39" t="s">
        <v>1405</v>
      </c>
      <c r="T4047" s="37">
        <v>2070</v>
      </c>
      <c r="U4047" s="37" t="s">
        <v>2081</v>
      </c>
      <c r="V4047" s="69" t="s">
        <v>272</v>
      </c>
      <c r="W4047" s="89" t="s">
        <v>159</v>
      </c>
      <c r="X4047" s="106" t="s">
        <v>297</v>
      </c>
      <c r="Y4047" s="107" t="s">
        <v>12</v>
      </c>
      <c r="Z4047" s="67">
        <f>IF(База_КР_КК[[#This Row],[Таб.номер резервиста]]="-","-",IF(OR(База_КР_КК[[#This Row],[Уровень КК]]=2,База_КР_КК[[#This Row],[Уровень КК]]=3),IF(COUNTIFS($U$2:$U4047,$U4047,$F$2:$F4047,$F4047)=1,1,0),IF(COUNTIFS($U$2:$U4047,$U4047,$L$2:$L4047,$L4047)=1,1,0)))</f>
        <v>0</v>
      </c>
      <c r="AA40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7" s="106"/>
      <c r="AC4047" s="51"/>
      <c r="AD4047" s="106" t="s">
        <v>13</v>
      </c>
      <c r="AE4047" s="38" t="s">
        <v>356</v>
      </c>
    </row>
    <row r="4048" spans="1:31" ht="18" customHeight="1" x14ac:dyDescent="0.25">
      <c r="A40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8" s="79">
        <v>4</v>
      </c>
      <c r="C4048" s="23">
        <v>44888</v>
      </c>
      <c r="D4048" s="67">
        <f>IF(COUNTIF($G$2:$G4048,$G4048)=1,1,0)</f>
        <v>0</v>
      </c>
      <c r="E4048" s="67" t="str">
        <f>IFERROR(VLOOKUP(База_КР_КК[[#This Row],[ИД штатной должности (S)]],'уровень защищенности'!$B$7:$F$1095,5,0),"не защищена")</f>
        <v>высокий</v>
      </c>
      <c r="F4048" s="68">
        <v>500481</v>
      </c>
      <c r="G4048" s="74" t="s">
        <v>3180</v>
      </c>
      <c r="H4048" s="181">
        <f>INDEX('Списки данных'!$D$2:$D$1048576,MATCH(База_КР_КК[[#This Row],[Структурное подразделение]],'Списки данных'!$C$2:$C$1048576,0))</f>
        <v>50</v>
      </c>
      <c r="I4048" s="80" t="s">
        <v>159</v>
      </c>
      <c r="J4048" s="80" t="s">
        <v>255</v>
      </c>
      <c r="K4048" s="80" t="s">
        <v>263</v>
      </c>
      <c r="L4048" s="30" t="s">
        <v>191</v>
      </c>
      <c r="M4048" s="68">
        <v>7</v>
      </c>
      <c r="N4048" s="181" t="str">
        <f t="shared" si="64"/>
        <v>нет</v>
      </c>
      <c r="O4048" s="23"/>
      <c r="P4048" s="23"/>
      <c r="Q4048" s="106"/>
      <c r="R4048" s="37">
        <v>996</v>
      </c>
      <c r="S4048" s="39" t="s">
        <v>1405</v>
      </c>
      <c r="T4048" s="37">
        <v>2071</v>
      </c>
      <c r="U4048" s="38" t="s">
        <v>2077</v>
      </c>
      <c r="V4048" s="89" t="s">
        <v>272</v>
      </c>
      <c r="W4048" s="89" t="s">
        <v>159</v>
      </c>
      <c r="X4048" s="106" t="s">
        <v>296</v>
      </c>
      <c r="Y4048" s="107" t="s">
        <v>12</v>
      </c>
      <c r="Z4048" s="67">
        <f>IF(База_КР_КК[[#This Row],[Таб.номер резервиста]]="-","-",IF(OR(База_КР_КК[[#This Row],[Уровень КК]]=2,База_КР_КК[[#This Row],[Уровень КК]]=3),IF(COUNTIFS($U$2:$U4048,$U4048,$F$2:$F4048,$F4048)=1,1,0),IF(COUNTIFS($U$2:$U4048,$U4048,$L$2:$L4048,$L4048)=1,1,0)))</f>
        <v>0</v>
      </c>
      <c r="AA40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8" s="106"/>
      <c r="AC4048" s="51"/>
      <c r="AD4048" s="106" t="s">
        <v>15</v>
      </c>
      <c r="AE4048" s="38" t="s">
        <v>356</v>
      </c>
    </row>
    <row r="4049" spans="1:31" ht="18" customHeight="1" x14ac:dyDescent="0.25">
      <c r="A40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49" s="79">
        <v>4</v>
      </c>
      <c r="C4049" s="23">
        <v>44888</v>
      </c>
      <c r="D4049" s="67">
        <f>IF(COUNTIF($G$2:$G4049,$G4049)=1,1,0)</f>
        <v>0</v>
      </c>
      <c r="E4049" s="67" t="str">
        <f>IFERROR(VLOOKUP(База_КР_КК[[#This Row],[ИД штатной должности (S)]],'уровень защищенности'!$B$7:$F$1095,5,0),"не защищена")</f>
        <v>высокий</v>
      </c>
      <c r="F4049" s="68">
        <v>500481</v>
      </c>
      <c r="G4049" s="74" t="s">
        <v>3180</v>
      </c>
      <c r="H4049" s="181">
        <f>INDEX('Списки данных'!$D$2:$D$1048576,MATCH(База_КР_КК[[#This Row],[Структурное подразделение]],'Списки данных'!$C$2:$C$1048576,0))</f>
        <v>50</v>
      </c>
      <c r="I4049" s="80" t="s">
        <v>159</v>
      </c>
      <c r="J4049" s="80" t="s">
        <v>255</v>
      </c>
      <c r="K4049" s="80" t="s">
        <v>263</v>
      </c>
      <c r="L4049" s="30" t="s">
        <v>191</v>
      </c>
      <c r="M4049" s="68">
        <v>7</v>
      </c>
      <c r="N4049" s="181" t="str">
        <f t="shared" si="64"/>
        <v>нет</v>
      </c>
      <c r="O4049" s="23"/>
      <c r="P4049" s="23"/>
      <c r="Q4049" s="106"/>
      <c r="R4049" s="37">
        <v>996</v>
      </c>
      <c r="S4049" s="39" t="s">
        <v>1405</v>
      </c>
      <c r="T4049" s="37">
        <v>2072</v>
      </c>
      <c r="U4049" s="38" t="s">
        <v>2027</v>
      </c>
      <c r="V4049" s="89" t="s">
        <v>272</v>
      </c>
      <c r="W4049" s="89" t="s">
        <v>159</v>
      </c>
      <c r="X4049" s="106" t="s">
        <v>296</v>
      </c>
      <c r="Y4049" s="107" t="s">
        <v>12</v>
      </c>
      <c r="Z4049" s="67">
        <f>IF(База_КР_КК[[#This Row],[Таб.номер резервиста]]="-","-",IF(OR(База_КР_КК[[#This Row],[Уровень КК]]=2,База_КР_КК[[#This Row],[Уровень КК]]=3),IF(COUNTIFS($U$2:$U4049,$U4049,$F$2:$F4049,$F4049)=1,1,0),IF(COUNTIFS($U$2:$U4049,$U4049,$L$2:$L4049,$L4049)=1,1,0)))</f>
        <v>0</v>
      </c>
      <c r="AA40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49" s="106"/>
      <c r="AC4049" s="51"/>
      <c r="AD4049" s="106" t="s">
        <v>15</v>
      </c>
      <c r="AE4049" s="38" t="s">
        <v>356</v>
      </c>
    </row>
    <row r="4050" spans="1:31" ht="18" customHeight="1" x14ac:dyDescent="0.25">
      <c r="A40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0" s="79">
        <v>4</v>
      </c>
      <c r="C4050" s="23">
        <v>44190</v>
      </c>
      <c r="D4050" s="67">
        <f>IF(COUNTIF($G$2:$G4050,$G4050)=1,1,0)</f>
        <v>0</v>
      </c>
      <c r="E4050" s="67" t="str">
        <f>IFERROR(VLOOKUP(База_КР_КК[[#This Row],[ИД штатной должности (S)]],'уровень защищенности'!$B$7:$F$1095,5,0),"не защищена")</f>
        <v>высокий</v>
      </c>
      <c r="F4050" s="68">
        <v>500481</v>
      </c>
      <c r="G4050" s="74" t="s">
        <v>3180</v>
      </c>
      <c r="H4050" s="181">
        <f>INDEX('Списки данных'!$D$2:$D$1048576,MATCH(База_КР_КК[[#This Row],[Структурное подразделение]],'Списки данных'!$C$2:$C$1048576,0))</f>
        <v>50</v>
      </c>
      <c r="I4050" s="80" t="s">
        <v>159</v>
      </c>
      <c r="J4050" s="80" t="s">
        <v>255</v>
      </c>
      <c r="K4050" s="80" t="s">
        <v>263</v>
      </c>
      <c r="L4050" s="30" t="s">
        <v>191</v>
      </c>
      <c r="M4050" s="68">
        <v>7</v>
      </c>
      <c r="N4050" s="181" t="str">
        <f t="shared" si="64"/>
        <v>нет</v>
      </c>
      <c r="O4050" s="23"/>
      <c r="P4050" s="23"/>
      <c r="Q4050" s="106"/>
      <c r="R4050" s="37">
        <v>996</v>
      </c>
      <c r="S4050" s="39" t="s">
        <v>1405</v>
      </c>
      <c r="T4050" s="37">
        <v>990</v>
      </c>
      <c r="U4050" s="37" t="s">
        <v>1399</v>
      </c>
      <c r="V4050" s="69" t="s">
        <v>192</v>
      </c>
      <c r="W4050" s="89" t="s">
        <v>159</v>
      </c>
      <c r="X4050" s="106" t="s">
        <v>295</v>
      </c>
      <c r="Y4050" s="107" t="s">
        <v>14</v>
      </c>
      <c r="Z4050" s="67">
        <f>IF(База_КР_КК[[#This Row],[Таб.номер резервиста]]="-","-",IF(OR(База_КР_КК[[#This Row],[Уровень КК]]=2,База_КР_КК[[#This Row],[Уровень КК]]=3),IF(COUNTIFS($U$2:$U4050,$U4050,$F$2:$F4050,$F4050)=1,1,0),IF(COUNTIFS($U$2:$U4050,$U4050,$L$2:$L4050,$L4050)=1,1,0)))</f>
        <v>0</v>
      </c>
      <c r="AA40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0" s="106" t="s">
        <v>24</v>
      </c>
      <c r="AC4050" s="51">
        <v>44414</v>
      </c>
      <c r="AD4050" s="106" t="s">
        <v>15</v>
      </c>
      <c r="AE4050" s="38" t="s">
        <v>394</v>
      </c>
    </row>
    <row r="4051" spans="1:31" ht="18" customHeight="1" x14ac:dyDescent="0.25">
      <c r="A40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1" s="79">
        <v>4</v>
      </c>
      <c r="C4051" s="23">
        <v>44190</v>
      </c>
      <c r="D4051" s="67">
        <f>IF(COUNTIF($G$2:$G4051,$G4051)=1,1,0)</f>
        <v>1</v>
      </c>
      <c r="E4051" s="67" t="str">
        <f>IFERROR(VLOOKUP(База_КР_КК[[#This Row],[ИД штатной должности (S)]],'уровень защищенности'!$B$7:$F$1095,5,0),"не защищена")</f>
        <v>средний</v>
      </c>
      <c r="F4051" s="68">
        <v>500482</v>
      </c>
      <c r="G4051" s="74" t="s">
        <v>3181</v>
      </c>
      <c r="H4051" s="181">
        <f>INDEX('Списки данных'!$D$2:$D$1048576,MATCH(База_КР_КК[[#This Row],[Структурное подразделение]],'Списки данных'!$C$2:$C$1048576,0))</f>
        <v>50</v>
      </c>
      <c r="I4051" s="80" t="s">
        <v>159</v>
      </c>
      <c r="J4051" s="80" t="s">
        <v>255</v>
      </c>
      <c r="K4051" s="80" t="s">
        <v>263</v>
      </c>
      <c r="L4051" s="30" t="s">
        <v>198</v>
      </c>
      <c r="M4051" s="68">
        <v>6</v>
      </c>
      <c r="N4051" s="181" t="str">
        <f t="shared" si="64"/>
        <v>нет</v>
      </c>
      <c r="O4051" s="23"/>
      <c r="P4051" s="23"/>
      <c r="Q4051" s="106"/>
      <c r="R4051" s="37">
        <v>997</v>
      </c>
      <c r="S4051" s="39" t="s">
        <v>1406</v>
      </c>
      <c r="T4051" s="37">
        <v>998</v>
      </c>
      <c r="U4051" s="37" t="s">
        <v>1407</v>
      </c>
      <c r="V4051" s="89" t="s">
        <v>192</v>
      </c>
      <c r="W4051" s="89" t="s">
        <v>159</v>
      </c>
      <c r="X4051" s="106" t="s">
        <v>297</v>
      </c>
      <c r="Y4051" s="107" t="s">
        <v>12</v>
      </c>
      <c r="Z4051" s="67">
        <f>IF(База_КР_КК[[#This Row],[Таб.номер резервиста]]="-","-",IF(OR(База_КР_КК[[#This Row],[Уровень КК]]=2,База_КР_КК[[#This Row],[Уровень КК]]=3),IF(COUNTIFS($U$2:$U4051,$U4051,$F$2:$F4051,$F4051)=1,1,0),IF(COUNTIFS($U$2:$U4051,$U4051,$L$2:$L4051,$L4051)=1,1,0)))</f>
        <v>1</v>
      </c>
      <c r="AA40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1" s="106"/>
      <c r="AC4051" s="51"/>
      <c r="AD4051" s="106" t="s">
        <v>17</v>
      </c>
      <c r="AE4051" s="38" t="s">
        <v>356</v>
      </c>
    </row>
    <row r="4052" spans="1:31" ht="18" customHeight="1" x14ac:dyDescent="0.25">
      <c r="A40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2" s="79">
        <v>4</v>
      </c>
      <c r="C4052" s="23">
        <v>44190</v>
      </c>
      <c r="D4052" s="67">
        <f>IF(COUNTIF($G$2:$G4052,$G4052)=1,1,0)</f>
        <v>0</v>
      </c>
      <c r="E4052" s="67" t="str">
        <f>IFERROR(VLOOKUP(База_КР_КК[[#This Row],[ИД штатной должности (S)]],'уровень защищенности'!$B$7:$F$1095,5,0),"не защищена")</f>
        <v>средний</v>
      </c>
      <c r="F4052" s="68">
        <v>500482</v>
      </c>
      <c r="G4052" s="74" t="s">
        <v>3181</v>
      </c>
      <c r="H4052" s="181">
        <f>INDEX('Списки данных'!$D$2:$D$1048576,MATCH(База_КР_КК[[#This Row],[Структурное подразделение]],'Списки данных'!$C$2:$C$1048576,0))</f>
        <v>50</v>
      </c>
      <c r="I4052" s="80" t="s">
        <v>159</v>
      </c>
      <c r="J4052" s="80" t="s">
        <v>255</v>
      </c>
      <c r="K4052" s="80" t="s">
        <v>263</v>
      </c>
      <c r="L4052" s="30" t="s">
        <v>198</v>
      </c>
      <c r="M4052" s="68">
        <v>6</v>
      </c>
      <c r="N4052" s="181" t="str">
        <f t="shared" si="64"/>
        <v>нет</v>
      </c>
      <c r="O4052" s="23"/>
      <c r="P4052" s="23"/>
      <c r="Q4052" s="106"/>
      <c r="R4052" s="37">
        <v>997</v>
      </c>
      <c r="S4052" s="39" t="s">
        <v>1406</v>
      </c>
      <c r="T4052" s="37">
        <v>2065</v>
      </c>
      <c r="U4052" s="37" t="s">
        <v>1997</v>
      </c>
      <c r="V4052" s="69" t="s">
        <v>192</v>
      </c>
      <c r="W4052" s="89" t="s">
        <v>287</v>
      </c>
      <c r="X4052" s="106" t="s">
        <v>295</v>
      </c>
      <c r="Y4052" s="107" t="s">
        <v>18</v>
      </c>
      <c r="Z4052" s="67">
        <f>IF(База_КР_КК[[#This Row],[Таб.номер резервиста]]="-","-",IF(OR(База_КР_КК[[#This Row],[Уровень КК]]=2,База_КР_КК[[#This Row],[Уровень КК]]=3),IF(COUNTIFS($U$2:$U4052,$U4052,$F$2:$F4052,$F4052)=1,1,0),IF(COUNTIFS($U$2:$U4052,$U4052,$L$2:$L4052,$L4052)=1,1,0)))</f>
        <v>0</v>
      </c>
      <c r="AA40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2" s="106" t="s">
        <v>33</v>
      </c>
      <c r="AC4052" s="51">
        <v>44335</v>
      </c>
      <c r="AD4052" s="106" t="s">
        <v>15</v>
      </c>
      <c r="AE4052" s="38" t="s">
        <v>394</v>
      </c>
    </row>
    <row r="4053" spans="1:31" ht="18" customHeight="1" x14ac:dyDescent="0.25">
      <c r="A40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3" s="79">
        <v>4</v>
      </c>
      <c r="C4053" s="23">
        <v>44190</v>
      </c>
      <c r="D4053" s="67">
        <f>IF(COUNTIF($G$2:$G4053,$G4053)=1,1,0)</f>
        <v>1</v>
      </c>
      <c r="E4053" s="67" t="str">
        <f>IFERROR(VLOOKUP(База_КР_КК[[#This Row],[ИД штатной должности (S)]],'уровень защищенности'!$B$7:$F$1095,5,0),"не защищена")</f>
        <v>средний</v>
      </c>
      <c r="F4053" s="68">
        <v>500483</v>
      </c>
      <c r="G4053" s="74" t="s">
        <v>3182</v>
      </c>
      <c r="H4053" s="181">
        <f>INDEX('Списки данных'!$D$2:$D$1048576,MATCH(База_КР_КК[[#This Row],[Структурное подразделение]],'Списки данных'!$C$2:$C$1048576,0))</f>
        <v>50</v>
      </c>
      <c r="I4053" s="80" t="s">
        <v>159</v>
      </c>
      <c r="J4053" s="80" t="s">
        <v>255</v>
      </c>
      <c r="K4053" s="80" t="s">
        <v>263</v>
      </c>
      <c r="L4053" s="82" t="s">
        <v>192</v>
      </c>
      <c r="M4053" s="68">
        <v>7</v>
      </c>
      <c r="N4053" s="181" t="str">
        <f t="shared" si="64"/>
        <v>нет</v>
      </c>
      <c r="O4053" s="23"/>
      <c r="P4053" s="23"/>
      <c r="Q4053" s="106"/>
      <c r="R4053" s="37">
        <v>998</v>
      </c>
      <c r="S4053" s="39" t="s">
        <v>1407</v>
      </c>
      <c r="T4053" s="37">
        <v>2070</v>
      </c>
      <c r="U4053" s="37" t="s">
        <v>2081</v>
      </c>
      <c r="V4053" s="69" t="s">
        <v>272</v>
      </c>
      <c r="W4053" s="89" t="s">
        <v>159</v>
      </c>
      <c r="X4053" s="106" t="s">
        <v>297</v>
      </c>
      <c r="Y4053" s="107" t="s">
        <v>12</v>
      </c>
      <c r="Z4053" s="67">
        <f>IF(База_КР_КК[[#This Row],[Таб.номер резервиста]]="-","-",IF(OR(База_КР_КК[[#This Row],[Уровень КК]]=2,База_КР_КК[[#This Row],[Уровень КК]]=3),IF(COUNTIFS($U$2:$U4053,$U4053,$F$2:$F4053,$F4053)=1,1,0),IF(COUNTIFS($U$2:$U4053,$U4053,$L$2:$L4053,$L4053)=1,1,0)))</f>
        <v>0</v>
      </c>
      <c r="AA40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3" s="106"/>
      <c r="AC4053" s="51"/>
      <c r="AD4053" s="106" t="s">
        <v>13</v>
      </c>
      <c r="AE4053" s="38" t="s">
        <v>356</v>
      </c>
    </row>
    <row r="4054" spans="1:31" ht="18" customHeight="1" x14ac:dyDescent="0.25">
      <c r="A40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4" s="79">
        <v>4</v>
      </c>
      <c r="C4054" s="23">
        <v>44190</v>
      </c>
      <c r="D4054" s="67">
        <f>IF(COUNTIF($G$2:$G4054,$G4054)=1,1,0)</f>
        <v>0</v>
      </c>
      <c r="E4054" s="67" t="str">
        <f>IFERROR(VLOOKUP(База_КР_КК[[#This Row],[ИД штатной должности (S)]],'уровень защищенности'!$B$7:$F$1095,5,0),"не защищена")</f>
        <v>средний</v>
      </c>
      <c r="F4054" s="68">
        <v>500483</v>
      </c>
      <c r="G4054" s="74" t="s">
        <v>3182</v>
      </c>
      <c r="H4054" s="181">
        <f>INDEX('Списки данных'!$D$2:$D$1048576,MATCH(База_КР_КК[[#This Row],[Структурное подразделение]],'Списки данных'!$C$2:$C$1048576,0))</f>
        <v>50</v>
      </c>
      <c r="I4054" s="80" t="s">
        <v>159</v>
      </c>
      <c r="J4054" s="80" t="s">
        <v>255</v>
      </c>
      <c r="K4054" s="80" t="s">
        <v>263</v>
      </c>
      <c r="L4054" s="82" t="s">
        <v>192</v>
      </c>
      <c r="M4054" s="68">
        <v>7</v>
      </c>
      <c r="N4054" s="181" t="str">
        <f t="shared" si="64"/>
        <v>нет</v>
      </c>
      <c r="O4054" s="23"/>
      <c r="P4054" s="23"/>
      <c r="Q4054" s="106"/>
      <c r="R4054" s="37">
        <v>998</v>
      </c>
      <c r="S4054" s="39" t="s">
        <v>1407</v>
      </c>
      <c r="T4054" s="37">
        <v>990</v>
      </c>
      <c r="U4054" s="37" t="s">
        <v>1399</v>
      </c>
      <c r="V4054" s="69" t="s">
        <v>192</v>
      </c>
      <c r="W4054" s="89" t="s">
        <v>159</v>
      </c>
      <c r="X4054" s="106" t="s">
        <v>295</v>
      </c>
      <c r="Y4054" s="107" t="s">
        <v>14</v>
      </c>
      <c r="Z4054" s="67">
        <f>IF(База_КР_КК[[#This Row],[Таб.номер резервиста]]="-","-",IF(OR(База_КР_КК[[#This Row],[Уровень КК]]=2,База_КР_КК[[#This Row],[Уровень КК]]=3),IF(COUNTIFS($U$2:$U4054,$U4054,$F$2:$F4054,$F4054)=1,1,0),IF(COUNTIFS($U$2:$U4054,$U4054,$L$2:$L4054,$L4054)=1,1,0)))</f>
        <v>1</v>
      </c>
      <c r="AA40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4" s="106" t="s">
        <v>24</v>
      </c>
      <c r="AC4054" s="51">
        <v>44414</v>
      </c>
      <c r="AD4054" s="106" t="s">
        <v>15</v>
      </c>
      <c r="AE4054" s="38" t="s">
        <v>394</v>
      </c>
    </row>
    <row r="4055" spans="1:31" ht="18" customHeight="1" x14ac:dyDescent="0.25">
      <c r="A40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5" s="79">
        <v>4</v>
      </c>
      <c r="C4055" s="23">
        <v>44190</v>
      </c>
      <c r="D4055" s="67">
        <f>IF(COUNTIF($G$2:$G4055,$G4055)=1,1,0)</f>
        <v>1</v>
      </c>
      <c r="E4055" s="67" t="str">
        <f>IFERROR(VLOOKUP(База_КР_КК[[#This Row],[ИД штатной должности (S)]],'уровень защищенности'!$B$7:$F$1095,5,0),"не защищена")</f>
        <v>средний</v>
      </c>
      <c r="F4055" s="68">
        <v>500484</v>
      </c>
      <c r="G4055" s="74" t="s">
        <v>3183</v>
      </c>
      <c r="H4055" s="181">
        <f>INDEX('Списки данных'!$D$2:$D$1048576,MATCH(База_КР_КК[[#This Row],[Структурное подразделение]],'Списки данных'!$C$2:$C$1048576,0))</f>
        <v>50</v>
      </c>
      <c r="I4055" s="80" t="s">
        <v>159</v>
      </c>
      <c r="J4055" s="80" t="s">
        <v>255</v>
      </c>
      <c r="K4055" s="80" t="s">
        <v>263</v>
      </c>
      <c r="L4055" s="82" t="s">
        <v>192</v>
      </c>
      <c r="M4055" s="68">
        <v>7</v>
      </c>
      <c r="N4055" s="181" t="str">
        <f t="shared" si="64"/>
        <v>нет</v>
      </c>
      <c r="O4055" s="23"/>
      <c r="P4055" s="23"/>
      <c r="Q4055" s="106"/>
      <c r="R4055" s="37">
        <v>999</v>
      </c>
      <c r="S4055" s="39" t="s">
        <v>1408</v>
      </c>
      <c r="T4055" s="37">
        <v>2070</v>
      </c>
      <c r="U4055" s="37" t="s">
        <v>2081</v>
      </c>
      <c r="V4055" s="69" t="s">
        <v>272</v>
      </c>
      <c r="W4055" s="89" t="s">
        <v>159</v>
      </c>
      <c r="X4055" s="106" t="s">
        <v>297</v>
      </c>
      <c r="Y4055" s="107" t="s">
        <v>12</v>
      </c>
      <c r="Z4055" s="67">
        <f>IF(База_КР_КК[[#This Row],[Таб.номер резервиста]]="-","-",IF(OR(База_КР_КК[[#This Row],[Уровень КК]]=2,База_КР_КК[[#This Row],[Уровень КК]]=3),IF(COUNTIFS($U$2:$U4055,$U4055,$F$2:$F4055,$F4055)=1,1,0),IF(COUNTIFS($U$2:$U4055,$U4055,$L$2:$L4055,$L4055)=1,1,0)))</f>
        <v>0</v>
      </c>
      <c r="AA40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5" s="106"/>
      <c r="AC4055" s="51"/>
      <c r="AD4055" s="106" t="s">
        <v>13</v>
      </c>
      <c r="AE4055" s="38" t="s">
        <v>356</v>
      </c>
    </row>
    <row r="4056" spans="1:31" ht="18" customHeight="1" x14ac:dyDescent="0.25">
      <c r="A40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6" s="79">
        <v>4</v>
      </c>
      <c r="C4056" s="23">
        <v>44190</v>
      </c>
      <c r="D4056" s="67">
        <f>IF(COUNTIF($G$2:$G4056,$G4056)=1,1,0)</f>
        <v>0</v>
      </c>
      <c r="E4056" s="67" t="str">
        <f>IFERROR(VLOOKUP(База_КР_КК[[#This Row],[ИД штатной должности (S)]],'уровень защищенности'!$B$7:$F$1095,5,0),"не защищена")</f>
        <v>средний</v>
      </c>
      <c r="F4056" s="68">
        <v>500484</v>
      </c>
      <c r="G4056" s="74" t="s">
        <v>3183</v>
      </c>
      <c r="H4056" s="181">
        <f>INDEX('Списки данных'!$D$2:$D$1048576,MATCH(База_КР_КК[[#This Row],[Структурное подразделение]],'Списки данных'!$C$2:$C$1048576,0))</f>
        <v>50</v>
      </c>
      <c r="I4056" s="80" t="s">
        <v>159</v>
      </c>
      <c r="J4056" s="80" t="s">
        <v>255</v>
      </c>
      <c r="K4056" s="80" t="s">
        <v>263</v>
      </c>
      <c r="L4056" s="82" t="s">
        <v>192</v>
      </c>
      <c r="M4056" s="68">
        <v>7</v>
      </c>
      <c r="N4056" s="181" t="str">
        <f t="shared" si="64"/>
        <v>нет</v>
      </c>
      <c r="O4056" s="23"/>
      <c r="P4056" s="23"/>
      <c r="Q4056" s="106"/>
      <c r="R4056" s="37">
        <v>999</v>
      </c>
      <c r="S4056" s="39" t="s">
        <v>1408</v>
      </c>
      <c r="T4056" s="37">
        <v>990</v>
      </c>
      <c r="U4056" s="37" t="s">
        <v>1399</v>
      </c>
      <c r="V4056" s="69" t="s">
        <v>192</v>
      </c>
      <c r="W4056" s="89" t="s">
        <v>159</v>
      </c>
      <c r="X4056" s="106" t="s">
        <v>295</v>
      </c>
      <c r="Y4056" s="107" t="s">
        <v>14</v>
      </c>
      <c r="Z4056" s="67">
        <f>IF(База_КР_КК[[#This Row],[Таб.номер резервиста]]="-","-",IF(OR(База_КР_КК[[#This Row],[Уровень КК]]=2,База_КР_КК[[#This Row],[Уровень КК]]=3),IF(COUNTIFS($U$2:$U4056,$U4056,$F$2:$F4056,$F4056)=1,1,0),IF(COUNTIFS($U$2:$U4056,$U4056,$L$2:$L4056,$L4056)=1,1,0)))</f>
        <v>0</v>
      </c>
      <c r="AA40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6" s="106" t="s">
        <v>24</v>
      </c>
      <c r="AC4056" s="51">
        <v>44414</v>
      </c>
      <c r="AD4056" s="106" t="s">
        <v>15</v>
      </c>
      <c r="AE4056" s="38" t="s">
        <v>394</v>
      </c>
    </row>
    <row r="4057" spans="1:31" ht="18" customHeight="1" x14ac:dyDescent="0.25">
      <c r="A40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7" s="79">
        <v>4</v>
      </c>
      <c r="C4057" s="23">
        <v>44190</v>
      </c>
      <c r="D4057" s="67">
        <f>IF(COUNTIF($G$2:$G4057,$G4057)=1,1,0)</f>
        <v>1</v>
      </c>
      <c r="E4057" s="67" t="str">
        <f>IFERROR(VLOOKUP(База_КР_КК[[#This Row],[ИД штатной должности (S)]],'уровень защищенности'!$B$7:$F$1095,5,0),"не защищена")</f>
        <v>высокий</v>
      </c>
      <c r="F4057" s="68">
        <v>500485</v>
      </c>
      <c r="G4057" s="74" t="s">
        <v>3184</v>
      </c>
      <c r="H4057" s="181">
        <f>INDEX('Списки данных'!$D$2:$D$1048576,MATCH(База_КР_КК[[#This Row],[Структурное подразделение]],'Списки данных'!$C$2:$C$1048576,0))</f>
        <v>50</v>
      </c>
      <c r="I4057" s="80" t="s">
        <v>159</v>
      </c>
      <c r="J4057" s="80" t="s">
        <v>255</v>
      </c>
      <c r="K4057" s="80" t="s">
        <v>263</v>
      </c>
      <c r="L4057" s="82" t="s">
        <v>192</v>
      </c>
      <c r="M4057" s="68">
        <v>7</v>
      </c>
      <c r="N4057" s="181" t="str">
        <f t="shared" si="64"/>
        <v>нет</v>
      </c>
      <c r="O4057" s="23"/>
      <c r="P4057" s="23"/>
      <c r="Q4057" s="106"/>
      <c r="R4057" s="37">
        <v>1000</v>
      </c>
      <c r="S4057" s="39" t="s">
        <v>1409</v>
      </c>
      <c r="T4057" s="37">
        <v>2066</v>
      </c>
      <c r="U4057" s="37" t="s">
        <v>1886</v>
      </c>
      <c r="V4057" s="69" t="s">
        <v>272</v>
      </c>
      <c r="W4057" s="89" t="s">
        <v>159</v>
      </c>
      <c r="X4057" s="106" t="s">
        <v>295</v>
      </c>
      <c r="Y4057" s="107" t="s">
        <v>12</v>
      </c>
      <c r="Z4057" s="67">
        <f>IF(База_КР_КК[[#This Row],[Таб.номер резервиста]]="-","-",IF(OR(База_КР_КК[[#This Row],[Уровень КК]]=2,База_КР_КК[[#This Row],[Уровень КК]]=3),IF(COUNTIFS($U$2:$U4057,$U4057,$F$2:$F4057,$F4057)=1,1,0),IF(COUNTIFS($U$2:$U4057,$U4057,$L$2:$L4057,$L4057)=1,1,0)))</f>
        <v>0</v>
      </c>
      <c r="AA40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7" s="106"/>
      <c r="AC4057" s="51"/>
      <c r="AD4057" s="106" t="s">
        <v>13</v>
      </c>
      <c r="AE4057" s="38" t="s">
        <v>356</v>
      </c>
    </row>
    <row r="4058" spans="1:31" ht="18" customHeight="1" x14ac:dyDescent="0.25">
      <c r="A40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8" s="79">
        <v>4</v>
      </c>
      <c r="C4058" s="23">
        <v>44190</v>
      </c>
      <c r="D4058" s="67">
        <f>IF(COUNTIF($G$2:$G4058,$G4058)=1,1,0)</f>
        <v>0</v>
      </c>
      <c r="E4058" s="67" t="str">
        <f>IFERROR(VLOOKUP(База_КР_КК[[#This Row],[ИД штатной должности (S)]],'уровень защищенности'!$B$7:$F$1095,5,0),"не защищена")</f>
        <v>высокий</v>
      </c>
      <c r="F4058" s="68">
        <v>500485</v>
      </c>
      <c r="G4058" s="74" t="s">
        <v>3184</v>
      </c>
      <c r="H4058" s="181">
        <f>INDEX('Списки данных'!$D$2:$D$1048576,MATCH(База_КР_КК[[#This Row],[Структурное подразделение]],'Списки данных'!$C$2:$C$1048576,0))</f>
        <v>50</v>
      </c>
      <c r="I4058" s="80" t="s">
        <v>159</v>
      </c>
      <c r="J4058" s="80" t="s">
        <v>255</v>
      </c>
      <c r="K4058" s="80" t="s">
        <v>263</v>
      </c>
      <c r="L4058" s="82" t="s">
        <v>192</v>
      </c>
      <c r="M4058" s="68">
        <v>7</v>
      </c>
      <c r="N4058" s="181" t="str">
        <f t="shared" si="64"/>
        <v>нет</v>
      </c>
      <c r="O4058" s="23"/>
      <c r="P4058" s="23"/>
      <c r="Q4058" s="106"/>
      <c r="R4058" s="37">
        <v>1000</v>
      </c>
      <c r="S4058" s="39" t="s">
        <v>1409</v>
      </c>
      <c r="T4058" s="37">
        <v>2067</v>
      </c>
      <c r="U4058" s="37" t="s">
        <v>1845</v>
      </c>
      <c r="V4058" s="69" t="s">
        <v>272</v>
      </c>
      <c r="W4058" s="89" t="s">
        <v>159</v>
      </c>
      <c r="X4058" s="106" t="s">
        <v>295</v>
      </c>
      <c r="Y4058" s="107" t="s">
        <v>12</v>
      </c>
      <c r="Z4058" s="67">
        <f>IF(База_КР_КК[[#This Row],[Таб.номер резервиста]]="-","-",IF(OR(База_КР_КК[[#This Row],[Уровень КК]]=2,База_КР_КК[[#This Row],[Уровень КК]]=3),IF(COUNTIFS($U$2:$U4058,$U4058,$F$2:$F4058,$F4058)=1,1,0),IF(COUNTIFS($U$2:$U4058,$U4058,$L$2:$L4058,$L4058)=1,1,0)))</f>
        <v>0</v>
      </c>
      <c r="AA40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8" s="106"/>
      <c r="AC4058" s="51"/>
      <c r="AD4058" s="106" t="s">
        <v>17</v>
      </c>
      <c r="AE4058" s="38" t="s">
        <v>356</v>
      </c>
    </row>
    <row r="4059" spans="1:31" ht="18" customHeight="1" x14ac:dyDescent="0.25">
      <c r="A40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59" s="79">
        <v>4</v>
      </c>
      <c r="C4059" s="23">
        <v>44190</v>
      </c>
      <c r="D4059" s="67">
        <f>IF(COUNTIF($G$2:$G4059,$G4059)=1,1,0)</f>
        <v>0</v>
      </c>
      <c r="E4059" s="67" t="str">
        <f>IFERROR(VLOOKUP(База_КР_КК[[#This Row],[ИД штатной должности (S)]],'уровень защищенности'!$B$7:$F$1095,5,0),"не защищена")</f>
        <v>высокий</v>
      </c>
      <c r="F4059" s="68">
        <v>500485</v>
      </c>
      <c r="G4059" s="74" t="s">
        <v>3184</v>
      </c>
      <c r="H4059" s="181">
        <f>INDEX('Списки данных'!$D$2:$D$1048576,MATCH(База_КР_КК[[#This Row],[Структурное подразделение]],'Списки данных'!$C$2:$C$1048576,0))</f>
        <v>50</v>
      </c>
      <c r="I4059" s="80" t="s">
        <v>159</v>
      </c>
      <c r="J4059" s="80" t="s">
        <v>255</v>
      </c>
      <c r="K4059" s="80" t="s">
        <v>263</v>
      </c>
      <c r="L4059" s="82" t="s">
        <v>192</v>
      </c>
      <c r="M4059" s="68">
        <v>7</v>
      </c>
      <c r="N4059" s="181" t="str">
        <f t="shared" si="64"/>
        <v>нет</v>
      </c>
      <c r="O4059" s="23"/>
      <c r="P4059" s="23"/>
      <c r="Q4059" s="106"/>
      <c r="R4059" s="37">
        <v>1000</v>
      </c>
      <c r="S4059" s="39" t="s">
        <v>1409</v>
      </c>
      <c r="T4059" s="37">
        <v>2068</v>
      </c>
      <c r="U4059" s="37" t="s">
        <v>2132</v>
      </c>
      <c r="V4059" s="69" t="s">
        <v>272</v>
      </c>
      <c r="W4059" s="89" t="s">
        <v>159</v>
      </c>
      <c r="X4059" s="106" t="s">
        <v>295</v>
      </c>
      <c r="Y4059" s="107" t="s">
        <v>12</v>
      </c>
      <c r="Z4059" s="67">
        <f>IF(База_КР_КК[[#This Row],[Таб.номер резервиста]]="-","-",IF(OR(База_КР_КК[[#This Row],[Уровень КК]]=2,База_КР_КК[[#This Row],[Уровень КК]]=3),IF(COUNTIFS($U$2:$U4059,$U4059,$F$2:$F4059,$F4059)=1,1,0),IF(COUNTIFS($U$2:$U4059,$U4059,$L$2:$L4059,$L4059)=1,1,0)))</f>
        <v>1</v>
      </c>
      <c r="AA40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59" s="106"/>
      <c r="AC4059" s="51"/>
      <c r="AD4059" s="106" t="s">
        <v>13</v>
      </c>
      <c r="AE4059" s="38" t="s">
        <v>356</v>
      </c>
    </row>
    <row r="4060" spans="1:31" ht="18" customHeight="1" x14ac:dyDescent="0.25">
      <c r="A40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0" s="79">
        <v>4</v>
      </c>
      <c r="C4060" s="23">
        <v>44190</v>
      </c>
      <c r="D4060" s="67">
        <f>IF(COUNTIF($G$2:$G4060,$G4060)=1,1,0)</f>
        <v>0</v>
      </c>
      <c r="E4060" s="67" t="str">
        <f>IFERROR(VLOOKUP(База_КР_КК[[#This Row],[ИД штатной должности (S)]],'уровень защищенности'!$B$7:$F$1095,5,0),"не защищена")</f>
        <v>высокий</v>
      </c>
      <c r="F4060" s="68">
        <v>500485</v>
      </c>
      <c r="G4060" s="74" t="s">
        <v>3184</v>
      </c>
      <c r="H4060" s="181">
        <f>INDEX('Списки данных'!$D$2:$D$1048576,MATCH(База_КР_КК[[#This Row],[Структурное подразделение]],'Списки данных'!$C$2:$C$1048576,0))</f>
        <v>50</v>
      </c>
      <c r="I4060" s="80" t="s">
        <v>159</v>
      </c>
      <c r="J4060" s="80" t="s">
        <v>255</v>
      </c>
      <c r="K4060" s="80" t="s">
        <v>263</v>
      </c>
      <c r="L4060" s="82" t="s">
        <v>192</v>
      </c>
      <c r="M4060" s="68">
        <v>7</v>
      </c>
      <c r="N4060" s="181" t="str">
        <f t="shared" si="64"/>
        <v>нет</v>
      </c>
      <c r="O4060" s="23"/>
      <c r="P4060" s="23"/>
      <c r="Q4060" s="106"/>
      <c r="R4060" s="37">
        <v>1000</v>
      </c>
      <c r="S4060" s="39" t="s">
        <v>1409</v>
      </c>
      <c r="T4060" s="37">
        <v>2069</v>
      </c>
      <c r="U4060" s="37" t="s">
        <v>2110</v>
      </c>
      <c r="V4060" s="69" t="s">
        <v>272</v>
      </c>
      <c r="W4060" s="89" t="s">
        <v>159</v>
      </c>
      <c r="X4060" s="106" t="s">
        <v>296</v>
      </c>
      <c r="Y4060" s="107" t="s">
        <v>12</v>
      </c>
      <c r="Z4060" s="67">
        <f>IF(База_КР_КК[[#This Row],[Таб.номер резервиста]]="-","-",IF(OR(База_КР_КК[[#This Row],[Уровень КК]]=2,База_КР_КК[[#This Row],[Уровень КК]]=3),IF(COUNTIFS($U$2:$U4060,$U4060,$F$2:$F4060,$F4060)=1,1,0),IF(COUNTIFS($U$2:$U4060,$U4060,$L$2:$L4060,$L4060)=1,1,0)))</f>
        <v>0</v>
      </c>
      <c r="AA40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0" s="106"/>
      <c r="AC4060" s="51"/>
      <c r="AD4060" s="106" t="s">
        <v>13</v>
      </c>
      <c r="AE4060" s="38" t="s">
        <v>356</v>
      </c>
    </row>
    <row r="4061" spans="1:31" ht="18" customHeight="1" x14ac:dyDescent="0.25">
      <c r="A40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1" s="79">
        <v>4</v>
      </c>
      <c r="C4061" s="23">
        <v>44190</v>
      </c>
      <c r="D4061" s="67">
        <f>IF(COUNTIF($G$2:$G4061,$G4061)=1,1,0)</f>
        <v>0</v>
      </c>
      <c r="E4061" s="67" t="str">
        <f>IFERROR(VLOOKUP(База_КР_КК[[#This Row],[ИД штатной должности (S)]],'уровень защищенности'!$B$7:$F$1095,5,0),"не защищена")</f>
        <v>высокий</v>
      </c>
      <c r="F4061" s="68">
        <v>500485</v>
      </c>
      <c r="G4061" s="74" t="s">
        <v>3184</v>
      </c>
      <c r="H4061" s="181">
        <f>INDEX('Списки данных'!$D$2:$D$1048576,MATCH(База_КР_КК[[#This Row],[Структурное подразделение]],'Списки данных'!$C$2:$C$1048576,0))</f>
        <v>50</v>
      </c>
      <c r="I4061" s="80" t="s">
        <v>159</v>
      </c>
      <c r="J4061" s="80" t="s">
        <v>255</v>
      </c>
      <c r="K4061" s="80" t="s">
        <v>263</v>
      </c>
      <c r="L4061" s="82" t="s">
        <v>192</v>
      </c>
      <c r="M4061" s="68">
        <v>7</v>
      </c>
      <c r="N4061" s="181" t="str">
        <f t="shared" si="64"/>
        <v>нет</v>
      </c>
      <c r="O4061" s="23"/>
      <c r="P4061" s="23"/>
      <c r="Q4061" s="106"/>
      <c r="R4061" s="37">
        <v>1000</v>
      </c>
      <c r="S4061" s="39" t="s">
        <v>1409</v>
      </c>
      <c r="T4061" s="37">
        <v>2070</v>
      </c>
      <c r="U4061" s="37" t="s">
        <v>2081</v>
      </c>
      <c r="V4061" s="69" t="s">
        <v>272</v>
      </c>
      <c r="W4061" s="89" t="s">
        <v>159</v>
      </c>
      <c r="X4061" s="106" t="s">
        <v>297</v>
      </c>
      <c r="Y4061" s="107" t="s">
        <v>12</v>
      </c>
      <c r="Z4061" s="67">
        <f>IF(База_КР_КК[[#This Row],[Таб.номер резервиста]]="-","-",IF(OR(База_КР_КК[[#This Row],[Уровень КК]]=2,База_КР_КК[[#This Row],[Уровень КК]]=3),IF(COUNTIFS($U$2:$U4061,$U4061,$F$2:$F4061,$F4061)=1,1,0),IF(COUNTIFS($U$2:$U4061,$U4061,$L$2:$L4061,$L4061)=1,1,0)))</f>
        <v>0</v>
      </c>
      <c r="AA40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1" s="106"/>
      <c r="AC4061" s="51"/>
      <c r="AD4061" s="106" t="s">
        <v>13</v>
      </c>
      <c r="AE4061" s="38" t="s">
        <v>356</v>
      </c>
    </row>
    <row r="4062" spans="1:31" ht="18" customHeight="1" x14ac:dyDescent="0.25">
      <c r="A40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2" s="79">
        <v>4</v>
      </c>
      <c r="C4062" s="23">
        <v>44888</v>
      </c>
      <c r="D4062" s="67">
        <f>IF(COUNTIF($G$2:$G4062,$G4062)=1,1,0)</f>
        <v>0</v>
      </c>
      <c r="E4062" s="67" t="str">
        <f>IFERROR(VLOOKUP(База_КР_КК[[#This Row],[ИД штатной должности (S)]],'уровень защищенности'!$B$7:$F$1095,5,0),"не защищена")</f>
        <v>высокий</v>
      </c>
      <c r="F4062" s="68">
        <v>500485</v>
      </c>
      <c r="G4062" s="74" t="s">
        <v>3184</v>
      </c>
      <c r="H4062" s="181">
        <f>INDEX('Списки данных'!$D$2:$D$1048576,MATCH(База_КР_КК[[#This Row],[Структурное подразделение]],'Списки данных'!$C$2:$C$1048576,0))</f>
        <v>50</v>
      </c>
      <c r="I4062" s="80" t="s">
        <v>159</v>
      </c>
      <c r="J4062" s="80" t="s">
        <v>255</v>
      </c>
      <c r="K4062" s="80" t="s">
        <v>263</v>
      </c>
      <c r="L4062" s="82" t="s">
        <v>192</v>
      </c>
      <c r="M4062" s="68">
        <v>7</v>
      </c>
      <c r="N4062" s="181" t="str">
        <f t="shared" si="64"/>
        <v>нет</v>
      </c>
      <c r="O4062" s="23"/>
      <c r="P4062" s="23"/>
      <c r="Q4062" s="106"/>
      <c r="R4062" s="37">
        <v>1000</v>
      </c>
      <c r="S4062" s="39" t="s">
        <v>1409</v>
      </c>
      <c r="T4062" s="37">
        <v>2071</v>
      </c>
      <c r="U4062" s="38" t="s">
        <v>2077</v>
      </c>
      <c r="V4062" s="89" t="s">
        <v>272</v>
      </c>
      <c r="W4062" s="89" t="s">
        <v>159</v>
      </c>
      <c r="X4062" s="106" t="s">
        <v>296</v>
      </c>
      <c r="Y4062" s="107" t="s">
        <v>12</v>
      </c>
      <c r="Z4062" s="67">
        <f>IF(База_КР_КК[[#This Row],[Таб.номер резервиста]]="-","-",IF(OR(База_КР_КК[[#This Row],[Уровень КК]]=2,База_КР_КК[[#This Row],[Уровень КК]]=3),IF(COUNTIFS($U$2:$U4062,$U4062,$F$2:$F4062,$F4062)=1,1,0),IF(COUNTIFS($U$2:$U4062,$U4062,$L$2:$L4062,$L4062)=1,1,0)))</f>
        <v>1</v>
      </c>
      <c r="AA40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2" s="106"/>
      <c r="AC4062" s="51"/>
      <c r="AD4062" s="106" t="s">
        <v>15</v>
      </c>
      <c r="AE4062" s="38" t="s">
        <v>356</v>
      </c>
    </row>
    <row r="4063" spans="1:31" ht="18" customHeight="1" x14ac:dyDescent="0.25">
      <c r="A40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3" s="79">
        <v>4</v>
      </c>
      <c r="C4063" s="23">
        <v>44888</v>
      </c>
      <c r="D4063" s="67">
        <f>IF(COUNTIF($G$2:$G4063,$G4063)=1,1,0)</f>
        <v>0</v>
      </c>
      <c r="E4063" s="67" t="str">
        <f>IFERROR(VLOOKUP(База_КР_КК[[#This Row],[ИД штатной должности (S)]],'уровень защищенности'!$B$7:$F$1095,5,0),"не защищена")</f>
        <v>высокий</v>
      </c>
      <c r="F4063" s="68">
        <v>500485</v>
      </c>
      <c r="G4063" s="74" t="s">
        <v>3184</v>
      </c>
      <c r="H4063" s="181">
        <f>INDEX('Списки данных'!$D$2:$D$1048576,MATCH(База_КР_КК[[#This Row],[Структурное подразделение]],'Списки данных'!$C$2:$C$1048576,0))</f>
        <v>50</v>
      </c>
      <c r="I4063" s="80" t="s">
        <v>159</v>
      </c>
      <c r="J4063" s="80" t="s">
        <v>255</v>
      </c>
      <c r="K4063" s="80" t="s">
        <v>263</v>
      </c>
      <c r="L4063" s="82" t="s">
        <v>192</v>
      </c>
      <c r="M4063" s="68">
        <v>7</v>
      </c>
      <c r="N4063" s="181" t="str">
        <f t="shared" si="64"/>
        <v>нет</v>
      </c>
      <c r="O4063" s="23"/>
      <c r="P4063" s="23"/>
      <c r="Q4063" s="106"/>
      <c r="R4063" s="37">
        <v>1000</v>
      </c>
      <c r="S4063" s="39" t="s">
        <v>1409</v>
      </c>
      <c r="T4063" s="37">
        <v>2072</v>
      </c>
      <c r="U4063" s="38" t="s">
        <v>2027</v>
      </c>
      <c r="V4063" s="89" t="s">
        <v>272</v>
      </c>
      <c r="W4063" s="89" t="s">
        <v>159</v>
      </c>
      <c r="X4063" s="106" t="s">
        <v>296</v>
      </c>
      <c r="Y4063" s="107" t="s">
        <v>12</v>
      </c>
      <c r="Z4063" s="67">
        <f>IF(База_КР_КК[[#This Row],[Таб.номер резервиста]]="-","-",IF(OR(База_КР_КК[[#This Row],[Уровень КК]]=2,База_КР_КК[[#This Row],[Уровень КК]]=3),IF(COUNTIFS($U$2:$U4063,$U4063,$F$2:$F4063,$F4063)=1,1,0),IF(COUNTIFS($U$2:$U4063,$U4063,$L$2:$L4063,$L4063)=1,1,0)))</f>
        <v>0</v>
      </c>
      <c r="AA40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3" s="106"/>
      <c r="AC4063" s="51"/>
      <c r="AD4063" s="106" t="s">
        <v>15</v>
      </c>
      <c r="AE4063" s="38" t="s">
        <v>356</v>
      </c>
    </row>
    <row r="4064" spans="1:31" ht="18" customHeight="1" x14ac:dyDescent="0.25">
      <c r="A40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4" s="79">
        <v>4</v>
      </c>
      <c r="C4064" s="23">
        <v>44190</v>
      </c>
      <c r="D4064" s="67">
        <f>IF(COUNTIF($G$2:$G4064,$G4064)=1,1,0)</f>
        <v>0</v>
      </c>
      <c r="E4064" s="67" t="str">
        <f>IFERROR(VLOOKUP(База_КР_КК[[#This Row],[ИД штатной должности (S)]],'уровень защищенности'!$B$7:$F$1095,5,0),"не защищена")</f>
        <v>высокий</v>
      </c>
      <c r="F4064" s="68">
        <v>500485</v>
      </c>
      <c r="G4064" s="74" t="s">
        <v>3184</v>
      </c>
      <c r="H4064" s="181">
        <f>INDEX('Списки данных'!$D$2:$D$1048576,MATCH(База_КР_КК[[#This Row],[Структурное подразделение]],'Списки данных'!$C$2:$C$1048576,0))</f>
        <v>50</v>
      </c>
      <c r="I4064" s="80" t="s">
        <v>159</v>
      </c>
      <c r="J4064" s="80" t="s">
        <v>255</v>
      </c>
      <c r="K4064" s="80" t="s">
        <v>263</v>
      </c>
      <c r="L4064" s="82" t="s">
        <v>192</v>
      </c>
      <c r="M4064" s="68">
        <v>7</v>
      </c>
      <c r="N4064" s="181" t="str">
        <f t="shared" si="64"/>
        <v>нет</v>
      </c>
      <c r="O4064" s="23"/>
      <c r="P4064" s="23"/>
      <c r="Q4064" s="106"/>
      <c r="R4064" s="37">
        <v>1000</v>
      </c>
      <c r="S4064" s="39" t="s">
        <v>1409</v>
      </c>
      <c r="T4064" s="37">
        <v>990</v>
      </c>
      <c r="U4064" s="37" t="s">
        <v>1399</v>
      </c>
      <c r="V4064" s="69" t="s">
        <v>192</v>
      </c>
      <c r="W4064" s="89" t="s">
        <v>159</v>
      </c>
      <c r="X4064" s="106" t="s">
        <v>295</v>
      </c>
      <c r="Y4064" s="107" t="s">
        <v>14</v>
      </c>
      <c r="Z4064" s="67">
        <f>IF(База_КР_КК[[#This Row],[Таб.номер резервиста]]="-","-",IF(OR(База_КР_КК[[#This Row],[Уровень КК]]=2,База_КР_КК[[#This Row],[Уровень КК]]=3),IF(COUNTIFS($U$2:$U4064,$U4064,$F$2:$F4064,$F4064)=1,1,0),IF(COUNTIFS($U$2:$U4064,$U4064,$L$2:$L4064,$L4064)=1,1,0)))</f>
        <v>0</v>
      </c>
      <c r="AA40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4" s="106" t="s">
        <v>24</v>
      </c>
      <c r="AC4064" s="51">
        <v>44414</v>
      </c>
      <c r="AD4064" s="106" t="s">
        <v>15</v>
      </c>
      <c r="AE4064" s="38" t="s">
        <v>394</v>
      </c>
    </row>
    <row r="4065" spans="1:31" ht="18" customHeight="1" x14ac:dyDescent="0.25">
      <c r="A40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5" s="79">
        <v>4</v>
      </c>
      <c r="C4065" s="23">
        <v>44895</v>
      </c>
      <c r="D4065" s="67">
        <f>IF(COUNTIF($G$2:$G4065,$G4065)=1,1,0)</f>
        <v>1</v>
      </c>
      <c r="E4065" s="67" t="str">
        <f>IFERROR(VLOOKUP(База_КР_КК[[#This Row],[ИД штатной должности (S)]],'уровень защищенности'!$B$7:$F$1095,5,0),"не защищена")</f>
        <v>низкий</v>
      </c>
      <c r="F4065" s="68">
        <v>500486</v>
      </c>
      <c r="G4065" s="74" t="s">
        <v>3185</v>
      </c>
      <c r="H4065" s="181">
        <f>INDEX('Списки данных'!$D$2:$D$1048576,MATCH(База_КР_КК[[#This Row],[Структурное подразделение]],'Списки данных'!$C$2:$C$1048576,0))</f>
        <v>48</v>
      </c>
      <c r="I4065" s="80" t="s">
        <v>168</v>
      </c>
      <c r="J4065" s="80" t="s">
        <v>264</v>
      </c>
      <c r="K4065" s="80" t="s">
        <v>265</v>
      </c>
      <c r="L4065" s="30" t="s">
        <v>187</v>
      </c>
      <c r="M4065" s="68">
        <v>6</v>
      </c>
      <c r="N4065" s="181" t="str">
        <f t="shared" si="64"/>
        <v>нет</v>
      </c>
      <c r="O4065" s="23"/>
      <c r="P4065" s="23"/>
      <c r="Q4065" s="106"/>
      <c r="R4065" s="37">
        <v>1001</v>
      </c>
      <c r="S4065" s="39" t="s">
        <v>1410</v>
      </c>
      <c r="T4065" s="37">
        <v>2073</v>
      </c>
      <c r="U4065" s="38" t="s">
        <v>1866</v>
      </c>
      <c r="V4065" s="89" t="s">
        <v>16</v>
      </c>
      <c r="W4065" s="89" t="s">
        <v>168</v>
      </c>
      <c r="X4065" s="106" t="s">
        <v>296</v>
      </c>
      <c r="Y4065" s="107" t="s">
        <v>12</v>
      </c>
      <c r="Z4065" s="67">
        <f>IF(База_КР_КК[[#This Row],[Таб.номер резервиста]]="-","-",IF(OR(База_КР_КК[[#This Row],[Уровень КК]]=2,База_КР_КК[[#This Row],[Уровень КК]]=3),IF(COUNTIFS($U$2:$U4065,$U4065,$F$2:$F4065,$F4065)=1,1,0),IF(COUNTIFS($U$2:$U4065,$U4065,$L$2:$L4065,$L4065)=1,1,0)))</f>
        <v>1</v>
      </c>
      <c r="AA40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5" s="106"/>
      <c r="AC4065" s="51"/>
      <c r="AD4065" s="106" t="s">
        <v>15</v>
      </c>
      <c r="AE4065" s="38" t="s">
        <v>397</v>
      </c>
    </row>
    <row r="4066" spans="1:31" ht="18" customHeight="1" x14ac:dyDescent="0.25">
      <c r="A40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6" s="79">
        <v>4</v>
      </c>
      <c r="C4066" s="23">
        <v>44515</v>
      </c>
      <c r="D4066" s="67">
        <f>IF(COUNTIF($G$2:$G4066,$G4066)=1,1,0)</f>
        <v>0</v>
      </c>
      <c r="E4066" s="67" t="str">
        <f>IFERROR(VLOOKUP(База_КР_КК[[#This Row],[ИД штатной должности (S)]],'уровень защищенности'!$B$7:$F$1095,5,0),"не защищена")</f>
        <v>низкий</v>
      </c>
      <c r="F4066" s="68">
        <v>500486</v>
      </c>
      <c r="G4066" s="74" t="s">
        <v>3185</v>
      </c>
      <c r="H4066" s="181">
        <f>INDEX('Списки данных'!$D$2:$D$1048576,MATCH(База_КР_КК[[#This Row],[Структурное подразделение]],'Списки данных'!$C$2:$C$1048576,0))</f>
        <v>48</v>
      </c>
      <c r="I4066" s="80" t="s">
        <v>168</v>
      </c>
      <c r="J4066" s="80" t="s">
        <v>264</v>
      </c>
      <c r="K4066" s="80" t="s">
        <v>265</v>
      </c>
      <c r="L4066" s="30" t="s">
        <v>187</v>
      </c>
      <c r="M4066" s="68">
        <v>6</v>
      </c>
      <c r="N4066" s="181" t="str">
        <f t="shared" si="64"/>
        <v>нет</v>
      </c>
      <c r="O4066" s="23"/>
      <c r="P4066" s="23"/>
      <c r="Q4066" s="106"/>
      <c r="R4066" s="37">
        <v>1001</v>
      </c>
      <c r="S4066" s="39" t="s">
        <v>1410</v>
      </c>
      <c r="T4066" s="37">
        <v>2074</v>
      </c>
      <c r="U4066" s="37" t="s">
        <v>2056</v>
      </c>
      <c r="V4066" s="69" t="s">
        <v>192</v>
      </c>
      <c r="W4066" s="89" t="s">
        <v>168</v>
      </c>
      <c r="X4066" s="106" t="s">
        <v>297</v>
      </c>
      <c r="Y4066" s="107" t="s">
        <v>18</v>
      </c>
      <c r="Z4066" s="67">
        <f>IF(База_КР_КК[[#This Row],[Таб.номер резервиста]]="-","-",IF(OR(База_КР_КК[[#This Row],[Уровень КК]]=2,База_КР_КК[[#This Row],[Уровень КК]]=3),IF(COUNTIFS($U$2:$U4066,$U4066,$F$2:$F4066,$F4066)=1,1,0),IF(COUNTIFS($U$2:$U4066,$U4066,$L$2:$L4066,$L4066)=1,1,0)))</f>
        <v>1</v>
      </c>
      <c r="AA40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6" s="106" t="s">
        <v>33</v>
      </c>
      <c r="AC4066" s="51">
        <v>44747</v>
      </c>
      <c r="AD4066" s="106" t="s">
        <v>31</v>
      </c>
      <c r="AE4066" s="38" t="s">
        <v>397</v>
      </c>
    </row>
    <row r="4067" spans="1:31" ht="18" customHeight="1" x14ac:dyDescent="0.25">
      <c r="A40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7" s="79">
        <v>3</v>
      </c>
      <c r="C4067" s="23">
        <v>43455</v>
      </c>
      <c r="D4067" s="67">
        <f>IF(COUNTIF($G$2:$G4067,$G4067)=1,1,0)</f>
        <v>1</v>
      </c>
      <c r="E4067" s="67" t="str">
        <f>IFERROR(VLOOKUP(База_КР_КК[[#This Row],[ИД штатной должности (S)]],'уровень защищенности'!$B$7:$F$1095,5,0),"не защищена")</f>
        <v>низкий</v>
      </c>
      <c r="F4067" s="68">
        <v>500487</v>
      </c>
      <c r="G4067" s="74" t="s">
        <v>3186</v>
      </c>
      <c r="H4067" s="181">
        <f>INDEX('Списки данных'!$D$2:$D$1048576,MATCH(База_КР_КК[[#This Row],[Структурное подразделение]],'Списки данных'!$C$2:$C$1048576,0))</f>
        <v>48</v>
      </c>
      <c r="I4067" s="80" t="s">
        <v>168</v>
      </c>
      <c r="J4067" s="80" t="s">
        <v>264</v>
      </c>
      <c r="K4067" s="80" t="s">
        <v>21</v>
      </c>
      <c r="L4067" s="30" t="s">
        <v>183</v>
      </c>
      <c r="M4067" s="68">
        <v>4</v>
      </c>
      <c r="N4067" s="181" t="str">
        <f t="shared" si="64"/>
        <v>да</v>
      </c>
      <c r="O4067" s="23">
        <v>43545</v>
      </c>
      <c r="P4067" s="23">
        <v>43545</v>
      </c>
      <c r="Q4067" s="106" t="s">
        <v>66</v>
      </c>
      <c r="R4067" s="37">
        <v>1002</v>
      </c>
      <c r="S4067" s="39" t="s">
        <v>1411</v>
      </c>
      <c r="T4067" s="37">
        <v>1016</v>
      </c>
      <c r="U4067" s="38" t="s">
        <v>1425</v>
      </c>
      <c r="V4067" s="69" t="s">
        <v>186</v>
      </c>
      <c r="W4067" s="89" t="s">
        <v>168</v>
      </c>
      <c r="X4067" s="106" t="s">
        <v>296</v>
      </c>
      <c r="Y4067" s="107" t="s">
        <v>12</v>
      </c>
      <c r="Z4067" s="67">
        <f>IF(База_КР_КК[[#This Row],[Таб.номер резервиста]]="-","-",IF(OR(База_КР_КК[[#This Row],[Уровень КК]]=2,База_КР_КК[[#This Row],[Уровень КК]]=3),IF(COUNTIFS($U$2:$U4067,$U4067,$F$2:$F4067,$F4067)=1,1,0),IF(COUNTIFS($U$2:$U4067,$U4067,$L$2:$L4067,$L4067)=1,1,0)))</f>
        <v>1</v>
      </c>
      <c r="AA40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7" s="106"/>
      <c r="AC4067" s="51"/>
      <c r="AD4067" s="106" t="s">
        <v>13</v>
      </c>
      <c r="AE4067" s="38" t="s">
        <v>369</v>
      </c>
    </row>
    <row r="4068" spans="1:31" ht="18" customHeight="1" x14ac:dyDescent="0.25">
      <c r="A40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8" s="79">
        <v>3</v>
      </c>
      <c r="C4068" s="23">
        <v>44005</v>
      </c>
      <c r="D4068" s="67">
        <f>IF(COUNTIF($G$2:$G4068,$G4068)=1,1,0)</f>
        <v>0</v>
      </c>
      <c r="E4068" s="67" t="str">
        <f>IFERROR(VLOOKUP(База_КР_КК[[#This Row],[ИД штатной должности (S)]],'уровень защищенности'!$B$7:$F$1095,5,0),"не защищена")</f>
        <v>низкий</v>
      </c>
      <c r="F4068" s="68">
        <v>500487</v>
      </c>
      <c r="G4068" s="74" t="s">
        <v>3186</v>
      </c>
      <c r="H4068" s="181">
        <f>INDEX('Списки данных'!$D$2:$D$1048576,MATCH(База_КР_КК[[#This Row],[Структурное подразделение]],'Списки данных'!$C$2:$C$1048576,0))</f>
        <v>48</v>
      </c>
      <c r="I4068" s="80" t="s">
        <v>168</v>
      </c>
      <c r="J4068" s="80" t="s">
        <v>264</v>
      </c>
      <c r="K4068" s="80" t="s">
        <v>21</v>
      </c>
      <c r="L4068" s="30" t="s">
        <v>183</v>
      </c>
      <c r="M4068" s="68">
        <v>4</v>
      </c>
      <c r="N4068" s="181" t="str">
        <f t="shared" si="64"/>
        <v>да</v>
      </c>
      <c r="O4068" s="23">
        <v>43545</v>
      </c>
      <c r="P4068" s="23">
        <v>43545</v>
      </c>
      <c r="Q4068" s="106" t="s">
        <v>66</v>
      </c>
      <c r="R4068" s="37">
        <v>1002</v>
      </c>
      <c r="S4068" s="39" t="s">
        <v>1411</v>
      </c>
      <c r="T4068" s="37">
        <v>2075</v>
      </c>
      <c r="U4068" s="38" t="s">
        <v>1839</v>
      </c>
      <c r="V4068" s="69" t="s">
        <v>200</v>
      </c>
      <c r="W4068" s="89" t="s">
        <v>286</v>
      </c>
      <c r="X4068" s="106" t="s">
        <v>296</v>
      </c>
      <c r="Y4068" s="107" t="s">
        <v>12</v>
      </c>
      <c r="Z4068" s="67">
        <f>IF(База_КР_КК[[#This Row],[Таб.номер резервиста]]="-","-",IF(OR(База_КР_КК[[#This Row],[Уровень КК]]=2,База_КР_КК[[#This Row],[Уровень КК]]=3),IF(COUNTIFS($U$2:$U4068,$U4068,$F$2:$F4068,$F4068)=1,1,0),IF(COUNTIFS($U$2:$U4068,$U4068,$L$2:$L4068,$L4068)=1,1,0)))</f>
        <v>1</v>
      </c>
      <c r="AA40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8" s="106"/>
      <c r="AC4068" s="51"/>
      <c r="AD4068" s="106" t="s">
        <v>13</v>
      </c>
      <c r="AE4068" s="38" t="s">
        <v>369</v>
      </c>
    </row>
    <row r="4069" spans="1:31" ht="18" customHeight="1" x14ac:dyDescent="0.25">
      <c r="A40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69" s="79">
        <v>3</v>
      </c>
      <c r="C4069" s="23">
        <v>44743</v>
      </c>
      <c r="D4069" s="67">
        <f>IF(COUNTIF($G$2:$G4069,$G4069)=1,1,0)</f>
        <v>0</v>
      </c>
      <c r="E4069" s="67" t="str">
        <f>IFERROR(VLOOKUP(База_КР_КК[[#This Row],[ИД штатной должности (S)]],'уровень защищенности'!$B$7:$F$1095,5,0),"не защищена")</f>
        <v>низкий</v>
      </c>
      <c r="F4069" s="68">
        <v>500487</v>
      </c>
      <c r="G4069" s="74" t="s">
        <v>3186</v>
      </c>
      <c r="H4069" s="181">
        <f>INDEX('Списки данных'!$D$2:$D$1048576,MATCH(База_КР_КК[[#This Row],[Структурное подразделение]],'Списки данных'!$C$2:$C$1048576,0))</f>
        <v>48</v>
      </c>
      <c r="I4069" s="80" t="s">
        <v>168</v>
      </c>
      <c r="J4069" s="80" t="s">
        <v>264</v>
      </c>
      <c r="K4069" s="80" t="s">
        <v>21</v>
      </c>
      <c r="L4069" s="30" t="s">
        <v>183</v>
      </c>
      <c r="M4069" s="68">
        <v>4</v>
      </c>
      <c r="N4069" s="181" t="str">
        <f t="shared" si="64"/>
        <v>да</v>
      </c>
      <c r="O4069" s="23">
        <v>43545</v>
      </c>
      <c r="P4069" s="23">
        <v>43545</v>
      </c>
      <c r="Q4069" s="106" t="s">
        <v>66</v>
      </c>
      <c r="R4069" s="37">
        <v>1002</v>
      </c>
      <c r="S4069" s="39" t="s">
        <v>1411</v>
      </c>
      <c r="T4069" s="37">
        <v>1060</v>
      </c>
      <c r="U4069" s="38" t="s">
        <v>1469</v>
      </c>
      <c r="V4069" s="69" t="s">
        <v>186</v>
      </c>
      <c r="W4069" s="89" t="s">
        <v>171</v>
      </c>
      <c r="X4069" s="106" t="s">
        <v>296</v>
      </c>
      <c r="Y4069" s="107" t="s">
        <v>12</v>
      </c>
      <c r="Z4069" s="67">
        <f>IF(База_КР_КК[[#This Row],[Таб.номер резервиста]]="-","-",IF(OR(База_КР_КК[[#This Row],[Уровень КК]]=2,База_КР_КК[[#This Row],[Уровень КК]]=3),IF(COUNTIFS($U$2:$U4069,$U4069,$F$2:$F4069,$F4069)=1,1,0),IF(COUNTIFS($U$2:$U4069,$U4069,$L$2:$L4069,$L4069)=1,1,0)))</f>
        <v>1</v>
      </c>
      <c r="AA40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69" s="106"/>
      <c r="AC4069" s="51"/>
      <c r="AD4069" s="106" t="s">
        <v>15</v>
      </c>
      <c r="AE4069" s="38" t="s">
        <v>369</v>
      </c>
    </row>
    <row r="4070" spans="1:31" ht="18" customHeight="1" x14ac:dyDescent="0.25">
      <c r="A40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0" s="79">
        <v>3</v>
      </c>
      <c r="C4070" s="23">
        <v>42787</v>
      </c>
      <c r="D4070" s="67">
        <f>IF(COUNTIF($G$2:$G4070,$G4070)=1,1,0)</f>
        <v>0</v>
      </c>
      <c r="E4070" s="67" t="str">
        <f>IFERROR(VLOOKUP(База_КР_КК[[#This Row],[ИД штатной должности (S)]],'уровень защищенности'!$B$7:$F$1095,5,0),"не защищена")</f>
        <v>низкий</v>
      </c>
      <c r="F4070" s="68">
        <v>500487</v>
      </c>
      <c r="G4070" s="74" t="s">
        <v>3186</v>
      </c>
      <c r="H4070" s="181">
        <f>INDEX('Списки данных'!$D$2:$D$1048576,MATCH(База_КР_КК[[#This Row],[Структурное подразделение]],'Списки данных'!$C$2:$C$1048576,0))</f>
        <v>48</v>
      </c>
      <c r="I4070" s="80" t="s">
        <v>168</v>
      </c>
      <c r="J4070" s="80" t="s">
        <v>264</v>
      </c>
      <c r="K4070" s="80" t="s">
        <v>21</v>
      </c>
      <c r="L4070" s="30" t="s">
        <v>183</v>
      </c>
      <c r="M4070" s="68">
        <v>4</v>
      </c>
      <c r="N4070" s="181" t="str">
        <f t="shared" si="64"/>
        <v>да</v>
      </c>
      <c r="O4070" s="23">
        <v>43545</v>
      </c>
      <c r="P4070" s="23">
        <v>43545</v>
      </c>
      <c r="Q4070" s="106" t="s">
        <v>66</v>
      </c>
      <c r="R4070" s="37">
        <v>1002</v>
      </c>
      <c r="S4070" s="39" t="s">
        <v>1411</v>
      </c>
      <c r="T4070" s="37">
        <v>1002</v>
      </c>
      <c r="U4070" s="38" t="s">
        <v>1411</v>
      </c>
      <c r="V4070" s="69" t="s">
        <v>192</v>
      </c>
      <c r="W4070" s="89" t="s">
        <v>168</v>
      </c>
      <c r="X4070" s="106" t="s">
        <v>296</v>
      </c>
      <c r="Y4070" s="107" t="s">
        <v>14</v>
      </c>
      <c r="Z4070" s="67">
        <f>IF(База_КР_КК[[#This Row],[Таб.номер резервиста]]="-","-",IF(OR(База_КР_КК[[#This Row],[Уровень КК]]=2,База_КР_КК[[#This Row],[Уровень КК]]=3),IF(COUNTIFS($U$2:$U4070,$U4070,$F$2:$F4070,$F4070)=1,1,0),IF(COUNTIFS($U$2:$U4070,$U4070,$L$2:$L4070,$L4070)=1,1,0)))</f>
        <v>1</v>
      </c>
      <c r="AA40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070" s="106" t="s">
        <v>24</v>
      </c>
      <c r="AC4070" s="51">
        <v>43545</v>
      </c>
      <c r="AD4070" s="106" t="s">
        <v>17</v>
      </c>
      <c r="AE4070" s="38" t="s">
        <v>392</v>
      </c>
    </row>
    <row r="4071" spans="1:31" ht="18" customHeight="1" x14ac:dyDescent="0.25">
      <c r="A40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1" s="79">
        <v>3</v>
      </c>
      <c r="C4071" s="23">
        <v>42787</v>
      </c>
      <c r="D4071" s="67">
        <f>IF(COUNTIF($G$2:$G4071,$G4071)=1,1,0)</f>
        <v>0</v>
      </c>
      <c r="E4071" s="67" t="str">
        <f>IFERROR(VLOOKUP(База_КР_КК[[#This Row],[ИД штатной должности (S)]],'уровень защищенности'!$B$7:$F$1095,5,0),"не защищена")</f>
        <v>низкий</v>
      </c>
      <c r="F4071" s="68">
        <v>500487</v>
      </c>
      <c r="G4071" s="74" t="s">
        <v>3186</v>
      </c>
      <c r="H4071" s="181">
        <f>INDEX('Списки данных'!$D$2:$D$1048576,MATCH(База_КР_КК[[#This Row],[Структурное подразделение]],'Списки данных'!$C$2:$C$1048576,0))</f>
        <v>48</v>
      </c>
      <c r="I4071" s="80" t="s">
        <v>168</v>
      </c>
      <c r="J4071" s="80" t="s">
        <v>264</v>
      </c>
      <c r="K4071" s="80" t="s">
        <v>21</v>
      </c>
      <c r="L4071" s="30" t="s">
        <v>183</v>
      </c>
      <c r="M4071" s="68">
        <v>4</v>
      </c>
      <c r="N4071" s="181" t="str">
        <f t="shared" si="64"/>
        <v>да</v>
      </c>
      <c r="O4071" s="23">
        <v>43545</v>
      </c>
      <c r="P4071" s="23">
        <v>43545</v>
      </c>
      <c r="Q4071" s="106" t="s">
        <v>66</v>
      </c>
      <c r="R4071" s="37">
        <v>1002</v>
      </c>
      <c r="S4071" s="39" t="s">
        <v>1411</v>
      </c>
      <c r="T4071" s="37">
        <v>2076</v>
      </c>
      <c r="U4071" s="38" t="s">
        <v>2068</v>
      </c>
      <c r="V4071" s="69" t="s">
        <v>192</v>
      </c>
      <c r="W4071" s="89" t="s">
        <v>168</v>
      </c>
      <c r="X4071" s="106" t="s">
        <v>297</v>
      </c>
      <c r="Y4071" s="107" t="s">
        <v>18</v>
      </c>
      <c r="Z4071" s="67">
        <f>IF(База_КР_КК[[#This Row],[Таб.номер резервиста]]="-","-",IF(OR(База_КР_КК[[#This Row],[Уровень КК]]=2,База_КР_КК[[#This Row],[Уровень КК]]=3),IF(COUNTIFS($U$2:$U4071,$U4071,$F$2:$F4071,$F4071)=1,1,0),IF(COUNTIFS($U$2:$U4071,$U4071,$L$2:$L4071,$L4071)=1,1,0)))</f>
        <v>1</v>
      </c>
      <c r="AA40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1" s="106" t="s">
        <v>33</v>
      </c>
      <c r="AC4071" s="51">
        <v>44348</v>
      </c>
      <c r="AD4071" s="106" t="s">
        <v>17</v>
      </c>
      <c r="AE4071" s="38" t="s">
        <v>392</v>
      </c>
    </row>
    <row r="4072" spans="1:31" ht="18" customHeight="1" x14ac:dyDescent="0.25">
      <c r="A40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2" s="79">
        <v>4</v>
      </c>
      <c r="C4072" s="23">
        <v>44515</v>
      </c>
      <c r="D4072" s="67">
        <f>IF(COUNTIF($G$2:$G4072,$G4072)=1,1,0)</f>
        <v>1</v>
      </c>
      <c r="E4072" s="67" t="str">
        <f>IFERROR(VLOOKUP(База_КР_КК[[#This Row],[ИД штатной должности (S)]],'уровень защищенности'!$B$7:$F$1095,5,0),"не защищена")</f>
        <v>низкий</v>
      </c>
      <c r="F4072" s="68">
        <v>500488</v>
      </c>
      <c r="G4072" s="74" t="s">
        <v>3187</v>
      </c>
      <c r="H4072" s="181">
        <f>INDEX('Списки данных'!$D$2:$D$1048576,MATCH(База_КР_КК[[#This Row],[Структурное подразделение]],'Списки данных'!$C$2:$C$1048576,0))</f>
        <v>48</v>
      </c>
      <c r="I4072" s="80" t="s">
        <v>168</v>
      </c>
      <c r="J4072" s="80" t="s">
        <v>264</v>
      </c>
      <c r="K4072" s="80" t="s">
        <v>21</v>
      </c>
      <c r="L4072" s="30" t="s">
        <v>194</v>
      </c>
      <c r="M4072" s="68">
        <v>6</v>
      </c>
      <c r="N4072" s="181" t="str">
        <f t="shared" si="64"/>
        <v>нет</v>
      </c>
      <c r="O4072" s="23"/>
      <c r="P4072" s="23"/>
      <c r="Q4072" s="106"/>
      <c r="R4072" s="37">
        <v>1003</v>
      </c>
      <c r="S4072" s="39" t="s">
        <v>1412</v>
      </c>
      <c r="T4072" s="37">
        <v>1032</v>
      </c>
      <c r="U4072" s="37" t="s">
        <v>1441</v>
      </c>
      <c r="V4072" s="89" t="s">
        <v>192</v>
      </c>
      <c r="W4072" s="89" t="s">
        <v>168</v>
      </c>
      <c r="X4072" s="106" t="s">
        <v>296</v>
      </c>
      <c r="Y4072" s="107" t="s">
        <v>12</v>
      </c>
      <c r="Z4072" s="67">
        <f>IF(База_КР_КК[[#This Row],[Таб.номер резервиста]]="-","-",IF(OR(База_КР_КК[[#This Row],[Уровень КК]]=2,База_КР_КК[[#This Row],[Уровень КК]]=3),IF(COUNTIFS($U$2:$U4072,$U4072,$F$2:$F4072,$F4072)=1,1,0),IF(COUNTIFS($U$2:$U4072,$U4072,$L$2:$L4072,$L4072)=1,1,0)))</f>
        <v>1</v>
      </c>
      <c r="AA40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2" s="106"/>
      <c r="AC4072" s="51"/>
      <c r="AD4072" s="106" t="s">
        <v>15</v>
      </c>
      <c r="AE4072" s="38" t="s">
        <v>398</v>
      </c>
    </row>
    <row r="4073" spans="1:31" ht="18" customHeight="1" x14ac:dyDescent="0.25">
      <c r="A40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3" s="79">
        <v>4</v>
      </c>
      <c r="C4073" s="23">
        <v>44515</v>
      </c>
      <c r="D4073" s="67">
        <f>IF(COUNTIF($G$2:$G4073,$G4073)=1,1,0)</f>
        <v>0</v>
      </c>
      <c r="E4073" s="67" t="str">
        <f>IFERROR(VLOOKUP(База_КР_КК[[#This Row],[ИД штатной должности (S)]],'уровень защищенности'!$B$7:$F$1095,5,0),"не защищена")</f>
        <v>низкий</v>
      </c>
      <c r="F4073" s="68">
        <v>500488</v>
      </c>
      <c r="G4073" s="74" t="s">
        <v>3187</v>
      </c>
      <c r="H4073" s="181">
        <f>INDEX('Списки данных'!$D$2:$D$1048576,MATCH(База_КР_КК[[#This Row],[Структурное подразделение]],'Списки данных'!$C$2:$C$1048576,0))</f>
        <v>48</v>
      </c>
      <c r="I4073" s="80" t="s">
        <v>168</v>
      </c>
      <c r="J4073" s="80" t="s">
        <v>264</v>
      </c>
      <c r="K4073" s="80" t="s">
        <v>21</v>
      </c>
      <c r="L4073" s="30" t="s">
        <v>194</v>
      </c>
      <c r="M4073" s="68">
        <v>6</v>
      </c>
      <c r="N4073" s="181" t="str">
        <f t="shared" si="64"/>
        <v>нет</v>
      </c>
      <c r="O4073" s="23"/>
      <c r="P4073" s="23"/>
      <c r="Q4073" s="106"/>
      <c r="R4073" s="37">
        <v>1003</v>
      </c>
      <c r="S4073" s="39" t="s">
        <v>1412</v>
      </c>
      <c r="T4073" s="37">
        <v>2077</v>
      </c>
      <c r="U4073" s="37" t="s">
        <v>2133</v>
      </c>
      <c r="V4073" s="69" t="s">
        <v>16</v>
      </c>
      <c r="W4073" s="89" t="s">
        <v>168</v>
      </c>
      <c r="X4073" s="106" t="s">
        <v>296</v>
      </c>
      <c r="Y4073" s="107" t="s">
        <v>12</v>
      </c>
      <c r="Z4073" s="67">
        <f>IF(База_КР_КК[[#This Row],[Таб.номер резервиста]]="-","-",IF(OR(База_КР_КК[[#This Row],[Уровень КК]]=2,База_КР_КК[[#This Row],[Уровень КК]]=3),IF(COUNTIFS($U$2:$U4073,$U4073,$F$2:$F4073,$F4073)=1,1,0),IF(COUNTIFS($U$2:$U4073,$U4073,$L$2:$L4073,$L4073)=1,1,0)))</f>
        <v>1</v>
      </c>
      <c r="AA40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3" s="106"/>
      <c r="AC4073" s="51"/>
      <c r="AD4073" s="106" t="s">
        <v>15</v>
      </c>
      <c r="AE4073" s="38" t="s">
        <v>398</v>
      </c>
    </row>
    <row r="4074" spans="1:31" ht="18" customHeight="1" x14ac:dyDescent="0.25">
      <c r="A40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4" s="79">
        <v>4</v>
      </c>
      <c r="C4074" s="23">
        <v>44515</v>
      </c>
      <c r="D4074" s="67">
        <f>IF(COUNTIF($G$2:$G4074,$G4074)=1,1,0)</f>
        <v>1</v>
      </c>
      <c r="E4074" s="67" t="str">
        <f>IFERROR(VLOOKUP(База_КР_КК[[#This Row],[ИД штатной должности (S)]],'уровень защищенности'!$B$7:$F$1095,5,0),"не защищена")</f>
        <v>низкий</v>
      </c>
      <c r="F4074" s="68">
        <v>500488</v>
      </c>
      <c r="G4074" s="74" t="s">
        <v>3188</v>
      </c>
      <c r="H4074" s="181">
        <f>INDEX('Списки данных'!$D$2:$D$1048576,MATCH(База_КР_КК[[#This Row],[Структурное подразделение]],'Списки данных'!$C$2:$C$1048576,0))</f>
        <v>48</v>
      </c>
      <c r="I4074" s="80" t="s">
        <v>168</v>
      </c>
      <c r="J4074" s="80" t="s">
        <v>264</v>
      </c>
      <c r="K4074" s="80" t="s">
        <v>21</v>
      </c>
      <c r="L4074" s="30" t="s">
        <v>194</v>
      </c>
      <c r="M4074" s="68">
        <v>6</v>
      </c>
      <c r="N4074" s="181" t="str">
        <f t="shared" si="64"/>
        <v>нет</v>
      </c>
      <c r="O4074" s="23"/>
      <c r="P4074" s="23"/>
      <c r="Q4074" s="106"/>
      <c r="R4074" s="37">
        <v>1004</v>
      </c>
      <c r="S4074" s="39" t="s">
        <v>1413</v>
      </c>
      <c r="T4074" s="37">
        <v>1032</v>
      </c>
      <c r="U4074" s="37" t="s">
        <v>1441</v>
      </c>
      <c r="V4074" s="89" t="s">
        <v>192</v>
      </c>
      <c r="W4074" s="89" t="s">
        <v>168</v>
      </c>
      <c r="X4074" s="106" t="s">
        <v>296</v>
      </c>
      <c r="Y4074" s="107" t="s">
        <v>12</v>
      </c>
      <c r="Z4074" s="67">
        <f>IF(База_КР_КК[[#This Row],[Таб.номер резервиста]]="-","-",IF(OR(База_КР_КК[[#This Row],[Уровень КК]]=2,База_КР_КК[[#This Row],[Уровень КК]]=3),IF(COUNTIFS($U$2:$U4074,$U4074,$F$2:$F4074,$F4074)=1,1,0),IF(COUNTIFS($U$2:$U4074,$U4074,$L$2:$L4074,$L4074)=1,1,0)))</f>
        <v>0</v>
      </c>
      <c r="AA40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4" s="106"/>
      <c r="AC4074" s="51"/>
      <c r="AD4074" s="106" t="s">
        <v>15</v>
      </c>
      <c r="AE4074" s="38" t="s">
        <v>398</v>
      </c>
    </row>
    <row r="4075" spans="1:31" ht="18" customHeight="1" x14ac:dyDescent="0.25">
      <c r="A40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5" s="79">
        <v>4</v>
      </c>
      <c r="C4075" s="23">
        <v>44515</v>
      </c>
      <c r="D4075" s="67">
        <f>IF(COUNTIF($G$2:$G4075,$G4075)=1,1,0)</f>
        <v>0</v>
      </c>
      <c r="E4075" s="67" t="str">
        <f>IFERROR(VLOOKUP(База_КР_КК[[#This Row],[ИД штатной должности (S)]],'уровень защищенности'!$B$7:$F$1095,5,0),"не защищена")</f>
        <v>низкий</v>
      </c>
      <c r="F4075" s="68">
        <v>500488</v>
      </c>
      <c r="G4075" s="74" t="s">
        <v>3188</v>
      </c>
      <c r="H4075" s="181">
        <f>INDEX('Списки данных'!$D$2:$D$1048576,MATCH(База_КР_КК[[#This Row],[Структурное подразделение]],'Списки данных'!$C$2:$C$1048576,0))</f>
        <v>48</v>
      </c>
      <c r="I4075" s="80" t="s">
        <v>168</v>
      </c>
      <c r="J4075" s="80" t="s">
        <v>264</v>
      </c>
      <c r="K4075" s="80" t="s">
        <v>21</v>
      </c>
      <c r="L4075" s="30" t="s">
        <v>194</v>
      </c>
      <c r="M4075" s="68">
        <v>6</v>
      </c>
      <c r="N4075" s="181" t="str">
        <f t="shared" si="64"/>
        <v>нет</v>
      </c>
      <c r="O4075" s="23"/>
      <c r="P4075" s="23"/>
      <c r="Q4075" s="106"/>
      <c r="R4075" s="37">
        <v>1004</v>
      </c>
      <c r="S4075" s="39" t="s">
        <v>1413</v>
      </c>
      <c r="T4075" s="37">
        <v>2077</v>
      </c>
      <c r="U4075" s="37" t="s">
        <v>2133</v>
      </c>
      <c r="V4075" s="69" t="s">
        <v>16</v>
      </c>
      <c r="W4075" s="89" t="s">
        <v>168</v>
      </c>
      <c r="X4075" s="106" t="s">
        <v>296</v>
      </c>
      <c r="Y4075" s="107" t="s">
        <v>12</v>
      </c>
      <c r="Z4075" s="67">
        <f>IF(База_КР_КК[[#This Row],[Таб.номер резервиста]]="-","-",IF(OR(База_КР_КК[[#This Row],[Уровень КК]]=2,База_КР_КК[[#This Row],[Уровень КК]]=3),IF(COUNTIFS($U$2:$U4075,$U4075,$F$2:$F4075,$F4075)=1,1,0),IF(COUNTIFS($U$2:$U4075,$U4075,$L$2:$L4075,$L4075)=1,1,0)))</f>
        <v>0</v>
      </c>
      <c r="AA40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5" s="106"/>
      <c r="AC4075" s="51"/>
      <c r="AD4075" s="106" t="s">
        <v>15</v>
      </c>
      <c r="AE4075" s="38" t="s">
        <v>398</v>
      </c>
    </row>
    <row r="4076" spans="1:31" ht="18" customHeight="1" x14ac:dyDescent="0.25">
      <c r="A40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6" s="79">
        <v>4</v>
      </c>
      <c r="C4076" s="23">
        <v>44515</v>
      </c>
      <c r="D4076" s="67">
        <f>IF(COUNTIF($G$2:$G4076,$G4076)=1,1,0)</f>
        <v>1</v>
      </c>
      <c r="E4076" s="67" t="str">
        <f>IFERROR(VLOOKUP(База_КР_КК[[#This Row],[ИД штатной должности (S)]],'уровень защищенности'!$B$7:$F$1095,5,0),"не защищена")</f>
        <v>низкий</v>
      </c>
      <c r="F4076" s="68">
        <v>500488</v>
      </c>
      <c r="G4076" s="74" t="s">
        <v>3189</v>
      </c>
      <c r="H4076" s="181">
        <f>INDEX('Списки данных'!$D$2:$D$1048576,MATCH(База_КР_КК[[#This Row],[Структурное подразделение]],'Списки данных'!$C$2:$C$1048576,0))</f>
        <v>48</v>
      </c>
      <c r="I4076" s="80" t="s">
        <v>168</v>
      </c>
      <c r="J4076" s="80" t="s">
        <v>264</v>
      </c>
      <c r="K4076" s="80" t="s">
        <v>21</v>
      </c>
      <c r="L4076" s="30" t="s">
        <v>194</v>
      </c>
      <c r="M4076" s="68">
        <v>6</v>
      </c>
      <c r="N4076" s="181" t="str">
        <f t="shared" si="64"/>
        <v>нет</v>
      </c>
      <c r="O4076" s="23"/>
      <c r="P4076" s="23"/>
      <c r="Q4076" s="106"/>
      <c r="R4076" s="37">
        <v>1005</v>
      </c>
      <c r="S4076" s="39" t="s">
        <v>1414</v>
      </c>
      <c r="T4076" s="37">
        <v>1032</v>
      </c>
      <c r="U4076" s="37" t="s">
        <v>1441</v>
      </c>
      <c r="V4076" s="89" t="s">
        <v>192</v>
      </c>
      <c r="W4076" s="89" t="s">
        <v>168</v>
      </c>
      <c r="X4076" s="106" t="s">
        <v>296</v>
      </c>
      <c r="Y4076" s="107" t="s">
        <v>12</v>
      </c>
      <c r="Z4076" s="67">
        <f>IF(База_КР_КК[[#This Row],[Таб.номер резервиста]]="-","-",IF(OR(База_КР_КК[[#This Row],[Уровень КК]]=2,База_КР_КК[[#This Row],[Уровень КК]]=3),IF(COUNTIFS($U$2:$U4076,$U4076,$F$2:$F4076,$F4076)=1,1,0),IF(COUNTIFS($U$2:$U4076,$U4076,$L$2:$L4076,$L4076)=1,1,0)))</f>
        <v>0</v>
      </c>
      <c r="AA40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6" s="106"/>
      <c r="AC4076" s="51"/>
      <c r="AD4076" s="106" t="s">
        <v>15</v>
      </c>
      <c r="AE4076" s="38" t="s">
        <v>398</v>
      </c>
    </row>
    <row r="4077" spans="1:31" ht="18" customHeight="1" x14ac:dyDescent="0.25">
      <c r="A40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7" s="79">
        <v>4</v>
      </c>
      <c r="C4077" s="23">
        <v>44515</v>
      </c>
      <c r="D4077" s="67">
        <f>IF(COUNTIF($G$2:$G4077,$G4077)=1,1,0)</f>
        <v>0</v>
      </c>
      <c r="E4077" s="67" t="str">
        <f>IFERROR(VLOOKUP(База_КР_КК[[#This Row],[ИД штатной должности (S)]],'уровень защищенности'!$B$7:$F$1095,5,0),"не защищена")</f>
        <v>низкий</v>
      </c>
      <c r="F4077" s="68">
        <v>500488</v>
      </c>
      <c r="G4077" s="74" t="s">
        <v>3189</v>
      </c>
      <c r="H4077" s="181">
        <f>INDEX('Списки данных'!$D$2:$D$1048576,MATCH(База_КР_КК[[#This Row],[Структурное подразделение]],'Списки данных'!$C$2:$C$1048576,0))</f>
        <v>48</v>
      </c>
      <c r="I4077" s="80" t="s">
        <v>168</v>
      </c>
      <c r="J4077" s="80" t="s">
        <v>264</v>
      </c>
      <c r="K4077" s="80" t="s">
        <v>21</v>
      </c>
      <c r="L4077" s="30" t="s">
        <v>194</v>
      </c>
      <c r="M4077" s="68">
        <v>6</v>
      </c>
      <c r="N4077" s="181" t="str">
        <f t="shared" si="64"/>
        <v>нет</v>
      </c>
      <c r="O4077" s="23"/>
      <c r="P4077" s="23"/>
      <c r="Q4077" s="106"/>
      <c r="R4077" s="37">
        <v>1005</v>
      </c>
      <c r="S4077" s="39" t="s">
        <v>1414</v>
      </c>
      <c r="T4077" s="37">
        <v>2077</v>
      </c>
      <c r="U4077" s="37" t="s">
        <v>2133</v>
      </c>
      <c r="V4077" s="69" t="s">
        <v>16</v>
      </c>
      <c r="W4077" s="89" t="s">
        <v>168</v>
      </c>
      <c r="X4077" s="106" t="s">
        <v>296</v>
      </c>
      <c r="Y4077" s="107" t="s">
        <v>12</v>
      </c>
      <c r="Z4077" s="67">
        <f>IF(База_КР_КК[[#This Row],[Таб.номер резервиста]]="-","-",IF(OR(База_КР_КК[[#This Row],[Уровень КК]]=2,База_КР_КК[[#This Row],[Уровень КК]]=3),IF(COUNTIFS($U$2:$U4077,$U4077,$F$2:$F4077,$F4077)=1,1,0),IF(COUNTIFS($U$2:$U4077,$U4077,$L$2:$L4077,$L4077)=1,1,0)))</f>
        <v>0</v>
      </c>
      <c r="AA40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7" s="106"/>
      <c r="AC4077" s="51"/>
      <c r="AD4077" s="106" t="s">
        <v>15</v>
      </c>
      <c r="AE4077" s="38" t="s">
        <v>398</v>
      </c>
    </row>
    <row r="4078" spans="1:31" ht="18" customHeight="1" x14ac:dyDescent="0.25">
      <c r="A40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8" s="79">
        <v>4</v>
      </c>
      <c r="C4078" s="23">
        <v>44515</v>
      </c>
      <c r="D4078" s="67">
        <f>IF(COUNTIF($G$2:$G4078,$G4078)=1,1,0)</f>
        <v>1</v>
      </c>
      <c r="E4078" s="67" t="str">
        <f>IFERROR(VLOOKUP(База_КР_КК[[#This Row],[ИД штатной должности (S)]],'уровень защищенности'!$B$7:$F$1095,5,0),"не защищена")</f>
        <v>низкий</v>
      </c>
      <c r="F4078" s="68">
        <v>500488</v>
      </c>
      <c r="G4078" s="74" t="s">
        <v>3190</v>
      </c>
      <c r="H4078" s="181">
        <f>INDEX('Списки данных'!$D$2:$D$1048576,MATCH(База_КР_КК[[#This Row],[Структурное подразделение]],'Списки данных'!$C$2:$C$1048576,0))</f>
        <v>48</v>
      </c>
      <c r="I4078" s="80" t="s">
        <v>168</v>
      </c>
      <c r="J4078" s="80" t="s">
        <v>264</v>
      </c>
      <c r="K4078" s="80" t="s">
        <v>21</v>
      </c>
      <c r="L4078" s="30" t="s">
        <v>194</v>
      </c>
      <c r="M4078" s="68">
        <v>6</v>
      </c>
      <c r="N4078" s="181" t="str">
        <f t="shared" si="64"/>
        <v>нет</v>
      </c>
      <c r="O4078" s="23"/>
      <c r="P4078" s="23"/>
      <c r="Q4078" s="106"/>
      <c r="R4078" s="37">
        <v>1006</v>
      </c>
      <c r="S4078" s="39" t="s">
        <v>1415</v>
      </c>
      <c r="T4078" s="37">
        <v>1032</v>
      </c>
      <c r="U4078" s="37" t="s">
        <v>1441</v>
      </c>
      <c r="V4078" s="89" t="s">
        <v>192</v>
      </c>
      <c r="W4078" s="89" t="s">
        <v>168</v>
      </c>
      <c r="X4078" s="106" t="s">
        <v>296</v>
      </c>
      <c r="Y4078" s="107" t="s">
        <v>12</v>
      </c>
      <c r="Z4078" s="67">
        <f>IF(База_КР_КК[[#This Row],[Таб.номер резервиста]]="-","-",IF(OR(База_КР_КК[[#This Row],[Уровень КК]]=2,База_КР_КК[[#This Row],[Уровень КК]]=3),IF(COUNTIFS($U$2:$U4078,$U4078,$F$2:$F4078,$F4078)=1,1,0),IF(COUNTIFS($U$2:$U4078,$U4078,$L$2:$L4078,$L4078)=1,1,0)))</f>
        <v>0</v>
      </c>
      <c r="AA40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8" s="106"/>
      <c r="AC4078" s="51"/>
      <c r="AD4078" s="106" t="s">
        <v>15</v>
      </c>
      <c r="AE4078" s="38" t="s">
        <v>398</v>
      </c>
    </row>
    <row r="4079" spans="1:31" ht="18" customHeight="1" x14ac:dyDescent="0.25">
      <c r="A40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79" s="79">
        <v>4</v>
      </c>
      <c r="C4079" s="23">
        <v>44515</v>
      </c>
      <c r="D4079" s="67">
        <f>IF(COUNTIF($G$2:$G4079,$G4079)=1,1,0)</f>
        <v>0</v>
      </c>
      <c r="E4079" s="67" t="str">
        <f>IFERROR(VLOOKUP(База_КР_КК[[#This Row],[ИД штатной должности (S)]],'уровень защищенности'!$B$7:$F$1095,5,0),"не защищена")</f>
        <v>низкий</v>
      </c>
      <c r="F4079" s="68">
        <v>500488</v>
      </c>
      <c r="G4079" s="74" t="s">
        <v>3190</v>
      </c>
      <c r="H4079" s="181">
        <f>INDEX('Списки данных'!$D$2:$D$1048576,MATCH(База_КР_КК[[#This Row],[Структурное подразделение]],'Списки данных'!$C$2:$C$1048576,0))</f>
        <v>48</v>
      </c>
      <c r="I4079" s="80" t="s">
        <v>168</v>
      </c>
      <c r="J4079" s="80" t="s">
        <v>264</v>
      </c>
      <c r="K4079" s="80" t="s">
        <v>21</v>
      </c>
      <c r="L4079" s="30" t="s">
        <v>194</v>
      </c>
      <c r="M4079" s="68">
        <v>6</v>
      </c>
      <c r="N4079" s="181" t="str">
        <f t="shared" si="64"/>
        <v>нет</v>
      </c>
      <c r="O4079" s="23"/>
      <c r="P4079" s="23"/>
      <c r="Q4079" s="106"/>
      <c r="R4079" s="37">
        <v>1006</v>
      </c>
      <c r="S4079" s="39" t="s">
        <v>1415</v>
      </c>
      <c r="T4079" s="37">
        <v>2077</v>
      </c>
      <c r="U4079" s="37" t="s">
        <v>2133</v>
      </c>
      <c r="V4079" s="69" t="s">
        <v>16</v>
      </c>
      <c r="W4079" s="89" t="s">
        <v>168</v>
      </c>
      <c r="X4079" s="106" t="s">
        <v>296</v>
      </c>
      <c r="Y4079" s="107" t="s">
        <v>12</v>
      </c>
      <c r="Z4079" s="67">
        <f>IF(База_КР_КК[[#This Row],[Таб.номер резервиста]]="-","-",IF(OR(База_КР_КК[[#This Row],[Уровень КК]]=2,База_КР_КК[[#This Row],[Уровень КК]]=3),IF(COUNTIFS($U$2:$U4079,$U4079,$F$2:$F4079,$F4079)=1,1,0),IF(COUNTIFS($U$2:$U4079,$U4079,$L$2:$L4079,$L4079)=1,1,0)))</f>
        <v>0</v>
      </c>
      <c r="AA40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79" s="106"/>
      <c r="AC4079" s="51"/>
      <c r="AD4079" s="106" t="s">
        <v>15</v>
      </c>
      <c r="AE4079" s="38" t="s">
        <v>398</v>
      </c>
    </row>
    <row r="4080" spans="1:31" ht="18" customHeight="1" x14ac:dyDescent="0.25">
      <c r="A40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0" s="79">
        <v>4</v>
      </c>
      <c r="C4080" s="23">
        <v>44515</v>
      </c>
      <c r="D4080" s="67">
        <f>IF(COUNTIF($G$2:$G4080,$G4080)=1,1,0)</f>
        <v>1</v>
      </c>
      <c r="E4080" s="67" t="str">
        <f>IFERROR(VLOOKUP(База_КР_КК[[#This Row],[ИД штатной должности (S)]],'уровень защищенности'!$B$7:$F$1095,5,0),"не защищена")</f>
        <v>низкий</v>
      </c>
      <c r="F4080" s="68">
        <v>500488</v>
      </c>
      <c r="G4080" s="74" t="s">
        <v>3191</v>
      </c>
      <c r="H4080" s="181">
        <f>INDEX('Списки данных'!$D$2:$D$1048576,MATCH(База_КР_КК[[#This Row],[Структурное подразделение]],'Списки данных'!$C$2:$C$1048576,0))</f>
        <v>48</v>
      </c>
      <c r="I4080" s="80" t="s">
        <v>168</v>
      </c>
      <c r="J4080" s="80" t="s">
        <v>264</v>
      </c>
      <c r="K4080" s="80" t="s">
        <v>21</v>
      </c>
      <c r="L4080" s="30" t="s">
        <v>194</v>
      </c>
      <c r="M4080" s="68">
        <v>6</v>
      </c>
      <c r="N4080" s="181" t="str">
        <f t="shared" si="64"/>
        <v>нет</v>
      </c>
      <c r="O4080" s="23"/>
      <c r="P4080" s="23"/>
      <c r="Q4080" s="106"/>
      <c r="R4080" s="37">
        <v>1007</v>
      </c>
      <c r="S4080" s="39" t="s">
        <v>1416</v>
      </c>
      <c r="T4080" s="37">
        <v>1032</v>
      </c>
      <c r="U4080" s="37" t="s">
        <v>1441</v>
      </c>
      <c r="V4080" s="89" t="s">
        <v>192</v>
      </c>
      <c r="W4080" s="89" t="s">
        <v>168</v>
      </c>
      <c r="X4080" s="106" t="s">
        <v>296</v>
      </c>
      <c r="Y4080" s="107" t="s">
        <v>12</v>
      </c>
      <c r="Z4080" s="67">
        <f>IF(База_КР_КК[[#This Row],[Таб.номер резервиста]]="-","-",IF(OR(База_КР_КК[[#This Row],[Уровень КК]]=2,База_КР_КК[[#This Row],[Уровень КК]]=3),IF(COUNTIFS($U$2:$U4080,$U4080,$F$2:$F4080,$F4080)=1,1,0),IF(COUNTIFS($U$2:$U4080,$U4080,$L$2:$L4080,$L4080)=1,1,0)))</f>
        <v>0</v>
      </c>
      <c r="AA40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0" s="106"/>
      <c r="AC4080" s="51"/>
      <c r="AD4080" s="106" t="s">
        <v>15</v>
      </c>
      <c r="AE4080" s="38" t="s">
        <v>398</v>
      </c>
    </row>
    <row r="4081" spans="1:31" ht="18" customHeight="1" x14ac:dyDescent="0.25">
      <c r="A40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1" s="79">
        <v>4</v>
      </c>
      <c r="C4081" s="23">
        <v>44515</v>
      </c>
      <c r="D4081" s="67">
        <f>IF(COUNTIF($G$2:$G4081,$G4081)=1,1,0)</f>
        <v>0</v>
      </c>
      <c r="E4081" s="67" t="str">
        <f>IFERROR(VLOOKUP(База_КР_КК[[#This Row],[ИД штатной должности (S)]],'уровень защищенности'!$B$7:$F$1095,5,0),"не защищена")</f>
        <v>низкий</v>
      </c>
      <c r="F4081" s="68">
        <v>500488</v>
      </c>
      <c r="G4081" s="74" t="s">
        <v>3191</v>
      </c>
      <c r="H4081" s="181">
        <f>INDEX('Списки данных'!$D$2:$D$1048576,MATCH(База_КР_КК[[#This Row],[Структурное подразделение]],'Списки данных'!$C$2:$C$1048576,0))</f>
        <v>48</v>
      </c>
      <c r="I4081" s="80" t="s">
        <v>168</v>
      </c>
      <c r="J4081" s="80" t="s">
        <v>264</v>
      </c>
      <c r="K4081" s="80" t="s">
        <v>21</v>
      </c>
      <c r="L4081" s="30" t="s">
        <v>194</v>
      </c>
      <c r="M4081" s="68">
        <v>6</v>
      </c>
      <c r="N4081" s="181" t="str">
        <f t="shared" si="64"/>
        <v>нет</v>
      </c>
      <c r="O4081" s="23"/>
      <c r="P4081" s="23"/>
      <c r="Q4081" s="106"/>
      <c r="R4081" s="37">
        <v>1007</v>
      </c>
      <c r="S4081" s="39" t="s">
        <v>1416</v>
      </c>
      <c r="T4081" s="37">
        <v>2077</v>
      </c>
      <c r="U4081" s="37" t="s">
        <v>2133</v>
      </c>
      <c r="V4081" s="69" t="s">
        <v>16</v>
      </c>
      <c r="W4081" s="89" t="s">
        <v>168</v>
      </c>
      <c r="X4081" s="106" t="s">
        <v>296</v>
      </c>
      <c r="Y4081" s="107" t="s">
        <v>12</v>
      </c>
      <c r="Z4081" s="67">
        <f>IF(База_КР_КК[[#This Row],[Таб.номер резервиста]]="-","-",IF(OR(База_КР_КК[[#This Row],[Уровень КК]]=2,База_КР_КК[[#This Row],[Уровень КК]]=3),IF(COUNTIFS($U$2:$U4081,$U4081,$F$2:$F4081,$F4081)=1,1,0),IF(COUNTIFS($U$2:$U4081,$U4081,$L$2:$L4081,$L4081)=1,1,0)))</f>
        <v>0</v>
      </c>
      <c r="AA40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1" s="106"/>
      <c r="AC4081" s="51"/>
      <c r="AD4081" s="106" t="s">
        <v>15</v>
      </c>
      <c r="AE4081" s="38" t="s">
        <v>398</v>
      </c>
    </row>
    <row r="4082" spans="1:31" ht="18" customHeight="1" x14ac:dyDescent="0.25">
      <c r="A40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2" s="79">
        <v>3</v>
      </c>
      <c r="C4082" s="23">
        <v>43455</v>
      </c>
      <c r="D4082" s="67">
        <f>IF(COUNTIF($G$2:$G4082,$G4082)=1,1,0)</f>
        <v>1</v>
      </c>
      <c r="E4082" s="67" t="str">
        <f>IFERROR(VLOOKUP(База_КР_КК[[#This Row],[ИД штатной должности (S)]],'уровень защищенности'!$B$7:$F$1095,5,0),"не защищена")</f>
        <v>высокий</v>
      </c>
      <c r="F4082" s="68">
        <v>500489</v>
      </c>
      <c r="G4082" s="74" t="s">
        <v>3192</v>
      </c>
      <c r="H4082" s="181">
        <f>INDEX('Списки данных'!$D$2:$D$1048576,MATCH(База_КР_КК[[#This Row],[Структурное подразделение]],'Списки данных'!$C$2:$C$1048576,0))</f>
        <v>48</v>
      </c>
      <c r="I4082" s="80" t="s">
        <v>168</v>
      </c>
      <c r="J4082" s="80" t="s">
        <v>264</v>
      </c>
      <c r="K4082" s="80" t="s">
        <v>21</v>
      </c>
      <c r="L4082" s="30" t="s">
        <v>186</v>
      </c>
      <c r="M4082" s="68">
        <v>5</v>
      </c>
      <c r="N4082" s="181" t="str">
        <f t="shared" si="64"/>
        <v>нет</v>
      </c>
      <c r="O4082" s="23"/>
      <c r="P4082" s="23"/>
      <c r="Q4082" s="106"/>
      <c r="R4082" s="37">
        <v>1008</v>
      </c>
      <c r="S4082" s="39" t="s">
        <v>1417</v>
      </c>
      <c r="T4082" s="37">
        <v>1010</v>
      </c>
      <c r="U4082" s="38" t="s">
        <v>1419</v>
      </c>
      <c r="V4082" s="89" t="s">
        <v>198</v>
      </c>
      <c r="W4082" s="89" t="s">
        <v>168</v>
      </c>
      <c r="X4082" s="106" t="s">
        <v>295</v>
      </c>
      <c r="Y4082" s="107" t="s">
        <v>12</v>
      </c>
      <c r="Z4082" s="67">
        <f>IF(База_КР_КК[[#This Row],[Таб.номер резервиста]]="-","-",IF(OR(База_КР_КК[[#This Row],[Уровень КК]]=2,База_КР_КК[[#This Row],[Уровень КК]]=3),IF(COUNTIFS($U$2:$U4082,$U4082,$F$2:$F4082,$F4082)=1,1,0),IF(COUNTIFS($U$2:$U4082,$U4082,$L$2:$L4082,$L4082)=1,1,0)))</f>
        <v>1</v>
      </c>
      <c r="AA40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2" s="106"/>
      <c r="AC4082" s="51"/>
      <c r="AD4082" s="106" t="s">
        <v>13</v>
      </c>
      <c r="AE4082" s="38" t="s">
        <v>389</v>
      </c>
    </row>
    <row r="4083" spans="1:31" ht="18" customHeight="1" x14ac:dyDescent="0.25">
      <c r="A40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3" s="79">
        <v>3</v>
      </c>
      <c r="C4083" s="23">
        <v>43455</v>
      </c>
      <c r="D4083" s="67">
        <f>IF(COUNTIF($G$2:$G4083,$G4083)=1,1,0)</f>
        <v>0</v>
      </c>
      <c r="E4083" s="67" t="str">
        <f>IFERROR(VLOOKUP(База_КР_КК[[#This Row],[ИД штатной должности (S)]],'уровень защищенности'!$B$7:$F$1095,5,0),"не защищена")</f>
        <v>высокий</v>
      </c>
      <c r="F4083" s="68">
        <v>500489</v>
      </c>
      <c r="G4083" s="74" t="s">
        <v>3192</v>
      </c>
      <c r="H4083" s="181">
        <f>INDEX('Списки данных'!$D$2:$D$1048576,MATCH(База_КР_КК[[#This Row],[Структурное подразделение]],'Списки данных'!$C$2:$C$1048576,0))</f>
        <v>48</v>
      </c>
      <c r="I4083" s="80" t="s">
        <v>168</v>
      </c>
      <c r="J4083" s="80" t="s">
        <v>264</v>
      </c>
      <c r="K4083" s="80" t="s">
        <v>21</v>
      </c>
      <c r="L4083" s="30" t="s">
        <v>186</v>
      </c>
      <c r="M4083" s="68">
        <v>5</v>
      </c>
      <c r="N4083" s="181" t="str">
        <f t="shared" si="64"/>
        <v>нет</v>
      </c>
      <c r="O4083" s="23"/>
      <c r="P4083" s="23"/>
      <c r="Q4083" s="106"/>
      <c r="R4083" s="37">
        <v>1008</v>
      </c>
      <c r="S4083" s="39" t="s">
        <v>1417</v>
      </c>
      <c r="T4083" s="37">
        <v>2078</v>
      </c>
      <c r="U4083" s="38" t="s">
        <v>1850</v>
      </c>
      <c r="V4083" s="69" t="s">
        <v>189</v>
      </c>
      <c r="W4083" s="89" t="s">
        <v>172</v>
      </c>
      <c r="X4083" s="106" t="s">
        <v>296</v>
      </c>
      <c r="Y4083" s="107" t="s">
        <v>12</v>
      </c>
      <c r="Z4083" s="67">
        <f>IF(База_КР_КК[[#This Row],[Таб.номер резервиста]]="-","-",IF(OR(База_КР_КК[[#This Row],[Уровень КК]]=2,База_КР_КК[[#This Row],[Уровень КК]]=3),IF(COUNTIFS($U$2:$U4083,$U4083,$F$2:$F4083,$F4083)=1,1,0),IF(COUNTIFS($U$2:$U4083,$U4083,$L$2:$L4083,$L4083)=1,1,0)))</f>
        <v>1</v>
      </c>
      <c r="AA40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3" s="106"/>
      <c r="AC4083" s="51"/>
      <c r="AD4083" s="106" t="s">
        <v>13</v>
      </c>
      <c r="AE4083" s="38" t="s">
        <v>389</v>
      </c>
    </row>
    <row r="4084" spans="1:31" ht="18" customHeight="1" x14ac:dyDescent="0.25">
      <c r="A40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4" s="79">
        <v>3</v>
      </c>
      <c r="C4084" s="23">
        <v>44005</v>
      </c>
      <c r="D4084" s="67">
        <f>IF(COUNTIF($G$2:$G4084,$G4084)=1,1,0)</f>
        <v>0</v>
      </c>
      <c r="E4084" s="67" t="str">
        <f>IFERROR(VLOOKUP(База_КР_КК[[#This Row],[ИД штатной должности (S)]],'уровень защищенности'!$B$7:$F$1095,5,0),"не защищена")</f>
        <v>высокий</v>
      </c>
      <c r="F4084" s="68">
        <v>500489</v>
      </c>
      <c r="G4084" s="74" t="s">
        <v>3192</v>
      </c>
      <c r="H4084" s="181">
        <f>INDEX('Списки данных'!$D$2:$D$1048576,MATCH(База_КР_КК[[#This Row],[Структурное подразделение]],'Списки данных'!$C$2:$C$1048576,0))</f>
        <v>48</v>
      </c>
      <c r="I4084" s="80" t="s">
        <v>168</v>
      </c>
      <c r="J4084" s="80" t="s">
        <v>264</v>
      </c>
      <c r="K4084" s="80" t="s">
        <v>21</v>
      </c>
      <c r="L4084" s="30" t="s">
        <v>186</v>
      </c>
      <c r="M4084" s="68">
        <v>5</v>
      </c>
      <c r="N4084" s="181" t="str">
        <f t="shared" si="64"/>
        <v>нет</v>
      </c>
      <c r="O4084" s="23"/>
      <c r="P4084" s="23"/>
      <c r="Q4084" s="106"/>
      <c r="R4084" s="37">
        <v>1008</v>
      </c>
      <c r="S4084" s="39" t="s">
        <v>1417</v>
      </c>
      <c r="T4084" s="37">
        <v>1013</v>
      </c>
      <c r="U4084" s="38" t="s">
        <v>1422</v>
      </c>
      <c r="V4084" s="89" t="s">
        <v>192</v>
      </c>
      <c r="W4084" s="89" t="s">
        <v>168</v>
      </c>
      <c r="X4084" s="106" t="s">
        <v>296</v>
      </c>
      <c r="Y4084" s="107" t="s">
        <v>12</v>
      </c>
      <c r="Z4084" s="67">
        <f>IF(База_КР_КК[[#This Row],[Таб.номер резервиста]]="-","-",IF(OR(База_КР_КК[[#This Row],[Уровень КК]]=2,База_КР_КК[[#This Row],[Уровень КК]]=3),IF(COUNTIFS($U$2:$U4084,$U4084,$F$2:$F4084,$F4084)=1,1,0),IF(COUNTIFS($U$2:$U4084,$U4084,$L$2:$L4084,$L4084)=1,1,0)))</f>
        <v>1</v>
      </c>
      <c r="AA40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4" s="106"/>
      <c r="AC4084" s="51"/>
      <c r="AD4084" s="106" t="s">
        <v>13</v>
      </c>
      <c r="AE4084" s="38" t="s">
        <v>389</v>
      </c>
    </row>
    <row r="4085" spans="1:31" ht="18" customHeight="1" x14ac:dyDescent="0.25">
      <c r="A40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5" s="79">
        <v>4</v>
      </c>
      <c r="C4085" s="23">
        <v>44515</v>
      </c>
      <c r="D4085" s="67">
        <f>IF(COUNTIF($G$2:$G4085,$G4085)=1,1,0)</f>
        <v>1</v>
      </c>
      <c r="E4085" s="67" t="str">
        <f>IFERROR(VLOOKUP(База_КР_КК[[#This Row],[ИД штатной должности (S)]],'уровень защищенности'!$B$7:$F$1095,5,0),"не защищена")</f>
        <v>средний</v>
      </c>
      <c r="F4085" s="68">
        <v>500490</v>
      </c>
      <c r="G4085" s="74" t="s">
        <v>3193</v>
      </c>
      <c r="H4085" s="181">
        <f>INDEX('Списки данных'!$D$2:$D$1048576,MATCH(База_КР_КК[[#This Row],[Структурное подразделение]],'Списки данных'!$C$2:$C$1048576,0))</f>
        <v>48</v>
      </c>
      <c r="I4085" s="80" t="s">
        <v>168</v>
      </c>
      <c r="J4085" s="80" t="s">
        <v>264</v>
      </c>
      <c r="K4085" s="80" t="s">
        <v>21</v>
      </c>
      <c r="L4085" s="82" t="s">
        <v>192</v>
      </c>
      <c r="M4085" s="68">
        <v>7</v>
      </c>
      <c r="N4085" s="181" t="str">
        <f t="shared" si="64"/>
        <v>нет</v>
      </c>
      <c r="O4085" s="23"/>
      <c r="P4085" s="23"/>
      <c r="Q4085" s="106"/>
      <c r="R4085" s="37">
        <v>1009</v>
      </c>
      <c r="S4085" s="39" t="s">
        <v>1418</v>
      </c>
      <c r="T4085" s="37">
        <v>2079</v>
      </c>
      <c r="U4085" s="37" t="s">
        <v>2093</v>
      </c>
      <c r="V4085" s="69" t="s">
        <v>272</v>
      </c>
      <c r="W4085" s="89" t="s">
        <v>168</v>
      </c>
      <c r="X4085" s="106" t="s">
        <v>296</v>
      </c>
      <c r="Y4085" s="107" t="s">
        <v>12</v>
      </c>
      <c r="Z4085" s="67">
        <f>IF(База_КР_КК[[#This Row],[Таб.номер резервиста]]="-","-",IF(OR(База_КР_КК[[#This Row],[Уровень КК]]=2,База_КР_КК[[#This Row],[Уровень КК]]=3),IF(COUNTIFS($U$2:$U4085,$U4085,$F$2:$F4085,$F4085)=1,1,0),IF(COUNTIFS($U$2:$U4085,$U4085,$L$2:$L4085,$L4085)=1,1,0)))</f>
        <v>1</v>
      </c>
      <c r="AA40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5" s="106"/>
      <c r="AC4085" s="51"/>
      <c r="AD4085" s="106" t="s">
        <v>15</v>
      </c>
      <c r="AE4085" s="38" t="s">
        <v>398</v>
      </c>
    </row>
    <row r="4086" spans="1:31" ht="18" customHeight="1" x14ac:dyDescent="0.25">
      <c r="A40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6" s="79">
        <v>4</v>
      </c>
      <c r="C4086" s="23">
        <v>44515</v>
      </c>
      <c r="D4086" s="67">
        <f>IF(COUNTIF($G$2:$G4086,$G4086)=1,1,0)</f>
        <v>0</v>
      </c>
      <c r="E4086" s="67" t="str">
        <f>IFERROR(VLOOKUP(База_КР_КК[[#This Row],[ИД штатной должности (S)]],'уровень защищенности'!$B$7:$F$1095,5,0),"не защищена")</f>
        <v>средний</v>
      </c>
      <c r="F4086" s="68">
        <v>500490</v>
      </c>
      <c r="G4086" s="74" t="s">
        <v>3193</v>
      </c>
      <c r="H4086" s="181">
        <f>INDEX('Списки данных'!$D$2:$D$1048576,MATCH(База_КР_КК[[#This Row],[Структурное подразделение]],'Списки данных'!$C$2:$C$1048576,0))</f>
        <v>48</v>
      </c>
      <c r="I4086" s="80" t="s">
        <v>168</v>
      </c>
      <c r="J4086" s="80" t="s">
        <v>264</v>
      </c>
      <c r="K4086" s="80" t="s">
        <v>21</v>
      </c>
      <c r="L4086" s="82" t="s">
        <v>192</v>
      </c>
      <c r="M4086" s="68">
        <v>7</v>
      </c>
      <c r="N4086" s="181" t="str">
        <f t="shared" si="64"/>
        <v>нет</v>
      </c>
      <c r="O4086" s="23"/>
      <c r="P4086" s="23"/>
      <c r="Q4086" s="106"/>
      <c r="R4086" s="37">
        <v>1009</v>
      </c>
      <c r="S4086" s="39" t="s">
        <v>1418</v>
      </c>
      <c r="T4086" s="37">
        <v>2080</v>
      </c>
      <c r="U4086" s="37" t="s">
        <v>1582</v>
      </c>
      <c r="V4086" s="69" t="s">
        <v>272</v>
      </c>
      <c r="W4086" s="89" t="s">
        <v>168</v>
      </c>
      <c r="X4086" s="106" t="s">
        <v>296</v>
      </c>
      <c r="Y4086" s="107" t="s">
        <v>12</v>
      </c>
      <c r="Z4086" s="67">
        <f>IF(База_КР_КК[[#This Row],[Таб.номер резервиста]]="-","-",IF(OR(База_КР_КК[[#This Row],[Уровень КК]]=2,База_КР_КК[[#This Row],[Уровень КК]]=3),IF(COUNTIFS($U$2:$U4086,$U4086,$F$2:$F4086,$F4086)=1,1,0),IF(COUNTIFS($U$2:$U4086,$U4086,$L$2:$L4086,$L4086)=1,1,0)))</f>
        <v>0</v>
      </c>
      <c r="AA40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6" s="106"/>
      <c r="AC4086" s="51"/>
      <c r="AD4086" s="106" t="s">
        <v>15</v>
      </c>
      <c r="AE4086" s="38" t="s">
        <v>398</v>
      </c>
    </row>
    <row r="4087" spans="1:31" ht="18" customHeight="1" x14ac:dyDescent="0.25">
      <c r="A40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7" s="79">
        <v>4</v>
      </c>
      <c r="C4087" s="23">
        <v>44515</v>
      </c>
      <c r="D4087" s="67">
        <f>IF(COUNTIF($G$2:$G4087,$G4087)=1,1,0)</f>
        <v>0</v>
      </c>
      <c r="E4087" s="67" t="str">
        <f>IFERROR(VLOOKUP(База_КР_КК[[#This Row],[ИД штатной должности (S)]],'уровень защищенности'!$B$7:$F$1095,5,0),"не защищена")</f>
        <v>средний</v>
      </c>
      <c r="F4087" s="68">
        <v>500490</v>
      </c>
      <c r="G4087" s="74" t="s">
        <v>3193</v>
      </c>
      <c r="H4087" s="181">
        <f>INDEX('Списки данных'!$D$2:$D$1048576,MATCH(База_КР_КК[[#This Row],[Структурное подразделение]],'Списки данных'!$C$2:$C$1048576,0))</f>
        <v>48</v>
      </c>
      <c r="I4087" s="80" t="s">
        <v>168</v>
      </c>
      <c r="J4087" s="80" t="s">
        <v>264</v>
      </c>
      <c r="K4087" s="80" t="s">
        <v>21</v>
      </c>
      <c r="L4087" s="82" t="s">
        <v>192</v>
      </c>
      <c r="M4087" s="68">
        <v>7</v>
      </c>
      <c r="N4087" s="181" t="str">
        <f t="shared" si="64"/>
        <v>нет</v>
      </c>
      <c r="O4087" s="23"/>
      <c r="P4087" s="23"/>
      <c r="Q4087" s="106"/>
      <c r="R4087" s="37">
        <v>1009</v>
      </c>
      <c r="S4087" s="39" t="s">
        <v>1418</v>
      </c>
      <c r="T4087" s="37">
        <v>2081</v>
      </c>
      <c r="U4087" s="37" t="s">
        <v>1956</v>
      </c>
      <c r="V4087" s="69" t="s">
        <v>272</v>
      </c>
      <c r="W4087" s="89" t="s">
        <v>168</v>
      </c>
      <c r="X4087" s="106" t="s">
        <v>296</v>
      </c>
      <c r="Y4087" s="107" t="s">
        <v>12</v>
      </c>
      <c r="Z4087" s="67">
        <f>IF(База_КР_КК[[#This Row],[Таб.номер резервиста]]="-","-",IF(OR(База_КР_КК[[#This Row],[Уровень КК]]=2,База_КР_КК[[#This Row],[Уровень КК]]=3),IF(COUNTIFS($U$2:$U4087,$U4087,$F$2:$F4087,$F4087)=1,1,0),IF(COUNTIFS($U$2:$U4087,$U4087,$L$2:$L4087,$L4087)=1,1,0)))</f>
        <v>0</v>
      </c>
      <c r="AA40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7" s="106"/>
      <c r="AC4087" s="51"/>
      <c r="AD4087" s="106" t="s">
        <v>15</v>
      </c>
      <c r="AE4087" s="38" t="s">
        <v>398</v>
      </c>
    </row>
    <row r="4088" spans="1:31" ht="18" customHeight="1" x14ac:dyDescent="0.25">
      <c r="A40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8" s="79">
        <v>4</v>
      </c>
      <c r="C4088" s="23">
        <v>44515</v>
      </c>
      <c r="D4088" s="67">
        <f>IF(COUNTIF($G$2:$G4088,$G4088)=1,1,0)</f>
        <v>0</v>
      </c>
      <c r="E4088" s="67" t="str">
        <f>IFERROR(VLOOKUP(База_КР_КК[[#This Row],[ИД штатной должности (S)]],'уровень защищенности'!$B$7:$F$1095,5,0),"не защищена")</f>
        <v>средний</v>
      </c>
      <c r="F4088" s="68">
        <v>500490</v>
      </c>
      <c r="G4088" s="74" t="s">
        <v>3193</v>
      </c>
      <c r="H4088" s="181">
        <f>INDEX('Списки данных'!$D$2:$D$1048576,MATCH(База_КР_КК[[#This Row],[Структурное подразделение]],'Списки данных'!$C$2:$C$1048576,0))</f>
        <v>48</v>
      </c>
      <c r="I4088" s="80" t="s">
        <v>168</v>
      </c>
      <c r="J4088" s="80" t="s">
        <v>264</v>
      </c>
      <c r="K4088" s="80" t="s">
        <v>21</v>
      </c>
      <c r="L4088" s="82" t="s">
        <v>192</v>
      </c>
      <c r="M4088" s="68">
        <v>7</v>
      </c>
      <c r="N4088" s="181" t="str">
        <f t="shared" si="64"/>
        <v>нет</v>
      </c>
      <c r="O4088" s="23"/>
      <c r="P4088" s="23"/>
      <c r="Q4088" s="106"/>
      <c r="R4088" s="37">
        <v>1009</v>
      </c>
      <c r="S4088" s="39" t="s">
        <v>1418</v>
      </c>
      <c r="T4088" s="37">
        <v>2082</v>
      </c>
      <c r="U4088" s="37" t="s">
        <v>1928</v>
      </c>
      <c r="V4088" s="69" t="s">
        <v>272</v>
      </c>
      <c r="W4088" s="89" t="s">
        <v>168</v>
      </c>
      <c r="X4088" s="106" t="s">
        <v>297</v>
      </c>
      <c r="Y4088" s="107" t="s">
        <v>12</v>
      </c>
      <c r="Z4088" s="67">
        <f>IF(База_КР_КК[[#This Row],[Таб.номер резервиста]]="-","-",IF(OR(База_КР_КК[[#This Row],[Уровень КК]]=2,База_КР_КК[[#This Row],[Уровень КК]]=3),IF(COUNTIFS($U$2:$U4088,$U4088,$F$2:$F4088,$F4088)=1,1,0),IF(COUNTIFS($U$2:$U4088,$U4088,$L$2:$L4088,$L4088)=1,1,0)))</f>
        <v>0</v>
      </c>
      <c r="AA40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8" s="106"/>
      <c r="AC4088" s="51"/>
      <c r="AD4088" s="106" t="s">
        <v>15</v>
      </c>
      <c r="AE4088" s="38" t="s">
        <v>398</v>
      </c>
    </row>
    <row r="4089" spans="1:31" ht="18" customHeight="1" x14ac:dyDescent="0.25">
      <c r="A40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89" s="79">
        <v>4</v>
      </c>
      <c r="C4089" s="23">
        <v>44515</v>
      </c>
      <c r="D4089" s="67">
        <f>IF(COUNTIF($G$2:$G4089,$G4089)=1,1,0)</f>
        <v>0</v>
      </c>
      <c r="E4089" s="67" t="str">
        <f>IFERROR(VLOOKUP(База_КР_КК[[#This Row],[ИД штатной должности (S)]],'уровень защищенности'!$B$7:$F$1095,5,0),"не защищена")</f>
        <v>средний</v>
      </c>
      <c r="F4089" s="68">
        <v>500490</v>
      </c>
      <c r="G4089" s="74" t="s">
        <v>3193</v>
      </c>
      <c r="H4089" s="181">
        <f>INDEX('Списки данных'!$D$2:$D$1048576,MATCH(База_КР_КК[[#This Row],[Структурное подразделение]],'Списки данных'!$C$2:$C$1048576,0))</f>
        <v>48</v>
      </c>
      <c r="I4089" s="80" t="s">
        <v>168</v>
      </c>
      <c r="J4089" s="80" t="s">
        <v>264</v>
      </c>
      <c r="K4089" s="80" t="s">
        <v>21</v>
      </c>
      <c r="L4089" s="82" t="s">
        <v>192</v>
      </c>
      <c r="M4089" s="68">
        <v>7</v>
      </c>
      <c r="N4089" s="181" t="str">
        <f t="shared" si="64"/>
        <v>нет</v>
      </c>
      <c r="O4089" s="23"/>
      <c r="P4089" s="23"/>
      <c r="Q4089" s="106"/>
      <c r="R4089" s="37">
        <v>1009</v>
      </c>
      <c r="S4089" s="39" t="s">
        <v>1418</v>
      </c>
      <c r="T4089" s="37">
        <v>2083</v>
      </c>
      <c r="U4089" s="37" t="s">
        <v>1949</v>
      </c>
      <c r="V4089" s="69" t="s">
        <v>272</v>
      </c>
      <c r="W4089" s="89" t="s">
        <v>168</v>
      </c>
      <c r="X4089" s="106" t="s">
        <v>296</v>
      </c>
      <c r="Y4089" s="107" t="s">
        <v>12</v>
      </c>
      <c r="Z4089" s="67">
        <f>IF(База_КР_КК[[#This Row],[Таб.номер резервиста]]="-","-",IF(OR(База_КР_КК[[#This Row],[Уровень КК]]=2,База_КР_КК[[#This Row],[Уровень КК]]=3),IF(COUNTIFS($U$2:$U4089,$U4089,$F$2:$F4089,$F4089)=1,1,0),IF(COUNTIFS($U$2:$U4089,$U4089,$L$2:$L4089,$L4089)=1,1,0)))</f>
        <v>0</v>
      </c>
      <c r="AA40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89" s="106"/>
      <c r="AC4089" s="51"/>
      <c r="AD4089" s="106" t="s">
        <v>15</v>
      </c>
      <c r="AE4089" s="38" t="s">
        <v>398</v>
      </c>
    </row>
    <row r="4090" spans="1:31" ht="18" customHeight="1" x14ac:dyDescent="0.25">
      <c r="A40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0" s="79">
        <v>4</v>
      </c>
      <c r="C4090" s="23">
        <v>44515</v>
      </c>
      <c r="D4090" s="67">
        <f>IF(COUNTIF($G$2:$G4090,$G4090)=1,1,0)</f>
        <v>1</v>
      </c>
      <c r="E4090" s="67" t="str">
        <f>IFERROR(VLOOKUP(База_КР_КК[[#This Row],[ИД штатной должности (S)]],'уровень защищенности'!$B$7:$F$1095,5,0),"не защищена")</f>
        <v>средний</v>
      </c>
      <c r="F4090" s="68">
        <v>500491</v>
      </c>
      <c r="G4090" s="74" t="s">
        <v>3194</v>
      </c>
      <c r="H4090" s="181">
        <f>INDEX('Списки данных'!$D$2:$D$1048576,MATCH(База_КР_КК[[#This Row],[Структурное подразделение]],'Списки данных'!$C$2:$C$1048576,0))</f>
        <v>48</v>
      </c>
      <c r="I4090" s="80" t="s">
        <v>168</v>
      </c>
      <c r="J4090" s="80" t="s">
        <v>264</v>
      </c>
      <c r="K4090" s="80" t="s">
        <v>265</v>
      </c>
      <c r="L4090" s="30" t="s">
        <v>198</v>
      </c>
      <c r="M4090" s="68">
        <v>6</v>
      </c>
      <c r="N4090" s="181" t="str">
        <f t="shared" si="64"/>
        <v>нет</v>
      </c>
      <c r="O4090" s="23"/>
      <c r="P4090" s="23"/>
      <c r="Q4090" s="106"/>
      <c r="R4090" s="37">
        <v>1010</v>
      </c>
      <c r="S4090" s="39" t="s">
        <v>1419</v>
      </c>
      <c r="T4090" s="37">
        <v>1013</v>
      </c>
      <c r="U4090" s="37" t="s">
        <v>1422</v>
      </c>
      <c r="V4090" s="89" t="s">
        <v>192</v>
      </c>
      <c r="W4090" s="89" t="s">
        <v>168</v>
      </c>
      <c r="X4090" s="106" t="s">
        <v>297</v>
      </c>
      <c r="Y4090" s="107" t="s">
        <v>12</v>
      </c>
      <c r="Z4090" s="67">
        <f>IF(База_КР_КК[[#This Row],[Таб.номер резервиста]]="-","-",IF(OR(База_КР_КК[[#This Row],[Уровень КК]]=2,База_КР_КК[[#This Row],[Уровень КК]]=3),IF(COUNTIFS($U$2:$U4090,$U4090,$F$2:$F4090,$F4090)=1,1,0),IF(COUNTIFS($U$2:$U4090,$U4090,$L$2:$L4090,$L4090)=1,1,0)))</f>
        <v>1</v>
      </c>
      <c r="AA40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0" s="106"/>
      <c r="AC4090" s="51"/>
      <c r="AD4090" s="106" t="s">
        <v>13</v>
      </c>
      <c r="AE4090" s="38" t="s">
        <v>389</v>
      </c>
    </row>
    <row r="4091" spans="1:31" ht="18" customHeight="1" x14ac:dyDescent="0.25">
      <c r="A40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1" s="79">
        <v>4</v>
      </c>
      <c r="C4091" s="23">
        <v>44515</v>
      </c>
      <c r="D4091" s="67">
        <f>IF(COUNTIF($G$2:$G4091,$G4091)=1,1,0)</f>
        <v>0</v>
      </c>
      <c r="E4091" s="67" t="str">
        <f>IFERROR(VLOOKUP(База_КР_КК[[#This Row],[ИД штатной должности (S)]],'уровень защищенности'!$B$7:$F$1095,5,0),"не защищена")</f>
        <v>средний</v>
      </c>
      <c r="F4091" s="68">
        <v>500491</v>
      </c>
      <c r="G4091" s="74" t="s">
        <v>3194</v>
      </c>
      <c r="H4091" s="181">
        <f>INDEX('Списки данных'!$D$2:$D$1048576,MATCH(База_КР_КК[[#This Row],[Структурное подразделение]],'Списки данных'!$C$2:$C$1048576,0))</f>
        <v>48</v>
      </c>
      <c r="I4091" s="80" t="s">
        <v>168</v>
      </c>
      <c r="J4091" s="80" t="s">
        <v>264</v>
      </c>
      <c r="K4091" s="80" t="s">
        <v>265</v>
      </c>
      <c r="L4091" s="30" t="s">
        <v>198</v>
      </c>
      <c r="M4091" s="68">
        <v>6</v>
      </c>
      <c r="N4091" s="181" t="str">
        <f t="shared" si="64"/>
        <v>нет</v>
      </c>
      <c r="O4091" s="23"/>
      <c r="P4091" s="23"/>
      <c r="Q4091" s="106"/>
      <c r="R4091" s="37">
        <v>1010</v>
      </c>
      <c r="S4091" s="39" t="s">
        <v>1419</v>
      </c>
      <c r="T4091" s="37">
        <v>1012</v>
      </c>
      <c r="U4091" s="37" t="s">
        <v>1421</v>
      </c>
      <c r="V4091" s="69" t="s">
        <v>192</v>
      </c>
      <c r="W4091" s="89" t="s">
        <v>168</v>
      </c>
      <c r="X4091" s="106" t="s">
        <v>296</v>
      </c>
      <c r="Y4091" s="107" t="s">
        <v>12</v>
      </c>
      <c r="Z4091" s="67">
        <f>IF(База_КР_КК[[#This Row],[Таб.номер резервиста]]="-","-",IF(OR(База_КР_КК[[#This Row],[Уровень КК]]=2,База_КР_КК[[#This Row],[Уровень КК]]=3),IF(COUNTIFS($U$2:$U4091,$U4091,$F$2:$F4091,$F4091)=1,1,0),IF(COUNTIFS($U$2:$U4091,$U4091,$L$2:$L4091,$L4091)=1,1,0)))</f>
        <v>1</v>
      </c>
      <c r="AA40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1" s="106"/>
      <c r="AC4091" s="51"/>
      <c r="AD4091" s="106" t="s">
        <v>15</v>
      </c>
      <c r="AE4091" s="38" t="s">
        <v>398</v>
      </c>
    </row>
    <row r="4092" spans="1:31" ht="18" customHeight="1" x14ac:dyDescent="0.25">
      <c r="A40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2" s="79">
        <v>4</v>
      </c>
      <c r="C4092" s="23">
        <v>44515</v>
      </c>
      <c r="D4092" s="67">
        <f>IF(COUNTIF($G$2:$G4092,$G4092)=1,1,0)</f>
        <v>0</v>
      </c>
      <c r="E4092" s="67" t="str">
        <f>IFERROR(VLOOKUP(База_КР_КК[[#This Row],[ИД штатной должности (S)]],'уровень защищенности'!$B$7:$F$1095,5,0),"не защищена")</f>
        <v>средний</v>
      </c>
      <c r="F4092" s="68">
        <v>500491</v>
      </c>
      <c r="G4092" s="74" t="s">
        <v>3194</v>
      </c>
      <c r="H4092" s="181">
        <f>INDEX('Списки данных'!$D$2:$D$1048576,MATCH(База_КР_КК[[#This Row],[Структурное подразделение]],'Списки данных'!$C$2:$C$1048576,0))</f>
        <v>48</v>
      </c>
      <c r="I4092" s="80" t="s">
        <v>168</v>
      </c>
      <c r="J4092" s="80" t="s">
        <v>264</v>
      </c>
      <c r="K4092" s="80" t="s">
        <v>265</v>
      </c>
      <c r="L4092" s="30" t="s">
        <v>198</v>
      </c>
      <c r="M4092" s="68">
        <v>6</v>
      </c>
      <c r="N4092" s="181" t="str">
        <f t="shared" si="64"/>
        <v>нет</v>
      </c>
      <c r="O4092" s="23"/>
      <c r="P4092" s="23"/>
      <c r="Q4092" s="106"/>
      <c r="R4092" s="37">
        <v>1010</v>
      </c>
      <c r="S4092" s="39" t="s">
        <v>1419</v>
      </c>
      <c r="T4092" s="37">
        <v>2084</v>
      </c>
      <c r="U4092" s="37" t="s">
        <v>2134</v>
      </c>
      <c r="V4092" s="69" t="s">
        <v>272</v>
      </c>
      <c r="W4092" s="89" t="s">
        <v>168</v>
      </c>
      <c r="X4092" s="106" t="s">
        <v>296</v>
      </c>
      <c r="Y4092" s="107" t="s">
        <v>12</v>
      </c>
      <c r="Z4092" s="67">
        <f>IF(База_КР_КК[[#This Row],[Таб.номер резервиста]]="-","-",IF(OR(База_КР_КК[[#This Row],[Уровень КК]]=2,База_КР_КК[[#This Row],[Уровень КК]]=3),IF(COUNTIFS($U$2:$U4092,$U4092,$F$2:$F4092,$F4092)=1,1,0),IF(COUNTIFS($U$2:$U4092,$U4092,$L$2:$L4092,$L4092)=1,1,0)))</f>
        <v>1</v>
      </c>
      <c r="AA40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2" s="106"/>
      <c r="AC4092" s="51"/>
      <c r="AD4092" s="106" t="s">
        <v>15</v>
      </c>
      <c r="AE4092" s="38" t="s">
        <v>398</v>
      </c>
    </row>
    <row r="4093" spans="1:31" ht="18" customHeight="1" x14ac:dyDescent="0.25">
      <c r="A40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3" s="79">
        <v>4</v>
      </c>
      <c r="C4093" s="23">
        <v>44895</v>
      </c>
      <c r="D4093" s="67">
        <f>IF(COUNTIF($G$2:$G4093,$G4093)=1,1,0)</f>
        <v>0</v>
      </c>
      <c r="E4093" s="67" t="str">
        <f>IFERROR(VLOOKUP(База_КР_КК[[#This Row],[ИД штатной должности (S)]],'уровень защищенности'!$B$7:$F$1095,5,0),"не защищена")</f>
        <v>средний</v>
      </c>
      <c r="F4093" s="68">
        <v>500491</v>
      </c>
      <c r="G4093" s="74" t="s">
        <v>3194</v>
      </c>
      <c r="H4093" s="181">
        <f>INDEX('Списки данных'!$D$2:$D$1048576,MATCH(База_КР_КК[[#This Row],[Структурное подразделение]],'Списки данных'!$C$2:$C$1048576,0))</f>
        <v>48</v>
      </c>
      <c r="I4093" s="80" t="s">
        <v>168</v>
      </c>
      <c r="J4093" s="80" t="s">
        <v>264</v>
      </c>
      <c r="K4093" s="80" t="s">
        <v>265</v>
      </c>
      <c r="L4093" s="30" t="s">
        <v>198</v>
      </c>
      <c r="M4093" s="68">
        <v>6</v>
      </c>
      <c r="N4093" s="181" t="str">
        <f t="shared" ref="N4093:N4156" si="65">IF(ISBLANK(O4093),"нет","да")</f>
        <v>нет</v>
      </c>
      <c r="O4093" s="23"/>
      <c r="P4093" s="23"/>
      <c r="Q4093" s="106"/>
      <c r="R4093" s="37">
        <v>1010</v>
      </c>
      <c r="S4093" s="39" t="s">
        <v>1419</v>
      </c>
      <c r="T4093" s="37">
        <v>2079</v>
      </c>
      <c r="U4093" s="38" t="s">
        <v>2093</v>
      </c>
      <c r="V4093" s="69" t="s">
        <v>272</v>
      </c>
      <c r="W4093" s="89" t="s">
        <v>168</v>
      </c>
      <c r="X4093" s="106" t="s">
        <v>296</v>
      </c>
      <c r="Y4093" s="107" t="s">
        <v>12</v>
      </c>
      <c r="Z4093" s="67">
        <f>IF(База_КР_КК[[#This Row],[Таб.номер резервиста]]="-","-",IF(OR(База_КР_КК[[#This Row],[Уровень КК]]=2,База_КР_КК[[#This Row],[Уровень КК]]=3),IF(COUNTIFS($U$2:$U4093,$U4093,$F$2:$F4093,$F4093)=1,1,0),IF(COUNTIFS($U$2:$U4093,$U4093,$L$2:$L4093,$L4093)=1,1,0)))</f>
        <v>1</v>
      </c>
      <c r="AA40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3" s="106"/>
      <c r="AC4093" s="51"/>
      <c r="AD4093" s="106" t="s">
        <v>15</v>
      </c>
      <c r="AE4093" s="38" t="s">
        <v>397</v>
      </c>
    </row>
    <row r="4094" spans="1:31" ht="18" customHeight="1" x14ac:dyDescent="0.25">
      <c r="A40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4" s="79">
        <v>4</v>
      </c>
      <c r="C4094" s="23">
        <v>44515</v>
      </c>
      <c r="D4094" s="67">
        <f>IF(COUNTIF($G$2:$G4094,$G4094)=1,1,0)</f>
        <v>1</v>
      </c>
      <c r="E4094" s="67" t="str">
        <f>IFERROR(VLOOKUP(База_КР_КК[[#This Row],[ИД штатной должности (S)]],'уровень защищенности'!$B$7:$F$1095,5,0),"не защищена")</f>
        <v>средний</v>
      </c>
      <c r="F4094" s="68">
        <v>500492</v>
      </c>
      <c r="G4094" s="74" t="s">
        <v>3195</v>
      </c>
      <c r="H4094" s="181">
        <f>INDEX('Списки данных'!$D$2:$D$1048576,MATCH(База_КР_КК[[#This Row],[Структурное подразделение]],'Списки данных'!$C$2:$C$1048576,0))</f>
        <v>48</v>
      </c>
      <c r="I4094" s="80" t="s">
        <v>168</v>
      </c>
      <c r="J4094" s="80" t="s">
        <v>264</v>
      </c>
      <c r="K4094" s="80" t="s">
        <v>265</v>
      </c>
      <c r="L4094" s="30" t="s">
        <v>191</v>
      </c>
      <c r="M4094" s="68">
        <v>7</v>
      </c>
      <c r="N4094" s="181" t="str">
        <f t="shared" si="65"/>
        <v>нет</v>
      </c>
      <c r="O4094" s="23"/>
      <c r="P4094" s="23"/>
      <c r="Q4094" s="106"/>
      <c r="R4094" s="37">
        <v>1011</v>
      </c>
      <c r="S4094" s="39" t="s">
        <v>1420</v>
      </c>
      <c r="T4094" s="37">
        <v>2079</v>
      </c>
      <c r="U4094" s="37" t="s">
        <v>2093</v>
      </c>
      <c r="V4094" s="69" t="s">
        <v>272</v>
      </c>
      <c r="W4094" s="89" t="s">
        <v>168</v>
      </c>
      <c r="X4094" s="106" t="s">
        <v>296</v>
      </c>
      <c r="Y4094" s="107" t="s">
        <v>12</v>
      </c>
      <c r="Z4094" s="67">
        <f>IF(База_КР_КК[[#This Row],[Таб.номер резервиста]]="-","-",IF(OR(База_КР_КК[[#This Row],[Уровень КК]]=2,База_КР_КК[[#This Row],[Уровень КК]]=3),IF(COUNTIFS($U$2:$U4094,$U4094,$F$2:$F4094,$F4094)=1,1,0),IF(COUNTIFS($U$2:$U4094,$U4094,$L$2:$L4094,$L4094)=1,1,0)))</f>
        <v>0</v>
      </c>
      <c r="AA40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4" s="106"/>
      <c r="AC4094" s="51"/>
      <c r="AD4094" s="106" t="s">
        <v>15</v>
      </c>
      <c r="AE4094" s="38" t="s">
        <v>398</v>
      </c>
    </row>
    <row r="4095" spans="1:31" ht="18" customHeight="1" x14ac:dyDescent="0.25">
      <c r="A40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5" s="79">
        <v>4</v>
      </c>
      <c r="C4095" s="23">
        <v>44515</v>
      </c>
      <c r="D4095" s="67">
        <f>IF(COUNTIF($G$2:$G4095,$G4095)=1,1,0)</f>
        <v>0</v>
      </c>
      <c r="E4095" s="67" t="str">
        <f>IFERROR(VLOOKUP(База_КР_КК[[#This Row],[ИД штатной должности (S)]],'уровень защищенности'!$B$7:$F$1095,5,0),"не защищена")</f>
        <v>средний</v>
      </c>
      <c r="F4095" s="68">
        <v>500492</v>
      </c>
      <c r="G4095" s="74" t="s">
        <v>3195</v>
      </c>
      <c r="H4095" s="181">
        <f>INDEX('Списки данных'!$D$2:$D$1048576,MATCH(База_КР_КК[[#This Row],[Структурное подразделение]],'Списки данных'!$C$2:$C$1048576,0))</f>
        <v>48</v>
      </c>
      <c r="I4095" s="80" t="s">
        <v>168</v>
      </c>
      <c r="J4095" s="80" t="s">
        <v>264</v>
      </c>
      <c r="K4095" s="80" t="s">
        <v>265</v>
      </c>
      <c r="L4095" s="30" t="s">
        <v>191</v>
      </c>
      <c r="M4095" s="68">
        <v>7</v>
      </c>
      <c r="N4095" s="181" t="str">
        <f t="shared" si="65"/>
        <v>нет</v>
      </c>
      <c r="O4095" s="23"/>
      <c r="P4095" s="23"/>
      <c r="Q4095" s="106"/>
      <c r="R4095" s="37">
        <v>1011</v>
      </c>
      <c r="S4095" s="39" t="s">
        <v>1420</v>
      </c>
      <c r="T4095" s="37">
        <v>2080</v>
      </c>
      <c r="U4095" s="37" t="s">
        <v>1582</v>
      </c>
      <c r="V4095" s="69" t="s">
        <v>272</v>
      </c>
      <c r="W4095" s="89" t="s">
        <v>168</v>
      </c>
      <c r="X4095" s="106" t="s">
        <v>296</v>
      </c>
      <c r="Y4095" s="107" t="s">
        <v>12</v>
      </c>
      <c r="Z4095" s="67">
        <f>IF(База_КР_КК[[#This Row],[Таб.номер резервиста]]="-","-",IF(OR(База_КР_КК[[#This Row],[Уровень КК]]=2,База_КР_КК[[#This Row],[Уровень КК]]=3),IF(COUNTIFS($U$2:$U4095,$U4095,$F$2:$F4095,$F4095)=1,1,0),IF(COUNTIFS($U$2:$U4095,$U4095,$L$2:$L4095,$L4095)=1,1,0)))</f>
        <v>0</v>
      </c>
      <c r="AA40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5" s="106"/>
      <c r="AC4095" s="51"/>
      <c r="AD4095" s="106" t="s">
        <v>15</v>
      </c>
      <c r="AE4095" s="38" t="s">
        <v>398</v>
      </c>
    </row>
    <row r="4096" spans="1:31" ht="18" customHeight="1" x14ac:dyDescent="0.25">
      <c r="A40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6" s="79">
        <v>4</v>
      </c>
      <c r="C4096" s="23">
        <v>44515</v>
      </c>
      <c r="D4096" s="67">
        <f>IF(COUNTIF($G$2:$G4096,$G4096)=1,1,0)</f>
        <v>0</v>
      </c>
      <c r="E4096" s="67" t="str">
        <f>IFERROR(VLOOKUP(База_КР_КК[[#This Row],[ИД штатной должности (S)]],'уровень защищенности'!$B$7:$F$1095,5,0),"не защищена")</f>
        <v>средний</v>
      </c>
      <c r="F4096" s="68">
        <v>500492</v>
      </c>
      <c r="G4096" s="74" t="s">
        <v>3195</v>
      </c>
      <c r="H4096" s="181">
        <f>INDEX('Списки данных'!$D$2:$D$1048576,MATCH(База_КР_КК[[#This Row],[Структурное подразделение]],'Списки данных'!$C$2:$C$1048576,0))</f>
        <v>48</v>
      </c>
      <c r="I4096" s="80" t="s">
        <v>168</v>
      </c>
      <c r="J4096" s="80" t="s">
        <v>264</v>
      </c>
      <c r="K4096" s="80" t="s">
        <v>265</v>
      </c>
      <c r="L4096" s="30" t="s">
        <v>191</v>
      </c>
      <c r="M4096" s="68">
        <v>7</v>
      </c>
      <c r="N4096" s="181" t="str">
        <f t="shared" si="65"/>
        <v>нет</v>
      </c>
      <c r="O4096" s="23"/>
      <c r="P4096" s="23"/>
      <c r="Q4096" s="106"/>
      <c r="R4096" s="37">
        <v>1011</v>
      </c>
      <c r="S4096" s="39" t="s">
        <v>1420</v>
      </c>
      <c r="T4096" s="37">
        <v>2081</v>
      </c>
      <c r="U4096" s="37" t="s">
        <v>1956</v>
      </c>
      <c r="V4096" s="69" t="s">
        <v>272</v>
      </c>
      <c r="W4096" s="89" t="s">
        <v>168</v>
      </c>
      <c r="X4096" s="106" t="s">
        <v>296</v>
      </c>
      <c r="Y4096" s="107" t="s">
        <v>12</v>
      </c>
      <c r="Z4096" s="67">
        <f>IF(База_КР_КК[[#This Row],[Таб.номер резервиста]]="-","-",IF(OR(База_КР_КК[[#This Row],[Уровень КК]]=2,База_КР_КК[[#This Row],[Уровень КК]]=3),IF(COUNTIFS($U$2:$U4096,$U4096,$F$2:$F4096,$F4096)=1,1,0),IF(COUNTIFS($U$2:$U4096,$U4096,$L$2:$L4096,$L4096)=1,1,0)))</f>
        <v>0</v>
      </c>
      <c r="AA40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6" s="106"/>
      <c r="AC4096" s="51"/>
      <c r="AD4096" s="106" t="s">
        <v>15</v>
      </c>
      <c r="AE4096" s="38" t="s">
        <v>398</v>
      </c>
    </row>
    <row r="4097" spans="1:31" ht="18" customHeight="1" x14ac:dyDescent="0.25">
      <c r="A40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7" s="79">
        <v>4</v>
      </c>
      <c r="C4097" s="23">
        <v>44515</v>
      </c>
      <c r="D4097" s="67">
        <f>IF(COUNTIF($G$2:$G4097,$G4097)=1,1,0)</f>
        <v>0</v>
      </c>
      <c r="E4097" s="67" t="str">
        <f>IFERROR(VLOOKUP(База_КР_КК[[#This Row],[ИД штатной должности (S)]],'уровень защищенности'!$B$7:$F$1095,5,0),"не защищена")</f>
        <v>средний</v>
      </c>
      <c r="F4097" s="68">
        <v>500492</v>
      </c>
      <c r="G4097" s="74" t="s">
        <v>3195</v>
      </c>
      <c r="H4097" s="181">
        <f>INDEX('Списки данных'!$D$2:$D$1048576,MATCH(База_КР_КК[[#This Row],[Структурное подразделение]],'Списки данных'!$C$2:$C$1048576,0))</f>
        <v>48</v>
      </c>
      <c r="I4097" s="80" t="s">
        <v>168</v>
      </c>
      <c r="J4097" s="80" t="s">
        <v>264</v>
      </c>
      <c r="K4097" s="80" t="s">
        <v>265</v>
      </c>
      <c r="L4097" s="30" t="s">
        <v>191</v>
      </c>
      <c r="M4097" s="68">
        <v>7</v>
      </c>
      <c r="N4097" s="181" t="str">
        <f t="shared" si="65"/>
        <v>нет</v>
      </c>
      <c r="O4097" s="23"/>
      <c r="P4097" s="23"/>
      <c r="Q4097" s="106"/>
      <c r="R4097" s="37">
        <v>1011</v>
      </c>
      <c r="S4097" s="39" t="s">
        <v>1420</v>
      </c>
      <c r="T4097" s="37">
        <v>2082</v>
      </c>
      <c r="U4097" s="37" t="s">
        <v>1928</v>
      </c>
      <c r="V4097" s="69" t="s">
        <v>272</v>
      </c>
      <c r="W4097" s="89" t="s">
        <v>168</v>
      </c>
      <c r="X4097" s="106" t="s">
        <v>297</v>
      </c>
      <c r="Y4097" s="107" t="s">
        <v>12</v>
      </c>
      <c r="Z4097" s="67">
        <f>IF(База_КР_КК[[#This Row],[Таб.номер резервиста]]="-","-",IF(OR(База_КР_КК[[#This Row],[Уровень КК]]=2,База_КР_КК[[#This Row],[Уровень КК]]=3),IF(COUNTIFS($U$2:$U4097,$U4097,$F$2:$F4097,$F4097)=1,1,0),IF(COUNTIFS($U$2:$U4097,$U4097,$L$2:$L4097,$L4097)=1,1,0)))</f>
        <v>1</v>
      </c>
      <c r="AA40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7" s="106"/>
      <c r="AC4097" s="51"/>
      <c r="AD4097" s="106" t="s">
        <v>15</v>
      </c>
      <c r="AE4097" s="38" t="s">
        <v>398</v>
      </c>
    </row>
    <row r="4098" spans="1:31" ht="18" customHeight="1" x14ac:dyDescent="0.25">
      <c r="A40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8" s="79">
        <v>4</v>
      </c>
      <c r="C4098" s="23">
        <v>44515</v>
      </c>
      <c r="D4098" s="67">
        <f>IF(COUNTIF($G$2:$G4098,$G4098)=1,1,0)</f>
        <v>0</v>
      </c>
      <c r="E4098" s="67" t="str">
        <f>IFERROR(VLOOKUP(База_КР_КК[[#This Row],[ИД штатной должности (S)]],'уровень защищенности'!$B$7:$F$1095,5,0),"не защищена")</f>
        <v>средний</v>
      </c>
      <c r="F4098" s="68">
        <v>500492</v>
      </c>
      <c r="G4098" s="74" t="s">
        <v>3195</v>
      </c>
      <c r="H4098" s="181">
        <f>INDEX('Списки данных'!$D$2:$D$1048576,MATCH(База_КР_КК[[#This Row],[Структурное подразделение]],'Списки данных'!$C$2:$C$1048576,0))</f>
        <v>48</v>
      </c>
      <c r="I4098" s="80" t="s">
        <v>168</v>
      </c>
      <c r="J4098" s="80" t="s">
        <v>264</v>
      </c>
      <c r="K4098" s="80" t="s">
        <v>265</v>
      </c>
      <c r="L4098" s="30" t="s">
        <v>191</v>
      </c>
      <c r="M4098" s="68">
        <v>7</v>
      </c>
      <c r="N4098" s="181" t="str">
        <f t="shared" si="65"/>
        <v>нет</v>
      </c>
      <c r="O4098" s="23"/>
      <c r="P4098" s="23"/>
      <c r="Q4098" s="106"/>
      <c r="R4098" s="37">
        <v>1011</v>
      </c>
      <c r="S4098" s="39" t="s">
        <v>1420</v>
      </c>
      <c r="T4098" s="37">
        <v>2083</v>
      </c>
      <c r="U4098" s="37" t="s">
        <v>1949</v>
      </c>
      <c r="V4098" s="69" t="s">
        <v>272</v>
      </c>
      <c r="W4098" s="89" t="s">
        <v>168</v>
      </c>
      <c r="X4098" s="106" t="s">
        <v>296</v>
      </c>
      <c r="Y4098" s="107" t="s">
        <v>12</v>
      </c>
      <c r="Z4098" s="67">
        <f>IF(База_КР_КК[[#This Row],[Таб.номер резервиста]]="-","-",IF(OR(База_КР_КК[[#This Row],[Уровень КК]]=2,База_КР_КК[[#This Row],[Уровень КК]]=3),IF(COUNTIFS($U$2:$U4098,$U4098,$F$2:$F4098,$F4098)=1,1,0),IF(COUNTIFS($U$2:$U4098,$U4098,$L$2:$L4098,$L4098)=1,1,0)))</f>
        <v>0</v>
      </c>
      <c r="AA40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8" s="106"/>
      <c r="AC4098" s="51"/>
      <c r="AD4098" s="106" t="s">
        <v>15</v>
      </c>
      <c r="AE4098" s="38" t="s">
        <v>398</v>
      </c>
    </row>
    <row r="4099" spans="1:31" ht="18" customHeight="1" x14ac:dyDescent="0.25">
      <c r="A40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099" s="79">
        <v>4</v>
      </c>
      <c r="C4099" s="23">
        <v>44515</v>
      </c>
      <c r="D4099" s="67">
        <f>IF(COUNTIF($G$2:$G4099,$G4099)=1,1,0)</f>
        <v>1</v>
      </c>
      <c r="E4099" s="67" t="str">
        <f>IFERROR(VLOOKUP(База_КР_КК[[#This Row],[ИД штатной должности (S)]],'уровень защищенности'!$B$7:$F$1095,5,0),"не защищена")</f>
        <v>средний</v>
      </c>
      <c r="F4099" s="68">
        <v>500492</v>
      </c>
      <c r="G4099" s="74" t="s">
        <v>3196</v>
      </c>
      <c r="H4099" s="181">
        <f>INDEX('Списки данных'!$D$2:$D$1048576,MATCH(База_КР_КК[[#This Row],[Структурное подразделение]],'Списки данных'!$C$2:$C$1048576,0))</f>
        <v>48</v>
      </c>
      <c r="I4099" s="80" t="s">
        <v>168</v>
      </c>
      <c r="J4099" s="80" t="s">
        <v>264</v>
      </c>
      <c r="K4099" s="80" t="s">
        <v>265</v>
      </c>
      <c r="L4099" s="30" t="s">
        <v>191</v>
      </c>
      <c r="M4099" s="68">
        <v>7</v>
      </c>
      <c r="N4099" s="181" t="str">
        <f t="shared" si="65"/>
        <v>да</v>
      </c>
      <c r="O4099" s="23">
        <v>44775</v>
      </c>
      <c r="P4099" s="23">
        <v>44784</v>
      </c>
      <c r="Q4099" s="106" t="s">
        <v>57</v>
      </c>
      <c r="R4099" s="37">
        <v>1012</v>
      </c>
      <c r="S4099" s="39" t="s">
        <v>1421</v>
      </c>
      <c r="T4099" s="37">
        <v>2079</v>
      </c>
      <c r="U4099" s="37" t="s">
        <v>2093</v>
      </c>
      <c r="V4099" s="69" t="s">
        <v>272</v>
      </c>
      <c r="W4099" s="89" t="s">
        <v>168</v>
      </c>
      <c r="X4099" s="106" t="s">
        <v>296</v>
      </c>
      <c r="Y4099" s="107" t="s">
        <v>12</v>
      </c>
      <c r="Z4099" s="67">
        <f>IF(База_КР_КК[[#This Row],[Таб.номер резервиста]]="-","-",IF(OR(База_КР_КК[[#This Row],[Уровень КК]]=2,База_КР_КК[[#This Row],[Уровень КК]]=3),IF(COUNTIFS($U$2:$U4099,$U4099,$F$2:$F4099,$F4099)=1,1,0),IF(COUNTIFS($U$2:$U4099,$U4099,$L$2:$L4099,$L4099)=1,1,0)))</f>
        <v>0</v>
      </c>
      <c r="AA40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099" s="106"/>
      <c r="AC4099" s="51"/>
      <c r="AD4099" s="106" t="s">
        <v>15</v>
      </c>
      <c r="AE4099" s="38" t="s">
        <v>398</v>
      </c>
    </row>
    <row r="4100" spans="1:31" ht="18" customHeight="1" x14ac:dyDescent="0.25">
      <c r="A41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0" s="79">
        <v>4</v>
      </c>
      <c r="C4100" s="23">
        <v>44515</v>
      </c>
      <c r="D4100" s="67">
        <f>IF(COUNTIF($G$2:$G4100,$G4100)=1,1,0)</f>
        <v>0</v>
      </c>
      <c r="E4100" s="67" t="str">
        <f>IFERROR(VLOOKUP(База_КР_КК[[#This Row],[ИД штатной должности (S)]],'уровень защищенности'!$B$7:$F$1095,5,0),"не защищена")</f>
        <v>средний</v>
      </c>
      <c r="F4100" s="68">
        <v>500492</v>
      </c>
      <c r="G4100" s="74" t="s">
        <v>3196</v>
      </c>
      <c r="H4100" s="181">
        <f>INDEX('Списки данных'!$D$2:$D$1048576,MATCH(База_КР_КК[[#This Row],[Структурное подразделение]],'Списки данных'!$C$2:$C$1048576,0))</f>
        <v>48</v>
      </c>
      <c r="I4100" s="80" t="s">
        <v>168</v>
      </c>
      <c r="J4100" s="80" t="s">
        <v>264</v>
      </c>
      <c r="K4100" s="80" t="s">
        <v>265</v>
      </c>
      <c r="L4100" s="30" t="s">
        <v>191</v>
      </c>
      <c r="M4100" s="68">
        <v>7</v>
      </c>
      <c r="N4100" s="181" t="str">
        <f t="shared" si="65"/>
        <v>да</v>
      </c>
      <c r="O4100" s="23">
        <v>44775</v>
      </c>
      <c r="P4100" s="23">
        <v>44784</v>
      </c>
      <c r="Q4100" s="106" t="s">
        <v>57</v>
      </c>
      <c r="R4100" s="37">
        <v>1012</v>
      </c>
      <c r="S4100" s="39" t="s">
        <v>1421</v>
      </c>
      <c r="T4100" s="37">
        <v>2080</v>
      </c>
      <c r="U4100" s="37" t="s">
        <v>1582</v>
      </c>
      <c r="V4100" s="69" t="s">
        <v>272</v>
      </c>
      <c r="W4100" s="89" t="s">
        <v>168</v>
      </c>
      <c r="X4100" s="106" t="s">
        <v>296</v>
      </c>
      <c r="Y4100" s="107" t="s">
        <v>12</v>
      </c>
      <c r="Z4100" s="67">
        <f>IF(База_КР_КК[[#This Row],[Таб.номер резервиста]]="-","-",IF(OR(База_КР_КК[[#This Row],[Уровень КК]]=2,База_КР_КК[[#This Row],[Уровень КК]]=3),IF(COUNTIFS($U$2:$U4100,$U4100,$F$2:$F4100,$F4100)=1,1,0),IF(COUNTIFS($U$2:$U4100,$U4100,$L$2:$L4100,$L4100)=1,1,0)))</f>
        <v>0</v>
      </c>
      <c r="AA41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0" s="106"/>
      <c r="AC4100" s="51"/>
      <c r="AD4100" s="106" t="s">
        <v>15</v>
      </c>
      <c r="AE4100" s="38" t="s">
        <v>398</v>
      </c>
    </row>
    <row r="4101" spans="1:31" ht="18" customHeight="1" x14ac:dyDescent="0.25">
      <c r="A41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1" s="79">
        <v>4</v>
      </c>
      <c r="C4101" s="23">
        <v>44515</v>
      </c>
      <c r="D4101" s="67">
        <f>IF(COUNTIF($G$2:$G4101,$G4101)=1,1,0)</f>
        <v>0</v>
      </c>
      <c r="E4101" s="67" t="str">
        <f>IFERROR(VLOOKUP(База_КР_КК[[#This Row],[ИД штатной должности (S)]],'уровень защищенности'!$B$7:$F$1095,5,0),"не защищена")</f>
        <v>средний</v>
      </c>
      <c r="F4101" s="68">
        <v>500492</v>
      </c>
      <c r="G4101" s="74" t="s">
        <v>3196</v>
      </c>
      <c r="H4101" s="181">
        <f>INDEX('Списки данных'!$D$2:$D$1048576,MATCH(База_КР_КК[[#This Row],[Структурное подразделение]],'Списки данных'!$C$2:$C$1048576,0))</f>
        <v>48</v>
      </c>
      <c r="I4101" s="80" t="s">
        <v>168</v>
      </c>
      <c r="J4101" s="80" t="s">
        <v>264</v>
      </c>
      <c r="K4101" s="80" t="s">
        <v>265</v>
      </c>
      <c r="L4101" s="30" t="s">
        <v>191</v>
      </c>
      <c r="M4101" s="68">
        <v>7</v>
      </c>
      <c r="N4101" s="181" t="str">
        <f t="shared" si="65"/>
        <v>да</v>
      </c>
      <c r="O4101" s="23">
        <v>44775</v>
      </c>
      <c r="P4101" s="23">
        <v>44784</v>
      </c>
      <c r="Q4101" s="106" t="s">
        <v>57</v>
      </c>
      <c r="R4101" s="37">
        <v>1012</v>
      </c>
      <c r="S4101" s="39" t="s">
        <v>1421</v>
      </c>
      <c r="T4101" s="37">
        <v>2081</v>
      </c>
      <c r="U4101" s="37" t="s">
        <v>1956</v>
      </c>
      <c r="V4101" s="69" t="s">
        <v>272</v>
      </c>
      <c r="W4101" s="89" t="s">
        <v>168</v>
      </c>
      <c r="X4101" s="106" t="s">
        <v>296</v>
      </c>
      <c r="Y4101" s="107" t="s">
        <v>12</v>
      </c>
      <c r="Z4101" s="67">
        <f>IF(База_КР_КК[[#This Row],[Таб.номер резервиста]]="-","-",IF(OR(База_КР_КК[[#This Row],[Уровень КК]]=2,База_КР_КК[[#This Row],[Уровень КК]]=3),IF(COUNTIFS($U$2:$U4101,$U4101,$F$2:$F4101,$F4101)=1,1,0),IF(COUNTIFS($U$2:$U4101,$U4101,$L$2:$L4101,$L4101)=1,1,0)))</f>
        <v>0</v>
      </c>
      <c r="AA41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1" s="106"/>
      <c r="AC4101" s="51"/>
      <c r="AD4101" s="106" t="s">
        <v>15</v>
      </c>
      <c r="AE4101" s="38" t="s">
        <v>398</v>
      </c>
    </row>
    <row r="4102" spans="1:31" ht="18" customHeight="1" x14ac:dyDescent="0.25">
      <c r="A41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2" s="79">
        <v>4</v>
      </c>
      <c r="C4102" s="23">
        <v>44515</v>
      </c>
      <c r="D4102" s="67">
        <f>IF(COUNTIF($G$2:$G4102,$G4102)=1,1,0)</f>
        <v>0</v>
      </c>
      <c r="E4102" s="67" t="str">
        <f>IFERROR(VLOOKUP(База_КР_КК[[#This Row],[ИД штатной должности (S)]],'уровень защищенности'!$B$7:$F$1095,5,0),"не защищена")</f>
        <v>средний</v>
      </c>
      <c r="F4102" s="68">
        <v>500492</v>
      </c>
      <c r="G4102" s="74" t="s">
        <v>3196</v>
      </c>
      <c r="H4102" s="181">
        <f>INDEX('Списки данных'!$D$2:$D$1048576,MATCH(База_КР_КК[[#This Row],[Структурное подразделение]],'Списки данных'!$C$2:$C$1048576,0))</f>
        <v>48</v>
      </c>
      <c r="I4102" s="80" t="s">
        <v>168</v>
      </c>
      <c r="J4102" s="80" t="s">
        <v>264</v>
      </c>
      <c r="K4102" s="80" t="s">
        <v>265</v>
      </c>
      <c r="L4102" s="30" t="s">
        <v>191</v>
      </c>
      <c r="M4102" s="68">
        <v>7</v>
      </c>
      <c r="N4102" s="181" t="str">
        <f t="shared" si="65"/>
        <v>да</v>
      </c>
      <c r="O4102" s="23">
        <v>44775</v>
      </c>
      <c r="P4102" s="23">
        <v>44784</v>
      </c>
      <c r="Q4102" s="106" t="s">
        <v>57</v>
      </c>
      <c r="R4102" s="37">
        <v>1012</v>
      </c>
      <c r="S4102" s="39" t="s">
        <v>1421</v>
      </c>
      <c r="T4102" s="37">
        <v>2082</v>
      </c>
      <c r="U4102" s="37" t="s">
        <v>1928</v>
      </c>
      <c r="V4102" s="69" t="s">
        <v>272</v>
      </c>
      <c r="W4102" s="89" t="s">
        <v>168</v>
      </c>
      <c r="X4102" s="106" t="s">
        <v>297</v>
      </c>
      <c r="Y4102" s="107" t="s">
        <v>12</v>
      </c>
      <c r="Z4102" s="67">
        <f>IF(База_КР_КК[[#This Row],[Таб.номер резервиста]]="-","-",IF(OR(База_КР_КК[[#This Row],[Уровень КК]]=2,База_КР_КК[[#This Row],[Уровень КК]]=3),IF(COUNTIFS($U$2:$U4102,$U4102,$F$2:$F4102,$F4102)=1,1,0),IF(COUNTIFS($U$2:$U4102,$U4102,$L$2:$L4102,$L4102)=1,1,0)))</f>
        <v>0</v>
      </c>
      <c r="AA41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2" s="106"/>
      <c r="AC4102" s="51"/>
      <c r="AD4102" s="106" t="s">
        <v>15</v>
      </c>
      <c r="AE4102" s="38" t="s">
        <v>398</v>
      </c>
    </row>
    <row r="4103" spans="1:31" ht="18" customHeight="1" x14ac:dyDescent="0.25">
      <c r="A41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3" s="79">
        <v>4</v>
      </c>
      <c r="C4103" s="23">
        <v>44515</v>
      </c>
      <c r="D4103" s="67">
        <f>IF(COUNTIF($G$2:$G4103,$G4103)=1,1,0)</f>
        <v>0</v>
      </c>
      <c r="E4103" s="67" t="str">
        <f>IFERROR(VLOOKUP(База_КР_КК[[#This Row],[ИД штатной должности (S)]],'уровень защищенности'!$B$7:$F$1095,5,0),"не защищена")</f>
        <v>средний</v>
      </c>
      <c r="F4103" s="68">
        <v>500492</v>
      </c>
      <c r="G4103" s="74" t="s">
        <v>3196</v>
      </c>
      <c r="H4103" s="181">
        <f>INDEX('Списки данных'!$D$2:$D$1048576,MATCH(База_КР_КК[[#This Row],[Структурное подразделение]],'Списки данных'!$C$2:$C$1048576,0))</f>
        <v>48</v>
      </c>
      <c r="I4103" s="80" t="s">
        <v>168</v>
      </c>
      <c r="J4103" s="80" t="s">
        <v>264</v>
      </c>
      <c r="K4103" s="80" t="s">
        <v>265</v>
      </c>
      <c r="L4103" s="30" t="s">
        <v>191</v>
      </c>
      <c r="M4103" s="68">
        <v>7</v>
      </c>
      <c r="N4103" s="181" t="str">
        <f t="shared" si="65"/>
        <v>да</v>
      </c>
      <c r="O4103" s="23">
        <v>44775</v>
      </c>
      <c r="P4103" s="23">
        <v>44784</v>
      </c>
      <c r="Q4103" s="106" t="s">
        <v>57</v>
      </c>
      <c r="R4103" s="37">
        <v>1012</v>
      </c>
      <c r="S4103" s="39" t="s">
        <v>1421</v>
      </c>
      <c r="T4103" s="37">
        <v>2083</v>
      </c>
      <c r="U4103" s="37" t="s">
        <v>1949</v>
      </c>
      <c r="V4103" s="69" t="s">
        <v>272</v>
      </c>
      <c r="W4103" s="89" t="s">
        <v>168</v>
      </c>
      <c r="X4103" s="106" t="s">
        <v>296</v>
      </c>
      <c r="Y4103" s="107" t="s">
        <v>12</v>
      </c>
      <c r="Z4103" s="67">
        <f>IF(База_КР_КК[[#This Row],[Таб.номер резервиста]]="-","-",IF(OR(База_КР_КК[[#This Row],[Уровень КК]]=2,База_КР_КК[[#This Row],[Уровень КК]]=3),IF(COUNTIFS($U$2:$U4103,$U4103,$F$2:$F4103,$F4103)=1,1,0),IF(COUNTIFS($U$2:$U4103,$U4103,$L$2:$L4103,$L4103)=1,1,0)))</f>
        <v>0</v>
      </c>
      <c r="AA41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3" s="106"/>
      <c r="AC4103" s="51"/>
      <c r="AD4103" s="106" t="s">
        <v>15</v>
      </c>
      <c r="AE4103" s="38" t="s">
        <v>398</v>
      </c>
    </row>
    <row r="4104" spans="1:31" ht="18" customHeight="1" x14ac:dyDescent="0.25">
      <c r="A41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4" s="79">
        <v>4</v>
      </c>
      <c r="C4104" s="23">
        <v>44515</v>
      </c>
      <c r="D4104" s="67">
        <f>IF(COUNTIF($G$2:$G4104,$G4104)=1,1,0)</f>
        <v>1</v>
      </c>
      <c r="E4104" s="67" t="str">
        <f>IFERROR(VLOOKUP(База_КР_КК[[#This Row],[ИД штатной должности (S)]],'уровень защищенности'!$B$7:$F$1095,5,0),"не защищена")</f>
        <v>средний</v>
      </c>
      <c r="F4104" s="68">
        <v>500492</v>
      </c>
      <c r="G4104" s="74" t="s">
        <v>3197</v>
      </c>
      <c r="H4104" s="181">
        <f>INDEX('Списки данных'!$D$2:$D$1048576,MATCH(База_КР_КК[[#This Row],[Структурное подразделение]],'Списки данных'!$C$2:$C$1048576,0))</f>
        <v>48</v>
      </c>
      <c r="I4104" s="80" t="s">
        <v>168</v>
      </c>
      <c r="J4104" s="80" t="s">
        <v>264</v>
      </c>
      <c r="K4104" s="80" t="s">
        <v>265</v>
      </c>
      <c r="L4104" s="30" t="s">
        <v>191</v>
      </c>
      <c r="M4104" s="68">
        <v>7</v>
      </c>
      <c r="N4104" s="181" t="str">
        <f t="shared" si="65"/>
        <v>нет</v>
      </c>
      <c r="O4104" s="23"/>
      <c r="P4104" s="23"/>
      <c r="Q4104" s="106"/>
      <c r="R4104" s="37">
        <v>1013</v>
      </c>
      <c r="S4104" s="39" t="s">
        <v>1422</v>
      </c>
      <c r="T4104" s="37">
        <v>2079</v>
      </c>
      <c r="U4104" s="37" t="s">
        <v>2093</v>
      </c>
      <c r="V4104" s="69" t="s">
        <v>272</v>
      </c>
      <c r="W4104" s="89" t="s">
        <v>168</v>
      </c>
      <c r="X4104" s="106" t="s">
        <v>296</v>
      </c>
      <c r="Y4104" s="107" t="s">
        <v>12</v>
      </c>
      <c r="Z4104" s="67">
        <f>IF(База_КР_КК[[#This Row],[Таб.номер резервиста]]="-","-",IF(OR(База_КР_КК[[#This Row],[Уровень КК]]=2,База_КР_КК[[#This Row],[Уровень КК]]=3),IF(COUNTIFS($U$2:$U4104,$U4104,$F$2:$F4104,$F4104)=1,1,0),IF(COUNTIFS($U$2:$U4104,$U4104,$L$2:$L4104,$L4104)=1,1,0)))</f>
        <v>0</v>
      </c>
      <c r="AA41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4" s="106"/>
      <c r="AC4104" s="51"/>
      <c r="AD4104" s="106" t="s">
        <v>15</v>
      </c>
      <c r="AE4104" s="38" t="s">
        <v>398</v>
      </c>
    </row>
    <row r="4105" spans="1:31" ht="18" customHeight="1" x14ac:dyDescent="0.25">
      <c r="A41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5" s="79">
        <v>4</v>
      </c>
      <c r="C4105" s="23">
        <v>44515</v>
      </c>
      <c r="D4105" s="67">
        <f>IF(COUNTIF($G$2:$G4105,$G4105)=1,1,0)</f>
        <v>0</v>
      </c>
      <c r="E4105" s="67" t="str">
        <f>IFERROR(VLOOKUP(База_КР_КК[[#This Row],[ИД штатной должности (S)]],'уровень защищенности'!$B$7:$F$1095,5,0),"не защищена")</f>
        <v>средний</v>
      </c>
      <c r="F4105" s="68">
        <v>500492</v>
      </c>
      <c r="G4105" s="74" t="s">
        <v>3197</v>
      </c>
      <c r="H4105" s="181">
        <f>INDEX('Списки данных'!$D$2:$D$1048576,MATCH(База_КР_КК[[#This Row],[Структурное подразделение]],'Списки данных'!$C$2:$C$1048576,0))</f>
        <v>48</v>
      </c>
      <c r="I4105" s="80" t="s">
        <v>168</v>
      </c>
      <c r="J4105" s="80" t="s">
        <v>264</v>
      </c>
      <c r="K4105" s="80" t="s">
        <v>265</v>
      </c>
      <c r="L4105" s="30" t="s">
        <v>191</v>
      </c>
      <c r="M4105" s="68">
        <v>7</v>
      </c>
      <c r="N4105" s="181" t="str">
        <f t="shared" si="65"/>
        <v>нет</v>
      </c>
      <c r="O4105" s="23"/>
      <c r="P4105" s="23"/>
      <c r="Q4105" s="106"/>
      <c r="R4105" s="37">
        <v>1013</v>
      </c>
      <c r="S4105" s="39" t="s">
        <v>1422</v>
      </c>
      <c r="T4105" s="37">
        <v>2080</v>
      </c>
      <c r="U4105" s="37" t="s">
        <v>1582</v>
      </c>
      <c r="V4105" s="69" t="s">
        <v>272</v>
      </c>
      <c r="W4105" s="89" t="s">
        <v>168</v>
      </c>
      <c r="X4105" s="106" t="s">
        <v>296</v>
      </c>
      <c r="Y4105" s="107" t="s">
        <v>12</v>
      </c>
      <c r="Z4105" s="67">
        <f>IF(База_КР_КК[[#This Row],[Таб.номер резервиста]]="-","-",IF(OR(База_КР_КК[[#This Row],[Уровень КК]]=2,База_КР_КК[[#This Row],[Уровень КК]]=3),IF(COUNTIFS($U$2:$U4105,$U4105,$F$2:$F4105,$F4105)=1,1,0),IF(COUNTIFS($U$2:$U4105,$U4105,$L$2:$L4105,$L4105)=1,1,0)))</f>
        <v>0</v>
      </c>
      <c r="AA41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5" s="106"/>
      <c r="AC4105" s="51"/>
      <c r="AD4105" s="106" t="s">
        <v>15</v>
      </c>
      <c r="AE4105" s="38" t="s">
        <v>398</v>
      </c>
    </row>
    <row r="4106" spans="1:31" ht="18" customHeight="1" x14ac:dyDescent="0.25">
      <c r="A41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6" s="79">
        <v>4</v>
      </c>
      <c r="C4106" s="23">
        <v>44515</v>
      </c>
      <c r="D4106" s="67">
        <f>IF(COUNTIF($G$2:$G4106,$G4106)=1,1,0)</f>
        <v>0</v>
      </c>
      <c r="E4106" s="67" t="str">
        <f>IFERROR(VLOOKUP(База_КР_КК[[#This Row],[ИД штатной должности (S)]],'уровень защищенности'!$B$7:$F$1095,5,0),"не защищена")</f>
        <v>средний</v>
      </c>
      <c r="F4106" s="68">
        <v>500492</v>
      </c>
      <c r="G4106" s="74" t="s">
        <v>3197</v>
      </c>
      <c r="H4106" s="181">
        <f>INDEX('Списки данных'!$D$2:$D$1048576,MATCH(База_КР_КК[[#This Row],[Структурное подразделение]],'Списки данных'!$C$2:$C$1048576,0))</f>
        <v>48</v>
      </c>
      <c r="I4106" s="80" t="s">
        <v>168</v>
      </c>
      <c r="J4106" s="80" t="s">
        <v>264</v>
      </c>
      <c r="K4106" s="80" t="s">
        <v>265</v>
      </c>
      <c r="L4106" s="30" t="s">
        <v>191</v>
      </c>
      <c r="M4106" s="68">
        <v>7</v>
      </c>
      <c r="N4106" s="181" t="str">
        <f t="shared" si="65"/>
        <v>нет</v>
      </c>
      <c r="O4106" s="23"/>
      <c r="P4106" s="23"/>
      <c r="Q4106" s="106"/>
      <c r="R4106" s="37">
        <v>1013</v>
      </c>
      <c r="S4106" s="39" t="s">
        <v>1422</v>
      </c>
      <c r="T4106" s="37">
        <v>2081</v>
      </c>
      <c r="U4106" s="37" t="s">
        <v>1956</v>
      </c>
      <c r="V4106" s="69" t="s">
        <v>272</v>
      </c>
      <c r="W4106" s="89" t="s">
        <v>168</v>
      </c>
      <c r="X4106" s="106" t="s">
        <v>296</v>
      </c>
      <c r="Y4106" s="107" t="s">
        <v>12</v>
      </c>
      <c r="Z4106" s="67">
        <f>IF(База_КР_КК[[#This Row],[Таб.номер резервиста]]="-","-",IF(OR(База_КР_КК[[#This Row],[Уровень КК]]=2,База_КР_КК[[#This Row],[Уровень КК]]=3),IF(COUNTIFS($U$2:$U4106,$U4106,$F$2:$F4106,$F4106)=1,1,0),IF(COUNTIFS($U$2:$U4106,$U4106,$L$2:$L4106,$L4106)=1,1,0)))</f>
        <v>0</v>
      </c>
      <c r="AA41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6" s="106"/>
      <c r="AC4106" s="51"/>
      <c r="AD4106" s="106" t="s">
        <v>15</v>
      </c>
      <c r="AE4106" s="38" t="s">
        <v>398</v>
      </c>
    </row>
    <row r="4107" spans="1:31" ht="18" customHeight="1" x14ac:dyDescent="0.25">
      <c r="A41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7" s="79">
        <v>4</v>
      </c>
      <c r="C4107" s="23">
        <v>44515</v>
      </c>
      <c r="D4107" s="67">
        <f>IF(COUNTIF($G$2:$G4107,$G4107)=1,1,0)</f>
        <v>0</v>
      </c>
      <c r="E4107" s="67" t="str">
        <f>IFERROR(VLOOKUP(База_КР_КК[[#This Row],[ИД штатной должности (S)]],'уровень защищенности'!$B$7:$F$1095,5,0),"не защищена")</f>
        <v>средний</v>
      </c>
      <c r="F4107" s="68">
        <v>500492</v>
      </c>
      <c r="G4107" s="74" t="s">
        <v>3197</v>
      </c>
      <c r="H4107" s="181">
        <f>INDEX('Списки данных'!$D$2:$D$1048576,MATCH(База_КР_КК[[#This Row],[Структурное подразделение]],'Списки данных'!$C$2:$C$1048576,0))</f>
        <v>48</v>
      </c>
      <c r="I4107" s="80" t="s">
        <v>168</v>
      </c>
      <c r="J4107" s="80" t="s">
        <v>264</v>
      </c>
      <c r="K4107" s="80" t="s">
        <v>265</v>
      </c>
      <c r="L4107" s="30" t="s">
        <v>191</v>
      </c>
      <c r="M4107" s="68">
        <v>7</v>
      </c>
      <c r="N4107" s="181" t="str">
        <f t="shared" si="65"/>
        <v>нет</v>
      </c>
      <c r="O4107" s="23"/>
      <c r="P4107" s="23"/>
      <c r="Q4107" s="106"/>
      <c r="R4107" s="37">
        <v>1013</v>
      </c>
      <c r="S4107" s="39" t="s">
        <v>1422</v>
      </c>
      <c r="T4107" s="37">
        <v>2082</v>
      </c>
      <c r="U4107" s="37" t="s">
        <v>1928</v>
      </c>
      <c r="V4107" s="69" t="s">
        <v>272</v>
      </c>
      <c r="W4107" s="89" t="s">
        <v>168</v>
      </c>
      <c r="X4107" s="106" t="s">
        <v>297</v>
      </c>
      <c r="Y4107" s="107" t="s">
        <v>12</v>
      </c>
      <c r="Z4107" s="67">
        <f>IF(База_КР_КК[[#This Row],[Таб.номер резервиста]]="-","-",IF(OR(База_КР_КК[[#This Row],[Уровень КК]]=2,База_КР_КК[[#This Row],[Уровень КК]]=3),IF(COUNTIFS($U$2:$U4107,$U4107,$F$2:$F4107,$F4107)=1,1,0),IF(COUNTIFS($U$2:$U4107,$U4107,$L$2:$L4107,$L4107)=1,1,0)))</f>
        <v>0</v>
      </c>
      <c r="AA41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7" s="106"/>
      <c r="AC4107" s="51"/>
      <c r="AD4107" s="106" t="s">
        <v>15</v>
      </c>
      <c r="AE4107" s="38" t="s">
        <v>398</v>
      </c>
    </row>
    <row r="4108" spans="1:31" ht="18" customHeight="1" x14ac:dyDescent="0.25">
      <c r="A41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8" s="79">
        <v>4</v>
      </c>
      <c r="C4108" s="23">
        <v>44515</v>
      </c>
      <c r="D4108" s="67">
        <f>IF(COUNTIF($G$2:$G4108,$G4108)=1,1,0)</f>
        <v>0</v>
      </c>
      <c r="E4108" s="67" t="str">
        <f>IFERROR(VLOOKUP(База_КР_КК[[#This Row],[ИД штатной должности (S)]],'уровень защищенности'!$B$7:$F$1095,5,0),"не защищена")</f>
        <v>средний</v>
      </c>
      <c r="F4108" s="68">
        <v>500492</v>
      </c>
      <c r="G4108" s="74" t="s">
        <v>3197</v>
      </c>
      <c r="H4108" s="181">
        <f>INDEX('Списки данных'!$D$2:$D$1048576,MATCH(База_КР_КК[[#This Row],[Структурное подразделение]],'Списки данных'!$C$2:$C$1048576,0))</f>
        <v>48</v>
      </c>
      <c r="I4108" s="80" t="s">
        <v>168</v>
      </c>
      <c r="J4108" s="80" t="s">
        <v>264</v>
      </c>
      <c r="K4108" s="80" t="s">
        <v>265</v>
      </c>
      <c r="L4108" s="30" t="s">
        <v>191</v>
      </c>
      <c r="M4108" s="68">
        <v>7</v>
      </c>
      <c r="N4108" s="181" t="str">
        <f t="shared" si="65"/>
        <v>нет</v>
      </c>
      <c r="O4108" s="23"/>
      <c r="P4108" s="23"/>
      <c r="Q4108" s="106"/>
      <c r="R4108" s="37">
        <v>1013</v>
      </c>
      <c r="S4108" s="39" t="s">
        <v>1422</v>
      </c>
      <c r="T4108" s="37">
        <v>2083</v>
      </c>
      <c r="U4108" s="37" t="s">
        <v>1949</v>
      </c>
      <c r="V4108" s="69" t="s">
        <v>272</v>
      </c>
      <c r="W4108" s="89" t="s">
        <v>168</v>
      </c>
      <c r="X4108" s="106" t="s">
        <v>296</v>
      </c>
      <c r="Y4108" s="107" t="s">
        <v>12</v>
      </c>
      <c r="Z4108" s="67">
        <f>IF(База_КР_КК[[#This Row],[Таб.номер резервиста]]="-","-",IF(OR(База_КР_КК[[#This Row],[Уровень КК]]=2,База_КР_КК[[#This Row],[Уровень КК]]=3),IF(COUNTIFS($U$2:$U4108,$U4108,$F$2:$F4108,$F4108)=1,1,0),IF(COUNTIFS($U$2:$U4108,$U4108,$L$2:$L4108,$L4108)=1,1,0)))</f>
        <v>0</v>
      </c>
      <c r="AA41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8" s="106"/>
      <c r="AC4108" s="51"/>
      <c r="AD4108" s="106" t="s">
        <v>15</v>
      </c>
      <c r="AE4108" s="38" t="s">
        <v>398</v>
      </c>
    </row>
    <row r="4109" spans="1:31" ht="18" customHeight="1" x14ac:dyDescent="0.25">
      <c r="A41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09" s="79">
        <v>4</v>
      </c>
      <c r="C4109" s="23">
        <v>44515</v>
      </c>
      <c r="D4109" s="67">
        <f>IF(COUNTIF($G$2:$G4109,$G4109)=1,1,0)</f>
        <v>1</v>
      </c>
      <c r="E4109" s="67" t="str">
        <f>IFERROR(VLOOKUP(База_КР_КК[[#This Row],[ИД штатной должности (S)]],'уровень защищенности'!$B$7:$F$1095,5,0),"не защищена")</f>
        <v>средний</v>
      </c>
      <c r="F4109" s="68">
        <v>500492</v>
      </c>
      <c r="G4109" s="74" t="s">
        <v>3198</v>
      </c>
      <c r="H4109" s="181">
        <f>INDEX('Списки данных'!$D$2:$D$1048576,MATCH(База_КР_КК[[#This Row],[Структурное подразделение]],'Списки данных'!$C$2:$C$1048576,0))</f>
        <v>48</v>
      </c>
      <c r="I4109" s="80" t="s">
        <v>168</v>
      </c>
      <c r="J4109" s="80" t="s">
        <v>264</v>
      </c>
      <c r="K4109" s="80" t="s">
        <v>265</v>
      </c>
      <c r="L4109" s="30" t="s">
        <v>191</v>
      </c>
      <c r="M4109" s="68">
        <v>7</v>
      </c>
      <c r="N4109" s="181" t="str">
        <f t="shared" si="65"/>
        <v>нет</v>
      </c>
      <c r="O4109" s="23"/>
      <c r="P4109" s="23"/>
      <c r="Q4109" s="106"/>
      <c r="R4109" s="37">
        <v>1014</v>
      </c>
      <c r="S4109" s="39" t="s">
        <v>1423</v>
      </c>
      <c r="T4109" s="37">
        <v>2079</v>
      </c>
      <c r="U4109" s="37" t="s">
        <v>2093</v>
      </c>
      <c r="V4109" s="69" t="s">
        <v>272</v>
      </c>
      <c r="W4109" s="89" t="s">
        <v>168</v>
      </c>
      <c r="X4109" s="106" t="s">
        <v>296</v>
      </c>
      <c r="Y4109" s="107" t="s">
        <v>12</v>
      </c>
      <c r="Z4109" s="67">
        <f>IF(База_КР_КК[[#This Row],[Таб.номер резервиста]]="-","-",IF(OR(База_КР_КК[[#This Row],[Уровень КК]]=2,База_КР_КК[[#This Row],[Уровень КК]]=3),IF(COUNTIFS($U$2:$U4109,$U4109,$F$2:$F4109,$F4109)=1,1,0),IF(COUNTIFS($U$2:$U4109,$U4109,$L$2:$L4109,$L4109)=1,1,0)))</f>
        <v>0</v>
      </c>
      <c r="AA41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09" s="106"/>
      <c r="AC4109" s="51"/>
      <c r="AD4109" s="106" t="s">
        <v>15</v>
      </c>
      <c r="AE4109" s="38" t="s">
        <v>398</v>
      </c>
    </row>
    <row r="4110" spans="1:31" ht="18" customHeight="1" x14ac:dyDescent="0.25">
      <c r="A41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0" s="79">
        <v>4</v>
      </c>
      <c r="C4110" s="23">
        <v>44515</v>
      </c>
      <c r="D4110" s="67">
        <f>IF(COUNTIF($G$2:$G4110,$G4110)=1,1,0)</f>
        <v>0</v>
      </c>
      <c r="E4110" s="67" t="str">
        <f>IFERROR(VLOOKUP(База_КР_КК[[#This Row],[ИД штатной должности (S)]],'уровень защищенности'!$B$7:$F$1095,5,0),"не защищена")</f>
        <v>средний</v>
      </c>
      <c r="F4110" s="68">
        <v>500492</v>
      </c>
      <c r="G4110" s="74" t="s">
        <v>3198</v>
      </c>
      <c r="H4110" s="181">
        <f>INDEX('Списки данных'!$D$2:$D$1048576,MATCH(База_КР_КК[[#This Row],[Структурное подразделение]],'Списки данных'!$C$2:$C$1048576,0))</f>
        <v>48</v>
      </c>
      <c r="I4110" s="80" t="s">
        <v>168</v>
      </c>
      <c r="J4110" s="80" t="s">
        <v>264</v>
      </c>
      <c r="K4110" s="80" t="s">
        <v>265</v>
      </c>
      <c r="L4110" s="30" t="s">
        <v>191</v>
      </c>
      <c r="M4110" s="68">
        <v>7</v>
      </c>
      <c r="N4110" s="181" t="str">
        <f t="shared" si="65"/>
        <v>нет</v>
      </c>
      <c r="O4110" s="23"/>
      <c r="P4110" s="23"/>
      <c r="Q4110" s="106"/>
      <c r="R4110" s="37">
        <v>1014</v>
      </c>
      <c r="S4110" s="39" t="s">
        <v>1423</v>
      </c>
      <c r="T4110" s="37">
        <v>2080</v>
      </c>
      <c r="U4110" s="37" t="s">
        <v>1582</v>
      </c>
      <c r="V4110" s="69" t="s">
        <v>272</v>
      </c>
      <c r="W4110" s="89" t="s">
        <v>168</v>
      </c>
      <c r="X4110" s="106" t="s">
        <v>296</v>
      </c>
      <c r="Y4110" s="107" t="s">
        <v>12</v>
      </c>
      <c r="Z4110" s="67">
        <f>IF(База_КР_КК[[#This Row],[Таб.номер резервиста]]="-","-",IF(OR(База_КР_КК[[#This Row],[Уровень КК]]=2,База_КР_КК[[#This Row],[Уровень КК]]=3),IF(COUNTIFS($U$2:$U4110,$U4110,$F$2:$F4110,$F4110)=1,1,0),IF(COUNTIFS($U$2:$U4110,$U4110,$L$2:$L4110,$L4110)=1,1,0)))</f>
        <v>0</v>
      </c>
      <c r="AA41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0" s="106"/>
      <c r="AC4110" s="51"/>
      <c r="AD4110" s="106" t="s">
        <v>15</v>
      </c>
      <c r="AE4110" s="38" t="s">
        <v>398</v>
      </c>
    </row>
    <row r="4111" spans="1:31" ht="18" customHeight="1" x14ac:dyDescent="0.25">
      <c r="A41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1" s="79">
        <v>4</v>
      </c>
      <c r="C4111" s="23">
        <v>44515</v>
      </c>
      <c r="D4111" s="67">
        <f>IF(COUNTIF($G$2:$G4111,$G4111)=1,1,0)</f>
        <v>0</v>
      </c>
      <c r="E4111" s="67" t="str">
        <f>IFERROR(VLOOKUP(База_КР_КК[[#This Row],[ИД штатной должности (S)]],'уровень защищенности'!$B$7:$F$1095,5,0),"не защищена")</f>
        <v>средний</v>
      </c>
      <c r="F4111" s="68">
        <v>500492</v>
      </c>
      <c r="G4111" s="74" t="s">
        <v>3198</v>
      </c>
      <c r="H4111" s="181">
        <f>INDEX('Списки данных'!$D$2:$D$1048576,MATCH(База_КР_КК[[#This Row],[Структурное подразделение]],'Списки данных'!$C$2:$C$1048576,0))</f>
        <v>48</v>
      </c>
      <c r="I4111" s="80" t="s">
        <v>168</v>
      </c>
      <c r="J4111" s="80" t="s">
        <v>264</v>
      </c>
      <c r="K4111" s="80" t="s">
        <v>265</v>
      </c>
      <c r="L4111" s="30" t="s">
        <v>191</v>
      </c>
      <c r="M4111" s="68">
        <v>7</v>
      </c>
      <c r="N4111" s="181" t="str">
        <f t="shared" si="65"/>
        <v>нет</v>
      </c>
      <c r="O4111" s="23"/>
      <c r="P4111" s="23"/>
      <c r="Q4111" s="106"/>
      <c r="R4111" s="37">
        <v>1014</v>
      </c>
      <c r="S4111" s="39" t="s">
        <v>1423</v>
      </c>
      <c r="T4111" s="37">
        <v>2081</v>
      </c>
      <c r="U4111" s="37" t="s">
        <v>1956</v>
      </c>
      <c r="V4111" s="69" t="s">
        <v>272</v>
      </c>
      <c r="W4111" s="89" t="s">
        <v>168</v>
      </c>
      <c r="X4111" s="106" t="s">
        <v>296</v>
      </c>
      <c r="Y4111" s="107" t="s">
        <v>12</v>
      </c>
      <c r="Z4111" s="67">
        <f>IF(База_КР_КК[[#This Row],[Таб.номер резервиста]]="-","-",IF(OR(База_КР_КК[[#This Row],[Уровень КК]]=2,База_КР_КК[[#This Row],[Уровень КК]]=3),IF(COUNTIFS($U$2:$U4111,$U4111,$F$2:$F4111,$F4111)=1,1,0),IF(COUNTIFS($U$2:$U4111,$U4111,$L$2:$L4111,$L4111)=1,1,0)))</f>
        <v>0</v>
      </c>
      <c r="AA41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1" s="106"/>
      <c r="AC4111" s="51"/>
      <c r="AD4111" s="106" t="s">
        <v>15</v>
      </c>
      <c r="AE4111" s="38" t="s">
        <v>398</v>
      </c>
    </row>
    <row r="4112" spans="1:31" ht="18" customHeight="1" x14ac:dyDescent="0.25">
      <c r="A41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2" s="79">
        <v>4</v>
      </c>
      <c r="C4112" s="23">
        <v>44515</v>
      </c>
      <c r="D4112" s="67">
        <f>IF(COUNTIF($G$2:$G4112,$G4112)=1,1,0)</f>
        <v>0</v>
      </c>
      <c r="E4112" s="67" t="str">
        <f>IFERROR(VLOOKUP(База_КР_КК[[#This Row],[ИД штатной должности (S)]],'уровень защищенности'!$B$7:$F$1095,5,0),"не защищена")</f>
        <v>средний</v>
      </c>
      <c r="F4112" s="68">
        <v>500492</v>
      </c>
      <c r="G4112" s="74" t="s">
        <v>3198</v>
      </c>
      <c r="H4112" s="181">
        <f>INDEX('Списки данных'!$D$2:$D$1048576,MATCH(База_КР_КК[[#This Row],[Структурное подразделение]],'Списки данных'!$C$2:$C$1048576,0))</f>
        <v>48</v>
      </c>
      <c r="I4112" s="80" t="s">
        <v>168</v>
      </c>
      <c r="J4112" s="80" t="s">
        <v>264</v>
      </c>
      <c r="K4112" s="80" t="s">
        <v>265</v>
      </c>
      <c r="L4112" s="30" t="s">
        <v>191</v>
      </c>
      <c r="M4112" s="68">
        <v>7</v>
      </c>
      <c r="N4112" s="181" t="str">
        <f t="shared" si="65"/>
        <v>нет</v>
      </c>
      <c r="O4112" s="23"/>
      <c r="P4112" s="23"/>
      <c r="Q4112" s="106"/>
      <c r="R4112" s="37">
        <v>1014</v>
      </c>
      <c r="S4112" s="39" t="s">
        <v>1423</v>
      </c>
      <c r="T4112" s="37">
        <v>2082</v>
      </c>
      <c r="U4112" s="37" t="s">
        <v>1928</v>
      </c>
      <c r="V4112" s="69" t="s">
        <v>272</v>
      </c>
      <c r="W4112" s="89" t="s">
        <v>168</v>
      </c>
      <c r="X4112" s="106" t="s">
        <v>297</v>
      </c>
      <c r="Y4112" s="107" t="s">
        <v>12</v>
      </c>
      <c r="Z4112" s="67">
        <f>IF(База_КР_КК[[#This Row],[Таб.номер резервиста]]="-","-",IF(OR(База_КР_КК[[#This Row],[Уровень КК]]=2,База_КР_КК[[#This Row],[Уровень КК]]=3),IF(COUNTIFS($U$2:$U4112,$U4112,$F$2:$F4112,$F4112)=1,1,0),IF(COUNTIFS($U$2:$U4112,$U4112,$L$2:$L4112,$L4112)=1,1,0)))</f>
        <v>0</v>
      </c>
      <c r="AA41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2" s="106"/>
      <c r="AC4112" s="51"/>
      <c r="AD4112" s="106" t="s">
        <v>15</v>
      </c>
      <c r="AE4112" s="38" t="s">
        <v>398</v>
      </c>
    </row>
    <row r="4113" spans="1:31" ht="18" customHeight="1" x14ac:dyDescent="0.25">
      <c r="A41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3" s="79">
        <v>4</v>
      </c>
      <c r="C4113" s="23">
        <v>44515</v>
      </c>
      <c r="D4113" s="67">
        <f>IF(COUNTIF($G$2:$G4113,$G4113)=1,1,0)</f>
        <v>0</v>
      </c>
      <c r="E4113" s="67" t="str">
        <f>IFERROR(VLOOKUP(База_КР_КК[[#This Row],[ИД штатной должности (S)]],'уровень защищенности'!$B$7:$F$1095,5,0),"не защищена")</f>
        <v>средний</v>
      </c>
      <c r="F4113" s="68">
        <v>500492</v>
      </c>
      <c r="G4113" s="74" t="s">
        <v>3198</v>
      </c>
      <c r="H4113" s="181">
        <f>INDEX('Списки данных'!$D$2:$D$1048576,MATCH(База_КР_КК[[#This Row],[Структурное подразделение]],'Списки данных'!$C$2:$C$1048576,0))</f>
        <v>48</v>
      </c>
      <c r="I4113" s="80" t="s">
        <v>168</v>
      </c>
      <c r="J4113" s="80" t="s">
        <v>264</v>
      </c>
      <c r="K4113" s="80" t="s">
        <v>265</v>
      </c>
      <c r="L4113" s="30" t="s">
        <v>191</v>
      </c>
      <c r="M4113" s="68">
        <v>7</v>
      </c>
      <c r="N4113" s="181" t="str">
        <f t="shared" si="65"/>
        <v>нет</v>
      </c>
      <c r="O4113" s="23"/>
      <c r="P4113" s="23"/>
      <c r="Q4113" s="106"/>
      <c r="R4113" s="37">
        <v>1014</v>
      </c>
      <c r="S4113" s="39" t="s">
        <v>1423</v>
      </c>
      <c r="T4113" s="37">
        <v>2083</v>
      </c>
      <c r="U4113" s="37" t="s">
        <v>1949</v>
      </c>
      <c r="V4113" s="69" t="s">
        <v>272</v>
      </c>
      <c r="W4113" s="89" t="s">
        <v>168</v>
      </c>
      <c r="X4113" s="106" t="s">
        <v>296</v>
      </c>
      <c r="Y4113" s="107" t="s">
        <v>12</v>
      </c>
      <c r="Z4113" s="67">
        <f>IF(База_КР_КК[[#This Row],[Таб.номер резервиста]]="-","-",IF(OR(База_КР_КК[[#This Row],[Уровень КК]]=2,База_КР_КК[[#This Row],[Уровень КК]]=3),IF(COUNTIFS($U$2:$U4113,$U4113,$F$2:$F4113,$F4113)=1,1,0),IF(COUNTIFS($U$2:$U4113,$U4113,$L$2:$L4113,$L4113)=1,1,0)))</f>
        <v>0</v>
      </c>
      <c r="AA41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3" s="106"/>
      <c r="AC4113" s="51"/>
      <c r="AD4113" s="106" t="s">
        <v>15</v>
      </c>
      <c r="AE4113" s="38" t="s">
        <v>398</v>
      </c>
    </row>
    <row r="4114" spans="1:31" ht="18" customHeight="1" x14ac:dyDescent="0.25">
      <c r="A41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4" s="79">
        <v>4</v>
      </c>
      <c r="C4114" s="23">
        <v>44515</v>
      </c>
      <c r="D4114" s="67">
        <f>IF(COUNTIF($G$2:$G4114,$G4114)=1,1,0)</f>
        <v>1</v>
      </c>
      <c r="E4114" s="67" t="str">
        <f>IFERROR(VLOOKUP(База_КР_КК[[#This Row],[ИД штатной должности (S)]],'уровень защищенности'!$B$7:$F$1095,5,0),"не защищена")</f>
        <v>средний</v>
      </c>
      <c r="F4114" s="68">
        <v>500493</v>
      </c>
      <c r="G4114" s="74" t="s">
        <v>3199</v>
      </c>
      <c r="H4114" s="181">
        <f>INDEX('Списки данных'!$D$2:$D$1048576,MATCH(База_КР_КК[[#This Row],[Структурное подразделение]],'Списки данных'!$C$2:$C$1048576,0))</f>
        <v>48</v>
      </c>
      <c r="I4114" s="80" t="s">
        <v>168</v>
      </c>
      <c r="J4114" s="80" t="s">
        <v>264</v>
      </c>
      <c r="K4114" s="80" t="s">
        <v>265</v>
      </c>
      <c r="L4114" s="30" t="s">
        <v>198</v>
      </c>
      <c r="M4114" s="68">
        <v>6</v>
      </c>
      <c r="N4114" s="181" t="str">
        <f t="shared" si="65"/>
        <v>да</v>
      </c>
      <c r="O4114" s="23">
        <v>44879</v>
      </c>
      <c r="P4114" s="23">
        <v>44879</v>
      </c>
      <c r="Q4114" s="106" t="s">
        <v>57</v>
      </c>
      <c r="R4114" s="37">
        <v>1015</v>
      </c>
      <c r="S4114" s="39" t="s">
        <v>1424</v>
      </c>
      <c r="T4114" s="37">
        <v>1013</v>
      </c>
      <c r="U4114" s="37" t="s">
        <v>1422</v>
      </c>
      <c r="V4114" s="89" t="s">
        <v>192</v>
      </c>
      <c r="W4114" s="89" t="s">
        <v>168</v>
      </c>
      <c r="X4114" s="106" t="s">
        <v>297</v>
      </c>
      <c r="Y4114" s="107" t="s">
        <v>12</v>
      </c>
      <c r="Z4114" s="67">
        <f>IF(База_КР_КК[[#This Row],[Таб.номер резервиста]]="-","-",IF(OR(База_КР_КК[[#This Row],[Уровень КК]]=2,База_КР_КК[[#This Row],[Уровень КК]]=3),IF(COUNTIFS($U$2:$U4114,$U4114,$F$2:$F4114,$F4114)=1,1,0),IF(COUNTIFS($U$2:$U4114,$U4114,$L$2:$L4114,$L4114)=1,1,0)))</f>
        <v>0</v>
      </c>
      <c r="AA41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4" s="106"/>
      <c r="AC4114" s="51"/>
      <c r="AD4114" s="106" t="s">
        <v>15</v>
      </c>
      <c r="AE4114" s="38" t="s">
        <v>398</v>
      </c>
    </row>
    <row r="4115" spans="1:31" ht="18" customHeight="1" x14ac:dyDescent="0.25">
      <c r="A41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5" s="79">
        <v>4</v>
      </c>
      <c r="C4115" s="23">
        <v>44515</v>
      </c>
      <c r="D4115" s="67">
        <f>IF(COUNTIF($G$2:$G4115,$G4115)=1,1,0)</f>
        <v>0</v>
      </c>
      <c r="E4115" s="67" t="str">
        <f>IFERROR(VLOOKUP(База_КР_КК[[#This Row],[ИД штатной должности (S)]],'уровень защищенности'!$B$7:$F$1095,5,0),"не защищена")</f>
        <v>средний</v>
      </c>
      <c r="F4115" s="68">
        <v>500493</v>
      </c>
      <c r="G4115" s="74" t="s">
        <v>3199</v>
      </c>
      <c r="H4115" s="181">
        <f>INDEX('Списки данных'!$D$2:$D$1048576,MATCH(База_КР_КК[[#This Row],[Структурное подразделение]],'Списки данных'!$C$2:$C$1048576,0))</f>
        <v>48</v>
      </c>
      <c r="I4115" s="80" t="s">
        <v>168</v>
      </c>
      <c r="J4115" s="80" t="s">
        <v>264</v>
      </c>
      <c r="K4115" s="80" t="s">
        <v>265</v>
      </c>
      <c r="L4115" s="30" t="s">
        <v>198</v>
      </c>
      <c r="M4115" s="68">
        <v>6</v>
      </c>
      <c r="N4115" s="181" t="str">
        <f t="shared" si="65"/>
        <v>да</v>
      </c>
      <c r="O4115" s="23">
        <v>44879</v>
      </c>
      <c r="P4115" s="23">
        <v>44879</v>
      </c>
      <c r="Q4115" s="106" t="s">
        <v>57</v>
      </c>
      <c r="R4115" s="37">
        <v>1015</v>
      </c>
      <c r="S4115" s="39" t="s">
        <v>1424</v>
      </c>
      <c r="T4115" s="37">
        <v>1012</v>
      </c>
      <c r="U4115" s="37" t="s">
        <v>1421</v>
      </c>
      <c r="V4115" s="69" t="s">
        <v>192</v>
      </c>
      <c r="W4115" s="89" t="s">
        <v>168</v>
      </c>
      <c r="X4115" s="106" t="s">
        <v>296</v>
      </c>
      <c r="Y4115" s="107" t="s">
        <v>12</v>
      </c>
      <c r="Z4115" s="67">
        <f>IF(База_КР_КК[[#This Row],[Таб.номер резервиста]]="-","-",IF(OR(База_КР_КК[[#This Row],[Уровень КК]]=2,База_КР_КК[[#This Row],[Уровень КК]]=3),IF(COUNTIFS($U$2:$U4115,$U4115,$F$2:$F4115,$F4115)=1,1,0),IF(COUNTIFS($U$2:$U4115,$U4115,$L$2:$L4115,$L4115)=1,1,0)))</f>
        <v>0</v>
      </c>
      <c r="AA41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5" s="106"/>
      <c r="AC4115" s="51"/>
      <c r="AD4115" s="106" t="s">
        <v>15</v>
      </c>
      <c r="AE4115" s="38" t="s">
        <v>398</v>
      </c>
    </row>
    <row r="4116" spans="1:31" ht="18" customHeight="1" x14ac:dyDescent="0.25">
      <c r="A41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6" s="79">
        <v>4</v>
      </c>
      <c r="C4116" s="23">
        <v>44515</v>
      </c>
      <c r="D4116" s="67">
        <f>IF(COUNTIF($G$2:$G4116,$G4116)=1,1,0)</f>
        <v>0</v>
      </c>
      <c r="E4116" s="67" t="str">
        <f>IFERROR(VLOOKUP(База_КР_КК[[#This Row],[ИД штатной должности (S)]],'уровень защищенности'!$B$7:$F$1095,5,0),"не защищена")</f>
        <v>средний</v>
      </c>
      <c r="F4116" s="68">
        <v>500493</v>
      </c>
      <c r="G4116" s="74" t="s">
        <v>3199</v>
      </c>
      <c r="H4116" s="181">
        <f>INDEX('Списки данных'!$D$2:$D$1048576,MATCH(База_КР_КК[[#This Row],[Структурное подразделение]],'Списки данных'!$C$2:$C$1048576,0))</f>
        <v>48</v>
      </c>
      <c r="I4116" s="80" t="s">
        <v>168</v>
      </c>
      <c r="J4116" s="80" t="s">
        <v>264</v>
      </c>
      <c r="K4116" s="80" t="s">
        <v>265</v>
      </c>
      <c r="L4116" s="30" t="s">
        <v>198</v>
      </c>
      <c r="M4116" s="68">
        <v>6</v>
      </c>
      <c r="N4116" s="181" t="str">
        <f t="shared" si="65"/>
        <v>да</v>
      </c>
      <c r="O4116" s="23">
        <v>44879</v>
      </c>
      <c r="P4116" s="23">
        <v>44879</v>
      </c>
      <c r="Q4116" s="106" t="s">
        <v>57</v>
      </c>
      <c r="R4116" s="37">
        <v>1015</v>
      </c>
      <c r="S4116" s="39" t="s">
        <v>1424</v>
      </c>
      <c r="T4116" s="37">
        <v>2084</v>
      </c>
      <c r="U4116" s="37" t="s">
        <v>2134</v>
      </c>
      <c r="V4116" s="69" t="s">
        <v>272</v>
      </c>
      <c r="W4116" s="89" t="s">
        <v>168</v>
      </c>
      <c r="X4116" s="106" t="s">
        <v>296</v>
      </c>
      <c r="Y4116" s="107" t="s">
        <v>12</v>
      </c>
      <c r="Z4116" s="67">
        <f>IF(База_КР_КК[[#This Row],[Таб.номер резервиста]]="-","-",IF(OR(База_КР_КК[[#This Row],[Уровень КК]]=2,База_КР_КК[[#This Row],[Уровень КК]]=3),IF(COUNTIFS($U$2:$U4116,$U4116,$F$2:$F4116,$F4116)=1,1,0),IF(COUNTIFS($U$2:$U4116,$U4116,$L$2:$L4116,$L4116)=1,1,0)))</f>
        <v>0</v>
      </c>
      <c r="AA41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6" s="106"/>
      <c r="AC4116" s="51"/>
      <c r="AD4116" s="106" t="s">
        <v>15</v>
      </c>
      <c r="AE4116" s="38" t="s">
        <v>398</v>
      </c>
    </row>
    <row r="4117" spans="1:31" ht="18" customHeight="1" x14ac:dyDescent="0.25">
      <c r="A41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7" s="79">
        <v>4</v>
      </c>
      <c r="C4117" s="23">
        <v>44895</v>
      </c>
      <c r="D4117" s="67">
        <f>IF(COUNTIF($G$2:$G4117,$G4117)=1,1,0)</f>
        <v>0</v>
      </c>
      <c r="E4117" s="67" t="str">
        <f>IFERROR(VLOOKUP(База_КР_КК[[#This Row],[ИД штатной должности (S)]],'уровень защищенности'!$B$7:$F$1095,5,0),"не защищена")</f>
        <v>средний</v>
      </c>
      <c r="F4117" s="68">
        <v>500493</v>
      </c>
      <c r="G4117" s="74" t="s">
        <v>3199</v>
      </c>
      <c r="H4117" s="181">
        <f>INDEX('Списки данных'!$D$2:$D$1048576,MATCH(База_КР_КК[[#This Row],[Структурное подразделение]],'Списки данных'!$C$2:$C$1048576,0))</f>
        <v>48</v>
      </c>
      <c r="I4117" s="80" t="s">
        <v>168</v>
      </c>
      <c r="J4117" s="80" t="s">
        <v>264</v>
      </c>
      <c r="K4117" s="80" t="s">
        <v>265</v>
      </c>
      <c r="L4117" s="30" t="s">
        <v>198</v>
      </c>
      <c r="M4117" s="79">
        <v>6</v>
      </c>
      <c r="N4117" s="181" t="str">
        <f t="shared" si="65"/>
        <v>да</v>
      </c>
      <c r="O4117" s="23">
        <v>44879</v>
      </c>
      <c r="P4117" s="23">
        <v>44879</v>
      </c>
      <c r="Q4117" s="106" t="s">
        <v>57</v>
      </c>
      <c r="R4117" s="37">
        <v>1015</v>
      </c>
      <c r="S4117" s="39" t="s">
        <v>1424</v>
      </c>
      <c r="T4117" s="37">
        <v>2085</v>
      </c>
      <c r="U4117" s="38" t="s">
        <v>2040</v>
      </c>
      <c r="V4117" s="69" t="s">
        <v>272</v>
      </c>
      <c r="W4117" s="89" t="s">
        <v>168</v>
      </c>
      <c r="X4117" s="106" t="s">
        <v>296</v>
      </c>
      <c r="Y4117" s="107" t="s">
        <v>12</v>
      </c>
      <c r="Z4117" s="67">
        <f>IF(База_КР_КК[[#This Row],[Таб.номер резервиста]]="-","-",IF(OR(База_КР_КК[[#This Row],[Уровень КК]]=2,База_КР_КК[[#This Row],[Уровень КК]]=3),IF(COUNTIFS($U$2:$U4117,$U4117,$F$2:$F4117,$F4117)=1,1,0),IF(COUNTIFS($U$2:$U4117,$U4117,$L$2:$L4117,$L4117)=1,1,0)))</f>
        <v>0</v>
      </c>
      <c r="AA41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7" s="106"/>
      <c r="AC4117" s="51"/>
      <c r="AD4117" s="106" t="s">
        <v>15</v>
      </c>
      <c r="AE4117" s="38" t="s">
        <v>397</v>
      </c>
    </row>
    <row r="4118" spans="1:31" ht="18" customHeight="1" x14ac:dyDescent="0.25">
      <c r="A41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8" s="79">
        <v>3</v>
      </c>
      <c r="C4118" s="23">
        <v>44005</v>
      </c>
      <c r="D4118" s="67">
        <f>IF(COUNTIF($G$2:$G4118,$G4118)=1,1,0)</f>
        <v>1</v>
      </c>
      <c r="E4118" s="67" t="str">
        <f>IFERROR(VLOOKUP(База_КР_КК[[#This Row],[ИД штатной должности (S)]],'уровень защищенности'!$B$7:$F$1095,5,0),"не защищена")</f>
        <v>низкий</v>
      </c>
      <c r="F4118" s="68">
        <v>500494</v>
      </c>
      <c r="G4118" s="74" t="s">
        <v>3200</v>
      </c>
      <c r="H4118" s="181">
        <f>INDEX('Списки данных'!$D$2:$D$1048576,MATCH(База_КР_КК[[#This Row],[Структурное подразделение]],'Списки данных'!$C$2:$C$1048576,0))</f>
        <v>48</v>
      </c>
      <c r="I4118" s="80" t="s">
        <v>168</v>
      </c>
      <c r="J4118" s="80" t="s">
        <v>264</v>
      </c>
      <c r="K4118" s="80" t="s">
        <v>21</v>
      </c>
      <c r="L4118" s="30" t="s">
        <v>186</v>
      </c>
      <c r="M4118" s="68">
        <v>5</v>
      </c>
      <c r="N4118" s="181" t="str">
        <f t="shared" si="65"/>
        <v>да</v>
      </c>
      <c r="O4118" s="23">
        <v>43623</v>
      </c>
      <c r="P4118" s="23">
        <v>43623</v>
      </c>
      <c r="Q4118" s="106" t="s">
        <v>66</v>
      </c>
      <c r="R4118" s="37">
        <v>1016</v>
      </c>
      <c r="S4118" s="39" t="s">
        <v>1425</v>
      </c>
      <c r="T4118" s="37">
        <v>1023</v>
      </c>
      <c r="U4118" s="38" t="s">
        <v>1432</v>
      </c>
      <c r="V4118" s="89" t="s">
        <v>198</v>
      </c>
      <c r="W4118" s="89" t="s">
        <v>168</v>
      </c>
      <c r="X4118" s="106" t="s">
        <v>296</v>
      </c>
      <c r="Y4118" s="107" t="s">
        <v>12</v>
      </c>
      <c r="Z4118" s="67">
        <f>IF(База_КР_КК[[#This Row],[Таб.номер резервиста]]="-","-",IF(OR(База_КР_КК[[#This Row],[Уровень КК]]=2,База_КР_КК[[#This Row],[Уровень КК]]=3),IF(COUNTIFS($U$2:$U4118,$U4118,$F$2:$F4118,$F4118)=1,1,0),IF(COUNTIFS($U$2:$U4118,$U4118,$L$2:$L4118,$L4118)=1,1,0)))</f>
        <v>1</v>
      </c>
      <c r="AA41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18" s="106"/>
      <c r="AC4118" s="51"/>
      <c r="AD4118" s="106" t="s">
        <v>13</v>
      </c>
      <c r="AE4118" s="38" t="s">
        <v>389</v>
      </c>
    </row>
    <row r="4119" spans="1:31" ht="18" customHeight="1" x14ac:dyDescent="0.25">
      <c r="A41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19" s="79">
        <v>3</v>
      </c>
      <c r="C4119" s="23">
        <v>43455</v>
      </c>
      <c r="D4119" s="67">
        <f>IF(COUNTIF($G$2:$G4119,$G4119)=1,1,0)</f>
        <v>0</v>
      </c>
      <c r="E4119" s="67" t="str">
        <f>IFERROR(VLOOKUP(База_КР_КК[[#This Row],[ИД штатной должности (S)]],'уровень защищенности'!$B$7:$F$1095,5,0),"не защищена")</f>
        <v>низкий</v>
      </c>
      <c r="F4119" s="68">
        <v>500494</v>
      </c>
      <c r="G4119" s="74" t="s">
        <v>3200</v>
      </c>
      <c r="H4119" s="181">
        <f>INDEX('Списки данных'!$D$2:$D$1048576,MATCH(База_КР_КК[[#This Row],[Структурное подразделение]],'Списки данных'!$C$2:$C$1048576,0))</f>
        <v>48</v>
      </c>
      <c r="I4119" s="80" t="s">
        <v>168</v>
      </c>
      <c r="J4119" s="80" t="s">
        <v>264</v>
      </c>
      <c r="K4119" s="80" t="s">
        <v>21</v>
      </c>
      <c r="L4119" s="30" t="s">
        <v>186</v>
      </c>
      <c r="M4119" s="68">
        <v>5</v>
      </c>
      <c r="N4119" s="181" t="str">
        <f t="shared" si="65"/>
        <v>да</v>
      </c>
      <c r="O4119" s="23">
        <v>43623</v>
      </c>
      <c r="P4119" s="23">
        <v>43623</v>
      </c>
      <c r="Q4119" s="106" t="s">
        <v>66</v>
      </c>
      <c r="R4119" s="37">
        <v>1016</v>
      </c>
      <c r="S4119" s="39" t="s">
        <v>1425</v>
      </c>
      <c r="T4119" s="37">
        <v>1016</v>
      </c>
      <c r="U4119" s="38" t="s">
        <v>1425</v>
      </c>
      <c r="V4119" s="89" t="s">
        <v>192</v>
      </c>
      <c r="W4119" s="89" t="s">
        <v>168</v>
      </c>
      <c r="X4119" s="106" t="s">
        <v>295</v>
      </c>
      <c r="Y4119" s="107" t="s">
        <v>14</v>
      </c>
      <c r="Z4119" s="67">
        <f>IF(База_КР_КК[[#This Row],[Таб.номер резервиста]]="-","-",IF(OR(База_КР_КК[[#This Row],[Уровень КК]]=2,База_КР_КК[[#This Row],[Уровень КК]]=3),IF(COUNTIFS($U$2:$U4119,$U4119,$F$2:$F4119,$F4119)=1,1,0),IF(COUNTIFS($U$2:$U4119,$U4119,$L$2:$L4119,$L4119)=1,1,0)))</f>
        <v>1</v>
      </c>
      <c r="AA41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119" s="106" t="s">
        <v>24</v>
      </c>
      <c r="AC4119" s="51">
        <v>43623</v>
      </c>
      <c r="AD4119" s="106" t="s">
        <v>15</v>
      </c>
      <c r="AE4119" s="38" t="s">
        <v>392</v>
      </c>
    </row>
    <row r="4120" spans="1:31" ht="18" customHeight="1" x14ac:dyDescent="0.25">
      <c r="A41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0" s="79">
        <v>3</v>
      </c>
      <c r="C4120" s="23">
        <v>43455</v>
      </c>
      <c r="D4120" s="67">
        <f>IF(COUNTIF($G$2:$G4120,$G4120)=1,1,0)</f>
        <v>0</v>
      </c>
      <c r="E4120" s="67" t="str">
        <f>IFERROR(VLOOKUP(База_КР_КК[[#This Row],[ИД штатной должности (S)]],'уровень защищенности'!$B$7:$F$1095,5,0),"не защищена")</f>
        <v>низкий</v>
      </c>
      <c r="F4120" s="68">
        <v>500494</v>
      </c>
      <c r="G4120" s="74" t="s">
        <v>3200</v>
      </c>
      <c r="H4120" s="181">
        <f>INDEX('Списки данных'!$D$2:$D$1048576,MATCH(База_КР_КК[[#This Row],[Структурное подразделение]],'Списки данных'!$C$2:$C$1048576,0))</f>
        <v>48</v>
      </c>
      <c r="I4120" s="80" t="s">
        <v>168</v>
      </c>
      <c r="J4120" s="80" t="s">
        <v>264</v>
      </c>
      <c r="K4120" s="80" t="s">
        <v>21</v>
      </c>
      <c r="L4120" s="30" t="s">
        <v>186</v>
      </c>
      <c r="M4120" s="68">
        <v>5</v>
      </c>
      <c r="N4120" s="181" t="str">
        <f t="shared" si="65"/>
        <v>да</v>
      </c>
      <c r="O4120" s="23">
        <v>43623</v>
      </c>
      <c r="P4120" s="23">
        <v>43623</v>
      </c>
      <c r="Q4120" s="106" t="s">
        <v>66</v>
      </c>
      <c r="R4120" s="37">
        <v>1016</v>
      </c>
      <c r="S4120" s="39" t="s">
        <v>1425</v>
      </c>
      <c r="T4120" s="37">
        <v>2086</v>
      </c>
      <c r="U4120" s="38" t="s">
        <v>2120</v>
      </c>
      <c r="V4120" s="69" t="s">
        <v>186</v>
      </c>
      <c r="W4120" s="89" t="s">
        <v>172</v>
      </c>
      <c r="X4120" s="106" t="s">
        <v>297</v>
      </c>
      <c r="Y4120" s="107" t="s">
        <v>18</v>
      </c>
      <c r="Z4120" s="67">
        <f>IF(База_КР_КК[[#This Row],[Таб.номер резервиста]]="-","-",IF(OR(База_КР_КК[[#This Row],[Уровень КК]]=2,База_КР_КК[[#This Row],[Уровень КК]]=3),IF(COUNTIFS($U$2:$U4120,$U4120,$F$2:$F4120,$F4120)=1,1,0),IF(COUNTIFS($U$2:$U4120,$U4120,$L$2:$L4120,$L4120)=1,1,0)))</f>
        <v>1</v>
      </c>
      <c r="AA41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0" s="106" t="s">
        <v>33</v>
      </c>
      <c r="AC4120" s="51">
        <v>44621</v>
      </c>
      <c r="AD4120" s="106" t="s">
        <v>13</v>
      </c>
      <c r="AE4120" s="38" t="s">
        <v>302</v>
      </c>
    </row>
    <row r="4121" spans="1:31" ht="18" customHeight="1" x14ac:dyDescent="0.25">
      <c r="A41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1" s="79">
        <v>4</v>
      </c>
      <c r="C4121" s="23">
        <v>44515</v>
      </c>
      <c r="D4121" s="67">
        <f>IF(COUNTIF($G$2:$G4121,$G4121)=1,1,0)</f>
        <v>1</v>
      </c>
      <c r="E4121" s="67" t="str">
        <f>IFERROR(VLOOKUP(База_КР_КК[[#This Row],[ИД штатной должности (S)]],'уровень защищенности'!$B$7:$F$1095,5,0),"не защищена")</f>
        <v>высокий</v>
      </c>
      <c r="F4121" s="68">
        <v>500495</v>
      </c>
      <c r="G4121" s="74" t="s">
        <v>3201</v>
      </c>
      <c r="H4121" s="181">
        <f>INDEX('Списки данных'!$D$2:$D$1048576,MATCH(База_КР_КК[[#This Row],[Структурное подразделение]],'Списки данных'!$C$2:$C$1048576,0))</f>
        <v>48</v>
      </c>
      <c r="I4121" s="80" t="s">
        <v>168</v>
      </c>
      <c r="J4121" s="80" t="s">
        <v>264</v>
      </c>
      <c r="K4121" s="80" t="s">
        <v>21</v>
      </c>
      <c r="L4121" s="82" t="s">
        <v>192</v>
      </c>
      <c r="M4121" s="68">
        <v>7</v>
      </c>
      <c r="N4121" s="181" t="str">
        <f t="shared" si="65"/>
        <v>нет</v>
      </c>
      <c r="O4121" s="23"/>
      <c r="P4121" s="23"/>
      <c r="Q4121" s="106"/>
      <c r="R4121" s="37">
        <v>1017</v>
      </c>
      <c r="S4121" s="39" t="s">
        <v>1426</v>
      </c>
      <c r="T4121" s="37">
        <v>2087</v>
      </c>
      <c r="U4121" s="37" t="s">
        <v>2135</v>
      </c>
      <c r="V4121" s="69" t="s">
        <v>272</v>
      </c>
      <c r="W4121" s="89" t="s">
        <v>168</v>
      </c>
      <c r="X4121" s="106" t="s">
        <v>297</v>
      </c>
      <c r="Y4121" s="107" t="s">
        <v>12</v>
      </c>
      <c r="Z4121" s="67">
        <f>IF(База_КР_КК[[#This Row],[Таб.номер резервиста]]="-","-",IF(OR(База_КР_КК[[#This Row],[Уровень КК]]=2,База_КР_КК[[#This Row],[Уровень КК]]=3),IF(COUNTIFS($U$2:$U4121,$U4121,$F$2:$F4121,$F4121)=1,1,0),IF(COUNTIFS($U$2:$U4121,$U4121,$L$2:$L4121,$L4121)=1,1,0)))</f>
        <v>1</v>
      </c>
      <c r="AA41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1" s="106"/>
      <c r="AC4121" s="51"/>
      <c r="AD4121" s="106" t="s">
        <v>15</v>
      </c>
      <c r="AE4121" s="38" t="s">
        <v>398</v>
      </c>
    </row>
    <row r="4122" spans="1:31" ht="18" customHeight="1" x14ac:dyDescent="0.25">
      <c r="A41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2" s="79">
        <v>4</v>
      </c>
      <c r="C4122" s="23">
        <v>44515</v>
      </c>
      <c r="D4122" s="67">
        <f>IF(COUNTIF($G$2:$G4122,$G4122)=1,1,0)</f>
        <v>0</v>
      </c>
      <c r="E4122" s="67" t="str">
        <f>IFERROR(VLOOKUP(База_КР_КК[[#This Row],[ИД штатной должности (S)]],'уровень защищенности'!$B$7:$F$1095,5,0),"не защищена")</f>
        <v>высокий</v>
      </c>
      <c r="F4122" s="68">
        <v>500495</v>
      </c>
      <c r="G4122" s="74" t="s">
        <v>3201</v>
      </c>
      <c r="H4122" s="181">
        <f>INDEX('Списки данных'!$D$2:$D$1048576,MATCH(База_КР_КК[[#This Row],[Структурное подразделение]],'Списки данных'!$C$2:$C$1048576,0))</f>
        <v>48</v>
      </c>
      <c r="I4122" s="80" t="s">
        <v>168</v>
      </c>
      <c r="J4122" s="80" t="s">
        <v>264</v>
      </c>
      <c r="K4122" s="80" t="s">
        <v>21</v>
      </c>
      <c r="L4122" s="82" t="s">
        <v>192</v>
      </c>
      <c r="M4122" s="68">
        <v>7</v>
      </c>
      <c r="N4122" s="181" t="str">
        <f t="shared" si="65"/>
        <v>нет</v>
      </c>
      <c r="O4122" s="23"/>
      <c r="P4122" s="23"/>
      <c r="Q4122" s="106"/>
      <c r="R4122" s="37">
        <v>1017</v>
      </c>
      <c r="S4122" s="39" t="s">
        <v>1426</v>
      </c>
      <c r="T4122" s="37">
        <v>2088</v>
      </c>
      <c r="U4122" s="37" t="s">
        <v>2089</v>
      </c>
      <c r="V4122" s="69" t="s">
        <v>272</v>
      </c>
      <c r="W4122" s="89" t="s">
        <v>168</v>
      </c>
      <c r="X4122" s="106" t="s">
        <v>296</v>
      </c>
      <c r="Y4122" s="107" t="s">
        <v>12</v>
      </c>
      <c r="Z4122" s="67">
        <f>IF(База_КР_КК[[#This Row],[Таб.номер резервиста]]="-","-",IF(OR(База_КР_КК[[#This Row],[Уровень КК]]=2,База_КР_КК[[#This Row],[Уровень КК]]=3),IF(COUNTIFS($U$2:$U4122,$U4122,$F$2:$F4122,$F4122)=1,1,0),IF(COUNTIFS($U$2:$U4122,$U4122,$L$2:$L4122,$L4122)=1,1,0)))</f>
        <v>1</v>
      </c>
      <c r="AA41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2" s="106"/>
      <c r="AC4122" s="51"/>
      <c r="AD4122" s="106" t="s">
        <v>15</v>
      </c>
      <c r="AE4122" s="38" t="s">
        <v>398</v>
      </c>
    </row>
    <row r="4123" spans="1:31" ht="18" customHeight="1" x14ac:dyDescent="0.25">
      <c r="A41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3" s="79">
        <v>4</v>
      </c>
      <c r="C4123" s="23">
        <v>44515</v>
      </c>
      <c r="D4123" s="67">
        <f>IF(COUNTIF($G$2:$G4123,$G4123)=1,1,0)</f>
        <v>0</v>
      </c>
      <c r="E4123" s="67" t="str">
        <f>IFERROR(VLOOKUP(База_КР_КК[[#This Row],[ИД штатной должности (S)]],'уровень защищенности'!$B$7:$F$1095,5,0),"не защищена")</f>
        <v>высокий</v>
      </c>
      <c r="F4123" s="68">
        <v>500495</v>
      </c>
      <c r="G4123" s="74" t="s">
        <v>3201</v>
      </c>
      <c r="H4123" s="181">
        <f>INDEX('Списки данных'!$D$2:$D$1048576,MATCH(База_КР_КК[[#This Row],[Структурное подразделение]],'Списки данных'!$C$2:$C$1048576,0))</f>
        <v>48</v>
      </c>
      <c r="I4123" s="80" t="s">
        <v>168</v>
      </c>
      <c r="J4123" s="80" t="s">
        <v>264</v>
      </c>
      <c r="K4123" s="80" t="s">
        <v>21</v>
      </c>
      <c r="L4123" s="82" t="s">
        <v>192</v>
      </c>
      <c r="M4123" s="68">
        <v>7</v>
      </c>
      <c r="N4123" s="181" t="str">
        <f t="shared" si="65"/>
        <v>нет</v>
      </c>
      <c r="O4123" s="23"/>
      <c r="P4123" s="23"/>
      <c r="Q4123" s="106"/>
      <c r="R4123" s="37">
        <v>1017</v>
      </c>
      <c r="S4123" s="39" t="s">
        <v>1426</v>
      </c>
      <c r="T4123" s="37">
        <v>2089</v>
      </c>
      <c r="U4123" s="37" t="s">
        <v>1990</v>
      </c>
      <c r="V4123" s="69" t="s">
        <v>272</v>
      </c>
      <c r="W4123" s="89" t="s">
        <v>168</v>
      </c>
      <c r="X4123" s="106" t="s">
        <v>297</v>
      </c>
      <c r="Y4123" s="107" t="s">
        <v>12</v>
      </c>
      <c r="Z4123" s="67">
        <f>IF(База_КР_КК[[#This Row],[Таб.номер резервиста]]="-","-",IF(OR(База_КР_КК[[#This Row],[Уровень КК]]=2,База_КР_КК[[#This Row],[Уровень КК]]=3),IF(COUNTIFS($U$2:$U4123,$U4123,$F$2:$F4123,$F4123)=1,1,0),IF(COUNTIFS($U$2:$U4123,$U4123,$L$2:$L4123,$L4123)=1,1,0)))</f>
        <v>1</v>
      </c>
      <c r="AA41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3" s="106"/>
      <c r="AC4123" s="51"/>
      <c r="AD4123" s="106" t="s">
        <v>15</v>
      </c>
      <c r="AE4123" s="38" t="s">
        <v>398</v>
      </c>
    </row>
    <row r="4124" spans="1:31" ht="18" customHeight="1" x14ac:dyDescent="0.25">
      <c r="A41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4" s="79">
        <v>4</v>
      </c>
      <c r="C4124" s="23">
        <v>44515</v>
      </c>
      <c r="D4124" s="67">
        <f>IF(COUNTIF($G$2:$G4124,$G4124)=1,1,0)</f>
        <v>0</v>
      </c>
      <c r="E4124" s="67" t="str">
        <f>IFERROR(VLOOKUP(База_КР_КК[[#This Row],[ИД штатной должности (S)]],'уровень защищенности'!$B$7:$F$1095,5,0),"не защищена")</f>
        <v>высокий</v>
      </c>
      <c r="F4124" s="68">
        <v>500495</v>
      </c>
      <c r="G4124" s="74" t="s">
        <v>3201</v>
      </c>
      <c r="H4124" s="181">
        <f>INDEX('Списки данных'!$D$2:$D$1048576,MATCH(База_КР_КК[[#This Row],[Структурное подразделение]],'Списки данных'!$C$2:$C$1048576,0))</f>
        <v>48</v>
      </c>
      <c r="I4124" s="80" t="s">
        <v>168</v>
      </c>
      <c r="J4124" s="80" t="s">
        <v>264</v>
      </c>
      <c r="K4124" s="80" t="s">
        <v>21</v>
      </c>
      <c r="L4124" s="82" t="s">
        <v>192</v>
      </c>
      <c r="M4124" s="68">
        <v>7</v>
      </c>
      <c r="N4124" s="181" t="str">
        <f t="shared" si="65"/>
        <v>нет</v>
      </c>
      <c r="O4124" s="23"/>
      <c r="P4124" s="23"/>
      <c r="Q4124" s="106"/>
      <c r="R4124" s="37">
        <v>1017</v>
      </c>
      <c r="S4124" s="39" t="s">
        <v>1426</v>
      </c>
      <c r="T4124" s="37">
        <v>2090</v>
      </c>
      <c r="U4124" s="37" t="s">
        <v>1647</v>
      </c>
      <c r="V4124" s="69" t="s">
        <v>272</v>
      </c>
      <c r="W4124" s="89" t="s">
        <v>168</v>
      </c>
      <c r="X4124" s="106" t="s">
        <v>296</v>
      </c>
      <c r="Y4124" s="107" t="s">
        <v>12</v>
      </c>
      <c r="Z4124" s="67">
        <f>IF(База_КР_КК[[#This Row],[Таб.номер резервиста]]="-","-",IF(OR(База_КР_КК[[#This Row],[Уровень КК]]=2,База_КР_КК[[#This Row],[Уровень КК]]=3),IF(COUNTIFS($U$2:$U4124,$U4124,$F$2:$F4124,$F4124)=1,1,0),IF(COUNTIFS($U$2:$U4124,$U4124,$L$2:$L4124,$L4124)=1,1,0)))</f>
        <v>1</v>
      </c>
      <c r="AA41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4" s="106"/>
      <c r="AC4124" s="51"/>
      <c r="AD4124" s="106" t="s">
        <v>15</v>
      </c>
      <c r="AE4124" s="38" t="s">
        <v>398</v>
      </c>
    </row>
    <row r="4125" spans="1:31" ht="18" customHeight="1" x14ac:dyDescent="0.25">
      <c r="A41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5" s="79">
        <v>4</v>
      </c>
      <c r="C4125" s="23">
        <v>44515</v>
      </c>
      <c r="D4125" s="67">
        <f>IF(COUNTIF($G$2:$G4125,$G4125)=1,1,0)</f>
        <v>0</v>
      </c>
      <c r="E4125" s="67" t="str">
        <f>IFERROR(VLOOKUP(База_КР_КК[[#This Row],[ИД штатной должности (S)]],'уровень защищенности'!$B$7:$F$1095,5,0),"не защищена")</f>
        <v>высокий</v>
      </c>
      <c r="F4125" s="68">
        <v>500495</v>
      </c>
      <c r="G4125" s="74" t="s">
        <v>3201</v>
      </c>
      <c r="H4125" s="181">
        <f>INDEX('Списки данных'!$D$2:$D$1048576,MATCH(База_КР_КК[[#This Row],[Структурное подразделение]],'Списки данных'!$C$2:$C$1048576,0))</f>
        <v>48</v>
      </c>
      <c r="I4125" s="80" t="s">
        <v>168</v>
      </c>
      <c r="J4125" s="80" t="s">
        <v>264</v>
      </c>
      <c r="K4125" s="80" t="s">
        <v>21</v>
      </c>
      <c r="L4125" s="82" t="s">
        <v>192</v>
      </c>
      <c r="M4125" s="68">
        <v>7</v>
      </c>
      <c r="N4125" s="181" t="str">
        <f t="shared" si="65"/>
        <v>нет</v>
      </c>
      <c r="O4125" s="23"/>
      <c r="P4125" s="23"/>
      <c r="Q4125" s="106"/>
      <c r="R4125" s="37">
        <v>1017</v>
      </c>
      <c r="S4125" s="39" t="s">
        <v>1426</v>
      </c>
      <c r="T4125" s="37">
        <v>2091</v>
      </c>
      <c r="U4125" s="37" t="s">
        <v>2072</v>
      </c>
      <c r="V4125" s="69" t="s">
        <v>272</v>
      </c>
      <c r="W4125" s="89" t="s">
        <v>168</v>
      </c>
      <c r="X4125" s="106" t="s">
        <v>296</v>
      </c>
      <c r="Y4125" s="107" t="s">
        <v>12</v>
      </c>
      <c r="Z4125" s="67">
        <f>IF(База_КР_КК[[#This Row],[Таб.номер резервиста]]="-","-",IF(OR(База_КР_КК[[#This Row],[Уровень КК]]=2,База_КР_КК[[#This Row],[Уровень КК]]=3),IF(COUNTIFS($U$2:$U4125,$U4125,$F$2:$F4125,$F4125)=1,1,0),IF(COUNTIFS($U$2:$U4125,$U4125,$L$2:$L4125,$L4125)=1,1,0)))</f>
        <v>0</v>
      </c>
      <c r="AA41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5" s="106"/>
      <c r="AC4125" s="51"/>
      <c r="AD4125" s="106" t="s">
        <v>15</v>
      </c>
      <c r="AE4125" s="38" t="s">
        <v>398</v>
      </c>
    </row>
    <row r="4126" spans="1:31" ht="18" customHeight="1" x14ac:dyDescent="0.25">
      <c r="A41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6" s="79">
        <v>4</v>
      </c>
      <c r="C4126" s="23">
        <v>44515</v>
      </c>
      <c r="D4126" s="67">
        <f>IF(COUNTIF($G$2:$G4126,$G4126)=1,1,0)</f>
        <v>0</v>
      </c>
      <c r="E4126" s="67" t="str">
        <f>IFERROR(VLOOKUP(База_КР_КК[[#This Row],[ИД штатной должности (S)]],'уровень защищенности'!$B$7:$F$1095,5,0),"не защищена")</f>
        <v>высокий</v>
      </c>
      <c r="F4126" s="68">
        <v>500495</v>
      </c>
      <c r="G4126" s="74" t="s">
        <v>3201</v>
      </c>
      <c r="H4126" s="181">
        <f>INDEX('Списки данных'!$D$2:$D$1048576,MATCH(База_КР_КК[[#This Row],[Структурное подразделение]],'Списки данных'!$C$2:$C$1048576,0))</f>
        <v>48</v>
      </c>
      <c r="I4126" s="80" t="s">
        <v>168</v>
      </c>
      <c r="J4126" s="80" t="s">
        <v>264</v>
      </c>
      <c r="K4126" s="80" t="s">
        <v>21</v>
      </c>
      <c r="L4126" s="82" t="s">
        <v>192</v>
      </c>
      <c r="M4126" s="68">
        <v>7</v>
      </c>
      <c r="N4126" s="181" t="str">
        <f t="shared" si="65"/>
        <v>нет</v>
      </c>
      <c r="O4126" s="23"/>
      <c r="P4126" s="23"/>
      <c r="Q4126" s="106"/>
      <c r="R4126" s="37">
        <v>1017</v>
      </c>
      <c r="S4126" s="39" t="s">
        <v>1426</v>
      </c>
      <c r="T4126" s="37">
        <v>2092</v>
      </c>
      <c r="U4126" s="37" t="s">
        <v>2021</v>
      </c>
      <c r="V4126" s="69" t="s">
        <v>272</v>
      </c>
      <c r="W4126" s="89" t="s">
        <v>168</v>
      </c>
      <c r="X4126" s="106" t="s">
        <v>295</v>
      </c>
      <c r="Y4126" s="107" t="s">
        <v>12</v>
      </c>
      <c r="Z4126" s="67">
        <f>IF(База_КР_КК[[#This Row],[Таб.номер резервиста]]="-","-",IF(OR(База_КР_КК[[#This Row],[Уровень КК]]=2,База_КР_КК[[#This Row],[Уровень КК]]=3),IF(COUNTIFS($U$2:$U4126,$U4126,$F$2:$F4126,$F4126)=1,1,0),IF(COUNTIFS($U$2:$U4126,$U4126,$L$2:$L4126,$L4126)=1,1,0)))</f>
        <v>0</v>
      </c>
      <c r="AA41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6" s="106"/>
      <c r="AC4126" s="51"/>
      <c r="AD4126" s="106" t="s">
        <v>15</v>
      </c>
      <c r="AE4126" s="38" t="s">
        <v>398</v>
      </c>
    </row>
    <row r="4127" spans="1:31" ht="18" customHeight="1" x14ac:dyDescent="0.25">
      <c r="A41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7" s="79">
        <v>4</v>
      </c>
      <c r="C4127" s="23">
        <v>44515</v>
      </c>
      <c r="D4127" s="67">
        <f>IF(COUNTIF($G$2:$G4127,$G4127)=1,1,0)</f>
        <v>0</v>
      </c>
      <c r="E4127" s="67" t="str">
        <f>IFERROR(VLOOKUP(База_КР_КК[[#This Row],[ИД штатной должности (S)]],'уровень защищенности'!$B$7:$F$1095,5,0),"не защищена")</f>
        <v>высокий</v>
      </c>
      <c r="F4127" s="68">
        <v>500495</v>
      </c>
      <c r="G4127" s="74" t="s">
        <v>3201</v>
      </c>
      <c r="H4127" s="181">
        <f>INDEX('Списки данных'!$D$2:$D$1048576,MATCH(База_КР_КК[[#This Row],[Структурное подразделение]],'Списки данных'!$C$2:$C$1048576,0))</f>
        <v>48</v>
      </c>
      <c r="I4127" s="80" t="s">
        <v>168</v>
      </c>
      <c r="J4127" s="80" t="s">
        <v>264</v>
      </c>
      <c r="K4127" s="80" t="s">
        <v>21</v>
      </c>
      <c r="L4127" s="82" t="s">
        <v>192</v>
      </c>
      <c r="M4127" s="68">
        <v>7</v>
      </c>
      <c r="N4127" s="181" t="str">
        <f t="shared" si="65"/>
        <v>нет</v>
      </c>
      <c r="O4127" s="23"/>
      <c r="P4127" s="23"/>
      <c r="Q4127" s="106"/>
      <c r="R4127" s="37">
        <v>1017</v>
      </c>
      <c r="S4127" s="39" t="s">
        <v>1426</v>
      </c>
      <c r="T4127" s="37">
        <v>1020</v>
      </c>
      <c r="U4127" s="37" t="s">
        <v>1429</v>
      </c>
      <c r="V4127" s="69" t="s">
        <v>192</v>
      </c>
      <c r="W4127" s="89" t="s">
        <v>168</v>
      </c>
      <c r="X4127" s="106" t="s">
        <v>297</v>
      </c>
      <c r="Y4127" s="107" t="s">
        <v>18</v>
      </c>
      <c r="Z4127" s="67">
        <f>IF(База_КР_КК[[#This Row],[Таб.номер резервиста]]="-","-",IF(OR(База_КР_КК[[#This Row],[Уровень КК]]=2,База_КР_КК[[#This Row],[Уровень КК]]=3),IF(COUNTIFS($U$2:$U4127,$U4127,$F$2:$F4127,$F4127)=1,1,0),IF(COUNTIFS($U$2:$U4127,$U4127,$L$2:$L4127,$L4127)=1,1,0)))</f>
        <v>0</v>
      </c>
      <c r="AA41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7" s="106" t="s">
        <v>37</v>
      </c>
      <c r="AC4127" s="51">
        <v>44669</v>
      </c>
      <c r="AD4127" s="106" t="s">
        <v>15</v>
      </c>
      <c r="AE4127" s="38" t="s">
        <v>398</v>
      </c>
    </row>
    <row r="4128" spans="1:31" ht="18" customHeight="1" x14ac:dyDescent="0.25">
      <c r="A41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8" s="79">
        <v>4</v>
      </c>
      <c r="C4128" s="23">
        <v>44515</v>
      </c>
      <c r="D4128" s="67">
        <f>IF(COUNTIF($G$2:$G4128,$G4128)=1,1,0)</f>
        <v>0</v>
      </c>
      <c r="E4128" s="67" t="str">
        <f>IFERROR(VLOOKUP(База_КР_КК[[#This Row],[ИД штатной должности (S)]],'уровень защищенности'!$B$7:$F$1095,5,0),"не защищена")</f>
        <v>высокий</v>
      </c>
      <c r="F4128" s="68">
        <v>500495</v>
      </c>
      <c r="G4128" s="74" t="s">
        <v>3201</v>
      </c>
      <c r="H4128" s="181">
        <f>INDEX('Списки данных'!$D$2:$D$1048576,MATCH(База_КР_КК[[#This Row],[Структурное подразделение]],'Списки данных'!$C$2:$C$1048576,0))</f>
        <v>48</v>
      </c>
      <c r="I4128" s="80" t="s">
        <v>168</v>
      </c>
      <c r="J4128" s="80" t="s">
        <v>264</v>
      </c>
      <c r="K4128" s="80" t="s">
        <v>21</v>
      </c>
      <c r="L4128" s="82" t="s">
        <v>192</v>
      </c>
      <c r="M4128" s="68">
        <v>7</v>
      </c>
      <c r="N4128" s="181" t="str">
        <f t="shared" si="65"/>
        <v>нет</v>
      </c>
      <c r="O4128" s="23"/>
      <c r="P4128" s="23"/>
      <c r="Q4128" s="106"/>
      <c r="R4128" s="37">
        <v>1017</v>
      </c>
      <c r="S4128" s="39" t="s">
        <v>1426</v>
      </c>
      <c r="T4128" s="37">
        <v>2093</v>
      </c>
      <c r="U4128" s="37" t="s">
        <v>2106</v>
      </c>
      <c r="V4128" s="69" t="s">
        <v>192</v>
      </c>
      <c r="W4128" s="89" t="s">
        <v>168</v>
      </c>
      <c r="X4128" s="106" t="s">
        <v>295</v>
      </c>
      <c r="Y4128" s="107" t="s">
        <v>18</v>
      </c>
      <c r="Z4128" s="67">
        <f>IF(База_КР_КК[[#This Row],[Таб.номер резервиста]]="-","-",IF(OR(База_КР_КК[[#This Row],[Уровень КК]]=2,База_КР_КК[[#This Row],[Уровень КК]]=3),IF(COUNTIFS($U$2:$U4128,$U4128,$F$2:$F4128,$F4128)=1,1,0),IF(COUNTIFS($U$2:$U4128,$U4128,$L$2:$L4128,$L4128)=1,1,0)))</f>
        <v>1</v>
      </c>
      <c r="AA41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8" s="106" t="s">
        <v>19</v>
      </c>
      <c r="AC4128" s="51">
        <v>44939</v>
      </c>
      <c r="AD4128" s="106" t="s">
        <v>15</v>
      </c>
      <c r="AE4128" s="38" t="s">
        <v>398</v>
      </c>
    </row>
    <row r="4129" spans="1:31" ht="18" customHeight="1" x14ac:dyDescent="0.25">
      <c r="A41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29" s="79">
        <v>4</v>
      </c>
      <c r="C4129" s="23">
        <v>44515</v>
      </c>
      <c r="D4129" s="67">
        <f>IF(COUNTIF($G$2:$G4129,$G4129)=1,1,0)</f>
        <v>0</v>
      </c>
      <c r="E4129" s="67" t="str">
        <f>IFERROR(VLOOKUP(База_КР_КК[[#This Row],[ИД штатной должности (S)]],'уровень защищенности'!$B$7:$F$1095,5,0),"не защищена")</f>
        <v>высокий</v>
      </c>
      <c r="F4129" s="68">
        <v>500495</v>
      </c>
      <c r="G4129" s="74" t="s">
        <v>3201</v>
      </c>
      <c r="H4129" s="181">
        <f>INDEX('Списки данных'!$D$2:$D$1048576,MATCH(База_КР_КК[[#This Row],[Структурное подразделение]],'Списки данных'!$C$2:$C$1048576,0))</f>
        <v>48</v>
      </c>
      <c r="I4129" s="80" t="s">
        <v>168</v>
      </c>
      <c r="J4129" s="80" t="s">
        <v>264</v>
      </c>
      <c r="K4129" s="80" t="s">
        <v>21</v>
      </c>
      <c r="L4129" s="82" t="s">
        <v>192</v>
      </c>
      <c r="M4129" s="68">
        <v>7</v>
      </c>
      <c r="N4129" s="181" t="str">
        <f t="shared" si="65"/>
        <v>нет</v>
      </c>
      <c r="O4129" s="23"/>
      <c r="P4129" s="23"/>
      <c r="Q4129" s="106"/>
      <c r="R4129" s="37">
        <v>1017</v>
      </c>
      <c r="S4129" s="39" t="s">
        <v>1426</v>
      </c>
      <c r="T4129" s="37">
        <v>2094</v>
      </c>
      <c r="U4129" s="37" t="s">
        <v>1965</v>
      </c>
      <c r="V4129" s="69" t="s">
        <v>192</v>
      </c>
      <c r="W4129" s="89" t="s">
        <v>168</v>
      </c>
      <c r="X4129" s="106" t="s">
        <v>296</v>
      </c>
      <c r="Y4129" s="107" t="s">
        <v>18</v>
      </c>
      <c r="Z4129" s="67">
        <f>IF(База_КР_КК[[#This Row],[Таб.номер резервиста]]="-","-",IF(OR(База_КР_КК[[#This Row],[Уровень КК]]=2,База_КР_КК[[#This Row],[Уровень КК]]=3),IF(COUNTIFS($U$2:$U4129,$U4129,$F$2:$F4129,$F4129)=1,1,0),IF(COUNTIFS($U$2:$U4129,$U4129,$L$2:$L4129,$L4129)=1,1,0)))</f>
        <v>0</v>
      </c>
      <c r="AA41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29" s="106" t="s">
        <v>33</v>
      </c>
      <c r="AC4129" s="51">
        <v>44895</v>
      </c>
      <c r="AD4129" s="106" t="s">
        <v>15</v>
      </c>
      <c r="AE4129" s="38" t="s">
        <v>398</v>
      </c>
    </row>
    <row r="4130" spans="1:31" ht="18" customHeight="1" x14ac:dyDescent="0.25">
      <c r="A41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0" s="79">
        <v>4</v>
      </c>
      <c r="C4130" s="23">
        <v>44515</v>
      </c>
      <c r="D4130" s="67">
        <f>IF(COUNTIF($G$2:$G4130,$G4130)=1,1,0)</f>
        <v>1</v>
      </c>
      <c r="E4130" s="67" t="str">
        <f>IFERROR(VLOOKUP(База_КР_КК[[#This Row],[ИД штатной должности (S)]],'уровень защищенности'!$B$7:$F$1095,5,0),"не защищена")</f>
        <v>высокий</v>
      </c>
      <c r="F4130" s="68">
        <v>500496</v>
      </c>
      <c r="G4130" s="74" t="s">
        <v>3202</v>
      </c>
      <c r="H4130" s="181">
        <f>INDEX('Списки данных'!$D$2:$D$1048576,MATCH(База_КР_КК[[#This Row],[Структурное подразделение]],'Списки данных'!$C$2:$C$1048576,0))</f>
        <v>48</v>
      </c>
      <c r="I4130" s="80" t="s">
        <v>168</v>
      </c>
      <c r="J4130" s="80" t="s">
        <v>264</v>
      </c>
      <c r="K4130" s="80" t="s">
        <v>265</v>
      </c>
      <c r="L4130" s="30" t="s">
        <v>191</v>
      </c>
      <c r="M4130" s="68">
        <v>7</v>
      </c>
      <c r="N4130" s="181" t="str">
        <f t="shared" si="65"/>
        <v>нет</v>
      </c>
      <c r="O4130" s="23"/>
      <c r="P4130" s="23"/>
      <c r="Q4130" s="106"/>
      <c r="R4130" s="37">
        <v>1018</v>
      </c>
      <c r="S4130" s="39" t="s">
        <v>1427</v>
      </c>
      <c r="T4130" s="37">
        <v>2087</v>
      </c>
      <c r="U4130" s="37" t="s">
        <v>2135</v>
      </c>
      <c r="V4130" s="69" t="s">
        <v>272</v>
      </c>
      <c r="W4130" s="89" t="s">
        <v>168</v>
      </c>
      <c r="X4130" s="106" t="s">
        <v>297</v>
      </c>
      <c r="Y4130" s="107" t="s">
        <v>12</v>
      </c>
      <c r="Z4130" s="67">
        <f>IF(База_КР_КК[[#This Row],[Таб.номер резервиста]]="-","-",IF(OR(База_КР_КК[[#This Row],[Уровень КК]]=2,База_КР_КК[[#This Row],[Уровень КК]]=3),IF(COUNTIFS($U$2:$U4130,$U4130,$F$2:$F4130,$F4130)=1,1,0),IF(COUNTIFS($U$2:$U4130,$U4130,$L$2:$L4130,$L4130)=1,1,0)))</f>
        <v>1</v>
      </c>
      <c r="AA41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0" s="106"/>
      <c r="AC4130" s="51"/>
      <c r="AD4130" s="106" t="s">
        <v>15</v>
      </c>
      <c r="AE4130" s="38" t="s">
        <v>398</v>
      </c>
    </row>
    <row r="4131" spans="1:31" ht="18" customHeight="1" x14ac:dyDescent="0.25">
      <c r="A41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1" s="79">
        <v>4</v>
      </c>
      <c r="C4131" s="23">
        <v>44515</v>
      </c>
      <c r="D4131" s="67">
        <f>IF(COUNTIF($G$2:$G4131,$G4131)=1,1,0)</f>
        <v>0</v>
      </c>
      <c r="E4131" s="67" t="str">
        <f>IFERROR(VLOOKUP(База_КР_КК[[#This Row],[ИД штатной должности (S)]],'уровень защищенности'!$B$7:$F$1095,5,0),"не защищена")</f>
        <v>высокий</v>
      </c>
      <c r="F4131" s="68">
        <v>500496</v>
      </c>
      <c r="G4131" s="74" t="s">
        <v>3202</v>
      </c>
      <c r="H4131" s="181">
        <f>INDEX('Списки данных'!$D$2:$D$1048576,MATCH(База_КР_КК[[#This Row],[Структурное подразделение]],'Списки данных'!$C$2:$C$1048576,0))</f>
        <v>48</v>
      </c>
      <c r="I4131" s="80" t="s">
        <v>168</v>
      </c>
      <c r="J4131" s="80" t="s">
        <v>264</v>
      </c>
      <c r="K4131" s="80" t="s">
        <v>265</v>
      </c>
      <c r="L4131" s="30" t="s">
        <v>191</v>
      </c>
      <c r="M4131" s="68">
        <v>7</v>
      </c>
      <c r="N4131" s="181" t="str">
        <f t="shared" si="65"/>
        <v>нет</v>
      </c>
      <c r="O4131" s="23"/>
      <c r="P4131" s="23"/>
      <c r="Q4131" s="106"/>
      <c r="R4131" s="37">
        <v>1018</v>
      </c>
      <c r="S4131" s="39" t="s">
        <v>1427</v>
      </c>
      <c r="T4131" s="37">
        <v>2088</v>
      </c>
      <c r="U4131" s="37" t="s">
        <v>2089</v>
      </c>
      <c r="V4131" s="69" t="s">
        <v>272</v>
      </c>
      <c r="W4131" s="89" t="s">
        <v>168</v>
      </c>
      <c r="X4131" s="106" t="s">
        <v>296</v>
      </c>
      <c r="Y4131" s="107" t="s">
        <v>12</v>
      </c>
      <c r="Z4131" s="67">
        <f>IF(База_КР_КК[[#This Row],[Таб.номер резервиста]]="-","-",IF(OR(База_КР_КК[[#This Row],[Уровень КК]]=2,База_КР_КК[[#This Row],[Уровень КК]]=3),IF(COUNTIFS($U$2:$U4131,$U4131,$F$2:$F4131,$F4131)=1,1,0),IF(COUNTIFS($U$2:$U4131,$U4131,$L$2:$L4131,$L4131)=1,1,0)))</f>
        <v>0</v>
      </c>
      <c r="AA41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1" s="106"/>
      <c r="AC4131" s="51"/>
      <c r="AD4131" s="106" t="s">
        <v>15</v>
      </c>
      <c r="AE4131" s="38" t="s">
        <v>398</v>
      </c>
    </row>
    <row r="4132" spans="1:31" ht="18" customHeight="1" x14ac:dyDescent="0.25">
      <c r="A41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2" s="79">
        <v>4</v>
      </c>
      <c r="C4132" s="23">
        <v>44515</v>
      </c>
      <c r="D4132" s="67">
        <f>IF(COUNTIF($G$2:$G4132,$G4132)=1,1,0)</f>
        <v>0</v>
      </c>
      <c r="E4132" s="67" t="str">
        <f>IFERROR(VLOOKUP(База_КР_КК[[#This Row],[ИД штатной должности (S)]],'уровень защищенности'!$B$7:$F$1095,5,0),"не защищена")</f>
        <v>высокий</v>
      </c>
      <c r="F4132" s="68">
        <v>500496</v>
      </c>
      <c r="G4132" s="74" t="s">
        <v>3202</v>
      </c>
      <c r="H4132" s="181">
        <f>INDEX('Списки данных'!$D$2:$D$1048576,MATCH(База_КР_КК[[#This Row],[Структурное подразделение]],'Списки данных'!$C$2:$C$1048576,0))</f>
        <v>48</v>
      </c>
      <c r="I4132" s="80" t="s">
        <v>168</v>
      </c>
      <c r="J4132" s="80" t="s">
        <v>264</v>
      </c>
      <c r="K4132" s="80" t="s">
        <v>265</v>
      </c>
      <c r="L4132" s="30" t="s">
        <v>191</v>
      </c>
      <c r="M4132" s="68">
        <v>7</v>
      </c>
      <c r="N4132" s="181" t="str">
        <f t="shared" si="65"/>
        <v>нет</v>
      </c>
      <c r="O4132" s="23"/>
      <c r="P4132" s="23"/>
      <c r="Q4132" s="106"/>
      <c r="R4132" s="37">
        <v>1018</v>
      </c>
      <c r="S4132" s="39" t="s">
        <v>1427</v>
      </c>
      <c r="T4132" s="37">
        <v>2089</v>
      </c>
      <c r="U4132" s="37" t="s">
        <v>1990</v>
      </c>
      <c r="V4132" s="69" t="s">
        <v>272</v>
      </c>
      <c r="W4132" s="89" t="s">
        <v>168</v>
      </c>
      <c r="X4132" s="106" t="s">
        <v>297</v>
      </c>
      <c r="Y4132" s="107" t="s">
        <v>12</v>
      </c>
      <c r="Z4132" s="67">
        <f>IF(База_КР_КК[[#This Row],[Таб.номер резервиста]]="-","-",IF(OR(База_КР_КК[[#This Row],[Уровень КК]]=2,База_КР_КК[[#This Row],[Уровень КК]]=3),IF(COUNTIFS($U$2:$U4132,$U4132,$F$2:$F4132,$F4132)=1,1,0),IF(COUNTIFS($U$2:$U4132,$U4132,$L$2:$L4132,$L4132)=1,1,0)))</f>
        <v>1</v>
      </c>
      <c r="AA41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2" s="106"/>
      <c r="AC4132" s="51"/>
      <c r="AD4132" s="106" t="s">
        <v>15</v>
      </c>
      <c r="AE4132" s="38" t="s">
        <v>398</v>
      </c>
    </row>
    <row r="4133" spans="1:31" ht="18" customHeight="1" x14ac:dyDescent="0.25">
      <c r="A41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3" s="79">
        <v>4</v>
      </c>
      <c r="C4133" s="23">
        <v>44515</v>
      </c>
      <c r="D4133" s="67">
        <f>IF(COUNTIF($G$2:$G4133,$G4133)=1,1,0)</f>
        <v>0</v>
      </c>
      <c r="E4133" s="67" t="str">
        <f>IFERROR(VLOOKUP(База_КР_КК[[#This Row],[ИД штатной должности (S)]],'уровень защищенности'!$B$7:$F$1095,5,0),"не защищена")</f>
        <v>высокий</v>
      </c>
      <c r="F4133" s="68">
        <v>500496</v>
      </c>
      <c r="G4133" s="74" t="s">
        <v>3202</v>
      </c>
      <c r="H4133" s="181">
        <f>INDEX('Списки данных'!$D$2:$D$1048576,MATCH(База_КР_КК[[#This Row],[Структурное подразделение]],'Списки данных'!$C$2:$C$1048576,0))</f>
        <v>48</v>
      </c>
      <c r="I4133" s="80" t="s">
        <v>168</v>
      </c>
      <c r="J4133" s="80" t="s">
        <v>264</v>
      </c>
      <c r="K4133" s="80" t="s">
        <v>265</v>
      </c>
      <c r="L4133" s="30" t="s">
        <v>191</v>
      </c>
      <c r="M4133" s="68">
        <v>7</v>
      </c>
      <c r="N4133" s="181" t="str">
        <f t="shared" si="65"/>
        <v>нет</v>
      </c>
      <c r="O4133" s="23"/>
      <c r="P4133" s="23"/>
      <c r="Q4133" s="106"/>
      <c r="R4133" s="37">
        <v>1018</v>
      </c>
      <c r="S4133" s="39" t="s">
        <v>1427</v>
      </c>
      <c r="T4133" s="37">
        <v>2090</v>
      </c>
      <c r="U4133" s="37" t="s">
        <v>1647</v>
      </c>
      <c r="V4133" s="69" t="s">
        <v>272</v>
      </c>
      <c r="W4133" s="89" t="s">
        <v>168</v>
      </c>
      <c r="X4133" s="106" t="s">
        <v>296</v>
      </c>
      <c r="Y4133" s="107" t="s">
        <v>12</v>
      </c>
      <c r="Z4133" s="67">
        <f>IF(База_КР_КК[[#This Row],[Таб.номер резервиста]]="-","-",IF(OR(База_КР_КК[[#This Row],[Уровень КК]]=2,База_КР_КК[[#This Row],[Уровень КК]]=3),IF(COUNTIFS($U$2:$U4133,$U4133,$F$2:$F4133,$F4133)=1,1,0),IF(COUNTIFS($U$2:$U4133,$U4133,$L$2:$L4133,$L4133)=1,1,0)))</f>
        <v>0</v>
      </c>
      <c r="AA41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3" s="106"/>
      <c r="AC4133" s="51"/>
      <c r="AD4133" s="106" t="s">
        <v>15</v>
      </c>
      <c r="AE4133" s="38" t="s">
        <v>398</v>
      </c>
    </row>
    <row r="4134" spans="1:31" ht="18" customHeight="1" x14ac:dyDescent="0.25">
      <c r="A41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4" s="79">
        <v>4</v>
      </c>
      <c r="C4134" s="23">
        <v>44515</v>
      </c>
      <c r="D4134" s="67">
        <f>IF(COUNTIF($G$2:$G4134,$G4134)=1,1,0)</f>
        <v>0</v>
      </c>
      <c r="E4134" s="67" t="str">
        <f>IFERROR(VLOOKUP(База_КР_КК[[#This Row],[ИД штатной должности (S)]],'уровень защищенности'!$B$7:$F$1095,5,0),"не защищена")</f>
        <v>высокий</v>
      </c>
      <c r="F4134" s="68">
        <v>500496</v>
      </c>
      <c r="G4134" s="74" t="s">
        <v>3202</v>
      </c>
      <c r="H4134" s="181">
        <f>INDEX('Списки данных'!$D$2:$D$1048576,MATCH(База_КР_КК[[#This Row],[Структурное подразделение]],'Списки данных'!$C$2:$C$1048576,0))</f>
        <v>48</v>
      </c>
      <c r="I4134" s="80" t="s">
        <v>168</v>
      </c>
      <c r="J4134" s="80" t="s">
        <v>264</v>
      </c>
      <c r="K4134" s="80" t="s">
        <v>265</v>
      </c>
      <c r="L4134" s="30" t="s">
        <v>191</v>
      </c>
      <c r="M4134" s="68">
        <v>7</v>
      </c>
      <c r="N4134" s="181" t="str">
        <f t="shared" si="65"/>
        <v>нет</v>
      </c>
      <c r="O4134" s="23"/>
      <c r="P4134" s="23"/>
      <c r="Q4134" s="106"/>
      <c r="R4134" s="37">
        <v>1018</v>
      </c>
      <c r="S4134" s="39" t="s">
        <v>1427</v>
      </c>
      <c r="T4134" s="37">
        <v>2091</v>
      </c>
      <c r="U4134" s="37" t="s">
        <v>2072</v>
      </c>
      <c r="V4134" s="69" t="s">
        <v>272</v>
      </c>
      <c r="W4134" s="89" t="s">
        <v>168</v>
      </c>
      <c r="X4134" s="106" t="s">
        <v>296</v>
      </c>
      <c r="Y4134" s="107" t="s">
        <v>12</v>
      </c>
      <c r="Z4134" s="67">
        <f>IF(База_КР_КК[[#This Row],[Таб.номер резервиста]]="-","-",IF(OR(База_КР_КК[[#This Row],[Уровень КК]]=2,База_КР_КК[[#This Row],[Уровень КК]]=3),IF(COUNTIFS($U$2:$U4134,$U4134,$F$2:$F4134,$F4134)=1,1,0),IF(COUNTIFS($U$2:$U4134,$U4134,$L$2:$L4134,$L4134)=1,1,0)))</f>
        <v>0</v>
      </c>
      <c r="AA41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4" s="106"/>
      <c r="AC4134" s="51"/>
      <c r="AD4134" s="106" t="s">
        <v>15</v>
      </c>
      <c r="AE4134" s="38" t="s">
        <v>398</v>
      </c>
    </row>
    <row r="4135" spans="1:31" ht="18" customHeight="1" x14ac:dyDescent="0.25">
      <c r="A41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5" s="79">
        <v>4</v>
      </c>
      <c r="C4135" s="23">
        <v>44515</v>
      </c>
      <c r="D4135" s="67">
        <f>IF(COUNTIF($G$2:$G4135,$G4135)=1,1,0)</f>
        <v>0</v>
      </c>
      <c r="E4135" s="67" t="str">
        <f>IFERROR(VLOOKUP(База_КР_КК[[#This Row],[ИД штатной должности (S)]],'уровень защищенности'!$B$7:$F$1095,5,0),"не защищена")</f>
        <v>высокий</v>
      </c>
      <c r="F4135" s="68">
        <v>500496</v>
      </c>
      <c r="G4135" s="74" t="s">
        <v>3202</v>
      </c>
      <c r="H4135" s="181">
        <f>INDEX('Списки данных'!$D$2:$D$1048576,MATCH(База_КР_КК[[#This Row],[Структурное подразделение]],'Списки данных'!$C$2:$C$1048576,0))</f>
        <v>48</v>
      </c>
      <c r="I4135" s="80" t="s">
        <v>168</v>
      </c>
      <c r="J4135" s="80" t="s">
        <v>264</v>
      </c>
      <c r="K4135" s="80" t="s">
        <v>265</v>
      </c>
      <c r="L4135" s="30" t="s">
        <v>191</v>
      </c>
      <c r="M4135" s="68">
        <v>7</v>
      </c>
      <c r="N4135" s="181" t="str">
        <f t="shared" si="65"/>
        <v>нет</v>
      </c>
      <c r="O4135" s="23"/>
      <c r="P4135" s="23"/>
      <c r="Q4135" s="106"/>
      <c r="R4135" s="37">
        <v>1018</v>
      </c>
      <c r="S4135" s="39" t="s">
        <v>1427</v>
      </c>
      <c r="T4135" s="37">
        <v>2092</v>
      </c>
      <c r="U4135" s="37" t="s">
        <v>2021</v>
      </c>
      <c r="V4135" s="69" t="s">
        <v>272</v>
      </c>
      <c r="W4135" s="89" t="s">
        <v>168</v>
      </c>
      <c r="X4135" s="106" t="s">
        <v>295</v>
      </c>
      <c r="Y4135" s="107" t="s">
        <v>12</v>
      </c>
      <c r="Z4135" s="67">
        <f>IF(База_КР_КК[[#This Row],[Таб.номер резервиста]]="-","-",IF(OR(База_КР_КК[[#This Row],[Уровень КК]]=2,База_КР_КК[[#This Row],[Уровень КК]]=3),IF(COUNTIFS($U$2:$U4135,$U4135,$F$2:$F4135,$F4135)=1,1,0),IF(COUNTIFS($U$2:$U4135,$U4135,$L$2:$L4135,$L4135)=1,1,0)))</f>
        <v>1</v>
      </c>
      <c r="AA41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5" s="66"/>
      <c r="AC4135" s="51"/>
      <c r="AD4135" s="106" t="s">
        <v>15</v>
      </c>
      <c r="AE4135" s="38" t="s">
        <v>398</v>
      </c>
    </row>
    <row r="4136" spans="1:31" ht="18" customHeight="1" x14ac:dyDescent="0.25">
      <c r="A41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6" s="79">
        <v>4</v>
      </c>
      <c r="C4136" s="23">
        <v>44515</v>
      </c>
      <c r="D4136" s="67">
        <f>IF(COUNTIF($G$2:$G4136,$G4136)=1,1,0)</f>
        <v>0</v>
      </c>
      <c r="E4136" s="67" t="str">
        <f>IFERROR(VLOOKUP(База_КР_КК[[#This Row],[ИД штатной должности (S)]],'уровень защищенности'!$B$7:$F$1095,5,0),"не защищена")</f>
        <v>высокий</v>
      </c>
      <c r="F4136" s="68">
        <v>500496</v>
      </c>
      <c r="G4136" s="74" t="s">
        <v>3202</v>
      </c>
      <c r="H4136" s="181">
        <f>INDEX('Списки данных'!$D$2:$D$1048576,MATCH(База_КР_КК[[#This Row],[Структурное подразделение]],'Списки данных'!$C$2:$C$1048576,0))</f>
        <v>48</v>
      </c>
      <c r="I4136" s="80" t="s">
        <v>168</v>
      </c>
      <c r="J4136" s="80" t="s">
        <v>264</v>
      </c>
      <c r="K4136" s="80" t="s">
        <v>265</v>
      </c>
      <c r="L4136" s="30" t="s">
        <v>191</v>
      </c>
      <c r="M4136" s="68">
        <v>7</v>
      </c>
      <c r="N4136" s="181" t="str">
        <f t="shared" si="65"/>
        <v>нет</v>
      </c>
      <c r="O4136" s="23"/>
      <c r="P4136" s="23"/>
      <c r="Q4136" s="106"/>
      <c r="R4136" s="37">
        <v>1018</v>
      </c>
      <c r="S4136" s="39" t="s">
        <v>1427</v>
      </c>
      <c r="T4136" s="37">
        <v>1020</v>
      </c>
      <c r="U4136" s="37" t="s">
        <v>1429</v>
      </c>
      <c r="V4136" s="69" t="s">
        <v>192</v>
      </c>
      <c r="W4136" s="89" t="s">
        <v>168</v>
      </c>
      <c r="X4136" s="106" t="s">
        <v>297</v>
      </c>
      <c r="Y4136" s="107" t="s">
        <v>18</v>
      </c>
      <c r="Z4136" s="67">
        <f>IF(База_КР_КК[[#This Row],[Таб.номер резервиста]]="-","-",IF(OR(База_КР_КК[[#This Row],[Уровень КК]]=2,База_КР_КК[[#This Row],[Уровень КК]]=3),IF(COUNTIFS($U$2:$U4136,$U4136,$F$2:$F4136,$F4136)=1,1,0),IF(COUNTIFS($U$2:$U4136,$U4136,$L$2:$L4136,$L4136)=1,1,0)))</f>
        <v>0</v>
      </c>
      <c r="AA41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6" s="106" t="s">
        <v>37</v>
      </c>
      <c r="AC4136" s="51">
        <v>44669</v>
      </c>
      <c r="AD4136" s="106" t="s">
        <v>15</v>
      </c>
      <c r="AE4136" s="38" t="s">
        <v>398</v>
      </c>
    </row>
    <row r="4137" spans="1:31" ht="18" customHeight="1" x14ac:dyDescent="0.25">
      <c r="A41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7" s="79">
        <v>4</v>
      </c>
      <c r="C4137" s="23">
        <v>44515</v>
      </c>
      <c r="D4137" s="67">
        <f>IF(COUNTIF($G$2:$G4137,$G4137)=1,1,0)</f>
        <v>0</v>
      </c>
      <c r="E4137" s="67" t="str">
        <f>IFERROR(VLOOKUP(База_КР_КК[[#This Row],[ИД штатной должности (S)]],'уровень защищенности'!$B$7:$F$1095,5,0),"не защищена")</f>
        <v>высокий</v>
      </c>
      <c r="F4137" s="68">
        <v>500496</v>
      </c>
      <c r="G4137" s="74" t="s">
        <v>3202</v>
      </c>
      <c r="H4137" s="181">
        <f>INDEX('Списки данных'!$D$2:$D$1048576,MATCH(База_КР_КК[[#This Row],[Структурное подразделение]],'Списки данных'!$C$2:$C$1048576,0))</f>
        <v>48</v>
      </c>
      <c r="I4137" s="80" t="s">
        <v>168</v>
      </c>
      <c r="J4137" s="80" t="s">
        <v>264</v>
      </c>
      <c r="K4137" s="80" t="s">
        <v>265</v>
      </c>
      <c r="L4137" s="30" t="s">
        <v>191</v>
      </c>
      <c r="M4137" s="68">
        <v>7</v>
      </c>
      <c r="N4137" s="181" t="str">
        <f t="shared" si="65"/>
        <v>нет</v>
      </c>
      <c r="O4137" s="23"/>
      <c r="P4137" s="23"/>
      <c r="Q4137" s="106"/>
      <c r="R4137" s="37">
        <v>1018</v>
      </c>
      <c r="S4137" s="39" t="s">
        <v>1427</v>
      </c>
      <c r="T4137" s="37">
        <v>2093</v>
      </c>
      <c r="U4137" s="37" t="s">
        <v>2106</v>
      </c>
      <c r="V4137" s="69" t="s">
        <v>192</v>
      </c>
      <c r="W4137" s="89" t="s">
        <v>168</v>
      </c>
      <c r="X4137" s="106" t="s">
        <v>295</v>
      </c>
      <c r="Y4137" s="107" t="s">
        <v>18</v>
      </c>
      <c r="Z4137" s="67">
        <f>IF(База_КР_КК[[#This Row],[Таб.номер резервиста]]="-","-",IF(OR(База_КР_КК[[#This Row],[Уровень КК]]=2,База_КР_КК[[#This Row],[Уровень КК]]=3),IF(COUNTIFS($U$2:$U4137,$U4137,$F$2:$F4137,$F4137)=1,1,0),IF(COUNTIFS($U$2:$U4137,$U4137,$L$2:$L4137,$L4137)=1,1,0)))</f>
        <v>1</v>
      </c>
      <c r="AA41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7" s="106" t="s">
        <v>19</v>
      </c>
      <c r="AC4137" s="51">
        <v>44939</v>
      </c>
      <c r="AD4137" s="106" t="s">
        <v>15</v>
      </c>
      <c r="AE4137" s="38" t="s">
        <v>398</v>
      </c>
    </row>
    <row r="4138" spans="1:31" ht="18" customHeight="1" x14ac:dyDescent="0.25">
      <c r="A41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8" s="79">
        <v>4</v>
      </c>
      <c r="C4138" s="23">
        <v>44515</v>
      </c>
      <c r="D4138" s="67">
        <f>IF(COUNTIF($G$2:$G4138,$G4138)=1,1,0)</f>
        <v>0</v>
      </c>
      <c r="E4138" s="67" t="str">
        <f>IFERROR(VLOOKUP(База_КР_КК[[#This Row],[ИД штатной должности (S)]],'уровень защищенности'!$B$7:$F$1095,5,0),"не защищена")</f>
        <v>высокий</v>
      </c>
      <c r="F4138" s="68">
        <v>500496</v>
      </c>
      <c r="G4138" s="74" t="s">
        <v>3202</v>
      </c>
      <c r="H4138" s="181">
        <f>INDEX('Списки данных'!$D$2:$D$1048576,MATCH(База_КР_КК[[#This Row],[Структурное подразделение]],'Списки данных'!$C$2:$C$1048576,0))</f>
        <v>48</v>
      </c>
      <c r="I4138" s="80" t="s">
        <v>168</v>
      </c>
      <c r="J4138" s="80" t="s">
        <v>264</v>
      </c>
      <c r="K4138" s="80" t="s">
        <v>265</v>
      </c>
      <c r="L4138" s="30" t="s">
        <v>191</v>
      </c>
      <c r="M4138" s="68">
        <v>7</v>
      </c>
      <c r="N4138" s="181" t="str">
        <f t="shared" si="65"/>
        <v>нет</v>
      </c>
      <c r="O4138" s="23"/>
      <c r="P4138" s="23"/>
      <c r="Q4138" s="106"/>
      <c r="R4138" s="37">
        <v>1018</v>
      </c>
      <c r="S4138" s="39" t="s">
        <v>1427</v>
      </c>
      <c r="T4138" s="37">
        <v>2094</v>
      </c>
      <c r="U4138" s="37" t="s">
        <v>1965</v>
      </c>
      <c r="V4138" s="69" t="s">
        <v>192</v>
      </c>
      <c r="W4138" s="89" t="s">
        <v>168</v>
      </c>
      <c r="X4138" s="106" t="s">
        <v>296</v>
      </c>
      <c r="Y4138" s="107" t="s">
        <v>18</v>
      </c>
      <c r="Z4138" s="67">
        <f>IF(База_КР_КК[[#This Row],[Таб.номер резервиста]]="-","-",IF(OR(База_КР_КК[[#This Row],[Уровень КК]]=2,База_КР_КК[[#This Row],[Уровень КК]]=3),IF(COUNTIFS($U$2:$U4138,$U4138,$F$2:$F4138,$F4138)=1,1,0),IF(COUNTIFS($U$2:$U4138,$U4138,$L$2:$L4138,$L4138)=1,1,0)))</f>
        <v>0</v>
      </c>
      <c r="AA41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8" s="106" t="s">
        <v>33</v>
      </c>
      <c r="AC4138" s="51">
        <v>44895</v>
      </c>
      <c r="AD4138" s="106" t="s">
        <v>15</v>
      </c>
      <c r="AE4138" s="38" t="s">
        <v>398</v>
      </c>
    </row>
    <row r="4139" spans="1:31" ht="18" customHeight="1" x14ac:dyDescent="0.25">
      <c r="A41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39" s="79">
        <v>4</v>
      </c>
      <c r="C4139" s="23">
        <v>44515</v>
      </c>
      <c r="D4139" s="67">
        <f>IF(COUNTIF($G$2:$G4139,$G4139)=1,1,0)</f>
        <v>1</v>
      </c>
      <c r="E4139" s="67" t="str">
        <f>IFERROR(VLOOKUP(База_КР_КК[[#This Row],[ИД штатной должности (S)]],'уровень защищенности'!$B$7:$F$1095,5,0),"не защищена")</f>
        <v>высокий</v>
      </c>
      <c r="F4139" s="68">
        <v>500496</v>
      </c>
      <c r="G4139" s="74" t="s">
        <v>3203</v>
      </c>
      <c r="H4139" s="181">
        <f>INDEX('Списки данных'!$D$2:$D$1048576,MATCH(База_КР_КК[[#This Row],[Структурное подразделение]],'Списки данных'!$C$2:$C$1048576,0))</f>
        <v>48</v>
      </c>
      <c r="I4139" s="80" t="s">
        <v>168</v>
      </c>
      <c r="J4139" s="80" t="s">
        <v>264</v>
      </c>
      <c r="K4139" s="80" t="s">
        <v>265</v>
      </c>
      <c r="L4139" s="30" t="s">
        <v>191</v>
      </c>
      <c r="M4139" s="68">
        <v>7</v>
      </c>
      <c r="N4139" s="181" t="str">
        <f t="shared" si="65"/>
        <v>нет</v>
      </c>
      <c r="O4139" s="23"/>
      <c r="P4139" s="23"/>
      <c r="Q4139" s="106"/>
      <c r="R4139" s="37">
        <v>1019</v>
      </c>
      <c r="S4139" s="39" t="s">
        <v>1428</v>
      </c>
      <c r="T4139" s="37">
        <v>2087</v>
      </c>
      <c r="U4139" s="37" t="s">
        <v>2135</v>
      </c>
      <c r="V4139" s="69" t="s">
        <v>272</v>
      </c>
      <c r="W4139" s="89" t="s">
        <v>168</v>
      </c>
      <c r="X4139" s="106" t="s">
        <v>297</v>
      </c>
      <c r="Y4139" s="107" t="s">
        <v>12</v>
      </c>
      <c r="Z4139" s="67">
        <f>IF(База_КР_КК[[#This Row],[Таб.номер резервиста]]="-","-",IF(OR(База_КР_КК[[#This Row],[Уровень КК]]=2,База_КР_КК[[#This Row],[Уровень КК]]=3),IF(COUNTIFS($U$2:$U4139,$U4139,$F$2:$F4139,$F4139)=1,1,0),IF(COUNTIFS($U$2:$U4139,$U4139,$L$2:$L4139,$L4139)=1,1,0)))</f>
        <v>0</v>
      </c>
      <c r="AA41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39" s="106"/>
      <c r="AC4139" s="51"/>
      <c r="AD4139" s="106" t="s">
        <v>15</v>
      </c>
      <c r="AE4139" s="38" t="s">
        <v>398</v>
      </c>
    </row>
    <row r="4140" spans="1:31" ht="18" customHeight="1" x14ac:dyDescent="0.25">
      <c r="A41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0" s="79">
        <v>4</v>
      </c>
      <c r="C4140" s="23">
        <v>44515</v>
      </c>
      <c r="D4140" s="67">
        <f>IF(COUNTIF($G$2:$G4140,$G4140)=1,1,0)</f>
        <v>0</v>
      </c>
      <c r="E4140" s="67" t="str">
        <f>IFERROR(VLOOKUP(База_КР_КК[[#This Row],[ИД штатной должности (S)]],'уровень защищенности'!$B$7:$F$1095,5,0),"не защищена")</f>
        <v>высокий</v>
      </c>
      <c r="F4140" s="68">
        <v>500496</v>
      </c>
      <c r="G4140" s="74" t="s">
        <v>3203</v>
      </c>
      <c r="H4140" s="181">
        <f>INDEX('Списки данных'!$D$2:$D$1048576,MATCH(База_КР_КК[[#This Row],[Структурное подразделение]],'Списки данных'!$C$2:$C$1048576,0))</f>
        <v>48</v>
      </c>
      <c r="I4140" s="80" t="s">
        <v>168</v>
      </c>
      <c r="J4140" s="80" t="s">
        <v>264</v>
      </c>
      <c r="K4140" s="80" t="s">
        <v>265</v>
      </c>
      <c r="L4140" s="30" t="s">
        <v>191</v>
      </c>
      <c r="M4140" s="68">
        <v>7</v>
      </c>
      <c r="N4140" s="181" t="str">
        <f t="shared" si="65"/>
        <v>нет</v>
      </c>
      <c r="O4140" s="23"/>
      <c r="P4140" s="23"/>
      <c r="Q4140" s="106"/>
      <c r="R4140" s="37">
        <v>1019</v>
      </c>
      <c r="S4140" s="39" t="s">
        <v>1428</v>
      </c>
      <c r="T4140" s="37">
        <v>2088</v>
      </c>
      <c r="U4140" s="37" t="s">
        <v>2089</v>
      </c>
      <c r="V4140" s="69" t="s">
        <v>272</v>
      </c>
      <c r="W4140" s="89" t="s">
        <v>168</v>
      </c>
      <c r="X4140" s="106" t="s">
        <v>296</v>
      </c>
      <c r="Y4140" s="107" t="s">
        <v>12</v>
      </c>
      <c r="Z4140" s="67">
        <f>IF(База_КР_КК[[#This Row],[Таб.номер резервиста]]="-","-",IF(OR(База_КР_КК[[#This Row],[Уровень КК]]=2,База_КР_КК[[#This Row],[Уровень КК]]=3),IF(COUNTIFS($U$2:$U4140,$U4140,$F$2:$F4140,$F4140)=1,1,0),IF(COUNTIFS($U$2:$U4140,$U4140,$L$2:$L4140,$L4140)=1,1,0)))</f>
        <v>0</v>
      </c>
      <c r="AA41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0" s="106"/>
      <c r="AC4140" s="51"/>
      <c r="AD4140" s="106" t="s">
        <v>15</v>
      </c>
      <c r="AE4140" s="38" t="s">
        <v>398</v>
      </c>
    </row>
    <row r="4141" spans="1:31" ht="18" customHeight="1" x14ac:dyDescent="0.25">
      <c r="A41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1" s="79">
        <v>4</v>
      </c>
      <c r="C4141" s="23">
        <v>44515</v>
      </c>
      <c r="D4141" s="67">
        <f>IF(COUNTIF($G$2:$G4141,$G4141)=1,1,0)</f>
        <v>0</v>
      </c>
      <c r="E4141" s="67" t="str">
        <f>IFERROR(VLOOKUP(База_КР_КК[[#This Row],[ИД штатной должности (S)]],'уровень защищенности'!$B$7:$F$1095,5,0),"не защищена")</f>
        <v>высокий</v>
      </c>
      <c r="F4141" s="68">
        <v>500496</v>
      </c>
      <c r="G4141" s="74" t="s">
        <v>3203</v>
      </c>
      <c r="H4141" s="181">
        <f>INDEX('Списки данных'!$D$2:$D$1048576,MATCH(База_КР_КК[[#This Row],[Структурное подразделение]],'Списки данных'!$C$2:$C$1048576,0))</f>
        <v>48</v>
      </c>
      <c r="I4141" s="80" t="s">
        <v>168</v>
      </c>
      <c r="J4141" s="80" t="s">
        <v>264</v>
      </c>
      <c r="K4141" s="80" t="s">
        <v>265</v>
      </c>
      <c r="L4141" s="30" t="s">
        <v>191</v>
      </c>
      <c r="M4141" s="68">
        <v>7</v>
      </c>
      <c r="N4141" s="181" t="str">
        <f t="shared" si="65"/>
        <v>нет</v>
      </c>
      <c r="O4141" s="23"/>
      <c r="P4141" s="23"/>
      <c r="Q4141" s="106"/>
      <c r="R4141" s="37">
        <v>1019</v>
      </c>
      <c r="S4141" s="39" t="s">
        <v>1428</v>
      </c>
      <c r="T4141" s="37">
        <v>2089</v>
      </c>
      <c r="U4141" s="37" t="s">
        <v>1990</v>
      </c>
      <c r="V4141" s="69" t="s">
        <v>272</v>
      </c>
      <c r="W4141" s="89" t="s">
        <v>168</v>
      </c>
      <c r="X4141" s="106" t="s">
        <v>297</v>
      </c>
      <c r="Y4141" s="107" t="s">
        <v>12</v>
      </c>
      <c r="Z4141" s="67">
        <f>IF(База_КР_КК[[#This Row],[Таб.номер резервиста]]="-","-",IF(OR(База_КР_КК[[#This Row],[Уровень КК]]=2,База_КР_КК[[#This Row],[Уровень КК]]=3),IF(COUNTIFS($U$2:$U4141,$U4141,$F$2:$F4141,$F4141)=1,1,0),IF(COUNTIFS($U$2:$U4141,$U4141,$L$2:$L4141,$L4141)=1,1,0)))</f>
        <v>0</v>
      </c>
      <c r="AA41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1" s="106"/>
      <c r="AC4141" s="51"/>
      <c r="AD4141" s="106" t="s">
        <v>15</v>
      </c>
      <c r="AE4141" s="38" t="s">
        <v>398</v>
      </c>
    </row>
    <row r="4142" spans="1:31" ht="18" customHeight="1" x14ac:dyDescent="0.25">
      <c r="A41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2" s="79">
        <v>4</v>
      </c>
      <c r="C4142" s="23">
        <v>44515</v>
      </c>
      <c r="D4142" s="67">
        <f>IF(COUNTIF($G$2:$G4142,$G4142)=1,1,0)</f>
        <v>0</v>
      </c>
      <c r="E4142" s="67" t="str">
        <f>IFERROR(VLOOKUP(База_КР_КК[[#This Row],[ИД штатной должности (S)]],'уровень защищенности'!$B$7:$F$1095,5,0),"не защищена")</f>
        <v>высокий</v>
      </c>
      <c r="F4142" s="68">
        <v>500496</v>
      </c>
      <c r="G4142" s="74" t="s">
        <v>3203</v>
      </c>
      <c r="H4142" s="181">
        <f>INDEX('Списки данных'!$D$2:$D$1048576,MATCH(База_КР_КК[[#This Row],[Структурное подразделение]],'Списки данных'!$C$2:$C$1048576,0))</f>
        <v>48</v>
      </c>
      <c r="I4142" s="80" t="s">
        <v>168</v>
      </c>
      <c r="J4142" s="80" t="s">
        <v>264</v>
      </c>
      <c r="K4142" s="80" t="s">
        <v>265</v>
      </c>
      <c r="L4142" s="30" t="s">
        <v>191</v>
      </c>
      <c r="M4142" s="68">
        <v>7</v>
      </c>
      <c r="N4142" s="181" t="str">
        <f t="shared" si="65"/>
        <v>нет</v>
      </c>
      <c r="O4142" s="23"/>
      <c r="P4142" s="23"/>
      <c r="Q4142" s="106"/>
      <c r="R4142" s="37">
        <v>1019</v>
      </c>
      <c r="S4142" s="39" t="s">
        <v>1428</v>
      </c>
      <c r="T4142" s="37">
        <v>2090</v>
      </c>
      <c r="U4142" s="37" t="s">
        <v>1647</v>
      </c>
      <c r="V4142" s="69" t="s">
        <v>272</v>
      </c>
      <c r="W4142" s="89" t="s">
        <v>168</v>
      </c>
      <c r="X4142" s="106" t="s">
        <v>296</v>
      </c>
      <c r="Y4142" s="107" t="s">
        <v>12</v>
      </c>
      <c r="Z4142" s="67">
        <f>IF(База_КР_КК[[#This Row],[Таб.номер резервиста]]="-","-",IF(OR(База_КР_КК[[#This Row],[Уровень КК]]=2,База_КР_КК[[#This Row],[Уровень КК]]=3),IF(COUNTIFS($U$2:$U4142,$U4142,$F$2:$F4142,$F4142)=1,1,0),IF(COUNTIFS($U$2:$U4142,$U4142,$L$2:$L4142,$L4142)=1,1,0)))</f>
        <v>0</v>
      </c>
      <c r="AA41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2" s="106"/>
      <c r="AC4142" s="51"/>
      <c r="AD4142" s="106" t="s">
        <v>15</v>
      </c>
      <c r="AE4142" s="38" t="s">
        <v>398</v>
      </c>
    </row>
    <row r="4143" spans="1:31" ht="18" customHeight="1" x14ac:dyDescent="0.25">
      <c r="A41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3" s="79">
        <v>4</v>
      </c>
      <c r="C4143" s="23">
        <v>44515</v>
      </c>
      <c r="D4143" s="67">
        <f>IF(COUNTIF($G$2:$G4143,$G4143)=1,1,0)</f>
        <v>0</v>
      </c>
      <c r="E4143" s="67" t="str">
        <f>IFERROR(VLOOKUP(База_КР_КК[[#This Row],[ИД штатной должности (S)]],'уровень защищенности'!$B$7:$F$1095,5,0),"не защищена")</f>
        <v>высокий</v>
      </c>
      <c r="F4143" s="68">
        <v>500496</v>
      </c>
      <c r="G4143" s="74" t="s">
        <v>3203</v>
      </c>
      <c r="H4143" s="181">
        <f>INDEX('Списки данных'!$D$2:$D$1048576,MATCH(База_КР_КК[[#This Row],[Структурное подразделение]],'Списки данных'!$C$2:$C$1048576,0))</f>
        <v>48</v>
      </c>
      <c r="I4143" s="80" t="s">
        <v>168</v>
      </c>
      <c r="J4143" s="80" t="s">
        <v>264</v>
      </c>
      <c r="K4143" s="80" t="s">
        <v>265</v>
      </c>
      <c r="L4143" s="30" t="s">
        <v>191</v>
      </c>
      <c r="M4143" s="68">
        <v>7</v>
      </c>
      <c r="N4143" s="181" t="str">
        <f t="shared" si="65"/>
        <v>нет</v>
      </c>
      <c r="O4143" s="23"/>
      <c r="P4143" s="23"/>
      <c r="Q4143" s="106"/>
      <c r="R4143" s="37">
        <v>1019</v>
      </c>
      <c r="S4143" s="39" t="s">
        <v>1428</v>
      </c>
      <c r="T4143" s="37">
        <v>2091</v>
      </c>
      <c r="U4143" s="37" t="s">
        <v>2072</v>
      </c>
      <c r="V4143" s="69" t="s">
        <v>272</v>
      </c>
      <c r="W4143" s="89" t="s">
        <v>168</v>
      </c>
      <c r="X4143" s="106" t="s">
        <v>296</v>
      </c>
      <c r="Y4143" s="107" t="s">
        <v>12</v>
      </c>
      <c r="Z4143" s="67">
        <f>IF(База_КР_КК[[#This Row],[Таб.номер резервиста]]="-","-",IF(OR(База_КР_КК[[#This Row],[Уровень КК]]=2,База_КР_КК[[#This Row],[Уровень КК]]=3),IF(COUNTIFS($U$2:$U4143,$U4143,$F$2:$F4143,$F4143)=1,1,0),IF(COUNTIFS($U$2:$U4143,$U4143,$L$2:$L4143,$L4143)=1,1,0)))</f>
        <v>0</v>
      </c>
      <c r="AA41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3" s="106"/>
      <c r="AC4143" s="51"/>
      <c r="AD4143" s="106" t="s">
        <v>15</v>
      </c>
      <c r="AE4143" s="38" t="s">
        <v>398</v>
      </c>
    </row>
    <row r="4144" spans="1:31" ht="18" customHeight="1" x14ac:dyDescent="0.25">
      <c r="A41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4" s="79">
        <v>4</v>
      </c>
      <c r="C4144" s="23">
        <v>44515</v>
      </c>
      <c r="D4144" s="67">
        <f>IF(COUNTIF($G$2:$G4144,$G4144)=1,1,0)</f>
        <v>0</v>
      </c>
      <c r="E4144" s="67" t="str">
        <f>IFERROR(VLOOKUP(База_КР_КК[[#This Row],[ИД штатной должности (S)]],'уровень защищенности'!$B$7:$F$1095,5,0),"не защищена")</f>
        <v>высокий</v>
      </c>
      <c r="F4144" s="68">
        <v>500496</v>
      </c>
      <c r="G4144" s="74" t="s">
        <v>3203</v>
      </c>
      <c r="H4144" s="181">
        <f>INDEX('Списки данных'!$D$2:$D$1048576,MATCH(База_КР_КК[[#This Row],[Структурное подразделение]],'Списки данных'!$C$2:$C$1048576,0))</f>
        <v>48</v>
      </c>
      <c r="I4144" s="80" t="s">
        <v>168</v>
      </c>
      <c r="J4144" s="80" t="s">
        <v>264</v>
      </c>
      <c r="K4144" s="80" t="s">
        <v>265</v>
      </c>
      <c r="L4144" s="30" t="s">
        <v>191</v>
      </c>
      <c r="M4144" s="68">
        <v>7</v>
      </c>
      <c r="N4144" s="181" t="str">
        <f t="shared" si="65"/>
        <v>нет</v>
      </c>
      <c r="O4144" s="23"/>
      <c r="P4144" s="23"/>
      <c r="Q4144" s="106"/>
      <c r="R4144" s="37">
        <v>1019</v>
      </c>
      <c r="S4144" s="39" t="s">
        <v>1428</v>
      </c>
      <c r="T4144" s="37">
        <v>2092</v>
      </c>
      <c r="U4144" s="37" t="s">
        <v>2021</v>
      </c>
      <c r="V4144" s="69" t="s">
        <v>272</v>
      </c>
      <c r="W4144" s="89" t="s">
        <v>168</v>
      </c>
      <c r="X4144" s="106" t="s">
        <v>295</v>
      </c>
      <c r="Y4144" s="107" t="s">
        <v>12</v>
      </c>
      <c r="Z4144" s="67">
        <f>IF(База_КР_КК[[#This Row],[Таб.номер резервиста]]="-","-",IF(OR(База_КР_КК[[#This Row],[Уровень КК]]=2,База_КР_КК[[#This Row],[Уровень КК]]=3),IF(COUNTIFS($U$2:$U4144,$U4144,$F$2:$F4144,$F4144)=1,1,0),IF(COUNTIFS($U$2:$U4144,$U4144,$L$2:$L4144,$L4144)=1,1,0)))</f>
        <v>0</v>
      </c>
      <c r="AA41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4" s="106"/>
      <c r="AC4144" s="51"/>
      <c r="AD4144" s="106" t="s">
        <v>15</v>
      </c>
      <c r="AE4144" s="38" t="s">
        <v>398</v>
      </c>
    </row>
    <row r="4145" spans="1:31" ht="18" customHeight="1" x14ac:dyDescent="0.25">
      <c r="A41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5" s="79">
        <v>4</v>
      </c>
      <c r="C4145" s="23">
        <v>44515</v>
      </c>
      <c r="D4145" s="67">
        <f>IF(COUNTIF($G$2:$G4145,$G4145)=1,1,0)</f>
        <v>0</v>
      </c>
      <c r="E4145" s="67" t="str">
        <f>IFERROR(VLOOKUP(База_КР_КК[[#This Row],[ИД штатной должности (S)]],'уровень защищенности'!$B$7:$F$1095,5,0),"не защищена")</f>
        <v>высокий</v>
      </c>
      <c r="F4145" s="68">
        <v>500496</v>
      </c>
      <c r="G4145" s="74" t="s">
        <v>3203</v>
      </c>
      <c r="H4145" s="181">
        <f>INDEX('Списки данных'!$D$2:$D$1048576,MATCH(База_КР_КК[[#This Row],[Структурное подразделение]],'Списки данных'!$C$2:$C$1048576,0))</f>
        <v>48</v>
      </c>
      <c r="I4145" s="80" t="s">
        <v>168</v>
      </c>
      <c r="J4145" s="80" t="s">
        <v>264</v>
      </c>
      <c r="K4145" s="80" t="s">
        <v>265</v>
      </c>
      <c r="L4145" s="30" t="s">
        <v>191</v>
      </c>
      <c r="M4145" s="68">
        <v>7</v>
      </c>
      <c r="N4145" s="181" t="str">
        <f t="shared" si="65"/>
        <v>нет</v>
      </c>
      <c r="O4145" s="23"/>
      <c r="P4145" s="23"/>
      <c r="Q4145" s="106"/>
      <c r="R4145" s="37">
        <v>1019</v>
      </c>
      <c r="S4145" s="39" t="s">
        <v>1428</v>
      </c>
      <c r="T4145" s="37">
        <v>1020</v>
      </c>
      <c r="U4145" s="37" t="s">
        <v>1429</v>
      </c>
      <c r="V4145" s="69" t="s">
        <v>192</v>
      </c>
      <c r="W4145" s="89" t="s">
        <v>168</v>
      </c>
      <c r="X4145" s="106" t="s">
        <v>297</v>
      </c>
      <c r="Y4145" s="107" t="s">
        <v>18</v>
      </c>
      <c r="Z4145" s="67">
        <f>IF(База_КР_КК[[#This Row],[Таб.номер резервиста]]="-","-",IF(OR(База_КР_КК[[#This Row],[Уровень КК]]=2,База_КР_КК[[#This Row],[Уровень КК]]=3),IF(COUNTIFS($U$2:$U4145,$U4145,$F$2:$F4145,$F4145)=1,1,0),IF(COUNTIFS($U$2:$U4145,$U4145,$L$2:$L4145,$L4145)=1,1,0)))</f>
        <v>0</v>
      </c>
      <c r="AA41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5" s="106" t="s">
        <v>37</v>
      </c>
      <c r="AC4145" s="51">
        <v>44669</v>
      </c>
      <c r="AD4145" s="106" t="s">
        <v>15</v>
      </c>
      <c r="AE4145" s="38" t="s">
        <v>398</v>
      </c>
    </row>
    <row r="4146" spans="1:31" ht="18" customHeight="1" x14ac:dyDescent="0.25">
      <c r="A41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6" s="79">
        <v>4</v>
      </c>
      <c r="C4146" s="23">
        <v>44515</v>
      </c>
      <c r="D4146" s="67">
        <f>IF(COUNTIF($G$2:$G4146,$G4146)=1,1,0)</f>
        <v>0</v>
      </c>
      <c r="E4146" s="67" t="str">
        <f>IFERROR(VLOOKUP(База_КР_КК[[#This Row],[ИД штатной должности (S)]],'уровень защищенности'!$B$7:$F$1095,5,0),"не защищена")</f>
        <v>высокий</v>
      </c>
      <c r="F4146" s="68">
        <v>500496</v>
      </c>
      <c r="G4146" s="74" t="s">
        <v>3203</v>
      </c>
      <c r="H4146" s="181">
        <f>INDEX('Списки данных'!$D$2:$D$1048576,MATCH(База_КР_КК[[#This Row],[Структурное подразделение]],'Списки данных'!$C$2:$C$1048576,0))</f>
        <v>48</v>
      </c>
      <c r="I4146" s="80" t="s">
        <v>168</v>
      </c>
      <c r="J4146" s="80" t="s">
        <v>264</v>
      </c>
      <c r="K4146" s="80" t="s">
        <v>265</v>
      </c>
      <c r="L4146" s="30" t="s">
        <v>191</v>
      </c>
      <c r="M4146" s="68">
        <v>7</v>
      </c>
      <c r="N4146" s="181" t="str">
        <f t="shared" si="65"/>
        <v>нет</v>
      </c>
      <c r="O4146" s="23"/>
      <c r="P4146" s="23"/>
      <c r="Q4146" s="106"/>
      <c r="R4146" s="37">
        <v>1019</v>
      </c>
      <c r="S4146" s="39" t="s">
        <v>1428</v>
      </c>
      <c r="T4146" s="37">
        <v>2093</v>
      </c>
      <c r="U4146" s="37" t="s">
        <v>2106</v>
      </c>
      <c r="V4146" s="69" t="s">
        <v>192</v>
      </c>
      <c r="W4146" s="89" t="s">
        <v>168</v>
      </c>
      <c r="X4146" s="106" t="s">
        <v>295</v>
      </c>
      <c r="Y4146" s="107" t="s">
        <v>18</v>
      </c>
      <c r="Z4146" s="67">
        <f>IF(База_КР_КК[[#This Row],[Таб.номер резервиста]]="-","-",IF(OR(База_КР_КК[[#This Row],[Уровень КК]]=2,База_КР_КК[[#This Row],[Уровень КК]]=3),IF(COUNTIFS($U$2:$U4146,$U4146,$F$2:$F4146,$F4146)=1,1,0),IF(COUNTIFS($U$2:$U4146,$U4146,$L$2:$L4146,$L4146)=1,1,0)))</f>
        <v>0</v>
      </c>
      <c r="AA41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6" s="106" t="s">
        <v>19</v>
      </c>
      <c r="AC4146" s="51">
        <v>44939</v>
      </c>
      <c r="AD4146" s="106" t="s">
        <v>15</v>
      </c>
      <c r="AE4146" s="38" t="s">
        <v>398</v>
      </c>
    </row>
    <row r="4147" spans="1:31" ht="18" customHeight="1" x14ac:dyDescent="0.25">
      <c r="A41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7" s="79">
        <v>4</v>
      </c>
      <c r="C4147" s="23">
        <v>44515</v>
      </c>
      <c r="D4147" s="67">
        <f>IF(COUNTIF($G$2:$G4147,$G4147)=1,1,0)</f>
        <v>0</v>
      </c>
      <c r="E4147" s="67" t="str">
        <f>IFERROR(VLOOKUP(База_КР_КК[[#This Row],[ИД штатной должности (S)]],'уровень защищенности'!$B$7:$F$1095,5,0),"не защищена")</f>
        <v>высокий</v>
      </c>
      <c r="F4147" s="68">
        <v>500496</v>
      </c>
      <c r="G4147" s="74" t="s">
        <v>3203</v>
      </c>
      <c r="H4147" s="181">
        <f>INDEX('Списки данных'!$D$2:$D$1048576,MATCH(База_КР_КК[[#This Row],[Структурное подразделение]],'Списки данных'!$C$2:$C$1048576,0))</f>
        <v>48</v>
      </c>
      <c r="I4147" s="80" t="s">
        <v>168</v>
      </c>
      <c r="J4147" s="80" t="s">
        <v>264</v>
      </c>
      <c r="K4147" s="80" t="s">
        <v>265</v>
      </c>
      <c r="L4147" s="30" t="s">
        <v>191</v>
      </c>
      <c r="M4147" s="68">
        <v>7</v>
      </c>
      <c r="N4147" s="181" t="str">
        <f t="shared" si="65"/>
        <v>нет</v>
      </c>
      <c r="O4147" s="23"/>
      <c r="P4147" s="23"/>
      <c r="Q4147" s="106"/>
      <c r="R4147" s="37">
        <v>1019</v>
      </c>
      <c r="S4147" s="39" t="s">
        <v>1428</v>
      </c>
      <c r="T4147" s="37">
        <v>2094</v>
      </c>
      <c r="U4147" s="37" t="s">
        <v>1965</v>
      </c>
      <c r="V4147" s="69" t="s">
        <v>192</v>
      </c>
      <c r="W4147" s="89" t="s">
        <v>168</v>
      </c>
      <c r="X4147" s="106" t="s">
        <v>296</v>
      </c>
      <c r="Y4147" s="107" t="s">
        <v>18</v>
      </c>
      <c r="Z4147" s="67">
        <f>IF(База_КР_КК[[#This Row],[Таб.номер резервиста]]="-","-",IF(OR(База_КР_КК[[#This Row],[Уровень КК]]=2,База_КР_КК[[#This Row],[Уровень КК]]=3),IF(COUNTIFS($U$2:$U4147,$U4147,$F$2:$F4147,$F4147)=1,1,0),IF(COUNTIFS($U$2:$U4147,$U4147,$L$2:$L4147,$L4147)=1,1,0)))</f>
        <v>0</v>
      </c>
      <c r="AA41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7" s="106" t="s">
        <v>33</v>
      </c>
      <c r="AC4147" s="51">
        <v>44895</v>
      </c>
      <c r="AD4147" s="106" t="s">
        <v>15</v>
      </c>
      <c r="AE4147" s="38" t="s">
        <v>398</v>
      </c>
    </row>
    <row r="4148" spans="1:31" ht="18" customHeight="1" x14ac:dyDescent="0.25">
      <c r="A41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8" s="79">
        <v>4</v>
      </c>
      <c r="C4148" s="23">
        <v>44515</v>
      </c>
      <c r="D4148" s="67">
        <f>IF(COUNTIF($G$2:$G4148,$G4148)=1,1,0)</f>
        <v>1</v>
      </c>
      <c r="E4148" s="67" t="str">
        <f>IFERROR(VLOOKUP(База_КР_КК[[#This Row],[ИД штатной должности (S)]],'уровень защищенности'!$B$7:$F$1095,5,0),"не защищена")</f>
        <v>высокий</v>
      </c>
      <c r="F4148" s="68">
        <v>500496</v>
      </c>
      <c r="G4148" s="74" t="s">
        <v>3204</v>
      </c>
      <c r="H4148" s="181">
        <f>INDEX('Списки данных'!$D$2:$D$1048576,MATCH(База_КР_КК[[#This Row],[Структурное подразделение]],'Списки данных'!$C$2:$C$1048576,0))</f>
        <v>48</v>
      </c>
      <c r="I4148" s="80" t="s">
        <v>168</v>
      </c>
      <c r="J4148" s="80" t="s">
        <v>264</v>
      </c>
      <c r="K4148" s="80" t="s">
        <v>265</v>
      </c>
      <c r="L4148" s="30" t="s">
        <v>191</v>
      </c>
      <c r="M4148" s="68">
        <v>7</v>
      </c>
      <c r="N4148" s="181" t="str">
        <f t="shared" si="65"/>
        <v>да</v>
      </c>
      <c r="O4148" s="23">
        <v>44621</v>
      </c>
      <c r="P4148" s="23">
        <v>44669</v>
      </c>
      <c r="Q4148" s="106" t="s">
        <v>66</v>
      </c>
      <c r="R4148" s="37">
        <v>1020</v>
      </c>
      <c r="S4148" s="39" t="s">
        <v>1429</v>
      </c>
      <c r="T4148" s="37">
        <v>2087</v>
      </c>
      <c r="U4148" s="37" t="s">
        <v>2135</v>
      </c>
      <c r="V4148" s="69" t="s">
        <v>272</v>
      </c>
      <c r="W4148" s="89" t="s">
        <v>168</v>
      </c>
      <c r="X4148" s="106" t="s">
        <v>297</v>
      </c>
      <c r="Y4148" s="107" t="s">
        <v>12</v>
      </c>
      <c r="Z4148" s="67">
        <f>IF(База_КР_КК[[#This Row],[Таб.номер резервиста]]="-","-",IF(OR(База_КР_КК[[#This Row],[Уровень КК]]=2,База_КР_КК[[#This Row],[Уровень КК]]=3),IF(COUNTIFS($U$2:$U4148,$U4148,$F$2:$F4148,$F4148)=1,1,0),IF(COUNTIFS($U$2:$U4148,$U4148,$L$2:$L4148,$L4148)=1,1,0)))</f>
        <v>0</v>
      </c>
      <c r="AA41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8" s="106"/>
      <c r="AC4148" s="51"/>
      <c r="AD4148" s="106" t="s">
        <v>15</v>
      </c>
      <c r="AE4148" s="38" t="s">
        <v>398</v>
      </c>
    </row>
    <row r="4149" spans="1:31" ht="18" customHeight="1" x14ac:dyDescent="0.25">
      <c r="A41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49" s="79">
        <v>4</v>
      </c>
      <c r="C4149" s="23">
        <v>44515</v>
      </c>
      <c r="D4149" s="67">
        <f>IF(COUNTIF($G$2:$G4149,$G4149)=1,1,0)</f>
        <v>0</v>
      </c>
      <c r="E4149" s="67" t="str">
        <f>IFERROR(VLOOKUP(База_КР_КК[[#This Row],[ИД штатной должности (S)]],'уровень защищенности'!$B$7:$F$1095,5,0),"не защищена")</f>
        <v>высокий</v>
      </c>
      <c r="F4149" s="68">
        <v>500496</v>
      </c>
      <c r="G4149" s="74" t="s">
        <v>3204</v>
      </c>
      <c r="H4149" s="181">
        <f>INDEX('Списки данных'!$D$2:$D$1048576,MATCH(База_КР_КК[[#This Row],[Структурное подразделение]],'Списки данных'!$C$2:$C$1048576,0))</f>
        <v>48</v>
      </c>
      <c r="I4149" s="80" t="s">
        <v>168</v>
      </c>
      <c r="J4149" s="80" t="s">
        <v>264</v>
      </c>
      <c r="K4149" s="80" t="s">
        <v>265</v>
      </c>
      <c r="L4149" s="30" t="s">
        <v>191</v>
      </c>
      <c r="M4149" s="68">
        <v>7</v>
      </c>
      <c r="N4149" s="181" t="str">
        <f t="shared" si="65"/>
        <v>да</v>
      </c>
      <c r="O4149" s="23">
        <v>44621</v>
      </c>
      <c r="P4149" s="23">
        <v>44669</v>
      </c>
      <c r="Q4149" s="106" t="s">
        <v>66</v>
      </c>
      <c r="R4149" s="37">
        <v>1020</v>
      </c>
      <c r="S4149" s="39" t="s">
        <v>1429</v>
      </c>
      <c r="T4149" s="37">
        <v>2088</v>
      </c>
      <c r="U4149" s="37" t="s">
        <v>2089</v>
      </c>
      <c r="V4149" s="69" t="s">
        <v>272</v>
      </c>
      <c r="W4149" s="89" t="s">
        <v>168</v>
      </c>
      <c r="X4149" s="106" t="s">
        <v>296</v>
      </c>
      <c r="Y4149" s="107" t="s">
        <v>12</v>
      </c>
      <c r="Z4149" s="67">
        <f>IF(База_КР_КК[[#This Row],[Таб.номер резервиста]]="-","-",IF(OR(База_КР_КК[[#This Row],[Уровень КК]]=2,База_КР_КК[[#This Row],[Уровень КК]]=3),IF(COUNTIFS($U$2:$U4149,$U4149,$F$2:$F4149,$F4149)=1,1,0),IF(COUNTIFS($U$2:$U4149,$U4149,$L$2:$L4149,$L4149)=1,1,0)))</f>
        <v>0</v>
      </c>
      <c r="AA41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49" s="106"/>
      <c r="AC4149" s="51"/>
      <c r="AD4149" s="106" t="s">
        <v>15</v>
      </c>
      <c r="AE4149" s="38" t="s">
        <v>398</v>
      </c>
    </row>
    <row r="4150" spans="1:31" ht="18" customHeight="1" x14ac:dyDescent="0.25">
      <c r="A41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0" s="79">
        <v>4</v>
      </c>
      <c r="C4150" s="23">
        <v>44515</v>
      </c>
      <c r="D4150" s="67">
        <f>IF(COUNTIF($G$2:$G4150,$G4150)=1,1,0)</f>
        <v>0</v>
      </c>
      <c r="E4150" s="67" t="str">
        <f>IFERROR(VLOOKUP(База_КР_КК[[#This Row],[ИД штатной должности (S)]],'уровень защищенности'!$B$7:$F$1095,5,0),"не защищена")</f>
        <v>высокий</v>
      </c>
      <c r="F4150" s="68">
        <v>500496</v>
      </c>
      <c r="G4150" s="74" t="s">
        <v>3204</v>
      </c>
      <c r="H4150" s="181">
        <f>INDEX('Списки данных'!$D$2:$D$1048576,MATCH(База_КР_КК[[#This Row],[Структурное подразделение]],'Списки данных'!$C$2:$C$1048576,0))</f>
        <v>48</v>
      </c>
      <c r="I4150" s="80" t="s">
        <v>168</v>
      </c>
      <c r="J4150" s="80" t="s">
        <v>264</v>
      </c>
      <c r="K4150" s="80" t="s">
        <v>265</v>
      </c>
      <c r="L4150" s="30" t="s">
        <v>191</v>
      </c>
      <c r="M4150" s="68">
        <v>7</v>
      </c>
      <c r="N4150" s="181" t="str">
        <f t="shared" si="65"/>
        <v>да</v>
      </c>
      <c r="O4150" s="23">
        <v>44621</v>
      </c>
      <c r="P4150" s="23">
        <v>44669</v>
      </c>
      <c r="Q4150" s="106" t="s">
        <v>66</v>
      </c>
      <c r="R4150" s="37">
        <v>1020</v>
      </c>
      <c r="S4150" s="39" t="s">
        <v>1429</v>
      </c>
      <c r="T4150" s="37">
        <v>2089</v>
      </c>
      <c r="U4150" s="37" t="s">
        <v>1990</v>
      </c>
      <c r="V4150" s="69" t="s">
        <v>272</v>
      </c>
      <c r="W4150" s="89" t="s">
        <v>168</v>
      </c>
      <c r="X4150" s="106" t="s">
        <v>297</v>
      </c>
      <c r="Y4150" s="107" t="s">
        <v>12</v>
      </c>
      <c r="Z4150" s="67">
        <f>IF(База_КР_КК[[#This Row],[Таб.номер резервиста]]="-","-",IF(OR(База_КР_КК[[#This Row],[Уровень КК]]=2,База_КР_КК[[#This Row],[Уровень КК]]=3),IF(COUNTIFS($U$2:$U4150,$U4150,$F$2:$F4150,$F4150)=1,1,0),IF(COUNTIFS($U$2:$U4150,$U4150,$L$2:$L4150,$L4150)=1,1,0)))</f>
        <v>0</v>
      </c>
      <c r="AA41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0" s="106"/>
      <c r="AC4150" s="51"/>
      <c r="AD4150" s="106" t="s">
        <v>15</v>
      </c>
      <c r="AE4150" s="38" t="s">
        <v>398</v>
      </c>
    </row>
    <row r="4151" spans="1:31" ht="18" customHeight="1" x14ac:dyDescent="0.25">
      <c r="A41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1" s="79">
        <v>4</v>
      </c>
      <c r="C4151" s="23">
        <v>44515</v>
      </c>
      <c r="D4151" s="67">
        <f>IF(COUNTIF($G$2:$G4151,$G4151)=1,1,0)</f>
        <v>0</v>
      </c>
      <c r="E4151" s="67" t="str">
        <f>IFERROR(VLOOKUP(База_КР_КК[[#This Row],[ИД штатной должности (S)]],'уровень защищенности'!$B$7:$F$1095,5,0),"не защищена")</f>
        <v>высокий</v>
      </c>
      <c r="F4151" s="68">
        <v>500496</v>
      </c>
      <c r="G4151" s="74" t="s">
        <v>3204</v>
      </c>
      <c r="H4151" s="181">
        <f>INDEX('Списки данных'!$D$2:$D$1048576,MATCH(База_КР_КК[[#This Row],[Структурное подразделение]],'Списки данных'!$C$2:$C$1048576,0))</f>
        <v>48</v>
      </c>
      <c r="I4151" s="80" t="s">
        <v>168</v>
      </c>
      <c r="J4151" s="80" t="s">
        <v>264</v>
      </c>
      <c r="K4151" s="80" t="s">
        <v>265</v>
      </c>
      <c r="L4151" s="30" t="s">
        <v>191</v>
      </c>
      <c r="M4151" s="68">
        <v>7</v>
      </c>
      <c r="N4151" s="181" t="str">
        <f t="shared" si="65"/>
        <v>да</v>
      </c>
      <c r="O4151" s="23">
        <v>44621</v>
      </c>
      <c r="P4151" s="23">
        <v>44669</v>
      </c>
      <c r="Q4151" s="106" t="s">
        <v>66</v>
      </c>
      <c r="R4151" s="37">
        <v>1020</v>
      </c>
      <c r="S4151" s="39" t="s">
        <v>1429</v>
      </c>
      <c r="T4151" s="37">
        <v>2090</v>
      </c>
      <c r="U4151" s="37" t="s">
        <v>1647</v>
      </c>
      <c r="V4151" s="69" t="s">
        <v>272</v>
      </c>
      <c r="W4151" s="89" t="s">
        <v>168</v>
      </c>
      <c r="X4151" s="106" t="s">
        <v>296</v>
      </c>
      <c r="Y4151" s="107" t="s">
        <v>12</v>
      </c>
      <c r="Z4151" s="67">
        <f>IF(База_КР_КК[[#This Row],[Таб.номер резервиста]]="-","-",IF(OR(База_КР_КК[[#This Row],[Уровень КК]]=2,База_КР_КК[[#This Row],[Уровень КК]]=3),IF(COUNTIFS($U$2:$U4151,$U4151,$F$2:$F4151,$F4151)=1,1,0),IF(COUNTIFS($U$2:$U4151,$U4151,$L$2:$L4151,$L4151)=1,1,0)))</f>
        <v>0</v>
      </c>
      <c r="AA41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1" s="106"/>
      <c r="AC4151" s="51"/>
      <c r="AD4151" s="106" t="s">
        <v>15</v>
      </c>
      <c r="AE4151" s="38" t="s">
        <v>398</v>
      </c>
    </row>
    <row r="4152" spans="1:31" ht="18" customHeight="1" x14ac:dyDescent="0.25">
      <c r="A41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2" s="79">
        <v>4</v>
      </c>
      <c r="C4152" s="23">
        <v>44515</v>
      </c>
      <c r="D4152" s="67">
        <f>IF(COUNTIF($G$2:$G4152,$G4152)=1,1,0)</f>
        <v>0</v>
      </c>
      <c r="E4152" s="67" t="str">
        <f>IFERROR(VLOOKUP(База_КР_КК[[#This Row],[ИД штатной должности (S)]],'уровень защищенности'!$B$7:$F$1095,5,0),"не защищена")</f>
        <v>высокий</v>
      </c>
      <c r="F4152" s="68">
        <v>500496</v>
      </c>
      <c r="G4152" s="74" t="s">
        <v>3204</v>
      </c>
      <c r="H4152" s="181">
        <f>INDEX('Списки данных'!$D$2:$D$1048576,MATCH(База_КР_КК[[#This Row],[Структурное подразделение]],'Списки данных'!$C$2:$C$1048576,0))</f>
        <v>48</v>
      </c>
      <c r="I4152" s="80" t="s">
        <v>168</v>
      </c>
      <c r="J4152" s="80" t="s">
        <v>264</v>
      </c>
      <c r="K4152" s="80" t="s">
        <v>265</v>
      </c>
      <c r="L4152" s="30" t="s">
        <v>191</v>
      </c>
      <c r="M4152" s="68">
        <v>7</v>
      </c>
      <c r="N4152" s="181" t="str">
        <f t="shared" si="65"/>
        <v>да</v>
      </c>
      <c r="O4152" s="23">
        <v>44621</v>
      </c>
      <c r="P4152" s="23">
        <v>44669</v>
      </c>
      <c r="Q4152" s="106" t="s">
        <v>66</v>
      </c>
      <c r="R4152" s="37">
        <v>1020</v>
      </c>
      <c r="S4152" s="39" t="s">
        <v>1429</v>
      </c>
      <c r="T4152" s="37">
        <v>2091</v>
      </c>
      <c r="U4152" s="37" t="s">
        <v>2072</v>
      </c>
      <c r="V4152" s="69" t="s">
        <v>272</v>
      </c>
      <c r="W4152" s="89" t="s">
        <v>168</v>
      </c>
      <c r="X4152" s="106" t="s">
        <v>296</v>
      </c>
      <c r="Y4152" s="107" t="s">
        <v>12</v>
      </c>
      <c r="Z4152" s="67">
        <f>IF(База_КР_КК[[#This Row],[Таб.номер резервиста]]="-","-",IF(OR(База_КР_КК[[#This Row],[Уровень КК]]=2,База_КР_КК[[#This Row],[Уровень КК]]=3),IF(COUNTIFS($U$2:$U4152,$U4152,$F$2:$F4152,$F4152)=1,1,0),IF(COUNTIFS($U$2:$U4152,$U4152,$L$2:$L4152,$L4152)=1,1,0)))</f>
        <v>0</v>
      </c>
      <c r="AA41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2" s="106"/>
      <c r="AC4152" s="51"/>
      <c r="AD4152" s="106" t="s">
        <v>15</v>
      </c>
      <c r="AE4152" s="38" t="s">
        <v>398</v>
      </c>
    </row>
    <row r="4153" spans="1:31" ht="18" customHeight="1" x14ac:dyDescent="0.25">
      <c r="A41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3" s="79">
        <v>4</v>
      </c>
      <c r="C4153" s="23">
        <v>44515</v>
      </c>
      <c r="D4153" s="67">
        <f>IF(COUNTIF($G$2:$G4153,$G4153)=1,1,0)</f>
        <v>0</v>
      </c>
      <c r="E4153" s="67" t="str">
        <f>IFERROR(VLOOKUP(База_КР_КК[[#This Row],[ИД штатной должности (S)]],'уровень защищенности'!$B$7:$F$1095,5,0),"не защищена")</f>
        <v>высокий</v>
      </c>
      <c r="F4153" s="68">
        <v>500496</v>
      </c>
      <c r="G4153" s="74" t="s">
        <v>3204</v>
      </c>
      <c r="H4153" s="181">
        <f>INDEX('Списки данных'!$D$2:$D$1048576,MATCH(База_КР_КК[[#This Row],[Структурное подразделение]],'Списки данных'!$C$2:$C$1048576,0))</f>
        <v>48</v>
      </c>
      <c r="I4153" s="80" t="s">
        <v>168</v>
      </c>
      <c r="J4153" s="80" t="s">
        <v>264</v>
      </c>
      <c r="K4153" s="80" t="s">
        <v>265</v>
      </c>
      <c r="L4153" s="30" t="s">
        <v>191</v>
      </c>
      <c r="M4153" s="68">
        <v>7</v>
      </c>
      <c r="N4153" s="181" t="str">
        <f t="shared" si="65"/>
        <v>да</v>
      </c>
      <c r="O4153" s="23">
        <v>44621</v>
      </c>
      <c r="P4153" s="23">
        <v>44669</v>
      </c>
      <c r="Q4153" s="106" t="s">
        <v>66</v>
      </c>
      <c r="R4153" s="37">
        <v>1020</v>
      </c>
      <c r="S4153" s="39" t="s">
        <v>1429</v>
      </c>
      <c r="T4153" s="37">
        <v>2092</v>
      </c>
      <c r="U4153" s="37" t="s">
        <v>2021</v>
      </c>
      <c r="V4153" s="69" t="s">
        <v>272</v>
      </c>
      <c r="W4153" s="89" t="s">
        <v>168</v>
      </c>
      <c r="X4153" s="106" t="s">
        <v>295</v>
      </c>
      <c r="Y4153" s="107" t="s">
        <v>12</v>
      </c>
      <c r="Z4153" s="67">
        <f>IF(База_КР_КК[[#This Row],[Таб.номер резервиста]]="-","-",IF(OR(База_КР_КК[[#This Row],[Уровень КК]]=2,База_КР_КК[[#This Row],[Уровень КК]]=3),IF(COUNTIFS($U$2:$U4153,$U4153,$F$2:$F4153,$F4153)=1,1,0),IF(COUNTIFS($U$2:$U4153,$U4153,$L$2:$L4153,$L4153)=1,1,0)))</f>
        <v>0</v>
      </c>
      <c r="AA41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3" s="106"/>
      <c r="AC4153" s="51"/>
      <c r="AD4153" s="106" t="s">
        <v>15</v>
      </c>
      <c r="AE4153" s="38" t="s">
        <v>398</v>
      </c>
    </row>
    <row r="4154" spans="1:31" ht="18" customHeight="1" x14ac:dyDescent="0.25">
      <c r="A41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4" s="79">
        <v>4</v>
      </c>
      <c r="C4154" s="23">
        <v>44515</v>
      </c>
      <c r="D4154" s="67">
        <f>IF(COUNTIF($G$2:$G4154,$G4154)=1,1,0)</f>
        <v>0</v>
      </c>
      <c r="E4154" s="67" t="str">
        <f>IFERROR(VLOOKUP(База_КР_КК[[#This Row],[ИД штатной должности (S)]],'уровень защищенности'!$B$7:$F$1095,5,0),"не защищена")</f>
        <v>высокий</v>
      </c>
      <c r="F4154" s="68">
        <v>500496</v>
      </c>
      <c r="G4154" s="74" t="s">
        <v>3204</v>
      </c>
      <c r="H4154" s="181">
        <f>INDEX('Списки данных'!$D$2:$D$1048576,MATCH(База_КР_КК[[#This Row],[Структурное подразделение]],'Списки данных'!$C$2:$C$1048576,0))</f>
        <v>48</v>
      </c>
      <c r="I4154" s="80" t="s">
        <v>168</v>
      </c>
      <c r="J4154" s="80" t="s">
        <v>264</v>
      </c>
      <c r="K4154" s="80" t="s">
        <v>265</v>
      </c>
      <c r="L4154" s="30" t="s">
        <v>191</v>
      </c>
      <c r="M4154" s="68">
        <v>7</v>
      </c>
      <c r="N4154" s="181" t="str">
        <f t="shared" si="65"/>
        <v>да</v>
      </c>
      <c r="O4154" s="23">
        <v>44621</v>
      </c>
      <c r="P4154" s="23">
        <v>44669</v>
      </c>
      <c r="Q4154" s="106" t="s">
        <v>66</v>
      </c>
      <c r="R4154" s="37">
        <v>1020</v>
      </c>
      <c r="S4154" s="39" t="s">
        <v>1429</v>
      </c>
      <c r="T4154" s="37">
        <v>1020</v>
      </c>
      <c r="U4154" s="37" t="s">
        <v>1429</v>
      </c>
      <c r="V4154" s="69" t="s">
        <v>192</v>
      </c>
      <c r="W4154" s="89" t="s">
        <v>168</v>
      </c>
      <c r="X4154" s="106" t="s">
        <v>297</v>
      </c>
      <c r="Y4154" s="107" t="s">
        <v>14</v>
      </c>
      <c r="Z4154" s="67">
        <f>IF(База_КР_КК[[#This Row],[Таб.номер резервиста]]="-","-",IF(OR(База_КР_КК[[#This Row],[Уровень КК]]=2,База_КР_КК[[#This Row],[Уровень КК]]=3),IF(COUNTIFS($U$2:$U4154,$U4154,$F$2:$F4154,$F4154)=1,1,0),IF(COUNTIFS($U$2:$U4154,$U4154,$L$2:$L4154,$L4154)=1,1,0)))</f>
        <v>0</v>
      </c>
      <c r="AA41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154" s="106" t="s">
        <v>24</v>
      </c>
      <c r="AC4154" s="51">
        <v>44669</v>
      </c>
      <c r="AD4154" s="106" t="s">
        <v>15</v>
      </c>
      <c r="AE4154" s="38" t="s">
        <v>398</v>
      </c>
    </row>
    <row r="4155" spans="1:31" ht="18" customHeight="1" x14ac:dyDescent="0.25">
      <c r="A41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5" s="79">
        <v>4</v>
      </c>
      <c r="C4155" s="23">
        <v>44515</v>
      </c>
      <c r="D4155" s="67">
        <f>IF(COUNTIF($G$2:$G4155,$G4155)=1,1,0)</f>
        <v>0</v>
      </c>
      <c r="E4155" s="67" t="str">
        <f>IFERROR(VLOOKUP(База_КР_КК[[#This Row],[ИД штатной должности (S)]],'уровень защищенности'!$B$7:$F$1095,5,0),"не защищена")</f>
        <v>высокий</v>
      </c>
      <c r="F4155" s="68">
        <v>500496</v>
      </c>
      <c r="G4155" s="74" t="s">
        <v>3204</v>
      </c>
      <c r="H4155" s="181">
        <f>INDEX('Списки данных'!$D$2:$D$1048576,MATCH(База_КР_КК[[#This Row],[Структурное подразделение]],'Списки данных'!$C$2:$C$1048576,0))</f>
        <v>48</v>
      </c>
      <c r="I4155" s="80" t="s">
        <v>168</v>
      </c>
      <c r="J4155" s="80" t="s">
        <v>264</v>
      </c>
      <c r="K4155" s="80" t="s">
        <v>265</v>
      </c>
      <c r="L4155" s="30" t="s">
        <v>191</v>
      </c>
      <c r="M4155" s="68">
        <v>7</v>
      </c>
      <c r="N4155" s="181" t="str">
        <f t="shared" si="65"/>
        <v>да</v>
      </c>
      <c r="O4155" s="23">
        <v>44621</v>
      </c>
      <c r="P4155" s="23">
        <v>44669</v>
      </c>
      <c r="Q4155" s="106" t="s">
        <v>66</v>
      </c>
      <c r="R4155" s="37">
        <v>1020</v>
      </c>
      <c r="S4155" s="39" t="s">
        <v>1429</v>
      </c>
      <c r="T4155" s="37">
        <v>2093</v>
      </c>
      <c r="U4155" s="37" t="s">
        <v>2106</v>
      </c>
      <c r="V4155" s="69" t="s">
        <v>192</v>
      </c>
      <c r="W4155" s="89" t="s">
        <v>168</v>
      </c>
      <c r="X4155" s="106" t="s">
        <v>295</v>
      </c>
      <c r="Y4155" s="107" t="s">
        <v>18</v>
      </c>
      <c r="Z4155" s="67">
        <f>IF(База_КР_КК[[#This Row],[Таб.номер резервиста]]="-","-",IF(OR(База_КР_КК[[#This Row],[Уровень КК]]=2,База_КР_КК[[#This Row],[Уровень КК]]=3),IF(COUNTIFS($U$2:$U4155,$U4155,$F$2:$F4155,$F4155)=1,1,0),IF(COUNTIFS($U$2:$U4155,$U4155,$L$2:$L4155,$L4155)=1,1,0)))</f>
        <v>0</v>
      </c>
      <c r="AA41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5" s="106" t="s">
        <v>19</v>
      </c>
      <c r="AC4155" s="51">
        <v>44939</v>
      </c>
      <c r="AD4155" s="106" t="s">
        <v>15</v>
      </c>
      <c r="AE4155" s="38" t="s">
        <v>398</v>
      </c>
    </row>
    <row r="4156" spans="1:31" ht="18" customHeight="1" x14ac:dyDescent="0.25">
      <c r="A41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6" s="79">
        <v>4</v>
      </c>
      <c r="C4156" s="23">
        <v>44515</v>
      </c>
      <c r="D4156" s="67">
        <f>IF(COUNTIF($G$2:$G4156,$G4156)=1,1,0)</f>
        <v>0</v>
      </c>
      <c r="E4156" s="67" t="str">
        <f>IFERROR(VLOOKUP(База_КР_КК[[#This Row],[ИД штатной должности (S)]],'уровень защищенности'!$B$7:$F$1095,5,0),"не защищена")</f>
        <v>высокий</v>
      </c>
      <c r="F4156" s="68">
        <v>500496</v>
      </c>
      <c r="G4156" s="74" t="s">
        <v>3204</v>
      </c>
      <c r="H4156" s="181">
        <f>INDEX('Списки данных'!$D$2:$D$1048576,MATCH(База_КР_КК[[#This Row],[Структурное подразделение]],'Списки данных'!$C$2:$C$1048576,0))</f>
        <v>48</v>
      </c>
      <c r="I4156" s="80" t="s">
        <v>168</v>
      </c>
      <c r="J4156" s="80" t="s">
        <v>264</v>
      </c>
      <c r="K4156" s="80" t="s">
        <v>265</v>
      </c>
      <c r="L4156" s="30" t="s">
        <v>191</v>
      </c>
      <c r="M4156" s="68">
        <v>7</v>
      </c>
      <c r="N4156" s="181" t="str">
        <f t="shared" si="65"/>
        <v>да</v>
      </c>
      <c r="O4156" s="23">
        <v>44621</v>
      </c>
      <c r="P4156" s="23">
        <v>44669</v>
      </c>
      <c r="Q4156" s="106" t="s">
        <v>66</v>
      </c>
      <c r="R4156" s="37">
        <v>1020</v>
      </c>
      <c r="S4156" s="39" t="s">
        <v>1429</v>
      </c>
      <c r="T4156" s="37">
        <v>2094</v>
      </c>
      <c r="U4156" s="37" t="s">
        <v>1965</v>
      </c>
      <c r="V4156" s="69" t="s">
        <v>192</v>
      </c>
      <c r="W4156" s="89" t="s">
        <v>168</v>
      </c>
      <c r="X4156" s="106" t="s">
        <v>296</v>
      </c>
      <c r="Y4156" s="107" t="s">
        <v>18</v>
      </c>
      <c r="Z4156" s="67">
        <f>IF(База_КР_КК[[#This Row],[Таб.номер резервиста]]="-","-",IF(OR(База_КР_КК[[#This Row],[Уровень КК]]=2,База_КР_КК[[#This Row],[Уровень КК]]=3),IF(COUNTIFS($U$2:$U4156,$U4156,$F$2:$F4156,$F4156)=1,1,0),IF(COUNTIFS($U$2:$U4156,$U4156,$L$2:$L4156,$L4156)=1,1,0)))</f>
        <v>0</v>
      </c>
      <c r="AA41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6" s="106" t="s">
        <v>33</v>
      </c>
      <c r="AC4156" s="51">
        <v>44895</v>
      </c>
      <c r="AD4156" s="106" t="s">
        <v>15</v>
      </c>
      <c r="AE4156" s="38" t="s">
        <v>398</v>
      </c>
    </row>
    <row r="4157" spans="1:31" ht="18" customHeight="1" x14ac:dyDescent="0.25">
      <c r="A41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7" s="79">
        <v>4</v>
      </c>
      <c r="C4157" s="23">
        <v>44515</v>
      </c>
      <c r="D4157" s="67">
        <f>IF(COUNTIF($G$2:$G4157,$G4157)=1,1,0)</f>
        <v>1</v>
      </c>
      <c r="E4157" s="67" t="str">
        <f>IFERROR(VLOOKUP(База_КР_КК[[#This Row],[ИД штатной должности (S)]],'уровень защищенности'!$B$7:$F$1095,5,0),"не защищена")</f>
        <v>высокий</v>
      </c>
      <c r="F4157" s="68">
        <v>500496</v>
      </c>
      <c r="G4157" s="74" t="s">
        <v>3205</v>
      </c>
      <c r="H4157" s="181">
        <f>INDEX('Списки данных'!$D$2:$D$1048576,MATCH(База_КР_КК[[#This Row],[Структурное подразделение]],'Списки данных'!$C$2:$C$1048576,0))</f>
        <v>48</v>
      </c>
      <c r="I4157" s="80" t="s">
        <v>168</v>
      </c>
      <c r="J4157" s="80" t="s">
        <v>264</v>
      </c>
      <c r="K4157" s="80" t="s">
        <v>265</v>
      </c>
      <c r="L4157" s="30" t="s">
        <v>191</v>
      </c>
      <c r="M4157" s="68">
        <v>7</v>
      </c>
      <c r="N4157" s="181" t="str">
        <f t="shared" ref="N4157:N4220" si="66">IF(ISBLANK(O4157),"нет","да")</f>
        <v>нет</v>
      </c>
      <c r="O4157" s="23"/>
      <c r="P4157" s="23"/>
      <c r="Q4157" s="106"/>
      <c r="R4157" s="37">
        <v>1021</v>
      </c>
      <c r="S4157" s="39" t="s">
        <v>1430</v>
      </c>
      <c r="T4157" s="37">
        <v>2087</v>
      </c>
      <c r="U4157" s="37" t="s">
        <v>2135</v>
      </c>
      <c r="V4157" s="69" t="s">
        <v>272</v>
      </c>
      <c r="W4157" s="89" t="s">
        <v>168</v>
      </c>
      <c r="X4157" s="106" t="s">
        <v>297</v>
      </c>
      <c r="Y4157" s="107" t="s">
        <v>12</v>
      </c>
      <c r="Z4157" s="67">
        <f>IF(База_КР_КК[[#This Row],[Таб.номер резервиста]]="-","-",IF(OR(База_КР_КК[[#This Row],[Уровень КК]]=2,База_КР_КК[[#This Row],[Уровень КК]]=3),IF(COUNTIFS($U$2:$U4157,$U4157,$F$2:$F4157,$F4157)=1,1,0),IF(COUNTIFS($U$2:$U4157,$U4157,$L$2:$L4157,$L4157)=1,1,0)))</f>
        <v>0</v>
      </c>
      <c r="AA41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7" s="66"/>
      <c r="AC4157" s="51"/>
      <c r="AD4157" s="106" t="s">
        <v>15</v>
      </c>
      <c r="AE4157" s="38" t="s">
        <v>398</v>
      </c>
    </row>
    <row r="4158" spans="1:31" ht="18" customHeight="1" x14ac:dyDescent="0.25">
      <c r="A41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8" s="79">
        <v>4</v>
      </c>
      <c r="C4158" s="23">
        <v>44515</v>
      </c>
      <c r="D4158" s="67">
        <f>IF(COUNTIF($G$2:$G4158,$G4158)=1,1,0)</f>
        <v>0</v>
      </c>
      <c r="E4158" s="67" t="str">
        <f>IFERROR(VLOOKUP(База_КР_КК[[#This Row],[ИД штатной должности (S)]],'уровень защищенности'!$B$7:$F$1095,5,0),"не защищена")</f>
        <v>высокий</v>
      </c>
      <c r="F4158" s="68">
        <v>500496</v>
      </c>
      <c r="G4158" s="74" t="s">
        <v>3205</v>
      </c>
      <c r="H4158" s="181">
        <f>INDEX('Списки данных'!$D$2:$D$1048576,MATCH(База_КР_КК[[#This Row],[Структурное подразделение]],'Списки данных'!$C$2:$C$1048576,0))</f>
        <v>48</v>
      </c>
      <c r="I4158" s="80" t="s">
        <v>168</v>
      </c>
      <c r="J4158" s="80" t="s">
        <v>264</v>
      </c>
      <c r="K4158" s="80" t="s">
        <v>265</v>
      </c>
      <c r="L4158" s="30" t="s">
        <v>191</v>
      </c>
      <c r="M4158" s="68">
        <v>7</v>
      </c>
      <c r="N4158" s="181" t="str">
        <f t="shared" si="66"/>
        <v>нет</v>
      </c>
      <c r="O4158" s="23"/>
      <c r="P4158" s="23"/>
      <c r="Q4158" s="106"/>
      <c r="R4158" s="37">
        <v>1021</v>
      </c>
      <c r="S4158" s="39" t="s">
        <v>1430</v>
      </c>
      <c r="T4158" s="37">
        <v>2088</v>
      </c>
      <c r="U4158" s="37" t="s">
        <v>2089</v>
      </c>
      <c r="V4158" s="69" t="s">
        <v>272</v>
      </c>
      <c r="W4158" s="89" t="s">
        <v>168</v>
      </c>
      <c r="X4158" s="106" t="s">
        <v>296</v>
      </c>
      <c r="Y4158" s="107" t="s">
        <v>12</v>
      </c>
      <c r="Z4158" s="67">
        <f>IF(База_КР_КК[[#This Row],[Таб.номер резервиста]]="-","-",IF(OR(База_КР_КК[[#This Row],[Уровень КК]]=2,База_КР_КК[[#This Row],[Уровень КК]]=3),IF(COUNTIFS($U$2:$U4158,$U4158,$F$2:$F4158,$F4158)=1,1,0),IF(COUNTIFS($U$2:$U4158,$U4158,$L$2:$L4158,$L4158)=1,1,0)))</f>
        <v>0</v>
      </c>
      <c r="AA41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8" s="106"/>
      <c r="AC4158" s="51"/>
      <c r="AD4158" s="106" t="s">
        <v>15</v>
      </c>
      <c r="AE4158" s="38" t="s">
        <v>398</v>
      </c>
    </row>
    <row r="4159" spans="1:31" ht="18" customHeight="1" x14ac:dyDescent="0.25">
      <c r="A41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59" s="79">
        <v>4</v>
      </c>
      <c r="C4159" s="23">
        <v>44515</v>
      </c>
      <c r="D4159" s="67">
        <f>IF(COUNTIF($G$2:$G4159,$G4159)=1,1,0)</f>
        <v>0</v>
      </c>
      <c r="E4159" s="67" t="str">
        <f>IFERROR(VLOOKUP(База_КР_КК[[#This Row],[ИД штатной должности (S)]],'уровень защищенности'!$B$7:$F$1095,5,0),"не защищена")</f>
        <v>высокий</v>
      </c>
      <c r="F4159" s="68">
        <v>500496</v>
      </c>
      <c r="G4159" s="74" t="s">
        <v>3205</v>
      </c>
      <c r="H4159" s="181">
        <f>INDEX('Списки данных'!$D$2:$D$1048576,MATCH(База_КР_КК[[#This Row],[Структурное подразделение]],'Списки данных'!$C$2:$C$1048576,0))</f>
        <v>48</v>
      </c>
      <c r="I4159" s="80" t="s">
        <v>168</v>
      </c>
      <c r="J4159" s="80" t="s">
        <v>264</v>
      </c>
      <c r="K4159" s="80" t="s">
        <v>265</v>
      </c>
      <c r="L4159" s="30" t="s">
        <v>191</v>
      </c>
      <c r="M4159" s="68">
        <v>7</v>
      </c>
      <c r="N4159" s="181" t="str">
        <f t="shared" si="66"/>
        <v>нет</v>
      </c>
      <c r="O4159" s="23"/>
      <c r="P4159" s="23"/>
      <c r="Q4159" s="106"/>
      <c r="R4159" s="37">
        <v>1021</v>
      </c>
      <c r="S4159" s="39" t="s">
        <v>1430</v>
      </c>
      <c r="T4159" s="37">
        <v>2089</v>
      </c>
      <c r="U4159" s="37" t="s">
        <v>1990</v>
      </c>
      <c r="V4159" s="69" t="s">
        <v>272</v>
      </c>
      <c r="W4159" s="89" t="s">
        <v>168</v>
      </c>
      <c r="X4159" s="106" t="s">
        <v>297</v>
      </c>
      <c r="Y4159" s="107" t="s">
        <v>12</v>
      </c>
      <c r="Z4159" s="67">
        <f>IF(База_КР_КК[[#This Row],[Таб.номер резервиста]]="-","-",IF(OR(База_КР_КК[[#This Row],[Уровень КК]]=2,База_КР_КК[[#This Row],[Уровень КК]]=3),IF(COUNTIFS($U$2:$U4159,$U4159,$F$2:$F4159,$F4159)=1,1,0),IF(COUNTIFS($U$2:$U4159,$U4159,$L$2:$L4159,$L4159)=1,1,0)))</f>
        <v>0</v>
      </c>
      <c r="AA41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59" s="106"/>
      <c r="AC4159" s="51"/>
      <c r="AD4159" s="106" t="s">
        <v>15</v>
      </c>
      <c r="AE4159" s="38" t="s">
        <v>398</v>
      </c>
    </row>
    <row r="4160" spans="1:31" ht="18" customHeight="1" x14ac:dyDescent="0.25">
      <c r="A41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0" s="79">
        <v>4</v>
      </c>
      <c r="C4160" s="23">
        <v>44515</v>
      </c>
      <c r="D4160" s="67">
        <f>IF(COUNTIF($G$2:$G4160,$G4160)=1,1,0)</f>
        <v>0</v>
      </c>
      <c r="E4160" s="67" t="str">
        <f>IFERROR(VLOOKUP(База_КР_КК[[#This Row],[ИД штатной должности (S)]],'уровень защищенности'!$B$7:$F$1095,5,0),"не защищена")</f>
        <v>высокий</v>
      </c>
      <c r="F4160" s="68">
        <v>500496</v>
      </c>
      <c r="G4160" s="74" t="s">
        <v>3205</v>
      </c>
      <c r="H4160" s="181">
        <f>INDEX('Списки данных'!$D$2:$D$1048576,MATCH(База_КР_КК[[#This Row],[Структурное подразделение]],'Списки данных'!$C$2:$C$1048576,0))</f>
        <v>48</v>
      </c>
      <c r="I4160" s="80" t="s">
        <v>168</v>
      </c>
      <c r="J4160" s="80" t="s">
        <v>264</v>
      </c>
      <c r="K4160" s="80" t="s">
        <v>265</v>
      </c>
      <c r="L4160" s="30" t="s">
        <v>191</v>
      </c>
      <c r="M4160" s="68">
        <v>7</v>
      </c>
      <c r="N4160" s="181" t="str">
        <f t="shared" si="66"/>
        <v>нет</v>
      </c>
      <c r="O4160" s="23"/>
      <c r="P4160" s="23"/>
      <c r="Q4160" s="106"/>
      <c r="R4160" s="37">
        <v>1021</v>
      </c>
      <c r="S4160" s="39" t="s">
        <v>1430</v>
      </c>
      <c r="T4160" s="37">
        <v>2090</v>
      </c>
      <c r="U4160" s="37" t="s">
        <v>1647</v>
      </c>
      <c r="V4160" s="69" t="s">
        <v>272</v>
      </c>
      <c r="W4160" s="89" t="s">
        <v>168</v>
      </c>
      <c r="X4160" s="106" t="s">
        <v>296</v>
      </c>
      <c r="Y4160" s="107" t="s">
        <v>12</v>
      </c>
      <c r="Z4160" s="67">
        <f>IF(База_КР_КК[[#This Row],[Таб.номер резервиста]]="-","-",IF(OR(База_КР_КК[[#This Row],[Уровень КК]]=2,База_КР_КК[[#This Row],[Уровень КК]]=3),IF(COUNTIFS($U$2:$U4160,$U4160,$F$2:$F4160,$F4160)=1,1,0),IF(COUNTIFS($U$2:$U4160,$U4160,$L$2:$L4160,$L4160)=1,1,0)))</f>
        <v>0</v>
      </c>
      <c r="AA41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0" s="106"/>
      <c r="AC4160" s="51"/>
      <c r="AD4160" s="106" t="s">
        <v>15</v>
      </c>
      <c r="AE4160" s="38" t="s">
        <v>398</v>
      </c>
    </row>
    <row r="4161" spans="1:31" ht="18" customHeight="1" x14ac:dyDescent="0.25">
      <c r="A41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1" s="79">
        <v>4</v>
      </c>
      <c r="C4161" s="23">
        <v>44515</v>
      </c>
      <c r="D4161" s="67">
        <f>IF(COUNTIF($G$2:$G4161,$G4161)=1,1,0)</f>
        <v>0</v>
      </c>
      <c r="E4161" s="67" t="str">
        <f>IFERROR(VLOOKUP(База_КР_КК[[#This Row],[ИД штатной должности (S)]],'уровень защищенности'!$B$7:$F$1095,5,0),"не защищена")</f>
        <v>высокий</v>
      </c>
      <c r="F4161" s="68">
        <v>500496</v>
      </c>
      <c r="G4161" s="74" t="s">
        <v>3205</v>
      </c>
      <c r="H4161" s="181">
        <f>INDEX('Списки данных'!$D$2:$D$1048576,MATCH(База_КР_КК[[#This Row],[Структурное подразделение]],'Списки данных'!$C$2:$C$1048576,0))</f>
        <v>48</v>
      </c>
      <c r="I4161" s="80" t="s">
        <v>168</v>
      </c>
      <c r="J4161" s="80" t="s">
        <v>264</v>
      </c>
      <c r="K4161" s="80" t="s">
        <v>265</v>
      </c>
      <c r="L4161" s="30" t="s">
        <v>191</v>
      </c>
      <c r="M4161" s="68">
        <v>7</v>
      </c>
      <c r="N4161" s="181" t="str">
        <f t="shared" si="66"/>
        <v>нет</v>
      </c>
      <c r="O4161" s="23"/>
      <c r="P4161" s="23"/>
      <c r="Q4161" s="106"/>
      <c r="R4161" s="37">
        <v>1021</v>
      </c>
      <c r="S4161" s="39" t="s">
        <v>1430</v>
      </c>
      <c r="T4161" s="37">
        <v>2091</v>
      </c>
      <c r="U4161" s="37" t="s">
        <v>2072</v>
      </c>
      <c r="V4161" s="69" t="s">
        <v>272</v>
      </c>
      <c r="W4161" s="89" t="s">
        <v>168</v>
      </c>
      <c r="X4161" s="106" t="s">
        <v>296</v>
      </c>
      <c r="Y4161" s="107" t="s">
        <v>12</v>
      </c>
      <c r="Z4161" s="67">
        <f>IF(База_КР_КК[[#This Row],[Таб.номер резервиста]]="-","-",IF(OR(База_КР_КК[[#This Row],[Уровень КК]]=2,База_КР_КК[[#This Row],[Уровень КК]]=3),IF(COUNTIFS($U$2:$U4161,$U4161,$F$2:$F4161,$F4161)=1,1,0),IF(COUNTIFS($U$2:$U4161,$U4161,$L$2:$L4161,$L4161)=1,1,0)))</f>
        <v>0</v>
      </c>
      <c r="AA41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1" s="106"/>
      <c r="AC4161" s="51"/>
      <c r="AD4161" s="106" t="s">
        <v>15</v>
      </c>
      <c r="AE4161" s="38" t="s">
        <v>398</v>
      </c>
    </row>
    <row r="4162" spans="1:31" ht="18" customHeight="1" x14ac:dyDescent="0.25">
      <c r="A41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2" s="79">
        <v>4</v>
      </c>
      <c r="C4162" s="23">
        <v>44515</v>
      </c>
      <c r="D4162" s="67">
        <f>IF(COUNTIF($G$2:$G4162,$G4162)=1,1,0)</f>
        <v>0</v>
      </c>
      <c r="E4162" s="67" t="str">
        <f>IFERROR(VLOOKUP(База_КР_КК[[#This Row],[ИД штатной должности (S)]],'уровень защищенности'!$B$7:$F$1095,5,0),"не защищена")</f>
        <v>высокий</v>
      </c>
      <c r="F4162" s="68">
        <v>500496</v>
      </c>
      <c r="G4162" s="74" t="s">
        <v>3205</v>
      </c>
      <c r="H4162" s="181">
        <f>INDEX('Списки данных'!$D$2:$D$1048576,MATCH(База_КР_КК[[#This Row],[Структурное подразделение]],'Списки данных'!$C$2:$C$1048576,0))</f>
        <v>48</v>
      </c>
      <c r="I4162" s="80" t="s">
        <v>168</v>
      </c>
      <c r="J4162" s="80" t="s">
        <v>264</v>
      </c>
      <c r="K4162" s="80" t="s">
        <v>265</v>
      </c>
      <c r="L4162" s="30" t="s">
        <v>191</v>
      </c>
      <c r="M4162" s="68">
        <v>7</v>
      </c>
      <c r="N4162" s="181" t="str">
        <f t="shared" si="66"/>
        <v>нет</v>
      </c>
      <c r="O4162" s="23"/>
      <c r="P4162" s="23"/>
      <c r="Q4162" s="106"/>
      <c r="R4162" s="37">
        <v>1021</v>
      </c>
      <c r="S4162" s="39" t="s">
        <v>1430</v>
      </c>
      <c r="T4162" s="37">
        <v>2092</v>
      </c>
      <c r="U4162" s="37" t="s">
        <v>2021</v>
      </c>
      <c r="V4162" s="69" t="s">
        <v>272</v>
      </c>
      <c r="W4162" s="89" t="s">
        <v>168</v>
      </c>
      <c r="X4162" s="106" t="s">
        <v>295</v>
      </c>
      <c r="Y4162" s="107" t="s">
        <v>12</v>
      </c>
      <c r="Z4162" s="67">
        <f>IF(База_КР_КК[[#This Row],[Таб.номер резервиста]]="-","-",IF(OR(База_КР_КК[[#This Row],[Уровень КК]]=2,База_КР_КК[[#This Row],[Уровень КК]]=3),IF(COUNTIFS($U$2:$U4162,$U4162,$F$2:$F4162,$F4162)=1,1,0),IF(COUNTIFS($U$2:$U4162,$U4162,$L$2:$L4162,$L4162)=1,1,0)))</f>
        <v>0</v>
      </c>
      <c r="AA41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2" s="106"/>
      <c r="AC4162" s="51"/>
      <c r="AD4162" s="106" t="s">
        <v>15</v>
      </c>
      <c r="AE4162" s="38" t="s">
        <v>398</v>
      </c>
    </row>
    <row r="4163" spans="1:31" ht="18" customHeight="1" x14ac:dyDescent="0.25">
      <c r="A41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3" s="79">
        <v>4</v>
      </c>
      <c r="C4163" s="23">
        <v>44515</v>
      </c>
      <c r="D4163" s="67">
        <f>IF(COUNTIF($G$2:$G4163,$G4163)=1,1,0)</f>
        <v>0</v>
      </c>
      <c r="E4163" s="67" t="str">
        <f>IFERROR(VLOOKUP(База_КР_КК[[#This Row],[ИД штатной должности (S)]],'уровень защищенности'!$B$7:$F$1095,5,0),"не защищена")</f>
        <v>высокий</v>
      </c>
      <c r="F4163" s="68">
        <v>500496</v>
      </c>
      <c r="G4163" s="74" t="s">
        <v>3205</v>
      </c>
      <c r="H4163" s="181">
        <f>INDEX('Списки данных'!$D$2:$D$1048576,MATCH(База_КР_КК[[#This Row],[Структурное подразделение]],'Списки данных'!$C$2:$C$1048576,0))</f>
        <v>48</v>
      </c>
      <c r="I4163" s="80" t="s">
        <v>168</v>
      </c>
      <c r="J4163" s="80" t="s">
        <v>264</v>
      </c>
      <c r="K4163" s="80" t="s">
        <v>265</v>
      </c>
      <c r="L4163" s="30" t="s">
        <v>191</v>
      </c>
      <c r="M4163" s="68">
        <v>7</v>
      </c>
      <c r="N4163" s="181" t="str">
        <f t="shared" si="66"/>
        <v>нет</v>
      </c>
      <c r="O4163" s="23"/>
      <c r="P4163" s="23"/>
      <c r="Q4163" s="106"/>
      <c r="R4163" s="37">
        <v>1021</v>
      </c>
      <c r="S4163" s="39" t="s">
        <v>1430</v>
      </c>
      <c r="T4163" s="37">
        <v>1020</v>
      </c>
      <c r="U4163" s="37" t="s">
        <v>1429</v>
      </c>
      <c r="V4163" s="69" t="s">
        <v>192</v>
      </c>
      <c r="W4163" s="89" t="s">
        <v>168</v>
      </c>
      <c r="X4163" s="106" t="s">
        <v>297</v>
      </c>
      <c r="Y4163" s="107" t="s">
        <v>18</v>
      </c>
      <c r="Z4163" s="67">
        <f>IF(База_КР_КК[[#This Row],[Таб.номер резервиста]]="-","-",IF(OR(База_КР_КК[[#This Row],[Уровень КК]]=2,База_КР_КК[[#This Row],[Уровень КК]]=3),IF(COUNTIFS($U$2:$U4163,$U4163,$F$2:$F4163,$F4163)=1,1,0),IF(COUNTIFS($U$2:$U4163,$U4163,$L$2:$L4163,$L4163)=1,1,0)))</f>
        <v>0</v>
      </c>
      <c r="AA41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3" s="106" t="s">
        <v>37</v>
      </c>
      <c r="AC4163" s="51">
        <v>44669</v>
      </c>
      <c r="AD4163" s="106" t="s">
        <v>15</v>
      </c>
      <c r="AE4163" s="38" t="s">
        <v>398</v>
      </c>
    </row>
    <row r="4164" spans="1:31" ht="18" customHeight="1" x14ac:dyDescent="0.25">
      <c r="A41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4" s="79">
        <v>4</v>
      </c>
      <c r="C4164" s="23">
        <v>44515</v>
      </c>
      <c r="D4164" s="67">
        <f>IF(COUNTIF($G$2:$G4164,$G4164)=1,1,0)</f>
        <v>0</v>
      </c>
      <c r="E4164" s="67" t="str">
        <f>IFERROR(VLOOKUP(База_КР_КК[[#This Row],[ИД штатной должности (S)]],'уровень защищенности'!$B$7:$F$1095,5,0),"не защищена")</f>
        <v>высокий</v>
      </c>
      <c r="F4164" s="68">
        <v>500496</v>
      </c>
      <c r="G4164" s="74" t="s">
        <v>3205</v>
      </c>
      <c r="H4164" s="181">
        <f>INDEX('Списки данных'!$D$2:$D$1048576,MATCH(База_КР_КК[[#This Row],[Структурное подразделение]],'Списки данных'!$C$2:$C$1048576,0))</f>
        <v>48</v>
      </c>
      <c r="I4164" s="80" t="s">
        <v>168</v>
      </c>
      <c r="J4164" s="80" t="s">
        <v>264</v>
      </c>
      <c r="K4164" s="80" t="s">
        <v>265</v>
      </c>
      <c r="L4164" s="30" t="s">
        <v>191</v>
      </c>
      <c r="M4164" s="68">
        <v>7</v>
      </c>
      <c r="N4164" s="181" t="str">
        <f t="shared" si="66"/>
        <v>нет</v>
      </c>
      <c r="O4164" s="23"/>
      <c r="P4164" s="23"/>
      <c r="Q4164" s="106"/>
      <c r="R4164" s="37">
        <v>1021</v>
      </c>
      <c r="S4164" s="39" t="s">
        <v>1430</v>
      </c>
      <c r="T4164" s="37">
        <v>2093</v>
      </c>
      <c r="U4164" s="37" t="s">
        <v>2106</v>
      </c>
      <c r="V4164" s="69" t="s">
        <v>192</v>
      </c>
      <c r="W4164" s="89" t="s">
        <v>168</v>
      </c>
      <c r="X4164" s="106" t="s">
        <v>295</v>
      </c>
      <c r="Y4164" s="107" t="s">
        <v>18</v>
      </c>
      <c r="Z4164" s="67">
        <f>IF(База_КР_КК[[#This Row],[Таб.номер резервиста]]="-","-",IF(OR(База_КР_КК[[#This Row],[Уровень КК]]=2,База_КР_КК[[#This Row],[Уровень КК]]=3),IF(COUNTIFS($U$2:$U4164,$U4164,$F$2:$F4164,$F4164)=1,1,0),IF(COUNTIFS($U$2:$U4164,$U4164,$L$2:$L4164,$L4164)=1,1,0)))</f>
        <v>0</v>
      </c>
      <c r="AA41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4" s="106" t="s">
        <v>19</v>
      </c>
      <c r="AC4164" s="51">
        <v>44939</v>
      </c>
      <c r="AD4164" s="106" t="s">
        <v>15</v>
      </c>
      <c r="AE4164" s="38" t="s">
        <v>398</v>
      </c>
    </row>
    <row r="4165" spans="1:31" ht="18" customHeight="1" x14ac:dyDescent="0.25">
      <c r="A41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5" s="79">
        <v>4</v>
      </c>
      <c r="C4165" s="23">
        <v>44515</v>
      </c>
      <c r="D4165" s="67">
        <f>IF(COUNTIF($G$2:$G4165,$G4165)=1,1,0)</f>
        <v>0</v>
      </c>
      <c r="E4165" s="67" t="str">
        <f>IFERROR(VLOOKUP(База_КР_КК[[#This Row],[ИД штатной должности (S)]],'уровень защищенности'!$B$7:$F$1095,5,0),"не защищена")</f>
        <v>высокий</v>
      </c>
      <c r="F4165" s="68">
        <v>500496</v>
      </c>
      <c r="G4165" s="74" t="s">
        <v>3205</v>
      </c>
      <c r="H4165" s="181">
        <f>INDEX('Списки данных'!$D$2:$D$1048576,MATCH(База_КР_КК[[#This Row],[Структурное подразделение]],'Списки данных'!$C$2:$C$1048576,0))</f>
        <v>48</v>
      </c>
      <c r="I4165" s="80" t="s">
        <v>168</v>
      </c>
      <c r="J4165" s="80" t="s">
        <v>264</v>
      </c>
      <c r="K4165" s="80" t="s">
        <v>265</v>
      </c>
      <c r="L4165" s="30" t="s">
        <v>191</v>
      </c>
      <c r="M4165" s="68">
        <v>7</v>
      </c>
      <c r="N4165" s="181" t="str">
        <f t="shared" si="66"/>
        <v>нет</v>
      </c>
      <c r="O4165" s="23"/>
      <c r="P4165" s="23"/>
      <c r="Q4165" s="106"/>
      <c r="R4165" s="37">
        <v>1021</v>
      </c>
      <c r="S4165" s="39" t="s">
        <v>1430</v>
      </c>
      <c r="T4165" s="37">
        <v>2094</v>
      </c>
      <c r="U4165" s="37" t="s">
        <v>1965</v>
      </c>
      <c r="V4165" s="69" t="s">
        <v>192</v>
      </c>
      <c r="W4165" s="89" t="s">
        <v>168</v>
      </c>
      <c r="X4165" s="106" t="s">
        <v>296</v>
      </c>
      <c r="Y4165" s="107" t="s">
        <v>18</v>
      </c>
      <c r="Z4165" s="67">
        <f>IF(База_КР_КК[[#This Row],[Таб.номер резервиста]]="-","-",IF(OR(База_КР_КК[[#This Row],[Уровень КК]]=2,База_КР_КК[[#This Row],[Уровень КК]]=3),IF(COUNTIFS($U$2:$U4165,$U4165,$F$2:$F4165,$F4165)=1,1,0),IF(COUNTIFS($U$2:$U4165,$U4165,$L$2:$L4165,$L4165)=1,1,0)))</f>
        <v>0</v>
      </c>
      <c r="AA41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5" s="106" t="s">
        <v>33</v>
      </c>
      <c r="AC4165" s="51">
        <v>44895</v>
      </c>
      <c r="AD4165" s="106" t="s">
        <v>15</v>
      </c>
      <c r="AE4165" s="38" t="s">
        <v>398</v>
      </c>
    </row>
    <row r="4166" spans="1:31" ht="18" customHeight="1" x14ac:dyDescent="0.25">
      <c r="A41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6" s="79">
        <v>4</v>
      </c>
      <c r="C4166" s="23">
        <v>44515</v>
      </c>
      <c r="D4166" s="67">
        <f>IF(COUNTIF($G$2:$G4166,$G4166)=1,1,0)</f>
        <v>1</v>
      </c>
      <c r="E4166" s="67" t="str">
        <f>IFERROR(VLOOKUP(База_КР_КК[[#This Row],[ИД штатной должности (S)]],'уровень защищенности'!$B$7:$F$1095,5,0),"не защищена")</f>
        <v>высокий</v>
      </c>
      <c r="F4166" s="68">
        <v>500497</v>
      </c>
      <c r="G4166" s="74" t="s">
        <v>3206</v>
      </c>
      <c r="H4166" s="181">
        <f>INDEX('Списки данных'!$D$2:$D$1048576,MATCH(База_КР_КК[[#This Row],[Структурное подразделение]],'Списки данных'!$C$2:$C$1048576,0))</f>
        <v>48</v>
      </c>
      <c r="I4166" s="80" t="s">
        <v>168</v>
      </c>
      <c r="J4166" s="80" t="s">
        <v>264</v>
      </c>
      <c r="K4166" s="80" t="s">
        <v>265</v>
      </c>
      <c r="L4166" s="30" t="s">
        <v>198</v>
      </c>
      <c r="M4166" s="68">
        <v>6</v>
      </c>
      <c r="N4166" s="181" t="str">
        <f t="shared" si="66"/>
        <v>нет</v>
      </c>
      <c r="O4166" s="23"/>
      <c r="P4166" s="23"/>
      <c r="Q4166" s="106"/>
      <c r="R4166" s="37">
        <v>1022</v>
      </c>
      <c r="S4166" s="39" t="s">
        <v>1431</v>
      </c>
      <c r="T4166" s="37">
        <v>1021</v>
      </c>
      <c r="U4166" s="37" t="s">
        <v>1430</v>
      </c>
      <c r="V4166" s="89" t="s">
        <v>192</v>
      </c>
      <c r="W4166" s="89" t="s">
        <v>168</v>
      </c>
      <c r="X4166" s="106" t="s">
        <v>296</v>
      </c>
      <c r="Y4166" s="107" t="s">
        <v>12</v>
      </c>
      <c r="Z4166" s="67">
        <f>IF(База_КР_КК[[#This Row],[Таб.номер резервиста]]="-","-",IF(OR(База_КР_КК[[#This Row],[Уровень КК]]=2,База_КР_КК[[#This Row],[Уровень КК]]=3),IF(COUNTIFS($U$2:$U4166,$U4166,$F$2:$F4166,$F4166)=1,1,0),IF(COUNTIFS($U$2:$U4166,$U4166,$L$2:$L4166,$L4166)=1,1,0)))</f>
        <v>1</v>
      </c>
      <c r="AA41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6" s="106"/>
      <c r="AC4166" s="51"/>
      <c r="AD4166" s="106" t="s">
        <v>15</v>
      </c>
      <c r="AE4166" s="38" t="s">
        <v>398</v>
      </c>
    </row>
    <row r="4167" spans="1:31" ht="18" customHeight="1" x14ac:dyDescent="0.25">
      <c r="A41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7" s="79">
        <v>4</v>
      </c>
      <c r="C4167" s="23">
        <v>44515</v>
      </c>
      <c r="D4167" s="67">
        <f>IF(COUNTIF($G$2:$G4167,$G4167)=1,1,0)</f>
        <v>0</v>
      </c>
      <c r="E4167" s="67" t="str">
        <f>IFERROR(VLOOKUP(База_КР_КК[[#This Row],[ИД штатной должности (S)]],'уровень защищенности'!$B$7:$F$1095,5,0),"не защищена")</f>
        <v>высокий</v>
      </c>
      <c r="F4167" s="68">
        <v>500497</v>
      </c>
      <c r="G4167" s="74" t="s">
        <v>3206</v>
      </c>
      <c r="H4167" s="181">
        <f>INDEX('Списки данных'!$D$2:$D$1048576,MATCH(База_КР_КК[[#This Row],[Структурное подразделение]],'Списки данных'!$C$2:$C$1048576,0))</f>
        <v>48</v>
      </c>
      <c r="I4167" s="80" t="s">
        <v>168</v>
      </c>
      <c r="J4167" s="80" t="s">
        <v>264</v>
      </c>
      <c r="K4167" s="80" t="s">
        <v>265</v>
      </c>
      <c r="L4167" s="30" t="s">
        <v>198</v>
      </c>
      <c r="M4167" s="68">
        <v>6</v>
      </c>
      <c r="N4167" s="181" t="str">
        <f t="shared" si="66"/>
        <v>нет</v>
      </c>
      <c r="O4167" s="23"/>
      <c r="P4167" s="23"/>
      <c r="Q4167" s="106"/>
      <c r="R4167" s="37">
        <v>1022</v>
      </c>
      <c r="S4167" s="39" t="s">
        <v>1431</v>
      </c>
      <c r="T4167" s="37">
        <v>1020</v>
      </c>
      <c r="U4167" s="37" t="s">
        <v>1429</v>
      </c>
      <c r="V4167" s="69" t="s">
        <v>192</v>
      </c>
      <c r="W4167" s="89" t="s">
        <v>168</v>
      </c>
      <c r="X4167" s="106" t="s">
        <v>296</v>
      </c>
      <c r="Y4167" s="107" t="s">
        <v>12</v>
      </c>
      <c r="Z4167" s="67">
        <f>IF(База_КР_КК[[#This Row],[Таб.номер резервиста]]="-","-",IF(OR(База_КР_КК[[#This Row],[Уровень КК]]=2,База_КР_КК[[#This Row],[Уровень КК]]=3),IF(COUNTIFS($U$2:$U4167,$U4167,$F$2:$F4167,$F4167)=1,1,0),IF(COUNTIFS($U$2:$U4167,$U4167,$L$2:$L4167,$L4167)=1,1,0)))</f>
        <v>1</v>
      </c>
      <c r="AA41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7" s="106"/>
      <c r="AC4167" s="51"/>
      <c r="AD4167" s="106" t="s">
        <v>15</v>
      </c>
      <c r="AE4167" s="38" t="s">
        <v>398</v>
      </c>
    </row>
    <row r="4168" spans="1:31" ht="18" customHeight="1" x14ac:dyDescent="0.25">
      <c r="A41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8" s="79">
        <v>4</v>
      </c>
      <c r="C4168" s="23">
        <v>44515</v>
      </c>
      <c r="D4168" s="67">
        <f>IF(COUNTIF($G$2:$G4168,$G4168)=1,1,0)</f>
        <v>0</v>
      </c>
      <c r="E4168" s="67" t="str">
        <f>IFERROR(VLOOKUP(База_КР_КК[[#This Row],[ИД штатной должности (S)]],'уровень защищенности'!$B$7:$F$1095,5,0),"не защищена")</f>
        <v>высокий</v>
      </c>
      <c r="F4168" s="68">
        <v>500497</v>
      </c>
      <c r="G4168" s="74" t="s">
        <v>3206</v>
      </c>
      <c r="H4168" s="181">
        <f>INDEX('Списки данных'!$D$2:$D$1048576,MATCH(База_КР_КК[[#This Row],[Структурное подразделение]],'Списки данных'!$C$2:$C$1048576,0))</f>
        <v>48</v>
      </c>
      <c r="I4168" s="80" t="s">
        <v>168</v>
      </c>
      <c r="J4168" s="80" t="s">
        <v>264</v>
      </c>
      <c r="K4168" s="80" t="s">
        <v>265</v>
      </c>
      <c r="L4168" s="30" t="s">
        <v>198</v>
      </c>
      <c r="M4168" s="68">
        <v>6</v>
      </c>
      <c r="N4168" s="181" t="str">
        <f t="shared" si="66"/>
        <v>нет</v>
      </c>
      <c r="O4168" s="23"/>
      <c r="P4168" s="23"/>
      <c r="Q4168" s="106"/>
      <c r="R4168" s="37">
        <v>1022</v>
      </c>
      <c r="S4168" s="39" t="s">
        <v>1431</v>
      </c>
      <c r="T4168" s="37">
        <v>1027</v>
      </c>
      <c r="U4168" s="37" t="s">
        <v>1436</v>
      </c>
      <c r="V4168" s="89" t="s">
        <v>192</v>
      </c>
      <c r="W4168" s="89" t="s">
        <v>168</v>
      </c>
      <c r="X4168" s="106" t="s">
        <v>295</v>
      </c>
      <c r="Y4168" s="107" t="s">
        <v>12</v>
      </c>
      <c r="Z4168" s="67">
        <f>IF(База_КР_КК[[#This Row],[Таб.номер резервиста]]="-","-",IF(OR(База_КР_КК[[#This Row],[Уровень КК]]=2,База_КР_КК[[#This Row],[Уровень КК]]=3),IF(COUNTIFS($U$2:$U4168,$U4168,$F$2:$F4168,$F4168)=1,1,0),IF(COUNTIFS($U$2:$U4168,$U4168,$L$2:$L4168,$L4168)=1,1,0)))</f>
        <v>1</v>
      </c>
      <c r="AA41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8" s="106"/>
      <c r="AC4168" s="51"/>
      <c r="AD4168" s="106" t="s">
        <v>15</v>
      </c>
      <c r="AE4168" s="38" t="s">
        <v>398</v>
      </c>
    </row>
    <row r="4169" spans="1:31" ht="18" customHeight="1" x14ac:dyDescent="0.25">
      <c r="A41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69" s="79">
        <v>4</v>
      </c>
      <c r="C4169" s="23">
        <v>44515</v>
      </c>
      <c r="D4169" s="67">
        <f>IF(COUNTIF($G$2:$G4169,$G4169)=1,1,0)</f>
        <v>0</v>
      </c>
      <c r="E4169" s="67" t="str">
        <f>IFERROR(VLOOKUP(База_КР_КК[[#This Row],[ИД штатной должности (S)]],'уровень защищенности'!$B$7:$F$1095,5,0),"не защищена")</f>
        <v>высокий</v>
      </c>
      <c r="F4169" s="68">
        <v>500497</v>
      </c>
      <c r="G4169" s="74" t="s">
        <v>3206</v>
      </c>
      <c r="H4169" s="181">
        <f>INDEX('Списки данных'!$D$2:$D$1048576,MATCH(База_КР_КК[[#This Row],[Структурное подразделение]],'Списки данных'!$C$2:$C$1048576,0))</f>
        <v>48</v>
      </c>
      <c r="I4169" s="80" t="s">
        <v>168</v>
      </c>
      <c r="J4169" s="80" t="s">
        <v>264</v>
      </c>
      <c r="K4169" s="80" t="s">
        <v>265</v>
      </c>
      <c r="L4169" s="30" t="s">
        <v>198</v>
      </c>
      <c r="M4169" s="68">
        <v>6</v>
      </c>
      <c r="N4169" s="181" t="str">
        <f t="shared" si="66"/>
        <v>нет</v>
      </c>
      <c r="O4169" s="23"/>
      <c r="P4169" s="23"/>
      <c r="Q4169" s="106"/>
      <c r="R4169" s="37">
        <v>1022</v>
      </c>
      <c r="S4169" s="39" t="s">
        <v>1431</v>
      </c>
      <c r="T4169" s="37">
        <v>2091</v>
      </c>
      <c r="U4169" s="37" t="s">
        <v>2072</v>
      </c>
      <c r="V4169" s="69" t="s">
        <v>272</v>
      </c>
      <c r="W4169" s="89" t="s">
        <v>168</v>
      </c>
      <c r="X4169" s="106" t="s">
        <v>296</v>
      </c>
      <c r="Y4169" s="107" t="s">
        <v>12</v>
      </c>
      <c r="Z4169" s="67">
        <f>IF(База_КР_КК[[#This Row],[Таб.номер резервиста]]="-","-",IF(OR(База_КР_КК[[#This Row],[Уровень КК]]=2,База_КР_КК[[#This Row],[Уровень КК]]=3),IF(COUNTIFS($U$2:$U4169,$U4169,$F$2:$F4169,$F4169)=1,1,0),IF(COUNTIFS($U$2:$U4169,$U4169,$L$2:$L4169,$L4169)=1,1,0)))</f>
        <v>1</v>
      </c>
      <c r="AA41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69" s="106"/>
      <c r="AC4169" s="51"/>
      <c r="AD4169" s="106" t="s">
        <v>15</v>
      </c>
      <c r="AE4169" s="38" t="s">
        <v>398</v>
      </c>
    </row>
    <row r="4170" spans="1:31" ht="18" customHeight="1" x14ac:dyDescent="0.25">
      <c r="A41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0" s="79">
        <v>4</v>
      </c>
      <c r="C4170" s="23">
        <v>44515</v>
      </c>
      <c r="D4170" s="67">
        <f>IF(COUNTIF($G$2:$G4170,$G4170)=1,1,0)</f>
        <v>0</v>
      </c>
      <c r="E4170" s="67" t="str">
        <f>IFERROR(VLOOKUP(База_КР_КК[[#This Row],[ИД штатной должности (S)]],'уровень защищенности'!$B$7:$F$1095,5,0),"не защищена")</f>
        <v>высокий</v>
      </c>
      <c r="F4170" s="68">
        <v>500497</v>
      </c>
      <c r="G4170" s="74" t="s">
        <v>3206</v>
      </c>
      <c r="H4170" s="181">
        <f>INDEX('Списки данных'!$D$2:$D$1048576,MATCH(База_КР_КК[[#This Row],[Структурное подразделение]],'Списки данных'!$C$2:$C$1048576,0))</f>
        <v>48</v>
      </c>
      <c r="I4170" s="80" t="s">
        <v>168</v>
      </c>
      <c r="J4170" s="80" t="s">
        <v>264</v>
      </c>
      <c r="K4170" s="80" t="s">
        <v>265</v>
      </c>
      <c r="L4170" s="30" t="s">
        <v>198</v>
      </c>
      <c r="M4170" s="68">
        <v>6</v>
      </c>
      <c r="N4170" s="181" t="str">
        <f t="shared" si="66"/>
        <v>нет</v>
      </c>
      <c r="O4170" s="23"/>
      <c r="P4170" s="23"/>
      <c r="Q4170" s="106"/>
      <c r="R4170" s="37">
        <v>1022</v>
      </c>
      <c r="S4170" s="39" t="s">
        <v>1431</v>
      </c>
      <c r="T4170" s="37">
        <v>2086</v>
      </c>
      <c r="U4170" s="38" t="s">
        <v>2120</v>
      </c>
      <c r="V4170" s="69" t="s">
        <v>186</v>
      </c>
      <c r="W4170" s="89" t="s">
        <v>172</v>
      </c>
      <c r="X4170" s="106" t="s">
        <v>295</v>
      </c>
      <c r="Y4170" s="107" t="s">
        <v>18</v>
      </c>
      <c r="Z4170" s="67">
        <f>IF(База_КР_КК[[#This Row],[Таб.номер резервиста]]="-","-",IF(OR(База_КР_КК[[#This Row],[Уровень КК]]=2,База_КР_КК[[#This Row],[Уровень КК]]=3),IF(COUNTIFS($U$2:$U4170,$U4170,$F$2:$F4170,$F4170)=1,1,0),IF(COUNTIFS($U$2:$U4170,$U4170,$L$2:$L4170,$L4170)=1,1,0)))</f>
        <v>1</v>
      </c>
      <c r="AA41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0" s="106" t="s">
        <v>33</v>
      </c>
      <c r="AC4170" s="51">
        <v>44621</v>
      </c>
      <c r="AD4170" s="106" t="s">
        <v>31</v>
      </c>
      <c r="AE4170" s="38" t="s">
        <v>397</v>
      </c>
    </row>
    <row r="4171" spans="1:31" ht="18" customHeight="1" x14ac:dyDescent="0.25">
      <c r="A41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1" s="79">
        <v>4</v>
      </c>
      <c r="C4171" s="23">
        <v>44515</v>
      </c>
      <c r="D4171" s="67">
        <f>IF(COUNTIF($G$2:$G4171,$G4171)=1,1,0)</f>
        <v>1</v>
      </c>
      <c r="E4171" s="67" t="str">
        <f>IFERROR(VLOOKUP(База_КР_КК[[#This Row],[ИД штатной должности (S)]],'уровень защищенности'!$B$7:$F$1095,5,0),"не защищена")</f>
        <v>высокий</v>
      </c>
      <c r="F4171" s="68">
        <v>500498</v>
      </c>
      <c r="G4171" s="74" t="s">
        <v>3207</v>
      </c>
      <c r="H4171" s="181">
        <f>INDEX('Списки данных'!$D$2:$D$1048576,MATCH(База_КР_КК[[#This Row],[Структурное подразделение]],'Списки данных'!$C$2:$C$1048576,0))</f>
        <v>48</v>
      </c>
      <c r="I4171" s="80" t="s">
        <v>168</v>
      </c>
      <c r="J4171" s="80" t="s">
        <v>264</v>
      </c>
      <c r="K4171" s="80" t="s">
        <v>265</v>
      </c>
      <c r="L4171" s="30" t="s">
        <v>198</v>
      </c>
      <c r="M4171" s="68">
        <v>6</v>
      </c>
      <c r="N4171" s="181" t="str">
        <f t="shared" si="66"/>
        <v>нет</v>
      </c>
      <c r="O4171" s="23"/>
      <c r="P4171" s="23"/>
      <c r="Q4171" s="106"/>
      <c r="R4171" s="37">
        <v>1023</v>
      </c>
      <c r="S4171" s="39" t="s">
        <v>1432</v>
      </c>
      <c r="T4171" s="37">
        <v>2086</v>
      </c>
      <c r="U4171" s="38" t="s">
        <v>2120</v>
      </c>
      <c r="V4171" s="69" t="s">
        <v>186</v>
      </c>
      <c r="W4171" s="89" t="s">
        <v>172</v>
      </c>
      <c r="X4171" s="106" t="s">
        <v>295</v>
      </c>
      <c r="Y4171" s="107" t="s">
        <v>18</v>
      </c>
      <c r="Z4171" s="67">
        <f>IF(База_КР_КК[[#This Row],[Таб.номер резервиста]]="-","-",IF(OR(База_КР_КК[[#This Row],[Уровень КК]]=2,База_КР_КК[[#This Row],[Уровень КК]]=3),IF(COUNTIFS($U$2:$U4171,$U4171,$F$2:$F4171,$F4171)=1,1,0),IF(COUNTIFS($U$2:$U4171,$U4171,$L$2:$L4171,$L4171)=1,1,0)))</f>
        <v>0</v>
      </c>
      <c r="AA41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1" s="106" t="s">
        <v>33</v>
      </c>
      <c r="AC4171" s="51">
        <v>44621</v>
      </c>
      <c r="AD4171" s="106" t="s">
        <v>15</v>
      </c>
      <c r="AE4171" s="38" t="s">
        <v>398</v>
      </c>
    </row>
    <row r="4172" spans="1:31" ht="18" customHeight="1" x14ac:dyDescent="0.25">
      <c r="A41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2" s="79">
        <v>4</v>
      </c>
      <c r="C4172" s="23">
        <v>44515</v>
      </c>
      <c r="D4172" s="67">
        <f>IF(COUNTIF($G$2:$G4172,$G4172)=1,1,0)</f>
        <v>0</v>
      </c>
      <c r="E4172" s="67" t="str">
        <f>IFERROR(VLOOKUP(База_КР_КК[[#This Row],[ИД штатной должности (S)]],'уровень защищенности'!$B$7:$F$1095,5,0),"не защищена")</f>
        <v>высокий</v>
      </c>
      <c r="F4172" s="68">
        <v>500498</v>
      </c>
      <c r="G4172" s="74" t="s">
        <v>3207</v>
      </c>
      <c r="H4172" s="181">
        <f>INDEX('Списки данных'!$D$2:$D$1048576,MATCH(База_КР_КК[[#This Row],[Структурное подразделение]],'Списки данных'!$C$2:$C$1048576,0))</f>
        <v>48</v>
      </c>
      <c r="I4172" s="80" t="s">
        <v>168</v>
      </c>
      <c r="J4172" s="80" t="s">
        <v>264</v>
      </c>
      <c r="K4172" s="80" t="s">
        <v>265</v>
      </c>
      <c r="L4172" s="30" t="s">
        <v>198</v>
      </c>
      <c r="M4172" s="68">
        <v>6</v>
      </c>
      <c r="N4172" s="181" t="str">
        <f t="shared" si="66"/>
        <v>нет</v>
      </c>
      <c r="O4172" s="23"/>
      <c r="P4172" s="23"/>
      <c r="Q4172" s="106"/>
      <c r="R4172" s="37">
        <v>1023</v>
      </c>
      <c r="S4172" s="39" t="s">
        <v>1432</v>
      </c>
      <c r="T4172" s="37">
        <v>1021</v>
      </c>
      <c r="U4172" s="37" t="s">
        <v>1430</v>
      </c>
      <c r="V4172" s="89" t="s">
        <v>192</v>
      </c>
      <c r="W4172" s="89" t="s">
        <v>168</v>
      </c>
      <c r="X4172" s="106" t="s">
        <v>296</v>
      </c>
      <c r="Y4172" s="107" t="s">
        <v>12</v>
      </c>
      <c r="Z4172" s="67">
        <f>IF(База_КР_КК[[#This Row],[Таб.номер резервиста]]="-","-",IF(OR(База_КР_КК[[#This Row],[Уровень КК]]=2,База_КР_КК[[#This Row],[Уровень КК]]=3),IF(COUNTIFS($U$2:$U4172,$U4172,$F$2:$F4172,$F4172)=1,1,0),IF(COUNTIFS($U$2:$U4172,$U4172,$L$2:$L4172,$L4172)=1,1,0)))</f>
        <v>0</v>
      </c>
      <c r="AA41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2" s="106"/>
      <c r="AC4172" s="51"/>
      <c r="AD4172" s="106" t="s">
        <v>15</v>
      </c>
      <c r="AE4172" s="38" t="s">
        <v>398</v>
      </c>
    </row>
    <row r="4173" spans="1:31" ht="18" customHeight="1" x14ac:dyDescent="0.25">
      <c r="A41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3" s="79">
        <v>4</v>
      </c>
      <c r="C4173" s="23">
        <v>44515</v>
      </c>
      <c r="D4173" s="67">
        <f>IF(COUNTIF($G$2:$G4173,$G4173)=1,1,0)</f>
        <v>0</v>
      </c>
      <c r="E4173" s="67" t="str">
        <f>IFERROR(VLOOKUP(База_КР_КК[[#This Row],[ИД штатной должности (S)]],'уровень защищенности'!$B$7:$F$1095,5,0),"не защищена")</f>
        <v>высокий</v>
      </c>
      <c r="F4173" s="68">
        <v>500498</v>
      </c>
      <c r="G4173" s="74" t="s">
        <v>3207</v>
      </c>
      <c r="H4173" s="181">
        <f>INDEX('Списки данных'!$D$2:$D$1048576,MATCH(База_КР_КК[[#This Row],[Структурное подразделение]],'Списки данных'!$C$2:$C$1048576,0))</f>
        <v>48</v>
      </c>
      <c r="I4173" s="80" t="s">
        <v>168</v>
      </c>
      <c r="J4173" s="80" t="s">
        <v>264</v>
      </c>
      <c r="K4173" s="80" t="s">
        <v>265</v>
      </c>
      <c r="L4173" s="30" t="s">
        <v>198</v>
      </c>
      <c r="M4173" s="68">
        <v>6</v>
      </c>
      <c r="N4173" s="181" t="str">
        <f t="shared" si="66"/>
        <v>нет</v>
      </c>
      <c r="O4173" s="23"/>
      <c r="P4173" s="23"/>
      <c r="Q4173" s="106"/>
      <c r="R4173" s="37">
        <v>1023</v>
      </c>
      <c r="S4173" s="39" t="s">
        <v>1432</v>
      </c>
      <c r="T4173" s="37">
        <v>1020</v>
      </c>
      <c r="U4173" s="37" t="s">
        <v>1429</v>
      </c>
      <c r="V4173" s="93" t="s">
        <v>192</v>
      </c>
      <c r="W4173" s="89" t="s">
        <v>168</v>
      </c>
      <c r="X4173" s="106" t="s">
        <v>296</v>
      </c>
      <c r="Y4173" s="107" t="s">
        <v>12</v>
      </c>
      <c r="Z4173" s="67">
        <f>IF(База_КР_КК[[#This Row],[Таб.номер резервиста]]="-","-",IF(OR(База_КР_КК[[#This Row],[Уровень КК]]=2,База_КР_КК[[#This Row],[Уровень КК]]=3),IF(COUNTIFS($U$2:$U4173,$U4173,$F$2:$F4173,$F4173)=1,1,0),IF(COUNTIFS($U$2:$U4173,$U4173,$L$2:$L4173,$L4173)=1,1,0)))</f>
        <v>0</v>
      </c>
      <c r="AA41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3" s="106"/>
      <c r="AC4173" s="51"/>
      <c r="AD4173" s="106" t="s">
        <v>15</v>
      </c>
      <c r="AE4173" s="38" t="s">
        <v>398</v>
      </c>
    </row>
    <row r="4174" spans="1:31" ht="18" customHeight="1" x14ac:dyDescent="0.25">
      <c r="A41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4" s="79">
        <v>4</v>
      </c>
      <c r="C4174" s="23">
        <v>44515</v>
      </c>
      <c r="D4174" s="67">
        <f>IF(COUNTIF($G$2:$G4174,$G4174)=1,1,0)</f>
        <v>0</v>
      </c>
      <c r="E4174" s="67" t="str">
        <f>IFERROR(VLOOKUP(База_КР_КК[[#This Row],[ИД штатной должности (S)]],'уровень защищенности'!$B$7:$F$1095,5,0),"не защищена")</f>
        <v>высокий</v>
      </c>
      <c r="F4174" s="68">
        <v>500498</v>
      </c>
      <c r="G4174" s="74" t="s">
        <v>3207</v>
      </c>
      <c r="H4174" s="181">
        <f>INDEX('Списки данных'!$D$2:$D$1048576,MATCH(База_КР_КК[[#This Row],[Структурное подразделение]],'Списки данных'!$C$2:$C$1048576,0))</f>
        <v>48</v>
      </c>
      <c r="I4174" s="80" t="s">
        <v>168</v>
      </c>
      <c r="J4174" s="80" t="s">
        <v>264</v>
      </c>
      <c r="K4174" s="80" t="s">
        <v>265</v>
      </c>
      <c r="L4174" s="30" t="s">
        <v>198</v>
      </c>
      <c r="M4174" s="68">
        <v>6</v>
      </c>
      <c r="N4174" s="181" t="str">
        <f t="shared" si="66"/>
        <v>нет</v>
      </c>
      <c r="O4174" s="23"/>
      <c r="P4174" s="23"/>
      <c r="Q4174" s="106"/>
      <c r="R4174" s="37">
        <v>1023</v>
      </c>
      <c r="S4174" s="39" t="s">
        <v>1432</v>
      </c>
      <c r="T4174" s="37">
        <v>1027</v>
      </c>
      <c r="U4174" s="37" t="s">
        <v>1436</v>
      </c>
      <c r="V4174" s="88" t="s">
        <v>192</v>
      </c>
      <c r="W4174" s="89" t="s">
        <v>168</v>
      </c>
      <c r="X4174" s="106" t="s">
        <v>295</v>
      </c>
      <c r="Y4174" s="107" t="s">
        <v>12</v>
      </c>
      <c r="Z4174" s="67">
        <f>IF(База_КР_КК[[#This Row],[Таб.номер резервиста]]="-","-",IF(OR(База_КР_КК[[#This Row],[Уровень КК]]=2,База_КР_КК[[#This Row],[Уровень КК]]=3),IF(COUNTIFS($U$2:$U4174,$U4174,$F$2:$F4174,$F4174)=1,1,0),IF(COUNTIFS($U$2:$U4174,$U4174,$L$2:$L4174,$L4174)=1,1,0)))</f>
        <v>0</v>
      </c>
      <c r="AA41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4" s="106"/>
      <c r="AC4174" s="51"/>
      <c r="AD4174" s="106" t="s">
        <v>15</v>
      </c>
      <c r="AE4174" s="38" t="s">
        <v>398</v>
      </c>
    </row>
    <row r="4175" spans="1:31" ht="18" customHeight="1" x14ac:dyDescent="0.25">
      <c r="A41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5" s="79">
        <v>4</v>
      </c>
      <c r="C4175" s="23">
        <v>44515</v>
      </c>
      <c r="D4175" s="67">
        <f>IF(COUNTIF($G$2:$G4175,$G4175)=1,1,0)</f>
        <v>0</v>
      </c>
      <c r="E4175" s="67" t="str">
        <f>IFERROR(VLOOKUP(База_КР_КК[[#This Row],[ИД штатной должности (S)]],'уровень защищенности'!$B$7:$F$1095,5,0),"не защищена")</f>
        <v>высокий</v>
      </c>
      <c r="F4175" s="68">
        <v>500498</v>
      </c>
      <c r="G4175" s="74" t="s">
        <v>3207</v>
      </c>
      <c r="H4175" s="181">
        <f>INDEX('Списки данных'!$D$2:$D$1048576,MATCH(База_КР_КК[[#This Row],[Структурное подразделение]],'Списки данных'!$C$2:$C$1048576,0))</f>
        <v>48</v>
      </c>
      <c r="I4175" s="80" t="s">
        <v>168</v>
      </c>
      <c r="J4175" s="80" t="s">
        <v>264</v>
      </c>
      <c r="K4175" s="80" t="s">
        <v>265</v>
      </c>
      <c r="L4175" s="30" t="s">
        <v>198</v>
      </c>
      <c r="M4175" s="68">
        <v>6</v>
      </c>
      <c r="N4175" s="181" t="str">
        <f t="shared" si="66"/>
        <v>нет</v>
      </c>
      <c r="O4175" s="23"/>
      <c r="P4175" s="23"/>
      <c r="Q4175" s="106"/>
      <c r="R4175" s="37">
        <v>1023</v>
      </c>
      <c r="S4175" s="39" t="s">
        <v>1432</v>
      </c>
      <c r="T4175" s="37">
        <v>2091</v>
      </c>
      <c r="U4175" s="37" t="s">
        <v>2072</v>
      </c>
      <c r="V4175" s="69" t="s">
        <v>272</v>
      </c>
      <c r="W4175" s="89" t="s">
        <v>168</v>
      </c>
      <c r="X4175" s="106" t="s">
        <v>296</v>
      </c>
      <c r="Y4175" s="107" t="s">
        <v>12</v>
      </c>
      <c r="Z4175" s="67">
        <f>IF(База_КР_КК[[#This Row],[Таб.номер резервиста]]="-","-",IF(OR(База_КР_КК[[#This Row],[Уровень КК]]=2,База_КР_КК[[#This Row],[Уровень КК]]=3),IF(COUNTIFS($U$2:$U4175,$U4175,$F$2:$F4175,$F4175)=1,1,0),IF(COUNTIFS($U$2:$U4175,$U4175,$L$2:$L4175,$L4175)=1,1,0)))</f>
        <v>0</v>
      </c>
      <c r="AA41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5" s="106"/>
      <c r="AC4175" s="51"/>
      <c r="AD4175" s="106" t="s">
        <v>15</v>
      </c>
      <c r="AE4175" s="38" t="s">
        <v>398</v>
      </c>
    </row>
    <row r="4176" spans="1:31" ht="18" customHeight="1" x14ac:dyDescent="0.25">
      <c r="A41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6" s="79">
        <v>4</v>
      </c>
      <c r="C4176" s="23">
        <v>44515</v>
      </c>
      <c r="D4176" s="67">
        <f>IF(COUNTIF($G$2:$G4176,$G4176)=1,1,0)</f>
        <v>1</v>
      </c>
      <c r="E4176" s="67" t="str">
        <f>IFERROR(VLOOKUP(База_КР_КК[[#This Row],[ИД штатной должности (S)]],'уровень защищенности'!$B$7:$F$1095,5,0),"не защищена")</f>
        <v>высокий</v>
      </c>
      <c r="F4176" s="68">
        <v>500499</v>
      </c>
      <c r="G4176" s="74" t="s">
        <v>3208</v>
      </c>
      <c r="H4176" s="181">
        <f>INDEX('Списки данных'!$D$2:$D$1048576,MATCH(База_КР_КК[[#This Row],[Структурное подразделение]],'Списки данных'!$C$2:$C$1048576,0))</f>
        <v>48</v>
      </c>
      <c r="I4176" s="80" t="s">
        <v>168</v>
      </c>
      <c r="J4176" s="80" t="s">
        <v>264</v>
      </c>
      <c r="K4176" s="80" t="s">
        <v>265</v>
      </c>
      <c r="L4176" s="30" t="s">
        <v>191</v>
      </c>
      <c r="M4176" s="68">
        <v>7</v>
      </c>
      <c r="N4176" s="181" t="str">
        <f t="shared" si="66"/>
        <v>нет</v>
      </c>
      <c r="O4176" s="23"/>
      <c r="P4176" s="23"/>
      <c r="Q4176" s="106"/>
      <c r="R4176" s="37">
        <v>1024</v>
      </c>
      <c r="S4176" s="39" t="s">
        <v>1433</v>
      </c>
      <c r="T4176" s="37">
        <v>2087</v>
      </c>
      <c r="U4176" s="37" t="s">
        <v>2135</v>
      </c>
      <c r="V4176" s="69" t="s">
        <v>272</v>
      </c>
      <c r="W4176" s="89" t="s">
        <v>168</v>
      </c>
      <c r="X4176" s="106" t="s">
        <v>297</v>
      </c>
      <c r="Y4176" s="107" t="s">
        <v>12</v>
      </c>
      <c r="Z4176" s="67">
        <f>IF(База_КР_КК[[#This Row],[Таб.номер резервиста]]="-","-",IF(OR(База_КР_КК[[#This Row],[Уровень КК]]=2,База_КР_КК[[#This Row],[Уровень КК]]=3),IF(COUNTIFS($U$2:$U4176,$U4176,$F$2:$F4176,$F4176)=1,1,0),IF(COUNTIFS($U$2:$U4176,$U4176,$L$2:$L4176,$L4176)=1,1,0)))</f>
        <v>0</v>
      </c>
      <c r="AA41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6" s="106"/>
      <c r="AC4176" s="51"/>
      <c r="AD4176" s="106" t="s">
        <v>15</v>
      </c>
      <c r="AE4176" s="38" t="s">
        <v>398</v>
      </c>
    </row>
    <row r="4177" spans="1:31" ht="18" customHeight="1" x14ac:dyDescent="0.25">
      <c r="A41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7" s="79">
        <v>4</v>
      </c>
      <c r="C4177" s="23">
        <v>44515</v>
      </c>
      <c r="D4177" s="67">
        <f>IF(COUNTIF($G$2:$G4177,$G4177)=1,1,0)</f>
        <v>0</v>
      </c>
      <c r="E4177" s="67" t="str">
        <f>IFERROR(VLOOKUP(База_КР_КК[[#This Row],[ИД штатной должности (S)]],'уровень защищенности'!$B$7:$F$1095,5,0),"не защищена")</f>
        <v>высокий</v>
      </c>
      <c r="F4177" s="68">
        <v>500499</v>
      </c>
      <c r="G4177" s="74" t="s">
        <v>3208</v>
      </c>
      <c r="H4177" s="181">
        <f>INDEX('Списки данных'!$D$2:$D$1048576,MATCH(База_КР_КК[[#This Row],[Структурное подразделение]],'Списки данных'!$C$2:$C$1048576,0))</f>
        <v>48</v>
      </c>
      <c r="I4177" s="80" t="s">
        <v>168</v>
      </c>
      <c r="J4177" s="80" t="s">
        <v>264</v>
      </c>
      <c r="K4177" s="80" t="s">
        <v>265</v>
      </c>
      <c r="L4177" s="30" t="s">
        <v>191</v>
      </c>
      <c r="M4177" s="68">
        <v>7</v>
      </c>
      <c r="N4177" s="181" t="str">
        <f t="shared" si="66"/>
        <v>нет</v>
      </c>
      <c r="O4177" s="23"/>
      <c r="P4177" s="23"/>
      <c r="Q4177" s="106"/>
      <c r="R4177" s="37">
        <v>1024</v>
      </c>
      <c r="S4177" s="39" t="s">
        <v>1433</v>
      </c>
      <c r="T4177" s="37">
        <v>2088</v>
      </c>
      <c r="U4177" s="37" t="s">
        <v>2089</v>
      </c>
      <c r="V4177" s="69" t="s">
        <v>272</v>
      </c>
      <c r="W4177" s="89" t="s">
        <v>168</v>
      </c>
      <c r="X4177" s="106" t="s">
        <v>296</v>
      </c>
      <c r="Y4177" s="107" t="s">
        <v>12</v>
      </c>
      <c r="Z4177" s="67">
        <f>IF(База_КР_КК[[#This Row],[Таб.номер резервиста]]="-","-",IF(OR(База_КР_КК[[#This Row],[Уровень КК]]=2,База_КР_КК[[#This Row],[Уровень КК]]=3),IF(COUNTIFS($U$2:$U4177,$U4177,$F$2:$F4177,$F4177)=1,1,0),IF(COUNTIFS($U$2:$U4177,$U4177,$L$2:$L4177,$L4177)=1,1,0)))</f>
        <v>0</v>
      </c>
      <c r="AA41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7" s="106"/>
      <c r="AC4177" s="51"/>
      <c r="AD4177" s="106" t="s">
        <v>15</v>
      </c>
      <c r="AE4177" s="38" t="s">
        <v>398</v>
      </c>
    </row>
    <row r="4178" spans="1:31" ht="18" customHeight="1" x14ac:dyDescent="0.25">
      <c r="A41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8" s="79">
        <v>4</v>
      </c>
      <c r="C4178" s="23">
        <v>44515</v>
      </c>
      <c r="D4178" s="67">
        <f>IF(COUNTIF($G$2:$G4178,$G4178)=1,1,0)</f>
        <v>0</v>
      </c>
      <c r="E4178" s="67" t="str">
        <f>IFERROR(VLOOKUP(База_КР_КК[[#This Row],[ИД штатной должности (S)]],'уровень защищенности'!$B$7:$F$1095,5,0),"не защищена")</f>
        <v>высокий</v>
      </c>
      <c r="F4178" s="68">
        <v>500499</v>
      </c>
      <c r="G4178" s="74" t="s">
        <v>3208</v>
      </c>
      <c r="H4178" s="181">
        <f>INDEX('Списки данных'!$D$2:$D$1048576,MATCH(База_КР_КК[[#This Row],[Структурное подразделение]],'Списки данных'!$C$2:$C$1048576,0))</f>
        <v>48</v>
      </c>
      <c r="I4178" s="80" t="s">
        <v>168</v>
      </c>
      <c r="J4178" s="80" t="s">
        <v>264</v>
      </c>
      <c r="K4178" s="80" t="s">
        <v>265</v>
      </c>
      <c r="L4178" s="30" t="s">
        <v>191</v>
      </c>
      <c r="M4178" s="68">
        <v>7</v>
      </c>
      <c r="N4178" s="181" t="str">
        <f t="shared" si="66"/>
        <v>нет</v>
      </c>
      <c r="O4178" s="23"/>
      <c r="P4178" s="23"/>
      <c r="Q4178" s="106"/>
      <c r="R4178" s="37">
        <v>1024</v>
      </c>
      <c r="S4178" s="39" t="s">
        <v>1433</v>
      </c>
      <c r="T4178" s="37">
        <v>2089</v>
      </c>
      <c r="U4178" s="37" t="s">
        <v>1990</v>
      </c>
      <c r="V4178" s="69" t="s">
        <v>272</v>
      </c>
      <c r="W4178" s="89" t="s">
        <v>168</v>
      </c>
      <c r="X4178" s="106" t="s">
        <v>297</v>
      </c>
      <c r="Y4178" s="107" t="s">
        <v>12</v>
      </c>
      <c r="Z4178" s="67">
        <f>IF(База_КР_КК[[#This Row],[Таб.номер резервиста]]="-","-",IF(OR(База_КР_КК[[#This Row],[Уровень КК]]=2,База_КР_КК[[#This Row],[Уровень КК]]=3),IF(COUNTIFS($U$2:$U4178,$U4178,$F$2:$F4178,$F4178)=1,1,0),IF(COUNTIFS($U$2:$U4178,$U4178,$L$2:$L4178,$L4178)=1,1,0)))</f>
        <v>0</v>
      </c>
      <c r="AA41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8" s="106"/>
      <c r="AC4178" s="51"/>
      <c r="AD4178" s="106" t="s">
        <v>15</v>
      </c>
      <c r="AE4178" s="38" t="s">
        <v>398</v>
      </c>
    </row>
    <row r="4179" spans="1:31" ht="18" customHeight="1" x14ac:dyDescent="0.25">
      <c r="A41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79" s="79">
        <v>4</v>
      </c>
      <c r="C4179" s="23">
        <v>44515</v>
      </c>
      <c r="D4179" s="67">
        <f>IF(COUNTIF($G$2:$G4179,$G4179)=1,1,0)</f>
        <v>0</v>
      </c>
      <c r="E4179" s="67" t="str">
        <f>IFERROR(VLOOKUP(База_КР_КК[[#This Row],[ИД штатной должности (S)]],'уровень защищенности'!$B$7:$F$1095,5,0),"не защищена")</f>
        <v>высокий</v>
      </c>
      <c r="F4179" s="68">
        <v>500499</v>
      </c>
      <c r="G4179" s="74" t="s">
        <v>3208</v>
      </c>
      <c r="H4179" s="181">
        <f>INDEX('Списки данных'!$D$2:$D$1048576,MATCH(База_КР_КК[[#This Row],[Структурное подразделение]],'Списки данных'!$C$2:$C$1048576,0))</f>
        <v>48</v>
      </c>
      <c r="I4179" s="80" t="s">
        <v>168</v>
      </c>
      <c r="J4179" s="80" t="s">
        <v>264</v>
      </c>
      <c r="K4179" s="80" t="s">
        <v>265</v>
      </c>
      <c r="L4179" s="30" t="s">
        <v>191</v>
      </c>
      <c r="M4179" s="68">
        <v>7</v>
      </c>
      <c r="N4179" s="181" t="str">
        <f t="shared" si="66"/>
        <v>нет</v>
      </c>
      <c r="O4179" s="23"/>
      <c r="P4179" s="23"/>
      <c r="Q4179" s="106"/>
      <c r="R4179" s="37">
        <v>1024</v>
      </c>
      <c r="S4179" s="39" t="s">
        <v>1433</v>
      </c>
      <c r="T4179" s="37">
        <v>2090</v>
      </c>
      <c r="U4179" s="37" t="s">
        <v>1647</v>
      </c>
      <c r="V4179" s="69" t="s">
        <v>272</v>
      </c>
      <c r="W4179" s="89" t="s">
        <v>168</v>
      </c>
      <c r="X4179" s="106" t="s">
        <v>296</v>
      </c>
      <c r="Y4179" s="107" t="s">
        <v>12</v>
      </c>
      <c r="Z4179" s="67">
        <f>IF(База_КР_КК[[#This Row],[Таб.номер резервиста]]="-","-",IF(OR(База_КР_КК[[#This Row],[Уровень КК]]=2,База_КР_КК[[#This Row],[Уровень КК]]=3),IF(COUNTIFS($U$2:$U4179,$U4179,$F$2:$F4179,$F4179)=1,1,0),IF(COUNTIFS($U$2:$U4179,$U4179,$L$2:$L4179,$L4179)=1,1,0)))</f>
        <v>0</v>
      </c>
      <c r="AA41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79" s="106"/>
      <c r="AC4179" s="51"/>
      <c r="AD4179" s="106" t="s">
        <v>15</v>
      </c>
      <c r="AE4179" s="38" t="s">
        <v>398</v>
      </c>
    </row>
    <row r="4180" spans="1:31" ht="18" customHeight="1" x14ac:dyDescent="0.25">
      <c r="A41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0" s="79">
        <v>4</v>
      </c>
      <c r="C4180" s="23">
        <v>44515</v>
      </c>
      <c r="D4180" s="67">
        <f>IF(COUNTIF($G$2:$G4180,$G4180)=1,1,0)</f>
        <v>0</v>
      </c>
      <c r="E4180" s="67" t="str">
        <f>IFERROR(VLOOKUP(База_КР_КК[[#This Row],[ИД штатной должности (S)]],'уровень защищенности'!$B$7:$F$1095,5,0),"не защищена")</f>
        <v>высокий</v>
      </c>
      <c r="F4180" s="68">
        <v>500499</v>
      </c>
      <c r="G4180" s="74" t="s">
        <v>3208</v>
      </c>
      <c r="H4180" s="181">
        <f>INDEX('Списки данных'!$D$2:$D$1048576,MATCH(База_КР_КК[[#This Row],[Структурное подразделение]],'Списки данных'!$C$2:$C$1048576,0))</f>
        <v>48</v>
      </c>
      <c r="I4180" s="80" t="s">
        <v>168</v>
      </c>
      <c r="J4180" s="80" t="s">
        <v>264</v>
      </c>
      <c r="K4180" s="80" t="s">
        <v>265</v>
      </c>
      <c r="L4180" s="30" t="s">
        <v>191</v>
      </c>
      <c r="M4180" s="68">
        <v>7</v>
      </c>
      <c r="N4180" s="181" t="str">
        <f t="shared" si="66"/>
        <v>нет</v>
      </c>
      <c r="O4180" s="23"/>
      <c r="P4180" s="23"/>
      <c r="Q4180" s="106"/>
      <c r="R4180" s="37">
        <v>1024</v>
      </c>
      <c r="S4180" s="39" t="s">
        <v>1433</v>
      </c>
      <c r="T4180" s="37">
        <v>2091</v>
      </c>
      <c r="U4180" s="37" t="s">
        <v>2072</v>
      </c>
      <c r="V4180" s="69" t="s">
        <v>272</v>
      </c>
      <c r="W4180" s="89" t="s">
        <v>168</v>
      </c>
      <c r="X4180" s="106" t="s">
        <v>296</v>
      </c>
      <c r="Y4180" s="107" t="s">
        <v>12</v>
      </c>
      <c r="Z4180" s="67">
        <f>IF(База_КР_КК[[#This Row],[Таб.номер резервиста]]="-","-",IF(OR(База_КР_КК[[#This Row],[Уровень КК]]=2,База_КР_КК[[#This Row],[Уровень КК]]=3),IF(COUNTIFS($U$2:$U4180,$U4180,$F$2:$F4180,$F4180)=1,1,0),IF(COUNTIFS($U$2:$U4180,$U4180,$L$2:$L4180,$L4180)=1,1,0)))</f>
        <v>0</v>
      </c>
      <c r="AA41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0" s="106"/>
      <c r="AC4180" s="51"/>
      <c r="AD4180" s="106" t="s">
        <v>15</v>
      </c>
      <c r="AE4180" s="38" t="s">
        <v>398</v>
      </c>
    </row>
    <row r="4181" spans="1:31" ht="18" customHeight="1" x14ac:dyDescent="0.25">
      <c r="A41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1" s="79">
        <v>4</v>
      </c>
      <c r="C4181" s="23">
        <v>44515</v>
      </c>
      <c r="D4181" s="67">
        <f>IF(COUNTIF($G$2:$G4181,$G4181)=1,1,0)</f>
        <v>0</v>
      </c>
      <c r="E4181" s="67" t="str">
        <f>IFERROR(VLOOKUP(База_КР_КК[[#This Row],[ИД штатной должности (S)]],'уровень защищенности'!$B$7:$F$1095,5,0),"не защищена")</f>
        <v>высокий</v>
      </c>
      <c r="F4181" s="68">
        <v>500499</v>
      </c>
      <c r="G4181" s="74" t="s">
        <v>3208</v>
      </c>
      <c r="H4181" s="181">
        <f>INDEX('Списки данных'!$D$2:$D$1048576,MATCH(База_КР_КК[[#This Row],[Структурное подразделение]],'Списки данных'!$C$2:$C$1048576,0))</f>
        <v>48</v>
      </c>
      <c r="I4181" s="80" t="s">
        <v>168</v>
      </c>
      <c r="J4181" s="80" t="s">
        <v>264</v>
      </c>
      <c r="K4181" s="80" t="s">
        <v>265</v>
      </c>
      <c r="L4181" s="30" t="s">
        <v>191</v>
      </c>
      <c r="M4181" s="68">
        <v>7</v>
      </c>
      <c r="N4181" s="181" t="str">
        <f t="shared" si="66"/>
        <v>нет</v>
      </c>
      <c r="O4181" s="23"/>
      <c r="P4181" s="23"/>
      <c r="Q4181" s="106"/>
      <c r="R4181" s="37">
        <v>1024</v>
      </c>
      <c r="S4181" s="39" t="s">
        <v>1433</v>
      </c>
      <c r="T4181" s="37">
        <v>2092</v>
      </c>
      <c r="U4181" s="37" t="s">
        <v>2021</v>
      </c>
      <c r="V4181" s="69" t="s">
        <v>272</v>
      </c>
      <c r="W4181" s="89" t="s">
        <v>168</v>
      </c>
      <c r="X4181" s="106" t="s">
        <v>295</v>
      </c>
      <c r="Y4181" s="107" t="s">
        <v>12</v>
      </c>
      <c r="Z4181" s="67">
        <f>IF(База_КР_КК[[#This Row],[Таб.номер резервиста]]="-","-",IF(OR(База_КР_КК[[#This Row],[Уровень КК]]=2,База_КР_КК[[#This Row],[Уровень КК]]=3),IF(COUNTIFS($U$2:$U4181,$U4181,$F$2:$F4181,$F4181)=1,1,0),IF(COUNTIFS($U$2:$U4181,$U4181,$L$2:$L4181,$L4181)=1,1,0)))</f>
        <v>0</v>
      </c>
      <c r="AA41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1" s="106"/>
      <c r="AC4181" s="51"/>
      <c r="AD4181" s="106" t="s">
        <v>15</v>
      </c>
      <c r="AE4181" s="38" t="s">
        <v>398</v>
      </c>
    </row>
    <row r="4182" spans="1:31" ht="18" customHeight="1" x14ac:dyDescent="0.25">
      <c r="A41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2" s="79">
        <v>4</v>
      </c>
      <c r="C4182" s="23">
        <v>44515</v>
      </c>
      <c r="D4182" s="67">
        <f>IF(COUNTIF($G$2:$G4182,$G4182)=1,1,0)</f>
        <v>0</v>
      </c>
      <c r="E4182" s="67" t="str">
        <f>IFERROR(VLOOKUP(База_КР_КК[[#This Row],[ИД штатной должности (S)]],'уровень защищенности'!$B$7:$F$1095,5,0),"не защищена")</f>
        <v>высокий</v>
      </c>
      <c r="F4182" s="68">
        <v>500499</v>
      </c>
      <c r="G4182" s="74" t="s">
        <v>3208</v>
      </c>
      <c r="H4182" s="181">
        <f>INDEX('Списки данных'!$D$2:$D$1048576,MATCH(База_КР_КК[[#This Row],[Структурное подразделение]],'Списки данных'!$C$2:$C$1048576,0))</f>
        <v>48</v>
      </c>
      <c r="I4182" s="80" t="s">
        <v>168</v>
      </c>
      <c r="J4182" s="80" t="s">
        <v>264</v>
      </c>
      <c r="K4182" s="80" t="s">
        <v>265</v>
      </c>
      <c r="L4182" s="30" t="s">
        <v>191</v>
      </c>
      <c r="M4182" s="68">
        <v>7</v>
      </c>
      <c r="N4182" s="181" t="str">
        <f t="shared" si="66"/>
        <v>нет</v>
      </c>
      <c r="O4182" s="23"/>
      <c r="P4182" s="23"/>
      <c r="Q4182" s="106"/>
      <c r="R4182" s="37">
        <v>1024</v>
      </c>
      <c r="S4182" s="39" t="s">
        <v>1433</v>
      </c>
      <c r="T4182" s="37">
        <v>1020</v>
      </c>
      <c r="U4182" s="37" t="s">
        <v>1429</v>
      </c>
      <c r="V4182" s="69" t="s">
        <v>192</v>
      </c>
      <c r="W4182" s="89" t="s">
        <v>168</v>
      </c>
      <c r="X4182" s="106" t="s">
        <v>297</v>
      </c>
      <c r="Y4182" s="107" t="s">
        <v>18</v>
      </c>
      <c r="Z4182" s="67">
        <f>IF(База_КР_КК[[#This Row],[Таб.номер резервиста]]="-","-",IF(OR(База_КР_КК[[#This Row],[Уровень КК]]=2,База_КР_КК[[#This Row],[Уровень КК]]=3),IF(COUNTIFS($U$2:$U4182,$U4182,$F$2:$F4182,$F4182)=1,1,0),IF(COUNTIFS($U$2:$U4182,$U4182,$L$2:$L4182,$L4182)=1,1,0)))</f>
        <v>0</v>
      </c>
      <c r="AA41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2" s="106" t="s">
        <v>37</v>
      </c>
      <c r="AC4182" s="51">
        <v>44669</v>
      </c>
      <c r="AD4182" s="106" t="s">
        <v>15</v>
      </c>
      <c r="AE4182" s="38" t="s">
        <v>398</v>
      </c>
    </row>
    <row r="4183" spans="1:31" ht="18" customHeight="1" x14ac:dyDescent="0.25">
      <c r="A41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3" s="79">
        <v>4</v>
      </c>
      <c r="C4183" s="23">
        <v>44515</v>
      </c>
      <c r="D4183" s="67">
        <f>IF(COUNTIF($G$2:$G4183,$G4183)=1,1,0)</f>
        <v>0</v>
      </c>
      <c r="E4183" s="67" t="str">
        <f>IFERROR(VLOOKUP(База_КР_КК[[#This Row],[ИД штатной должности (S)]],'уровень защищенности'!$B$7:$F$1095,5,0),"не защищена")</f>
        <v>высокий</v>
      </c>
      <c r="F4183" s="68">
        <v>500499</v>
      </c>
      <c r="G4183" s="74" t="s">
        <v>3208</v>
      </c>
      <c r="H4183" s="181">
        <f>INDEX('Списки данных'!$D$2:$D$1048576,MATCH(База_КР_КК[[#This Row],[Структурное подразделение]],'Списки данных'!$C$2:$C$1048576,0))</f>
        <v>48</v>
      </c>
      <c r="I4183" s="80" t="s">
        <v>168</v>
      </c>
      <c r="J4183" s="80" t="s">
        <v>264</v>
      </c>
      <c r="K4183" s="80" t="s">
        <v>265</v>
      </c>
      <c r="L4183" s="30" t="s">
        <v>191</v>
      </c>
      <c r="M4183" s="68">
        <v>7</v>
      </c>
      <c r="N4183" s="181" t="str">
        <f t="shared" si="66"/>
        <v>нет</v>
      </c>
      <c r="O4183" s="23"/>
      <c r="P4183" s="23"/>
      <c r="Q4183" s="106"/>
      <c r="R4183" s="37">
        <v>1024</v>
      </c>
      <c r="S4183" s="39" t="s">
        <v>1433</v>
      </c>
      <c r="T4183" s="37">
        <v>2093</v>
      </c>
      <c r="U4183" s="37" t="s">
        <v>2106</v>
      </c>
      <c r="V4183" s="69" t="s">
        <v>192</v>
      </c>
      <c r="W4183" s="89" t="s">
        <v>168</v>
      </c>
      <c r="X4183" s="106" t="s">
        <v>295</v>
      </c>
      <c r="Y4183" s="107" t="s">
        <v>18</v>
      </c>
      <c r="Z4183" s="67">
        <f>IF(База_КР_КК[[#This Row],[Таб.номер резервиста]]="-","-",IF(OR(База_КР_КК[[#This Row],[Уровень КК]]=2,База_КР_КК[[#This Row],[Уровень КК]]=3),IF(COUNTIFS($U$2:$U4183,$U4183,$F$2:$F4183,$F4183)=1,1,0),IF(COUNTIFS($U$2:$U4183,$U4183,$L$2:$L4183,$L4183)=1,1,0)))</f>
        <v>0</v>
      </c>
      <c r="AA41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3" s="106" t="s">
        <v>19</v>
      </c>
      <c r="AC4183" s="51">
        <v>44939</v>
      </c>
      <c r="AD4183" s="106" t="s">
        <v>15</v>
      </c>
      <c r="AE4183" s="38" t="s">
        <v>398</v>
      </c>
    </row>
    <row r="4184" spans="1:31" ht="18" customHeight="1" x14ac:dyDescent="0.25">
      <c r="A41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4" s="79">
        <v>4</v>
      </c>
      <c r="C4184" s="23">
        <v>44515</v>
      </c>
      <c r="D4184" s="67">
        <f>IF(COUNTIF($G$2:$G4184,$G4184)=1,1,0)</f>
        <v>0</v>
      </c>
      <c r="E4184" s="67" t="str">
        <f>IFERROR(VLOOKUP(База_КР_КК[[#This Row],[ИД штатной должности (S)]],'уровень защищенности'!$B$7:$F$1095,5,0),"не защищена")</f>
        <v>высокий</v>
      </c>
      <c r="F4184" s="68">
        <v>500499</v>
      </c>
      <c r="G4184" s="74" t="s">
        <v>3208</v>
      </c>
      <c r="H4184" s="181">
        <f>INDEX('Списки данных'!$D$2:$D$1048576,MATCH(База_КР_КК[[#This Row],[Структурное подразделение]],'Списки данных'!$C$2:$C$1048576,0))</f>
        <v>48</v>
      </c>
      <c r="I4184" s="80" t="s">
        <v>168</v>
      </c>
      <c r="J4184" s="80" t="s">
        <v>264</v>
      </c>
      <c r="K4184" s="80" t="s">
        <v>265</v>
      </c>
      <c r="L4184" s="30" t="s">
        <v>191</v>
      </c>
      <c r="M4184" s="68">
        <v>7</v>
      </c>
      <c r="N4184" s="181" t="str">
        <f t="shared" si="66"/>
        <v>нет</v>
      </c>
      <c r="O4184" s="23"/>
      <c r="P4184" s="23"/>
      <c r="Q4184" s="106"/>
      <c r="R4184" s="37">
        <v>1024</v>
      </c>
      <c r="S4184" s="39" t="s">
        <v>1433</v>
      </c>
      <c r="T4184" s="37">
        <v>2094</v>
      </c>
      <c r="U4184" s="37" t="s">
        <v>1965</v>
      </c>
      <c r="V4184" s="69" t="s">
        <v>192</v>
      </c>
      <c r="W4184" s="89" t="s">
        <v>168</v>
      </c>
      <c r="X4184" s="106" t="s">
        <v>296</v>
      </c>
      <c r="Y4184" s="107" t="s">
        <v>18</v>
      </c>
      <c r="Z4184" s="67">
        <f>IF(База_КР_КК[[#This Row],[Таб.номер резервиста]]="-","-",IF(OR(База_КР_КК[[#This Row],[Уровень КК]]=2,База_КР_КК[[#This Row],[Уровень КК]]=3),IF(COUNTIFS($U$2:$U4184,$U4184,$F$2:$F4184,$F4184)=1,1,0),IF(COUNTIFS($U$2:$U4184,$U4184,$L$2:$L4184,$L4184)=1,1,0)))</f>
        <v>0</v>
      </c>
      <c r="AA41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4" s="106" t="s">
        <v>33</v>
      </c>
      <c r="AC4184" s="51">
        <v>44895</v>
      </c>
      <c r="AD4184" s="106" t="s">
        <v>15</v>
      </c>
      <c r="AE4184" s="38" t="s">
        <v>398</v>
      </c>
    </row>
    <row r="4185" spans="1:31" ht="18" customHeight="1" x14ac:dyDescent="0.25">
      <c r="A41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5" s="79">
        <v>4</v>
      </c>
      <c r="C4185" s="23">
        <v>44515</v>
      </c>
      <c r="D4185" s="67">
        <f>IF(COUNTIF($G$2:$G4185,$G4185)=1,1,0)</f>
        <v>1</v>
      </c>
      <c r="E4185" s="67" t="str">
        <f>IFERROR(VLOOKUP(База_КР_КК[[#This Row],[ИД штатной должности (S)]],'уровень защищенности'!$B$7:$F$1095,5,0),"не защищена")</f>
        <v>высокий</v>
      </c>
      <c r="F4185" s="68">
        <v>500499</v>
      </c>
      <c r="G4185" s="74" t="s">
        <v>3209</v>
      </c>
      <c r="H4185" s="181">
        <f>INDEX('Списки данных'!$D$2:$D$1048576,MATCH(База_КР_КК[[#This Row],[Структурное подразделение]],'Списки данных'!$C$2:$C$1048576,0))</f>
        <v>48</v>
      </c>
      <c r="I4185" s="80" t="s">
        <v>168</v>
      </c>
      <c r="J4185" s="80" t="s">
        <v>264</v>
      </c>
      <c r="K4185" s="80" t="s">
        <v>265</v>
      </c>
      <c r="L4185" s="30" t="s">
        <v>191</v>
      </c>
      <c r="M4185" s="68">
        <v>7</v>
      </c>
      <c r="N4185" s="181" t="str">
        <f t="shared" si="66"/>
        <v>нет</v>
      </c>
      <c r="O4185" s="23"/>
      <c r="P4185" s="23"/>
      <c r="Q4185" s="106"/>
      <c r="R4185" s="37">
        <v>1025</v>
      </c>
      <c r="S4185" s="39" t="s">
        <v>1434</v>
      </c>
      <c r="T4185" s="37">
        <v>2087</v>
      </c>
      <c r="U4185" s="37" t="s">
        <v>2135</v>
      </c>
      <c r="V4185" s="69" t="s">
        <v>272</v>
      </c>
      <c r="W4185" s="89" t="s">
        <v>168</v>
      </c>
      <c r="X4185" s="106" t="s">
        <v>297</v>
      </c>
      <c r="Y4185" s="107" t="s">
        <v>12</v>
      </c>
      <c r="Z4185" s="67">
        <f>IF(База_КР_КК[[#This Row],[Таб.номер резервиста]]="-","-",IF(OR(База_КР_КК[[#This Row],[Уровень КК]]=2,База_КР_КК[[#This Row],[Уровень КК]]=3),IF(COUNTIFS($U$2:$U4185,$U4185,$F$2:$F4185,$F4185)=1,1,0),IF(COUNTIFS($U$2:$U4185,$U4185,$L$2:$L4185,$L4185)=1,1,0)))</f>
        <v>0</v>
      </c>
      <c r="AA41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5" s="106"/>
      <c r="AC4185" s="51"/>
      <c r="AD4185" s="106" t="s">
        <v>15</v>
      </c>
      <c r="AE4185" s="38" t="s">
        <v>398</v>
      </c>
    </row>
    <row r="4186" spans="1:31" ht="18" customHeight="1" x14ac:dyDescent="0.25">
      <c r="A41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6" s="79">
        <v>4</v>
      </c>
      <c r="C4186" s="23">
        <v>44515</v>
      </c>
      <c r="D4186" s="67">
        <f>IF(COUNTIF($G$2:$G4186,$G4186)=1,1,0)</f>
        <v>0</v>
      </c>
      <c r="E4186" s="67" t="str">
        <f>IFERROR(VLOOKUP(База_КР_КК[[#This Row],[ИД штатной должности (S)]],'уровень защищенности'!$B$7:$F$1095,5,0),"не защищена")</f>
        <v>высокий</v>
      </c>
      <c r="F4186" s="68">
        <v>500499</v>
      </c>
      <c r="G4186" s="74" t="s">
        <v>3209</v>
      </c>
      <c r="H4186" s="181">
        <f>INDEX('Списки данных'!$D$2:$D$1048576,MATCH(База_КР_КК[[#This Row],[Структурное подразделение]],'Списки данных'!$C$2:$C$1048576,0))</f>
        <v>48</v>
      </c>
      <c r="I4186" s="80" t="s">
        <v>168</v>
      </c>
      <c r="J4186" s="80" t="s">
        <v>264</v>
      </c>
      <c r="K4186" s="80" t="s">
        <v>265</v>
      </c>
      <c r="L4186" s="30" t="s">
        <v>191</v>
      </c>
      <c r="M4186" s="68">
        <v>7</v>
      </c>
      <c r="N4186" s="181" t="str">
        <f t="shared" si="66"/>
        <v>нет</v>
      </c>
      <c r="O4186" s="23"/>
      <c r="P4186" s="23"/>
      <c r="Q4186" s="106"/>
      <c r="R4186" s="37">
        <v>1025</v>
      </c>
      <c r="S4186" s="39" t="s">
        <v>1434</v>
      </c>
      <c r="T4186" s="37">
        <v>2088</v>
      </c>
      <c r="U4186" s="37" t="s">
        <v>2089</v>
      </c>
      <c r="V4186" s="69" t="s">
        <v>272</v>
      </c>
      <c r="W4186" s="89" t="s">
        <v>168</v>
      </c>
      <c r="X4186" s="106" t="s">
        <v>296</v>
      </c>
      <c r="Y4186" s="107" t="s">
        <v>12</v>
      </c>
      <c r="Z4186" s="67">
        <f>IF(База_КР_КК[[#This Row],[Таб.номер резервиста]]="-","-",IF(OR(База_КР_КК[[#This Row],[Уровень КК]]=2,База_КР_КК[[#This Row],[Уровень КК]]=3),IF(COUNTIFS($U$2:$U4186,$U4186,$F$2:$F4186,$F4186)=1,1,0),IF(COUNTIFS($U$2:$U4186,$U4186,$L$2:$L4186,$L4186)=1,1,0)))</f>
        <v>0</v>
      </c>
      <c r="AA41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6" s="106"/>
      <c r="AC4186" s="51"/>
      <c r="AD4186" s="106" t="s">
        <v>15</v>
      </c>
      <c r="AE4186" s="38" t="s">
        <v>398</v>
      </c>
    </row>
    <row r="4187" spans="1:31" ht="18" customHeight="1" x14ac:dyDescent="0.25">
      <c r="A41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7" s="79">
        <v>4</v>
      </c>
      <c r="C4187" s="23">
        <v>44515</v>
      </c>
      <c r="D4187" s="67">
        <f>IF(COUNTIF($G$2:$G4187,$G4187)=1,1,0)</f>
        <v>0</v>
      </c>
      <c r="E4187" s="67" t="str">
        <f>IFERROR(VLOOKUP(База_КР_КК[[#This Row],[ИД штатной должности (S)]],'уровень защищенности'!$B$7:$F$1095,5,0),"не защищена")</f>
        <v>высокий</v>
      </c>
      <c r="F4187" s="68">
        <v>500499</v>
      </c>
      <c r="G4187" s="74" t="s">
        <v>3209</v>
      </c>
      <c r="H4187" s="181">
        <f>INDEX('Списки данных'!$D$2:$D$1048576,MATCH(База_КР_КК[[#This Row],[Структурное подразделение]],'Списки данных'!$C$2:$C$1048576,0))</f>
        <v>48</v>
      </c>
      <c r="I4187" s="80" t="s">
        <v>168</v>
      </c>
      <c r="J4187" s="80" t="s">
        <v>264</v>
      </c>
      <c r="K4187" s="80" t="s">
        <v>265</v>
      </c>
      <c r="L4187" s="30" t="s">
        <v>191</v>
      </c>
      <c r="M4187" s="68">
        <v>7</v>
      </c>
      <c r="N4187" s="181" t="str">
        <f t="shared" si="66"/>
        <v>нет</v>
      </c>
      <c r="O4187" s="23"/>
      <c r="P4187" s="23"/>
      <c r="Q4187" s="106"/>
      <c r="R4187" s="37">
        <v>1025</v>
      </c>
      <c r="S4187" s="39" t="s">
        <v>1434</v>
      </c>
      <c r="T4187" s="37">
        <v>2089</v>
      </c>
      <c r="U4187" s="37" t="s">
        <v>1990</v>
      </c>
      <c r="V4187" s="69" t="s">
        <v>272</v>
      </c>
      <c r="W4187" s="89" t="s">
        <v>168</v>
      </c>
      <c r="X4187" s="106" t="s">
        <v>297</v>
      </c>
      <c r="Y4187" s="107" t="s">
        <v>12</v>
      </c>
      <c r="Z4187" s="67">
        <f>IF(База_КР_КК[[#This Row],[Таб.номер резервиста]]="-","-",IF(OR(База_КР_КК[[#This Row],[Уровень КК]]=2,База_КР_КК[[#This Row],[Уровень КК]]=3),IF(COUNTIFS($U$2:$U4187,$U4187,$F$2:$F4187,$F4187)=1,1,0),IF(COUNTIFS($U$2:$U4187,$U4187,$L$2:$L4187,$L4187)=1,1,0)))</f>
        <v>0</v>
      </c>
      <c r="AA41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7" s="106"/>
      <c r="AC4187" s="51"/>
      <c r="AD4187" s="106" t="s">
        <v>15</v>
      </c>
      <c r="AE4187" s="38" t="s">
        <v>398</v>
      </c>
    </row>
    <row r="4188" spans="1:31" ht="18" customHeight="1" x14ac:dyDescent="0.25">
      <c r="A41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8" s="79">
        <v>4</v>
      </c>
      <c r="C4188" s="23">
        <v>44515</v>
      </c>
      <c r="D4188" s="67">
        <f>IF(COUNTIF($G$2:$G4188,$G4188)=1,1,0)</f>
        <v>0</v>
      </c>
      <c r="E4188" s="67" t="str">
        <f>IFERROR(VLOOKUP(База_КР_КК[[#This Row],[ИД штатной должности (S)]],'уровень защищенности'!$B$7:$F$1095,5,0),"не защищена")</f>
        <v>высокий</v>
      </c>
      <c r="F4188" s="68">
        <v>500499</v>
      </c>
      <c r="G4188" s="74" t="s">
        <v>3209</v>
      </c>
      <c r="H4188" s="181">
        <f>INDEX('Списки данных'!$D$2:$D$1048576,MATCH(База_КР_КК[[#This Row],[Структурное подразделение]],'Списки данных'!$C$2:$C$1048576,0))</f>
        <v>48</v>
      </c>
      <c r="I4188" s="80" t="s">
        <v>168</v>
      </c>
      <c r="J4188" s="80" t="s">
        <v>264</v>
      </c>
      <c r="K4188" s="80" t="s">
        <v>265</v>
      </c>
      <c r="L4188" s="30" t="s">
        <v>191</v>
      </c>
      <c r="M4188" s="68">
        <v>7</v>
      </c>
      <c r="N4188" s="181" t="str">
        <f t="shared" si="66"/>
        <v>нет</v>
      </c>
      <c r="O4188" s="23"/>
      <c r="P4188" s="23"/>
      <c r="Q4188" s="106"/>
      <c r="R4188" s="37">
        <v>1025</v>
      </c>
      <c r="S4188" s="39" t="s">
        <v>1434</v>
      </c>
      <c r="T4188" s="37">
        <v>2090</v>
      </c>
      <c r="U4188" s="37" t="s">
        <v>1647</v>
      </c>
      <c r="V4188" s="69" t="s">
        <v>272</v>
      </c>
      <c r="W4188" s="89" t="s">
        <v>168</v>
      </c>
      <c r="X4188" s="106" t="s">
        <v>296</v>
      </c>
      <c r="Y4188" s="107" t="s">
        <v>12</v>
      </c>
      <c r="Z4188" s="67">
        <f>IF(База_КР_КК[[#This Row],[Таб.номер резервиста]]="-","-",IF(OR(База_КР_КК[[#This Row],[Уровень КК]]=2,База_КР_КК[[#This Row],[Уровень КК]]=3),IF(COUNTIFS($U$2:$U4188,$U4188,$F$2:$F4188,$F4188)=1,1,0),IF(COUNTIFS($U$2:$U4188,$U4188,$L$2:$L4188,$L4188)=1,1,0)))</f>
        <v>0</v>
      </c>
      <c r="AA41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8" s="106"/>
      <c r="AC4188" s="51"/>
      <c r="AD4188" s="106" t="s">
        <v>15</v>
      </c>
      <c r="AE4188" s="38" t="s">
        <v>398</v>
      </c>
    </row>
    <row r="4189" spans="1:31" ht="18" customHeight="1" x14ac:dyDescent="0.25">
      <c r="A41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89" s="79">
        <v>4</v>
      </c>
      <c r="C4189" s="23">
        <v>44515</v>
      </c>
      <c r="D4189" s="67">
        <f>IF(COUNTIF($G$2:$G4189,$G4189)=1,1,0)</f>
        <v>0</v>
      </c>
      <c r="E4189" s="67" t="str">
        <f>IFERROR(VLOOKUP(База_КР_КК[[#This Row],[ИД штатной должности (S)]],'уровень защищенности'!$B$7:$F$1095,5,0),"не защищена")</f>
        <v>высокий</v>
      </c>
      <c r="F4189" s="68">
        <v>500499</v>
      </c>
      <c r="G4189" s="74" t="s">
        <v>3209</v>
      </c>
      <c r="H4189" s="181">
        <f>INDEX('Списки данных'!$D$2:$D$1048576,MATCH(База_КР_КК[[#This Row],[Структурное подразделение]],'Списки данных'!$C$2:$C$1048576,0))</f>
        <v>48</v>
      </c>
      <c r="I4189" s="80" t="s">
        <v>168</v>
      </c>
      <c r="J4189" s="80" t="s">
        <v>264</v>
      </c>
      <c r="K4189" s="80" t="s">
        <v>265</v>
      </c>
      <c r="L4189" s="30" t="s">
        <v>191</v>
      </c>
      <c r="M4189" s="68">
        <v>7</v>
      </c>
      <c r="N4189" s="181" t="str">
        <f t="shared" si="66"/>
        <v>нет</v>
      </c>
      <c r="O4189" s="23"/>
      <c r="P4189" s="23"/>
      <c r="Q4189" s="106"/>
      <c r="R4189" s="37">
        <v>1025</v>
      </c>
      <c r="S4189" s="39" t="s">
        <v>1434</v>
      </c>
      <c r="T4189" s="37">
        <v>2091</v>
      </c>
      <c r="U4189" s="37" t="s">
        <v>2072</v>
      </c>
      <c r="V4189" s="69" t="s">
        <v>272</v>
      </c>
      <c r="W4189" s="89" t="s">
        <v>168</v>
      </c>
      <c r="X4189" s="106" t="s">
        <v>296</v>
      </c>
      <c r="Y4189" s="107" t="s">
        <v>12</v>
      </c>
      <c r="Z4189" s="67">
        <f>IF(База_КР_КК[[#This Row],[Таб.номер резервиста]]="-","-",IF(OR(База_КР_КК[[#This Row],[Уровень КК]]=2,База_КР_КК[[#This Row],[Уровень КК]]=3),IF(COUNTIFS($U$2:$U4189,$U4189,$F$2:$F4189,$F4189)=1,1,0),IF(COUNTIFS($U$2:$U4189,$U4189,$L$2:$L4189,$L4189)=1,1,0)))</f>
        <v>0</v>
      </c>
      <c r="AA41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89" s="106"/>
      <c r="AC4189" s="51"/>
      <c r="AD4189" s="106" t="s">
        <v>15</v>
      </c>
      <c r="AE4189" s="38" t="s">
        <v>398</v>
      </c>
    </row>
    <row r="4190" spans="1:31" ht="18" customHeight="1" x14ac:dyDescent="0.25">
      <c r="A41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0" s="79">
        <v>4</v>
      </c>
      <c r="C4190" s="23">
        <v>44515</v>
      </c>
      <c r="D4190" s="67">
        <f>IF(COUNTIF($G$2:$G4190,$G4190)=1,1,0)</f>
        <v>0</v>
      </c>
      <c r="E4190" s="67" t="str">
        <f>IFERROR(VLOOKUP(База_КР_КК[[#This Row],[ИД штатной должности (S)]],'уровень защищенности'!$B$7:$F$1095,5,0),"не защищена")</f>
        <v>высокий</v>
      </c>
      <c r="F4190" s="68">
        <v>500499</v>
      </c>
      <c r="G4190" s="74" t="s">
        <v>3209</v>
      </c>
      <c r="H4190" s="181">
        <f>INDEX('Списки данных'!$D$2:$D$1048576,MATCH(База_КР_КК[[#This Row],[Структурное подразделение]],'Списки данных'!$C$2:$C$1048576,0))</f>
        <v>48</v>
      </c>
      <c r="I4190" s="80" t="s">
        <v>168</v>
      </c>
      <c r="J4190" s="80" t="s">
        <v>264</v>
      </c>
      <c r="K4190" s="80" t="s">
        <v>265</v>
      </c>
      <c r="L4190" s="30" t="s">
        <v>191</v>
      </c>
      <c r="M4190" s="68">
        <v>7</v>
      </c>
      <c r="N4190" s="181" t="str">
        <f t="shared" si="66"/>
        <v>нет</v>
      </c>
      <c r="O4190" s="23"/>
      <c r="P4190" s="23"/>
      <c r="Q4190" s="106"/>
      <c r="R4190" s="37">
        <v>1025</v>
      </c>
      <c r="S4190" s="39" t="s">
        <v>1434</v>
      </c>
      <c r="T4190" s="37">
        <v>2092</v>
      </c>
      <c r="U4190" s="37" t="s">
        <v>2021</v>
      </c>
      <c r="V4190" s="69" t="s">
        <v>272</v>
      </c>
      <c r="W4190" s="89" t="s">
        <v>168</v>
      </c>
      <c r="X4190" s="106" t="s">
        <v>295</v>
      </c>
      <c r="Y4190" s="107" t="s">
        <v>12</v>
      </c>
      <c r="Z4190" s="67">
        <f>IF(База_КР_КК[[#This Row],[Таб.номер резервиста]]="-","-",IF(OR(База_КР_КК[[#This Row],[Уровень КК]]=2,База_КР_КК[[#This Row],[Уровень КК]]=3),IF(COUNTIFS($U$2:$U4190,$U4190,$F$2:$F4190,$F4190)=1,1,0),IF(COUNTIFS($U$2:$U4190,$U4190,$L$2:$L4190,$L4190)=1,1,0)))</f>
        <v>0</v>
      </c>
      <c r="AA41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0" s="106"/>
      <c r="AC4190" s="51"/>
      <c r="AD4190" s="106" t="s">
        <v>15</v>
      </c>
      <c r="AE4190" s="38" t="s">
        <v>398</v>
      </c>
    </row>
    <row r="4191" spans="1:31" ht="18" customHeight="1" x14ac:dyDescent="0.25">
      <c r="A41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1" s="79">
        <v>4</v>
      </c>
      <c r="C4191" s="23">
        <v>44515</v>
      </c>
      <c r="D4191" s="67">
        <f>IF(COUNTIF($G$2:$G4191,$G4191)=1,1,0)</f>
        <v>0</v>
      </c>
      <c r="E4191" s="67" t="str">
        <f>IFERROR(VLOOKUP(База_КР_КК[[#This Row],[ИД штатной должности (S)]],'уровень защищенности'!$B$7:$F$1095,5,0),"не защищена")</f>
        <v>высокий</v>
      </c>
      <c r="F4191" s="68">
        <v>500499</v>
      </c>
      <c r="G4191" s="74" t="s">
        <v>3209</v>
      </c>
      <c r="H4191" s="181">
        <f>INDEX('Списки данных'!$D$2:$D$1048576,MATCH(База_КР_КК[[#This Row],[Структурное подразделение]],'Списки данных'!$C$2:$C$1048576,0))</f>
        <v>48</v>
      </c>
      <c r="I4191" s="80" t="s">
        <v>168</v>
      </c>
      <c r="J4191" s="80" t="s">
        <v>264</v>
      </c>
      <c r="K4191" s="80" t="s">
        <v>265</v>
      </c>
      <c r="L4191" s="30" t="s">
        <v>191</v>
      </c>
      <c r="M4191" s="68">
        <v>7</v>
      </c>
      <c r="N4191" s="181" t="str">
        <f t="shared" si="66"/>
        <v>нет</v>
      </c>
      <c r="O4191" s="23"/>
      <c r="P4191" s="23"/>
      <c r="Q4191" s="106"/>
      <c r="R4191" s="37">
        <v>1025</v>
      </c>
      <c r="S4191" s="39" t="s">
        <v>1434</v>
      </c>
      <c r="T4191" s="37">
        <v>1020</v>
      </c>
      <c r="U4191" s="37" t="s">
        <v>1429</v>
      </c>
      <c r="V4191" s="69" t="s">
        <v>192</v>
      </c>
      <c r="W4191" s="89" t="s">
        <v>168</v>
      </c>
      <c r="X4191" s="106" t="s">
        <v>297</v>
      </c>
      <c r="Y4191" s="107" t="s">
        <v>18</v>
      </c>
      <c r="Z4191" s="67">
        <f>IF(База_КР_КК[[#This Row],[Таб.номер резервиста]]="-","-",IF(OR(База_КР_КК[[#This Row],[Уровень КК]]=2,База_КР_КК[[#This Row],[Уровень КК]]=3),IF(COUNTIFS($U$2:$U4191,$U4191,$F$2:$F4191,$F4191)=1,1,0),IF(COUNTIFS($U$2:$U4191,$U4191,$L$2:$L4191,$L4191)=1,1,0)))</f>
        <v>0</v>
      </c>
      <c r="AA41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1" s="106" t="s">
        <v>37</v>
      </c>
      <c r="AC4191" s="51">
        <v>44669</v>
      </c>
      <c r="AD4191" s="106" t="s">
        <v>15</v>
      </c>
      <c r="AE4191" s="38" t="s">
        <v>398</v>
      </c>
    </row>
    <row r="4192" spans="1:31" ht="18" customHeight="1" x14ac:dyDescent="0.25">
      <c r="A41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2" s="79">
        <v>4</v>
      </c>
      <c r="C4192" s="23">
        <v>44515</v>
      </c>
      <c r="D4192" s="67">
        <f>IF(COUNTIF($G$2:$G4192,$G4192)=1,1,0)</f>
        <v>0</v>
      </c>
      <c r="E4192" s="67" t="str">
        <f>IFERROR(VLOOKUP(База_КР_КК[[#This Row],[ИД штатной должности (S)]],'уровень защищенности'!$B$7:$F$1095,5,0),"не защищена")</f>
        <v>высокий</v>
      </c>
      <c r="F4192" s="68">
        <v>500499</v>
      </c>
      <c r="G4192" s="74" t="s">
        <v>3209</v>
      </c>
      <c r="H4192" s="181">
        <f>INDEX('Списки данных'!$D$2:$D$1048576,MATCH(База_КР_КК[[#This Row],[Структурное подразделение]],'Списки данных'!$C$2:$C$1048576,0))</f>
        <v>48</v>
      </c>
      <c r="I4192" s="80" t="s">
        <v>168</v>
      </c>
      <c r="J4192" s="80" t="s">
        <v>264</v>
      </c>
      <c r="K4192" s="80" t="s">
        <v>265</v>
      </c>
      <c r="L4192" s="30" t="s">
        <v>191</v>
      </c>
      <c r="M4192" s="68">
        <v>7</v>
      </c>
      <c r="N4192" s="181" t="str">
        <f t="shared" si="66"/>
        <v>нет</v>
      </c>
      <c r="O4192" s="23"/>
      <c r="P4192" s="23"/>
      <c r="Q4192" s="106"/>
      <c r="R4192" s="37">
        <v>1025</v>
      </c>
      <c r="S4192" s="39" t="s">
        <v>1434</v>
      </c>
      <c r="T4192" s="37">
        <v>2093</v>
      </c>
      <c r="U4192" s="37" t="s">
        <v>2106</v>
      </c>
      <c r="V4192" s="69" t="s">
        <v>192</v>
      </c>
      <c r="W4192" s="89" t="s">
        <v>168</v>
      </c>
      <c r="X4192" s="106" t="s">
        <v>295</v>
      </c>
      <c r="Y4192" s="107" t="s">
        <v>18</v>
      </c>
      <c r="Z4192" s="67">
        <f>IF(База_КР_КК[[#This Row],[Таб.номер резервиста]]="-","-",IF(OR(База_КР_КК[[#This Row],[Уровень КК]]=2,База_КР_КК[[#This Row],[Уровень КК]]=3),IF(COUNTIFS($U$2:$U4192,$U4192,$F$2:$F4192,$F4192)=1,1,0),IF(COUNTIFS($U$2:$U4192,$U4192,$L$2:$L4192,$L4192)=1,1,0)))</f>
        <v>0</v>
      </c>
      <c r="AA41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2" s="106" t="s">
        <v>19</v>
      </c>
      <c r="AC4192" s="51">
        <v>44939</v>
      </c>
      <c r="AD4192" s="106" t="s">
        <v>15</v>
      </c>
      <c r="AE4192" s="38" t="s">
        <v>398</v>
      </c>
    </row>
    <row r="4193" spans="1:31" ht="18" customHeight="1" x14ac:dyDescent="0.25">
      <c r="A41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3" s="79">
        <v>4</v>
      </c>
      <c r="C4193" s="23">
        <v>44515</v>
      </c>
      <c r="D4193" s="67">
        <f>IF(COUNTIF($G$2:$G4193,$G4193)=1,1,0)</f>
        <v>0</v>
      </c>
      <c r="E4193" s="67" t="str">
        <f>IFERROR(VLOOKUP(База_КР_КК[[#This Row],[ИД штатной должности (S)]],'уровень защищенности'!$B$7:$F$1095,5,0),"не защищена")</f>
        <v>высокий</v>
      </c>
      <c r="F4193" s="68">
        <v>500499</v>
      </c>
      <c r="G4193" s="74" t="s">
        <v>3209</v>
      </c>
      <c r="H4193" s="181">
        <f>INDEX('Списки данных'!$D$2:$D$1048576,MATCH(База_КР_КК[[#This Row],[Структурное подразделение]],'Списки данных'!$C$2:$C$1048576,0))</f>
        <v>48</v>
      </c>
      <c r="I4193" s="80" t="s">
        <v>168</v>
      </c>
      <c r="J4193" s="80" t="s">
        <v>264</v>
      </c>
      <c r="K4193" s="80" t="s">
        <v>265</v>
      </c>
      <c r="L4193" s="30" t="s">
        <v>191</v>
      </c>
      <c r="M4193" s="68">
        <v>7</v>
      </c>
      <c r="N4193" s="181" t="str">
        <f t="shared" si="66"/>
        <v>нет</v>
      </c>
      <c r="O4193" s="23"/>
      <c r="P4193" s="23"/>
      <c r="Q4193" s="106"/>
      <c r="R4193" s="37">
        <v>1025</v>
      </c>
      <c r="S4193" s="39" t="s">
        <v>1434</v>
      </c>
      <c r="T4193" s="37">
        <v>2094</v>
      </c>
      <c r="U4193" s="37" t="s">
        <v>1965</v>
      </c>
      <c r="V4193" s="69" t="s">
        <v>192</v>
      </c>
      <c r="W4193" s="89" t="s">
        <v>168</v>
      </c>
      <c r="X4193" s="106" t="s">
        <v>296</v>
      </c>
      <c r="Y4193" s="107" t="s">
        <v>18</v>
      </c>
      <c r="Z4193" s="67">
        <f>IF(База_КР_КК[[#This Row],[Таб.номер резервиста]]="-","-",IF(OR(База_КР_КК[[#This Row],[Уровень КК]]=2,База_КР_КК[[#This Row],[Уровень КК]]=3),IF(COUNTIFS($U$2:$U4193,$U4193,$F$2:$F4193,$F4193)=1,1,0),IF(COUNTIFS($U$2:$U4193,$U4193,$L$2:$L4193,$L4193)=1,1,0)))</f>
        <v>0</v>
      </c>
      <c r="AA41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3" s="106" t="s">
        <v>33</v>
      </c>
      <c r="AC4193" s="51">
        <v>44895</v>
      </c>
      <c r="AD4193" s="106" t="s">
        <v>15</v>
      </c>
      <c r="AE4193" s="38" t="s">
        <v>398</v>
      </c>
    </row>
    <row r="4194" spans="1:31" ht="18" customHeight="1" x14ac:dyDescent="0.25">
      <c r="A41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4" s="79">
        <v>4</v>
      </c>
      <c r="C4194" s="23">
        <v>44515</v>
      </c>
      <c r="D4194" s="67">
        <f>IF(COUNTIF($G$2:$G4194,$G4194)=1,1,0)</f>
        <v>1</v>
      </c>
      <c r="E4194" s="67" t="str">
        <f>IFERROR(VLOOKUP(База_КР_КК[[#This Row],[ИД штатной должности (S)]],'уровень защищенности'!$B$7:$F$1095,5,0),"не защищена")</f>
        <v>высокий</v>
      </c>
      <c r="F4194" s="68">
        <v>500499</v>
      </c>
      <c r="G4194" s="74" t="s">
        <v>3210</v>
      </c>
      <c r="H4194" s="181">
        <f>INDEX('Списки данных'!$D$2:$D$1048576,MATCH(База_КР_КК[[#This Row],[Структурное подразделение]],'Списки данных'!$C$2:$C$1048576,0))</f>
        <v>48</v>
      </c>
      <c r="I4194" s="80" t="s">
        <v>168</v>
      </c>
      <c r="J4194" s="80" t="s">
        <v>264</v>
      </c>
      <c r="K4194" s="80" t="s">
        <v>265</v>
      </c>
      <c r="L4194" s="30" t="s">
        <v>191</v>
      </c>
      <c r="M4194" s="68">
        <v>7</v>
      </c>
      <c r="N4194" s="181" t="str">
        <f t="shared" si="66"/>
        <v>нет</v>
      </c>
      <c r="O4194" s="23"/>
      <c r="P4194" s="23"/>
      <c r="Q4194" s="106"/>
      <c r="R4194" s="37">
        <v>1026</v>
      </c>
      <c r="S4194" s="39" t="s">
        <v>1435</v>
      </c>
      <c r="T4194" s="37">
        <v>2087</v>
      </c>
      <c r="U4194" s="37" t="s">
        <v>2135</v>
      </c>
      <c r="V4194" s="69" t="s">
        <v>272</v>
      </c>
      <c r="W4194" s="89" t="s">
        <v>168</v>
      </c>
      <c r="X4194" s="106" t="s">
        <v>297</v>
      </c>
      <c r="Y4194" s="107" t="s">
        <v>12</v>
      </c>
      <c r="Z4194" s="67">
        <f>IF(База_КР_КК[[#This Row],[Таб.номер резервиста]]="-","-",IF(OR(База_КР_КК[[#This Row],[Уровень КК]]=2,База_КР_КК[[#This Row],[Уровень КК]]=3),IF(COUNTIFS($U$2:$U4194,$U4194,$F$2:$F4194,$F4194)=1,1,0),IF(COUNTIFS($U$2:$U4194,$U4194,$L$2:$L4194,$L4194)=1,1,0)))</f>
        <v>0</v>
      </c>
      <c r="AA41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4" s="106"/>
      <c r="AC4194" s="51"/>
      <c r="AD4194" s="106" t="s">
        <v>15</v>
      </c>
      <c r="AE4194" s="38" t="s">
        <v>398</v>
      </c>
    </row>
    <row r="4195" spans="1:31" ht="18" customHeight="1" x14ac:dyDescent="0.25">
      <c r="A41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5" s="79">
        <v>4</v>
      </c>
      <c r="C4195" s="23">
        <v>44515</v>
      </c>
      <c r="D4195" s="67">
        <f>IF(COUNTIF($G$2:$G4195,$G4195)=1,1,0)</f>
        <v>0</v>
      </c>
      <c r="E4195" s="67" t="str">
        <f>IFERROR(VLOOKUP(База_КР_КК[[#This Row],[ИД штатной должности (S)]],'уровень защищенности'!$B$7:$F$1095,5,0),"не защищена")</f>
        <v>высокий</v>
      </c>
      <c r="F4195" s="68">
        <v>500499</v>
      </c>
      <c r="G4195" s="74" t="s">
        <v>3210</v>
      </c>
      <c r="H4195" s="181">
        <f>INDEX('Списки данных'!$D$2:$D$1048576,MATCH(База_КР_КК[[#This Row],[Структурное подразделение]],'Списки данных'!$C$2:$C$1048576,0))</f>
        <v>48</v>
      </c>
      <c r="I4195" s="80" t="s">
        <v>168</v>
      </c>
      <c r="J4195" s="80" t="s">
        <v>264</v>
      </c>
      <c r="K4195" s="80" t="s">
        <v>265</v>
      </c>
      <c r="L4195" s="30" t="s">
        <v>191</v>
      </c>
      <c r="M4195" s="68">
        <v>7</v>
      </c>
      <c r="N4195" s="181" t="str">
        <f t="shared" si="66"/>
        <v>нет</v>
      </c>
      <c r="O4195" s="23"/>
      <c r="P4195" s="23"/>
      <c r="Q4195" s="106"/>
      <c r="R4195" s="37">
        <v>1026</v>
      </c>
      <c r="S4195" s="39" t="s">
        <v>1435</v>
      </c>
      <c r="T4195" s="37">
        <v>2088</v>
      </c>
      <c r="U4195" s="37" t="s">
        <v>2089</v>
      </c>
      <c r="V4195" s="69" t="s">
        <v>272</v>
      </c>
      <c r="W4195" s="89" t="s">
        <v>168</v>
      </c>
      <c r="X4195" s="106" t="s">
        <v>296</v>
      </c>
      <c r="Y4195" s="107" t="s">
        <v>12</v>
      </c>
      <c r="Z4195" s="67">
        <f>IF(База_КР_КК[[#This Row],[Таб.номер резервиста]]="-","-",IF(OR(База_КР_КК[[#This Row],[Уровень КК]]=2,База_КР_КК[[#This Row],[Уровень КК]]=3),IF(COUNTIFS($U$2:$U4195,$U4195,$F$2:$F4195,$F4195)=1,1,0),IF(COUNTIFS($U$2:$U4195,$U4195,$L$2:$L4195,$L4195)=1,1,0)))</f>
        <v>0</v>
      </c>
      <c r="AA41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5" s="106"/>
      <c r="AC4195" s="51"/>
      <c r="AD4195" s="106" t="s">
        <v>15</v>
      </c>
      <c r="AE4195" s="38" t="s">
        <v>398</v>
      </c>
    </row>
    <row r="4196" spans="1:31" ht="18" customHeight="1" x14ac:dyDescent="0.25">
      <c r="A41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6" s="79">
        <v>4</v>
      </c>
      <c r="C4196" s="23">
        <v>44515</v>
      </c>
      <c r="D4196" s="67">
        <f>IF(COUNTIF($G$2:$G4196,$G4196)=1,1,0)</f>
        <v>0</v>
      </c>
      <c r="E4196" s="67" t="str">
        <f>IFERROR(VLOOKUP(База_КР_КК[[#This Row],[ИД штатной должности (S)]],'уровень защищенности'!$B$7:$F$1095,5,0),"не защищена")</f>
        <v>высокий</v>
      </c>
      <c r="F4196" s="68">
        <v>500499</v>
      </c>
      <c r="G4196" s="74" t="s">
        <v>3210</v>
      </c>
      <c r="H4196" s="181">
        <f>INDEX('Списки данных'!$D$2:$D$1048576,MATCH(База_КР_КК[[#This Row],[Структурное подразделение]],'Списки данных'!$C$2:$C$1048576,0))</f>
        <v>48</v>
      </c>
      <c r="I4196" s="80" t="s">
        <v>168</v>
      </c>
      <c r="J4196" s="80" t="s">
        <v>264</v>
      </c>
      <c r="K4196" s="80" t="s">
        <v>265</v>
      </c>
      <c r="L4196" s="30" t="s">
        <v>191</v>
      </c>
      <c r="M4196" s="68">
        <v>7</v>
      </c>
      <c r="N4196" s="181" t="str">
        <f t="shared" si="66"/>
        <v>нет</v>
      </c>
      <c r="O4196" s="23"/>
      <c r="P4196" s="23"/>
      <c r="Q4196" s="106"/>
      <c r="R4196" s="37">
        <v>1026</v>
      </c>
      <c r="S4196" s="39" t="s">
        <v>1435</v>
      </c>
      <c r="T4196" s="37">
        <v>2089</v>
      </c>
      <c r="U4196" s="37" t="s">
        <v>1990</v>
      </c>
      <c r="V4196" s="69" t="s">
        <v>272</v>
      </c>
      <c r="W4196" s="89" t="s">
        <v>168</v>
      </c>
      <c r="X4196" s="106" t="s">
        <v>297</v>
      </c>
      <c r="Y4196" s="107" t="s">
        <v>12</v>
      </c>
      <c r="Z4196" s="67">
        <f>IF(База_КР_КК[[#This Row],[Таб.номер резервиста]]="-","-",IF(OR(База_КР_КК[[#This Row],[Уровень КК]]=2,База_КР_КК[[#This Row],[Уровень КК]]=3),IF(COUNTIFS($U$2:$U4196,$U4196,$F$2:$F4196,$F4196)=1,1,0),IF(COUNTIFS($U$2:$U4196,$U4196,$L$2:$L4196,$L4196)=1,1,0)))</f>
        <v>0</v>
      </c>
      <c r="AA41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6" s="106"/>
      <c r="AC4196" s="51"/>
      <c r="AD4196" s="106" t="s">
        <v>15</v>
      </c>
      <c r="AE4196" s="38" t="s">
        <v>398</v>
      </c>
    </row>
    <row r="4197" spans="1:31" ht="18" customHeight="1" x14ac:dyDescent="0.25">
      <c r="A41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7" s="79">
        <v>4</v>
      </c>
      <c r="C4197" s="23">
        <v>44515</v>
      </c>
      <c r="D4197" s="67">
        <f>IF(COUNTIF($G$2:$G4197,$G4197)=1,1,0)</f>
        <v>0</v>
      </c>
      <c r="E4197" s="67" t="str">
        <f>IFERROR(VLOOKUP(База_КР_КК[[#This Row],[ИД штатной должности (S)]],'уровень защищенности'!$B$7:$F$1095,5,0),"не защищена")</f>
        <v>высокий</v>
      </c>
      <c r="F4197" s="68">
        <v>500499</v>
      </c>
      <c r="G4197" s="74" t="s">
        <v>3210</v>
      </c>
      <c r="H4197" s="181">
        <f>INDEX('Списки данных'!$D$2:$D$1048576,MATCH(База_КР_КК[[#This Row],[Структурное подразделение]],'Списки данных'!$C$2:$C$1048576,0))</f>
        <v>48</v>
      </c>
      <c r="I4197" s="80" t="s">
        <v>168</v>
      </c>
      <c r="J4197" s="80" t="s">
        <v>264</v>
      </c>
      <c r="K4197" s="80" t="s">
        <v>265</v>
      </c>
      <c r="L4197" s="30" t="s">
        <v>191</v>
      </c>
      <c r="M4197" s="68">
        <v>7</v>
      </c>
      <c r="N4197" s="181" t="str">
        <f t="shared" si="66"/>
        <v>нет</v>
      </c>
      <c r="O4197" s="23"/>
      <c r="P4197" s="23"/>
      <c r="Q4197" s="106"/>
      <c r="R4197" s="37">
        <v>1026</v>
      </c>
      <c r="S4197" s="39" t="s">
        <v>1435</v>
      </c>
      <c r="T4197" s="37">
        <v>2090</v>
      </c>
      <c r="U4197" s="37" t="s">
        <v>1647</v>
      </c>
      <c r="V4197" s="69" t="s">
        <v>272</v>
      </c>
      <c r="W4197" s="89" t="s">
        <v>168</v>
      </c>
      <c r="X4197" s="106" t="s">
        <v>296</v>
      </c>
      <c r="Y4197" s="107" t="s">
        <v>12</v>
      </c>
      <c r="Z4197" s="67">
        <f>IF(База_КР_КК[[#This Row],[Таб.номер резервиста]]="-","-",IF(OR(База_КР_КК[[#This Row],[Уровень КК]]=2,База_КР_КК[[#This Row],[Уровень КК]]=3),IF(COUNTIFS($U$2:$U4197,$U4197,$F$2:$F4197,$F4197)=1,1,0),IF(COUNTIFS($U$2:$U4197,$U4197,$L$2:$L4197,$L4197)=1,1,0)))</f>
        <v>0</v>
      </c>
      <c r="AA41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7" s="106"/>
      <c r="AC4197" s="51"/>
      <c r="AD4197" s="106" t="s">
        <v>15</v>
      </c>
      <c r="AE4197" s="38" t="s">
        <v>398</v>
      </c>
    </row>
    <row r="4198" spans="1:31" ht="18" customHeight="1" x14ac:dyDescent="0.25">
      <c r="A41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8" s="79">
        <v>4</v>
      </c>
      <c r="C4198" s="23">
        <v>44515</v>
      </c>
      <c r="D4198" s="67">
        <f>IF(COUNTIF($G$2:$G4198,$G4198)=1,1,0)</f>
        <v>0</v>
      </c>
      <c r="E4198" s="67" t="str">
        <f>IFERROR(VLOOKUP(База_КР_КК[[#This Row],[ИД штатной должности (S)]],'уровень защищенности'!$B$7:$F$1095,5,0),"не защищена")</f>
        <v>высокий</v>
      </c>
      <c r="F4198" s="68">
        <v>500499</v>
      </c>
      <c r="G4198" s="74" t="s">
        <v>3210</v>
      </c>
      <c r="H4198" s="181">
        <f>INDEX('Списки данных'!$D$2:$D$1048576,MATCH(База_КР_КК[[#This Row],[Структурное подразделение]],'Списки данных'!$C$2:$C$1048576,0))</f>
        <v>48</v>
      </c>
      <c r="I4198" s="80" t="s">
        <v>168</v>
      </c>
      <c r="J4198" s="80" t="s">
        <v>264</v>
      </c>
      <c r="K4198" s="80" t="s">
        <v>265</v>
      </c>
      <c r="L4198" s="30" t="s">
        <v>191</v>
      </c>
      <c r="M4198" s="68">
        <v>7</v>
      </c>
      <c r="N4198" s="181" t="str">
        <f t="shared" si="66"/>
        <v>нет</v>
      </c>
      <c r="O4198" s="23"/>
      <c r="P4198" s="23"/>
      <c r="Q4198" s="106"/>
      <c r="R4198" s="37">
        <v>1026</v>
      </c>
      <c r="S4198" s="39" t="s">
        <v>1435</v>
      </c>
      <c r="T4198" s="37">
        <v>2091</v>
      </c>
      <c r="U4198" s="37" t="s">
        <v>2072</v>
      </c>
      <c r="V4198" s="69" t="s">
        <v>272</v>
      </c>
      <c r="W4198" s="89" t="s">
        <v>168</v>
      </c>
      <c r="X4198" s="106" t="s">
        <v>296</v>
      </c>
      <c r="Y4198" s="107" t="s">
        <v>12</v>
      </c>
      <c r="Z4198" s="67">
        <f>IF(База_КР_КК[[#This Row],[Таб.номер резервиста]]="-","-",IF(OR(База_КР_КК[[#This Row],[Уровень КК]]=2,База_КР_КК[[#This Row],[Уровень КК]]=3),IF(COUNTIFS($U$2:$U4198,$U4198,$F$2:$F4198,$F4198)=1,1,0),IF(COUNTIFS($U$2:$U4198,$U4198,$L$2:$L4198,$L4198)=1,1,0)))</f>
        <v>0</v>
      </c>
      <c r="AA41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8" s="106"/>
      <c r="AC4198" s="51"/>
      <c r="AD4198" s="106" t="s">
        <v>15</v>
      </c>
      <c r="AE4198" s="38" t="s">
        <v>398</v>
      </c>
    </row>
    <row r="4199" spans="1:31" ht="18" customHeight="1" x14ac:dyDescent="0.25">
      <c r="A41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199" s="79">
        <v>4</v>
      </c>
      <c r="C4199" s="23">
        <v>44515</v>
      </c>
      <c r="D4199" s="67">
        <f>IF(COUNTIF($G$2:$G4199,$G4199)=1,1,0)</f>
        <v>0</v>
      </c>
      <c r="E4199" s="67" t="str">
        <f>IFERROR(VLOOKUP(База_КР_КК[[#This Row],[ИД штатной должности (S)]],'уровень защищенности'!$B$7:$F$1095,5,0),"не защищена")</f>
        <v>высокий</v>
      </c>
      <c r="F4199" s="68">
        <v>500499</v>
      </c>
      <c r="G4199" s="74" t="s">
        <v>3210</v>
      </c>
      <c r="H4199" s="181">
        <f>INDEX('Списки данных'!$D$2:$D$1048576,MATCH(База_КР_КК[[#This Row],[Структурное подразделение]],'Списки данных'!$C$2:$C$1048576,0))</f>
        <v>48</v>
      </c>
      <c r="I4199" s="80" t="s">
        <v>168</v>
      </c>
      <c r="J4199" s="80" t="s">
        <v>264</v>
      </c>
      <c r="K4199" s="80" t="s">
        <v>265</v>
      </c>
      <c r="L4199" s="30" t="s">
        <v>191</v>
      </c>
      <c r="M4199" s="68">
        <v>7</v>
      </c>
      <c r="N4199" s="181" t="str">
        <f t="shared" si="66"/>
        <v>нет</v>
      </c>
      <c r="O4199" s="23"/>
      <c r="P4199" s="23"/>
      <c r="Q4199" s="106"/>
      <c r="R4199" s="37">
        <v>1026</v>
      </c>
      <c r="S4199" s="39" t="s">
        <v>1435</v>
      </c>
      <c r="T4199" s="37">
        <v>2092</v>
      </c>
      <c r="U4199" s="37" t="s">
        <v>2021</v>
      </c>
      <c r="V4199" s="69" t="s">
        <v>272</v>
      </c>
      <c r="W4199" s="89" t="s">
        <v>168</v>
      </c>
      <c r="X4199" s="106" t="s">
        <v>295</v>
      </c>
      <c r="Y4199" s="107" t="s">
        <v>12</v>
      </c>
      <c r="Z4199" s="67">
        <f>IF(База_КР_КК[[#This Row],[Таб.номер резервиста]]="-","-",IF(OR(База_КР_КК[[#This Row],[Уровень КК]]=2,База_КР_КК[[#This Row],[Уровень КК]]=3),IF(COUNTIFS($U$2:$U4199,$U4199,$F$2:$F4199,$F4199)=1,1,0),IF(COUNTIFS($U$2:$U4199,$U4199,$L$2:$L4199,$L4199)=1,1,0)))</f>
        <v>0</v>
      </c>
      <c r="AA41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199" s="106"/>
      <c r="AC4199" s="51"/>
      <c r="AD4199" s="106" t="s">
        <v>15</v>
      </c>
      <c r="AE4199" s="38" t="s">
        <v>398</v>
      </c>
    </row>
    <row r="4200" spans="1:31" ht="18" customHeight="1" x14ac:dyDescent="0.25">
      <c r="A42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0" s="79">
        <v>4</v>
      </c>
      <c r="C4200" s="23">
        <v>44515</v>
      </c>
      <c r="D4200" s="67">
        <f>IF(COUNTIF($G$2:$G4200,$G4200)=1,1,0)</f>
        <v>0</v>
      </c>
      <c r="E4200" s="67" t="str">
        <f>IFERROR(VLOOKUP(База_КР_КК[[#This Row],[ИД штатной должности (S)]],'уровень защищенности'!$B$7:$F$1095,5,0),"не защищена")</f>
        <v>высокий</v>
      </c>
      <c r="F4200" s="68">
        <v>500499</v>
      </c>
      <c r="G4200" s="74" t="s">
        <v>3210</v>
      </c>
      <c r="H4200" s="181">
        <f>INDEX('Списки данных'!$D$2:$D$1048576,MATCH(База_КР_КК[[#This Row],[Структурное подразделение]],'Списки данных'!$C$2:$C$1048576,0))</f>
        <v>48</v>
      </c>
      <c r="I4200" s="80" t="s">
        <v>168</v>
      </c>
      <c r="J4200" s="80" t="s">
        <v>264</v>
      </c>
      <c r="K4200" s="80" t="s">
        <v>265</v>
      </c>
      <c r="L4200" s="30" t="s">
        <v>191</v>
      </c>
      <c r="M4200" s="68">
        <v>7</v>
      </c>
      <c r="N4200" s="181" t="str">
        <f t="shared" si="66"/>
        <v>нет</v>
      </c>
      <c r="O4200" s="23"/>
      <c r="P4200" s="23"/>
      <c r="Q4200" s="106"/>
      <c r="R4200" s="37">
        <v>1026</v>
      </c>
      <c r="S4200" s="39" t="s">
        <v>1435</v>
      </c>
      <c r="T4200" s="37">
        <v>1020</v>
      </c>
      <c r="U4200" s="37" t="s">
        <v>1429</v>
      </c>
      <c r="V4200" s="69" t="s">
        <v>192</v>
      </c>
      <c r="W4200" s="89" t="s">
        <v>168</v>
      </c>
      <c r="X4200" s="106" t="s">
        <v>297</v>
      </c>
      <c r="Y4200" s="107" t="s">
        <v>18</v>
      </c>
      <c r="Z4200" s="67">
        <f>IF(База_КР_КК[[#This Row],[Таб.номер резервиста]]="-","-",IF(OR(База_КР_КК[[#This Row],[Уровень КК]]=2,База_КР_КК[[#This Row],[Уровень КК]]=3),IF(COUNTIFS($U$2:$U4200,$U4200,$F$2:$F4200,$F4200)=1,1,0),IF(COUNTIFS($U$2:$U4200,$U4200,$L$2:$L4200,$L4200)=1,1,0)))</f>
        <v>0</v>
      </c>
      <c r="AA42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0" s="106" t="s">
        <v>37</v>
      </c>
      <c r="AC4200" s="51">
        <v>44669</v>
      </c>
      <c r="AD4200" s="106" t="s">
        <v>15</v>
      </c>
      <c r="AE4200" s="38" t="s">
        <v>398</v>
      </c>
    </row>
    <row r="4201" spans="1:31" ht="18" customHeight="1" x14ac:dyDescent="0.25">
      <c r="A42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1" s="79">
        <v>4</v>
      </c>
      <c r="C4201" s="23">
        <v>44515</v>
      </c>
      <c r="D4201" s="67">
        <f>IF(COUNTIF($G$2:$G4201,$G4201)=1,1,0)</f>
        <v>0</v>
      </c>
      <c r="E4201" s="67" t="str">
        <f>IFERROR(VLOOKUP(База_КР_КК[[#This Row],[ИД штатной должности (S)]],'уровень защищенности'!$B$7:$F$1095,5,0),"не защищена")</f>
        <v>высокий</v>
      </c>
      <c r="F4201" s="68">
        <v>500499</v>
      </c>
      <c r="G4201" s="74" t="s">
        <v>3210</v>
      </c>
      <c r="H4201" s="181">
        <f>INDEX('Списки данных'!$D$2:$D$1048576,MATCH(База_КР_КК[[#This Row],[Структурное подразделение]],'Списки данных'!$C$2:$C$1048576,0))</f>
        <v>48</v>
      </c>
      <c r="I4201" s="80" t="s">
        <v>168</v>
      </c>
      <c r="J4201" s="80" t="s">
        <v>264</v>
      </c>
      <c r="K4201" s="80" t="s">
        <v>265</v>
      </c>
      <c r="L4201" s="30" t="s">
        <v>191</v>
      </c>
      <c r="M4201" s="68">
        <v>7</v>
      </c>
      <c r="N4201" s="181" t="str">
        <f t="shared" si="66"/>
        <v>нет</v>
      </c>
      <c r="O4201" s="23"/>
      <c r="P4201" s="23"/>
      <c r="Q4201" s="106"/>
      <c r="R4201" s="37">
        <v>1026</v>
      </c>
      <c r="S4201" s="39" t="s">
        <v>1435</v>
      </c>
      <c r="T4201" s="37">
        <v>2093</v>
      </c>
      <c r="U4201" s="37" t="s">
        <v>2106</v>
      </c>
      <c r="V4201" s="69" t="s">
        <v>192</v>
      </c>
      <c r="W4201" s="89" t="s">
        <v>168</v>
      </c>
      <c r="X4201" s="106" t="s">
        <v>295</v>
      </c>
      <c r="Y4201" s="107" t="s">
        <v>18</v>
      </c>
      <c r="Z4201" s="67">
        <f>IF(База_КР_КК[[#This Row],[Таб.номер резервиста]]="-","-",IF(OR(База_КР_КК[[#This Row],[Уровень КК]]=2,База_КР_КК[[#This Row],[Уровень КК]]=3),IF(COUNTIFS($U$2:$U4201,$U4201,$F$2:$F4201,$F4201)=1,1,0),IF(COUNTIFS($U$2:$U4201,$U4201,$L$2:$L4201,$L4201)=1,1,0)))</f>
        <v>0</v>
      </c>
      <c r="AA42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1" s="106" t="s">
        <v>19</v>
      </c>
      <c r="AC4201" s="51">
        <v>44939</v>
      </c>
      <c r="AD4201" s="106" t="s">
        <v>15</v>
      </c>
      <c r="AE4201" s="38" t="s">
        <v>398</v>
      </c>
    </row>
    <row r="4202" spans="1:31" ht="18" customHeight="1" x14ac:dyDescent="0.25">
      <c r="A42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2" s="79">
        <v>4</v>
      </c>
      <c r="C4202" s="23">
        <v>44515</v>
      </c>
      <c r="D4202" s="67">
        <f>IF(COUNTIF($G$2:$G4202,$G4202)=1,1,0)</f>
        <v>0</v>
      </c>
      <c r="E4202" s="67" t="str">
        <f>IFERROR(VLOOKUP(База_КР_КК[[#This Row],[ИД штатной должности (S)]],'уровень защищенности'!$B$7:$F$1095,5,0),"не защищена")</f>
        <v>высокий</v>
      </c>
      <c r="F4202" s="68">
        <v>500499</v>
      </c>
      <c r="G4202" s="74" t="s">
        <v>3210</v>
      </c>
      <c r="H4202" s="181">
        <f>INDEX('Списки данных'!$D$2:$D$1048576,MATCH(База_КР_КК[[#This Row],[Структурное подразделение]],'Списки данных'!$C$2:$C$1048576,0))</f>
        <v>48</v>
      </c>
      <c r="I4202" s="80" t="s">
        <v>168</v>
      </c>
      <c r="J4202" s="80" t="s">
        <v>264</v>
      </c>
      <c r="K4202" s="80" t="s">
        <v>265</v>
      </c>
      <c r="L4202" s="30" t="s">
        <v>191</v>
      </c>
      <c r="M4202" s="68">
        <v>7</v>
      </c>
      <c r="N4202" s="181" t="str">
        <f t="shared" si="66"/>
        <v>нет</v>
      </c>
      <c r="O4202" s="23"/>
      <c r="P4202" s="23"/>
      <c r="Q4202" s="106"/>
      <c r="R4202" s="37">
        <v>1026</v>
      </c>
      <c r="S4202" s="39" t="s">
        <v>1435</v>
      </c>
      <c r="T4202" s="37">
        <v>2094</v>
      </c>
      <c r="U4202" s="37" t="s">
        <v>1965</v>
      </c>
      <c r="V4202" s="69" t="s">
        <v>192</v>
      </c>
      <c r="W4202" s="89" t="s">
        <v>168</v>
      </c>
      <c r="X4202" s="106" t="s">
        <v>296</v>
      </c>
      <c r="Y4202" s="107" t="s">
        <v>18</v>
      </c>
      <c r="Z4202" s="67">
        <f>IF(База_КР_КК[[#This Row],[Таб.номер резервиста]]="-","-",IF(OR(База_КР_КК[[#This Row],[Уровень КК]]=2,База_КР_КК[[#This Row],[Уровень КК]]=3),IF(COUNTIFS($U$2:$U4202,$U4202,$F$2:$F4202,$F4202)=1,1,0),IF(COUNTIFS($U$2:$U4202,$U4202,$L$2:$L4202,$L4202)=1,1,0)))</f>
        <v>0</v>
      </c>
      <c r="AA42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2" s="106" t="s">
        <v>33</v>
      </c>
      <c r="AC4202" s="51">
        <v>44895</v>
      </c>
      <c r="AD4202" s="106" t="s">
        <v>15</v>
      </c>
      <c r="AE4202" s="38" t="s">
        <v>398</v>
      </c>
    </row>
    <row r="4203" spans="1:31" ht="18" customHeight="1" x14ac:dyDescent="0.25">
      <c r="A42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3" s="79">
        <v>4</v>
      </c>
      <c r="C4203" s="23">
        <v>44515</v>
      </c>
      <c r="D4203" s="67">
        <f>IF(COUNTIF($G$2:$G4203,$G4203)=1,1,0)</f>
        <v>1</v>
      </c>
      <c r="E4203" s="67" t="str">
        <f>IFERROR(VLOOKUP(База_КР_КК[[#This Row],[ИД штатной должности (S)]],'уровень защищенности'!$B$7:$F$1095,5,0),"не защищена")</f>
        <v>высокий</v>
      </c>
      <c r="F4203" s="68">
        <v>500499</v>
      </c>
      <c r="G4203" s="74" t="s">
        <v>3211</v>
      </c>
      <c r="H4203" s="181">
        <f>INDEX('Списки данных'!$D$2:$D$1048576,MATCH(База_КР_КК[[#This Row],[Структурное подразделение]],'Списки данных'!$C$2:$C$1048576,0))</f>
        <v>48</v>
      </c>
      <c r="I4203" s="80" t="s">
        <v>168</v>
      </c>
      <c r="J4203" s="80" t="s">
        <v>264</v>
      </c>
      <c r="K4203" s="80" t="s">
        <v>265</v>
      </c>
      <c r="L4203" s="30" t="s">
        <v>191</v>
      </c>
      <c r="M4203" s="68">
        <v>7</v>
      </c>
      <c r="N4203" s="181" t="str">
        <f t="shared" si="66"/>
        <v>нет</v>
      </c>
      <c r="O4203" s="23"/>
      <c r="P4203" s="23"/>
      <c r="Q4203" s="106"/>
      <c r="R4203" s="37">
        <v>1027</v>
      </c>
      <c r="S4203" s="39" t="s">
        <v>1436</v>
      </c>
      <c r="T4203" s="37">
        <v>2087</v>
      </c>
      <c r="U4203" s="37" t="s">
        <v>2135</v>
      </c>
      <c r="V4203" s="69" t="s">
        <v>272</v>
      </c>
      <c r="W4203" s="89" t="s">
        <v>168</v>
      </c>
      <c r="X4203" s="106" t="s">
        <v>297</v>
      </c>
      <c r="Y4203" s="107" t="s">
        <v>12</v>
      </c>
      <c r="Z4203" s="67">
        <f>IF(База_КР_КК[[#This Row],[Таб.номер резервиста]]="-","-",IF(OR(База_КР_КК[[#This Row],[Уровень КК]]=2,База_КР_КК[[#This Row],[Уровень КК]]=3),IF(COUNTIFS($U$2:$U4203,$U4203,$F$2:$F4203,$F4203)=1,1,0),IF(COUNTIFS($U$2:$U4203,$U4203,$L$2:$L4203,$L4203)=1,1,0)))</f>
        <v>0</v>
      </c>
      <c r="AA42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3" s="106"/>
      <c r="AC4203" s="51"/>
      <c r="AD4203" s="106" t="s">
        <v>15</v>
      </c>
      <c r="AE4203" s="38" t="s">
        <v>398</v>
      </c>
    </row>
    <row r="4204" spans="1:31" ht="18" customHeight="1" x14ac:dyDescent="0.25">
      <c r="A42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4" s="79">
        <v>4</v>
      </c>
      <c r="C4204" s="23">
        <v>44515</v>
      </c>
      <c r="D4204" s="67">
        <f>IF(COUNTIF($G$2:$G4204,$G4204)=1,1,0)</f>
        <v>0</v>
      </c>
      <c r="E4204" s="67" t="str">
        <f>IFERROR(VLOOKUP(База_КР_КК[[#This Row],[ИД штатной должности (S)]],'уровень защищенности'!$B$7:$F$1095,5,0),"не защищена")</f>
        <v>высокий</v>
      </c>
      <c r="F4204" s="68">
        <v>500499</v>
      </c>
      <c r="G4204" s="74" t="s">
        <v>3211</v>
      </c>
      <c r="H4204" s="181">
        <f>INDEX('Списки данных'!$D$2:$D$1048576,MATCH(База_КР_КК[[#This Row],[Структурное подразделение]],'Списки данных'!$C$2:$C$1048576,0))</f>
        <v>48</v>
      </c>
      <c r="I4204" s="80" t="s">
        <v>168</v>
      </c>
      <c r="J4204" s="80" t="s">
        <v>264</v>
      </c>
      <c r="K4204" s="80" t="s">
        <v>265</v>
      </c>
      <c r="L4204" s="30" t="s">
        <v>191</v>
      </c>
      <c r="M4204" s="68">
        <v>7</v>
      </c>
      <c r="N4204" s="181" t="str">
        <f t="shared" si="66"/>
        <v>нет</v>
      </c>
      <c r="O4204" s="23"/>
      <c r="P4204" s="23"/>
      <c r="Q4204" s="106"/>
      <c r="R4204" s="37">
        <v>1027</v>
      </c>
      <c r="S4204" s="39" t="s">
        <v>1436</v>
      </c>
      <c r="T4204" s="37">
        <v>2088</v>
      </c>
      <c r="U4204" s="37" t="s">
        <v>2089</v>
      </c>
      <c r="V4204" s="69" t="s">
        <v>272</v>
      </c>
      <c r="W4204" s="89" t="s">
        <v>168</v>
      </c>
      <c r="X4204" s="106" t="s">
        <v>296</v>
      </c>
      <c r="Y4204" s="107" t="s">
        <v>12</v>
      </c>
      <c r="Z4204" s="67">
        <f>IF(База_КР_КК[[#This Row],[Таб.номер резервиста]]="-","-",IF(OR(База_КР_КК[[#This Row],[Уровень КК]]=2,База_КР_КК[[#This Row],[Уровень КК]]=3),IF(COUNTIFS($U$2:$U4204,$U4204,$F$2:$F4204,$F4204)=1,1,0),IF(COUNTIFS($U$2:$U4204,$U4204,$L$2:$L4204,$L4204)=1,1,0)))</f>
        <v>0</v>
      </c>
      <c r="AA42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4" s="106"/>
      <c r="AC4204" s="51"/>
      <c r="AD4204" s="106" t="s">
        <v>15</v>
      </c>
      <c r="AE4204" s="38" t="s">
        <v>398</v>
      </c>
    </row>
    <row r="4205" spans="1:31" ht="18" customHeight="1" x14ac:dyDescent="0.25">
      <c r="A42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5" s="79">
        <v>4</v>
      </c>
      <c r="C4205" s="23">
        <v>44515</v>
      </c>
      <c r="D4205" s="67">
        <f>IF(COUNTIF($G$2:$G4205,$G4205)=1,1,0)</f>
        <v>0</v>
      </c>
      <c r="E4205" s="67" t="str">
        <f>IFERROR(VLOOKUP(База_КР_КК[[#This Row],[ИД штатной должности (S)]],'уровень защищенности'!$B$7:$F$1095,5,0),"не защищена")</f>
        <v>высокий</v>
      </c>
      <c r="F4205" s="68">
        <v>500499</v>
      </c>
      <c r="G4205" s="74" t="s">
        <v>3211</v>
      </c>
      <c r="H4205" s="181">
        <f>INDEX('Списки данных'!$D$2:$D$1048576,MATCH(База_КР_КК[[#This Row],[Структурное подразделение]],'Списки данных'!$C$2:$C$1048576,0))</f>
        <v>48</v>
      </c>
      <c r="I4205" s="80" t="s">
        <v>168</v>
      </c>
      <c r="J4205" s="80" t="s">
        <v>264</v>
      </c>
      <c r="K4205" s="80" t="s">
        <v>265</v>
      </c>
      <c r="L4205" s="30" t="s">
        <v>191</v>
      </c>
      <c r="M4205" s="68">
        <v>7</v>
      </c>
      <c r="N4205" s="181" t="str">
        <f t="shared" si="66"/>
        <v>нет</v>
      </c>
      <c r="O4205" s="23"/>
      <c r="P4205" s="23"/>
      <c r="Q4205" s="106"/>
      <c r="R4205" s="37">
        <v>1027</v>
      </c>
      <c r="S4205" s="39" t="s">
        <v>1436</v>
      </c>
      <c r="T4205" s="37">
        <v>2089</v>
      </c>
      <c r="U4205" s="37" t="s">
        <v>1990</v>
      </c>
      <c r="V4205" s="69" t="s">
        <v>272</v>
      </c>
      <c r="W4205" s="89" t="s">
        <v>168</v>
      </c>
      <c r="X4205" s="106" t="s">
        <v>297</v>
      </c>
      <c r="Y4205" s="107" t="s">
        <v>12</v>
      </c>
      <c r="Z4205" s="67">
        <f>IF(База_КР_КК[[#This Row],[Таб.номер резервиста]]="-","-",IF(OR(База_КР_КК[[#This Row],[Уровень КК]]=2,База_КР_КК[[#This Row],[Уровень КК]]=3),IF(COUNTIFS($U$2:$U4205,$U4205,$F$2:$F4205,$F4205)=1,1,0),IF(COUNTIFS($U$2:$U4205,$U4205,$L$2:$L4205,$L4205)=1,1,0)))</f>
        <v>0</v>
      </c>
      <c r="AA42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5" s="106"/>
      <c r="AC4205" s="51"/>
      <c r="AD4205" s="106" t="s">
        <v>15</v>
      </c>
      <c r="AE4205" s="38" t="s">
        <v>398</v>
      </c>
    </row>
    <row r="4206" spans="1:31" ht="18" customHeight="1" x14ac:dyDescent="0.25">
      <c r="A42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6" s="79">
        <v>4</v>
      </c>
      <c r="C4206" s="23">
        <v>44515</v>
      </c>
      <c r="D4206" s="67">
        <f>IF(COUNTIF($G$2:$G4206,$G4206)=1,1,0)</f>
        <v>0</v>
      </c>
      <c r="E4206" s="67" t="str">
        <f>IFERROR(VLOOKUP(База_КР_КК[[#This Row],[ИД штатной должности (S)]],'уровень защищенности'!$B$7:$F$1095,5,0),"не защищена")</f>
        <v>высокий</v>
      </c>
      <c r="F4206" s="68">
        <v>500499</v>
      </c>
      <c r="G4206" s="74" t="s">
        <v>3211</v>
      </c>
      <c r="H4206" s="181">
        <f>INDEX('Списки данных'!$D$2:$D$1048576,MATCH(База_КР_КК[[#This Row],[Структурное подразделение]],'Списки данных'!$C$2:$C$1048576,0))</f>
        <v>48</v>
      </c>
      <c r="I4206" s="80" t="s">
        <v>168</v>
      </c>
      <c r="J4206" s="80" t="s">
        <v>264</v>
      </c>
      <c r="K4206" s="80" t="s">
        <v>265</v>
      </c>
      <c r="L4206" s="30" t="s">
        <v>191</v>
      </c>
      <c r="M4206" s="68">
        <v>7</v>
      </c>
      <c r="N4206" s="181" t="str">
        <f t="shared" si="66"/>
        <v>нет</v>
      </c>
      <c r="O4206" s="23"/>
      <c r="P4206" s="23"/>
      <c r="Q4206" s="106"/>
      <c r="R4206" s="37">
        <v>1027</v>
      </c>
      <c r="S4206" s="39" t="s">
        <v>1436</v>
      </c>
      <c r="T4206" s="37">
        <v>2090</v>
      </c>
      <c r="U4206" s="37" t="s">
        <v>1647</v>
      </c>
      <c r="V4206" s="69" t="s">
        <v>272</v>
      </c>
      <c r="W4206" s="89" t="s">
        <v>168</v>
      </c>
      <c r="X4206" s="106" t="s">
        <v>296</v>
      </c>
      <c r="Y4206" s="107" t="s">
        <v>12</v>
      </c>
      <c r="Z4206" s="67">
        <f>IF(База_КР_КК[[#This Row],[Таб.номер резервиста]]="-","-",IF(OR(База_КР_КК[[#This Row],[Уровень КК]]=2,База_КР_КК[[#This Row],[Уровень КК]]=3),IF(COUNTIFS($U$2:$U4206,$U4206,$F$2:$F4206,$F4206)=1,1,0),IF(COUNTIFS($U$2:$U4206,$U4206,$L$2:$L4206,$L4206)=1,1,0)))</f>
        <v>0</v>
      </c>
      <c r="AA42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6" s="106"/>
      <c r="AC4206" s="51"/>
      <c r="AD4206" s="106" t="s">
        <v>15</v>
      </c>
      <c r="AE4206" s="38" t="s">
        <v>398</v>
      </c>
    </row>
    <row r="4207" spans="1:31" ht="18" customHeight="1" x14ac:dyDescent="0.25">
      <c r="A42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7" s="79">
        <v>4</v>
      </c>
      <c r="C4207" s="23">
        <v>44515</v>
      </c>
      <c r="D4207" s="67">
        <f>IF(COUNTIF($G$2:$G4207,$G4207)=1,1,0)</f>
        <v>0</v>
      </c>
      <c r="E4207" s="67" t="str">
        <f>IFERROR(VLOOKUP(База_КР_КК[[#This Row],[ИД штатной должности (S)]],'уровень защищенности'!$B$7:$F$1095,5,0),"не защищена")</f>
        <v>высокий</v>
      </c>
      <c r="F4207" s="68">
        <v>500499</v>
      </c>
      <c r="G4207" s="74" t="s">
        <v>3211</v>
      </c>
      <c r="H4207" s="181">
        <f>INDEX('Списки данных'!$D$2:$D$1048576,MATCH(База_КР_КК[[#This Row],[Структурное подразделение]],'Списки данных'!$C$2:$C$1048576,0))</f>
        <v>48</v>
      </c>
      <c r="I4207" s="80" t="s">
        <v>168</v>
      </c>
      <c r="J4207" s="80" t="s">
        <v>264</v>
      </c>
      <c r="K4207" s="80" t="s">
        <v>265</v>
      </c>
      <c r="L4207" s="30" t="s">
        <v>191</v>
      </c>
      <c r="M4207" s="68">
        <v>7</v>
      </c>
      <c r="N4207" s="181" t="str">
        <f t="shared" si="66"/>
        <v>нет</v>
      </c>
      <c r="O4207" s="23"/>
      <c r="P4207" s="23"/>
      <c r="Q4207" s="106"/>
      <c r="R4207" s="37">
        <v>1027</v>
      </c>
      <c r="S4207" s="39" t="s">
        <v>1436</v>
      </c>
      <c r="T4207" s="37">
        <v>2091</v>
      </c>
      <c r="U4207" s="37" t="s">
        <v>2072</v>
      </c>
      <c r="V4207" s="69" t="s">
        <v>272</v>
      </c>
      <c r="W4207" s="89" t="s">
        <v>168</v>
      </c>
      <c r="X4207" s="106" t="s">
        <v>296</v>
      </c>
      <c r="Y4207" s="107" t="s">
        <v>12</v>
      </c>
      <c r="Z4207" s="67">
        <f>IF(База_КР_КК[[#This Row],[Таб.номер резервиста]]="-","-",IF(OR(База_КР_КК[[#This Row],[Уровень КК]]=2,База_КР_КК[[#This Row],[Уровень КК]]=3),IF(COUNTIFS($U$2:$U4207,$U4207,$F$2:$F4207,$F4207)=1,1,0),IF(COUNTIFS($U$2:$U4207,$U4207,$L$2:$L4207,$L4207)=1,1,0)))</f>
        <v>0</v>
      </c>
      <c r="AA42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7" s="106"/>
      <c r="AC4207" s="51"/>
      <c r="AD4207" s="106" t="s">
        <v>15</v>
      </c>
      <c r="AE4207" s="38" t="s">
        <v>398</v>
      </c>
    </row>
    <row r="4208" spans="1:31" ht="18" customHeight="1" x14ac:dyDescent="0.25">
      <c r="A42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8" s="79">
        <v>4</v>
      </c>
      <c r="C4208" s="23">
        <v>44515</v>
      </c>
      <c r="D4208" s="67">
        <f>IF(COUNTIF($G$2:$G4208,$G4208)=1,1,0)</f>
        <v>0</v>
      </c>
      <c r="E4208" s="67" t="str">
        <f>IFERROR(VLOOKUP(База_КР_КК[[#This Row],[ИД штатной должности (S)]],'уровень защищенности'!$B$7:$F$1095,5,0),"не защищена")</f>
        <v>высокий</v>
      </c>
      <c r="F4208" s="68">
        <v>500499</v>
      </c>
      <c r="G4208" s="74" t="s">
        <v>3211</v>
      </c>
      <c r="H4208" s="181">
        <f>INDEX('Списки данных'!$D$2:$D$1048576,MATCH(База_КР_КК[[#This Row],[Структурное подразделение]],'Списки данных'!$C$2:$C$1048576,0))</f>
        <v>48</v>
      </c>
      <c r="I4208" s="80" t="s">
        <v>168</v>
      </c>
      <c r="J4208" s="80" t="s">
        <v>264</v>
      </c>
      <c r="K4208" s="80" t="s">
        <v>265</v>
      </c>
      <c r="L4208" s="30" t="s">
        <v>191</v>
      </c>
      <c r="M4208" s="68">
        <v>7</v>
      </c>
      <c r="N4208" s="181" t="str">
        <f t="shared" si="66"/>
        <v>нет</v>
      </c>
      <c r="O4208" s="23"/>
      <c r="P4208" s="23"/>
      <c r="Q4208" s="106"/>
      <c r="R4208" s="37">
        <v>1027</v>
      </c>
      <c r="S4208" s="39" t="s">
        <v>1436</v>
      </c>
      <c r="T4208" s="37">
        <v>2092</v>
      </c>
      <c r="U4208" s="37" t="s">
        <v>2021</v>
      </c>
      <c r="V4208" s="69" t="s">
        <v>272</v>
      </c>
      <c r="W4208" s="89" t="s">
        <v>168</v>
      </c>
      <c r="X4208" s="106" t="s">
        <v>295</v>
      </c>
      <c r="Y4208" s="107" t="s">
        <v>12</v>
      </c>
      <c r="Z4208" s="67">
        <f>IF(База_КР_КК[[#This Row],[Таб.номер резервиста]]="-","-",IF(OR(База_КР_КК[[#This Row],[Уровень КК]]=2,База_КР_КК[[#This Row],[Уровень КК]]=3),IF(COUNTIFS($U$2:$U4208,$U4208,$F$2:$F4208,$F4208)=1,1,0),IF(COUNTIFS($U$2:$U4208,$U4208,$L$2:$L4208,$L4208)=1,1,0)))</f>
        <v>0</v>
      </c>
      <c r="AA42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8" s="106"/>
      <c r="AC4208" s="51"/>
      <c r="AD4208" s="106" t="s">
        <v>15</v>
      </c>
      <c r="AE4208" s="38" t="s">
        <v>398</v>
      </c>
    </row>
    <row r="4209" spans="1:31" ht="18" customHeight="1" x14ac:dyDescent="0.25">
      <c r="A42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09" s="79">
        <v>4</v>
      </c>
      <c r="C4209" s="23">
        <v>44515</v>
      </c>
      <c r="D4209" s="67">
        <f>IF(COUNTIF($G$2:$G4209,$G4209)=1,1,0)</f>
        <v>0</v>
      </c>
      <c r="E4209" s="67" t="str">
        <f>IFERROR(VLOOKUP(База_КР_КК[[#This Row],[ИД штатной должности (S)]],'уровень защищенности'!$B$7:$F$1095,5,0),"не защищена")</f>
        <v>высокий</v>
      </c>
      <c r="F4209" s="68">
        <v>500499</v>
      </c>
      <c r="G4209" s="74" t="s">
        <v>3211</v>
      </c>
      <c r="H4209" s="181">
        <f>INDEX('Списки данных'!$D$2:$D$1048576,MATCH(База_КР_КК[[#This Row],[Структурное подразделение]],'Списки данных'!$C$2:$C$1048576,0))</f>
        <v>48</v>
      </c>
      <c r="I4209" s="80" t="s">
        <v>168</v>
      </c>
      <c r="J4209" s="80" t="s">
        <v>264</v>
      </c>
      <c r="K4209" s="80" t="s">
        <v>265</v>
      </c>
      <c r="L4209" s="30" t="s">
        <v>191</v>
      </c>
      <c r="M4209" s="68">
        <v>7</v>
      </c>
      <c r="N4209" s="181" t="str">
        <f t="shared" si="66"/>
        <v>нет</v>
      </c>
      <c r="O4209" s="23"/>
      <c r="P4209" s="23"/>
      <c r="Q4209" s="106"/>
      <c r="R4209" s="37">
        <v>1027</v>
      </c>
      <c r="S4209" s="39" t="s">
        <v>1436</v>
      </c>
      <c r="T4209" s="37">
        <v>1020</v>
      </c>
      <c r="U4209" s="37" t="s">
        <v>1429</v>
      </c>
      <c r="V4209" s="69" t="s">
        <v>192</v>
      </c>
      <c r="W4209" s="89" t="s">
        <v>168</v>
      </c>
      <c r="X4209" s="106" t="s">
        <v>297</v>
      </c>
      <c r="Y4209" s="107" t="s">
        <v>18</v>
      </c>
      <c r="Z4209" s="67">
        <f>IF(База_КР_КК[[#This Row],[Таб.номер резервиста]]="-","-",IF(OR(База_КР_КК[[#This Row],[Уровень КК]]=2,База_КР_КК[[#This Row],[Уровень КК]]=3),IF(COUNTIFS($U$2:$U4209,$U4209,$F$2:$F4209,$F4209)=1,1,0),IF(COUNTIFS($U$2:$U4209,$U4209,$L$2:$L4209,$L4209)=1,1,0)))</f>
        <v>0</v>
      </c>
      <c r="AA42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09" s="106" t="s">
        <v>37</v>
      </c>
      <c r="AC4209" s="51">
        <v>44669</v>
      </c>
      <c r="AD4209" s="106" t="s">
        <v>15</v>
      </c>
      <c r="AE4209" s="38" t="s">
        <v>398</v>
      </c>
    </row>
    <row r="4210" spans="1:31" ht="18" customHeight="1" x14ac:dyDescent="0.25">
      <c r="A42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0" s="79">
        <v>4</v>
      </c>
      <c r="C4210" s="23">
        <v>44515</v>
      </c>
      <c r="D4210" s="67">
        <f>IF(COUNTIF($G$2:$G4210,$G4210)=1,1,0)</f>
        <v>0</v>
      </c>
      <c r="E4210" s="67" t="str">
        <f>IFERROR(VLOOKUP(База_КР_КК[[#This Row],[ИД штатной должности (S)]],'уровень защищенности'!$B$7:$F$1095,5,0),"не защищена")</f>
        <v>высокий</v>
      </c>
      <c r="F4210" s="68">
        <v>500499</v>
      </c>
      <c r="G4210" s="74" t="s">
        <v>3211</v>
      </c>
      <c r="H4210" s="181">
        <f>INDEX('Списки данных'!$D$2:$D$1048576,MATCH(База_КР_КК[[#This Row],[Структурное подразделение]],'Списки данных'!$C$2:$C$1048576,0))</f>
        <v>48</v>
      </c>
      <c r="I4210" s="80" t="s">
        <v>168</v>
      </c>
      <c r="J4210" s="80" t="s">
        <v>264</v>
      </c>
      <c r="K4210" s="80" t="s">
        <v>265</v>
      </c>
      <c r="L4210" s="30" t="s">
        <v>191</v>
      </c>
      <c r="M4210" s="68">
        <v>7</v>
      </c>
      <c r="N4210" s="181" t="str">
        <f t="shared" si="66"/>
        <v>нет</v>
      </c>
      <c r="O4210" s="23"/>
      <c r="P4210" s="23"/>
      <c r="Q4210" s="106"/>
      <c r="R4210" s="37">
        <v>1027</v>
      </c>
      <c r="S4210" s="39" t="s">
        <v>1436</v>
      </c>
      <c r="T4210" s="37">
        <v>2093</v>
      </c>
      <c r="U4210" s="37" t="s">
        <v>2106</v>
      </c>
      <c r="V4210" s="69" t="s">
        <v>192</v>
      </c>
      <c r="W4210" s="89" t="s">
        <v>168</v>
      </c>
      <c r="X4210" s="106" t="s">
        <v>295</v>
      </c>
      <c r="Y4210" s="107" t="s">
        <v>18</v>
      </c>
      <c r="Z4210" s="67">
        <f>IF(База_КР_КК[[#This Row],[Таб.номер резервиста]]="-","-",IF(OR(База_КР_КК[[#This Row],[Уровень КК]]=2,База_КР_КК[[#This Row],[Уровень КК]]=3),IF(COUNTIFS($U$2:$U4210,$U4210,$F$2:$F4210,$F4210)=1,1,0),IF(COUNTIFS($U$2:$U4210,$U4210,$L$2:$L4210,$L4210)=1,1,0)))</f>
        <v>0</v>
      </c>
      <c r="AA42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0" s="106" t="s">
        <v>19</v>
      </c>
      <c r="AC4210" s="51">
        <v>44939</v>
      </c>
      <c r="AD4210" s="106" t="s">
        <v>15</v>
      </c>
      <c r="AE4210" s="38" t="s">
        <v>398</v>
      </c>
    </row>
    <row r="4211" spans="1:31" ht="18" customHeight="1" x14ac:dyDescent="0.25">
      <c r="A42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1" s="79">
        <v>4</v>
      </c>
      <c r="C4211" s="23">
        <v>44515</v>
      </c>
      <c r="D4211" s="67">
        <f>IF(COUNTIF($G$2:$G4211,$G4211)=1,1,0)</f>
        <v>0</v>
      </c>
      <c r="E4211" s="67" t="str">
        <f>IFERROR(VLOOKUP(База_КР_КК[[#This Row],[ИД штатной должности (S)]],'уровень защищенности'!$B$7:$F$1095,5,0),"не защищена")</f>
        <v>высокий</v>
      </c>
      <c r="F4211" s="68">
        <v>500499</v>
      </c>
      <c r="G4211" s="74" t="s">
        <v>3211</v>
      </c>
      <c r="H4211" s="181">
        <f>INDEX('Списки данных'!$D$2:$D$1048576,MATCH(База_КР_КК[[#This Row],[Структурное подразделение]],'Списки данных'!$C$2:$C$1048576,0))</f>
        <v>48</v>
      </c>
      <c r="I4211" s="80" t="s">
        <v>168</v>
      </c>
      <c r="J4211" s="80" t="s">
        <v>264</v>
      </c>
      <c r="K4211" s="80" t="s">
        <v>265</v>
      </c>
      <c r="L4211" s="30" t="s">
        <v>191</v>
      </c>
      <c r="M4211" s="68">
        <v>7</v>
      </c>
      <c r="N4211" s="181" t="str">
        <f t="shared" si="66"/>
        <v>нет</v>
      </c>
      <c r="O4211" s="23"/>
      <c r="P4211" s="23"/>
      <c r="Q4211" s="106"/>
      <c r="R4211" s="37">
        <v>1027</v>
      </c>
      <c r="S4211" s="39" t="s">
        <v>1436</v>
      </c>
      <c r="T4211" s="37">
        <v>2094</v>
      </c>
      <c r="U4211" s="37" t="s">
        <v>1965</v>
      </c>
      <c r="V4211" s="69" t="s">
        <v>192</v>
      </c>
      <c r="W4211" s="89" t="s">
        <v>168</v>
      </c>
      <c r="X4211" s="106" t="s">
        <v>296</v>
      </c>
      <c r="Y4211" s="107" t="s">
        <v>18</v>
      </c>
      <c r="Z4211" s="67">
        <f>IF(База_КР_КК[[#This Row],[Таб.номер резервиста]]="-","-",IF(OR(База_КР_КК[[#This Row],[Уровень КК]]=2,База_КР_КК[[#This Row],[Уровень КК]]=3),IF(COUNTIFS($U$2:$U4211,$U4211,$F$2:$F4211,$F4211)=1,1,0),IF(COUNTIFS($U$2:$U4211,$U4211,$L$2:$L4211,$L4211)=1,1,0)))</f>
        <v>0</v>
      </c>
      <c r="AA42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1" s="106" t="s">
        <v>33</v>
      </c>
      <c r="AC4211" s="51">
        <v>44895</v>
      </c>
      <c r="AD4211" s="106" t="s">
        <v>15</v>
      </c>
      <c r="AE4211" s="38" t="s">
        <v>398</v>
      </c>
    </row>
    <row r="4212" spans="1:31" ht="18" customHeight="1" x14ac:dyDescent="0.25">
      <c r="A42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2" s="79">
        <v>3</v>
      </c>
      <c r="C4212" s="23">
        <v>43455</v>
      </c>
      <c r="D4212" s="67">
        <f>IF(COUNTIF($G$2:$G4212,$G4212)=1,1,0)</f>
        <v>1</v>
      </c>
      <c r="E4212" s="67" t="str">
        <f>IFERROR(VLOOKUP(База_КР_КК[[#This Row],[ИД штатной должности (S)]],'уровень защищенности'!$B$7:$F$1095,5,0),"не защищена")</f>
        <v>средний</v>
      </c>
      <c r="F4212" s="68">
        <v>500500</v>
      </c>
      <c r="G4212" s="74" t="s">
        <v>3212</v>
      </c>
      <c r="H4212" s="181">
        <f>INDEX('Списки данных'!$D$2:$D$1048576,MATCH(База_КР_КК[[#This Row],[Структурное подразделение]],'Списки данных'!$C$2:$C$1048576,0))</f>
        <v>48</v>
      </c>
      <c r="I4212" s="80" t="s">
        <v>168</v>
      </c>
      <c r="J4212" s="80" t="s">
        <v>264</v>
      </c>
      <c r="K4212" s="80" t="s">
        <v>21</v>
      </c>
      <c r="L4212" s="30" t="s">
        <v>186</v>
      </c>
      <c r="M4212" s="68">
        <v>5</v>
      </c>
      <c r="N4212" s="181" t="str">
        <f t="shared" si="66"/>
        <v>да</v>
      </c>
      <c r="O4212" s="23">
        <v>45005</v>
      </c>
      <c r="P4212" s="23">
        <v>45019</v>
      </c>
      <c r="Q4212" s="106" t="s">
        <v>66</v>
      </c>
      <c r="R4212" s="37">
        <v>1028</v>
      </c>
      <c r="S4212" s="38" t="s">
        <v>1437</v>
      </c>
      <c r="T4212" s="37">
        <v>1034</v>
      </c>
      <c r="U4212" s="38" t="s">
        <v>1443</v>
      </c>
      <c r="V4212" s="69" t="s">
        <v>251</v>
      </c>
      <c r="W4212" s="89" t="s">
        <v>168</v>
      </c>
      <c r="X4212" s="106" t="s">
        <v>297</v>
      </c>
      <c r="Y4212" s="107" t="s">
        <v>12</v>
      </c>
      <c r="Z4212" s="67">
        <f>IF(База_КР_КК[[#This Row],[Таб.номер резервиста]]="-","-",IF(OR(База_КР_КК[[#This Row],[Уровень КК]]=2,База_КР_КК[[#This Row],[Уровень КК]]=3),IF(COUNTIFS($U$2:$U4212,$U4212,$F$2:$F4212,$F4212)=1,1,0),IF(COUNTIFS($U$2:$U4212,$U4212,$L$2:$L4212,$L4212)=1,1,0)))</f>
        <v>1</v>
      </c>
      <c r="AA42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2" s="106"/>
      <c r="AC4212" s="51"/>
      <c r="AD4212" s="106" t="s">
        <v>13</v>
      </c>
      <c r="AE4212" s="38" t="s">
        <v>389</v>
      </c>
    </row>
    <row r="4213" spans="1:31" ht="18" customHeight="1" x14ac:dyDescent="0.25">
      <c r="A42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3" s="79">
        <v>3</v>
      </c>
      <c r="C4213" s="23">
        <v>43455</v>
      </c>
      <c r="D4213" s="67">
        <f>IF(COUNTIF($G$2:$G4213,$G4213)=1,1,0)</f>
        <v>0</v>
      </c>
      <c r="E4213" s="67" t="str">
        <f>IFERROR(VLOOKUP(База_КР_КК[[#This Row],[ИД штатной должности (S)]],'уровень защищенности'!$B$7:$F$1095,5,0),"не защищена")</f>
        <v>средний</v>
      </c>
      <c r="F4213" s="68">
        <v>500500</v>
      </c>
      <c r="G4213" s="74" t="s">
        <v>3212</v>
      </c>
      <c r="H4213" s="181">
        <f>INDEX('Списки данных'!$D$2:$D$1048576,MATCH(База_КР_КК[[#This Row],[Структурное подразделение]],'Списки данных'!$C$2:$C$1048576,0))</f>
        <v>48</v>
      </c>
      <c r="I4213" s="80" t="s">
        <v>168</v>
      </c>
      <c r="J4213" s="80" t="s">
        <v>264</v>
      </c>
      <c r="K4213" s="80" t="s">
        <v>21</v>
      </c>
      <c r="L4213" s="30" t="s">
        <v>186</v>
      </c>
      <c r="M4213" s="68">
        <v>5</v>
      </c>
      <c r="N4213" s="181" t="str">
        <f t="shared" si="66"/>
        <v>да</v>
      </c>
      <c r="O4213" s="23">
        <v>45005</v>
      </c>
      <c r="P4213" s="23">
        <v>45019</v>
      </c>
      <c r="Q4213" s="106" t="s">
        <v>66</v>
      </c>
      <c r="R4213" s="37">
        <v>1028</v>
      </c>
      <c r="S4213" s="38" t="s">
        <v>1437</v>
      </c>
      <c r="T4213" s="37">
        <v>1028</v>
      </c>
      <c r="U4213" s="38" t="s">
        <v>1437</v>
      </c>
      <c r="V4213" s="89" t="s">
        <v>186</v>
      </c>
      <c r="W4213" s="89" t="s">
        <v>168</v>
      </c>
      <c r="X4213" s="106" t="s">
        <v>297</v>
      </c>
      <c r="Y4213" s="107" t="s">
        <v>14</v>
      </c>
      <c r="Z4213" s="67">
        <f>IF(База_КР_КК[[#This Row],[Таб.номер резервиста]]="-","-",IF(OR(База_КР_КК[[#This Row],[Уровень КК]]=2,База_КР_КК[[#This Row],[Уровень КК]]=3),IF(COUNTIFS($U$2:$U4213,$U4213,$F$2:$F4213,$F4213)=1,1,0),IF(COUNTIFS($U$2:$U4213,$U4213,$L$2:$L4213,$L4213)=1,1,0)))</f>
        <v>1</v>
      </c>
      <c r="AA42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213" s="106" t="s">
        <v>24</v>
      </c>
      <c r="AC4213" s="51">
        <v>45019</v>
      </c>
      <c r="AD4213" s="106" t="s">
        <v>13</v>
      </c>
      <c r="AE4213" s="38" t="s">
        <v>389</v>
      </c>
    </row>
    <row r="4214" spans="1:31" ht="18" customHeight="1" x14ac:dyDescent="0.25">
      <c r="A42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4" s="79">
        <v>4</v>
      </c>
      <c r="C4214" s="23">
        <v>44515</v>
      </c>
      <c r="D4214" s="67">
        <f>IF(COUNTIF($G$2:$G4214,$G4214)=1,1,0)</f>
        <v>1</v>
      </c>
      <c r="E4214" s="67" t="str">
        <f>IFERROR(VLOOKUP(База_КР_КК[[#This Row],[ИД штатной должности (S)]],'уровень защищенности'!$B$7:$F$1095,5,0),"не защищена")</f>
        <v>низкий</v>
      </c>
      <c r="F4214" s="68">
        <v>500501</v>
      </c>
      <c r="G4214" s="74" t="s">
        <v>3213</v>
      </c>
      <c r="H4214" s="181">
        <f>INDEX('Списки данных'!$D$2:$D$1048576,MATCH(База_КР_КК[[#This Row],[Структурное подразделение]],'Списки данных'!$C$2:$C$1048576,0))</f>
        <v>48</v>
      </c>
      <c r="I4214" s="80" t="s">
        <v>168</v>
      </c>
      <c r="J4214" s="80" t="s">
        <v>264</v>
      </c>
      <c r="K4214" s="80" t="s">
        <v>265</v>
      </c>
      <c r="L4214" s="30" t="s">
        <v>198</v>
      </c>
      <c r="M4214" s="68">
        <v>6</v>
      </c>
      <c r="N4214" s="181" t="str">
        <f t="shared" si="66"/>
        <v>да</v>
      </c>
      <c r="O4214" s="23">
        <v>45019</v>
      </c>
      <c r="P4214" s="23">
        <v>45028</v>
      </c>
      <c r="Q4214" s="106" t="s">
        <v>65</v>
      </c>
      <c r="R4214" s="37">
        <v>1029</v>
      </c>
      <c r="S4214" s="37" t="s">
        <v>1438</v>
      </c>
      <c r="T4214" s="37">
        <v>1033</v>
      </c>
      <c r="U4214" s="37" t="s">
        <v>1442</v>
      </c>
      <c r="V4214" s="89" t="s">
        <v>192</v>
      </c>
      <c r="W4214" s="89" t="s">
        <v>168</v>
      </c>
      <c r="X4214" s="106" t="s">
        <v>296</v>
      </c>
      <c r="Y4214" s="107" t="s">
        <v>12</v>
      </c>
      <c r="Z4214" s="67">
        <f>IF(База_КР_КК[[#This Row],[Таб.номер резервиста]]="-","-",IF(OR(База_КР_КК[[#This Row],[Уровень КК]]=2,База_КР_КК[[#This Row],[Уровень КК]]=3),IF(COUNTIFS($U$2:$U4214,$U4214,$F$2:$F4214,$F4214)=1,1,0),IF(COUNTIFS($U$2:$U4214,$U4214,$L$2:$L4214,$L4214)=1,1,0)))</f>
        <v>1</v>
      </c>
      <c r="AA42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4" s="106"/>
      <c r="AC4214" s="51"/>
      <c r="AD4214" s="106" t="s">
        <v>15</v>
      </c>
      <c r="AE4214" s="38" t="s">
        <v>398</v>
      </c>
    </row>
    <row r="4215" spans="1:31" ht="18" customHeight="1" x14ac:dyDescent="0.25">
      <c r="A42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5" s="79">
        <v>4</v>
      </c>
      <c r="C4215" s="23">
        <v>44515</v>
      </c>
      <c r="D4215" s="67">
        <f>IF(COUNTIF($G$2:$G4215,$G4215)=1,1,0)</f>
        <v>0</v>
      </c>
      <c r="E4215" s="67" t="str">
        <f>IFERROR(VLOOKUP(База_КР_КК[[#This Row],[ИД штатной должности (S)]],'уровень защищенности'!$B$7:$F$1095,5,0),"не защищена")</f>
        <v>низкий</v>
      </c>
      <c r="F4215" s="68">
        <v>500501</v>
      </c>
      <c r="G4215" s="74" t="s">
        <v>3213</v>
      </c>
      <c r="H4215" s="181">
        <f>INDEX('Списки данных'!$D$2:$D$1048576,MATCH(База_КР_КК[[#This Row],[Структурное подразделение]],'Списки данных'!$C$2:$C$1048576,0))</f>
        <v>48</v>
      </c>
      <c r="I4215" s="80" t="s">
        <v>168</v>
      </c>
      <c r="J4215" s="80" t="s">
        <v>264</v>
      </c>
      <c r="K4215" s="80" t="s">
        <v>265</v>
      </c>
      <c r="L4215" s="30" t="s">
        <v>198</v>
      </c>
      <c r="M4215" s="68">
        <v>6</v>
      </c>
      <c r="N4215" s="181" t="str">
        <f t="shared" si="66"/>
        <v>да</v>
      </c>
      <c r="O4215" s="23">
        <v>45019</v>
      </c>
      <c r="P4215" s="23">
        <v>45028</v>
      </c>
      <c r="Q4215" s="106" t="s">
        <v>65</v>
      </c>
      <c r="R4215" s="37">
        <v>1029</v>
      </c>
      <c r="S4215" s="37" t="s">
        <v>1438</v>
      </c>
      <c r="T4215" s="37">
        <v>2095</v>
      </c>
      <c r="U4215" s="37" t="s">
        <v>2136</v>
      </c>
      <c r="V4215" s="69" t="s">
        <v>16</v>
      </c>
      <c r="W4215" s="89" t="s">
        <v>168</v>
      </c>
      <c r="X4215" s="106" t="s">
        <v>296</v>
      </c>
      <c r="Y4215" s="107" t="s">
        <v>12</v>
      </c>
      <c r="Z4215" s="67">
        <f>IF(База_КР_КК[[#This Row],[Таб.номер резервиста]]="-","-",IF(OR(База_КР_КК[[#This Row],[Уровень КК]]=2,База_КР_КК[[#This Row],[Уровень КК]]=3),IF(COUNTIFS($U$2:$U4215,$U4215,$F$2:$F4215,$F4215)=1,1,0),IF(COUNTIFS($U$2:$U4215,$U4215,$L$2:$L4215,$L4215)=1,1,0)))</f>
        <v>1</v>
      </c>
      <c r="AA42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5" s="106"/>
      <c r="AC4215" s="51"/>
      <c r="AD4215" s="106" t="s">
        <v>15</v>
      </c>
      <c r="AE4215" s="38" t="s">
        <v>398</v>
      </c>
    </row>
    <row r="4216" spans="1:31" ht="18" customHeight="1" x14ac:dyDescent="0.25">
      <c r="A42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6" s="79">
        <v>4</v>
      </c>
      <c r="C4216" s="23">
        <v>44515</v>
      </c>
      <c r="D4216" s="67">
        <f>IF(COUNTIF($G$2:$G4216,$G4216)=1,1,0)</f>
        <v>0</v>
      </c>
      <c r="E4216" s="67" t="str">
        <f>IFERROR(VLOOKUP(База_КР_КК[[#This Row],[ИД штатной должности (S)]],'уровень защищенности'!$B$7:$F$1095,5,0),"не защищена")</f>
        <v>низкий</v>
      </c>
      <c r="F4216" s="68">
        <v>500501</v>
      </c>
      <c r="G4216" s="74" t="s">
        <v>3213</v>
      </c>
      <c r="H4216" s="181">
        <f>INDEX('Списки данных'!$D$2:$D$1048576,MATCH(База_КР_КК[[#This Row],[Структурное подразделение]],'Списки данных'!$C$2:$C$1048576,0))</f>
        <v>48</v>
      </c>
      <c r="I4216" s="80" t="s">
        <v>168</v>
      </c>
      <c r="J4216" s="80" t="s">
        <v>264</v>
      </c>
      <c r="K4216" s="80" t="s">
        <v>265</v>
      </c>
      <c r="L4216" s="30" t="s">
        <v>198</v>
      </c>
      <c r="M4216" s="68">
        <v>6</v>
      </c>
      <c r="N4216" s="181" t="str">
        <f t="shared" si="66"/>
        <v>да</v>
      </c>
      <c r="O4216" s="23">
        <v>45019</v>
      </c>
      <c r="P4216" s="23">
        <v>45028</v>
      </c>
      <c r="Q4216" s="106" t="s">
        <v>65</v>
      </c>
      <c r="R4216" s="37">
        <v>1029</v>
      </c>
      <c r="S4216" s="37" t="s">
        <v>1438</v>
      </c>
      <c r="T4216" s="37">
        <v>2096</v>
      </c>
      <c r="U4216" s="37" t="s">
        <v>2001</v>
      </c>
      <c r="V4216" s="69" t="s">
        <v>192</v>
      </c>
      <c r="W4216" s="89" t="s">
        <v>172</v>
      </c>
      <c r="X4216" s="106" t="s">
        <v>296</v>
      </c>
      <c r="Y4216" s="107" t="s">
        <v>18</v>
      </c>
      <c r="Z4216" s="67">
        <f>IF(База_КР_КК[[#This Row],[Таб.номер резервиста]]="-","-",IF(OR(База_КР_КК[[#This Row],[Уровень КК]]=2,База_КР_КК[[#This Row],[Уровень КК]]=3),IF(COUNTIFS($U$2:$U4216,$U4216,$F$2:$F4216,$F4216)=1,1,0),IF(COUNTIFS($U$2:$U4216,$U4216,$L$2:$L4216,$L4216)=1,1,0)))</f>
        <v>1</v>
      </c>
      <c r="AA42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6" s="106" t="s">
        <v>33</v>
      </c>
      <c r="AC4216" s="51">
        <v>44606</v>
      </c>
      <c r="AD4216" s="106" t="s">
        <v>31</v>
      </c>
      <c r="AE4216" s="38" t="s">
        <v>397</v>
      </c>
    </row>
    <row r="4217" spans="1:31" ht="18" customHeight="1" x14ac:dyDescent="0.25">
      <c r="A42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7" s="79">
        <v>4</v>
      </c>
      <c r="C4217" s="23">
        <v>44515</v>
      </c>
      <c r="D4217" s="67">
        <f>IF(COUNTIF($G$2:$G4217,$G4217)=1,1,0)</f>
        <v>1</v>
      </c>
      <c r="E4217" s="67" t="str">
        <f>IFERROR(VLOOKUP(База_КР_КК[[#This Row],[ИД штатной должности (S)]],'уровень защищенности'!$B$7:$F$1095,5,0),"не защищена")</f>
        <v>высокий</v>
      </c>
      <c r="F4217" s="68">
        <v>500502</v>
      </c>
      <c r="G4217" s="74" t="s">
        <v>3214</v>
      </c>
      <c r="H4217" s="181">
        <f>INDEX('Списки данных'!$D$2:$D$1048576,MATCH(База_КР_КК[[#This Row],[Структурное подразделение]],'Списки данных'!$C$2:$C$1048576,0))</f>
        <v>48</v>
      </c>
      <c r="I4217" s="80" t="s">
        <v>168</v>
      </c>
      <c r="J4217" s="80" t="s">
        <v>264</v>
      </c>
      <c r="K4217" s="80" t="s">
        <v>265</v>
      </c>
      <c r="L4217" s="30" t="s">
        <v>191</v>
      </c>
      <c r="M4217" s="68">
        <v>7</v>
      </c>
      <c r="N4217" s="181" t="str">
        <f t="shared" si="66"/>
        <v>нет</v>
      </c>
      <c r="O4217" s="23"/>
      <c r="P4217" s="23"/>
      <c r="Q4217" s="106"/>
      <c r="R4217" s="37">
        <v>1030</v>
      </c>
      <c r="S4217" s="39" t="s">
        <v>1439</v>
      </c>
      <c r="T4217" s="37">
        <v>2097</v>
      </c>
      <c r="U4217" s="37" t="s">
        <v>2014</v>
      </c>
      <c r="V4217" s="69" t="s">
        <v>272</v>
      </c>
      <c r="W4217" s="89" t="s">
        <v>168</v>
      </c>
      <c r="X4217" s="106" t="s">
        <v>296</v>
      </c>
      <c r="Y4217" s="107" t="s">
        <v>12</v>
      </c>
      <c r="Z4217" s="67">
        <f>IF(База_КР_КК[[#This Row],[Таб.номер резервиста]]="-","-",IF(OR(База_КР_КК[[#This Row],[Уровень КК]]=2,База_КР_КК[[#This Row],[Уровень КК]]=3),IF(COUNTIFS($U$2:$U4217,$U4217,$F$2:$F4217,$F4217)=1,1,0),IF(COUNTIFS($U$2:$U4217,$U4217,$L$2:$L4217,$L4217)=1,1,0)))</f>
        <v>0</v>
      </c>
      <c r="AA42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7" s="106"/>
      <c r="AC4217" s="51"/>
      <c r="AD4217" s="106" t="s">
        <v>15</v>
      </c>
      <c r="AE4217" s="38" t="s">
        <v>398</v>
      </c>
    </row>
    <row r="4218" spans="1:31" ht="18" customHeight="1" x14ac:dyDescent="0.25">
      <c r="A42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8" s="79">
        <v>4</v>
      </c>
      <c r="C4218" s="23">
        <v>44515</v>
      </c>
      <c r="D4218" s="67">
        <f>IF(COUNTIF($G$2:$G4218,$G4218)=1,1,0)</f>
        <v>0</v>
      </c>
      <c r="E4218" s="67" t="str">
        <f>IFERROR(VLOOKUP(База_КР_КК[[#This Row],[ИД штатной должности (S)]],'уровень защищенности'!$B$7:$F$1095,5,0),"не защищена")</f>
        <v>высокий</v>
      </c>
      <c r="F4218" s="68">
        <v>500502</v>
      </c>
      <c r="G4218" s="74" t="s">
        <v>3214</v>
      </c>
      <c r="H4218" s="181">
        <f>INDEX('Списки данных'!$D$2:$D$1048576,MATCH(База_КР_КК[[#This Row],[Структурное подразделение]],'Списки данных'!$C$2:$C$1048576,0))</f>
        <v>48</v>
      </c>
      <c r="I4218" s="80" t="s">
        <v>168</v>
      </c>
      <c r="J4218" s="80" t="s">
        <v>264</v>
      </c>
      <c r="K4218" s="80" t="s">
        <v>265</v>
      </c>
      <c r="L4218" s="30" t="s">
        <v>191</v>
      </c>
      <c r="M4218" s="68">
        <v>7</v>
      </c>
      <c r="N4218" s="181" t="str">
        <f t="shared" si="66"/>
        <v>нет</v>
      </c>
      <c r="O4218" s="23"/>
      <c r="P4218" s="23"/>
      <c r="Q4218" s="106"/>
      <c r="R4218" s="37">
        <v>1030</v>
      </c>
      <c r="S4218" s="39" t="s">
        <v>1439</v>
      </c>
      <c r="T4218" s="37">
        <v>2077</v>
      </c>
      <c r="U4218" s="37" t="s">
        <v>2133</v>
      </c>
      <c r="V4218" s="69" t="s">
        <v>16</v>
      </c>
      <c r="W4218" s="89" t="s">
        <v>168</v>
      </c>
      <c r="X4218" s="106" t="s">
        <v>297</v>
      </c>
      <c r="Y4218" s="107" t="s">
        <v>12</v>
      </c>
      <c r="Z4218" s="67">
        <f>IF(База_КР_КК[[#This Row],[Таб.номер резервиста]]="-","-",IF(OR(База_КР_КК[[#This Row],[Уровень КК]]=2,База_КР_КК[[#This Row],[Уровень КК]]=3),IF(COUNTIFS($U$2:$U4218,$U4218,$F$2:$F4218,$F4218)=1,1,0),IF(COUNTIFS($U$2:$U4218,$U4218,$L$2:$L4218,$L4218)=1,1,0)))</f>
        <v>1</v>
      </c>
      <c r="AA42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8" s="106"/>
      <c r="AC4218" s="51"/>
      <c r="AD4218" s="106" t="s">
        <v>15</v>
      </c>
      <c r="AE4218" s="38" t="s">
        <v>398</v>
      </c>
    </row>
    <row r="4219" spans="1:31" ht="18" customHeight="1" x14ac:dyDescent="0.25">
      <c r="A42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19" s="79">
        <v>4</v>
      </c>
      <c r="C4219" s="23">
        <v>44515</v>
      </c>
      <c r="D4219" s="67">
        <f>IF(COUNTIF($G$2:$G4219,$G4219)=1,1,0)</f>
        <v>0</v>
      </c>
      <c r="E4219" s="67" t="str">
        <f>IFERROR(VLOOKUP(База_КР_КК[[#This Row],[ИД штатной должности (S)]],'уровень защищенности'!$B$7:$F$1095,5,0),"не защищена")</f>
        <v>высокий</v>
      </c>
      <c r="F4219" s="68">
        <v>500502</v>
      </c>
      <c r="G4219" s="74" t="s">
        <v>3214</v>
      </c>
      <c r="H4219" s="181">
        <f>INDEX('Списки данных'!$D$2:$D$1048576,MATCH(База_КР_КК[[#This Row],[Структурное подразделение]],'Списки данных'!$C$2:$C$1048576,0))</f>
        <v>48</v>
      </c>
      <c r="I4219" s="80" t="s">
        <v>168</v>
      </c>
      <c r="J4219" s="80" t="s">
        <v>264</v>
      </c>
      <c r="K4219" s="80" t="s">
        <v>265</v>
      </c>
      <c r="L4219" s="30" t="s">
        <v>191</v>
      </c>
      <c r="M4219" s="68">
        <v>7</v>
      </c>
      <c r="N4219" s="181" t="str">
        <f t="shared" si="66"/>
        <v>нет</v>
      </c>
      <c r="O4219" s="23"/>
      <c r="P4219" s="23"/>
      <c r="Q4219" s="106"/>
      <c r="R4219" s="37">
        <v>1030</v>
      </c>
      <c r="S4219" s="39" t="s">
        <v>1439</v>
      </c>
      <c r="T4219" s="37">
        <v>2095</v>
      </c>
      <c r="U4219" s="37" t="s">
        <v>2136</v>
      </c>
      <c r="V4219" s="69" t="s">
        <v>16</v>
      </c>
      <c r="W4219" s="89" t="s">
        <v>168</v>
      </c>
      <c r="X4219" s="106" t="s">
        <v>295</v>
      </c>
      <c r="Y4219" s="107" t="s">
        <v>12</v>
      </c>
      <c r="Z4219" s="67">
        <f>IF(База_КР_КК[[#This Row],[Таб.номер резервиста]]="-","-",IF(OR(База_КР_КК[[#This Row],[Уровень КК]]=2,База_КР_КК[[#This Row],[Уровень КК]]=3),IF(COUNTIFS($U$2:$U4219,$U4219,$F$2:$F4219,$F4219)=1,1,0),IF(COUNTIFS($U$2:$U4219,$U4219,$L$2:$L4219,$L4219)=1,1,0)))</f>
        <v>1</v>
      </c>
      <c r="AA42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19" s="106"/>
      <c r="AC4219" s="51"/>
      <c r="AD4219" s="106" t="s">
        <v>15</v>
      </c>
      <c r="AE4219" s="38" t="s">
        <v>398</v>
      </c>
    </row>
    <row r="4220" spans="1:31" ht="18" customHeight="1" x14ac:dyDescent="0.25">
      <c r="A42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0" s="79">
        <v>4</v>
      </c>
      <c r="C4220" s="23">
        <v>44515</v>
      </c>
      <c r="D4220" s="67">
        <f>IF(COUNTIF($G$2:$G4220,$G4220)=1,1,0)</f>
        <v>0</v>
      </c>
      <c r="E4220" s="67" t="str">
        <f>IFERROR(VLOOKUP(База_КР_КК[[#This Row],[ИД штатной должности (S)]],'уровень защищенности'!$B$7:$F$1095,5,0),"не защищена")</f>
        <v>высокий</v>
      </c>
      <c r="F4220" s="68">
        <v>500502</v>
      </c>
      <c r="G4220" s="74" t="s">
        <v>3214</v>
      </c>
      <c r="H4220" s="181">
        <f>INDEX('Списки данных'!$D$2:$D$1048576,MATCH(База_КР_КК[[#This Row],[Структурное подразделение]],'Списки данных'!$C$2:$C$1048576,0))</f>
        <v>48</v>
      </c>
      <c r="I4220" s="80" t="s">
        <v>168</v>
      </c>
      <c r="J4220" s="80" t="s">
        <v>264</v>
      </c>
      <c r="K4220" s="80" t="s">
        <v>265</v>
      </c>
      <c r="L4220" s="30" t="s">
        <v>191</v>
      </c>
      <c r="M4220" s="68">
        <v>7</v>
      </c>
      <c r="N4220" s="181" t="str">
        <f t="shared" si="66"/>
        <v>нет</v>
      </c>
      <c r="O4220" s="23"/>
      <c r="P4220" s="23"/>
      <c r="Q4220" s="106"/>
      <c r="R4220" s="37">
        <v>1030</v>
      </c>
      <c r="S4220" s="39" t="s">
        <v>1439</v>
      </c>
      <c r="T4220" s="37">
        <v>2098</v>
      </c>
      <c r="U4220" s="37" t="s">
        <v>1833</v>
      </c>
      <c r="V4220" s="69" t="s">
        <v>16</v>
      </c>
      <c r="W4220" s="89" t="s">
        <v>168</v>
      </c>
      <c r="X4220" s="106" t="s">
        <v>296</v>
      </c>
      <c r="Y4220" s="107" t="s">
        <v>12</v>
      </c>
      <c r="Z4220" s="67">
        <f>IF(База_КР_КК[[#This Row],[Таб.номер резервиста]]="-","-",IF(OR(База_КР_КК[[#This Row],[Уровень КК]]=2,База_КР_КК[[#This Row],[Уровень КК]]=3),IF(COUNTIFS($U$2:$U4220,$U4220,$F$2:$F4220,$F4220)=1,1,0),IF(COUNTIFS($U$2:$U4220,$U4220,$L$2:$L4220,$L4220)=1,1,0)))</f>
        <v>0</v>
      </c>
      <c r="AA42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0" s="106"/>
      <c r="AC4220" s="51"/>
      <c r="AD4220" s="106" t="s">
        <v>15</v>
      </c>
      <c r="AE4220" s="38" t="s">
        <v>398</v>
      </c>
    </row>
    <row r="4221" spans="1:31" ht="18" customHeight="1" x14ac:dyDescent="0.25">
      <c r="A42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1" s="79">
        <v>4</v>
      </c>
      <c r="C4221" s="23">
        <v>44515</v>
      </c>
      <c r="D4221" s="67">
        <f>IF(COUNTIF($G$2:$G4221,$G4221)=1,1,0)</f>
        <v>0</v>
      </c>
      <c r="E4221" s="67" t="str">
        <f>IFERROR(VLOOKUP(База_КР_КК[[#This Row],[ИД штатной должности (S)]],'уровень защищенности'!$B$7:$F$1095,5,0),"не защищена")</f>
        <v>высокий</v>
      </c>
      <c r="F4221" s="68">
        <v>500502</v>
      </c>
      <c r="G4221" s="74" t="s">
        <v>3214</v>
      </c>
      <c r="H4221" s="181">
        <f>INDEX('Списки данных'!$D$2:$D$1048576,MATCH(База_КР_КК[[#This Row],[Структурное подразделение]],'Списки данных'!$C$2:$C$1048576,0))</f>
        <v>48</v>
      </c>
      <c r="I4221" s="80" t="s">
        <v>168</v>
      </c>
      <c r="J4221" s="80" t="s">
        <v>264</v>
      </c>
      <c r="K4221" s="80" t="s">
        <v>265</v>
      </c>
      <c r="L4221" s="30" t="s">
        <v>191</v>
      </c>
      <c r="M4221" s="68">
        <v>7</v>
      </c>
      <c r="N4221" s="181" t="str">
        <f t="shared" ref="N4221:N4284" si="67">IF(ISBLANK(O4221),"нет","да")</f>
        <v>нет</v>
      </c>
      <c r="O4221" s="23"/>
      <c r="P4221" s="23"/>
      <c r="Q4221" s="106"/>
      <c r="R4221" s="37">
        <v>1030</v>
      </c>
      <c r="S4221" s="39" t="s">
        <v>1439</v>
      </c>
      <c r="T4221" s="37">
        <v>2099</v>
      </c>
      <c r="U4221" s="37" t="s">
        <v>2089</v>
      </c>
      <c r="V4221" s="89" t="s">
        <v>16</v>
      </c>
      <c r="W4221" s="89" t="s">
        <v>168</v>
      </c>
      <c r="X4221" s="106" t="s">
        <v>297</v>
      </c>
      <c r="Y4221" s="107" t="s">
        <v>12</v>
      </c>
      <c r="Z4221" s="67">
        <f>IF(База_КР_КК[[#This Row],[Таб.номер резервиста]]="-","-",IF(OR(База_КР_КК[[#This Row],[Уровень КК]]=2,База_КР_КК[[#This Row],[Уровень КК]]=3),IF(COUNTIFS($U$2:$U4221,$U4221,$F$2:$F4221,$F4221)=1,1,0),IF(COUNTIFS($U$2:$U4221,$U4221,$L$2:$L4221,$L4221)=1,1,0)))</f>
        <v>0</v>
      </c>
      <c r="AA42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1" s="106"/>
      <c r="AC4221" s="51"/>
      <c r="AD4221" s="106" t="s">
        <v>15</v>
      </c>
      <c r="AE4221" s="38" t="s">
        <v>398</v>
      </c>
    </row>
    <row r="4222" spans="1:31" ht="18" customHeight="1" x14ac:dyDescent="0.25">
      <c r="A42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2" s="79">
        <v>4</v>
      </c>
      <c r="C4222" s="23">
        <v>44515</v>
      </c>
      <c r="D4222" s="67">
        <f>IF(COUNTIF($G$2:$G4222,$G4222)=1,1,0)</f>
        <v>0</v>
      </c>
      <c r="E4222" s="67" t="str">
        <f>IFERROR(VLOOKUP(База_КР_КК[[#This Row],[ИД штатной должности (S)]],'уровень защищенности'!$B$7:$F$1095,5,0),"не защищена")</f>
        <v>высокий</v>
      </c>
      <c r="F4222" s="68">
        <v>500502</v>
      </c>
      <c r="G4222" s="74" t="s">
        <v>3214</v>
      </c>
      <c r="H4222" s="181">
        <f>INDEX('Списки данных'!$D$2:$D$1048576,MATCH(База_КР_КК[[#This Row],[Структурное подразделение]],'Списки данных'!$C$2:$C$1048576,0))</f>
        <v>48</v>
      </c>
      <c r="I4222" s="80" t="s">
        <v>168</v>
      </c>
      <c r="J4222" s="80" t="s">
        <v>264</v>
      </c>
      <c r="K4222" s="80" t="s">
        <v>265</v>
      </c>
      <c r="L4222" s="30" t="s">
        <v>191</v>
      </c>
      <c r="M4222" s="68">
        <v>7</v>
      </c>
      <c r="N4222" s="181" t="str">
        <f t="shared" si="67"/>
        <v>нет</v>
      </c>
      <c r="O4222" s="23"/>
      <c r="P4222" s="23"/>
      <c r="Q4222" s="106"/>
      <c r="R4222" s="37">
        <v>1030</v>
      </c>
      <c r="S4222" s="39" t="s">
        <v>1439</v>
      </c>
      <c r="T4222" s="37">
        <v>2100</v>
      </c>
      <c r="U4222" s="37" t="s">
        <v>2121</v>
      </c>
      <c r="V4222" s="69" t="s">
        <v>272</v>
      </c>
      <c r="W4222" s="89" t="s">
        <v>168</v>
      </c>
      <c r="X4222" s="106" t="s">
        <v>296</v>
      </c>
      <c r="Y4222" s="107" t="s">
        <v>12</v>
      </c>
      <c r="Z4222" s="67">
        <f>IF(База_КР_КК[[#This Row],[Таб.номер резервиста]]="-","-",IF(OR(База_КР_КК[[#This Row],[Уровень КК]]=2,База_КР_КК[[#This Row],[Уровень КК]]=3),IF(COUNTIFS($U$2:$U4222,$U4222,$F$2:$F4222,$F4222)=1,1,0),IF(COUNTIFS($U$2:$U4222,$U4222,$L$2:$L4222,$L4222)=1,1,0)))</f>
        <v>1</v>
      </c>
      <c r="AA42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2" s="106"/>
      <c r="AC4222" s="51"/>
      <c r="AD4222" s="106" t="s">
        <v>15</v>
      </c>
      <c r="AE4222" s="38" t="s">
        <v>398</v>
      </c>
    </row>
    <row r="4223" spans="1:31" ht="18" customHeight="1" x14ac:dyDescent="0.25">
      <c r="A42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3" s="79">
        <v>4</v>
      </c>
      <c r="C4223" s="23">
        <v>44515</v>
      </c>
      <c r="D4223" s="67">
        <f>IF(COUNTIF($G$2:$G4223,$G4223)=1,1,0)</f>
        <v>0</v>
      </c>
      <c r="E4223" s="67" t="str">
        <f>IFERROR(VLOOKUP(База_КР_КК[[#This Row],[ИД штатной должности (S)]],'уровень защищенности'!$B$7:$F$1095,5,0),"не защищена")</f>
        <v>высокий</v>
      </c>
      <c r="F4223" s="68">
        <v>500502</v>
      </c>
      <c r="G4223" s="74" t="s">
        <v>3214</v>
      </c>
      <c r="H4223" s="181">
        <f>INDEX('Списки данных'!$D$2:$D$1048576,MATCH(База_КР_КК[[#This Row],[Структурное подразделение]],'Списки данных'!$C$2:$C$1048576,0))</f>
        <v>48</v>
      </c>
      <c r="I4223" s="80" t="s">
        <v>168</v>
      </c>
      <c r="J4223" s="80" t="s">
        <v>264</v>
      </c>
      <c r="K4223" s="80" t="s">
        <v>265</v>
      </c>
      <c r="L4223" s="30" t="s">
        <v>191</v>
      </c>
      <c r="M4223" s="68">
        <v>7</v>
      </c>
      <c r="N4223" s="181" t="str">
        <f t="shared" si="67"/>
        <v>нет</v>
      </c>
      <c r="O4223" s="23"/>
      <c r="P4223" s="23"/>
      <c r="Q4223" s="106"/>
      <c r="R4223" s="37">
        <v>1030</v>
      </c>
      <c r="S4223" s="39" t="s">
        <v>1439</v>
      </c>
      <c r="T4223" s="37">
        <v>2101</v>
      </c>
      <c r="U4223" s="37" t="s">
        <v>1582</v>
      </c>
      <c r="V4223" s="69" t="s">
        <v>272</v>
      </c>
      <c r="W4223" s="89" t="s">
        <v>168</v>
      </c>
      <c r="X4223" s="106" t="s">
        <v>296</v>
      </c>
      <c r="Y4223" s="107" t="s">
        <v>12</v>
      </c>
      <c r="Z4223" s="67">
        <f>IF(База_КР_КК[[#This Row],[Таб.номер резервиста]]="-","-",IF(OR(База_КР_КК[[#This Row],[Уровень КК]]=2,База_КР_КК[[#This Row],[Уровень КК]]=3),IF(COUNTIFS($U$2:$U4223,$U4223,$F$2:$F4223,$F4223)=1,1,0),IF(COUNTIFS($U$2:$U4223,$U4223,$L$2:$L4223,$L4223)=1,1,0)))</f>
        <v>0</v>
      </c>
      <c r="AA42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3" s="106"/>
      <c r="AC4223" s="51"/>
      <c r="AD4223" s="106" t="s">
        <v>15</v>
      </c>
      <c r="AE4223" s="38" t="s">
        <v>398</v>
      </c>
    </row>
    <row r="4224" spans="1:31" ht="18" customHeight="1" x14ac:dyDescent="0.25">
      <c r="A42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4" s="79">
        <v>4</v>
      </c>
      <c r="C4224" s="23">
        <v>44515</v>
      </c>
      <c r="D4224" s="67">
        <f>IF(COUNTIF($G$2:$G4224,$G4224)=1,1,0)</f>
        <v>0</v>
      </c>
      <c r="E4224" s="67" t="str">
        <f>IFERROR(VLOOKUP(База_КР_КК[[#This Row],[ИД штатной должности (S)]],'уровень защищенности'!$B$7:$F$1095,5,0),"не защищена")</f>
        <v>высокий</v>
      </c>
      <c r="F4224" s="68">
        <v>500502</v>
      </c>
      <c r="G4224" s="74" t="s">
        <v>3214</v>
      </c>
      <c r="H4224" s="181">
        <f>INDEX('Списки данных'!$D$2:$D$1048576,MATCH(База_КР_КК[[#This Row],[Структурное подразделение]],'Списки данных'!$C$2:$C$1048576,0))</f>
        <v>48</v>
      </c>
      <c r="I4224" s="80" t="s">
        <v>168</v>
      </c>
      <c r="J4224" s="80" t="s">
        <v>264</v>
      </c>
      <c r="K4224" s="80" t="s">
        <v>265</v>
      </c>
      <c r="L4224" s="30" t="s">
        <v>191</v>
      </c>
      <c r="M4224" s="68">
        <v>7</v>
      </c>
      <c r="N4224" s="181" t="str">
        <f t="shared" si="67"/>
        <v>нет</v>
      </c>
      <c r="O4224" s="23"/>
      <c r="P4224" s="23"/>
      <c r="Q4224" s="106"/>
      <c r="R4224" s="37">
        <v>1030</v>
      </c>
      <c r="S4224" s="39" t="s">
        <v>1439</v>
      </c>
      <c r="T4224" s="37">
        <v>1035</v>
      </c>
      <c r="U4224" s="37" t="s">
        <v>1444</v>
      </c>
      <c r="V4224" s="69" t="s">
        <v>192</v>
      </c>
      <c r="W4224" s="89" t="s">
        <v>168</v>
      </c>
      <c r="X4224" s="106" t="s">
        <v>297</v>
      </c>
      <c r="Y4224" s="107" t="s">
        <v>18</v>
      </c>
      <c r="Z4224" s="67">
        <f>IF(База_КР_КК[[#This Row],[Таб.номер резервиста]]="-","-",IF(OR(База_КР_КК[[#This Row],[Уровень КК]]=2,База_КР_КК[[#This Row],[Уровень КК]]=3),IF(COUNTIFS($U$2:$U4224,$U4224,$F$2:$F4224,$F4224)=1,1,0),IF(COUNTIFS($U$2:$U4224,$U4224,$L$2:$L4224,$L4224)=1,1,0)))</f>
        <v>1</v>
      </c>
      <c r="AA42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4" s="106" t="s">
        <v>37</v>
      </c>
      <c r="AC4224" s="51">
        <v>45047</v>
      </c>
      <c r="AD4224" s="106" t="s">
        <v>15</v>
      </c>
      <c r="AE4224" s="38" t="s">
        <v>398</v>
      </c>
    </row>
    <row r="4225" spans="1:31" ht="18" customHeight="1" x14ac:dyDescent="0.25">
      <c r="A42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5" s="79">
        <v>4</v>
      </c>
      <c r="C4225" s="23">
        <v>44515</v>
      </c>
      <c r="D4225" s="67">
        <f>IF(COUNTIF($G$2:$G4225,$G4225)=1,1,0)</f>
        <v>0</v>
      </c>
      <c r="E4225" s="67" t="str">
        <f>IFERROR(VLOOKUP(База_КР_КК[[#This Row],[ИД штатной должности (S)]],'уровень защищенности'!$B$7:$F$1095,5,0),"не защищена")</f>
        <v>высокий</v>
      </c>
      <c r="F4225" s="68">
        <v>500502</v>
      </c>
      <c r="G4225" s="74" t="s">
        <v>3214</v>
      </c>
      <c r="H4225" s="181">
        <f>INDEX('Списки данных'!$D$2:$D$1048576,MATCH(База_КР_КК[[#This Row],[Структурное подразделение]],'Списки данных'!$C$2:$C$1048576,0))</f>
        <v>48</v>
      </c>
      <c r="I4225" s="80" t="s">
        <v>168</v>
      </c>
      <c r="J4225" s="80" t="s">
        <v>264</v>
      </c>
      <c r="K4225" s="80" t="s">
        <v>265</v>
      </c>
      <c r="L4225" s="30" t="s">
        <v>191</v>
      </c>
      <c r="M4225" s="68">
        <v>7</v>
      </c>
      <c r="N4225" s="181" t="str">
        <f t="shared" si="67"/>
        <v>нет</v>
      </c>
      <c r="O4225" s="23"/>
      <c r="P4225" s="23"/>
      <c r="Q4225" s="106"/>
      <c r="R4225" s="37">
        <v>1030</v>
      </c>
      <c r="S4225" s="39" t="s">
        <v>1439</v>
      </c>
      <c r="T4225" s="37">
        <v>2102</v>
      </c>
      <c r="U4225" s="37" t="s">
        <v>1457</v>
      </c>
      <c r="V4225" s="69" t="s">
        <v>272</v>
      </c>
      <c r="W4225" s="89" t="s">
        <v>168</v>
      </c>
      <c r="X4225" s="106" t="s">
        <v>296</v>
      </c>
      <c r="Y4225" s="107" t="s">
        <v>18</v>
      </c>
      <c r="Z4225" s="67">
        <f>IF(База_КР_КК[[#This Row],[Таб.номер резервиста]]="-","-",IF(OR(База_КР_КК[[#This Row],[Уровень КК]]=2,База_КР_КК[[#This Row],[Уровень КК]]=3),IF(COUNTIFS($U$2:$U4225,$U4225,$F$2:$F4225,$F4225)=1,1,0),IF(COUNTIFS($U$2:$U4225,$U4225,$L$2:$L4225,$L4225)=1,1,0)))</f>
        <v>0</v>
      </c>
      <c r="AA42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5" s="106" t="s">
        <v>19</v>
      </c>
      <c r="AC4225" s="51">
        <v>45091</v>
      </c>
      <c r="AD4225" s="106" t="s">
        <v>15</v>
      </c>
      <c r="AE4225" s="38" t="s">
        <v>398</v>
      </c>
    </row>
    <row r="4226" spans="1:31" ht="18" customHeight="1" x14ac:dyDescent="0.25">
      <c r="A42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6" s="79">
        <v>4</v>
      </c>
      <c r="C4226" s="23">
        <v>44515</v>
      </c>
      <c r="D4226" s="67">
        <f>IF(COUNTIF($G$2:$G4226,$G4226)=1,1,0)</f>
        <v>1</v>
      </c>
      <c r="E4226" s="67" t="str">
        <f>IFERROR(VLOOKUP(База_КР_КК[[#This Row],[ИД штатной должности (S)]],'уровень защищенности'!$B$7:$F$1095,5,0),"не защищена")</f>
        <v>высокий</v>
      </c>
      <c r="F4226" s="68">
        <v>500502</v>
      </c>
      <c r="G4226" s="74" t="s">
        <v>3215</v>
      </c>
      <c r="H4226" s="181">
        <f>INDEX('Списки данных'!$D$2:$D$1048576,MATCH(База_КР_КК[[#This Row],[Структурное подразделение]],'Списки данных'!$C$2:$C$1048576,0))</f>
        <v>48</v>
      </c>
      <c r="I4226" s="80" t="s">
        <v>168</v>
      </c>
      <c r="J4226" s="80" t="s">
        <v>264</v>
      </c>
      <c r="K4226" s="80" t="s">
        <v>265</v>
      </c>
      <c r="L4226" s="30" t="s">
        <v>191</v>
      </c>
      <c r="M4226" s="68">
        <v>7</v>
      </c>
      <c r="N4226" s="181" t="str">
        <f t="shared" si="67"/>
        <v>нет</v>
      </c>
      <c r="O4226" s="23"/>
      <c r="P4226" s="23"/>
      <c r="Q4226" s="106"/>
      <c r="R4226" s="37">
        <v>1031</v>
      </c>
      <c r="S4226" s="39" t="s">
        <v>1440</v>
      </c>
      <c r="T4226" s="37">
        <v>2097</v>
      </c>
      <c r="U4226" s="37" t="s">
        <v>2014</v>
      </c>
      <c r="V4226" s="69" t="s">
        <v>272</v>
      </c>
      <c r="W4226" s="89" t="s">
        <v>168</v>
      </c>
      <c r="X4226" s="106" t="s">
        <v>296</v>
      </c>
      <c r="Y4226" s="107" t="s">
        <v>12</v>
      </c>
      <c r="Z4226" s="67">
        <f>IF(База_КР_КК[[#This Row],[Таб.номер резервиста]]="-","-",IF(OR(База_КР_КК[[#This Row],[Уровень КК]]=2,База_КР_КК[[#This Row],[Уровень КК]]=3),IF(COUNTIFS($U$2:$U4226,$U4226,$F$2:$F4226,$F4226)=1,1,0),IF(COUNTIFS($U$2:$U4226,$U4226,$L$2:$L4226,$L4226)=1,1,0)))</f>
        <v>0</v>
      </c>
      <c r="AA42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6" s="106"/>
      <c r="AC4226" s="51"/>
      <c r="AD4226" s="106" t="s">
        <v>15</v>
      </c>
      <c r="AE4226" s="38" t="s">
        <v>398</v>
      </c>
    </row>
    <row r="4227" spans="1:31" ht="18" customHeight="1" x14ac:dyDescent="0.25">
      <c r="A42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7" s="79">
        <v>4</v>
      </c>
      <c r="C4227" s="23">
        <v>44515</v>
      </c>
      <c r="D4227" s="67">
        <f>IF(COUNTIF($G$2:$G4227,$G4227)=1,1,0)</f>
        <v>0</v>
      </c>
      <c r="E4227" s="67" t="str">
        <f>IFERROR(VLOOKUP(База_КР_КК[[#This Row],[ИД штатной должности (S)]],'уровень защищенности'!$B$7:$F$1095,5,0),"не защищена")</f>
        <v>высокий</v>
      </c>
      <c r="F4227" s="68">
        <v>500502</v>
      </c>
      <c r="G4227" s="74" t="s">
        <v>3215</v>
      </c>
      <c r="H4227" s="181">
        <f>INDEX('Списки данных'!$D$2:$D$1048576,MATCH(База_КР_КК[[#This Row],[Структурное подразделение]],'Списки данных'!$C$2:$C$1048576,0))</f>
        <v>48</v>
      </c>
      <c r="I4227" s="80" t="s">
        <v>168</v>
      </c>
      <c r="J4227" s="80" t="s">
        <v>264</v>
      </c>
      <c r="K4227" s="80" t="s">
        <v>265</v>
      </c>
      <c r="L4227" s="30" t="s">
        <v>191</v>
      </c>
      <c r="M4227" s="68">
        <v>7</v>
      </c>
      <c r="N4227" s="181" t="str">
        <f t="shared" si="67"/>
        <v>нет</v>
      </c>
      <c r="O4227" s="23"/>
      <c r="P4227" s="23"/>
      <c r="Q4227" s="106"/>
      <c r="R4227" s="37">
        <v>1031</v>
      </c>
      <c r="S4227" s="39" t="s">
        <v>1440</v>
      </c>
      <c r="T4227" s="37">
        <v>2077</v>
      </c>
      <c r="U4227" s="37" t="s">
        <v>2133</v>
      </c>
      <c r="V4227" s="69" t="s">
        <v>16</v>
      </c>
      <c r="W4227" s="89" t="s">
        <v>168</v>
      </c>
      <c r="X4227" s="106" t="s">
        <v>297</v>
      </c>
      <c r="Y4227" s="107" t="s">
        <v>12</v>
      </c>
      <c r="Z4227" s="67">
        <f>IF(База_КР_КК[[#This Row],[Таб.номер резервиста]]="-","-",IF(OR(База_КР_КК[[#This Row],[Уровень КК]]=2,База_КР_КК[[#This Row],[Уровень КК]]=3),IF(COUNTIFS($U$2:$U4227,$U4227,$F$2:$F4227,$F4227)=1,1,0),IF(COUNTIFS($U$2:$U4227,$U4227,$L$2:$L4227,$L4227)=1,1,0)))</f>
        <v>0</v>
      </c>
      <c r="AA42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7" s="106"/>
      <c r="AC4227" s="51"/>
      <c r="AD4227" s="106" t="s">
        <v>15</v>
      </c>
      <c r="AE4227" s="38" t="s">
        <v>398</v>
      </c>
    </row>
    <row r="4228" spans="1:31" ht="18" customHeight="1" x14ac:dyDescent="0.25">
      <c r="A42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8" s="79">
        <v>4</v>
      </c>
      <c r="C4228" s="23">
        <v>44515</v>
      </c>
      <c r="D4228" s="67">
        <f>IF(COUNTIF($G$2:$G4228,$G4228)=1,1,0)</f>
        <v>0</v>
      </c>
      <c r="E4228" s="67" t="str">
        <f>IFERROR(VLOOKUP(База_КР_КК[[#This Row],[ИД штатной должности (S)]],'уровень защищенности'!$B$7:$F$1095,5,0),"не защищена")</f>
        <v>высокий</v>
      </c>
      <c r="F4228" s="68">
        <v>500502</v>
      </c>
      <c r="G4228" s="74" t="s">
        <v>3215</v>
      </c>
      <c r="H4228" s="181">
        <f>INDEX('Списки данных'!$D$2:$D$1048576,MATCH(База_КР_КК[[#This Row],[Структурное подразделение]],'Списки данных'!$C$2:$C$1048576,0))</f>
        <v>48</v>
      </c>
      <c r="I4228" s="80" t="s">
        <v>168</v>
      </c>
      <c r="J4228" s="80" t="s">
        <v>264</v>
      </c>
      <c r="K4228" s="80" t="s">
        <v>265</v>
      </c>
      <c r="L4228" s="30" t="s">
        <v>191</v>
      </c>
      <c r="M4228" s="68">
        <v>7</v>
      </c>
      <c r="N4228" s="181" t="str">
        <f t="shared" si="67"/>
        <v>нет</v>
      </c>
      <c r="O4228" s="23"/>
      <c r="P4228" s="23"/>
      <c r="Q4228" s="106"/>
      <c r="R4228" s="37">
        <v>1031</v>
      </c>
      <c r="S4228" s="39" t="s">
        <v>1440</v>
      </c>
      <c r="T4228" s="37">
        <v>2095</v>
      </c>
      <c r="U4228" s="37" t="s">
        <v>2136</v>
      </c>
      <c r="V4228" s="69" t="s">
        <v>16</v>
      </c>
      <c r="W4228" s="89" t="s">
        <v>168</v>
      </c>
      <c r="X4228" s="106" t="s">
        <v>295</v>
      </c>
      <c r="Y4228" s="107" t="s">
        <v>12</v>
      </c>
      <c r="Z4228" s="67">
        <f>IF(База_КР_КК[[#This Row],[Таб.номер резервиста]]="-","-",IF(OR(База_КР_КК[[#This Row],[Уровень КК]]=2,База_КР_КК[[#This Row],[Уровень КК]]=3),IF(COUNTIFS($U$2:$U4228,$U4228,$F$2:$F4228,$F4228)=1,1,0),IF(COUNTIFS($U$2:$U4228,$U4228,$L$2:$L4228,$L4228)=1,1,0)))</f>
        <v>0</v>
      </c>
      <c r="AA42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8" s="106"/>
      <c r="AC4228" s="51"/>
      <c r="AD4228" s="106" t="s">
        <v>15</v>
      </c>
      <c r="AE4228" s="38" t="s">
        <v>398</v>
      </c>
    </row>
    <row r="4229" spans="1:31" ht="18" customHeight="1" x14ac:dyDescent="0.25">
      <c r="A42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29" s="79">
        <v>4</v>
      </c>
      <c r="C4229" s="23">
        <v>44515</v>
      </c>
      <c r="D4229" s="67">
        <f>IF(COUNTIF($G$2:$G4229,$G4229)=1,1,0)</f>
        <v>0</v>
      </c>
      <c r="E4229" s="67" t="str">
        <f>IFERROR(VLOOKUP(База_КР_КК[[#This Row],[ИД штатной должности (S)]],'уровень защищенности'!$B$7:$F$1095,5,0),"не защищена")</f>
        <v>высокий</v>
      </c>
      <c r="F4229" s="68">
        <v>500502</v>
      </c>
      <c r="G4229" s="74" t="s">
        <v>3215</v>
      </c>
      <c r="H4229" s="181">
        <f>INDEX('Списки данных'!$D$2:$D$1048576,MATCH(База_КР_КК[[#This Row],[Структурное подразделение]],'Списки данных'!$C$2:$C$1048576,0))</f>
        <v>48</v>
      </c>
      <c r="I4229" s="80" t="s">
        <v>168</v>
      </c>
      <c r="J4229" s="80" t="s">
        <v>264</v>
      </c>
      <c r="K4229" s="80" t="s">
        <v>265</v>
      </c>
      <c r="L4229" s="30" t="s">
        <v>191</v>
      </c>
      <c r="M4229" s="68">
        <v>7</v>
      </c>
      <c r="N4229" s="181" t="str">
        <f t="shared" si="67"/>
        <v>нет</v>
      </c>
      <c r="O4229" s="23"/>
      <c r="P4229" s="23"/>
      <c r="Q4229" s="106"/>
      <c r="R4229" s="37">
        <v>1031</v>
      </c>
      <c r="S4229" s="39" t="s">
        <v>1440</v>
      </c>
      <c r="T4229" s="37">
        <v>2098</v>
      </c>
      <c r="U4229" s="37" t="s">
        <v>1833</v>
      </c>
      <c r="V4229" s="69" t="s">
        <v>16</v>
      </c>
      <c r="W4229" s="89" t="s">
        <v>168</v>
      </c>
      <c r="X4229" s="106" t="s">
        <v>296</v>
      </c>
      <c r="Y4229" s="107" t="s">
        <v>12</v>
      </c>
      <c r="Z4229" s="67">
        <f>IF(База_КР_КК[[#This Row],[Таб.номер резервиста]]="-","-",IF(OR(База_КР_КК[[#This Row],[Уровень КК]]=2,База_КР_КК[[#This Row],[Уровень КК]]=3),IF(COUNTIFS($U$2:$U4229,$U4229,$F$2:$F4229,$F4229)=1,1,0),IF(COUNTIFS($U$2:$U4229,$U4229,$L$2:$L4229,$L4229)=1,1,0)))</f>
        <v>0</v>
      </c>
      <c r="AA42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29" s="106"/>
      <c r="AC4229" s="51"/>
      <c r="AD4229" s="106" t="s">
        <v>15</v>
      </c>
      <c r="AE4229" s="38" t="s">
        <v>398</v>
      </c>
    </row>
    <row r="4230" spans="1:31" ht="18" customHeight="1" x14ac:dyDescent="0.25">
      <c r="A42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0" s="79">
        <v>4</v>
      </c>
      <c r="C4230" s="23">
        <v>44515</v>
      </c>
      <c r="D4230" s="67">
        <f>IF(COUNTIF($G$2:$G4230,$G4230)=1,1,0)</f>
        <v>0</v>
      </c>
      <c r="E4230" s="67" t="str">
        <f>IFERROR(VLOOKUP(База_КР_КК[[#This Row],[ИД штатной должности (S)]],'уровень защищенности'!$B$7:$F$1095,5,0),"не защищена")</f>
        <v>высокий</v>
      </c>
      <c r="F4230" s="68">
        <v>500502</v>
      </c>
      <c r="G4230" s="74" t="s">
        <v>3215</v>
      </c>
      <c r="H4230" s="181">
        <f>INDEX('Списки данных'!$D$2:$D$1048576,MATCH(База_КР_КК[[#This Row],[Структурное подразделение]],'Списки данных'!$C$2:$C$1048576,0))</f>
        <v>48</v>
      </c>
      <c r="I4230" s="80" t="s">
        <v>168</v>
      </c>
      <c r="J4230" s="80" t="s">
        <v>264</v>
      </c>
      <c r="K4230" s="80" t="s">
        <v>265</v>
      </c>
      <c r="L4230" s="30" t="s">
        <v>191</v>
      </c>
      <c r="M4230" s="68">
        <v>7</v>
      </c>
      <c r="N4230" s="181" t="str">
        <f t="shared" si="67"/>
        <v>нет</v>
      </c>
      <c r="O4230" s="23"/>
      <c r="P4230" s="23"/>
      <c r="Q4230" s="106"/>
      <c r="R4230" s="37">
        <v>1031</v>
      </c>
      <c r="S4230" s="39" t="s">
        <v>1440</v>
      </c>
      <c r="T4230" s="37">
        <v>2099</v>
      </c>
      <c r="U4230" s="37" t="s">
        <v>2089</v>
      </c>
      <c r="V4230" s="89" t="s">
        <v>16</v>
      </c>
      <c r="W4230" s="89" t="s">
        <v>168</v>
      </c>
      <c r="X4230" s="106" t="s">
        <v>297</v>
      </c>
      <c r="Y4230" s="107" t="s">
        <v>12</v>
      </c>
      <c r="Z4230" s="67">
        <f>IF(База_КР_КК[[#This Row],[Таб.номер резервиста]]="-","-",IF(OR(База_КР_КК[[#This Row],[Уровень КК]]=2,База_КР_КК[[#This Row],[Уровень КК]]=3),IF(COUNTIFS($U$2:$U4230,$U4230,$F$2:$F4230,$F4230)=1,1,0),IF(COUNTIFS($U$2:$U4230,$U4230,$L$2:$L4230,$L4230)=1,1,0)))</f>
        <v>0</v>
      </c>
      <c r="AA42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0" s="106"/>
      <c r="AC4230" s="51"/>
      <c r="AD4230" s="106" t="s">
        <v>15</v>
      </c>
      <c r="AE4230" s="38" t="s">
        <v>398</v>
      </c>
    </row>
    <row r="4231" spans="1:31" ht="18" customHeight="1" x14ac:dyDescent="0.25">
      <c r="A42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1" s="79">
        <v>4</v>
      </c>
      <c r="C4231" s="23">
        <v>44515</v>
      </c>
      <c r="D4231" s="67">
        <f>IF(COUNTIF($G$2:$G4231,$G4231)=1,1,0)</f>
        <v>0</v>
      </c>
      <c r="E4231" s="67" t="str">
        <f>IFERROR(VLOOKUP(База_КР_КК[[#This Row],[ИД штатной должности (S)]],'уровень защищенности'!$B$7:$F$1095,5,0),"не защищена")</f>
        <v>высокий</v>
      </c>
      <c r="F4231" s="68">
        <v>500502</v>
      </c>
      <c r="G4231" s="74" t="s">
        <v>3215</v>
      </c>
      <c r="H4231" s="181">
        <f>INDEX('Списки данных'!$D$2:$D$1048576,MATCH(База_КР_КК[[#This Row],[Структурное подразделение]],'Списки данных'!$C$2:$C$1048576,0))</f>
        <v>48</v>
      </c>
      <c r="I4231" s="80" t="s">
        <v>168</v>
      </c>
      <c r="J4231" s="80" t="s">
        <v>264</v>
      </c>
      <c r="K4231" s="80" t="s">
        <v>265</v>
      </c>
      <c r="L4231" s="30" t="s">
        <v>191</v>
      </c>
      <c r="M4231" s="68">
        <v>7</v>
      </c>
      <c r="N4231" s="181" t="str">
        <f t="shared" si="67"/>
        <v>нет</v>
      </c>
      <c r="O4231" s="23"/>
      <c r="P4231" s="23"/>
      <c r="Q4231" s="106"/>
      <c r="R4231" s="37">
        <v>1031</v>
      </c>
      <c r="S4231" s="39" t="s">
        <v>1440</v>
      </c>
      <c r="T4231" s="37">
        <v>2100</v>
      </c>
      <c r="U4231" s="37" t="s">
        <v>2121</v>
      </c>
      <c r="V4231" s="69" t="s">
        <v>272</v>
      </c>
      <c r="W4231" s="89" t="s">
        <v>168</v>
      </c>
      <c r="X4231" s="106" t="s">
        <v>296</v>
      </c>
      <c r="Y4231" s="107" t="s">
        <v>12</v>
      </c>
      <c r="Z4231" s="67">
        <f>IF(База_КР_КК[[#This Row],[Таб.номер резервиста]]="-","-",IF(OR(База_КР_КК[[#This Row],[Уровень КК]]=2,База_КР_КК[[#This Row],[Уровень КК]]=3),IF(COUNTIFS($U$2:$U4231,$U4231,$F$2:$F4231,$F4231)=1,1,0),IF(COUNTIFS($U$2:$U4231,$U4231,$L$2:$L4231,$L4231)=1,1,0)))</f>
        <v>0</v>
      </c>
      <c r="AA42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1" s="106"/>
      <c r="AC4231" s="51"/>
      <c r="AD4231" s="106" t="s">
        <v>15</v>
      </c>
      <c r="AE4231" s="38" t="s">
        <v>398</v>
      </c>
    </row>
    <row r="4232" spans="1:31" ht="18" customHeight="1" x14ac:dyDescent="0.25">
      <c r="A42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2" s="79">
        <v>4</v>
      </c>
      <c r="C4232" s="23">
        <v>44515</v>
      </c>
      <c r="D4232" s="67">
        <f>IF(COUNTIF($G$2:$G4232,$G4232)=1,1,0)</f>
        <v>0</v>
      </c>
      <c r="E4232" s="67" t="str">
        <f>IFERROR(VLOOKUP(База_КР_КК[[#This Row],[ИД штатной должности (S)]],'уровень защищенности'!$B$7:$F$1095,5,0),"не защищена")</f>
        <v>высокий</v>
      </c>
      <c r="F4232" s="68">
        <v>500502</v>
      </c>
      <c r="G4232" s="74" t="s">
        <v>3215</v>
      </c>
      <c r="H4232" s="181">
        <f>INDEX('Списки данных'!$D$2:$D$1048576,MATCH(База_КР_КК[[#This Row],[Структурное подразделение]],'Списки данных'!$C$2:$C$1048576,0))</f>
        <v>48</v>
      </c>
      <c r="I4232" s="80" t="s">
        <v>168</v>
      </c>
      <c r="J4232" s="80" t="s">
        <v>264</v>
      </c>
      <c r="K4232" s="80" t="s">
        <v>265</v>
      </c>
      <c r="L4232" s="30" t="s">
        <v>191</v>
      </c>
      <c r="M4232" s="68">
        <v>7</v>
      </c>
      <c r="N4232" s="181" t="str">
        <f t="shared" si="67"/>
        <v>нет</v>
      </c>
      <c r="O4232" s="23"/>
      <c r="P4232" s="23"/>
      <c r="Q4232" s="106"/>
      <c r="R4232" s="37">
        <v>1031</v>
      </c>
      <c r="S4232" s="39" t="s">
        <v>1440</v>
      </c>
      <c r="T4232" s="37">
        <v>2101</v>
      </c>
      <c r="U4232" s="37" t="s">
        <v>1582</v>
      </c>
      <c r="V4232" s="69" t="s">
        <v>272</v>
      </c>
      <c r="W4232" s="89" t="s">
        <v>168</v>
      </c>
      <c r="X4232" s="106" t="s">
        <v>296</v>
      </c>
      <c r="Y4232" s="107" t="s">
        <v>12</v>
      </c>
      <c r="Z4232" s="67">
        <f>IF(База_КР_КК[[#This Row],[Таб.номер резервиста]]="-","-",IF(OR(База_КР_КК[[#This Row],[Уровень КК]]=2,База_КР_КК[[#This Row],[Уровень КК]]=3),IF(COUNTIFS($U$2:$U4232,$U4232,$F$2:$F4232,$F4232)=1,1,0),IF(COUNTIFS($U$2:$U4232,$U4232,$L$2:$L4232,$L4232)=1,1,0)))</f>
        <v>0</v>
      </c>
      <c r="AA42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2" s="106"/>
      <c r="AC4232" s="51"/>
      <c r="AD4232" s="106" t="s">
        <v>15</v>
      </c>
      <c r="AE4232" s="38" t="s">
        <v>398</v>
      </c>
    </row>
    <row r="4233" spans="1:31" ht="18" customHeight="1" x14ac:dyDescent="0.25">
      <c r="A42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3" s="79">
        <v>4</v>
      </c>
      <c r="C4233" s="23">
        <v>44515</v>
      </c>
      <c r="D4233" s="67">
        <f>IF(COUNTIF($G$2:$G4233,$G4233)=1,1,0)</f>
        <v>0</v>
      </c>
      <c r="E4233" s="67" t="str">
        <f>IFERROR(VLOOKUP(База_КР_КК[[#This Row],[ИД штатной должности (S)]],'уровень защищенности'!$B$7:$F$1095,5,0),"не защищена")</f>
        <v>высокий</v>
      </c>
      <c r="F4233" s="68">
        <v>500502</v>
      </c>
      <c r="G4233" s="74" t="s">
        <v>3215</v>
      </c>
      <c r="H4233" s="181">
        <f>INDEX('Списки данных'!$D$2:$D$1048576,MATCH(База_КР_КК[[#This Row],[Структурное подразделение]],'Списки данных'!$C$2:$C$1048576,0))</f>
        <v>48</v>
      </c>
      <c r="I4233" s="80" t="s">
        <v>168</v>
      </c>
      <c r="J4233" s="80" t="s">
        <v>264</v>
      </c>
      <c r="K4233" s="80" t="s">
        <v>265</v>
      </c>
      <c r="L4233" s="30" t="s">
        <v>191</v>
      </c>
      <c r="M4233" s="68">
        <v>7</v>
      </c>
      <c r="N4233" s="181" t="str">
        <f t="shared" si="67"/>
        <v>нет</v>
      </c>
      <c r="O4233" s="23"/>
      <c r="P4233" s="23"/>
      <c r="Q4233" s="106"/>
      <c r="R4233" s="37">
        <v>1031</v>
      </c>
      <c r="S4233" s="39" t="s">
        <v>1440</v>
      </c>
      <c r="T4233" s="37">
        <v>1035</v>
      </c>
      <c r="U4233" s="37" t="s">
        <v>1444</v>
      </c>
      <c r="V4233" s="69" t="s">
        <v>192</v>
      </c>
      <c r="W4233" s="89" t="s">
        <v>168</v>
      </c>
      <c r="X4233" s="106" t="s">
        <v>297</v>
      </c>
      <c r="Y4233" s="107" t="s">
        <v>18</v>
      </c>
      <c r="Z4233" s="67">
        <f>IF(База_КР_КК[[#This Row],[Таб.номер резервиста]]="-","-",IF(OR(База_КР_КК[[#This Row],[Уровень КК]]=2,База_КР_КК[[#This Row],[Уровень КК]]=3),IF(COUNTIFS($U$2:$U4233,$U4233,$F$2:$F4233,$F4233)=1,1,0),IF(COUNTIFS($U$2:$U4233,$U4233,$L$2:$L4233,$L4233)=1,1,0)))</f>
        <v>0</v>
      </c>
      <c r="AA42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3" s="106" t="s">
        <v>37</v>
      </c>
      <c r="AC4233" s="51">
        <v>45047</v>
      </c>
      <c r="AD4233" s="106" t="s">
        <v>15</v>
      </c>
      <c r="AE4233" s="38" t="s">
        <v>398</v>
      </c>
    </row>
    <row r="4234" spans="1:31" ht="18" customHeight="1" x14ac:dyDescent="0.25">
      <c r="A42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4" s="79">
        <v>4</v>
      </c>
      <c r="C4234" s="23">
        <v>44515</v>
      </c>
      <c r="D4234" s="67">
        <f>IF(COUNTIF($G$2:$G4234,$G4234)=1,1,0)</f>
        <v>0</v>
      </c>
      <c r="E4234" s="67" t="str">
        <f>IFERROR(VLOOKUP(База_КР_КК[[#This Row],[ИД штатной должности (S)]],'уровень защищенности'!$B$7:$F$1095,5,0),"не защищена")</f>
        <v>высокий</v>
      </c>
      <c r="F4234" s="68">
        <v>500502</v>
      </c>
      <c r="G4234" s="74" t="s">
        <v>3215</v>
      </c>
      <c r="H4234" s="181">
        <f>INDEX('Списки данных'!$D$2:$D$1048576,MATCH(База_КР_КК[[#This Row],[Структурное подразделение]],'Списки данных'!$C$2:$C$1048576,0))</f>
        <v>48</v>
      </c>
      <c r="I4234" s="80" t="s">
        <v>168</v>
      </c>
      <c r="J4234" s="80" t="s">
        <v>264</v>
      </c>
      <c r="K4234" s="80" t="s">
        <v>265</v>
      </c>
      <c r="L4234" s="30" t="s">
        <v>191</v>
      </c>
      <c r="M4234" s="68">
        <v>7</v>
      </c>
      <c r="N4234" s="181" t="str">
        <f t="shared" si="67"/>
        <v>нет</v>
      </c>
      <c r="O4234" s="23"/>
      <c r="P4234" s="23"/>
      <c r="Q4234" s="106"/>
      <c r="R4234" s="37">
        <v>1031</v>
      </c>
      <c r="S4234" s="39" t="s">
        <v>1440</v>
      </c>
      <c r="T4234" s="37">
        <v>2102</v>
      </c>
      <c r="U4234" s="37" t="s">
        <v>1457</v>
      </c>
      <c r="V4234" s="69" t="s">
        <v>272</v>
      </c>
      <c r="W4234" s="89" t="s">
        <v>168</v>
      </c>
      <c r="X4234" s="106" t="s">
        <v>296</v>
      </c>
      <c r="Y4234" s="107" t="s">
        <v>18</v>
      </c>
      <c r="Z4234" s="67">
        <f>IF(База_КР_КК[[#This Row],[Таб.номер резервиста]]="-","-",IF(OR(База_КР_КК[[#This Row],[Уровень КК]]=2,База_КР_КК[[#This Row],[Уровень КК]]=3),IF(COUNTIFS($U$2:$U4234,$U4234,$F$2:$F4234,$F4234)=1,1,0),IF(COUNTIFS($U$2:$U4234,$U4234,$L$2:$L4234,$L4234)=1,1,0)))</f>
        <v>0</v>
      </c>
      <c r="AA42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4" s="106" t="s">
        <v>19</v>
      </c>
      <c r="AC4234" s="51">
        <v>45091</v>
      </c>
      <c r="AD4234" s="106" t="s">
        <v>15</v>
      </c>
      <c r="AE4234" s="38" t="s">
        <v>398</v>
      </c>
    </row>
    <row r="4235" spans="1:31" ht="18" customHeight="1" x14ac:dyDescent="0.25">
      <c r="A42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5" s="79">
        <v>4</v>
      </c>
      <c r="C4235" s="23">
        <v>44515</v>
      </c>
      <c r="D4235" s="67">
        <f>IF(COUNTIF($G$2:$G4235,$G4235)=1,1,0)</f>
        <v>1</v>
      </c>
      <c r="E4235" s="67" t="str">
        <f>IFERROR(VLOOKUP(База_КР_КК[[#This Row],[ИД штатной должности (S)]],'уровень защищенности'!$B$7:$F$1095,5,0),"не защищена")</f>
        <v>высокий</v>
      </c>
      <c r="F4235" s="68">
        <v>500502</v>
      </c>
      <c r="G4235" s="74" t="s">
        <v>3216</v>
      </c>
      <c r="H4235" s="181">
        <f>INDEX('Списки данных'!$D$2:$D$1048576,MATCH(База_КР_КК[[#This Row],[Структурное подразделение]],'Списки данных'!$C$2:$C$1048576,0))</f>
        <v>48</v>
      </c>
      <c r="I4235" s="80" t="s">
        <v>168</v>
      </c>
      <c r="J4235" s="80" t="s">
        <v>264</v>
      </c>
      <c r="K4235" s="80" t="s">
        <v>265</v>
      </c>
      <c r="L4235" s="30" t="s">
        <v>191</v>
      </c>
      <c r="M4235" s="68">
        <v>7</v>
      </c>
      <c r="N4235" s="181" t="str">
        <f t="shared" si="67"/>
        <v>нет</v>
      </c>
      <c r="O4235" s="23"/>
      <c r="P4235" s="23"/>
      <c r="Q4235" s="106"/>
      <c r="R4235" s="37">
        <v>1032</v>
      </c>
      <c r="S4235" s="39" t="s">
        <v>1441</v>
      </c>
      <c r="T4235" s="37">
        <v>2097</v>
      </c>
      <c r="U4235" s="37" t="s">
        <v>2014</v>
      </c>
      <c r="V4235" s="69" t="s">
        <v>272</v>
      </c>
      <c r="W4235" s="89" t="s">
        <v>168</v>
      </c>
      <c r="X4235" s="106" t="s">
        <v>296</v>
      </c>
      <c r="Y4235" s="107" t="s">
        <v>12</v>
      </c>
      <c r="Z4235" s="67">
        <f>IF(База_КР_КК[[#This Row],[Таб.номер резервиста]]="-","-",IF(OR(База_КР_КК[[#This Row],[Уровень КК]]=2,База_КР_КК[[#This Row],[Уровень КК]]=3),IF(COUNTIFS($U$2:$U4235,$U4235,$F$2:$F4235,$F4235)=1,1,0),IF(COUNTIFS($U$2:$U4235,$U4235,$L$2:$L4235,$L4235)=1,1,0)))</f>
        <v>0</v>
      </c>
      <c r="AA42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5" s="106"/>
      <c r="AC4235" s="51"/>
      <c r="AD4235" s="106" t="s">
        <v>15</v>
      </c>
      <c r="AE4235" s="38" t="s">
        <v>398</v>
      </c>
    </row>
    <row r="4236" spans="1:31" ht="18" customHeight="1" x14ac:dyDescent="0.25">
      <c r="A42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6" s="79">
        <v>4</v>
      </c>
      <c r="C4236" s="23">
        <v>44515</v>
      </c>
      <c r="D4236" s="67">
        <f>IF(COUNTIF($G$2:$G4236,$G4236)=1,1,0)</f>
        <v>0</v>
      </c>
      <c r="E4236" s="67" t="str">
        <f>IFERROR(VLOOKUP(База_КР_КК[[#This Row],[ИД штатной должности (S)]],'уровень защищенности'!$B$7:$F$1095,5,0),"не защищена")</f>
        <v>высокий</v>
      </c>
      <c r="F4236" s="68">
        <v>500502</v>
      </c>
      <c r="G4236" s="74" t="s">
        <v>3216</v>
      </c>
      <c r="H4236" s="181">
        <f>INDEX('Списки данных'!$D$2:$D$1048576,MATCH(База_КР_КК[[#This Row],[Структурное подразделение]],'Списки данных'!$C$2:$C$1048576,0))</f>
        <v>48</v>
      </c>
      <c r="I4236" s="80" t="s">
        <v>168</v>
      </c>
      <c r="J4236" s="80" t="s">
        <v>264</v>
      </c>
      <c r="K4236" s="80" t="s">
        <v>265</v>
      </c>
      <c r="L4236" s="30" t="s">
        <v>191</v>
      </c>
      <c r="M4236" s="68">
        <v>7</v>
      </c>
      <c r="N4236" s="181" t="str">
        <f t="shared" si="67"/>
        <v>нет</v>
      </c>
      <c r="O4236" s="23"/>
      <c r="P4236" s="23"/>
      <c r="Q4236" s="106"/>
      <c r="R4236" s="37">
        <v>1032</v>
      </c>
      <c r="S4236" s="39" t="s">
        <v>1441</v>
      </c>
      <c r="T4236" s="37">
        <v>2077</v>
      </c>
      <c r="U4236" s="37" t="s">
        <v>2133</v>
      </c>
      <c r="V4236" s="69" t="s">
        <v>16</v>
      </c>
      <c r="W4236" s="89" t="s">
        <v>168</v>
      </c>
      <c r="X4236" s="106" t="s">
        <v>297</v>
      </c>
      <c r="Y4236" s="107" t="s">
        <v>12</v>
      </c>
      <c r="Z4236" s="67">
        <f>IF(База_КР_КК[[#This Row],[Таб.номер резервиста]]="-","-",IF(OR(База_КР_КК[[#This Row],[Уровень КК]]=2,База_КР_КК[[#This Row],[Уровень КК]]=3),IF(COUNTIFS($U$2:$U4236,$U4236,$F$2:$F4236,$F4236)=1,1,0),IF(COUNTIFS($U$2:$U4236,$U4236,$L$2:$L4236,$L4236)=1,1,0)))</f>
        <v>0</v>
      </c>
      <c r="AA42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6" s="106"/>
      <c r="AC4236" s="51"/>
      <c r="AD4236" s="106" t="s">
        <v>15</v>
      </c>
      <c r="AE4236" s="38" t="s">
        <v>398</v>
      </c>
    </row>
    <row r="4237" spans="1:31" ht="18" customHeight="1" x14ac:dyDescent="0.25">
      <c r="A42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7" s="79">
        <v>4</v>
      </c>
      <c r="C4237" s="23">
        <v>44515</v>
      </c>
      <c r="D4237" s="67">
        <f>IF(COUNTIF($G$2:$G4237,$G4237)=1,1,0)</f>
        <v>0</v>
      </c>
      <c r="E4237" s="67" t="str">
        <f>IFERROR(VLOOKUP(База_КР_КК[[#This Row],[ИД штатной должности (S)]],'уровень защищенности'!$B$7:$F$1095,5,0),"не защищена")</f>
        <v>высокий</v>
      </c>
      <c r="F4237" s="68">
        <v>500502</v>
      </c>
      <c r="G4237" s="74" t="s">
        <v>3216</v>
      </c>
      <c r="H4237" s="181">
        <f>INDEX('Списки данных'!$D$2:$D$1048576,MATCH(База_КР_КК[[#This Row],[Структурное подразделение]],'Списки данных'!$C$2:$C$1048576,0))</f>
        <v>48</v>
      </c>
      <c r="I4237" s="80" t="s">
        <v>168</v>
      </c>
      <c r="J4237" s="80" t="s">
        <v>264</v>
      </c>
      <c r="K4237" s="80" t="s">
        <v>265</v>
      </c>
      <c r="L4237" s="30" t="s">
        <v>191</v>
      </c>
      <c r="M4237" s="68">
        <v>7</v>
      </c>
      <c r="N4237" s="181" t="str">
        <f t="shared" si="67"/>
        <v>нет</v>
      </c>
      <c r="O4237" s="23"/>
      <c r="P4237" s="23"/>
      <c r="Q4237" s="106"/>
      <c r="R4237" s="37">
        <v>1032</v>
      </c>
      <c r="S4237" s="39" t="s">
        <v>1441</v>
      </c>
      <c r="T4237" s="37">
        <v>2095</v>
      </c>
      <c r="U4237" s="37" t="s">
        <v>2136</v>
      </c>
      <c r="V4237" s="69" t="s">
        <v>16</v>
      </c>
      <c r="W4237" s="89" t="s">
        <v>168</v>
      </c>
      <c r="X4237" s="106" t="s">
        <v>295</v>
      </c>
      <c r="Y4237" s="107" t="s">
        <v>12</v>
      </c>
      <c r="Z4237" s="67">
        <f>IF(База_КР_КК[[#This Row],[Таб.номер резервиста]]="-","-",IF(OR(База_КР_КК[[#This Row],[Уровень КК]]=2,База_КР_КК[[#This Row],[Уровень КК]]=3),IF(COUNTIFS($U$2:$U4237,$U4237,$F$2:$F4237,$F4237)=1,1,0),IF(COUNTIFS($U$2:$U4237,$U4237,$L$2:$L4237,$L4237)=1,1,0)))</f>
        <v>0</v>
      </c>
      <c r="AA42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7" s="106"/>
      <c r="AC4237" s="51"/>
      <c r="AD4237" s="106" t="s">
        <v>15</v>
      </c>
      <c r="AE4237" s="38" t="s">
        <v>398</v>
      </c>
    </row>
    <row r="4238" spans="1:31" ht="18" customHeight="1" x14ac:dyDescent="0.25">
      <c r="A42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8" s="79">
        <v>4</v>
      </c>
      <c r="C4238" s="23">
        <v>44515</v>
      </c>
      <c r="D4238" s="67">
        <f>IF(COUNTIF($G$2:$G4238,$G4238)=1,1,0)</f>
        <v>0</v>
      </c>
      <c r="E4238" s="67" t="str">
        <f>IFERROR(VLOOKUP(База_КР_КК[[#This Row],[ИД штатной должности (S)]],'уровень защищенности'!$B$7:$F$1095,5,0),"не защищена")</f>
        <v>высокий</v>
      </c>
      <c r="F4238" s="68">
        <v>500502</v>
      </c>
      <c r="G4238" s="74" t="s">
        <v>3216</v>
      </c>
      <c r="H4238" s="181">
        <f>INDEX('Списки данных'!$D$2:$D$1048576,MATCH(База_КР_КК[[#This Row],[Структурное подразделение]],'Списки данных'!$C$2:$C$1048576,0))</f>
        <v>48</v>
      </c>
      <c r="I4238" s="80" t="s">
        <v>168</v>
      </c>
      <c r="J4238" s="80" t="s">
        <v>264</v>
      </c>
      <c r="K4238" s="80" t="s">
        <v>265</v>
      </c>
      <c r="L4238" s="30" t="s">
        <v>191</v>
      </c>
      <c r="M4238" s="68">
        <v>7</v>
      </c>
      <c r="N4238" s="181" t="str">
        <f t="shared" si="67"/>
        <v>нет</v>
      </c>
      <c r="O4238" s="23"/>
      <c r="P4238" s="23"/>
      <c r="Q4238" s="106"/>
      <c r="R4238" s="37">
        <v>1032</v>
      </c>
      <c r="S4238" s="39" t="s">
        <v>1441</v>
      </c>
      <c r="T4238" s="37">
        <v>2098</v>
      </c>
      <c r="U4238" s="37" t="s">
        <v>1833</v>
      </c>
      <c r="V4238" s="69" t="s">
        <v>16</v>
      </c>
      <c r="W4238" s="89" t="s">
        <v>168</v>
      </c>
      <c r="X4238" s="106" t="s">
        <v>296</v>
      </c>
      <c r="Y4238" s="107" t="s">
        <v>12</v>
      </c>
      <c r="Z4238" s="67">
        <f>IF(База_КР_КК[[#This Row],[Таб.номер резервиста]]="-","-",IF(OR(База_КР_КК[[#This Row],[Уровень КК]]=2,База_КР_КК[[#This Row],[Уровень КК]]=3),IF(COUNTIFS($U$2:$U4238,$U4238,$F$2:$F4238,$F4238)=1,1,0),IF(COUNTIFS($U$2:$U4238,$U4238,$L$2:$L4238,$L4238)=1,1,0)))</f>
        <v>0</v>
      </c>
      <c r="AA42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8" s="106"/>
      <c r="AC4238" s="51"/>
      <c r="AD4238" s="106" t="s">
        <v>15</v>
      </c>
      <c r="AE4238" s="38" t="s">
        <v>398</v>
      </c>
    </row>
    <row r="4239" spans="1:31" ht="18" customHeight="1" x14ac:dyDescent="0.25">
      <c r="A42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39" s="79">
        <v>4</v>
      </c>
      <c r="C4239" s="23">
        <v>44515</v>
      </c>
      <c r="D4239" s="67">
        <f>IF(COUNTIF($G$2:$G4239,$G4239)=1,1,0)</f>
        <v>0</v>
      </c>
      <c r="E4239" s="67" t="str">
        <f>IFERROR(VLOOKUP(База_КР_КК[[#This Row],[ИД штатной должности (S)]],'уровень защищенности'!$B$7:$F$1095,5,0),"не защищена")</f>
        <v>высокий</v>
      </c>
      <c r="F4239" s="68">
        <v>500502</v>
      </c>
      <c r="G4239" s="74" t="s">
        <v>3216</v>
      </c>
      <c r="H4239" s="181">
        <f>INDEX('Списки данных'!$D$2:$D$1048576,MATCH(База_КР_КК[[#This Row],[Структурное подразделение]],'Списки данных'!$C$2:$C$1048576,0))</f>
        <v>48</v>
      </c>
      <c r="I4239" s="80" t="s">
        <v>168</v>
      </c>
      <c r="J4239" s="80" t="s">
        <v>264</v>
      </c>
      <c r="K4239" s="80" t="s">
        <v>265</v>
      </c>
      <c r="L4239" s="30" t="s">
        <v>191</v>
      </c>
      <c r="M4239" s="68">
        <v>7</v>
      </c>
      <c r="N4239" s="181" t="str">
        <f t="shared" si="67"/>
        <v>нет</v>
      </c>
      <c r="O4239" s="23"/>
      <c r="P4239" s="23"/>
      <c r="Q4239" s="106"/>
      <c r="R4239" s="37">
        <v>1032</v>
      </c>
      <c r="S4239" s="39" t="s">
        <v>1441</v>
      </c>
      <c r="T4239" s="37">
        <v>2099</v>
      </c>
      <c r="U4239" s="37" t="s">
        <v>2089</v>
      </c>
      <c r="V4239" s="89" t="s">
        <v>16</v>
      </c>
      <c r="W4239" s="89" t="s">
        <v>168</v>
      </c>
      <c r="X4239" s="106" t="s">
        <v>297</v>
      </c>
      <c r="Y4239" s="107" t="s">
        <v>12</v>
      </c>
      <c r="Z4239" s="67">
        <f>IF(База_КР_КК[[#This Row],[Таб.номер резервиста]]="-","-",IF(OR(База_КР_КК[[#This Row],[Уровень КК]]=2,База_КР_КК[[#This Row],[Уровень КК]]=3),IF(COUNTIFS($U$2:$U4239,$U4239,$F$2:$F4239,$F4239)=1,1,0),IF(COUNTIFS($U$2:$U4239,$U4239,$L$2:$L4239,$L4239)=1,1,0)))</f>
        <v>0</v>
      </c>
      <c r="AA42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39" s="106"/>
      <c r="AC4239" s="51"/>
      <c r="AD4239" s="106" t="s">
        <v>15</v>
      </c>
      <c r="AE4239" s="38" t="s">
        <v>398</v>
      </c>
    </row>
    <row r="4240" spans="1:31" ht="18" customHeight="1" x14ac:dyDescent="0.25">
      <c r="A42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0" s="79">
        <v>4</v>
      </c>
      <c r="C4240" s="23">
        <v>44515</v>
      </c>
      <c r="D4240" s="67">
        <f>IF(COUNTIF($G$2:$G4240,$G4240)=1,1,0)</f>
        <v>0</v>
      </c>
      <c r="E4240" s="67" t="str">
        <f>IFERROR(VLOOKUP(База_КР_КК[[#This Row],[ИД штатной должности (S)]],'уровень защищенности'!$B$7:$F$1095,5,0),"не защищена")</f>
        <v>высокий</v>
      </c>
      <c r="F4240" s="68">
        <v>500502</v>
      </c>
      <c r="G4240" s="74" t="s">
        <v>3216</v>
      </c>
      <c r="H4240" s="181">
        <f>INDEX('Списки данных'!$D$2:$D$1048576,MATCH(База_КР_КК[[#This Row],[Структурное подразделение]],'Списки данных'!$C$2:$C$1048576,0))</f>
        <v>48</v>
      </c>
      <c r="I4240" s="80" t="s">
        <v>168</v>
      </c>
      <c r="J4240" s="80" t="s">
        <v>264</v>
      </c>
      <c r="K4240" s="80" t="s">
        <v>265</v>
      </c>
      <c r="L4240" s="30" t="s">
        <v>191</v>
      </c>
      <c r="M4240" s="68">
        <v>7</v>
      </c>
      <c r="N4240" s="181" t="str">
        <f t="shared" si="67"/>
        <v>нет</v>
      </c>
      <c r="O4240" s="23"/>
      <c r="P4240" s="23"/>
      <c r="Q4240" s="106"/>
      <c r="R4240" s="37">
        <v>1032</v>
      </c>
      <c r="S4240" s="39" t="s">
        <v>1441</v>
      </c>
      <c r="T4240" s="37">
        <v>2100</v>
      </c>
      <c r="U4240" s="37" t="s">
        <v>2121</v>
      </c>
      <c r="V4240" s="69" t="s">
        <v>272</v>
      </c>
      <c r="W4240" s="89" t="s">
        <v>168</v>
      </c>
      <c r="X4240" s="106" t="s">
        <v>296</v>
      </c>
      <c r="Y4240" s="107" t="s">
        <v>12</v>
      </c>
      <c r="Z4240" s="67">
        <f>IF(База_КР_КК[[#This Row],[Таб.номер резервиста]]="-","-",IF(OR(База_КР_КК[[#This Row],[Уровень КК]]=2,База_КР_КК[[#This Row],[Уровень КК]]=3),IF(COUNTIFS($U$2:$U4240,$U4240,$F$2:$F4240,$F4240)=1,1,0),IF(COUNTIFS($U$2:$U4240,$U4240,$L$2:$L4240,$L4240)=1,1,0)))</f>
        <v>0</v>
      </c>
      <c r="AA42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0" s="106"/>
      <c r="AC4240" s="51"/>
      <c r="AD4240" s="106" t="s">
        <v>15</v>
      </c>
      <c r="AE4240" s="38" t="s">
        <v>398</v>
      </c>
    </row>
    <row r="4241" spans="1:31" ht="18" customHeight="1" x14ac:dyDescent="0.25">
      <c r="A42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1" s="79">
        <v>4</v>
      </c>
      <c r="C4241" s="23">
        <v>44515</v>
      </c>
      <c r="D4241" s="67">
        <f>IF(COUNTIF($G$2:$G4241,$G4241)=1,1,0)</f>
        <v>0</v>
      </c>
      <c r="E4241" s="67" t="str">
        <f>IFERROR(VLOOKUP(База_КР_КК[[#This Row],[ИД штатной должности (S)]],'уровень защищенности'!$B$7:$F$1095,5,0),"не защищена")</f>
        <v>высокий</v>
      </c>
      <c r="F4241" s="68">
        <v>500502</v>
      </c>
      <c r="G4241" s="74" t="s">
        <v>3216</v>
      </c>
      <c r="H4241" s="181">
        <f>INDEX('Списки данных'!$D$2:$D$1048576,MATCH(База_КР_КК[[#This Row],[Структурное подразделение]],'Списки данных'!$C$2:$C$1048576,0))</f>
        <v>48</v>
      </c>
      <c r="I4241" s="80" t="s">
        <v>168</v>
      </c>
      <c r="J4241" s="80" t="s">
        <v>264</v>
      </c>
      <c r="K4241" s="80" t="s">
        <v>265</v>
      </c>
      <c r="L4241" s="30" t="s">
        <v>191</v>
      </c>
      <c r="M4241" s="68">
        <v>7</v>
      </c>
      <c r="N4241" s="181" t="str">
        <f t="shared" si="67"/>
        <v>нет</v>
      </c>
      <c r="O4241" s="23"/>
      <c r="P4241" s="23"/>
      <c r="Q4241" s="106"/>
      <c r="R4241" s="37">
        <v>1032</v>
      </c>
      <c r="S4241" s="39" t="s">
        <v>1441</v>
      </c>
      <c r="T4241" s="37">
        <v>2101</v>
      </c>
      <c r="U4241" s="37" t="s">
        <v>1582</v>
      </c>
      <c r="V4241" s="69" t="s">
        <v>272</v>
      </c>
      <c r="W4241" s="89" t="s">
        <v>168</v>
      </c>
      <c r="X4241" s="106" t="s">
        <v>296</v>
      </c>
      <c r="Y4241" s="107" t="s">
        <v>12</v>
      </c>
      <c r="Z4241" s="67">
        <f>IF(База_КР_КК[[#This Row],[Таб.номер резервиста]]="-","-",IF(OR(База_КР_КК[[#This Row],[Уровень КК]]=2,База_КР_КК[[#This Row],[Уровень КК]]=3),IF(COUNTIFS($U$2:$U4241,$U4241,$F$2:$F4241,$F4241)=1,1,0),IF(COUNTIFS($U$2:$U4241,$U4241,$L$2:$L4241,$L4241)=1,1,0)))</f>
        <v>0</v>
      </c>
      <c r="AA42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1" s="106"/>
      <c r="AC4241" s="51"/>
      <c r="AD4241" s="106" t="s">
        <v>15</v>
      </c>
      <c r="AE4241" s="38" t="s">
        <v>398</v>
      </c>
    </row>
    <row r="4242" spans="1:31" ht="18" customHeight="1" x14ac:dyDescent="0.25">
      <c r="A42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2" s="79">
        <v>4</v>
      </c>
      <c r="C4242" s="23">
        <v>44515</v>
      </c>
      <c r="D4242" s="67">
        <f>IF(COUNTIF($G$2:$G4242,$G4242)=1,1,0)</f>
        <v>0</v>
      </c>
      <c r="E4242" s="67" t="str">
        <f>IFERROR(VLOOKUP(База_КР_КК[[#This Row],[ИД штатной должности (S)]],'уровень защищенности'!$B$7:$F$1095,5,0),"не защищена")</f>
        <v>высокий</v>
      </c>
      <c r="F4242" s="68">
        <v>500502</v>
      </c>
      <c r="G4242" s="74" t="s">
        <v>3216</v>
      </c>
      <c r="H4242" s="181">
        <f>INDEX('Списки данных'!$D$2:$D$1048576,MATCH(База_КР_КК[[#This Row],[Структурное подразделение]],'Списки данных'!$C$2:$C$1048576,0))</f>
        <v>48</v>
      </c>
      <c r="I4242" s="80" t="s">
        <v>168</v>
      </c>
      <c r="J4242" s="80" t="s">
        <v>264</v>
      </c>
      <c r="K4242" s="80" t="s">
        <v>265</v>
      </c>
      <c r="L4242" s="30" t="s">
        <v>191</v>
      </c>
      <c r="M4242" s="68">
        <v>7</v>
      </c>
      <c r="N4242" s="181" t="str">
        <f t="shared" si="67"/>
        <v>нет</v>
      </c>
      <c r="O4242" s="23"/>
      <c r="P4242" s="23"/>
      <c r="Q4242" s="106"/>
      <c r="R4242" s="37">
        <v>1032</v>
      </c>
      <c r="S4242" s="39" t="s">
        <v>1441</v>
      </c>
      <c r="T4242" s="37">
        <v>1035</v>
      </c>
      <c r="U4242" s="37" t="s">
        <v>1444</v>
      </c>
      <c r="V4242" s="69" t="s">
        <v>192</v>
      </c>
      <c r="W4242" s="89" t="s">
        <v>168</v>
      </c>
      <c r="X4242" s="106" t="s">
        <v>297</v>
      </c>
      <c r="Y4242" s="107" t="s">
        <v>18</v>
      </c>
      <c r="Z4242" s="67">
        <f>IF(База_КР_КК[[#This Row],[Таб.номер резервиста]]="-","-",IF(OR(База_КР_КК[[#This Row],[Уровень КК]]=2,База_КР_КК[[#This Row],[Уровень КК]]=3),IF(COUNTIFS($U$2:$U4242,$U4242,$F$2:$F4242,$F4242)=1,1,0),IF(COUNTIFS($U$2:$U4242,$U4242,$L$2:$L4242,$L4242)=1,1,0)))</f>
        <v>0</v>
      </c>
      <c r="AA42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2" s="106" t="s">
        <v>37</v>
      </c>
      <c r="AC4242" s="51">
        <v>45047</v>
      </c>
      <c r="AD4242" s="106" t="s">
        <v>15</v>
      </c>
      <c r="AE4242" s="38" t="s">
        <v>398</v>
      </c>
    </row>
    <row r="4243" spans="1:31" ht="18" customHeight="1" x14ac:dyDescent="0.25">
      <c r="A42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3" s="79">
        <v>4</v>
      </c>
      <c r="C4243" s="23">
        <v>44515</v>
      </c>
      <c r="D4243" s="67">
        <f>IF(COUNTIF($G$2:$G4243,$G4243)=1,1,0)</f>
        <v>0</v>
      </c>
      <c r="E4243" s="67" t="str">
        <f>IFERROR(VLOOKUP(База_КР_КК[[#This Row],[ИД штатной должности (S)]],'уровень защищенности'!$B$7:$F$1095,5,0),"не защищена")</f>
        <v>высокий</v>
      </c>
      <c r="F4243" s="68">
        <v>500502</v>
      </c>
      <c r="G4243" s="74" t="s">
        <v>3216</v>
      </c>
      <c r="H4243" s="181">
        <f>INDEX('Списки данных'!$D$2:$D$1048576,MATCH(База_КР_КК[[#This Row],[Структурное подразделение]],'Списки данных'!$C$2:$C$1048576,0))</f>
        <v>48</v>
      </c>
      <c r="I4243" s="80" t="s">
        <v>168</v>
      </c>
      <c r="J4243" s="80" t="s">
        <v>264</v>
      </c>
      <c r="K4243" s="80" t="s">
        <v>265</v>
      </c>
      <c r="L4243" s="30" t="s">
        <v>191</v>
      </c>
      <c r="M4243" s="68">
        <v>7</v>
      </c>
      <c r="N4243" s="181" t="str">
        <f t="shared" si="67"/>
        <v>нет</v>
      </c>
      <c r="O4243" s="23"/>
      <c r="P4243" s="23"/>
      <c r="Q4243" s="106"/>
      <c r="R4243" s="37">
        <v>1032</v>
      </c>
      <c r="S4243" s="39" t="s">
        <v>1441</v>
      </c>
      <c r="T4243" s="37">
        <v>2102</v>
      </c>
      <c r="U4243" s="37" t="s">
        <v>1457</v>
      </c>
      <c r="V4243" s="69" t="s">
        <v>272</v>
      </c>
      <c r="W4243" s="89" t="s">
        <v>168</v>
      </c>
      <c r="X4243" s="106" t="s">
        <v>296</v>
      </c>
      <c r="Y4243" s="107" t="s">
        <v>18</v>
      </c>
      <c r="Z4243" s="67">
        <f>IF(База_КР_КК[[#This Row],[Таб.номер резервиста]]="-","-",IF(OR(База_КР_КК[[#This Row],[Уровень КК]]=2,База_КР_КК[[#This Row],[Уровень КК]]=3),IF(COUNTIFS($U$2:$U4243,$U4243,$F$2:$F4243,$F4243)=1,1,0),IF(COUNTIFS($U$2:$U4243,$U4243,$L$2:$L4243,$L4243)=1,1,0)))</f>
        <v>0</v>
      </c>
      <c r="AA42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3" s="106" t="s">
        <v>19</v>
      </c>
      <c r="AC4243" s="51">
        <v>45091</v>
      </c>
      <c r="AD4243" s="106" t="s">
        <v>15</v>
      </c>
      <c r="AE4243" s="38" t="s">
        <v>398</v>
      </c>
    </row>
    <row r="4244" spans="1:31" ht="18" customHeight="1" x14ac:dyDescent="0.25">
      <c r="A42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4" s="79">
        <v>4</v>
      </c>
      <c r="C4244" s="23">
        <v>44515</v>
      </c>
      <c r="D4244" s="67">
        <f>IF(COUNTIF($G$2:$G4244,$G4244)=1,1,0)</f>
        <v>1</v>
      </c>
      <c r="E4244" s="67" t="str">
        <f>IFERROR(VLOOKUP(База_КР_КК[[#This Row],[ИД штатной должности (S)]],'уровень защищенности'!$B$7:$F$1095,5,0),"не защищена")</f>
        <v>высокий</v>
      </c>
      <c r="F4244" s="68">
        <v>500502</v>
      </c>
      <c r="G4244" s="74" t="s">
        <v>3217</v>
      </c>
      <c r="H4244" s="181">
        <f>INDEX('Списки данных'!$D$2:$D$1048576,MATCH(База_КР_КК[[#This Row],[Структурное подразделение]],'Списки данных'!$C$2:$C$1048576,0))</f>
        <v>48</v>
      </c>
      <c r="I4244" s="80" t="s">
        <v>168</v>
      </c>
      <c r="J4244" s="80" t="s">
        <v>264</v>
      </c>
      <c r="K4244" s="80" t="s">
        <v>265</v>
      </c>
      <c r="L4244" s="30" t="s">
        <v>191</v>
      </c>
      <c r="M4244" s="68">
        <v>7</v>
      </c>
      <c r="N4244" s="181" t="str">
        <f t="shared" si="67"/>
        <v>нет</v>
      </c>
      <c r="O4244" s="23"/>
      <c r="P4244" s="23"/>
      <c r="Q4244" s="106"/>
      <c r="R4244" s="37">
        <v>1033</v>
      </c>
      <c r="S4244" s="39" t="s">
        <v>1442</v>
      </c>
      <c r="T4244" s="37">
        <v>2097</v>
      </c>
      <c r="U4244" s="37" t="s">
        <v>2014</v>
      </c>
      <c r="V4244" s="69" t="s">
        <v>272</v>
      </c>
      <c r="W4244" s="89" t="s">
        <v>168</v>
      </c>
      <c r="X4244" s="106" t="s">
        <v>296</v>
      </c>
      <c r="Y4244" s="107" t="s">
        <v>12</v>
      </c>
      <c r="Z4244" s="67">
        <f>IF(База_КР_КК[[#This Row],[Таб.номер резервиста]]="-","-",IF(OR(База_КР_КК[[#This Row],[Уровень КК]]=2,База_КР_КК[[#This Row],[Уровень КК]]=3),IF(COUNTIFS($U$2:$U4244,$U4244,$F$2:$F4244,$F4244)=1,1,0),IF(COUNTIFS($U$2:$U4244,$U4244,$L$2:$L4244,$L4244)=1,1,0)))</f>
        <v>0</v>
      </c>
      <c r="AA42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4" s="106"/>
      <c r="AC4244" s="51"/>
      <c r="AD4244" s="106" t="s">
        <v>15</v>
      </c>
      <c r="AE4244" s="38" t="s">
        <v>398</v>
      </c>
    </row>
    <row r="4245" spans="1:31" ht="18" customHeight="1" x14ac:dyDescent="0.25">
      <c r="A42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5" s="79">
        <v>4</v>
      </c>
      <c r="C4245" s="23">
        <v>44515</v>
      </c>
      <c r="D4245" s="67">
        <f>IF(COUNTIF($G$2:$G4245,$G4245)=1,1,0)</f>
        <v>0</v>
      </c>
      <c r="E4245" s="67" t="str">
        <f>IFERROR(VLOOKUP(База_КР_КК[[#This Row],[ИД штатной должности (S)]],'уровень защищенности'!$B$7:$F$1095,5,0),"не защищена")</f>
        <v>высокий</v>
      </c>
      <c r="F4245" s="68">
        <v>500502</v>
      </c>
      <c r="G4245" s="74" t="s">
        <v>3217</v>
      </c>
      <c r="H4245" s="181">
        <f>INDEX('Списки данных'!$D$2:$D$1048576,MATCH(База_КР_КК[[#This Row],[Структурное подразделение]],'Списки данных'!$C$2:$C$1048576,0))</f>
        <v>48</v>
      </c>
      <c r="I4245" s="80" t="s">
        <v>168</v>
      </c>
      <c r="J4245" s="80" t="s">
        <v>264</v>
      </c>
      <c r="K4245" s="80" t="s">
        <v>265</v>
      </c>
      <c r="L4245" s="30" t="s">
        <v>191</v>
      </c>
      <c r="M4245" s="68">
        <v>7</v>
      </c>
      <c r="N4245" s="181" t="str">
        <f t="shared" si="67"/>
        <v>нет</v>
      </c>
      <c r="O4245" s="23"/>
      <c r="P4245" s="23"/>
      <c r="Q4245" s="106"/>
      <c r="R4245" s="37">
        <v>1033</v>
      </c>
      <c r="S4245" s="39" t="s">
        <v>1442</v>
      </c>
      <c r="T4245" s="37">
        <v>2077</v>
      </c>
      <c r="U4245" s="37" t="s">
        <v>2133</v>
      </c>
      <c r="V4245" s="69" t="s">
        <v>16</v>
      </c>
      <c r="W4245" s="89" t="s">
        <v>168</v>
      </c>
      <c r="X4245" s="106" t="s">
        <v>297</v>
      </c>
      <c r="Y4245" s="107" t="s">
        <v>12</v>
      </c>
      <c r="Z4245" s="67">
        <f>IF(База_КР_КК[[#This Row],[Таб.номер резервиста]]="-","-",IF(OR(База_КР_КК[[#This Row],[Уровень КК]]=2,База_КР_КК[[#This Row],[Уровень КК]]=3),IF(COUNTIFS($U$2:$U4245,$U4245,$F$2:$F4245,$F4245)=1,1,0),IF(COUNTIFS($U$2:$U4245,$U4245,$L$2:$L4245,$L4245)=1,1,0)))</f>
        <v>0</v>
      </c>
      <c r="AA42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5" s="106"/>
      <c r="AC4245" s="51"/>
      <c r="AD4245" s="106" t="s">
        <v>15</v>
      </c>
      <c r="AE4245" s="38" t="s">
        <v>398</v>
      </c>
    </row>
    <row r="4246" spans="1:31" ht="18" customHeight="1" x14ac:dyDescent="0.25">
      <c r="A42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6" s="79">
        <v>4</v>
      </c>
      <c r="C4246" s="23">
        <v>44515</v>
      </c>
      <c r="D4246" s="67">
        <f>IF(COUNTIF($G$2:$G4246,$G4246)=1,1,0)</f>
        <v>0</v>
      </c>
      <c r="E4246" s="67" t="str">
        <f>IFERROR(VLOOKUP(База_КР_КК[[#This Row],[ИД штатной должности (S)]],'уровень защищенности'!$B$7:$F$1095,5,0),"не защищена")</f>
        <v>высокий</v>
      </c>
      <c r="F4246" s="68">
        <v>500502</v>
      </c>
      <c r="G4246" s="74" t="s">
        <v>3217</v>
      </c>
      <c r="H4246" s="181">
        <f>INDEX('Списки данных'!$D$2:$D$1048576,MATCH(База_КР_КК[[#This Row],[Структурное подразделение]],'Списки данных'!$C$2:$C$1048576,0))</f>
        <v>48</v>
      </c>
      <c r="I4246" s="80" t="s">
        <v>168</v>
      </c>
      <c r="J4246" s="80" t="s">
        <v>264</v>
      </c>
      <c r="K4246" s="80" t="s">
        <v>265</v>
      </c>
      <c r="L4246" s="30" t="s">
        <v>191</v>
      </c>
      <c r="M4246" s="68">
        <v>7</v>
      </c>
      <c r="N4246" s="181" t="str">
        <f t="shared" si="67"/>
        <v>нет</v>
      </c>
      <c r="O4246" s="23"/>
      <c r="P4246" s="23"/>
      <c r="Q4246" s="106"/>
      <c r="R4246" s="37">
        <v>1033</v>
      </c>
      <c r="S4246" s="39" t="s">
        <v>1442</v>
      </c>
      <c r="T4246" s="37">
        <v>2095</v>
      </c>
      <c r="U4246" s="37" t="s">
        <v>2136</v>
      </c>
      <c r="V4246" s="69" t="s">
        <v>16</v>
      </c>
      <c r="W4246" s="89" t="s">
        <v>168</v>
      </c>
      <c r="X4246" s="106" t="s">
        <v>295</v>
      </c>
      <c r="Y4246" s="107" t="s">
        <v>12</v>
      </c>
      <c r="Z4246" s="67">
        <f>IF(База_КР_КК[[#This Row],[Таб.номер резервиста]]="-","-",IF(OR(База_КР_КК[[#This Row],[Уровень КК]]=2,База_КР_КК[[#This Row],[Уровень КК]]=3),IF(COUNTIFS($U$2:$U4246,$U4246,$F$2:$F4246,$F4246)=1,1,0),IF(COUNTIFS($U$2:$U4246,$U4246,$L$2:$L4246,$L4246)=1,1,0)))</f>
        <v>0</v>
      </c>
      <c r="AA42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6" s="106"/>
      <c r="AC4246" s="51"/>
      <c r="AD4246" s="106" t="s">
        <v>15</v>
      </c>
      <c r="AE4246" s="38" t="s">
        <v>398</v>
      </c>
    </row>
    <row r="4247" spans="1:31" ht="18" customHeight="1" x14ac:dyDescent="0.25">
      <c r="A42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7" s="79">
        <v>4</v>
      </c>
      <c r="C4247" s="23">
        <v>44515</v>
      </c>
      <c r="D4247" s="67">
        <f>IF(COUNTIF($G$2:$G4247,$G4247)=1,1,0)</f>
        <v>0</v>
      </c>
      <c r="E4247" s="67" t="str">
        <f>IFERROR(VLOOKUP(База_КР_КК[[#This Row],[ИД штатной должности (S)]],'уровень защищенности'!$B$7:$F$1095,5,0),"не защищена")</f>
        <v>высокий</v>
      </c>
      <c r="F4247" s="68">
        <v>500502</v>
      </c>
      <c r="G4247" s="74" t="s">
        <v>3217</v>
      </c>
      <c r="H4247" s="181">
        <f>INDEX('Списки данных'!$D$2:$D$1048576,MATCH(База_КР_КК[[#This Row],[Структурное подразделение]],'Списки данных'!$C$2:$C$1048576,0))</f>
        <v>48</v>
      </c>
      <c r="I4247" s="80" t="s">
        <v>168</v>
      </c>
      <c r="J4247" s="80" t="s">
        <v>264</v>
      </c>
      <c r="K4247" s="80" t="s">
        <v>265</v>
      </c>
      <c r="L4247" s="30" t="s">
        <v>191</v>
      </c>
      <c r="M4247" s="68">
        <v>7</v>
      </c>
      <c r="N4247" s="181" t="str">
        <f t="shared" si="67"/>
        <v>нет</v>
      </c>
      <c r="O4247" s="23"/>
      <c r="P4247" s="23"/>
      <c r="Q4247" s="106"/>
      <c r="R4247" s="37">
        <v>1033</v>
      </c>
      <c r="S4247" s="39" t="s">
        <v>1442</v>
      </c>
      <c r="T4247" s="37">
        <v>2098</v>
      </c>
      <c r="U4247" s="37" t="s">
        <v>1833</v>
      </c>
      <c r="V4247" s="69" t="s">
        <v>16</v>
      </c>
      <c r="W4247" s="89" t="s">
        <v>168</v>
      </c>
      <c r="X4247" s="106" t="s">
        <v>296</v>
      </c>
      <c r="Y4247" s="107" t="s">
        <v>12</v>
      </c>
      <c r="Z4247" s="67">
        <f>IF(База_КР_КК[[#This Row],[Таб.номер резервиста]]="-","-",IF(OR(База_КР_КК[[#This Row],[Уровень КК]]=2,База_КР_КК[[#This Row],[Уровень КК]]=3),IF(COUNTIFS($U$2:$U4247,$U4247,$F$2:$F4247,$F4247)=1,1,0),IF(COUNTIFS($U$2:$U4247,$U4247,$L$2:$L4247,$L4247)=1,1,0)))</f>
        <v>0</v>
      </c>
      <c r="AA42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7" s="106"/>
      <c r="AC4247" s="51"/>
      <c r="AD4247" s="106" t="s">
        <v>15</v>
      </c>
      <c r="AE4247" s="38" t="s">
        <v>398</v>
      </c>
    </row>
    <row r="4248" spans="1:31" ht="18" customHeight="1" x14ac:dyDescent="0.25">
      <c r="A42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8" s="79">
        <v>4</v>
      </c>
      <c r="C4248" s="23">
        <v>44515</v>
      </c>
      <c r="D4248" s="67">
        <f>IF(COUNTIF($G$2:$G4248,$G4248)=1,1,0)</f>
        <v>0</v>
      </c>
      <c r="E4248" s="67" t="str">
        <f>IFERROR(VLOOKUP(База_КР_КК[[#This Row],[ИД штатной должности (S)]],'уровень защищенности'!$B$7:$F$1095,5,0),"не защищена")</f>
        <v>высокий</v>
      </c>
      <c r="F4248" s="68">
        <v>500502</v>
      </c>
      <c r="G4248" s="74" t="s">
        <v>3217</v>
      </c>
      <c r="H4248" s="181">
        <f>INDEX('Списки данных'!$D$2:$D$1048576,MATCH(База_КР_КК[[#This Row],[Структурное подразделение]],'Списки данных'!$C$2:$C$1048576,0))</f>
        <v>48</v>
      </c>
      <c r="I4248" s="80" t="s">
        <v>168</v>
      </c>
      <c r="J4248" s="80" t="s">
        <v>264</v>
      </c>
      <c r="K4248" s="80" t="s">
        <v>265</v>
      </c>
      <c r="L4248" s="30" t="s">
        <v>191</v>
      </c>
      <c r="M4248" s="68">
        <v>7</v>
      </c>
      <c r="N4248" s="181" t="str">
        <f t="shared" si="67"/>
        <v>нет</v>
      </c>
      <c r="O4248" s="23"/>
      <c r="P4248" s="23"/>
      <c r="Q4248" s="106"/>
      <c r="R4248" s="37">
        <v>1033</v>
      </c>
      <c r="S4248" s="39" t="s">
        <v>1442</v>
      </c>
      <c r="T4248" s="37">
        <v>2099</v>
      </c>
      <c r="U4248" s="37" t="s">
        <v>2089</v>
      </c>
      <c r="V4248" s="89" t="s">
        <v>16</v>
      </c>
      <c r="W4248" s="89" t="s">
        <v>168</v>
      </c>
      <c r="X4248" s="106" t="s">
        <v>297</v>
      </c>
      <c r="Y4248" s="107" t="s">
        <v>12</v>
      </c>
      <c r="Z4248" s="67">
        <f>IF(База_КР_КК[[#This Row],[Таб.номер резервиста]]="-","-",IF(OR(База_КР_КК[[#This Row],[Уровень КК]]=2,База_КР_КК[[#This Row],[Уровень КК]]=3),IF(COUNTIFS($U$2:$U4248,$U4248,$F$2:$F4248,$F4248)=1,1,0),IF(COUNTIFS($U$2:$U4248,$U4248,$L$2:$L4248,$L4248)=1,1,0)))</f>
        <v>0</v>
      </c>
      <c r="AA42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8" s="106"/>
      <c r="AC4248" s="51"/>
      <c r="AD4248" s="106" t="s">
        <v>15</v>
      </c>
      <c r="AE4248" s="38" t="s">
        <v>398</v>
      </c>
    </row>
    <row r="4249" spans="1:31" ht="18" customHeight="1" x14ac:dyDescent="0.25">
      <c r="A42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49" s="79">
        <v>4</v>
      </c>
      <c r="C4249" s="23">
        <v>44515</v>
      </c>
      <c r="D4249" s="67">
        <f>IF(COUNTIF($G$2:$G4249,$G4249)=1,1,0)</f>
        <v>0</v>
      </c>
      <c r="E4249" s="67" t="str">
        <f>IFERROR(VLOOKUP(База_КР_КК[[#This Row],[ИД штатной должности (S)]],'уровень защищенности'!$B$7:$F$1095,5,0),"не защищена")</f>
        <v>высокий</v>
      </c>
      <c r="F4249" s="68">
        <v>500502</v>
      </c>
      <c r="G4249" s="74" t="s">
        <v>3217</v>
      </c>
      <c r="H4249" s="181">
        <f>INDEX('Списки данных'!$D$2:$D$1048576,MATCH(База_КР_КК[[#This Row],[Структурное подразделение]],'Списки данных'!$C$2:$C$1048576,0))</f>
        <v>48</v>
      </c>
      <c r="I4249" s="80" t="s">
        <v>168</v>
      </c>
      <c r="J4249" s="80" t="s">
        <v>264</v>
      </c>
      <c r="K4249" s="80" t="s">
        <v>265</v>
      </c>
      <c r="L4249" s="30" t="s">
        <v>191</v>
      </c>
      <c r="M4249" s="68">
        <v>7</v>
      </c>
      <c r="N4249" s="181" t="str">
        <f t="shared" si="67"/>
        <v>нет</v>
      </c>
      <c r="O4249" s="23"/>
      <c r="P4249" s="23"/>
      <c r="Q4249" s="106"/>
      <c r="R4249" s="37">
        <v>1033</v>
      </c>
      <c r="S4249" s="39" t="s">
        <v>1442</v>
      </c>
      <c r="T4249" s="37">
        <v>2100</v>
      </c>
      <c r="U4249" s="37" t="s">
        <v>2121</v>
      </c>
      <c r="V4249" s="69" t="s">
        <v>272</v>
      </c>
      <c r="W4249" s="89" t="s">
        <v>168</v>
      </c>
      <c r="X4249" s="106" t="s">
        <v>296</v>
      </c>
      <c r="Y4249" s="107" t="s">
        <v>12</v>
      </c>
      <c r="Z4249" s="67">
        <f>IF(База_КР_КК[[#This Row],[Таб.номер резервиста]]="-","-",IF(OR(База_КР_КК[[#This Row],[Уровень КК]]=2,База_КР_КК[[#This Row],[Уровень КК]]=3),IF(COUNTIFS($U$2:$U4249,$U4249,$F$2:$F4249,$F4249)=1,1,0),IF(COUNTIFS($U$2:$U4249,$U4249,$L$2:$L4249,$L4249)=1,1,0)))</f>
        <v>0</v>
      </c>
      <c r="AA42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49" s="106"/>
      <c r="AC4249" s="51"/>
      <c r="AD4249" s="106" t="s">
        <v>15</v>
      </c>
      <c r="AE4249" s="38" t="s">
        <v>398</v>
      </c>
    </row>
    <row r="4250" spans="1:31" ht="18" customHeight="1" x14ac:dyDescent="0.25">
      <c r="A42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0" s="79">
        <v>4</v>
      </c>
      <c r="C4250" s="23">
        <v>44515</v>
      </c>
      <c r="D4250" s="67">
        <f>IF(COUNTIF($G$2:$G4250,$G4250)=1,1,0)</f>
        <v>0</v>
      </c>
      <c r="E4250" s="67" t="str">
        <f>IFERROR(VLOOKUP(База_КР_КК[[#This Row],[ИД штатной должности (S)]],'уровень защищенности'!$B$7:$F$1095,5,0),"не защищена")</f>
        <v>высокий</v>
      </c>
      <c r="F4250" s="68">
        <v>500502</v>
      </c>
      <c r="G4250" s="74" t="s">
        <v>3217</v>
      </c>
      <c r="H4250" s="181">
        <f>INDEX('Списки данных'!$D$2:$D$1048576,MATCH(База_КР_КК[[#This Row],[Структурное подразделение]],'Списки данных'!$C$2:$C$1048576,0))</f>
        <v>48</v>
      </c>
      <c r="I4250" s="80" t="s">
        <v>168</v>
      </c>
      <c r="J4250" s="80" t="s">
        <v>264</v>
      </c>
      <c r="K4250" s="80" t="s">
        <v>265</v>
      </c>
      <c r="L4250" s="30" t="s">
        <v>191</v>
      </c>
      <c r="M4250" s="68">
        <v>7</v>
      </c>
      <c r="N4250" s="181" t="str">
        <f t="shared" si="67"/>
        <v>нет</v>
      </c>
      <c r="O4250" s="23"/>
      <c r="P4250" s="23"/>
      <c r="Q4250" s="106"/>
      <c r="R4250" s="37">
        <v>1033</v>
      </c>
      <c r="S4250" s="39" t="s">
        <v>1442</v>
      </c>
      <c r="T4250" s="37">
        <v>2101</v>
      </c>
      <c r="U4250" s="37" t="s">
        <v>1582</v>
      </c>
      <c r="V4250" s="69" t="s">
        <v>272</v>
      </c>
      <c r="W4250" s="89" t="s">
        <v>168</v>
      </c>
      <c r="X4250" s="106" t="s">
        <v>296</v>
      </c>
      <c r="Y4250" s="107" t="s">
        <v>12</v>
      </c>
      <c r="Z4250" s="67">
        <f>IF(База_КР_КК[[#This Row],[Таб.номер резервиста]]="-","-",IF(OR(База_КР_КК[[#This Row],[Уровень КК]]=2,База_КР_КК[[#This Row],[Уровень КК]]=3),IF(COUNTIFS($U$2:$U4250,$U4250,$F$2:$F4250,$F4250)=1,1,0),IF(COUNTIFS($U$2:$U4250,$U4250,$L$2:$L4250,$L4250)=1,1,0)))</f>
        <v>0</v>
      </c>
      <c r="AA42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0" s="106"/>
      <c r="AC4250" s="51"/>
      <c r="AD4250" s="106" t="s">
        <v>15</v>
      </c>
      <c r="AE4250" s="38" t="s">
        <v>398</v>
      </c>
    </row>
    <row r="4251" spans="1:31" ht="18" customHeight="1" x14ac:dyDescent="0.25">
      <c r="A42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1" s="79">
        <v>4</v>
      </c>
      <c r="C4251" s="23">
        <v>44515</v>
      </c>
      <c r="D4251" s="67">
        <f>IF(COUNTIF($G$2:$G4251,$G4251)=1,1,0)</f>
        <v>0</v>
      </c>
      <c r="E4251" s="67" t="str">
        <f>IFERROR(VLOOKUP(База_КР_КК[[#This Row],[ИД штатной должности (S)]],'уровень защищенности'!$B$7:$F$1095,5,0),"не защищена")</f>
        <v>высокий</v>
      </c>
      <c r="F4251" s="68">
        <v>500502</v>
      </c>
      <c r="G4251" s="74" t="s">
        <v>3217</v>
      </c>
      <c r="H4251" s="181">
        <f>INDEX('Списки данных'!$D$2:$D$1048576,MATCH(База_КР_КК[[#This Row],[Структурное подразделение]],'Списки данных'!$C$2:$C$1048576,0))</f>
        <v>48</v>
      </c>
      <c r="I4251" s="80" t="s">
        <v>168</v>
      </c>
      <c r="J4251" s="80" t="s">
        <v>264</v>
      </c>
      <c r="K4251" s="80" t="s">
        <v>265</v>
      </c>
      <c r="L4251" s="30" t="s">
        <v>191</v>
      </c>
      <c r="M4251" s="68">
        <v>7</v>
      </c>
      <c r="N4251" s="181" t="str">
        <f t="shared" si="67"/>
        <v>нет</v>
      </c>
      <c r="O4251" s="23"/>
      <c r="P4251" s="23"/>
      <c r="Q4251" s="106"/>
      <c r="R4251" s="37">
        <v>1033</v>
      </c>
      <c r="S4251" s="39" t="s">
        <v>1442</v>
      </c>
      <c r="T4251" s="37">
        <v>1035</v>
      </c>
      <c r="U4251" s="37" t="s">
        <v>1444</v>
      </c>
      <c r="V4251" s="69" t="s">
        <v>192</v>
      </c>
      <c r="W4251" s="89" t="s">
        <v>168</v>
      </c>
      <c r="X4251" s="106" t="s">
        <v>297</v>
      </c>
      <c r="Y4251" s="107" t="s">
        <v>18</v>
      </c>
      <c r="Z4251" s="67">
        <f>IF(База_КР_КК[[#This Row],[Таб.номер резервиста]]="-","-",IF(OR(База_КР_КК[[#This Row],[Уровень КК]]=2,База_КР_КК[[#This Row],[Уровень КК]]=3),IF(COUNTIFS($U$2:$U4251,$U4251,$F$2:$F4251,$F4251)=1,1,0),IF(COUNTIFS($U$2:$U4251,$U4251,$L$2:$L4251,$L4251)=1,1,0)))</f>
        <v>0</v>
      </c>
      <c r="AA42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1" s="106" t="s">
        <v>37</v>
      </c>
      <c r="AC4251" s="51">
        <v>45047</v>
      </c>
      <c r="AD4251" s="106" t="s">
        <v>15</v>
      </c>
      <c r="AE4251" s="38" t="s">
        <v>398</v>
      </c>
    </row>
    <row r="4252" spans="1:31" ht="18" customHeight="1" x14ac:dyDescent="0.25">
      <c r="A42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2" s="79">
        <v>4</v>
      </c>
      <c r="C4252" s="23">
        <v>44515</v>
      </c>
      <c r="D4252" s="67">
        <f>IF(COUNTIF($G$2:$G4252,$G4252)=1,1,0)</f>
        <v>0</v>
      </c>
      <c r="E4252" s="67" t="str">
        <f>IFERROR(VLOOKUP(База_КР_КК[[#This Row],[ИД штатной должности (S)]],'уровень защищенности'!$B$7:$F$1095,5,0),"не защищена")</f>
        <v>высокий</v>
      </c>
      <c r="F4252" s="68">
        <v>500502</v>
      </c>
      <c r="G4252" s="74" t="s">
        <v>3217</v>
      </c>
      <c r="H4252" s="181">
        <f>INDEX('Списки данных'!$D$2:$D$1048576,MATCH(База_КР_КК[[#This Row],[Структурное подразделение]],'Списки данных'!$C$2:$C$1048576,0))</f>
        <v>48</v>
      </c>
      <c r="I4252" s="80" t="s">
        <v>168</v>
      </c>
      <c r="J4252" s="80" t="s">
        <v>264</v>
      </c>
      <c r="K4252" s="80" t="s">
        <v>265</v>
      </c>
      <c r="L4252" s="30" t="s">
        <v>191</v>
      </c>
      <c r="M4252" s="68">
        <v>7</v>
      </c>
      <c r="N4252" s="181" t="str">
        <f t="shared" si="67"/>
        <v>нет</v>
      </c>
      <c r="O4252" s="23"/>
      <c r="P4252" s="23"/>
      <c r="Q4252" s="106"/>
      <c r="R4252" s="37">
        <v>1033</v>
      </c>
      <c r="S4252" s="39" t="s">
        <v>1442</v>
      </c>
      <c r="T4252" s="37">
        <v>2102</v>
      </c>
      <c r="U4252" s="37" t="s">
        <v>1457</v>
      </c>
      <c r="V4252" s="69" t="s">
        <v>272</v>
      </c>
      <c r="W4252" s="89" t="s">
        <v>168</v>
      </c>
      <c r="X4252" s="106" t="s">
        <v>296</v>
      </c>
      <c r="Y4252" s="107" t="s">
        <v>18</v>
      </c>
      <c r="Z4252" s="67">
        <f>IF(База_КР_КК[[#This Row],[Таб.номер резервиста]]="-","-",IF(OR(База_КР_КК[[#This Row],[Уровень КК]]=2,База_КР_КК[[#This Row],[Уровень КК]]=3),IF(COUNTIFS($U$2:$U4252,$U4252,$F$2:$F4252,$F4252)=1,1,0),IF(COUNTIFS($U$2:$U4252,$U4252,$L$2:$L4252,$L4252)=1,1,0)))</f>
        <v>0</v>
      </c>
      <c r="AA42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2" s="106" t="s">
        <v>19</v>
      </c>
      <c r="AC4252" s="51">
        <v>45091</v>
      </c>
      <c r="AD4252" s="106" t="s">
        <v>15</v>
      </c>
      <c r="AE4252" s="38" t="s">
        <v>398</v>
      </c>
    </row>
    <row r="4253" spans="1:31" ht="18" customHeight="1" x14ac:dyDescent="0.25">
      <c r="A42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3" s="79">
        <v>4</v>
      </c>
      <c r="C4253" s="23">
        <v>44515</v>
      </c>
      <c r="D4253" s="67">
        <f>IF(COUNTIF($G$2:$G4253,$G4253)=1,1,0)</f>
        <v>1</v>
      </c>
      <c r="E4253" s="67" t="str">
        <f>IFERROR(VLOOKUP(База_КР_КК[[#This Row],[ИД штатной должности (S)]],'уровень защищенности'!$B$7:$F$1095,5,0),"не защищена")</f>
        <v>высокий</v>
      </c>
      <c r="F4253" s="68">
        <v>500503</v>
      </c>
      <c r="G4253" s="74" t="s">
        <v>3218</v>
      </c>
      <c r="H4253" s="181">
        <f>INDEX('Списки данных'!$D$2:$D$1048576,MATCH(База_КР_КК[[#This Row],[Структурное подразделение]],'Списки данных'!$C$2:$C$1048576,0))</f>
        <v>48</v>
      </c>
      <c r="I4253" s="80" t="s">
        <v>168</v>
      </c>
      <c r="J4253" s="80" t="s">
        <v>264</v>
      </c>
      <c r="K4253" s="80" t="s">
        <v>265</v>
      </c>
      <c r="L4253" s="82" t="s">
        <v>192</v>
      </c>
      <c r="M4253" s="68">
        <v>7</v>
      </c>
      <c r="N4253" s="181" t="str">
        <f t="shared" si="67"/>
        <v>да</v>
      </c>
      <c r="O4253" s="23">
        <v>45091</v>
      </c>
      <c r="P4253" s="23"/>
      <c r="Q4253" s="106"/>
      <c r="R4253" s="37" t="s">
        <v>23</v>
      </c>
      <c r="S4253" s="39" t="s">
        <v>23</v>
      </c>
      <c r="T4253" s="37">
        <v>2097</v>
      </c>
      <c r="U4253" s="37" t="s">
        <v>2014</v>
      </c>
      <c r="V4253" s="93" t="s">
        <v>272</v>
      </c>
      <c r="W4253" s="89" t="s">
        <v>168</v>
      </c>
      <c r="X4253" s="106" t="s">
        <v>296</v>
      </c>
      <c r="Y4253" s="107" t="s">
        <v>12</v>
      </c>
      <c r="Z4253" s="67">
        <f>IF(База_КР_КК[[#This Row],[Таб.номер резервиста]]="-","-",IF(OR(База_КР_КК[[#This Row],[Уровень КК]]=2,База_КР_КК[[#This Row],[Уровень КК]]=3),IF(COUNTIFS($U$2:$U4253,$U4253,$F$2:$F4253,$F4253)=1,1,0),IF(COUNTIFS($U$2:$U4253,$U4253,$L$2:$L4253,$L4253)=1,1,0)))</f>
        <v>0</v>
      </c>
      <c r="AA42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3" s="106"/>
      <c r="AC4253" s="51"/>
      <c r="AD4253" s="106" t="s">
        <v>15</v>
      </c>
      <c r="AE4253" s="38" t="s">
        <v>398</v>
      </c>
    </row>
    <row r="4254" spans="1:31" ht="18" customHeight="1" x14ac:dyDescent="0.25">
      <c r="A42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4" s="79">
        <v>4</v>
      </c>
      <c r="C4254" s="23">
        <v>44515</v>
      </c>
      <c r="D4254" s="67">
        <f>IF(COUNTIF($G$2:$G4254,$G4254)=1,1,0)</f>
        <v>0</v>
      </c>
      <c r="E4254" s="67" t="str">
        <f>IFERROR(VLOOKUP(База_КР_КК[[#This Row],[ИД штатной должности (S)]],'уровень защищенности'!$B$7:$F$1095,5,0),"не защищена")</f>
        <v>высокий</v>
      </c>
      <c r="F4254" s="68">
        <v>500503</v>
      </c>
      <c r="G4254" s="74" t="s">
        <v>3218</v>
      </c>
      <c r="H4254" s="181">
        <f>INDEX('Списки данных'!$D$2:$D$1048576,MATCH(База_КР_КК[[#This Row],[Структурное подразделение]],'Списки данных'!$C$2:$C$1048576,0))</f>
        <v>48</v>
      </c>
      <c r="I4254" s="80" t="s">
        <v>168</v>
      </c>
      <c r="J4254" s="80" t="s">
        <v>264</v>
      </c>
      <c r="K4254" s="80" t="s">
        <v>265</v>
      </c>
      <c r="L4254" s="82" t="s">
        <v>192</v>
      </c>
      <c r="M4254" s="68">
        <v>7</v>
      </c>
      <c r="N4254" s="181" t="str">
        <f t="shared" si="67"/>
        <v>да</v>
      </c>
      <c r="O4254" s="23">
        <v>45091</v>
      </c>
      <c r="P4254" s="23"/>
      <c r="Q4254" s="106"/>
      <c r="R4254" s="37" t="s">
        <v>23</v>
      </c>
      <c r="S4254" s="39" t="s">
        <v>23</v>
      </c>
      <c r="T4254" s="37">
        <v>2077</v>
      </c>
      <c r="U4254" s="37" t="s">
        <v>2133</v>
      </c>
      <c r="V4254" s="69" t="s">
        <v>16</v>
      </c>
      <c r="W4254" s="89" t="s">
        <v>168</v>
      </c>
      <c r="X4254" s="106" t="s">
        <v>297</v>
      </c>
      <c r="Y4254" s="107" t="s">
        <v>12</v>
      </c>
      <c r="Z4254" s="67">
        <f>IF(База_КР_КК[[#This Row],[Таб.номер резервиста]]="-","-",IF(OR(База_КР_КК[[#This Row],[Уровень КК]]=2,База_КР_КК[[#This Row],[Уровень КК]]=3),IF(COUNTIFS($U$2:$U4254,$U4254,$F$2:$F4254,$F4254)=1,1,0),IF(COUNTIFS($U$2:$U4254,$U4254,$L$2:$L4254,$L4254)=1,1,0)))</f>
        <v>1</v>
      </c>
      <c r="AA42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4" s="106"/>
      <c r="AC4254" s="51"/>
      <c r="AD4254" s="106" t="s">
        <v>15</v>
      </c>
      <c r="AE4254" s="38" t="s">
        <v>398</v>
      </c>
    </row>
    <row r="4255" spans="1:31" ht="18" customHeight="1" x14ac:dyDescent="0.25">
      <c r="A42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5" s="79">
        <v>4</v>
      </c>
      <c r="C4255" s="23">
        <v>44515</v>
      </c>
      <c r="D4255" s="67">
        <f>IF(COUNTIF($G$2:$G4255,$G4255)=1,1,0)</f>
        <v>0</v>
      </c>
      <c r="E4255" s="67" t="str">
        <f>IFERROR(VLOOKUP(База_КР_КК[[#This Row],[ИД штатной должности (S)]],'уровень защищенности'!$B$7:$F$1095,5,0),"не защищена")</f>
        <v>высокий</v>
      </c>
      <c r="F4255" s="68">
        <v>500503</v>
      </c>
      <c r="G4255" s="74" t="s">
        <v>3218</v>
      </c>
      <c r="H4255" s="181">
        <f>INDEX('Списки данных'!$D$2:$D$1048576,MATCH(База_КР_КК[[#This Row],[Структурное подразделение]],'Списки данных'!$C$2:$C$1048576,0))</f>
        <v>48</v>
      </c>
      <c r="I4255" s="80" t="s">
        <v>168</v>
      </c>
      <c r="J4255" s="80" t="s">
        <v>264</v>
      </c>
      <c r="K4255" s="80" t="s">
        <v>265</v>
      </c>
      <c r="L4255" s="82" t="s">
        <v>192</v>
      </c>
      <c r="M4255" s="68">
        <v>7</v>
      </c>
      <c r="N4255" s="181" t="str">
        <f t="shared" si="67"/>
        <v>да</v>
      </c>
      <c r="O4255" s="23">
        <v>45091</v>
      </c>
      <c r="P4255" s="23"/>
      <c r="Q4255" s="106"/>
      <c r="R4255" s="37" t="s">
        <v>23</v>
      </c>
      <c r="S4255" s="39" t="s">
        <v>23</v>
      </c>
      <c r="T4255" s="37">
        <v>2095</v>
      </c>
      <c r="U4255" s="37" t="s">
        <v>2136</v>
      </c>
      <c r="V4255" s="69" t="s">
        <v>16</v>
      </c>
      <c r="W4255" s="89" t="s">
        <v>168</v>
      </c>
      <c r="X4255" s="106" t="s">
        <v>295</v>
      </c>
      <c r="Y4255" s="107" t="s">
        <v>12</v>
      </c>
      <c r="Z4255" s="67">
        <f>IF(База_КР_КК[[#This Row],[Таб.номер резервиста]]="-","-",IF(OR(База_КР_КК[[#This Row],[Уровень КК]]=2,База_КР_КК[[#This Row],[Уровень КК]]=3),IF(COUNTIFS($U$2:$U4255,$U4255,$F$2:$F4255,$F4255)=1,1,0),IF(COUNTIFS($U$2:$U4255,$U4255,$L$2:$L4255,$L4255)=1,1,0)))</f>
        <v>1</v>
      </c>
      <c r="AA42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5" s="106"/>
      <c r="AC4255" s="51"/>
      <c r="AD4255" s="106" t="s">
        <v>15</v>
      </c>
      <c r="AE4255" s="38" t="s">
        <v>398</v>
      </c>
    </row>
    <row r="4256" spans="1:31" ht="18" customHeight="1" x14ac:dyDescent="0.25">
      <c r="A42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6" s="79">
        <v>4</v>
      </c>
      <c r="C4256" s="23">
        <v>44515</v>
      </c>
      <c r="D4256" s="67">
        <f>IF(COUNTIF($G$2:$G4256,$G4256)=1,1,0)</f>
        <v>0</v>
      </c>
      <c r="E4256" s="67" t="str">
        <f>IFERROR(VLOOKUP(База_КР_КК[[#This Row],[ИД штатной должности (S)]],'уровень защищенности'!$B$7:$F$1095,5,0),"не защищена")</f>
        <v>высокий</v>
      </c>
      <c r="F4256" s="68">
        <v>500503</v>
      </c>
      <c r="G4256" s="74" t="s">
        <v>3218</v>
      </c>
      <c r="H4256" s="181">
        <f>INDEX('Списки данных'!$D$2:$D$1048576,MATCH(База_КР_КК[[#This Row],[Структурное подразделение]],'Списки данных'!$C$2:$C$1048576,0))</f>
        <v>48</v>
      </c>
      <c r="I4256" s="80" t="s">
        <v>168</v>
      </c>
      <c r="J4256" s="80" t="s">
        <v>264</v>
      </c>
      <c r="K4256" s="80" t="s">
        <v>265</v>
      </c>
      <c r="L4256" s="82" t="s">
        <v>192</v>
      </c>
      <c r="M4256" s="68">
        <v>7</v>
      </c>
      <c r="N4256" s="181" t="str">
        <f t="shared" si="67"/>
        <v>да</v>
      </c>
      <c r="O4256" s="23">
        <v>45091</v>
      </c>
      <c r="P4256" s="23"/>
      <c r="Q4256" s="106"/>
      <c r="R4256" s="37" t="s">
        <v>23</v>
      </c>
      <c r="S4256" s="39" t="s">
        <v>23</v>
      </c>
      <c r="T4256" s="37">
        <v>2098</v>
      </c>
      <c r="U4256" s="37" t="s">
        <v>1833</v>
      </c>
      <c r="V4256" s="69" t="s">
        <v>16</v>
      </c>
      <c r="W4256" s="89" t="s">
        <v>168</v>
      </c>
      <c r="X4256" s="106" t="s">
        <v>296</v>
      </c>
      <c r="Y4256" s="107" t="s">
        <v>12</v>
      </c>
      <c r="Z4256" s="67">
        <f>IF(База_КР_КК[[#This Row],[Таб.номер резервиста]]="-","-",IF(OR(База_КР_КК[[#This Row],[Уровень КК]]=2,База_КР_КК[[#This Row],[Уровень КК]]=3),IF(COUNTIFS($U$2:$U4256,$U4256,$F$2:$F4256,$F4256)=1,1,0),IF(COUNTIFS($U$2:$U4256,$U4256,$L$2:$L4256,$L4256)=1,1,0)))</f>
        <v>0</v>
      </c>
      <c r="AA42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6" s="106"/>
      <c r="AC4256" s="51"/>
      <c r="AD4256" s="106" t="s">
        <v>15</v>
      </c>
      <c r="AE4256" s="38" t="s">
        <v>398</v>
      </c>
    </row>
    <row r="4257" spans="1:31" ht="18" customHeight="1" x14ac:dyDescent="0.25">
      <c r="A42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7" s="79">
        <v>4</v>
      </c>
      <c r="C4257" s="23">
        <v>44515</v>
      </c>
      <c r="D4257" s="67">
        <f>IF(COUNTIF($G$2:$G4257,$G4257)=1,1,0)</f>
        <v>0</v>
      </c>
      <c r="E4257" s="67" t="str">
        <f>IFERROR(VLOOKUP(База_КР_КК[[#This Row],[ИД штатной должности (S)]],'уровень защищенности'!$B$7:$F$1095,5,0),"не защищена")</f>
        <v>высокий</v>
      </c>
      <c r="F4257" s="68">
        <v>500503</v>
      </c>
      <c r="G4257" s="74" t="s">
        <v>3218</v>
      </c>
      <c r="H4257" s="181">
        <f>INDEX('Списки данных'!$D$2:$D$1048576,MATCH(База_КР_КК[[#This Row],[Структурное подразделение]],'Списки данных'!$C$2:$C$1048576,0))</f>
        <v>48</v>
      </c>
      <c r="I4257" s="80" t="s">
        <v>168</v>
      </c>
      <c r="J4257" s="80" t="s">
        <v>264</v>
      </c>
      <c r="K4257" s="80" t="s">
        <v>265</v>
      </c>
      <c r="L4257" s="82" t="s">
        <v>192</v>
      </c>
      <c r="M4257" s="68">
        <v>7</v>
      </c>
      <c r="N4257" s="181" t="str">
        <f t="shared" si="67"/>
        <v>да</v>
      </c>
      <c r="O4257" s="23">
        <v>45091</v>
      </c>
      <c r="P4257" s="23"/>
      <c r="Q4257" s="106"/>
      <c r="R4257" s="37" t="s">
        <v>23</v>
      </c>
      <c r="S4257" s="39" t="s">
        <v>23</v>
      </c>
      <c r="T4257" s="37">
        <v>2099</v>
      </c>
      <c r="U4257" s="37" t="s">
        <v>2089</v>
      </c>
      <c r="V4257" s="88" t="s">
        <v>16</v>
      </c>
      <c r="W4257" s="89" t="s">
        <v>168</v>
      </c>
      <c r="X4257" s="106" t="s">
        <v>297</v>
      </c>
      <c r="Y4257" s="107" t="s">
        <v>12</v>
      </c>
      <c r="Z4257" s="67">
        <f>IF(База_КР_КК[[#This Row],[Таб.номер резервиста]]="-","-",IF(OR(База_КР_КК[[#This Row],[Уровень КК]]=2,База_КР_КК[[#This Row],[Уровень КК]]=3),IF(COUNTIFS($U$2:$U4257,$U4257,$F$2:$F4257,$F4257)=1,1,0),IF(COUNTIFS($U$2:$U4257,$U4257,$L$2:$L4257,$L4257)=1,1,0)))</f>
        <v>0</v>
      </c>
      <c r="AA42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7" s="106"/>
      <c r="AC4257" s="51"/>
      <c r="AD4257" s="106" t="s">
        <v>15</v>
      </c>
      <c r="AE4257" s="38" t="s">
        <v>398</v>
      </c>
    </row>
    <row r="4258" spans="1:31" ht="18" customHeight="1" x14ac:dyDescent="0.25">
      <c r="A42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8" s="79">
        <v>4</v>
      </c>
      <c r="C4258" s="23">
        <v>44515</v>
      </c>
      <c r="D4258" s="67">
        <f>IF(COUNTIF($G$2:$G4258,$G4258)=1,1,0)</f>
        <v>0</v>
      </c>
      <c r="E4258" s="67" t="str">
        <f>IFERROR(VLOOKUP(База_КР_КК[[#This Row],[ИД штатной должности (S)]],'уровень защищенности'!$B$7:$F$1095,5,0),"не защищена")</f>
        <v>высокий</v>
      </c>
      <c r="F4258" s="68">
        <v>500503</v>
      </c>
      <c r="G4258" s="74" t="s">
        <v>3218</v>
      </c>
      <c r="H4258" s="181">
        <f>INDEX('Списки данных'!$D$2:$D$1048576,MATCH(База_КР_КК[[#This Row],[Структурное подразделение]],'Списки данных'!$C$2:$C$1048576,0))</f>
        <v>48</v>
      </c>
      <c r="I4258" s="80" t="s">
        <v>168</v>
      </c>
      <c r="J4258" s="80" t="s">
        <v>264</v>
      </c>
      <c r="K4258" s="80" t="s">
        <v>265</v>
      </c>
      <c r="L4258" s="82" t="s">
        <v>192</v>
      </c>
      <c r="M4258" s="68">
        <v>7</v>
      </c>
      <c r="N4258" s="181" t="str">
        <f t="shared" si="67"/>
        <v>да</v>
      </c>
      <c r="O4258" s="23">
        <v>45091</v>
      </c>
      <c r="P4258" s="23"/>
      <c r="Q4258" s="106"/>
      <c r="R4258" s="37" t="s">
        <v>23</v>
      </c>
      <c r="S4258" s="39" t="s">
        <v>23</v>
      </c>
      <c r="T4258" s="37">
        <v>2100</v>
      </c>
      <c r="U4258" s="37" t="s">
        <v>2121</v>
      </c>
      <c r="V4258" s="69" t="s">
        <v>272</v>
      </c>
      <c r="W4258" s="89" t="s">
        <v>168</v>
      </c>
      <c r="X4258" s="106" t="s">
        <v>296</v>
      </c>
      <c r="Y4258" s="107" t="s">
        <v>12</v>
      </c>
      <c r="Z4258" s="67">
        <f>IF(База_КР_КК[[#This Row],[Таб.номер резервиста]]="-","-",IF(OR(База_КР_КК[[#This Row],[Уровень КК]]=2,База_КР_КК[[#This Row],[Уровень КК]]=3),IF(COUNTIFS($U$2:$U4258,$U4258,$F$2:$F4258,$F4258)=1,1,0),IF(COUNTIFS($U$2:$U4258,$U4258,$L$2:$L4258,$L4258)=1,1,0)))</f>
        <v>0</v>
      </c>
      <c r="AA42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8" s="106"/>
      <c r="AC4258" s="51"/>
      <c r="AD4258" s="106" t="s">
        <v>15</v>
      </c>
      <c r="AE4258" s="38" t="s">
        <v>398</v>
      </c>
    </row>
    <row r="4259" spans="1:31" ht="18" customHeight="1" x14ac:dyDescent="0.25">
      <c r="A42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59" s="79">
        <v>4</v>
      </c>
      <c r="C4259" s="23">
        <v>44515</v>
      </c>
      <c r="D4259" s="67">
        <f>IF(COUNTIF($G$2:$G4259,$G4259)=1,1,0)</f>
        <v>0</v>
      </c>
      <c r="E4259" s="67" t="str">
        <f>IFERROR(VLOOKUP(База_КР_КК[[#This Row],[ИД штатной должности (S)]],'уровень защищенности'!$B$7:$F$1095,5,0),"не защищена")</f>
        <v>высокий</v>
      </c>
      <c r="F4259" s="68">
        <v>500503</v>
      </c>
      <c r="G4259" s="74" t="s">
        <v>3218</v>
      </c>
      <c r="H4259" s="181">
        <f>INDEX('Списки данных'!$D$2:$D$1048576,MATCH(База_КР_КК[[#This Row],[Структурное подразделение]],'Списки данных'!$C$2:$C$1048576,0))</f>
        <v>48</v>
      </c>
      <c r="I4259" s="80" t="s">
        <v>168</v>
      </c>
      <c r="J4259" s="80" t="s">
        <v>264</v>
      </c>
      <c r="K4259" s="80" t="s">
        <v>265</v>
      </c>
      <c r="L4259" s="82" t="s">
        <v>192</v>
      </c>
      <c r="M4259" s="68">
        <v>7</v>
      </c>
      <c r="N4259" s="181" t="str">
        <f t="shared" si="67"/>
        <v>да</v>
      </c>
      <c r="O4259" s="23">
        <v>45091</v>
      </c>
      <c r="P4259" s="23"/>
      <c r="Q4259" s="106"/>
      <c r="R4259" s="37" t="s">
        <v>23</v>
      </c>
      <c r="S4259" s="39" t="s">
        <v>23</v>
      </c>
      <c r="T4259" s="37">
        <v>2101</v>
      </c>
      <c r="U4259" s="37" t="s">
        <v>1582</v>
      </c>
      <c r="V4259" s="69" t="s">
        <v>272</v>
      </c>
      <c r="W4259" s="89" t="s">
        <v>168</v>
      </c>
      <c r="X4259" s="106" t="s">
        <v>296</v>
      </c>
      <c r="Y4259" s="107" t="s">
        <v>12</v>
      </c>
      <c r="Z4259" s="67">
        <f>IF(База_КР_КК[[#This Row],[Таб.номер резервиста]]="-","-",IF(OR(База_КР_КК[[#This Row],[Уровень КК]]=2,База_КР_КК[[#This Row],[Уровень КК]]=3),IF(COUNTIFS($U$2:$U4259,$U4259,$F$2:$F4259,$F4259)=1,1,0),IF(COUNTIFS($U$2:$U4259,$U4259,$L$2:$L4259,$L4259)=1,1,0)))</f>
        <v>0</v>
      </c>
      <c r="AA42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59" s="106"/>
      <c r="AC4259" s="51"/>
      <c r="AD4259" s="106" t="s">
        <v>15</v>
      </c>
      <c r="AE4259" s="38" t="s">
        <v>398</v>
      </c>
    </row>
    <row r="4260" spans="1:31" ht="18" customHeight="1" x14ac:dyDescent="0.25">
      <c r="A42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0" s="79">
        <v>4</v>
      </c>
      <c r="C4260" s="23">
        <v>44515</v>
      </c>
      <c r="D4260" s="67">
        <f>IF(COUNTIF($G$2:$G4260,$G4260)=1,1,0)</f>
        <v>0</v>
      </c>
      <c r="E4260" s="67" t="str">
        <f>IFERROR(VLOOKUP(База_КР_КК[[#This Row],[ИД штатной должности (S)]],'уровень защищенности'!$B$7:$F$1095,5,0),"не защищена")</f>
        <v>высокий</v>
      </c>
      <c r="F4260" s="68">
        <v>500503</v>
      </c>
      <c r="G4260" s="74" t="s">
        <v>3218</v>
      </c>
      <c r="H4260" s="181">
        <f>INDEX('Списки данных'!$D$2:$D$1048576,MATCH(База_КР_КК[[#This Row],[Структурное подразделение]],'Списки данных'!$C$2:$C$1048576,0))</f>
        <v>48</v>
      </c>
      <c r="I4260" s="80" t="s">
        <v>168</v>
      </c>
      <c r="J4260" s="80" t="s">
        <v>264</v>
      </c>
      <c r="K4260" s="80" t="s">
        <v>265</v>
      </c>
      <c r="L4260" s="82" t="s">
        <v>192</v>
      </c>
      <c r="M4260" s="68">
        <v>7</v>
      </c>
      <c r="N4260" s="181" t="str">
        <f t="shared" si="67"/>
        <v>да</v>
      </c>
      <c r="O4260" s="23">
        <v>45091</v>
      </c>
      <c r="P4260" s="23"/>
      <c r="Q4260" s="106"/>
      <c r="R4260" s="37" t="s">
        <v>23</v>
      </c>
      <c r="S4260" s="39" t="s">
        <v>23</v>
      </c>
      <c r="T4260" s="37">
        <v>1035</v>
      </c>
      <c r="U4260" s="37" t="s">
        <v>1444</v>
      </c>
      <c r="V4260" s="69" t="s">
        <v>192</v>
      </c>
      <c r="W4260" s="89" t="s">
        <v>168</v>
      </c>
      <c r="X4260" s="106" t="s">
        <v>297</v>
      </c>
      <c r="Y4260" s="107" t="s">
        <v>18</v>
      </c>
      <c r="Z4260" s="67">
        <f>IF(База_КР_КК[[#This Row],[Таб.номер резервиста]]="-","-",IF(OR(База_КР_КК[[#This Row],[Уровень КК]]=2,База_КР_КК[[#This Row],[Уровень КК]]=3),IF(COUNTIFS($U$2:$U4260,$U4260,$F$2:$F4260,$F4260)=1,1,0),IF(COUNTIFS($U$2:$U4260,$U4260,$L$2:$L4260,$L4260)=1,1,0)))</f>
        <v>1</v>
      </c>
      <c r="AA42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0" s="106" t="s">
        <v>37</v>
      </c>
      <c r="AC4260" s="51">
        <v>45047</v>
      </c>
      <c r="AD4260" s="106" t="s">
        <v>15</v>
      </c>
      <c r="AE4260" s="38" t="s">
        <v>398</v>
      </c>
    </row>
    <row r="4261" spans="1:31" ht="18" customHeight="1" x14ac:dyDescent="0.25">
      <c r="A42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1" s="79">
        <v>4</v>
      </c>
      <c r="C4261" s="23">
        <v>44515</v>
      </c>
      <c r="D4261" s="67">
        <f>IF(COUNTIF($G$2:$G4261,$G4261)=1,1,0)</f>
        <v>0</v>
      </c>
      <c r="E4261" s="67" t="str">
        <f>IFERROR(VLOOKUP(База_КР_КК[[#This Row],[ИД штатной должности (S)]],'уровень защищенности'!$B$7:$F$1095,5,0),"не защищена")</f>
        <v>высокий</v>
      </c>
      <c r="F4261" s="68">
        <v>500503</v>
      </c>
      <c r="G4261" s="74" t="s">
        <v>3218</v>
      </c>
      <c r="H4261" s="181">
        <f>INDEX('Списки данных'!$D$2:$D$1048576,MATCH(База_КР_КК[[#This Row],[Структурное подразделение]],'Списки данных'!$C$2:$C$1048576,0))</f>
        <v>48</v>
      </c>
      <c r="I4261" s="80" t="s">
        <v>168</v>
      </c>
      <c r="J4261" s="80" t="s">
        <v>264</v>
      </c>
      <c r="K4261" s="80" t="s">
        <v>265</v>
      </c>
      <c r="L4261" s="82" t="s">
        <v>192</v>
      </c>
      <c r="M4261" s="68">
        <v>7</v>
      </c>
      <c r="N4261" s="181" t="str">
        <f t="shared" si="67"/>
        <v>да</v>
      </c>
      <c r="O4261" s="23">
        <v>45091</v>
      </c>
      <c r="P4261" s="23"/>
      <c r="Q4261" s="106"/>
      <c r="R4261" s="37" t="s">
        <v>23</v>
      </c>
      <c r="S4261" s="39" t="s">
        <v>23</v>
      </c>
      <c r="T4261" s="37">
        <v>2102</v>
      </c>
      <c r="U4261" s="37" t="s">
        <v>1457</v>
      </c>
      <c r="V4261" s="69" t="s">
        <v>272</v>
      </c>
      <c r="W4261" s="89" t="s">
        <v>168</v>
      </c>
      <c r="X4261" s="106" t="s">
        <v>296</v>
      </c>
      <c r="Y4261" s="107" t="s">
        <v>18</v>
      </c>
      <c r="Z4261" s="67">
        <f>IF(База_КР_КК[[#This Row],[Таб.номер резервиста]]="-","-",IF(OR(База_КР_КК[[#This Row],[Уровень КК]]=2,База_КР_КК[[#This Row],[Уровень КК]]=3),IF(COUNTIFS($U$2:$U4261,$U4261,$F$2:$F4261,$F4261)=1,1,0),IF(COUNTIFS($U$2:$U4261,$U4261,$L$2:$L4261,$L4261)=1,1,0)))</f>
        <v>0</v>
      </c>
      <c r="AA42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1" s="106" t="s">
        <v>19</v>
      </c>
      <c r="AC4261" s="51">
        <v>45091</v>
      </c>
      <c r="AD4261" s="106" t="s">
        <v>15</v>
      </c>
      <c r="AE4261" s="38" t="s">
        <v>398</v>
      </c>
    </row>
    <row r="4262" spans="1:31" ht="18" customHeight="1" x14ac:dyDescent="0.25">
      <c r="A42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2" s="79">
        <v>4</v>
      </c>
      <c r="C4262" s="23">
        <v>44895</v>
      </c>
      <c r="D4262" s="67">
        <f>IF(COUNTIF($G$2:$G4262,$G4262)=1,1,0)</f>
        <v>0</v>
      </c>
      <c r="E4262" s="67" t="str">
        <f>IFERROR(VLOOKUP(База_КР_КК[[#This Row],[ИД штатной должности (S)]],'уровень защищенности'!$B$7:$F$1095,5,0),"не защищена")</f>
        <v>высокий</v>
      </c>
      <c r="F4262" s="68">
        <v>500503</v>
      </c>
      <c r="G4262" s="74" t="s">
        <v>3218</v>
      </c>
      <c r="H4262" s="181">
        <f>INDEX('Списки данных'!$D$2:$D$1048576,MATCH(База_КР_КК[[#This Row],[Структурное подразделение]],'Списки данных'!$C$2:$C$1048576,0))</f>
        <v>48</v>
      </c>
      <c r="I4262" s="80" t="s">
        <v>168</v>
      </c>
      <c r="J4262" s="80" t="s">
        <v>264</v>
      </c>
      <c r="K4262" s="80" t="s">
        <v>265</v>
      </c>
      <c r="L4262" s="82" t="s">
        <v>192</v>
      </c>
      <c r="M4262" s="68">
        <v>7</v>
      </c>
      <c r="N4262" s="181" t="str">
        <f t="shared" si="67"/>
        <v>да</v>
      </c>
      <c r="O4262" s="23">
        <v>45091</v>
      </c>
      <c r="P4262" s="23"/>
      <c r="Q4262" s="106"/>
      <c r="R4262" s="37" t="s">
        <v>23</v>
      </c>
      <c r="S4262" s="39" t="s">
        <v>23</v>
      </c>
      <c r="T4262" s="37">
        <v>2103</v>
      </c>
      <c r="U4262" s="38" t="s">
        <v>1963</v>
      </c>
      <c r="V4262" s="69" t="s">
        <v>272</v>
      </c>
      <c r="W4262" s="89" t="s">
        <v>168</v>
      </c>
      <c r="X4262" s="106" t="s">
        <v>296</v>
      </c>
      <c r="Y4262" s="107" t="s">
        <v>12</v>
      </c>
      <c r="Z4262" s="67">
        <f>IF(База_КР_КК[[#This Row],[Таб.номер резервиста]]="-","-",IF(OR(База_КР_КК[[#This Row],[Уровень КК]]=2,База_КР_КК[[#This Row],[Уровень КК]]=3),IF(COUNTIFS($U$2:$U4262,$U4262,$F$2:$F4262,$F4262)=1,1,0),IF(COUNTIFS($U$2:$U4262,$U4262,$L$2:$L4262,$L4262)=1,1,0)))</f>
        <v>1</v>
      </c>
      <c r="AA42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2" s="106"/>
      <c r="AC4262" s="51"/>
      <c r="AD4262" s="106" t="s">
        <v>15</v>
      </c>
      <c r="AE4262" s="38" t="s">
        <v>397</v>
      </c>
    </row>
    <row r="4263" spans="1:31" ht="18" customHeight="1" x14ac:dyDescent="0.25">
      <c r="A42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3" s="79">
        <v>4</v>
      </c>
      <c r="C4263" s="23">
        <v>44515</v>
      </c>
      <c r="D4263" s="67">
        <f>IF(COUNTIF($G$2:$G4263,$G4263)=1,1,0)</f>
        <v>1</v>
      </c>
      <c r="E4263" s="67" t="str">
        <f>IFERROR(VLOOKUP(База_КР_КК[[#This Row],[ИД штатной должности (S)]],'уровень защищенности'!$B$7:$F$1095,5,0),"не защищена")</f>
        <v>низкий</v>
      </c>
      <c r="F4263" s="68">
        <v>500504</v>
      </c>
      <c r="G4263" s="74" t="s">
        <v>3219</v>
      </c>
      <c r="H4263" s="181">
        <f>INDEX('Списки данных'!$D$2:$D$1048576,MATCH(База_КР_КК[[#This Row],[Структурное подразделение]],'Списки данных'!$C$2:$C$1048576,0))</f>
        <v>48</v>
      </c>
      <c r="I4263" s="80" t="s">
        <v>168</v>
      </c>
      <c r="J4263" s="80" t="s">
        <v>264</v>
      </c>
      <c r="K4263" s="80" t="s">
        <v>265</v>
      </c>
      <c r="L4263" s="30" t="s">
        <v>251</v>
      </c>
      <c r="M4263" s="68">
        <v>6</v>
      </c>
      <c r="N4263" s="181" t="str">
        <f t="shared" si="67"/>
        <v>нет</v>
      </c>
      <c r="O4263" s="23"/>
      <c r="P4263" s="23"/>
      <c r="Q4263" s="106"/>
      <c r="R4263" s="37">
        <v>1034</v>
      </c>
      <c r="S4263" s="39" t="s">
        <v>1443</v>
      </c>
      <c r="T4263" s="37">
        <v>1029</v>
      </c>
      <c r="U4263" s="37" t="s">
        <v>1438</v>
      </c>
      <c r="V4263" s="89" t="s">
        <v>198</v>
      </c>
      <c r="W4263" s="89" t="s">
        <v>168</v>
      </c>
      <c r="X4263" s="106" t="s">
        <v>296</v>
      </c>
      <c r="Y4263" s="107" t="s">
        <v>12</v>
      </c>
      <c r="Z4263" s="67">
        <f>IF(База_КР_КК[[#This Row],[Таб.номер резервиста]]="-","-",IF(OR(База_КР_КК[[#This Row],[Уровень КК]]=2,База_КР_КК[[#This Row],[Уровень КК]]=3),IF(COUNTIFS($U$2:$U4263,$U4263,$F$2:$F4263,$F4263)=1,1,0),IF(COUNTIFS($U$2:$U4263,$U4263,$L$2:$L4263,$L4263)=1,1,0)))</f>
        <v>1</v>
      </c>
      <c r="AA42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3" s="106"/>
      <c r="AC4263" s="51"/>
      <c r="AD4263" s="106" t="s">
        <v>15</v>
      </c>
      <c r="AE4263" s="38" t="s">
        <v>398</v>
      </c>
    </row>
    <row r="4264" spans="1:31" ht="18" customHeight="1" x14ac:dyDescent="0.25">
      <c r="A42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4" s="79">
        <v>4</v>
      </c>
      <c r="C4264" s="23">
        <v>44515</v>
      </c>
      <c r="D4264" s="67">
        <f>IF(COUNTIF($G$2:$G4264,$G4264)=1,1,0)</f>
        <v>1</v>
      </c>
      <c r="E4264" s="67" t="str">
        <f>IFERROR(VLOOKUP(База_КР_КК[[#This Row],[ИД штатной должности (S)]],'уровень защищенности'!$B$7:$F$1095,5,0),"не защищена")</f>
        <v>высокий</v>
      </c>
      <c r="F4264" s="68">
        <v>500505</v>
      </c>
      <c r="G4264" s="74" t="s">
        <v>3220</v>
      </c>
      <c r="H4264" s="181">
        <f>INDEX('Списки данных'!$D$2:$D$1048576,MATCH(База_КР_КК[[#This Row],[Структурное подразделение]],'Списки данных'!$C$2:$C$1048576,0))</f>
        <v>48</v>
      </c>
      <c r="I4264" s="80" t="s">
        <v>168</v>
      </c>
      <c r="J4264" s="80" t="s">
        <v>264</v>
      </c>
      <c r="K4264" s="80" t="s">
        <v>265</v>
      </c>
      <c r="L4264" s="82" t="s">
        <v>192</v>
      </c>
      <c r="M4264" s="68">
        <v>7</v>
      </c>
      <c r="N4264" s="181" t="str">
        <f t="shared" si="67"/>
        <v>да</v>
      </c>
      <c r="O4264" s="23">
        <v>45028</v>
      </c>
      <c r="P4264" s="23">
        <v>45047</v>
      </c>
      <c r="Q4264" s="106" t="s">
        <v>66</v>
      </c>
      <c r="R4264" s="37">
        <v>1035</v>
      </c>
      <c r="S4264" s="37" t="s">
        <v>1444</v>
      </c>
      <c r="T4264" s="37">
        <v>2097</v>
      </c>
      <c r="U4264" s="37" t="s">
        <v>2014</v>
      </c>
      <c r="V4264" s="69" t="s">
        <v>272</v>
      </c>
      <c r="W4264" s="89" t="s">
        <v>168</v>
      </c>
      <c r="X4264" s="106" t="s">
        <v>296</v>
      </c>
      <c r="Y4264" s="107" t="s">
        <v>12</v>
      </c>
      <c r="Z4264" s="67">
        <f>IF(База_КР_КК[[#This Row],[Таб.номер резервиста]]="-","-",IF(OR(База_КР_КК[[#This Row],[Уровень КК]]=2,База_КР_КК[[#This Row],[Уровень КК]]=3),IF(COUNTIFS($U$2:$U4264,$U4264,$F$2:$F4264,$F4264)=1,1,0),IF(COUNTIFS($U$2:$U4264,$U4264,$L$2:$L4264,$L4264)=1,1,0)))</f>
        <v>0</v>
      </c>
      <c r="AA42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4" s="106"/>
      <c r="AC4264" s="51"/>
      <c r="AD4264" s="106" t="s">
        <v>15</v>
      </c>
      <c r="AE4264" s="38" t="s">
        <v>398</v>
      </c>
    </row>
    <row r="4265" spans="1:31" ht="18" customHeight="1" x14ac:dyDescent="0.25">
      <c r="A42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5" s="79">
        <v>4</v>
      </c>
      <c r="C4265" s="23">
        <v>44515</v>
      </c>
      <c r="D4265" s="67">
        <f>IF(COUNTIF($G$2:$G4265,$G4265)=1,1,0)</f>
        <v>0</v>
      </c>
      <c r="E4265" s="67" t="str">
        <f>IFERROR(VLOOKUP(База_КР_КК[[#This Row],[ИД штатной должности (S)]],'уровень защищенности'!$B$7:$F$1095,5,0),"не защищена")</f>
        <v>высокий</v>
      </c>
      <c r="F4265" s="68">
        <v>500505</v>
      </c>
      <c r="G4265" s="74" t="s">
        <v>3220</v>
      </c>
      <c r="H4265" s="181">
        <f>INDEX('Списки данных'!$D$2:$D$1048576,MATCH(База_КР_КК[[#This Row],[Структурное подразделение]],'Списки данных'!$C$2:$C$1048576,0))</f>
        <v>48</v>
      </c>
      <c r="I4265" s="80" t="s">
        <v>168</v>
      </c>
      <c r="J4265" s="80" t="s">
        <v>264</v>
      </c>
      <c r="K4265" s="80" t="s">
        <v>265</v>
      </c>
      <c r="L4265" s="82" t="s">
        <v>192</v>
      </c>
      <c r="M4265" s="68">
        <v>7</v>
      </c>
      <c r="N4265" s="181" t="str">
        <f t="shared" si="67"/>
        <v>да</v>
      </c>
      <c r="O4265" s="23">
        <v>45028</v>
      </c>
      <c r="P4265" s="23">
        <v>45047</v>
      </c>
      <c r="Q4265" s="106" t="s">
        <v>66</v>
      </c>
      <c r="R4265" s="37">
        <v>1035</v>
      </c>
      <c r="S4265" s="37" t="s">
        <v>1444</v>
      </c>
      <c r="T4265" s="37">
        <v>2077</v>
      </c>
      <c r="U4265" s="37" t="s">
        <v>2133</v>
      </c>
      <c r="V4265" s="69" t="s">
        <v>16</v>
      </c>
      <c r="W4265" s="89" t="s">
        <v>168</v>
      </c>
      <c r="X4265" s="106" t="s">
        <v>297</v>
      </c>
      <c r="Y4265" s="107" t="s">
        <v>12</v>
      </c>
      <c r="Z4265" s="67">
        <f>IF(База_КР_КК[[#This Row],[Таб.номер резервиста]]="-","-",IF(OR(База_КР_КК[[#This Row],[Уровень КК]]=2,База_КР_КК[[#This Row],[Уровень КК]]=3),IF(COUNTIFS($U$2:$U4265,$U4265,$F$2:$F4265,$F4265)=1,1,0),IF(COUNTIFS($U$2:$U4265,$U4265,$L$2:$L4265,$L4265)=1,1,0)))</f>
        <v>0</v>
      </c>
      <c r="AA42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5" s="106"/>
      <c r="AC4265" s="51"/>
      <c r="AD4265" s="106" t="s">
        <v>15</v>
      </c>
      <c r="AE4265" s="38" t="s">
        <v>398</v>
      </c>
    </row>
    <row r="4266" spans="1:31" ht="18" customHeight="1" x14ac:dyDescent="0.25">
      <c r="A42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6" s="79">
        <v>4</v>
      </c>
      <c r="C4266" s="23">
        <v>44515</v>
      </c>
      <c r="D4266" s="67">
        <f>IF(COUNTIF($G$2:$G4266,$G4266)=1,1,0)</f>
        <v>0</v>
      </c>
      <c r="E4266" s="67" t="str">
        <f>IFERROR(VLOOKUP(База_КР_КК[[#This Row],[ИД штатной должности (S)]],'уровень защищенности'!$B$7:$F$1095,5,0),"не защищена")</f>
        <v>высокий</v>
      </c>
      <c r="F4266" s="68">
        <v>500505</v>
      </c>
      <c r="G4266" s="74" t="s">
        <v>3220</v>
      </c>
      <c r="H4266" s="181">
        <f>INDEX('Списки данных'!$D$2:$D$1048576,MATCH(База_КР_КК[[#This Row],[Структурное подразделение]],'Списки данных'!$C$2:$C$1048576,0))</f>
        <v>48</v>
      </c>
      <c r="I4266" s="80" t="s">
        <v>168</v>
      </c>
      <c r="J4266" s="80" t="s">
        <v>264</v>
      </c>
      <c r="K4266" s="80" t="s">
        <v>265</v>
      </c>
      <c r="L4266" s="82" t="s">
        <v>192</v>
      </c>
      <c r="M4266" s="68">
        <v>7</v>
      </c>
      <c r="N4266" s="181" t="str">
        <f t="shared" si="67"/>
        <v>да</v>
      </c>
      <c r="O4266" s="23">
        <v>45028</v>
      </c>
      <c r="P4266" s="23">
        <v>45047</v>
      </c>
      <c r="Q4266" s="106" t="s">
        <v>66</v>
      </c>
      <c r="R4266" s="37">
        <v>1035</v>
      </c>
      <c r="S4266" s="37" t="s">
        <v>1444</v>
      </c>
      <c r="T4266" s="37">
        <v>2095</v>
      </c>
      <c r="U4266" s="37" t="s">
        <v>2136</v>
      </c>
      <c r="V4266" s="69" t="s">
        <v>16</v>
      </c>
      <c r="W4266" s="89" t="s">
        <v>168</v>
      </c>
      <c r="X4266" s="106" t="s">
        <v>295</v>
      </c>
      <c r="Y4266" s="107" t="s">
        <v>12</v>
      </c>
      <c r="Z4266" s="67">
        <f>IF(База_КР_КК[[#This Row],[Таб.номер резервиста]]="-","-",IF(OR(База_КР_КК[[#This Row],[Уровень КК]]=2,База_КР_КК[[#This Row],[Уровень КК]]=3),IF(COUNTIFS($U$2:$U4266,$U4266,$F$2:$F4266,$F4266)=1,1,0),IF(COUNTIFS($U$2:$U4266,$U4266,$L$2:$L4266,$L4266)=1,1,0)))</f>
        <v>0</v>
      </c>
      <c r="AA42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6" s="106"/>
      <c r="AC4266" s="51"/>
      <c r="AD4266" s="106" t="s">
        <v>15</v>
      </c>
      <c r="AE4266" s="38" t="s">
        <v>398</v>
      </c>
    </row>
    <row r="4267" spans="1:31" ht="18" customHeight="1" x14ac:dyDescent="0.25">
      <c r="A42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7" s="79">
        <v>4</v>
      </c>
      <c r="C4267" s="23">
        <v>44515</v>
      </c>
      <c r="D4267" s="67">
        <f>IF(COUNTIF($G$2:$G4267,$G4267)=1,1,0)</f>
        <v>0</v>
      </c>
      <c r="E4267" s="67" t="str">
        <f>IFERROR(VLOOKUP(База_КР_КК[[#This Row],[ИД штатной должности (S)]],'уровень защищенности'!$B$7:$F$1095,5,0),"не защищена")</f>
        <v>высокий</v>
      </c>
      <c r="F4267" s="68">
        <v>500505</v>
      </c>
      <c r="G4267" s="74" t="s">
        <v>3220</v>
      </c>
      <c r="H4267" s="181">
        <f>INDEX('Списки данных'!$D$2:$D$1048576,MATCH(База_КР_КК[[#This Row],[Структурное подразделение]],'Списки данных'!$C$2:$C$1048576,0))</f>
        <v>48</v>
      </c>
      <c r="I4267" s="80" t="s">
        <v>168</v>
      </c>
      <c r="J4267" s="80" t="s">
        <v>264</v>
      </c>
      <c r="K4267" s="80" t="s">
        <v>265</v>
      </c>
      <c r="L4267" s="82" t="s">
        <v>192</v>
      </c>
      <c r="M4267" s="68">
        <v>7</v>
      </c>
      <c r="N4267" s="181" t="str">
        <f t="shared" si="67"/>
        <v>да</v>
      </c>
      <c r="O4267" s="23">
        <v>45028</v>
      </c>
      <c r="P4267" s="23">
        <v>45047</v>
      </c>
      <c r="Q4267" s="106" t="s">
        <v>66</v>
      </c>
      <c r="R4267" s="37">
        <v>1035</v>
      </c>
      <c r="S4267" s="37" t="s">
        <v>1444</v>
      </c>
      <c r="T4267" s="37">
        <v>2098</v>
      </c>
      <c r="U4267" s="37" t="s">
        <v>1833</v>
      </c>
      <c r="V4267" s="69" t="s">
        <v>16</v>
      </c>
      <c r="W4267" s="89" t="s">
        <v>168</v>
      </c>
      <c r="X4267" s="106" t="s">
        <v>296</v>
      </c>
      <c r="Y4267" s="107" t="s">
        <v>12</v>
      </c>
      <c r="Z4267" s="67">
        <f>IF(База_КР_КК[[#This Row],[Таб.номер резервиста]]="-","-",IF(OR(База_КР_КК[[#This Row],[Уровень КК]]=2,База_КР_КК[[#This Row],[Уровень КК]]=3),IF(COUNTIFS($U$2:$U4267,$U4267,$F$2:$F4267,$F4267)=1,1,0),IF(COUNTIFS($U$2:$U4267,$U4267,$L$2:$L4267,$L4267)=1,1,0)))</f>
        <v>0</v>
      </c>
      <c r="AA42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7" s="106"/>
      <c r="AC4267" s="51"/>
      <c r="AD4267" s="106" t="s">
        <v>15</v>
      </c>
      <c r="AE4267" s="38" t="s">
        <v>398</v>
      </c>
    </row>
    <row r="4268" spans="1:31" ht="18" customHeight="1" x14ac:dyDescent="0.25">
      <c r="A42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8" s="79">
        <v>4</v>
      </c>
      <c r="C4268" s="23">
        <v>44515</v>
      </c>
      <c r="D4268" s="67">
        <f>IF(COUNTIF($G$2:$G4268,$G4268)=1,1,0)</f>
        <v>0</v>
      </c>
      <c r="E4268" s="67" t="str">
        <f>IFERROR(VLOOKUP(База_КР_КК[[#This Row],[ИД штатной должности (S)]],'уровень защищенности'!$B$7:$F$1095,5,0),"не защищена")</f>
        <v>высокий</v>
      </c>
      <c r="F4268" s="68">
        <v>500505</v>
      </c>
      <c r="G4268" s="74" t="s">
        <v>3220</v>
      </c>
      <c r="H4268" s="181">
        <f>INDEX('Списки данных'!$D$2:$D$1048576,MATCH(База_КР_КК[[#This Row],[Структурное подразделение]],'Списки данных'!$C$2:$C$1048576,0))</f>
        <v>48</v>
      </c>
      <c r="I4268" s="80" t="s">
        <v>168</v>
      </c>
      <c r="J4268" s="80" t="s">
        <v>264</v>
      </c>
      <c r="K4268" s="80" t="s">
        <v>265</v>
      </c>
      <c r="L4268" s="82" t="s">
        <v>192</v>
      </c>
      <c r="M4268" s="68">
        <v>7</v>
      </c>
      <c r="N4268" s="181" t="str">
        <f t="shared" si="67"/>
        <v>да</v>
      </c>
      <c r="O4268" s="23">
        <v>45028</v>
      </c>
      <c r="P4268" s="23">
        <v>45047</v>
      </c>
      <c r="Q4268" s="106" t="s">
        <v>66</v>
      </c>
      <c r="R4268" s="37">
        <v>1035</v>
      </c>
      <c r="S4268" s="37" t="s">
        <v>1444</v>
      </c>
      <c r="T4268" s="37">
        <v>2099</v>
      </c>
      <c r="U4268" s="37" t="s">
        <v>2089</v>
      </c>
      <c r="V4268" s="89" t="s">
        <v>16</v>
      </c>
      <c r="W4268" s="89" t="s">
        <v>168</v>
      </c>
      <c r="X4268" s="106" t="s">
        <v>297</v>
      </c>
      <c r="Y4268" s="107" t="s">
        <v>12</v>
      </c>
      <c r="Z4268" s="67">
        <f>IF(База_КР_КК[[#This Row],[Таб.номер резервиста]]="-","-",IF(OR(База_КР_КК[[#This Row],[Уровень КК]]=2,База_КР_КК[[#This Row],[Уровень КК]]=3),IF(COUNTIFS($U$2:$U4268,$U4268,$F$2:$F4268,$F4268)=1,1,0),IF(COUNTIFS($U$2:$U4268,$U4268,$L$2:$L4268,$L4268)=1,1,0)))</f>
        <v>0</v>
      </c>
      <c r="AA42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8" s="106"/>
      <c r="AC4268" s="51"/>
      <c r="AD4268" s="106" t="s">
        <v>15</v>
      </c>
      <c r="AE4268" s="38" t="s">
        <v>398</v>
      </c>
    </row>
    <row r="4269" spans="1:31" ht="18" customHeight="1" x14ac:dyDescent="0.25">
      <c r="A42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69" s="79">
        <v>4</v>
      </c>
      <c r="C4269" s="23">
        <v>44515</v>
      </c>
      <c r="D4269" s="67">
        <f>IF(COUNTIF($G$2:$G4269,$G4269)=1,1,0)</f>
        <v>0</v>
      </c>
      <c r="E4269" s="67" t="str">
        <f>IFERROR(VLOOKUP(База_КР_КК[[#This Row],[ИД штатной должности (S)]],'уровень защищенности'!$B$7:$F$1095,5,0),"не защищена")</f>
        <v>высокий</v>
      </c>
      <c r="F4269" s="68">
        <v>500505</v>
      </c>
      <c r="G4269" s="74" t="s">
        <v>3220</v>
      </c>
      <c r="H4269" s="181">
        <f>INDEX('Списки данных'!$D$2:$D$1048576,MATCH(База_КР_КК[[#This Row],[Структурное подразделение]],'Списки данных'!$C$2:$C$1048576,0))</f>
        <v>48</v>
      </c>
      <c r="I4269" s="80" t="s">
        <v>168</v>
      </c>
      <c r="J4269" s="80" t="s">
        <v>264</v>
      </c>
      <c r="K4269" s="80" t="s">
        <v>265</v>
      </c>
      <c r="L4269" s="82" t="s">
        <v>192</v>
      </c>
      <c r="M4269" s="68">
        <v>7</v>
      </c>
      <c r="N4269" s="181" t="str">
        <f t="shared" si="67"/>
        <v>да</v>
      </c>
      <c r="O4269" s="23">
        <v>45028</v>
      </c>
      <c r="P4269" s="23">
        <v>45047</v>
      </c>
      <c r="Q4269" s="106" t="s">
        <v>66</v>
      </c>
      <c r="R4269" s="37">
        <v>1035</v>
      </c>
      <c r="S4269" s="37" t="s">
        <v>1444</v>
      </c>
      <c r="T4269" s="37">
        <v>2100</v>
      </c>
      <c r="U4269" s="37" t="s">
        <v>2121</v>
      </c>
      <c r="V4269" s="69" t="s">
        <v>272</v>
      </c>
      <c r="W4269" s="89" t="s">
        <v>168</v>
      </c>
      <c r="X4269" s="106" t="s">
        <v>296</v>
      </c>
      <c r="Y4269" s="107" t="s">
        <v>12</v>
      </c>
      <c r="Z4269" s="67">
        <f>IF(База_КР_КК[[#This Row],[Таб.номер резервиста]]="-","-",IF(OR(База_КР_КК[[#This Row],[Уровень КК]]=2,База_КР_КК[[#This Row],[Уровень КК]]=3),IF(COUNTIFS($U$2:$U4269,$U4269,$F$2:$F4269,$F4269)=1,1,0),IF(COUNTIFS($U$2:$U4269,$U4269,$L$2:$L4269,$L4269)=1,1,0)))</f>
        <v>0</v>
      </c>
      <c r="AA42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69" s="106"/>
      <c r="AC4269" s="51"/>
      <c r="AD4269" s="106" t="s">
        <v>15</v>
      </c>
      <c r="AE4269" s="38" t="s">
        <v>398</v>
      </c>
    </row>
    <row r="4270" spans="1:31" ht="18" customHeight="1" x14ac:dyDescent="0.25">
      <c r="A42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0" s="79">
        <v>4</v>
      </c>
      <c r="C4270" s="23">
        <v>44515</v>
      </c>
      <c r="D4270" s="67">
        <f>IF(COUNTIF($G$2:$G4270,$G4270)=1,1,0)</f>
        <v>0</v>
      </c>
      <c r="E4270" s="67" t="str">
        <f>IFERROR(VLOOKUP(База_КР_КК[[#This Row],[ИД штатной должности (S)]],'уровень защищенности'!$B$7:$F$1095,5,0),"не защищена")</f>
        <v>высокий</v>
      </c>
      <c r="F4270" s="68">
        <v>500505</v>
      </c>
      <c r="G4270" s="74" t="s">
        <v>3220</v>
      </c>
      <c r="H4270" s="181">
        <f>INDEX('Списки данных'!$D$2:$D$1048576,MATCH(База_КР_КК[[#This Row],[Структурное подразделение]],'Списки данных'!$C$2:$C$1048576,0))</f>
        <v>48</v>
      </c>
      <c r="I4270" s="80" t="s">
        <v>168</v>
      </c>
      <c r="J4270" s="80" t="s">
        <v>264</v>
      </c>
      <c r="K4270" s="80" t="s">
        <v>265</v>
      </c>
      <c r="L4270" s="82" t="s">
        <v>192</v>
      </c>
      <c r="M4270" s="68">
        <v>7</v>
      </c>
      <c r="N4270" s="181" t="str">
        <f t="shared" si="67"/>
        <v>да</v>
      </c>
      <c r="O4270" s="23">
        <v>45028</v>
      </c>
      <c r="P4270" s="23">
        <v>45047</v>
      </c>
      <c r="Q4270" s="106" t="s">
        <v>66</v>
      </c>
      <c r="R4270" s="37">
        <v>1035</v>
      </c>
      <c r="S4270" s="37" t="s">
        <v>1444</v>
      </c>
      <c r="T4270" s="37">
        <v>2101</v>
      </c>
      <c r="U4270" s="37" t="s">
        <v>1582</v>
      </c>
      <c r="V4270" s="69" t="s">
        <v>272</v>
      </c>
      <c r="W4270" s="89" t="s">
        <v>168</v>
      </c>
      <c r="X4270" s="106" t="s">
        <v>296</v>
      </c>
      <c r="Y4270" s="107" t="s">
        <v>12</v>
      </c>
      <c r="Z4270" s="67">
        <f>IF(База_КР_КК[[#This Row],[Таб.номер резервиста]]="-","-",IF(OR(База_КР_КК[[#This Row],[Уровень КК]]=2,База_КР_КК[[#This Row],[Уровень КК]]=3),IF(COUNTIFS($U$2:$U4270,$U4270,$F$2:$F4270,$F4270)=1,1,0),IF(COUNTIFS($U$2:$U4270,$U4270,$L$2:$L4270,$L4270)=1,1,0)))</f>
        <v>0</v>
      </c>
      <c r="AA42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0" s="106"/>
      <c r="AC4270" s="51"/>
      <c r="AD4270" s="106" t="s">
        <v>15</v>
      </c>
      <c r="AE4270" s="38" t="s">
        <v>398</v>
      </c>
    </row>
    <row r="4271" spans="1:31" ht="18" customHeight="1" x14ac:dyDescent="0.25">
      <c r="A42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1" s="79">
        <v>4</v>
      </c>
      <c r="C4271" s="23">
        <v>44515</v>
      </c>
      <c r="D4271" s="67">
        <f>IF(COUNTIF($G$2:$G4271,$G4271)=1,1,0)</f>
        <v>0</v>
      </c>
      <c r="E4271" s="67" t="str">
        <f>IFERROR(VLOOKUP(База_КР_КК[[#This Row],[ИД штатной должности (S)]],'уровень защищенности'!$B$7:$F$1095,5,0),"не защищена")</f>
        <v>высокий</v>
      </c>
      <c r="F4271" s="68">
        <v>500505</v>
      </c>
      <c r="G4271" s="74" t="s">
        <v>3220</v>
      </c>
      <c r="H4271" s="181">
        <f>INDEX('Списки данных'!$D$2:$D$1048576,MATCH(База_КР_КК[[#This Row],[Структурное подразделение]],'Списки данных'!$C$2:$C$1048576,0))</f>
        <v>48</v>
      </c>
      <c r="I4271" s="80" t="s">
        <v>168</v>
      </c>
      <c r="J4271" s="80" t="s">
        <v>264</v>
      </c>
      <c r="K4271" s="80" t="s">
        <v>265</v>
      </c>
      <c r="L4271" s="82" t="s">
        <v>192</v>
      </c>
      <c r="M4271" s="68">
        <v>7</v>
      </c>
      <c r="N4271" s="181" t="str">
        <f t="shared" si="67"/>
        <v>да</v>
      </c>
      <c r="O4271" s="23">
        <v>45028</v>
      </c>
      <c r="P4271" s="23">
        <v>45047</v>
      </c>
      <c r="Q4271" s="106" t="s">
        <v>66</v>
      </c>
      <c r="R4271" s="37">
        <v>1035</v>
      </c>
      <c r="S4271" s="37" t="s">
        <v>1444</v>
      </c>
      <c r="T4271" s="37">
        <v>1035</v>
      </c>
      <c r="U4271" s="37" t="s">
        <v>1444</v>
      </c>
      <c r="V4271" s="69" t="s">
        <v>192</v>
      </c>
      <c r="W4271" s="89" t="s">
        <v>168</v>
      </c>
      <c r="X4271" s="106" t="s">
        <v>297</v>
      </c>
      <c r="Y4271" s="107" t="s">
        <v>14</v>
      </c>
      <c r="Z4271" s="67">
        <f>IF(База_КР_КК[[#This Row],[Таб.номер резервиста]]="-","-",IF(OR(База_КР_КК[[#This Row],[Уровень КК]]=2,База_КР_КК[[#This Row],[Уровень КК]]=3),IF(COUNTIFS($U$2:$U4271,$U4271,$F$2:$F4271,$F4271)=1,1,0),IF(COUNTIFS($U$2:$U4271,$U4271,$L$2:$L4271,$L4271)=1,1,0)))</f>
        <v>0</v>
      </c>
      <c r="AA42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271" s="106" t="s">
        <v>24</v>
      </c>
      <c r="AC4271" s="51">
        <v>45047</v>
      </c>
      <c r="AD4271" s="106" t="s">
        <v>15</v>
      </c>
      <c r="AE4271" s="38" t="s">
        <v>398</v>
      </c>
    </row>
    <row r="4272" spans="1:31" ht="18" customHeight="1" x14ac:dyDescent="0.25">
      <c r="A42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2" s="79">
        <v>4</v>
      </c>
      <c r="C4272" s="23">
        <v>44515</v>
      </c>
      <c r="D4272" s="67">
        <f>IF(COUNTIF($G$2:$G4272,$G4272)=1,1,0)</f>
        <v>0</v>
      </c>
      <c r="E4272" s="67" t="str">
        <f>IFERROR(VLOOKUP(База_КР_КК[[#This Row],[ИД штатной должности (S)]],'уровень защищенности'!$B$7:$F$1095,5,0),"не защищена")</f>
        <v>высокий</v>
      </c>
      <c r="F4272" s="68">
        <v>500505</v>
      </c>
      <c r="G4272" s="74" t="s">
        <v>3220</v>
      </c>
      <c r="H4272" s="181">
        <f>INDEX('Списки данных'!$D$2:$D$1048576,MATCH(База_КР_КК[[#This Row],[Структурное подразделение]],'Списки данных'!$C$2:$C$1048576,0))</f>
        <v>48</v>
      </c>
      <c r="I4272" s="80" t="s">
        <v>168</v>
      </c>
      <c r="J4272" s="80" t="s">
        <v>264</v>
      </c>
      <c r="K4272" s="80" t="s">
        <v>265</v>
      </c>
      <c r="L4272" s="82" t="s">
        <v>192</v>
      </c>
      <c r="M4272" s="68">
        <v>7</v>
      </c>
      <c r="N4272" s="181" t="str">
        <f t="shared" si="67"/>
        <v>да</v>
      </c>
      <c r="O4272" s="23">
        <v>45028</v>
      </c>
      <c r="P4272" s="23">
        <v>45047</v>
      </c>
      <c r="Q4272" s="106" t="s">
        <v>66</v>
      </c>
      <c r="R4272" s="37">
        <v>1035</v>
      </c>
      <c r="S4272" s="37" t="s">
        <v>1444</v>
      </c>
      <c r="T4272" s="37">
        <v>2102</v>
      </c>
      <c r="U4272" s="37" t="s">
        <v>1457</v>
      </c>
      <c r="V4272" s="69" t="s">
        <v>272</v>
      </c>
      <c r="W4272" s="89" t="s">
        <v>168</v>
      </c>
      <c r="X4272" s="106" t="s">
        <v>296</v>
      </c>
      <c r="Y4272" s="107" t="s">
        <v>18</v>
      </c>
      <c r="Z4272" s="67">
        <f>IF(База_КР_КК[[#This Row],[Таб.номер резервиста]]="-","-",IF(OR(База_КР_КК[[#This Row],[Уровень КК]]=2,База_КР_КК[[#This Row],[Уровень КК]]=3),IF(COUNTIFS($U$2:$U4272,$U4272,$F$2:$F4272,$F4272)=1,1,0),IF(COUNTIFS($U$2:$U4272,$U4272,$L$2:$L4272,$L4272)=1,1,0)))</f>
        <v>0</v>
      </c>
      <c r="AA42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2" s="106" t="s">
        <v>19</v>
      </c>
      <c r="AC4272" s="51">
        <v>45091</v>
      </c>
      <c r="AD4272" s="106" t="s">
        <v>15</v>
      </c>
      <c r="AE4272" s="38" t="s">
        <v>398</v>
      </c>
    </row>
    <row r="4273" spans="1:31" ht="18" customHeight="1" x14ac:dyDescent="0.25">
      <c r="A42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3" s="79">
        <v>4</v>
      </c>
      <c r="C4273" s="23">
        <v>44515</v>
      </c>
      <c r="D4273" s="67">
        <f>IF(COUNTIF($G$2:$G4273,$G4273)=1,1,0)</f>
        <v>1</v>
      </c>
      <c r="E4273" s="67" t="str">
        <f>IFERROR(VLOOKUP(База_КР_КК[[#This Row],[ИД штатной должности (S)]],'уровень защищенности'!$B$7:$F$1095,5,0),"не защищена")</f>
        <v>высокий</v>
      </c>
      <c r="F4273" s="68">
        <v>500506</v>
      </c>
      <c r="G4273" s="74" t="s">
        <v>3221</v>
      </c>
      <c r="H4273" s="181">
        <f>INDEX('Списки данных'!$D$2:$D$1048576,MATCH(База_КР_КК[[#This Row],[Структурное подразделение]],'Списки данных'!$C$2:$C$1048576,0))</f>
        <v>48</v>
      </c>
      <c r="I4273" s="80" t="s">
        <v>168</v>
      </c>
      <c r="J4273" s="80" t="s">
        <v>264</v>
      </c>
      <c r="K4273" s="80" t="s">
        <v>265</v>
      </c>
      <c r="L4273" s="82" t="s">
        <v>192</v>
      </c>
      <c r="M4273" s="68">
        <v>7</v>
      </c>
      <c r="N4273" s="181" t="str">
        <f t="shared" si="67"/>
        <v>нет</v>
      </c>
      <c r="O4273" s="23"/>
      <c r="P4273" s="23"/>
      <c r="Q4273" s="106"/>
      <c r="R4273" s="37">
        <v>1036</v>
      </c>
      <c r="S4273" s="39" t="s">
        <v>1445</v>
      </c>
      <c r="T4273" s="37">
        <v>2097</v>
      </c>
      <c r="U4273" s="37" t="s">
        <v>2014</v>
      </c>
      <c r="V4273" s="69" t="s">
        <v>272</v>
      </c>
      <c r="W4273" s="89" t="s">
        <v>168</v>
      </c>
      <c r="X4273" s="106" t="s">
        <v>296</v>
      </c>
      <c r="Y4273" s="107" t="s">
        <v>12</v>
      </c>
      <c r="Z4273" s="67">
        <f>IF(База_КР_КК[[#This Row],[Таб.номер резервиста]]="-","-",IF(OR(База_КР_КК[[#This Row],[Уровень КК]]=2,База_КР_КК[[#This Row],[Уровень КК]]=3),IF(COUNTIFS($U$2:$U4273,$U4273,$F$2:$F4273,$F4273)=1,1,0),IF(COUNTIFS($U$2:$U4273,$U4273,$L$2:$L4273,$L4273)=1,1,0)))</f>
        <v>0</v>
      </c>
      <c r="AA42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3" s="106"/>
      <c r="AC4273" s="51"/>
      <c r="AD4273" s="106" t="s">
        <v>15</v>
      </c>
      <c r="AE4273" s="38" t="s">
        <v>398</v>
      </c>
    </row>
    <row r="4274" spans="1:31" ht="18" customHeight="1" x14ac:dyDescent="0.25">
      <c r="A42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4" s="79">
        <v>4</v>
      </c>
      <c r="C4274" s="23">
        <v>44515</v>
      </c>
      <c r="D4274" s="67">
        <f>IF(COUNTIF($G$2:$G4274,$G4274)=1,1,0)</f>
        <v>0</v>
      </c>
      <c r="E4274" s="67" t="str">
        <f>IFERROR(VLOOKUP(База_КР_КК[[#This Row],[ИД штатной должности (S)]],'уровень защищенности'!$B$7:$F$1095,5,0),"не защищена")</f>
        <v>высокий</v>
      </c>
      <c r="F4274" s="68">
        <v>500506</v>
      </c>
      <c r="G4274" s="74" t="s">
        <v>3221</v>
      </c>
      <c r="H4274" s="181">
        <f>INDEX('Списки данных'!$D$2:$D$1048576,MATCH(База_КР_КК[[#This Row],[Структурное подразделение]],'Списки данных'!$C$2:$C$1048576,0))</f>
        <v>48</v>
      </c>
      <c r="I4274" s="80" t="s">
        <v>168</v>
      </c>
      <c r="J4274" s="80" t="s">
        <v>264</v>
      </c>
      <c r="K4274" s="80" t="s">
        <v>265</v>
      </c>
      <c r="L4274" s="82" t="s">
        <v>192</v>
      </c>
      <c r="M4274" s="68">
        <v>7</v>
      </c>
      <c r="N4274" s="181" t="str">
        <f t="shared" si="67"/>
        <v>нет</v>
      </c>
      <c r="O4274" s="23"/>
      <c r="P4274" s="23"/>
      <c r="Q4274" s="106"/>
      <c r="R4274" s="37">
        <v>1036</v>
      </c>
      <c r="S4274" s="39" t="s">
        <v>1445</v>
      </c>
      <c r="T4274" s="37">
        <v>2077</v>
      </c>
      <c r="U4274" s="37" t="s">
        <v>2133</v>
      </c>
      <c r="V4274" s="69" t="s">
        <v>16</v>
      </c>
      <c r="W4274" s="89" t="s">
        <v>168</v>
      </c>
      <c r="X4274" s="106" t="s">
        <v>297</v>
      </c>
      <c r="Y4274" s="107" t="s">
        <v>12</v>
      </c>
      <c r="Z4274" s="67">
        <f>IF(База_КР_КК[[#This Row],[Таб.номер резервиста]]="-","-",IF(OR(База_КР_КК[[#This Row],[Уровень КК]]=2,База_КР_КК[[#This Row],[Уровень КК]]=3),IF(COUNTIFS($U$2:$U4274,$U4274,$F$2:$F4274,$F4274)=1,1,0),IF(COUNTIFS($U$2:$U4274,$U4274,$L$2:$L4274,$L4274)=1,1,0)))</f>
        <v>0</v>
      </c>
      <c r="AA42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4" s="106"/>
      <c r="AC4274" s="51"/>
      <c r="AD4274" s="106" t="s">
        <v>15</v>
      </c>
      <c r="AE4274" s="38" t="s">
        <v>398</v>
      </c>
    </row>
    <row r="4275" spans="1:31" ht="18" customHeight="1" x14ac:dyDescent="0.25">
      <c r="A42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5" s="79">
        <v>4</v>
      </c>
      <c r="C4275" s="23">
        <v>44515</v>
      </c>
      <c r="D4275" s="67">
        <f>IF(COUNTIF($G$2:$G4275,$G4275)=1,1,0)</f>
        <v>0</v>
      </c>
      <c r="E4275" s="67" t="str">
        <f>IFERROR(VLOOKUP(База_КР_КК[[#This Row],[ИД штатной должности (S)]],'уровень защищенности'!$B$7:$F$1095,5,0),"не защищена")</f>
        <v>высокий</v>
      </c>
      <c r="F4275" s="68">
        <v>500506</v>
      </c>
      <c r="G4275" s="74" t="s">
        <v>3221</v>
      </c>
      <c r="H4275" s="181">
        <f>INDEX('Списки данных'!$D$2:$D$1048576,MATCH(База_КР_КК[[#This Row],[Структурное подразделение]],'Списки данных'!$C$2:$C$1048576,0))</f>
        <v>48</v>
      </c>
      <c r="I4275" s="80" t="s">
        <v>168</v>
      </c>
      <c r="J4275" s="80" t="s">
        <v>264</v>
      </c>
      <c r="K4275" s="80" t="s">
        <v>265</v>
      </c>
      <c r="L4275" s="82" t="s">
        <v>192</v>
      </c>
      <c r="M4275" s="68">
        <v>7</v>
      </c>
      <c r="N4275" s="181" t="str">
        <f t="shared" si="67"/>
        <v>нет</v>
      </c>
      <c r="O4275" s="23"/>
      <c r="P4275" s="23"/>
      <c r="Q4275" s="106"/>
      <c r="R4275" s="37">
        <v>1036</v>
      </c>
      <c r="S4275" s="39" t="s">
        <v>1445</v>
      </c>
      <c r="T4275" s="37">
        <v>2095</v>
      </c>
      <c r="U4275" s="37" t="s">
        <v>2136</v>
      </c>
      <c r="V4275" s="69" t="s">
        <v>16</v>
      </c>
      <c r="W4275" s="89" t="s">
        <v>168</v>
      </c>
      <c r="X4275" s="106" t="s">
        <v>295</v>
      </c>
      <c r="Y4275" s="107" t="s">
        <v>12</v>
      </c>
      <c r="Z4275" s="67">
        <f>IF(База_КР_КК[[#This Row],[Таб.номер резервиста]]="-","-",IF(OR(База_КР_КК[[#This Row],[Уровень КК]]=2,База_КР_КК[[#This Row],[Уровень КК]]=3),IF(COUNTIFS($U$2:$U4275,$U4275,$F$2:$F4275,$F4275)=1,1,0),IF(COUNTIFS($U$2:$U4275,$U4275,$L$2:$L4275,$L4275)=1,1,0)))</f>
        <v>0</v>
      </c>
      <c r="AA42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5" s="106"/>
      <c r="AC4275" s="51"/>
      <c r="AD4275" s="106" t="s">
        <v>15</v>
      </c>
      <c r="AE4275" s="38" t="s">
        <v>398</v>
      </c>
    </row>
    <row r="4276" spans="1:31" ht="18" customHeight="1" x14ac:dyDescent="0.25">
      <c r="A42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6" s="79">
        <v>4</v>
      </c>
      <c r="C4276" s="23">
        <v>44515</v>
      </c>
      <c r="D4276" s="67">
        <f>IF(COUNTIF($G$2:$G4276,$G4276)=1,1,0)</f>
        <v>0</v>
      </c>
      <c r="E4276" s="67" t="str">
        <f>IFERROR(VLOOKUP(База_КР_КК[[#This Row],[ИД штатной должности (S)]],'уровень защищенности'!$B$7:$F$1095,5,0),"не защищена")</f>
        <v>высокий</v>
      </c>
      <c r="F4276" s="68">
        <v>500506</v>
      </c>
      <c r="G4276" s="74" t="s">
        <v>3221</v>
      </c>
      <c r="H4276" s="181">
        <f>INDEX('Списки данных'!$D$2:$D$1048576,MATCH(База_КР_КК[[#This Row],[Структурное подразделение]],'Списки данных'!$C$2:$C$1048576,0))</f>
        <v>48</v>
      </c>
      <c r="I4276" s="80" t="s">
        <v>168</v>
      </c>
      <c r="J4276" s="80" t="s">
        <v>264</v>
      </c>
      <c r="K4276" s="80" t="s">
        <v>265</v>
      </c>
      <c r="L4276" s="82" t="s">
        <v>192</v>
      </c>
      <c r="M4276" s="68">
        <v>7</v>
      </c>
      <c r="N4276" s="181" t="str">
        <f t="shared" si="67"/>
        <v>нет</v>
      </c>
      <c r="O4276" s="23"/>
      <c r="P4276" s="23"/>
      <c r="Q4276" s="106"/>
      <c r="R4276" s="37">
        <v>1036</v>
      </c>
      <c r="S4276" s="39" t="s">
        <v>1445</v>
      </c>
      <c r="T4276" s="37">
        <v>2098</v>
      </c>
      <c r="U4276" s="37" t="s">
        <v>1833</v>
      </c>
      <c r="V4276" s="69" t="s">
        <v>16</v>
      </c>
      <c r="W4276" s="89" t="s">
        <v>168</v>
      </c>
      <c r="X4276" s="106" t="s">
        <v>296</v>
      </c>
      <c r="Y4276" s="107" t="s">
        <v>12</v>
      </c>
      <c r="Z4276" s="67">
        <f>IF(База_КР_КК[[#This Row],[Таб.номер резервиста]]="-","-",IF(OR(База_КР_КК[[#This Row],[Уровень КК]]=2,База_КР_КК[[#This Row],[Уровень КК]]=3),IF(COUNTIFS($U$2:$U4276,$U4276,$F$2:$F4276,$F4276)=1,1,0),IF(COUNTIFS($U$2:$U4276,$U4276,$L$2:$L4276,$L4276)=1,1,0)))</f>
        <v>0</v>
      </c>
      <c r="AA42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6" s="106"/>
      <c r="AC4276" s="51"/>
      <c r="AD4276" s="106" t="s">
        <v>15</v>
      </c>
      <c r="AE4276" s="38" t="s">
        <v>398</v>
      </c>
    </row>
    <row r="4277" spans="1:31" ht="18" customHeight="1" x14ac:dyDescent="0.25">
      <c r="A42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7" s="79">
        <v>4</v>
      </c>
      <c r="C4277" s="23">
        <v>44515</v>
      </c>
      <c r="D4277" s="67">
        <f>IF(COUNTIF($G$2:$G4277,$G4277)=1,1,0)</f>
        <v>0</v>
      </c>
      <c r="E4277" s="67" t="str">
        <f>IFERROR(VLOOKUP(База_КР_КК[[#This Row],[ИД штатной должности (S)]],'уровень защищенности'!$B$7:$F$1095,5,0),"не защищена")</f>
        <v>высокий</v>
      </c>
      <c r="F4277" s="68">
        <v>500506</v>
      </c>
      <c r="G4277" s="74" t="s">
        <v>3221</v>
      </c>
      <c r="H4277" s="181">
        <f>INDEX('Списки данных'!$D$2:$D$1048576,MATCH(База_КР_КК[[#This Row],[Структурное подразделение]],'Списки данных'!$C$2:$C$1048576,0))</f>
        <v>48</v>
      </c>
      <c r="I4277" s="80" t="s">
        <v>168</v>
      </c>
      <c r="J4277" s="80" t="s">
        <v>264</v>
      </c>
      <c r="K4277" s="80" t="s">
        <v>265</v>
      </c>
      <c r="L4277" s="82" t="s">
        <v>192</v>
      </c>
      <c r="M4277" s="68">
        <v>7</v>
      </c>
      <c r="N4277" s="181" t="str">
        <f t="shared" si="67"/>
        <v>нет</v>
      </c>
      <c r="O4277" s="23"/>
      <c r="P4277" s="23"/>
      <c r="Q4277" s="106"/>
      <c r="R4277" s="37">
        <v>1036</v>
      </c>
      <c r="S4277" s="39" t="s">
        <v>1445</v>
      </c>
      <c r="T4277" s="37">
        <v>2099</v>
      </c>
      <c r="U4277" s="37" t="s">
        <v>2089</v>
      </c>
      <c r="V4277" s="89" t="s">
        <v>16</v>
      </c>
      <c r="W4277" s="89" t="s">
        <v>168</v>
      </c>
      <c r="X4277" s="106" t="s">
        <v>297</v>
      </c>
      <c r="Y4277" s="107" t="s">
        <v>12</v>
      </c>
      <c r="Z4277" s="67">
        <f>IF(База_КР_КК[[#This Row],[Таб.номер резервиста]]="-","-",IF(OR(База_КР_КК[[#This Row],[Уровень КК]]=2,База_КР_КК[[#This Row],[Уровень КК]]=3),IF(COUNTIFS($U$2:$U4277,$U4277,$F$2:$F4277,$F4277)=1,1,0),IF(COUNTIFS($U$2:$U4277,$U4277,$L$2:$L4277,$L4277)=1,1,0)))</f>
        <v>0</v>
      </c>
      <c r="AA42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7" s="106"/>
      <c r="AC4277" s="51"/>
      <c r="AD4277" s="106" t="s">
        <v>15</v>
      </c>
      <c r="AE4277" s="38" t="s">
        <v>398</v>
      </c>
    </row>
    <row r="4278" spans="1:31" ht="18" customHeight="1" x14ac:dyDescent="0.25">
      <c r="A42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8" s="79">
        <v>4</v>
      </c>
      <c r="C4278" s="23">
        <v>44515</v>
      </c>
      <c r="D4278" s="67">
        <f>IF(COUNTIF($G$2:$G4278,$G4278)=1,1,0)</f>
        <v>0</v>
      </c>
      <c r="E4278" s="67" t="str">
        <f>IFERROR(VLOOKUP(База_КР_КК[[#This Row],[ИД штатной должности (S)]],'уровень защищенности'!$B$7:$F$1095,5,0),"не защищена")</f>
        <v>высокий</v>
      </c>
      <c r="F4278" s="68">
        <v>500506</v>
      </c>
      <c r="G4278" s="74" t="s">
        <v>3221</v>
      </c>
      <c r="H4278" s="181">
        <f>INDEX('Списки данных'!$D$2:$D$1048576,MATCH(База_КР_КК[[#This Row],[Структурное подразделение]],'Списки данных'!$C$2:$C$1048576,0))</f>
        <v>48</v>
      </c>
      <c r="I4278" s="80" t="s">
        <v>168</v>
      </c>
      <c r="J4278" s="80" t="s">
        <v>264</v>
      </c>
      <c r="K4278" s="80" t="s">
        <v>265</v>
      </c>
      <c r="L4278" s="82" t="s">
        <v>192</v>
      </c>
      <c r="M4278" s="68">
        <v>7</v>
      </c>
      <c r="N4278" s="181" t="str">
        <f t="shared" si="67"/>
        <v>нет</v>
      </c>
      <c r="O4278" s="23"/>
      <c r="P4278" s="23"/>
      <c r="Q4278" s="106"/>
      <c r="R4278" s="37">
        <v>1036</v>
      </c>
      <c r="S4278" s="39" t="s">
        <v>1445</v>
      </c>
      <c r="T4278" s="37">
        <v>2100</v>
      </c>
      <c r="U4278" s="37" t="s">
        <v>2121</v>
      </c>
      <c r="V4278" s="69" t="s">
        <v>272</v>
      </c>
      <c r="W4278" s="89" t="s">
        <v>168</v>
      </c>
      <c r="X4278" s="106" t="s">
        <v>296</v>
      </c>
      <c r="Y4278" s="107" t="s">
        <v>12</v>
      </c>
      <c r="Z4278" s="67">
        <f>IF(База_КР_КК[[#This Row],[Таб.номер резервиста]]="-","-",IF(OR(База_КР_КК[[#This Row],[Уровень КК]]=2,База_КР_КК[[#This Row],[Уровень КК]]=3),IF(COUNTIFS($U$2:$U4278,$U4278,$F$2:$F4278,$F4278)=1,1,0),IF(COUNTIFS($U$2:$U4278,$U4278,$L$2:$L4278,$L4278)=1,1,0)))</f>
        <v>0</v>
      </c>
      <c r="AA42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8" s="106"/>
      <c r="AC4278" s="51"/>
      <c r="AD4278" s="106" t="s">
        <v>15</v>
      </c>
      <c r="AE4278" s="38" t="s">
        <v>398</v>
      </c>
    </row>
    <row r="4279" spans="1:31" ht="18" customHeight="1" x14ac:dyDescent="0.25">
      <c r="A42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79" s="79">
        <v>4</v>
      </c>
      <c r="C4279" s="23">
        <v>44515</v>
      </c>
      <c r="D4279" s="67">
        <f>IF(COUNTIF($G$2:$G4279,$G4279)=1,1,0)</f>
        <v>0</v>
      </c>
      <c r="E4279" s="67" t="str">
        <f>IFERROR(VLOOKUP(База_КР_КК[[#This Row],[ИД штатной должности (S)]],'уровень защищенности'!$B$7:$F$1095,5,0),"не защищена")</f>
        <v>высокий</v>
      </c>
      <c r="F4279" s="68">
        <v>500506</v>
      </c>
      <c r="G4279" s="74" t="s">
        <v>3221</v>
      </c>
      <c r="H4279" s="181">
        <f>INDEX('Списки данных'!$D$2:$D$1048576,MATCH(База_КР_КК[[#This Row],[Структурное подразделение]],'Списки данных'!$C$2:$C$1048576,0))</f>
        <v>48</v>
      </c>
      <c r="I4279" s="80" t="s">
        <v>168</v>
      </c>
      <c r="J4279" s="80" t="s">
        <v>264</v>
      </c>
      <c r="K4279" s="80" t="s">
        <v>265</v>
      </c>
      <c r="L4279" s="82" t="s">
        <v>192</v>
      </c>
      <c r="M4279" s="68">
        <v>7</v>
      </c>
      <c r="N4279" s="181" t="str">
        <f t="shared" si="67"/>
        <v>нет</v>
      </c>
      <c r="O4279" s="23"/>
      <c r="P4279" s="23"/>
      <c r="Q4279" s="106"/>
      <c r="R4279" s="37">
        <v>1036</v>
      </c>
      <c r="S4279" s="39" t="s">
        <v>1445</v>
      </c>
      <c r="T4279" s="37">
        <v>2101</v>
      </c>
      <c r="U4279" s="37" t="s">
        <v>1582</v>
      </c>
      <c r="V4279" s="69" t="s">
        <v>272</v>
      </c>
      <c r="W4279" s="89" t="s">
        <v>168</v>
      </c>
      <c r="X4279" s="106" t="s">
        <v>296</v>
      </c>
      <c r="Y4279" s="107" t="s">
        <v>12</v>
      </c>
      <c r="Z4279" s="67">
        <f>IF(База_КР_КК[[#This Row],[Таб.номер резервиста]]="-","-",IF(OR(База_КР_КК[[#This Row],[Уровень КК]]=2,База_КР_КК[[#This Row],[Уровень КК]]=3),IF(COUNTIFS($U$2:$U4279,$U4279,$F$2:$F4279,$F4279)=1,1,0),IF(COUNTIFS($U$2:$U4279,$U4279,$L$2:$L4279,$L4279)=1,1,0)))</f>
        <v>0</v>
      </c>
      <c r="AA42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79" s="106"/>
      <c r="AC4279" s="51"/>
      <c r="AD4279" s="106" t="s">
        <v>15</v>
      </c>
      <c r="AE4279" s="38" t="s">
        <v>398</v>
      </c>
    </row>
    <row r="4280" spans="1:31" ht="18" customHeight="1" x14ac:dyDescent="0.25">
      <c r="A42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0" s="79">
        <v>4</v>
      </c>
      <c r="C4280" s="23">
        <v>44515</v>
      </c>
      <c r="D4280" s="67">
        <f>IF(COUNTIF($G$2:$G4280,$G4280)=1,1,0)</f>
        <v>0</v>
      </c>
      <c r="E4280" s="67" t="str">
        <f>IFERROR(VLOOKUP(База_КР_КК[[#This Row],[ИД штатной должности (S)]],'уровень защищенности'!$B$7:$F$1095,5,0),"не защищена")</f>
        <v>высокий</v>
      </c>
      <c r="F4280" s="68">
        <v>500506</v>
      </c>
      <c r="G4280" s="74" t="s">
        <v>3221</v>
      </c>
      <c r="H4280" s="181">
        <f>INDEX('Списки данных'!$D$2:$D$1048576,MATCH(База_КР_КК[[#This Row],[Структурное подразделение]],'Списки данных'!$C$2:$C$1048576,0))</f>
        <v>48</v>
      </c>
      <c r="I4280" s="80" t="s">
        <v>168</v>
      </c>
      <c r="J4280" s="80" t="s">
        <v>264</v>
      </c>
      <c r="K4280" s="80" t="s">
        <v>265</v>
      </c>
      <c r="L4280" s="82" t="s">
        <v>192</v>
      </c>
      <c r="M4280" s="68">
        <v>7</v>
      </c>
      <c r="N4280" s="181" t="str">
        <f t="shared" si="67"/>
        <v>нет</v>
      </c>
      <c r="O4280" s="23"/>
      <c r="P4280" s="23"/>
      <c r="Q4280" s="106"/>
      <c r="R4280" s="37">
        <v>1036</v>
      </c>
      <c r="S4280" s="39" t="s">
        <v>1445</v>
      </c>
      <c r="T4280" s="37">
        <v>1035</v>
      </c>
      <c r="U4280" s="37" t="s">
        <v>1444</v>
      </c>
      <c r="V4280" s="69" t="s">
        <v>192</v>
      </c>
      <c r="W4280" s="89" t="s">
        <v>168</v>
      </c>
      <c r="X4280" s="106" t="s">
        <v>297</v>
      </c>
      <c r="Y4280" s="107" t="s">
        <v>18</v>
      </c>
      <c r="Z4280" s="67">
        <f>IF(База_КР_КК[[#This Row],[Таб.номер резервиста]]="-","-",IF(OR(База_КР_КК[[#This Row],[Уровень КК]]=2,База_КР_КК[[#This Row],[Уровень КК]]=3),IF(COUNTIFS($U$2:$U4280,$U4280,$F$2:$F4280,$F4280)=1,1,0),IF(COUNTIFS($U$2:$U4280,$U4280,$L$2:$L4280,$L4280)=1,1,0)))</f>
        <v>0</v>
      </c>
      <c r="AA42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0" s="106" t="s">
        <v>37</v>
      </c>
      <c r="AC4280" s="51">
        <v>45047</v>
      </c>
      <c r="AD4280" s="106" t="s">
        <v>15</v>
      </c>
      <c r="AE4280" s="38" t="s">
        <v>398</v>
      </c>
    </row>
    <row r="4281" spans="1:31" ht="18" customHeight="1" x14ac:dyDescent="0.25">
      <c r="A42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1" s="79">
        <v>4</v>
      </c>
      <c r="C4281" s="23">
        <v>44515</v>
      </c>
      <c r="D4281" s="67">
        <f>IF(COUNTIF($G$2:$G4281,$G4281)=1,1,0)</f>
        <v>0</v>
      </c>
      <c r="E4281" s="67" t="str">
        <f>IFERROR(VLOOKUP(База_КР_КК[[#This Row],[ИД штатной должности (S)]],'уровень защищенности'!$B$7:$F$1095,5,0),"не защищена")</f>
        <v>высокий</v>
      </c>
      <c r="F4281" s="68">
        <v>500506</v>
      </c>
      <c r="G4281" s="74" t="s">
        <v>3221</v>
      </c>
      <c r="H4281" s="181">
        <f>INDEX('Списки данных'!$D$2:$D$1048576,MATCH(База_КР_КК[[#This Row],[Структурное подразделение]],'Списки данных'!$C$2:$C$1048576,0))</f>
        <v>48</v>
      </c>
      <c r="I4281" s="80" t="s">
        <v>168</v>
      </c>
      <c r="J4281" s="80" t="s">
        <v>264</v>
      </c>
      <c r="K4281" s="80" t="s">
        <v>265</v>
      </c>
      <c r="L4281" s="82" t="s">
        <v>192</v>
      </c>
      <c r="M4281" s="68">
        <v>7</v>
      </c>
      <c r="N4281" s="181" t="str">
        <f t="shared" si="67"/>
        <v>нет</v>
      </c>
      <c r="O4281" s="23"/>
      <c r="P4281" s="23"/>
      <c r="Q4281" s="106"/>
      <c r="R4281" s="37">
        <v>1036</v>
      </c>
      <c r="S4281" s="39" t="s">
        <v>1445</v>
      </c>
      <c r="T4281" s="37">
        <v>2102</v>
      </c>
      <c r="U4281" s="37" t="s">
        <v>1457</v>
      </c>
      <c r="V4281" s="69" t="s">
        <v>272</v>
      </c>
      <c r="W4281" s="89" t="s">
        <v>168</v>
      </c>
      <c r="X4281" s="106" t="s">
        <v>296</v>
      </c>
      <c r="Y4281" s="107" t="s">
        <v>18</v>
      </c>
      <c r="Z4281" s="67">
        <f>IF(База_КР_КК[[#This Row],[Таб.номер резервиста]]="-","-",IF(OR(База_КР_КК[[#This Row],[Уровень КК]]=2,База_КР_КК[[#This Row],[Уровень КК]]=3),IF(COUNTIFS($U$2:$U4281,$U4281,$F$2:$F4281,$F4281)=1,1,0),IF(COUNTIFS($U$2:$U4281,$U4281,$L$2:$L4281,$L4281)=1,1,0)))</f>
        <v>0</v>
      </c>
      <c r="AA42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1" s="106" t="s">
        <v>19</v>
      </c>
      <c r="AC4281" s="51">
        <v>45091</v>
      </c>
      <c r="AD4281" s="106" t="s">
        <v>15</v>
      </c>
      <c r="AE4281" s="38" t="s">
        <v>398</v>
      </c>
    </row>
    <row r="4282" spans="1:31" ht="18" customHeight="1" x14ac:dyDescent="0.25">
      <c r="A42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2" s="79">
        <v>3</v>
      </c>
      <c r="C4282" s="23">
        <v>43455</v>
      </c>
      <c r="D4282" s="67">
        <f>IF(COUNTIF($G$2:$G4282,$G4282)=1,1,0)</f>
        <v>1</v>
      </c>
      <c r="E4282" s="67" t="str">
        <f>IFERROR(VLOOKUP(База_КР_КК[[#This Row],[ИД штатной должности (S)]],'уровень защищенности'!$B$7:$F$1095,5,0),"не защищена")</f>
        <v>высокий</v>
      </c>
      <c r="F4282" s="68">
        <v>500507</v>
      </c>
      <c r="G4282" s="74" t="s">
        <v>3222</v>
      </c>
      <c r="H4282" s="181">
        <f>INDEX('Списки данных'!$D$2:$D$1048576,MATCH(База_КР_КК[[#This Row],[Структурное подразделение]],'Списки данных'!$C$2:$C$1048576,0))</f>
        <v>48</v>
      </c>
      <c r="I4282" s="80" t="s">
        <v>168</v>
      </c>
      <c r="J4282" s="80" t="s">
        <v>264</v>
      </c>
      <c r="K4282" s="80" t="s">
        <v>21</v>
      </c>
      <c r="L4282" s="30" t="s">
        <v>186</v>
      </c>
      <c r="M4282" s="68">
        <v>5</v>
      </c>
      <c r="N4282" s="181" t="str">
        <f t="shared" si="67"/>
        <v>нет</v>
      </c>
      <c r="O4282" s="23"/>
      <c r="P4282" s="23"/>
      <c r="Q4282" s="106"/>
      <c r="R4282" s="37">
        <v>1037</v>
      </c>
      <c r="S4282" s="39" t="s">
        <v>1446</v>
      </c>
      <c r="T4282" s="37">
        <v>1039</v>
      </c>
      <c r="U4282" s="38" t="s">
        <v>1448</v>
      </c>
      <c r="V4282" s="69" t="s">
        <v>251</v>
      </c>
      <c r="W4282" s="89" t="s">
        <v>168</v>
      </c>
      <c r="X4282" s="106" t="s">
        <v>295</v>
      </c>
      <c r="Y4282" s="107" t="s">
        <v>12</v>
      </c>
      <c r="Z4282" s="67">
        <f>IF(База_КР_КК[[#This Row],[Таб.номер резервиста]]="-","-",IF(OR(База_КР_КК[[#This Row],[Уровень КК]]=2,База_КР_КК[[#This Row],[Уровень КК]]=3),IF(COUNTIFS($U$2:$U4282,$U4282,$F$2:$F4282,$F4282)=1,1,0),IF(COUNTIFS($U$2:$U4282,$U4282,$L$2:$L4282,$L4282)=1,1,0)))</f>
        <v>1</v>
      </c>
      <c r="AA42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2" s="106"/>
      <c r="AC4282" s="51"/>
      <c r="AD4282" s="106" t="s">
        <v>13</v>
      </c>
      <c r="AE4282" s="38" t="s">
        <v>389</v>
      </c>
    </row>
    <row r="4283" spans="1:31" ht="18" customHeight="1" x14ac:dyDescent="0.25">
      <c r="A42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3" s="79">
        <v>3</v>
      </c>
      <c r="C4283" s="23">
        <v>44005</v>
      </c>
      <c r="D4283" s="67">
        <f>IF(COUNTIF($G$2:$G4283,$G4283)=1,1,0)</f>
        <v>0</v>
      </c>
      <c r="E4283" s="67" t="str">
        <f>IFERROR(VLOOKUP(База_КР_КК[[#This Row],[ИД штатной должности (S)]],'уровень защищенности'!$B$7:$F$1095,5,0),"не защищена")</f>
        <v>высокий</v>
      </c>
      <c r="F4283" s="68">
        <v>500507</v>
      </c>
      <c r="G4283" s="74" t="s">
        <v>3222</v>
      </c>
      <c r="H4283" s="181">
        <f>INDEX('Списки данных'!$D$2:$D$1048576,MATCH(База_КР_КК[[#This Row],[Структурное подразделение]],'Списки данных'!$C$2:$C$1048576,0))</f>
        <v>48</v>
      </c>
      <c r="I4283" s="80" t="s">
        <v>168</v>
      </c>
      <c r="J4283" s="80" t="s">
        <v>264</v>
      </c>
      <c r="K4283" s="80" t="s">
        <v>21</v>
      </c>
      <c r="L4283" s="30" t="s">
        <v>186</v>
      </c>
      <c r="M4283" s="68">
        <v>5</v>
      </c>
      <c r="N4283" s="181" t="str">
        <f t="shared" si="67"/>
        <v>нет</v>
      </c>
      <c r="O4283" s="23"/>
      <c r="P4283" s="23"/>
      <c r="Q4283" s="106"/>
      <c r="R4283" s="37">
        <v>1037</v>
      </c>
      <c r="S4283" s="39" t="s">
        <v>1446</v>
      </c>
      <c r="T4283" s="37">
        <v>1038</v>
      </c>
      <c r="U4283" s="38" t="s">
        <v>1447</v>
      </c>
      <c r="V4283" s="89" t="s">
        <v>198</v>
      </c>
      <c r="W4283" s="89" t="s">
        <v>168</v>
      </c>
      <c r="X4283" s="106" t="s">
        <v>296</v>
      </c>
      <c r="Y4283" s="107" t="s">
        <v>12</v>
      </c>
      <c r="Z4283" s="67">
        <f>IF(База_КР_КК[[#This Row],[Таб.номер резервиста]]="-","-",IF(OR(База_КР_КК[[#This Row],[Уровень КК]]=2,База_КР_КК[[#This Row],[Уровень КК]]=3),IF(COUNTIFS($U$2:$U4283,$U4283,$F$2:$F4283,$F4283)=1,1,0),IF(COUNTIFS($U$2:$U4283,$U4283,$L$2:$L4283,$L4283)=1,1,0)))</f>
        <v>1</v>
      </c>
      <c r="AA42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3" s="106"/>
      <c r="AC4283" s="51"/>
      <c r="AD4283" s="106" t="s">
        <v>13</v>
      </c>
      <c r="AE4283" s="38" t="s">
        <v>389</v>
      </c>
    </row>
    <row r="4284" spans="1:31" ht="18" customHeight="1" x14ac:dyDescent="0.25">
      <c r="A42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4" s="79">
        <v>3</v>
      </c>
      <c r="C4284" s="23">
        <v>43455</v>
      </c>
      <c r="D4284" s="67">
        <f>IF(COUNTIF($G$2:$G4284,$G4284)=1,1,0)</f>
        <v>0</v>
      </c>
      <c r="E4284" s="67" t="str">
        <f>IFERROR(VLOOKUP(База_КР_КК[[#This Row],[ИД штатной должности (S)]],'уровень защищенности'!$B$7:$F$1095,5,0),"не защищена")</f>
        <v>высокий</v>
      </c>
      <c r="F4284" s="68">
        <v>500507</v>
      </c>
      <c r="G4284" s="74" t="s">
        <v>3222</v>
      </c>
      <c r="H4284" s="181">
        <f>INDEX('Списки данных'!$D$2:$D$1048576,MATCH(База_КР_КК[[#This Row],[Структурное подразделение]],'Списки данных'!$C$2:$C$1048576,0))</f>
        <v>48</v>
      </c>
      <c r="I4284" s="80" t="s">
        <v>168</v>
      </c>
      <c r="J4284" s="80" t="s">
        <v>264</v>
      </c>
      <c r="K4284" s="80" t="s">
        <v>21</v>
      </c>
      <c r="L4284" s="30" t="s">
        <v>186</v>
      </c>
      <c r="M4284" s="68">
        <v>5</v>
      </c>
      <c r="N4284" s="181" t="str">
        <f t="shared" si="67"/>
        <v>нет</v>
      </c>
      <c r="O4284" s="23"/>
      <c r="P4284" s="23"/>
      <c r="Q4284" s="106"/>
      <c r="R4284" s="37">
        <v>1037</v>
      </c>
      <c r="S4284" s="39" t="s">
        <v>1446</v>
      </c>
      <c r="T4284" s="37">
        <v>2104</v>
      </c>
      <c r="U4284" s="38" t="s">
        <v>1986</v>
      </c>
      <c r="V4284" s="69" t="s">
        <v>272</v>
      </c>
      <c r="W4284" s="89" t="s">
        <v>168</v>
      </c>
      <c r="X4284" s="106" t="s">
        <v>295</v>
      </c>
      <c r="Y4284" s="107" t="s">
        <v>18</v>
      </c>
      <c r="Z4284" s="67">
        <f>IF(База_КР_КК[[#This Row],[Таб.номер резервиста]]="-","-",IF(OR(База_КР_КК[[#This Row],[Уровень КК]]=2,База_КР_КК[[#This Row],[Уровень КК]]=3),IF(COUNTIFS($U$2:$U4284,$U4284,$F$2:$F4284,$F4284)=1,1,0),IF(COUNTIFS($U$2:$U4284,$U4284,$L$2:$L4284,$L4284)=1,1,0)))</f>
        <v>1</v>
      </c>
      <c r="AA42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4" s="106" t="s">
        <v>38</v>
      </c>
      <c r="AC4284" s="51">
        <v>44005</v>
      </c>
      <c r="AD4284" s="106" t="s">
        <v>31</v>
      </c>
      <c r="AE4284" s="38" t="s">
        <v>302</v>
      </c>
    </row>
    <row r="4285" spans="1:31" ht="18" customHeight="1" x14ac:dyDescent="0.25">
      <c r="A42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5" s="79">
        <v>4</v>
      </c>
      <c r="C4285" s="23">
        <v>44515</v>
      </c>
      <c r="D4285" s="67">
        <f>IF(COUNTIF($G$2:$G4285,$G4285)=1,1,0)</f>
        <v>1</v>
      </c>
      <c r="E4285" s="67" t="str">
        <f>IFERROR(VLOOKUP(База_КР_КК[[#This Row],[ИД штатной должности (S)]],'уровень защищенности'!$B$7:$F$1095,5,0),"не защищена")</f>
        <v>высокий</v>
      </c>
      <c r="F4285" s="68">
        <v>500508</v>
      </c>
      <c r="G4285" s="74" t="s">
        <v>3223</v>
      </c>
      <c r="H4285" s="181">
        <f>INDEX('Списки данных'!$D$2:$D$1048576,MATCH(База_КР_КК[[#This Row],[Структурное подразделение]],'Списки данных'!$C$2:$C$1048576,0))</f>
        <v>48</v>
      </c>
      <c r="I4285" s="80" t="s">
        <v>168</v>
      </c>
      <c r="J4285" s="80" t="s">
        <v>264</v>
      </c>
      <c r="K4285" s="80" t="s">
        <v>265</v>
      </c>
      <c r="L4285" s="30" t="s">
        <v>198</v>
      </c>
      <c r="M4285" s="68">
        <v>6</v>
      </c>
      <c r="N4285" s="181" t="str">
        <f t="shared" ref="N4285:N4348" si="68">IF(ISBLANK(O4285),"нет","да")</f>
        <v>нет</v>
      </c>
      <c r="O4285" s="23"/>
      <c r="P4285" s="23"/>
      <c r="Q4285" s="106"/>
      <c r="R4285" s="37">
        <v>1038</v>
      </c>
      <c r="S4285" s="39" t="s">
        <v>1447</v>
      </c>
      <c r="T4285" s="37">
        <v>2104</v>
      </c>
      <c r="U4285" s="37" t="s">
        <v>1986</v>
      </c>
      <c r="V4285" s="69" t="s">
        <v>272</v>
      </c>
      <c r="W4285" s="89" t="s">
        <v>168</v>
      </c>
      <c r="X4285" s="106" t="s">
        <v>295</v>
      </c>
      <c r="Y4285" s="107" t="s">
        <v>12</v>
      </c>
      <c r="Z4285" s="67">
        <f>IF(База_КР_КК[[#This Row],[Таб.номер резервиста]]="-","-",IF(OR(База_КР_КК[[#This Row],[Уровень КК]]=2,База_КР_КК[[#This Row],[Уровень КК]]=3),IF(COUNTIFS($U$2:$U4285,$U4285,$F$2:$F4285,$F4285)=1,1,0),IF(COUNTIFS($U$2:$U4285,$U4285,$L$2:$L4285,$L4285)=1,1,0)))</f>
        <v>1</v>
      </c>
      <c r="AA42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5" s="106"/>
      <c r="AC4285" s="51"/>
      <c r="AD4285" s="106" t="s">
        <v>15</v>
      </c>
      <c r="AE4285" s="38" t="s">
        <v>398</v>
      </c>
    </row>
    <row r="4286" spans="1:31" ht="18" customHeight="1" x14ac:dyDescent="0.25">
      <c r="A42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6" s="79">
        <v>4</v>
      </c>
      <c r="C4286" s="23">
        <v>44515</v>
      </c>
      <c r="D4286" s="67">
        <f>IF(COUNTIF($G$2:$G4286,$G4286)=1,1,0)</f>
        <v>0</v>
      </c>
      <c r="E4286" s="67" t="str">
        <f>IFERROR(VLOOKUP(База_КР_КК[[#This Row],[ИД штатной должности (S)]],'уровень защищенности'!$B$7:$F$1095,5,0),"не защищена")</f>
        <v>высокий</v>
      </c>
      <c r="F4286" s="68">
        <v>500508</v>
      </c>
      <c r="G4286" s="74" t="s">
        <v>3223</v>
      </c>
      <c r="H4286" s="181">
        <f>INDEX('Списки данных'!$D$2:$D$1048576,MATCH(База_КР_КК[[#This Row],[Структурное подразделение]],'Списки данных'!$C$2:$C$1048576,0))</f>
        <v>48</v>
      </c>
      <c r="I4286" s="80" t="s">
        <v>168</v>
      </c>
      <c r="J4286" s="80" t="s">
        <v>264</v>
      </c>
      <c r="K4286" s="80" t="s">
        <v>265</v>
      </c>
      <c r="L4286" s="30" t="s">
        <v>198</v>
      </c>
      <c r="M4286" s="68">
        <v>6</v>
      </c>
      <c r="N4286" s="181" t="str">
        <f t="shared" si="68"/>
        <v>нет</v>
      </c>
      <c r="O4286" s="23"/>
      <c r="P4286" s="23"/>
      <c r="Q4286" s="106"/>
      <c r="R4286" s="37">
        <v>1038</v>
      </c>
      <c r="S4286" s="39" t="s">
        <v>1447</v>
      </c>
      <c r="T4286" s="37">
        <v>1039</v>
      </c>
      <c r="U4286" s="37" t="s">
        <v>1448</v>
      </c>
      <c r="V4286" s="69" t="s">
        <v>251</v>
      </c>
      <c r="W4286" s="89" t="s">
        <v>168</v>
      </c>
      <c r="X4286" s="106" t="s">
        <v>295</v>
      </c>
      <c r="Y4286" s="107" t="s">
        <v>12</v>
      </c>
      <c r="Z4286" s="67">
        <f>IF(База_КР_КК[[#This Row],[Таб.номер резервиста]]="-","-",IF(OR(База_КР_КК[[#This Row],[Уровень КК]]=2,База_КР_КК[[#This Row],[Уровень КК]]=3),IF(COUNTIFS($U$2:$U4286,$U4286,$F$2:$F4286,$F4286)=1,1,0),IF(COUNTIFS($U$2:$U4286,$U4286,$L$2:$L4286,$L4286)=1,1,0)))</f>
        <v>1</v>
      </c>
      <c r="AA42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6" s="106"/>
      <c r="AC4286" s="51"/>
      <c r="AD4286" s="106" t="s">
        <v>13</v>
      </c>
      <c r="AE4286" s="38" t="s">
        <v>389</v>
      </c>
    </row>
    <row r="4287" spans="1:31" ht="18" customHeight="1" x14ac:dyDescent="0.25">
      <c r="A42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7" s="79">
        <v>4</v>
      </c>
      <c r="C4287" s="23">
        <v>44515</v>
      </c>
      <c r="D4287" s="67">
        <f>IF(COUNTIF($G$2:$G4287,$G4287)=1,1,0)</f>
        <v>1</v>
      </c>
      <c r="E4287" s="67" t="str">
        <f>IFERROR(VLOOKUP(База_КР_КК[[#This Row],[ИД штатной должности (S)]],'уровень защищенности'!$B$7:$F$1095,5,0),"не защищена")</f>
        <v>низкий</v>
      </c>
      <c r="F4287" s="68">
        <v>500509</v>
      </c>
      <c r="G4287" s="74" t="s">
        <v>3224</v>
      </c>
      <c r="H4287" s="181">
        <f>INDEX('Списки данных'!$D$2:$D$1048576,MATCH(База_КР_КК[[#This Row],[Структурное подразделение]],'Списки данных'!$C$2:$C$1048576,0))</f>
        <v>48</v>
      </c>
      <c r="I4287" s="80" t="s">
        <v>168</v>
      </c>
      <c r="J4287" s="80" t="s">
        <v>264</v>
      </c>
      <c r="K4287" s="80" t="s">
        <v>265</v>
      </c>
      <c r="L4287" s="30" t="s">
        <v>251</v>
      </c>
      <c r="M4287" s="68">
        <v>6</v>
      </c>
      <c r="N4287" s="181" t="str">
        <f t="shared" si="68"/>
        <v>нет</v>
      </c>
      <c r="O4287" s="23"/>
      <c r="P4287" s="23"/>
      <c r="Q4287" s="106"/>
      <c r="R4287" s="37">
        <v>1039</v>
      </c>
      <c r="S4287" s="39" t="s">
        <v>1448</v>
      </c>
      <c r="T4287" s="37">
        <v>2105</v>
      </c>
      <c r="U4287" s="37" t="s">
        <v>2089</v>
      </c>
      <c r="V4287" s="69" t="s">
        <v>272</v>
      </c>
      <c r="W4287" s="89" t="s">
        <v>168</v>
      </c>
      <c r="X4287" s="106" t="s">
        <v>296</v>
      </c>
      <c r="Y4287" s="107" t="s">
        <v>12</v>
      </c>
      <c r="Z4287" s="67">
        <f>IF(База_КР_КК[[#This Row],[Таб.номер резервиста]]="-","-",IF(OR(База_КР_КК[[#This Row],[Уровень КК]]=2,База_КР_КК[[#This Row],[Уровень КК]]=3),IF(COUNTIFS($U$2:$U4287,$U4287,$F$2:$F4287,$F4287)=1,1,0),IF(COUNTIFS($U$2:$U4287,$U4287,$L$2:$L4287,$L4287)=1,1,0)))</f>
        <v>0</v>
      </c>
      <c r="AA42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7" s="106"/>
      <c r="AC4287" s="51"/>
      <c r="AD4287" s="106" t="s">
        <v>15</v>
      </c>
      <c r="AE4287" s="38" t="s">
        <v>398</v>
      </c>
    </row>
    <row r="4288" spans="1:31" ht="18" customHeight="1" x14ac:dyDescent="0.25">
      <c r="A42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8" s="79">
        <v>4</v>
      </c>
      <c r="C4288" s="23">
        <v>44895</v>
      </c>
      <c r="D4288" s="67">
        <f>IF(COUNTIF($G$2:$G4288,$G4288)=1,1,0)</f>
        <v>0</v>
      </c>
      <c r="E4288" s="67" t="str">
        <f>IFERROR(VLOOKUP(База_КР_КК[[#This Row],[ИД штатной должности (S)]],'уровень защищенности'!$B$7:$F$1095,5,0),"не защищена")</f>
        <v>низкий</v>
      </c>
      <c r="F4288" s="68">
        <v>500509</v>
      </c>
      <c r="G4288" s="74" t="s">
        <v>3224</v>
      </c>
      <c r="H4288" s="181">
        <f>INDEX('Списки данных'!$D$2:$D$1048576,MATCH(База_КР_КК[[#This Row],[Структурное подразделение]],'Списки данных'!$C$2:$C$1048576,0))</f>
        <v>48</v>
      </c>
      <c r="I4288" s="80" t="s">
        <v>168</v>
      </c>
      <c r="J4288" s="80" t="s">
        <v>264</v>
      </c>
      <c r="K4288" s="80" t="s">
        <v>265</v>
      </c>
      <c r="L4288" s="30" t="s">
        <v>251</v>
      </c>
      <c r="M4288" s="68">
        <v>6</v>
      </c>
      <c r="N4288" s="181" t="str">
        <f t="shared" si="68"/>
        <v>нет</v>
      </c>
      <c r="O4288" s="23"/>
      <c r="P4288" s="23"/>
      <c r="Q4288" s="106"/>
      <c r="R4288" s="37">
        <v>1039</v>
      </c>
      <c r="S4288" s="39" t="s">
        <v>1448</v>
      </c>
      <c r="T4288" s="37">
        <v>2106</v>
      </c>
      <c r="U4288" s="38" t="s">
        <v>1582</v>
      </c>
      <c r="V4288" s="93" t="s">
        <v>272</v>
      </c>
      <c r="W4288" s="89" t="s">
        <v>168</v>
      </c>
      <c r="X4288" s="106" t="s">
        <v>296</v>
      </c>
      <c r="Y4288" s="107" t="s">
        <v>12</v>
      </c>
      <c r="Z4288" s="67">
        <f>IF(База_КР_КК[[#This Row],[Таб.номер резервиста]]="-","-",IF(OR(База_КР_КК[[#This Row],[Уровень КК]]=2,База_КР_КК[[#This Row],[Уровень КК]]=3),IF(COUNTIFS($U$2:$U4288,$U4288,$F$2:$F4288,$F4288)=1,1,0),IF(COUNTIFS($U$2:$U4288,$U4288,$L$2:$L4288,$L4288)=1,1,0)))</f>
        <v>1</v>
      </c>
      <c r="AA42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8" s="106"/>
      <c r="AC4288" s="51"/>
      <c r="AD4288" s="106" t="s">
        <v>15</v>
      </c>
      <c r="AE4288" s="38" t="s">
        <v>397</v>
      </c>
    </row>
    <row r="4289" spans="1:31" ht="18" customHeight="1" x14ac:dyDescent="0.25">
      <c r="A42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89" s="79">
        <v>3</v>
      </c>
      <c r="C4289" s="23">
        <v>43455</v>
      </c>
      <c r="D4289" s="67">
        <f>IF(COUNTIF($G$2:$G4289,$G4289)=1,1,0)</f>
        <v>1</v>
      </c>
      <c r="E4289" s="67" t="str">
        <f>IFERROR(VLOOKUP(База_КР_КК[[#This Row],[ИД штатной должности (S)]],'уровень защищенности'!$B$7:$F$1095,5,0),"не защищена")</f>
        <v>высокий</v>
      </c>
      <c r="F4289" s="68">
        <v>500510</v>
      </c>
      <c r="G4289" s="74" t="s">
        <v>3225</v>
      </c>
      <c r="H4289" s="181">
        <f>INDEX('Списки данных'!$D$2:$D$1048576,MATCH(База_КР_КК[[#This Row],[Структурное подразделение]],'Списки данных'!$C$2:$C$1048576,0))</f>
        <v>48</v>
      </c>
      <c r="I4289" s="80" t="s">
        <v>168</v>
      </c>
      <c r="J4289" s="80" t="s">
        <v>264</v>
      </c>
      <c r="K4289" s="80" t="s">
        <v>21</v>
      </c>
      <c r="L4289" s="30" t="s">
        <v>186</v>
      </c>
      <c r="M4289" s="68">
        <v>5</v>
      </c>
      <c r="N4289" s="181" t="str">
        <f t="shared" si="68"/>
        <v>нет</v>
      </c>
      <c r="O4289" s="23"/>
      <c r="P4289" s="23"/>
      <c r="Q4289" s="106"/>
      <c r="R4289" s="37">
        <v>1040</v>
      </c>
      <c r="S4289" s="39" t="s">
        <v>1449</v>
      </c>
      <c r="T4289" s="37">
        <v>2107</v>
      </c>
      <c r="U4289" s="38" t="s">
        <v>2115</v>
      </c>
      <c r="V4289" s="69" t="s">
        <v>16</v>
      </c>
      <c r="W4289" s="89" t="s">
        <v>168</v>
      </c>
      <c r="X4289" s="106" t="s">
        <v>296</v>
      </c>
      <c r="Y4289" s="107" t="s">
        <v>12</v>
      </c>
      <c r="Z4289" s="67">
        <f>IF(База_КР_КК[[#This Row],[Таб.номер резервиста]]="-","-",IF(OR(База_КР_КК[[#This Row],[Уровень КК]]=2,База_КР_КК[[#This Row],[Уровень КК]]=3),IF(COUNTIFS($U$2:$U4289,$U4289,$F$2:$F4289,$F4289)=1,1,0),IF(COUNTIFS($U$2:$U4289,$U4289,$L$2:$L4289,$L4289)=1,1,0)))</f>
        <v>1</v>
      </c>
      <c r="AA42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89" s="106"/>
      <c r="AC4289" s="51"/>
      <c r="AD4289" s="106" t="s">
        <v>22</v>
      </c>
      <c r="AE4289" s="38" t="s">
        <v>389</v>
      </c>
    </row>
    <row r="4290" spans="1:31" ht="18" customHeight="1" x14ac:dyDescent="0.25">
      <c r="A42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0" s="79">
        <v>3</v>
      </c>
      <c r="C4290" s="23">
        <v>43455</v>
      </c>
      <c r="D4290" s="67">
        <f>IF(COUNTIF($G$2:$G4290,$G4290)=1,1,0)</f>
        <v>0</v>
      </c>
      <c r="E4290" s="67" t="str">
        <f>IFERROR(VLOOKUP(База_КР_КК[[#This Row],[ИД штатной должности (S)]],'уровень защищенности'!$B$7:$F$1095,5,0),"не защищена")</f>
        <v>высокий</v>
      </c>
      <c r="F4290" s="68">
        <v>500510</v>
      </c>
      <c r="G4290" s="74" t="s">
        <v>3225</v>
      </c>
      <c r="H4290" s="181">
        <f>INDEX('Списки данных'!$D$2:$D$1048576,MATCH(База_КР_КК[[#This Row],[Структурное подразделение]],'Списки данных'!$C$2:$C$1048576,0))</f>
        <v>48</v>
      </c>
      <c r="I4290" s="80" t="s">
        <v>168</v>
      </c>
      <c r="J4290" s="80" t="s">
        <v>264</v>
      </c>
      <c r="K4290" s="80" t="s">
        <v>21</v>
      </c>
      <c r="L4290" s="30" t="s">
        <v>186</v>
      </c>
      <c r="M4290" s="68">
        <v>5</v>
      </c>
      <c r="N4290" s="181" t="str">
        <f t="shared" si="68"/>
        <v>нет</v>
      </c>
      <c r="O4290" s="23"/>
      <c r="P4290" s="23"/>
      <c r="Q4290" s="106"/>
      <c r="R4290" s="37">
        <v>1040</v>
      </c>
      <c r="S4290" s="39" t="s">
        <v>1449</v>
      </c>
      <c r="T4290" s="37">
        <v>1041</v>
      </c>
      <c r="U4290" s="38" t="s">
        <v>1450</v>
      </c>
      <c r="V4290" s="88" t="s">
        <v>198</v>
      </c>
      <c r="W4290" s="89" t="s">
        <v>168</v>
      </c>
      <c r="X4290" s="106" t="s">
        <v>295</v>
      </c>
      <c r="Y4290" s="107" t="s">
        <v>12</v>
      </c>
      <c r="Z4290" s="67">
        <f>IF(База_КР_КК[[#This Row],[Таб.номер резервиста]]="-","-",IF(OR(База_КР_КК[[#This Row],[Уровень КК]]=2,База_КР_КК[[#This Row],[Уровень КК]]=3),IF(COUNTIFS($U$2:$U4290,$U4290,$F$2:$F4290,$F4290)=1,1,0),IF(COUNTIFS($U$2:$U4290,$U4290,$L$2:$L4290,$L4290)=1,1,0)))</f>
        <v>1</v>
      </c>
      <c r="AA42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0" s="106"/>
      <c r="AC4290" s="51"/>
      <c r="AD4290" s="106" t="s">
        <v>13</v>
      </c>
      <c r="AE4290" s="38" t="s">
        <v>389</v>
      </c>
    </row>
    <row r="4291" spans="1:31" ht="18" customHeight="1" x14ac:dyDescent="0.25">
      <c r="A42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1" s="79">
        <v>4</v>
      </c>
      <c r="C4291" s="23">
        <v>44515</v>
      </c>
      <c r="D4291" s="67">
        <f>IF(COUNTIF($G$2:$G4291,$G4291)=1,1,0)</f>
        <v>1</v>
      </c>
      <c r="E4291" s="67" t="str">
        <f>IFERROR(VLOOKUP(База_КР_КК[[#This Row],[ИД штатной должности (S)]],'уровень защищенности'!$B$7:$F$1095,5,0),"не защищена")</f>
        <v>низкий</v>
      </c>
      <c r="F4291" s="68">
        <v>500511</v>
      </c>
      <c r="G4291" s="74" t="s">
        <v>3226</v>
      </c>
      <c r="H4291" s="181">
        <f>INDEX('Списки данных'!$D$2:$D$1048576,MATCH(База_КР_КК[[#This Row],[Структурное подразделение]],'Списки данных'!$C$2:$C$1048576,0))</f>
        <v>48</v>
      </c>
      <c r="I4291" s="80" t="s">
        <v>168</v>
      </c>
      <c r="J4291" s="80" t="s">
        <v>264</v>
      </c>
      <c r="K4291" s="80" t="s">
        <v>265</v>
      </c>
      <c r="L4291" s="30" t="s">
        <v>198</v>
      </c>
      <c r="M4291" s="68">
        <v>6</v>
      </c>
      <c r="N4291" s="181" t="str">
        <f t="shared" si="68"/>
        <v>нет</v>
      </c>
      <c r="O4291" s="23"/>
      <c r="P4291" s="23"/>
      <c r="Q4291" s="106"/>
      <c r="R4291" s="37">
        <v>1041</v>
      </c>
      <c r="S4291" s="39" t="s">
        <v>1450</v>
      </c>
      <c r="T4291" s="37">
        <v>2107</v>
      </c>
      <c r="U4291" s="37" t="s">
        <v>2115</v>
      </c>
      <c r="V4291" s="69" t="s">
        <v>16</v>
      </c>
      <c r="W4291" s="89" t="s">
        <v>168</v>
      </c>
      <c r="X4291" s="106" t="s">
        <v>296</v>
      </c>
      <c r="Y4291" s="107" t="s">
        <v>12</v>
      </c>
      <c r="Z4291" s="67">
        <f>IF(База_КР_КК[[#This Row],[Таб.номер резервиста]]="-","-",IF(OR(База_КР_КК[[#This Row],[Уровень КК]]=2,База_КР_КК[[#This Row],[Уровень КК]]=3),IF(COUNTIFS($U$2:$U4291,$U4291,$F$2:$F4291,$F4291)=1,1,0),IF(COUNTIFS($U$2:$U4291,$U4291,$L$2:$L4291,$L4291)=1,1,0)))</f>
        <v>1</v>
      </c>
      <c r="AA42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1" s="106"/>
      <c r="AC4291" s="51"/>
      <c r="AD4291" s="106" t="s">
        <v>15</v>
      </c>
      <c r="AE4291" s="38" t="s">
        <v>398</v>
      </c>
    </row>
    <row r="4292" spans="1:31" ht="18" customHeight="1" x14ac:dyDescent="0.25">
      <c r="A42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2" s="79">
        <v>4</v>
      </c>
      <c r="C4292" s="23">
        <v>44515</v>
      </c>
      <c r="D4292" s="67">
        <f>IF(COUNTIF($G$2:$G4292,$G4292)=1,1,0)</f>
        <v>1</v>
      </c>
      <c r="E4292" s="67" t="str">
        <f>IFERROR(VLOOKUP(База_КР_КК[[#This Row],[ИД штатной должности (S)]],'уровень защищенности'!$B$7:$F$1095,5,0),"не защищена")</f>
        <v>низкий</v>
      </c>
      <c r="F4292" s="68">
        <v>500512</v>
      </c>
      <c r="G4292" s="74" t="s">
        <v>3227</v>
      </c>
      <c r="H4292" s="181">
        <f>INDEX('Списки данных'!$D$2:$D$1048576,MATCH(База_КР_КК[[#This Row],[Структурное подразделение]],'Списки данных'!$C$2:$C$1048576,0))</f>
        <v>48</v>
      </c>
      <c r="I4292" s="80" t="s">
        <v>168</v>
      </c>
      <c r="J4292" s="80" t="s">
        <v>264</v>
      </c>
      <c r="K4292" s="80" t="s">
        <v>265</v>
      </c>
      <c r="L4292" s="82" t="s">
        <v>191</v>
      </c>
      <c r="M4292" s="68">
        <v>7</v>
      </c>
      <c r="N4292" s="181" t="str">
        <f t="shared" si="68"/>
        <v>нет</v>
      </c>
      <c r="O4292" s="23"/>
      <c r="P4292" s="23"/>
      <c r="Q4292" s="106"/>
      <c r="R4292" s="37">
        <v>1042</v>
      </c>
      <c r="S4292" s="39" t="s">
        <v>1451</v>
      </c>
      <c r="T4292" s="37">
        <v>2108</v>
      </c>
      <c r="U4292" s="37" t="s">
        <v>2111</v>
      </c>
      <c r="V4292" s="93" t="s">
        <v>272</v>
      </c>
      <c r="W4292" s="89" t="s">
        <v>168</v>
      </c>
      <c r="X4292" s="106" t="s">
        <v>296</v>
      </c>
      <c r="Y4292" s="107" t="s">
        <v>12</v>
      </c>
      <c r="Z4292" s="67">
        <f>IF(База_КР_КК[[#This Row],[Таб.номер резервиста]]="-","-",IF(OR(База_КР_КК[[#This Row],[Уровень КК]]=2,База_КР_КК[[#This Row],[Уровень КК]]=3),IF(COUNTIFS($U$2:$U4292,$U4292,$F$2:$F4292,$F4292)=1,1,0),IF(COUNTIFS($U$2:$U4292,$U4292,$L$2:$L4292,$L4292)=1,1,0)))</f>
        <v>1</v>
      </c>
      <c r="AA42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2" s="106"/>
      <c r="AC4292" s="51"/>
      <c r="AD4292" s="106" t="s">
        <v>15</v>
      </c>
      <c r="AE4292" s="38" t="s">
        <v>398</v>
      </c>
    </row>
    <row r="4293" spans="1:31" ht="18" customHeight="1" x14ac:dyDescent="0.25">
      <c r="A42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3" s="79">
        <v>4</v>
      </c>
      <c r="C4293" s="23">
        <v>44515</v>
      </c>
      <c r="D4293" s="67">
        <f>IF(COUNTIF($G$2:$G4293,$G4293)=1,1,0)</f>
        <v>0</v>
      </c>
      <c r="E4293" s="67" t="str">
        <f>IFERROR(VLOOKUP(База_КР_КК[[#This Row],[ИД штатной должности (S)]],'уровень защищенности'!$B$7:$F$1095,5,0),"не защищена")</f>
        <v>низкий</v>
      </c>
      <c r="F4293" s="68">
        <v>500512</v>
      </c>
      <c r="G4293" s="74" t="s">
        <v>3227</v>
      </c>
      <c r="H4293" s="181">
        <f>INDEX('Списки данных'!$D$2:$D$1048576,MATCH(База_КР_КК[[#This Row],[Структурное подразделение]],'Списки данных'!$C$2:$C$1048576,0))</f>
        <v>48</v>
      </c>
      <c r="I4293" s="80" t="s">
        <v>168</v>
      </c>
      <c r="J4293" s="80" t="s">
        <v>264</v>
      </c>
      <c r="K4293" s="80" t="s">
        <v>265</v>
      </c>
      <c r="L4293" s="82" t="s">
        <v>191</v>
      </c>
      <c r="M4293" s="68">
        <v>7</v>
      </c>
      <c r="N4293" s="181" t="str">
        <f t="shared" si="68"/>
        <v>нет</v>
      </c>
      <c r="O4293" s="23"/>
      <c r="P4293" s="23"/>
      <c r="Q4293" s="106"/>
      <c r="R4293" s="37">
        <v>1042</v>
      </c>
      <c r="S4293" s="39" t="s">
        <v>1451</v>
      </c>
      <c r="T4293" s="37">
        <v>2109</v>
      </c>
      <c r="U4293" s="37" t="s">
        <v>2137</v>
      </c>
      <c r="V4293" s="69" t="s">
        <v>272</v>
      </c>
      <c r="W4293" s="89" t="s">
        <v>168</v>
      </c>
      <c r="X4293" s="106" t="s">
        <v>296</v>
      </c>
      <c r="Y4293" s="107" t="s">
        <v>12</v>
      </c>
      <c r="Z4293" s="67">
        <f>IF(База_КР_КК[[#This Row],[Таб.номер резервиста]]="-","-",IF(OR(База_КР_КК[[#This Row],[Уровень КК]]=2,База_КР_КК[[#This Row],[Уровень КК]]=3),IF(COUNTIFS($U$2:$U4293,$U4293,$F$2:$F4293,$F4293)=1,1,0),IF(COUNTIFS($U$2:$U4293,$U4293,$L$2:$L4293,$L4293)=1,1,0)))</f>
        <v>1</v>
      </c>
      <c r="AA42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3" s="106"/>
      <c r="AC4293" s="51"/>
      <c r="AD4293" s="106" t="s">
        <v>15</v>
      </c>
      <c r="AE4293" s="38" t="s">
        <v>398</v>
      </c>
    </row>
    <row r="4294" spans="1:31" ht="18" customHeight="1" x14ac:dyDescent="0.25">
      <c r="A42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4" s="79">
        <v>4</v>
      </c>
      <c r="C4294" s="23">
        <v>44515</v>
      </c>
      <c r="D4294" s="67">
        <f>IF(COUNTIF($G$2:$G4294,$G4294)=1,1,0)</f>
        <v>0</v>
      </c>
      <c r="E4294" s="67" t="str">
        <f>IFERROR(VLOOKUP(База_КР_КК[[#This Row],[ИД штатной должности (S)]],'уровень защищенности'!$B$7:$F$1095,5,0),"не защищена")</f>
        <v>низкий</v>
      </c>
      <c r="F4294" s="68">
        <v>500512</v>
      </c>
      <c r="G4294" s="74" t="s">
        <v>3227</v>
      </c>
      <c r="H4294" s="181">
        <f>INDEX('Списки данных'!$D$2:$D$1048576,MATCH(База_КР_КК[[#This Row],[Структурное подразделение]],'Списки данных'!$C$2:$C$1048576,0))</f>
        <v>48</v>
      </c>
      <c r="I4294" s="80" t="s">
        <v>168</v>
      </c>
      <c r="J4294" s="80" t="s">
        <v>264</v>
      </c>
      <c r="K4294" s="80" t="s">
        <v>265</v>
      </c>
      <c r="L4294" s="82" t="s">
        <v>191</v>
      </c>
      <c r="M4294" s="68">
        <v>7</v>
      </c>
      <c r="N4294" s="181" t="str">
        <f t="shared" si="68"/>
        <v>нет</v>
      </c>
      <c r="O4294" s="23"/>
      <c r="P4294" s="23"/>
      <c r="Q4294" s="106"/>
      <c r="R4294" s="37">
        <v>1042</v>
      </c>
      <c r="S4294" s="39" t="s">
        <v>1451</v>
      </c>
      <c r="T4294" s="37">
        <v>2110</v>
      </c>
      <c r="U4294" s="37" t="s">
        <v>1918</v>
      </c>
      <c r="V4294" s="93" t="s">
        <v>272</v>
      </c>
      <c r="W4294" s="89" t="s">
        <v>168</v>
      </c>
      <c r="X4294" s="106" t="s">
        <v>296</v>
      </c>
      <c r="Y4294" s="107" t="s">
        <v>12</v>
      </c>
      <c r="Z4294" s="67">
        <f>IF(База_КР_КК[[#This Row],[Таб.номер резервиста]]="-","-",IF(OR(База_КР_КК[[#This Row],[Уровень КК]]=2,База_КР_КК[[#This Row],[Уровень КК]]=3),IF(COUNTIFS($U$2:$U4294,$U4294,$F$2:$F4294,$F4294)=1,1,0),IF(COUNTIFS($U$2:$U4294,$U4294,$L$2:$L4294,$L4294)=1,1,0)))</f>
        <v>1</v>
      </c>
      <c r="AA42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4" s="106"/>
      <c r="AC4294" s="51"/>
      <c r="AD4294" s="106" t="s">
        <v>15</v>
      </c>
      <c r="AE4294" s="38" t="s">
        <v>398</v>
      </c>
    </row>
    <row r="4295" spans="1:31" ht="18" customHeight="1" x14ac:dyDescent="0.25">
      <c r="A42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5" s="79">
        <v>4</v>
      </c>
      <c r="C4295" s="23">
        <v>44515</v>
      </c>
      <c r="D4295" s="67">
        <f>IF(COUNTIF($G$2:$G4295,$G4295)=1,1,0)</f>
        <v>1</v>
      </c>
      <c r="E4295" s="67" t="str">
        <f>IFERROR(VLOOKUP(База_КР_КК[[#This Row],[ИД штатной должности (S)]],'уровень защищенности'!$B$7:$F$1095,5,0),"не защищена")</f>
        <v>низкий</v>
      </c>
      <c r="F4295" s="68">
        <v>500512</v>
      </c>
      <c r="G4295" s="74" t="s">
        <v>3228</v>
      </c>
      <c r="H4295" s="181">
        <f>INDEX('Списки данных'!$D$2:$D$1048576,MATCH(База_КР_КК[[#This Row],[Структурное подразделение]],'Списки данных'!$C$2:$C$1048576,0))</f>
        <v>48</v>
      </c>
      <c r="I4295" s="80" t="s">
        <v>168</v>
      </c>
      <c r="J4295" s="80" t="s">
        <v>264</v>
      </c>
      <c r="K4295" s="80" t="s">
        <v>265</v>
      </c>
      <c r="L4295" s="82" t="s">
        <v>191</v>
      </c>
      <c r="M4295" s="68">
        <v>7</v>
      </c>
      <c r="N4295" s="181" t="str">
        <f t="shared" si="68"/>
        <v>нет</v>
      </c>
      <c r="O4295" s="23"/>
      <c r="P4295" s="23"/>
      <c r="Q4295" s="106"/>
      <c r="R4295" s="37">
        <v>1043</v>
      </c>
      <c r="S4295" s="39" t="s">
        <v>1452</v>
      </c>
      <c r="T4295" s="37">
        <v>2108</v>
      </c>
      <c r="U4295" s="37" t="s">
        <v>2111</v>
      </c>
      <c r="V4295" s="69" t="s">
        <v>272</v>
      </c>
      <c r="W4295" s="89" t="s">
        <v>168</v>
      </c>
      <c r="X4295" s="106" t="s">
        <v>296</v>
      </c>
      <c r="Y4295" s="107" t="s">
        <v>12</v>
      </c>
      <c r="Z4295" s="67">
        <f>IF(База_КР_КК[[#This Row],[Таб.номер резервиста]]="-","-",IF(OR(База_КР_КК[[#This Row],[Уровень КК]]=2,База_КР_КК[[#This Row],[Уровень КК]]=3),IF(COUNTIFS($U$2:$U4295,$U4295,$F$2:$F4295,$F4295)=1,1,0),IF(COUNTIFS($U$2:$U4295,$U4295,$L$2:$L4295,$L4295)=1,1,0)))</f>
        <v>0</v>
      </c>
      <c r="AA42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5" s="106"/>
      <c r="AC4295" s="51"/>
      <c r="AD4295" s="106" t="s">
        <v>15</v>
      </c>
      <c r="AE4295" s="38" t="s">
        <v>398</v>
      </c>
    </row>
    <row r="4296" spans="1:31" ht="18" customHeight="1" x14ac:dyDescent="0.25">
      <c r="A42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6" s="79">
        <v>4</v>
      </c>
      <c r="C4296" s="23">
        <v>44515</v>
      </c>
      <c r="D4296" s="67">
        <f>IF(COUNTIF($G$2:$G4296,$G4296)=1,1,0)</f>
        <v>0</v>
      </c>
      <c r="E4296" s="67" t="str">
        <f>IFERROR(VLOOKUP(База_КР_КК[[#This Row],[ИД штатной должности (S)]],'уровень защищенности'!$B$7:$F$1095,5,0),"не защищена")</f>
        <v>низкий</v>
      </c>
      <c r="F4296" s="68">
        <v>500512</v>
      </c>
      <c r="G4296" s="74" t="s">
        <v>3228</v>
      </c>
      <c r="H4296" s="181">
        <f>INDEX('Списки данных'!$D$2:$D$1048576,MATCH(База_КР_КК[[#This Row],[Структурное подразделение]],'Списки данных'!$C$2:$C$1048576,0))</f>
        <v>48</v>
      </c>
      <c r="I4296" s="80" t="s">
        <v>168</v>
      </c>
      <c r="J4296" s="80" t="s">
        <v>264</v>
      </c>
      <c r="K4296" s="80" t="s">
        <v>265</v>
      </c>
      <c r="L4296" s="82" t="s">
        <v>191</v>
      </c>
      <c r="M4296" s="68">
        <v>7</v>
      </c>
      <c r="N4296" s="181" t="str">
        <f t="shared" si="68"/>
        <v>нет</v>
      </c>
      <c r="O4296" s="23"/>
      <c r="P4296" s="23"/>
      <c r="Q4296" s="106"/>
      <c r="R4296" s="37">
        <v>1043</v>
      </c>
      <c r="S4296" s="39" t="s">
        <v>1452</v>
      </c>
      <c r="T4296" s="37">
        <v>2109</v>
      </c>
      <c r="U4296" s="37" t="s">
        <v>2137</v>
      </c>
      <c r="V4296" s="93" t="s">
        <v>272</v>
      </c>
      <c r="W4296" s="89" t="s">
        <v>168</v>
      </c>
      <c r="X4296" s="106" t="s">
        <v>296</v>
      </c>
      <c r="Y4296" s="107" t="s">
        <v>12</v>
      </c>
      <c r="Z4296" s="67">
        <f>IF(База_КР_КК[[#This Row],[Таб.номер резервиста]]="-","-",IF(OR(База_КР_КК[[#This Row],[Уровень КК]]=2,База_КР_КК[[#This Row],[Уровень КК]]=3),IF(COUNTIFS($U$2:$U4296,$U4296,$F$2:$F4296,$F4296)=1,1,0),IF(COUNTIFS($U$2:$U4296,$U4296,$L$2:$L4296,$L4296)=1,1,0)))</f>
        <v>0</v>
      </c>
      <c r="AA42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6" s="106"/>
      <c r="AC4296" s="51"/>
      <c r="AD4296" s="106" t="s">
        <v>15</v>
      </c>
      <c r="AE4296" s="38" t="s">
        <v>398</v>
      </c>
    </row>
    <row r="4297" spans="1:31" ht="18" customHeight="1" x14ac:dyDescent="0.25">
      <c r="A42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7" s="79">
        <v>4</v>
      </c>
      <c r="C4297" s="23">
        <v>44515</v>
      </c>
      <c r="D4297" s="67">
        <f>IF(COUNTIF($G$2:$G4297,$G4297)=1,1,0)</f>
        <v>0</v>
      </c>
      <c r="E4297" s="67" t="str">
        <f>IFERROR(VLOOKUP(База_КР_КК[[#This Row],[ИД штатной должности (S)]],'уровень защищенности'!$B$7:$F$1095,5,0),"не защищена")</f>
        <v>низкий</v>
      </c>
      <c r="F4297" s="68">
        <v>500512</v>
      </c>
      <c r="G4297" s="74" t="s">
        <v>3228</v>
      </c>
      <c r="H4297" s="181">
        <f>INDEX('Списки данных'!$D$2:$D$1048576,MATCH(База_КР_КК[[#This Row],[Структурное подразделение]],'Списки данных'!$C$2:$C$1048576,0))</f>
        <v>48</v>
      </c>
      <c r="I4297" s="80" t="s">
        <v>168</v>
      </c>
      <c r="J4297" s="80" t="s">
        <v>264</v>
      </c>
      <c r="K4297" s="80" t="s">
        <v>265</v>
      </c>
      <c r="L4297" s="82" t="s">
        <v>191</v>
      </c>
      <c r="M4297" s="68">
        <v>7</v>
      </c>
      <c r="N4297" s="181" t="str">
        <f t="shared" si="68"/>
        <v>нет</v>
      </c>
      <c r="O4297" s="23"/>
      <c r="P4297" s="23"/>
      <c r="Q4297" s="106"/>
      <c r="R4297" s="37">
        <v>1043</v>
      </c>
      <c r="S4297" s="39" t="s">
        <v>1452</v>
      </c>
      <c r="T4297" s="37">
        <v>2110</v>
      </c>
      <c r="U4297" s="37" t="s">
        <v>1918</v>
      </c>
      <c r="V4297" s="69" t="s">
        <v>272</v>
      </c>
      <c r="W4297" s="89" t="s">
        <v>168</v>
      </c>
      <c r="X4297" s="106" t="s">
        <v>296</v>
      </c>
      <c r="Y4297" s="107" t="s">
        <v>12</v>
      </c>
      <c r="Z4297" s="67">
        <f>IF(База_КР_КК[[#This Row],[Таб.номер резервиста]]="-","-",IF(OR(База_КР_КК[[#This Row],[Уровень КК]]=2,База_КР_КК[[#This Row],[Уровень КК]]=3),IF(COUNTIFS($U$2:$U4297,$U4297,$F$2:$F4297,$F4297)=1,1,0),IF(COUNTIFS($U$2:$U4297,$U4297,$L$2:$L4297,$L4297)=1,1,0)))</f>
        <v>0</v>
      </c>
      <c r="AA42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7" s="106"/>
      <c r="AC4297" s="51"/>
      <c r="AD4297" s="106" t="s">
        <v>15</v>
      </c>
      <c r="AE4297" s="38" t="s">
        <v>398</v>
      </c>
    </row>
    <row r="4298" spans="1:31" ht="18" customHeight="1" x14ac:dyDescent="0.25">
      <c r="A42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8" s="79">
        <v>4</v>
      </c>
      <c r="C4298" s="23">
        <v>44515</v>
      </c>
      <c r="D4298" s="67">
        <f>IF(COUNTIF($G$2:$G4298,$G4298)=1,1,0)</f>
        <v>1</v>
      </c>
      <c r="E4298" s="67" t="str">
        <f>IFERROR(VLOOKUP(База_КР_КК[[#This Row],[ИД штатной должности (S)]],'уровень защищенности'!$B$7:$F$1095,5,0),"не защищена")</f>
        <v>низкий</v>
      </c>
      <c r="F4298" s="68">
        <v>500512</v>
      </c>
      <c r="G4298" s="74" t="s">
        <v>3229</v>
      </c>
      <c r="H4298" s="181">
        <f>INDEX('Списки данных'!$D$2:$D$1048576,MATCH(База_КР_КК[[#This Row],[Структурное подразделение]],'Списки данных'!$C$2:$C$1048576,0))</f>
        <v>48</v>
      </c>
      <c r="I4298" s="80" t="s">
        <v>168</v>
      </c>
      <c r="J4298" s="80" t="s">
        <v>264</v>
      </c>
      <c r="K4298" s="80" t="s">
        <v>265</v>
      </c>
      <c r="L4298" s="82" t="s">
        <v>191</v>
      </c>
      <c r="M4298" s="68">
        <v>7</v>
      </c>
      <c r="N4298" s="181" t="str">
        <f t="shared" si="68"/>
        <v>нет</v>
      </c>
      <c r="O4298" s="23"/>
      <c r="P4298" s="23"/>
      <c r="Q4298" s="106"/>
      <c r="R4298" s="37">
        <v>1044</v>
      </c>
      <c r="S4298" s="39" t="s">
        <v>1453</v>
      </c>
      <c r="T4298" s="37">
        <v>2108</v>
      </c>
      <c r="U4298" s="37" t="s">
        <v>2111</v>
      </c>
      <c r="V4298" s="93" t="s">
        <v>272</v>
      </c>
      <c r="W4298" s="89" t="s">
        <v>168</v>
      </c>
      <c r="X4298" s="106" t="s">
        <v>296</v>
      </c>
      <c r="Y4298" s="107" t="s">
        <v>12</v>
      </c>
      <c r="Z4298" s="67">
        <f>IF(База_КР_КК[[#This Row],[Таб.номер резервиста]]="-","-",IF(OR(База_КР_КК[[#This Row],[Уровень КК]]=2,База_КР_КК[[#This Row],[Уровень КК]]=3),IF(COUNTIFS($U$2:$U4298,$U4298,$F$2:$F4298,$F4298)=1,1,0),IF(COUNTIFS($U$2:$U4298,$U4298,$L$2:$L4298,$L4298)=1,1,0)))</f>
        <v>0</v>
      </c>
      <c r="AA42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8" s="106"/>
      <c r="AC4298" s="51"/>
      <c r="AD4298" s="106" t="s">
        <v>15</v>
      </c>
      <c r="AE4298" s="38" t="s">
        <v>398</v>
      </c>
    </row>
    <row r="4299" spans="1:31" ht="18" customHeight="1" x14ac:dyDescent="0.25">
      <c r="A42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299" s="79">
        <v>4</v>
      </c>
      <c r="C4299" s="23">
        <v>44515</v>
      </c>
      <c r="D4299" s="67">
        <f>IF(COUNTIF($G$2:$G4299,$G4299)=1,1,0)</f>
        <v>0</v>
      </c>
      <c r="E4299" s="67" t="str">
        <f>IFERROR(VLOOKUP(База_КР_КК[[#This Row],[ИД штатной должности (S)]],'уровень защищенности'!$B$7:$F$1095,5,0),"не защищена")</f>
        <v>низкий</v>
      </c>
      <c r="F4299" s="68">
        <v>500512</v>
      </c>
      <c r="G4299" s="74" t="s">
        <v>3229</v>
      </c>
      <c r="H4299" s="181">
        <f>INDEX('Списки данных'!$D$2:$D$1048576,MATCH(База_КР_КК[[#This Row],[Структурное подразделение]],'Списки данных'!$C$2:$C$1048576,0))</f>
        <v>48</v>
      </c>
      <c r="I4299" s="80" t="s">
        <v>168</v>
      </c>
      <c r="J4299" s="80" t="s">
        <v>264</v>
      </c>
      <c r="K4299" s="80" t="s">
        <v>265</v>
      </c>
      <c r="L4299" s="82" t="s">
        <v>191</v>
      </c>
      <c r="M4299" s="68">
        <v>7</v>
      </c>
      <c r="N4299" s="181" t="str">
        <f t="shared" si="68"/>
        <v>нет</v>
      </c>
      <c r="O4299" s="23"/>
      <c r="P4299" s="23"/>
      <c r="Q4299" s="106"/>
      <c r="R4299" s="37">
        <v>1044</v>
      </c>
      <c r="S4299" s="39" t="s">
        <v>1453</v>
      </c>
      <c r="T4299" s="37">
        <v>2109</v>
      </c>
      <c r="U4299" s="37" t="s">
        <v>2137</v>
      </c>
      <c r="V4299" s="69" t="s">
        <v>272</v>
      </c>
      <c r="W4299" s="89" t="s">
        <v>168</v>
      </c>
      <c r="X4299" s="106" t="s">
        <v>296</v>
      </c>
      <c r="Y4299" s="107" t="s">
        <v>12</v>
      </c>
      <c r="Z4299" s="67">
        <f>IF(База_КР_КК[[#This Row],[Таб.номер резервиста]]="-","-",IF(OR(База_КР_КК[[#This Row],[Уровень КК]]=2,База_КР_КК[[#This Row],[Уровень КК]]=3),IF(COUNTIFS($U$2:$U4299,$U4299,$F$2:$F4299,$F4299)=1,1,0),IF(COUNTIFS($U$2:$U4299,$U4299,$L$2:$L4299,$L4299)=1,1,0)))</f>
        <v>0</v>
      </c>
      <c r="AA42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299" s="106"/>
      <c r="AC4299" s="51"/>
      <c r="AD4299" s="106" t="s">
        <v>15</v>
      </c>
      <c r="AE4299" s="38" t="s">
        <v>398</v>
      </c>
    </row>
    <row r="4300" spans="1:31" ht="18" customHeight="1" x14ac:dyDescent="0.25">
      <c r="A43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0" s="79">
        <v>4</v>
      </c>
      <c r="C4300" s="23">
        <v>44515</v>
      </c>
      <c r="D4300" s="67">
        <f>IF(COUNTIF($G$2:$G4300,$G4300)=1,1,0)</f>
        <v>0</v>
      </c>
      <c r="E4300" s="67" t="str">
        <f>IFERROR(VLOOKUP(База_КР_КК[[#This Row],[ИД штатной должности (S)]],'уровень защищенности'!$B$7:$F$1095,5,0),"не защищена")</f>
        <v>низкий</v>
      </c>
      <c r="F4300" s="68">
        <v>500512</v>
      </c>
      <c r="G4300" s="74" t="s">
        <v>3229</v>
      </c>
      <c r="H4300" s="181">
        <f>INDEX('Списки данных'!$D$2:$D$1048576,MATCH(База_КР_КК[[#This Row],[Структурное подразделение]],'Списки данных'!$C$2:$C$1048576,0))</f>
        <v>48</v>
      </c>
      <c r="I4300" s="80" t="s">
        <v>168</v>
      </c>
      <c r="J4300" s="80" t="s">
        <v>264</v>
      </c>
      <c r="K4300" s="80" t="s">
        <v>265</v>
      </c>
      <c r="L4300" s="82" t="s">
        <v>191</v>
      </c>
      <c r="M4300" s="68">
        <v>7</v>
      </c>
      <c r="N4300" s="181" t="str">
        <f t="shared" si="68"/>
        <v>нет</v>
      </c>
      <c r="O4300" s="23"/>
      <c r="P4300" s="23"/>
      <c r="Q4300" s="106"/>
      <c r="R4300" s="37">
        <v>1044</v>
      </c>
      <c r="S4300" s="39" t="s">
        <v>1453</v>
      </c>
      <c r="T4300" s="37">
        <v>2110</v>
      </c>
      <c r="U4300" s="37" t="s">
        <v>1918</v>
      </c>
      <c r="V4300" s="93" t="s">
        <v>272</v>
      </c>
      <c r="W4300" s="89" t="s">
        <v>168</v>
      </c>
      <c r="X4300" s="106" t="s">
        <v>296</v>
      </c>
      <c r="Y4300" s="107" t="s">
        <v>12</v>
      </c>
      <c r="Z4300" s="67">
        <f>IF(База_КР_КК[[#This Row],[Таб.номер резервиста]]="-","-",IF(OR(База_КР_КК[[#This Row],[Уровень КК]]=2,База_КР_КК[[#This Row],[Уровень КК]]=3),IF(COUNTIFS($U$2:$U4300,$U4300,$F$2:$F4300,$F4300)=1,1,0),IF(COUNTIFS($U$2:$U4300,$U4300,$L$2:$L4300,$L4300)=1,1,0)))</f>
        <v>0</v>
      </c>
      <c r="AA43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0" s="106"/>
      <c r="AC4300" s="51"/>
      <c r="AD4300" s="106" t="s">
        <v>15</v>
      </c>
      <c r="AE4300" s="38" t="s">
        <v>398</v>
      </c>
    </row>
    <row r="4301" spans="1:31" ht="18" customHeight="1" x14ac:dyDescent="0.25">
      <c r="A43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1" s="68">
        <v>3</v>
      </c>
      <c r="C4301" s="23">
        <v>44747</v>
      </c>
      <c r="D4301" s="67">
        <f>IF(COUNTIF($G$2:$G4301,$G4301)=1,1,0)</f>
        <v>1</v>
      </c>
      <c r="E4301" s="67" t="str">
        <f>IFERROR(VLOOKUP(База_КР_КК[[#This Row],[ИД штатной должности (S)]],'уровень защищенности'!$B$7:$F$1095,5,0),"не защищена")</f>
        <v>низкий</v>
      </c>
      <c r="F4301" s="68">
        <v>500513</v>
      </c>
      <c r="G4301" s="74" t="s">
        <v>3230</v>
      </c>
      <c r="H4301" s="181">
        <f>INDEX('Списки данных'!$D$2:$D$1048576,MATCH(База_КР_КК[[#This Row],[Структурное подразделение]],'Списки данных'!$C$2:$C$1048576,0))</f>
        <v>48</v>
      </c>
      <c r="I4301" s="80" t="s">
        <v>168</v>
      </c>
      <c r="J4301" s="80" t="s">
        <v>264</v>
      </c>
      <c r="K4301" s="80" t="s">
        <v>21</v>
      </c>
      <c r="L4301" s="30" t="s">
        <v>186</v>
      </c>
      <c r="M4301" s="68">
        <v>5</v>
      </c>
      <c r="N4301" s="181" t="str">
        <f t="shared" si="68"/>
        <v>нет</v>
      </c>
      <c r="O4301" s="23"/>
      <c r="P4301" s="23"/>
      <c r="Q4301" s="106"/>
      <c r="R4301" s="37">
        <v>1045</v>
      </c>
      <c r="S4301" s="37" t="s">
        <v>1454</v>
      </c>
      <c r="T4301" s="37">
        <v>1010</v>
      </c>
      <c r="U4301" s="38" t="s">
        <v>1419</v>
      </c>
      <c r="V4301" s="69" t="s">
        <v>198</v>
      </c>
      <c r="W4301" s="89" t="s">
        <v>168</v>
      </c>
      <c r="X4301" s="106" t="s">
        <v>296</v>
      </c>
      <c r="Y4301" s="107" t="s">
        <v>12</v>
      </c>
      <c r="Z4301" s="67">
        <f>IF(База_КР_КК[[#This Row],[Таб.номер резервиста]]="-","-",IF(OR(База_КР_КК[[#This Row],[Уровень КК]]=2,База_КР_КК[[#This Row],[Уровень КК]]=3),IF(COUNTIFS($U$2:$U4301,$U4301,$F$2:$F4301,$F4301)=1,1,0),IF(COUNTIFS($U$2:$U4301,$U4301,$L$2:$L4301,$L4301)=1,1,0)))</f>
        <v>1</v>
      </c>
      <c r="AA43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1" s="106"/>
      <c r="AC4301" s="51"/>
      <c r="AD4301" s="106" t="s">
        <v>15</v>
      </c>
      <c r="AE4301" s="38" t="s">
        <v>389</v>
      </c>
    </row>
    <row r="4302" spans="1:31" ht="18" customHeight="1" x14ac:dyDescent="0.25">
      <c r="A43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2" s="68">
        <v>3</v>
      </c>
      <c r="C4302" s="23">
        <v>43455</v>
      </c>
      <c r="D4302" s="67">
        <f>IF(COUNTIF($G$2:$G4302,$G4302)=1,1,0)</f>
        <v>0</v>
      </c>
      <c r="E4302" s="67" t="str">
        <f>IFERROR(VLOOKUP(База_КР_КК[[#This Row],[ИД штатной должности (S)]],'уровень защищенности'!$B$7:$F$1095,5,0),"не защищена")</f>
        <v>низкий</v>
      </c>
      <c r="F4302" s="68">
        <v>500513</v>
      </c>
      <c r="G4302" s="74" t="s">
        <v>3230</v>
      </c>
      <c r="H4302" s="181">
        <f>INDEX('Списки данных'!$D$2:$D$1048576,MATCH(База_КР_КК[[#This Row],[Структурное подразделение]],'Списки данных'!$C$2:$C$1048576,0))</f>
        <v>48</v>
      </c>
      <c r="I4302" s="80" t="s">
        <v>168</v>
      </c>
      <c r="J4302" s="80" t="s">
        <v>264</v>
      </c>
      <c r="K4302" s="80" t="s">
        <v>21</v>
      </c>
      <c r="L4302" s="30" t="s">
        <v>186</v>
      </c>
      <c r="M4302" s="68">
        <v>5</v>
      </c>
      <c r="N4302" s="181" t="str">
        <f t="shared" si="68"/>
        <v>да</v>
      </c>
      <c r="O4302" s="23">
        <v>44958</v>
      </c>
      <c r="P4302" s="23"/>
      <c r="Q4302" s="106"/>
      <c r="R4302" s="37" t="s">
        <v>23</v>
      </c>
      <c r="S4302" s="37" t="s">
        <v>23</v>
      </c>
      <c r="T4302" s="37">
        <v>2075</v>
      </c>
      <c r="U4302" s="38" t="s">
        <v>1839</v>
      </c>
      <c r="V4302" s="93" t="s">
        <v>192</v>
      </c>
      <c r="W4302" s="89" t="s">
        <v>286</v>
      </c>
      <c r="X4302" s="106" t="s">
        <v>295</v>
      </c>
      <c r="Y4302" s="107" t="s">
        <v>14</v>
      </c>
      <c r="Z4302" s="67">
        <f>IF(База_КР_КК[[#This Row],[Таб.номер резервиста]]="-","-",IF(OR(База_КР_КК[[#This Row],[Уровень КК]]=2,База_КР_КК[[#This Row],[Уровень КК]]=3),IF(COUNTIFS($U$2:$U4302,$U4302,$F$2:$F4302,$F4302)=1,1,0),IF(COUNTIFS($U$2:$U4302,$U4302,$L$2:$L4302,$L4302)=1,1,0)))</f>
        <v>1</v>
      </c>
      <c r="AA43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2" s="106" t="s">
        <v>24</v>
      </c>
      <c r="AC4302" s="51">
        <v>44349</v>
      </c>
      <c r="AD4302" s="106" t="s">
        <v>13</v>
      </c>
      <c r="AE4302" s="38" t="s">
        <v>302</v>
      </c>
    </row>
    <row r="4303" spans="1:31" ht="18" customHeight="1" x14ac:dyDescent="0.25">
      <c r="A43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3" s="68">
        <v>3</v>
      </c>
      <c r="C4303" s="23">
        <v>43455</v>
      </c>
      <c r="D4303" s="67">
        <f>IF(COUNTIF($G$2:$G4303,$G4303)=1,1,0)</f>
        <v>0</v>
      </c>
      <c r="E4303" s="67" t="str">
        <f>IFERROR(VLOOKUP(База_КР_КК[[#This Row],[ИД штатной должности (S)]],'уровень защищенности'!$B$7:$F$1095,5,0),"не защищена")</f>
        <v>низкий</v>
      </c>
      <c r="F4303" s="68">
        <v>500513</v>
      </c>
      <c r="G4303" s="74" t="s">
        <v>3230</v>
      </c>
      <c r="H4303" s="181">
        <f>INDEX('Списки данных'!$D$2:$D$1048576,MATCH(База_КР_КК[[#This Row],[Структурное подразделение]],'Списки данных'!$C$2:$C$1048576,0))</f>
        <v>48</v>
      </c>
      <c r="I4303" s="80" t="s">
        <v>168</v>
      </c>
      <c r="J4303" s="80" t="s">
        <v>264</v>
      </c>
      <c r="K4303" s="80" t="s">
        <v>21</v>
      </c>
      <c r="L4303" s="30" t="s">
        <v>186</v>
      </c>
      <c r="M4303" s="68">
        <v>5</v>
      </c>
      <c r="N4303" s="181" t="str">
        <f t="shared" si="68"/>
        <v>да</v>
      </c>
      <c r="O4303" s="23">
        <v>44958</v>
      </c>
      <c r="P4303" s="23"/>
      <c r="Q4303" s="106"/>
      <c r="R4303" s="37" t="s">
        <v>23</v>
      </c>
      <c r="S4303" s="37" t="s">
        <v>23</v>
      </c>
      <c r="T4303" s="37">
        <v>2111</v>
      </c>
      <c r="U4303" s="38" t="s">
        <v>2138</v>
      </c>
      <c r="V4303" s="69" t="s">
        <v>200</v>
      </c>
      <c r="W4303" s="89" t="s">
        <v>293</v>
      </c>
      <c r="X4303" s="106" t="s">
        <v>297</v>
      </c>
      <c r="Y4303" s="107" t="s">
        <v>18</v>
      </c>
      <c r="Z4303" s="67">
        <f>IF(База_КР_КК[[#This Row],[Таб.номер резервиста]]="-","-",IF(OR(База_КР_КК[[#This Row],[Уровень КК]]=2,База_КР_КК[[#This Row],[Уровень КК]]=3),IF(COUNTIFS($U$2:$U4303,$U4303,$F$2:$F4303,$F4303)=1,1,0),IF(COUNTIFS($U$2:$U4303,$U4303,$L$2:$L4303,$L4303)=1,1,0)))</f>
        <v>1</v>
      </c>
      <c r="AA43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3" s="106" t="s">
        <v>20</v>
      </c>
      <c r="AC4303" s="51">
        <v>44747</v>
      </c>
      <c r="AD4303" s="106" t="s">
        <v>31</v>
      </c>
      <c r="AE4303" s="38" t="s">
        <v>389</v>
      </c>
    </row>
    <row r="4304" spans="1:31" ht="18" customHeight="1" x14ac:dyDescent="0.25">
      <c r="A43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4" s="79">
        <v>4</v>
      </c>
      <c r="C4304" s="23">
        <v>44515</v>
      </c>
      <c r="D4304" s="67">
        <f>IF(COUNTIF($G$2:$G4304,$G4304)=1,1,0)</f>
        <v>1</v>
      </c>
      <c r="E4304" s="67" t="str">
        <f>IFERROR(VLOOKUP(База_КР_КК[[#This Row],[ИД штатной должности (S)]],'уровень защищенности'!$B$7:$F$1095,5,0),"не защищена")</f>
        <v>низкий</v>
      </c>
      <c r="F4304" s="68">
        <v>500514</v>
      </c>
      <c r="G4304" s="74" t="s">
        <v>3231</v>
      </c>
      <c r="H4304" s="181">
        <f>INDEX('Списки данных'!$D$2:$D$1048576,MATCH(База_КР_КК[[#This Row],[Структурное подразделение]],'Списки данных'!$C$2:$C$1048576,0))</f>
        <v>48</v>
      </c>
      <c r="I4304" s="80" t="s">
        <v>168</v>
      </c>
      <c r="J4304" s="80" t="s">
        <v>264</v>
      </c>
      <c r="K4304" s="80" t="s">
        <v>265</v>
      </c>
      <c r="L4304" s="30" t="s">
        <v>198</v>
      </c>
      <c r="M4304" s="68">
        <v>6</v>
      </c>
      <c r="N4304" s="181" t="str">
        <f t="shared" si="68"/>
        <v>нет</v>
      </c>
      <c r="O4304" s="23"/>
      <c r="P4304" s="23"/>
      <c r="Q4304" s="106"/>
      <c r="R4304" s="37">
        <v>1046</v>
      </c>
      <c r="S4304" s="39" t="s">
        <v>1455</v>
      </c>
      <c r="T4304" s="37">
        <v>1053</v>
      </c>
      <c r="U4304" s="37" t="s">
        <v>1462</v>
      </c>
      <c r="V4304" s="89" t="s">
        <v>198</v>
      </c>
      <c r="W4304" s="89" t="s">
        <v>168</v>
      </c>
      <c r="X4304" s="106" t="s">
        <v>297</v>
      </c>
      <c r="Y4304" s="107" t="s">
        <v>18</v>
      </c>
      <c r="Z4304" s="67">
        <f>IF(База_КР_КК[[#This Row],[Таб.номер резервиста]]="-","-",IF(OR(База_КР_КК[[#This Row],[Уровень КК]]=2,База_КР_КК[[#This Row],[Уровень КК]]=3),IF(COUNTIFS($U$2:$U4304,$U4304,$F$2:$F4304,$F4304)=1,1,0),IF(COUNTIFS($U$2:$U4304,$U4304,$L$2:$L4304,$L4304)=1,1,0)))</f>
        <v>1</v>
      </c>
      <c r="AA43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4" s="106" t="s">
        <v>37</v>
      </c>
      <c r="AC4304" s="51">
        <v>45091</v>
      </c>
      <c r="AD4304" s="106" t="s">
        <v>15</v>
      </c>
      <c r="AE4304" s="38" t="s">
        <v>398</v>
      </c>
    </row>
    <row r="4305" spans="1:31" ht="18" customHeight="1" x14ac:dyDescent="0.25">
      <c r="A43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5" s="79">
        <v>4</v>
      </c>
      <c r="C4305" s="23">
        <v>44515</v>
      </c>
      <c r="D4305" s="67">
        <f>IF(COUNTIF($G$2:$G4305,$G4305)=1,1,0)</f>
        <v>0</v>
      </c>
      <c r="E4305" s="67" t="str">
        <f>IFERROR(VLOOKUP(База_КР_КК[[#This Row],[ИД штатной должности (S)]],'уровень защищенности'!$B$7:$F$1095,5,0),"не защищена")</f>
        <v>низкий</v>
      </c>
      <c r="F4305" s="68">
        <v>500514</v>
      </c>
      <c r="G4305" s="74" t="s">
        <v>3231</v>
      </c>
      <c r="H4305" s="181">
        <f>INDEX('Списки данных'!$D$2:$D$1048576,MATCH(База_КР_КК[[#This Row],[Структурное подразделение]],'Списки данных'!$C$2:$C$1048576,0))</f>
        <v>48</v>
      </c>
      <c r="I4305" s="80" t="s">
        <v>168</v>
      </c>
      <c r="J4305" s="80" t="s">
        <v>264</v>
      </c>
      <c r="K4305" s="80" t="s">
        <v>265</v>
      </c>
      <c r="L4305" s="30" t="s">
        <v>198</v>
      </c>
      <c r="M4305" s="68">
        <v>6</v>
      </c>
      <c r="N4305" s="181" t="str">
        <f t="shared" si="68"/>
        <v>нет</v>
      </c>
      <c r="O4305" s="23"/>
      <c r="P4305" s="23"/>
      <c r="Q4305" s="106"/>
      <c r="R4305" s="37">
        <v>1046</v>
      </c>
      <c r="S4305" s="39" t="s">
        <v>1455</v>
      </c>
      <c r="T4305" s="37">
        <v>2099</v>
      </c>
      <c r="U4305" s="37" t="s">
        <v>2089</v>
      </c>
      <c r="V4305" s="89" t="s">
        <v>16</v>
      </c>
      <c r="W4305" s="89" t="s">
        <v>168</v>
      </c>
      <c r="X4305" s="106" t="s">
        <v>296</v>
      </c>
      <c r="Y4305" s="107" t="s">
        <v>12</v>
      </c>
      <c r="Z4305" s="67">
        <f>IF(База_КР_КК[[#This Row],[Таб.номер резервиста]]="-","-",IF(OR(База_КР_КК[[#This Row],[Уровень КК]]=2,База_КР_КК[[#This Row],[Уровень КК]]=3),IF(COUNTIFS($U$2:$U4305,$U4305,$F$2:$F4305,$F4305)=1,1,0),IF(COUNTIFS($U$2:$U4305,$U4305,$L$2:$L4305,$L4305)=1,1,0)))</f>
        <v>1</v>
      </c>
      <c r="AA43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5" s="106"/>
      <c r="AC4305" s="51"/>
      <c r="AD4305" s="106" t="s">
        <v>15</v>
      </c>
      <c r="AE4305" s="38" t="s">
        <v>398</v>
      </c>
    </row>
    <row r="4306" spans="1:31" ht="18" customHeight="1" x14ac:dyDescent="0.25">
      <c r="A43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6" s="79">
        <v>4</v>
      </c>
      <c r="C4306" s="23">
        <v>44510</v>
      </c>
      <c r="D4306" s="67">
        <f>IF(COUNTIF($G$2:$G4306,$G4306)=1,1,0)</f>
        <v>1</v>
      </c>
      <c r="E4306" s="67" t="str">
        <f>IFERROR(VLOOKUP(База_КР_КК[[#This Row],[ИД штатной должности (S)]],'уровень защищенности'!$B$7:$F$1095,5,0),"не защищена")</f>
        <v>высокий</v>
      </c>
      <c r="F4306" s="68">
        <v>500518</v>
      </c>
      <c r="G4306" s="74" t="s">
        <v>3232</v>
      </c>
      <c r="H4306" s="181">
        <f>INDEX('Списки данных'!$D$2:$D$1048576,MATCH(База_КР_КК[[#This Row],[Структурное подразделение]],'Списки данных'!$C$2:$C$1048576,0))</f>
        <v>221</v>
      </c>
      <c r="I4306" s="80" t="s">
        <v>171</v>
      </c>
      <c r="J4306" s="80" t="s">
        <v>266</v>
      </c>
      <c r="K4306" s="80" t="s">
        <v>21</v>
      </c>
      <c r="L4306" s="30" t="s">
        <v>186</v>
      </c>
      <c r="M4306" s="68">
        <v>6</v>
      </c>
      <c r="N4306" s="181" t="str">
        <f t="shared" si="68"/>
        <v>нет</v>
      </c>
      <c r="O4306" s="23"/>
      <c r="P4306" s="23"/>
      <c r="Q4306" s="106"/>
      <c r="R4306" s="37">
        <v>1047</v>
      </c>
      <c r="S4306" s="39" t="s">
        <v>1456</v>
      </c>
      <c r="T4306" s="37">
        <v>1054</v>
      </c>
      <c r="U4306" s="37" t="s">
        <v>1463</v>
      </c>
      <c r="V4306" s="89" t="s">
        <v>198</v>
      </c>
      <c r="W4306" s="89" t="s">
        <v>171</v>
      </c>
      <c r="X4306" s="106" t="s">
        <v>295</v>
      </c>
      <c r="Y4306" s="107" t="s">
        <v>12</v>
      </c>
      <c r="Z4306" s="67">
        <f>IF(База_КР_КК[[#This Row],[Таб.номер резервиста]]="-","-",IF(OR(База_КР_КК[[#This Row],[Уровень КК]]=2,База_КР_КК[[#This Row],[Уровень КК]]=3),IF(COUNTIFS($U$2:$U4306,$U4306,$F$2:$F4306,$F4306)=1,1,0),IF(COUNTIFS($U$2:$U4306,$U4306,$L$2:$L4306,$L4306)=1,1,0)))</f>
        <v>1</v>
      </c>
      <c r="AA43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6" s="106"/>
      <c r="AC4306" s="51"/>
      <c r="AD4306" s="106" t="s">
        <v>13</v>
      </c>
      <c r="AE4306" s="38" t="s">
        <v>389</v>
      </c>
    </row>
    <row r="4307" spans="1:31" ht="18" customHeight="1" x14ac:dyDescent="0.25">
      <c r="A43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7" s="79">
        <v>4</v>
      </c>
      <c r="C4307" s="23">
        <v>44510</v>
      </c>
      <c r="D4307" s="67">
        <f>IF(COUNTIF($G$2:$G4307,$G4307)=1,1,0)</f>
        <v>0</v>
      </c>
      <c r="E4307" s="67" t="str">
        <f>IFERROR(VLOOKUP(База_КР_КК[[#This Row],[ИД штатной должности (S)]],'уровень защищенности'!$B$7:$F$1095,5,0),"не защищена")</f>
        <v>высокий</v>
      </c>
      <c r="F4307" s="68">
        <v>500518</v>
      </c>
      <c r="G4307" s="74" t="s">
        <v>3232</v>
      </c>
      <c r="H4307" s="181">
        <f>INDEX('Списки данных'!$D$2:$D$1048576,MATCH(База_КР_КК[[#This Row],[Структурное подразделение]],'Списки данных'!$C$2:$C$1048576,0))</f>
        <v>221</v>
      </c>
      <c r="I4307" s="80" t="s">
        <v>171</v>
      </c>
      <c r="J4307" s="80" t="s">
        <v>266</v>
      </c>
      <c r="K4307" s="80" t="s">
        <v>21</v>
      </c>
      <c r="L4307" s="30" t="s">
        <v>186</v>
      </c>
      <c r="M4307" s="68">
        <v>6</v>
      </c>
      <c r="N4307" s="181" t="str">
        <f t="shared" si="68"/>
        <v>нет</v>
      </c>
      <c r="O4307" s="23"/>
      <c r="P4307" s="23"/>
      <c r="Q4307" s="106"/>
      <c r="R4307" s="37">
        <v>1047</v>
      </c>
      <c r="S4307" s="39" t="s">
        <v>1456</v>
      </c>
      <c r="T4307" s="37">
        <v>1052</v>
      </c>
      <c r="U4307" s="37" t="s">
        <v>1461</v>
      </c>
      <c r="V4307" s="89" t="s">
        <v>198</v>
      </c>
      <c r="W4307" s="89" t="s">
        <v>171</v>
      </c>
      <c r="X4307" s="106" t="s">
        <v>296</v>
      </c>
      <c r="Y4307" s="107" t="s">
        <v>12</v>
      </c>
      <c r="Z4307" s="67">
        <f>IF(База_КР_КК[[#This Row],[Таб.номер резервиста]]="-","-",IF(OR(База_КР_КК[[#This Row],[Уровень КК]]=2,База_КР_КК[[#This Row],[Уровень КК]]=3),IF(COUNTIFS($U$2:$U4307,$U4307,$F$2:$F4307,$F4307)=1,1,0),IF(COUNTIFS($U$2:$U4307,$U4307,$L$2:$L4307,$L4307)=1,1,0)))</f>
        <v>1</v>
      </c>
      <c r="AA43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7" s="106"/>
      <c r="AC4307" s="51"/>
      <c r="AD4307" s="106" t="s">
        <v>13</v>
      </c>
      <c r="AE4307" s="38" t="s">
        <v>389</v>
      </c>
    </row>
    <row r="4308" spans="1:31" ht="18" customHeight="1" x14ac:dyDescent="0.25">
      <c r="A43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8" s="79">
        <v>4</v>
      </c>
      <c r="C4308" s="23">
        <v>44510</v>
      </c>
      <c r="D4308" s="67">
        <f>IF(COUNTIF($G$2:$G4308,$G4308)=1,1,0)</f>
        <v>1</v>
      </c>
      <c r="E4308" s="67" t="str">
        <f>IFERROR(VLOOKUP(База_КР_КК[[#This Row],[ИД штатной должности (S)]],'уровень защищенности'!$B$7:$F$1095,5,0),"не защищена")</f>
        <v>высокий</v>
      </c>
      <c r="F4308" s="68">
        <v>500519</v>
      </c>
      <c r="G4308" s="74" t="s">
        <v>3233</v>
      </c>
      <c r="H4308" s="181">
        <f>INDEX('Списки данных'!$D$2:$D$1048576,MATCH(База_КР_КК[[#This Row],[Структурное подразделение]],'Списки данных'!$C$2:$C$1048576,0))</f>
        <v>221</v>
      </c>
      <c r="I4308" s="80" t="s">
        <v>171</v>
      </c>
      <c r="J4308" s="80" t="s">
        <v>266</v>
      </c>
      <c r="K4308" s="80" t="s">
        <v>21</v>
      </c>
      <c r="L4308" s="30" t="s">
        <v>191</v>
      </c>
      <c r="M4308" s="68">
        <v>7</v>
      </c>
      <c r="N4308" s="181" t="str">
        <f t="shared" si="68"/>
        <v>да</v>
      </c>
      <c r="O4308" s="23">
        <v>44806</v>
      </c>
      <c r="P4308" s="23">
        <v>44825</v>
      </c>
      <c r="Q4308" s="106" t="s">
        <v>66</v>
      </c>
      <c r="R4308" s="37">
        <v>1048</v>
      </c>
      <c r="S4308" s="39" t="s">
        <v>1457</v>
      </c>
      <c r="T4308" s="37">
        <v>2112</v>
      </c>
      <c r="U4308" s="37" t="s">
        <v>2139</v>
      </c>
      <c r="V4308" s="69" t="s">
        <v>272</v>
      </c>
      <c r="W4308" s="89" t="s">
        <v>171</v>
      </c>
      <c r="X4308" s="106" t="s">
        <v>295</v>
      </c>
      <c r="Y4308" s="107" t="s">
        <v>12</v>
      </c>
      <c r="Z4308" s="67">
        <f>IF(База_КР_КК[[#This Row],[Таб.номер резервиста]]="-","-",IF(OR(База_КР_КК[[#This Row],[Уровень КК]]=2,База_КР_КК[[#This Row],[Уровень КК]]=3),IF(COUNTIFS($U$2:$U4308,$U4308,$F$2:$F4308,$F4308)=1,1,0),IF(COUNTIFS($U$2:$U4308,$U4308,$L$2:$L4308,$L4308)=1,1,0)))</f>
        <v>1</v>
      </c>
      <c r="AA43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08" s="106"/>
      <c r="AC4308" s="51"/>
      <c r="AD4308" s="106" t="s">
        <v>17</v>
      </c>
      <c r="AE4308" s="38" t="s">
        <v>322</v>
      </c>
    </row>
    <row r="4309" spans="1:31" ht="18" customHeight="1" x14ac:dyDescent="0.25">
      <c r="A43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09" s="79">
        <v>4</v>
      </c>
      <c r="C4309" s="23">
        <v>44510</v>
      </c>
      <c r="D4309" s="67">
        <f>IF(COUNTIF($G$2:$G4309,$G4309)=1,1,0)</f>
        <v>0</v>
      </c>
      <c r="E4309" s="67" t="str">
        <f>IFERROR(VLOOKUP(База_КР_КК[[#This Row],[ИД штатной должности (S)]],'уровень защищенности'!$B$7:$F$1095,5,0),"не защищена")</f>
        <v>высокий</v>
      </c>
      <c r="F4309" s="68">
        <v>500519</v>
      </c>
      <c r="G4309" s="74" t="s">
        <v>3233</v>
      </c>
      <c r="H4309" s="181">
        <f>INDEX('Списки данных'!$D$2:$D$1048576,MATCH(База_КР_КК[[#This Row],[Структурное подразделение]],'Списки данных'!$C$2:$C$1048576,0))</f>
        <v>221</v>
      </c>
      <c r="I4309" s="80" t="s">
        <v>171</v>
      </c>
      <c r="J4309" s="80" t="s">
        <v>266</v>
      </c>
      <c r="K4309" s="80" t="s">
        <v>21</v>
      </c>
      <c r="L4309" s="30" t="s">
        <v>191</v>
      </c>
      <c r="M4309" s="68">
        <v>7</v>
      </c>
      <c r="N4309" s="181" t="str">
        <f t="shared" si="68"/>
        <v>да</v>
      </c>
      <c r="O4309" s="23">
        <v>44806</v>
      </c>
      <c r="P4309" s="23">
        <v>44825</v>
      </c>
      <c r="Q4309" s="106" t="s">
        <v>66</v>
      </c>
      <c r="R4309" s="37">
        <v>1048</v>
      </c>
      <c r="S4309" s="39" t="s">
        <v>1457</v>
      </c>
      <c r="T4309" s="37">
        <v>1048</v>
      </c>
      <c r="U4309" s="37" t="s">
        <v>1457</v>
      </c>
      <c r="V4309" s="69" t="s">
        <v>192</v>
      </c>
      <c r="W4309" s="89" t="s">
        <v>171</v>
      </c>
      <c r="X4309" s="106" t="s">
        <v>296</v>
      </c>
      <c r="Y4309" s="107" t="s">
        <v>14</v>
      </c>
      <c r="Z4309" s="67">
        <f>IF(База_КР_КК[[#This Row],[Таб.номер резервиста]]="-","-",IF(OR(База_КР_КК[[#This Row],[Уровень КК]]=2,База_КР_КК[[#This Row],[Уровень КК]]=3),IF(COUNTIFS($U$2:$U4309,$U4309,$F$2:$F4309,$F4309)=1,1,0),IF(COUNTIFS($U$2:$U4309,$U4309,$L$2:$L4309,$L4309)=1,1,0)))</f>
        <v>0</v>
      </c>
      <c r="AA43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09" s="106" t="s">
        <v>24</v>
      </c>
      <c r="AC4309" s="51">
        <v>44825</v>
      </c>
      <c r="AD4309" s="106" t="s">
        <v>15</v>
      </c>
      <c r="AE4309" s="38" t="s">
        <v>399</v>
      </c>
    </row>
    <row r="4310" spans="1:31" ht="18" customHeight="1" x14ac:dyDescent="0.25">
      <c r="A43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0" s="79">
        <v>4</v>
      </c>
      <c r="C4310" s="23">
        <v>44510</v>
      </c>
      <c r="D4310" s="67">
        <f>IF(COUNTIF($G$2:$G4310,$G4310)=1,1,0)</f>
        <v>0</v>
      </c>
      <c r="E4310" s="67" t="str">
        <f>IFERROR(VLOOKUP(База_КР_КК[[#This Row],[ИД штатной должности (S)]],'уровень защищенности'!$B$7:$F$1095,5,0),"не защищена")</f>
        <v>высокий</v>
      </c>
      <c r="F4310" s="68">
        <v>500519</v>
      </c>
      <c r="G4310" s="74" t="s">
        <v>3233</v>
      </c>
      <c r="H4310" s="181">
        <f>INDEX('Списки данных'!$D$2:$D$1048576,MATCH(База_КР_КК[[#This Row],[Структурное подразделение]],'Списки данных'!$C$2:$C$1048576,0))</f>
        <v>221</v>
      </c>
      <c r="I4310" s="80" t="s">
        <v>171</v>
      </c>
      <c r="J4310" s="80" t="s">
        <v>266</v>
      </c>
      <c r="K4310" s="80" t="s">
        <v>21</v>
      </c>
      <c r="L4310" s="30" t="s">
        <v>191</v>
      </c>
      <c r="M4310" s="68">
        <v>7</v>
      </c>
      <c r="N4310" s="181" t="str">
        <f t="shared" si="68"/>
        <v>да</v>
      </c>
      <c r="O4310" s="23">
        <v>44806</v>
      </c>
      <c r="P4310" s="23">
        <v>44825</v>
      </c>
      <c r="Q4310" s="106" t="s">
        <v>66</v>
      </c>
      <c r="R4310" s="37">
        <v>1048</v>
      </c>
      <c r="S4310" s="39" t="s">
        <v>1457</v>
      </c>
      <c r="T4310" s="37">
        <v>1049</v>
      </c>
      <c r="U4310" s="37" t="s">
        <v>1458</v>
      </c>
      <c r="V4310" s="69" t="s">
        <v>192</v>
      </c>
      <c r="W4310" s="89" t="s">
        <v>171</v>
      </c>
      <c r="X4310" s="106" t="s">
        <v>296</v>
      </c>
      <c r="Y4310" s="107" t="s">
        <v>14</v>
      </c>
      <c r="Z4310" s="67">
        <f>IF(База_КР_КК[[#This Row],[Таб.номер резервиста]]="-","-",IF(OR(База_КР_КК[[#This Row],[Уровень КК]]=2,База_КР_КК[[#This Row],[Уровень КК]]=3),IF(COUNTIFS($U$2:$U4310,$U4310,$F$2:$F4310,$F4310)=1,1,0),IF(COUNTIFS($U$2:$U4310,$U4310,$L$2:$L4310,$L4310)=1,1,0)))</f>
        <v>1</v>
      </c>
      <c r="AA43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0" s="106" t="s">
        <v>24</v>
      </c>
      <c r="AC4310" s="51">
        <v>44963</v>
      </c>
      <c r="AD4310" s="106" t="s">
        <v>15</v>
      </c>
      <c r="AE4310" s="38" t="s">
        <v>399</v>
      </c>
    </row>
    <row r="4311" spans="1:31" ht="18" customHeight="1" x14ac:dyDescent="0.25">
      <c r="A43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1" s="79">
        <v>4</v>
      </c>
      <c r="C4311" s="23">
        <v>44510</v>
      </c>
      <c r="D4311" s="67">
        <f>IF(COUNTIF($G$2:$G4311,$G4311)=1,1,0)</f>
        <v>1</v>
      </c>
      <c r="E4311" s="67" t="str">
        <f>IFERROR(VLOOKUP(База_КР_КК[[#This Row],[ИД штатной должности (S)]],'уровень защищенности'!$B$7:$F$1095,5,0),"не защищена")</f>
        <v>высокий</v>
      </c>
      <c r="F4311" s="68">
        <v>500519</v>
      </c>
      <c r="G4311" s="74" t="s">
        <v>3234</v>
      </c>
      <c r="H4311" s="181">
        <f>INDEX('Списки данных'!$D$2:$D$1048576,MATCH(База_КР_КК[[#This Row],[Структурное подразделение]],'Списки данных'!$C$2:$C$1048576,0))</f>
        <v>221</v>
      </c>
      <c r="I4311" s="80" t="s">
        <v>171</v>
      </c>
      <c r="J4311" s="80" t="s">
        <v>266</v>
      </c>
      <c r="K4311" s="80" t="s">
        <v>21</v>
      </c>
      <c r="L4311" s="30" t="s">
        <v>191</v>
      </c>
      <c r="M4311" s="68">
        <v>7</v>
      </c>
      <c r="N4311" s="181" t="str">
        <f t="shared" si="68"/>
        <v>да</v>
      </c>
      <c r="O4311" s="23">
        <v>44951</v>
      </c>
      <c r="P4311" s="23">
        <v>44963</v>
      </c>
      <c r="Q4311" s="106" t="s">
        <v>66</v>
      </c>
      <c r="R4311" s="37">
        <v>1049</v>
      </c>
      <c r="S4311" s="39" t="s">
        <v>1458</v>
      </c>
      <c r="T4311" s="37">
        <v>2112</v>
      </c>
      <c r="U4311" s="37" t="s">
        <v>2139</v>
      </c>
      <c r="V4311" s="69" t="s">
        <v>272</v>
      </c>
      <c r="W4311" s="89" t="s">
        <v>171</v>
      </c>
      <c r="X4311" s="106" t="s">
        <v>295</v>
      </c>
      <c r="Y4311" s="107" t="s">
        <v>12</v>
      </c>
      <c r="Z4311" s="67">
        <f>IF(База_КР_КК[[#This Row],[Таб.номер резервиста]]="-","-",IF(OR(База_КР_КК[[#This Row],[Уровень КК]]=2,База_КР_КК[[#This Row],[Уровень КК]]=3),IF(COUNTIFS($U$2:$U4311,$U4311,$F$2:$F4311,$F4311)=1,1,0),IF(COUNTIFS($U$2:$U4311,$U4311,$L$2:$L4311,$L4311)=1,1,0)))</f>
        <v>0</v>
      </c>
      <c r="AA43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1" s="106"/>
      <c r="AC4311" s="51"/>
      <c r="AD4311" s="106" t="s">
        <v>17</v>
      </c>
      <c r="AE4311" s="38" t="s">
        <v>322</v>
      </c>
    </row>
    <row r="4312" spans="1:31" ht="18" customHeight="1" x14ac:dyDescent="0.25">
      <c r="A43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2" s="79">
        <v>4</v>
      </c>
      <c r="C4312" s="23">
        <v>44510</v>
      </c>
      <c r="D4312" s="67">
        <f>IF(COUNTIF($G$2:$G4312,$G4312)=1,1,0)</f>
        <v>0</v>
      </c>
      <c r="E4312" s="67" t="str">
        <f>IFERROR(VLOOKUP(База_КР_КК[[#This Row],[ИД штатной должности (S)]],'уровень защищенности'!$B$7:$F$1095,5,0),"не защищена")</f>
        <v>высокий</v>
      </c>
      <c r="F4312" s="68">
        <v>500519</v>
      </c>
      <c r="G4312" s="74" t="s">
        <v>3234</v>
      </c>
      <c r="H4312" s="181">
        <f>INDEX('Списки данных'!$D$2:$D$1048576,MATCH(База_КР_КК[[#This Row],[Структурное подразделение]],'Списки данных'!$C$2:$C$1048576,0))</f>
        <v>221</v>
      </c>
      <c r="I4312" s="80" t="s">
        <v>171</v>
      </c>
      <c r="J4312" s="80" t="s">
        <v>266</v>
      </c>
      <c r="K4312" s="80" t="s">
        <v>21</v>
      </c>
      <c r="L4312" s="30" t="s">
        <v>191</v>
      </c>
      <c r="M4312" s="68">
        <v>7</v>
      </c>
      <c r="N4312" s="181" t="str">
        <f t="shared" si="68"/>
        <v>да</v>
      </c>
      <c r="O4312" s="23">
        <v>44951</v>
      </c>
      <c r="P4312" s="23">
        <v>44963</v>
      </c>
      <c r="Q4312" s="106" t="s">
        <v>66</v>
      </c>
      <c r="R4312" s="37">
        <v>1049</v>
      </c>
      <c r="S4312" s="39" t="s">
        <v>1458</v>
      </c>
      <c r="T4312" s="37">
        <v>1048</v>
      </c>
      <c r="U4312" s="37" t="s">
        <v>1457</v>
      </c>
      <c r="V4312" s="69" t="s">
        <v>192</v>
      </c>
      <c r="W4312" s="89" t="s">
        <v>171</v>
      </c>
      <c r="X4312" s="106" t="s">
        <v>296</v>
      </c>
      <c r="Y4312" s="107" t="s">
        <v>14</v>
      </c>
      <c r="Z4312" s="67">
        <f>IF(База_КР_КК[[#This Row],[Таб.номер резервиста]]="-","-",IF(OR(База_КР_КК[[#This Row],[Уровень КК]]=2,База_КР_КК[[#This Row],[Уровень КК]]=3),IF(COUNTIFS($U$2:$U4312,$U4312,$F$2:$F4312,$F4312)=1,1,0),IF(COUNTIFS($U$2:$U4312,$U4312,$L$2:$L4312,$L4312)=1,1,0)))</f>
        <v>0</v>
      </c>
      <c r="AA43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2" s="106" t="s">
        <v>24</v>
      </c>
      <c r="AC4312" s="51">
        <v>44825</v>
      </c>
      <c r="AD4312" s="106" t="s">
        <v>15</v>
      </c>
      <c r="AE4312" s="38" t="s">
        <v>399</v>
      </c>
    </row>
    <row r="4313" spans="1:31" ht="18" customHeight="1" x14ac:dyDescent="0.25">
      <c r="A43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3" s="79">
        <v>4</v>
      </c>
      <c r="C4313" s="23">
        <v>44510</v>
      </c>
      <c r="D4313" s="67">
        <f>IF(COUNTIF($G$2:$G4313,$G4313)=1,1,0)</f>
        <v>0</v>
      </c>
      <c r="E4313" s="67" t="str">
        <f>IFERROR(VLOOKUP(База_КР_КК[[#This Row],[ИД штатной должности (S)]],'уровень защищенности'!$B$7:$F$1095,5,0),"не защищена")</f>
        <v>высокий</v>
      </c>
      <c r="F4313" s="68">
        <v>500519</v>
      </c>
      <c r="G4313" s="74" t="s">
        <v>3234</v>
      </c>
      <c r="H4313" s="181">
        <f>INDEX('Списки данных'!$D$2:$D$1048576,MATCH(База_КР_КК[[#This Row],[Структурное подразделение]],'Списки данных'!$C$2:$C$1048576,0))</f>
        <v>221</v>
      </c>
      <c r="I4313" s="80" t="s">
        <v>171</v>
      </c>
      <c r="J4313" s="80" t="s">
        <v>266</v>
      </c>
      <c r="K4313" s="80" t="s">
        <v>21</v>
      </c>
      <c r="L4313" s="30" t="s">
        <v>191</v>
      </c>
      <c r="M4313" s="68">
        <v>7</v>
      </c>
      <c r="N4313" s="181" t="str">
        <f t="shared" si="68"/>
        <v>да</v>
      </c>
      <c r="O4313" s="23">
        <v>44951</v>
      </c>
      <c r="P4313" s="23">
        <v>44963</v>
      </c>
      <c r="Q4313" s="106" t="s">
        <v>66</v>
      </c>
      <c r="R4313" s="37">
        <v>1049</v>
      </c>
      <c r="S4313" s="39" t="s">
        <v>1458</v>
      </c>
      <c r="T4313" s="37">
        <v>1049</v>
      </c>
      <c r="U4313" s="37" t="s">
        <v>1458</v>
      </c>
      <c r="V4313" s="69" t="s">
        <v>192</v>
      </c>
      <c r="W4313" s="89" t="s">
        <v>171</v>
      </c>
      <c r="X4313" s="106" t="s">
        <v>296</v>
      </c>
      <c r="Y4313" s="107" t="s">
        <v>14</v>
      </c>
      <c r="Z4313" s="67">
        <f>IF(База_КР_КК[[#This Row],[Таб.номер резервиста]]="-","-",IF(OR(База_КР_КК[[#This Row],[Уровень КК]]=2,База_КР_КК[[#This Row],[Уровень КК]]=3),IF(COUNTIFS($U$2:$U4313,$U4313,$F$2:$F4313,$F4313)=1,1,0),IF(COUNTIFS($U$2:$U4313,$U4313,$L$2:$L4313,$L4313)=1,1,0)))</f>
        <v>0</v>
      </c>
      <c r="AA43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13" s="106" t="s">
        <v>24</v>
      </c>
      <c r="AC4313" s="51">
        <v>44963</v>
      </c>
      <c r="AD4313" s="106" t="s">
        <v>15</v>
      </c>
      <c r="AE4313" s="38" t="s">
        <v>399</v>
      </c>
    </row>
    <row r="4314" spans="1:31" ht="18" customHeight="1" x14ac:dyDescent="0.25">
      <c r="A43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4" s="79">
        <v>4</v>
      </c>
      <c r="C4314" s="23">
        <v>44510</v>
      </c>
      <c r="D4314" s="67">
        <f>IF(COUNTIF($G$2:$G4314,$G4314)=1,1,0)</f>
        <v>1</v>
      </c>
      <c r="E4314" s="67" t="str">
        <f>IFERROR(VLOOKUP(База_КР_КК[[#This Row],[ИД штатной должности (S)]],'уровень защищенности'!$B$7:$F$1095,5,0),"не защищена")</f>
        <v>высокий</v>
      </c>
      <c r="F4314" s="68">
        <v>500519</v>
      </c>
      <c r="G4314" s="74" t="s">
        <v>3235</v>
      </c>
      <c r="H4314" s="181">
        <f>INDEX('Списки данных'!$D$2:$D$1048576,MATCH(База_КР_КК[[#This Row],[Структурное подразделение]],'Списки данных'!$C$2:$C$1048576,0))</f>
        <v>221</v>
      </c>
      <c r="I4314" s="80" t="s">
        <v>171</v>
      </c>
      <c r="J4314" s="80" t="s">
        <v>266</v>
      </c>
      <c r="K4314" s="80" t="s">
        <v>21</v>
      </c>
      <c r="L4314" s="30" t="s">
        <v>191</v>
      </c>
      <c r="M4314" s="68">
        <v>7</v>
      </c>
      <c r="N4314" s="181" t="str">
        <f t="shared" si="68"/>
        <v>нет</v>
      </c>
      <c r="O4314" s="23"/>
      <c r="P4314" s="23"/>
      <c r="Q4314" s="106"/>
      <c r="R4314" s="37">
        <v>1050</v>
      </c>
      <c r="S4314" s="39" t="s">
        <v>1459</v>
      </c>
      <c r="T4314" s="37">
        <v>2112</v>
      </c>
      <c r="U4314" s="37" t="s">
        <v>2139</v>
      </c>
      <c r="V4314" s="69" t="s">
        <v>272</v>
      </c>
      <c r="W4314" s="89" t="s">
        <v>171</v>
      </c>
      <c r="X4314" s="106" t="s">
        <v>295</v>
      </c>
      <c r="Y4314" s="107" t="s">
        <v>12</v>
      </c>
      <c r="Z4314" s="67">
        <f>IF(База_КР_КК[[#This Row],[Таб.номер резервиста]]="-","-",IF(OR(База_КР_КК[[#This Row],[Уровень КК]]=2,База_КР_КК[[#This Row],[Уровень КК]]=3),IF(COUNTIFS($U$2:$U4314,$U4314,$F$2:$F4314,$F4314)=1,1,0),IF(COUNTIFS($U$2:$U4314,$U4314,$L$2:$L4314,$L4314)=1,1,0)))</f>
        <v>0</v>
      </c>
      <c r="AA43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4" s="106"/>
      <c r="AC4314" s="51"/>
      <c r="AD4314" s="106" t="s">
        <v>17</v>
      </c>
      <c r="AE4314" s="38" t="s">
        <v>322</v>
      </c>
    </row>
    <row r="4315" spans="1:31" ht="18" customHeight="1" x14ac:dyDescent="0.25">
      <c r="A43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5" s="79">
        <v>4</v>
      </c>
      <c r="C4315" s="23">
        <v>44510</v>
      </c>
      <c r="D4315" s="67">
        <f>IF(COUNTIF($G$2:$G4315,$G4315)=1,1,0)</f>
        <v>0</v>
      </c>
      <c r="E4315" s="67" t="str">
        <f>IFERROR(VLOOKUP(База_КР_КК[[#This Row],[ИД штатной должности (S)]],'уровень защищенности'!$B$7:$F$1095,5,0),"не защищена")</f>
        <v>высокий</v>
      </c>
      <c r="F4315" s="68">
        <v>500519</v>
      </c>
      <c r="G4315" s="74" t="s">
        <v>3235</v>
      </c>
      <c r="H4315" s="181">
        <f>INDEX('Списки данных'!$D$2:$D$1048576,MATCH(База_КР_КК[[#This Row],[Структурное подразделение]],'Списки данных'!$C$2:$C$1048576,0))</f>
        <v>221</v>
      </c>
      <c r="I4315" s="80" t="s">
        <v>171</v>
      </c>
      <c r="J4315" s="80" t="s">
        <v>266</v>
      </c>
      <c r="K4315" s="80" t="s">
        <v>21</v>
      </c>
      <c r="L4315" s="30" t="s">
        <v>191</v>
      </c>
      <c r="M4315" s="68">
        <v>7</v>
      </c>
      <c r="N4315" s="181" t="str">
        <f t="shared" si="68"/>
        <v>нет</v>
      </c>
      <c r="O4315" s="23"/>
      <c r="P4315" s="23"/>
      <c r="Q4315" s="106"/>
      <c r="R4315" s="37">
        <v>1050</v>
      </c>
      <c r="S4315" s="39" t="s">
        <v>1459</v>
      </c>
      <c r="T4315" s="37">
        <v>1048</v>
      </c>
      <c r="U4315" s="37" t="s">
        <v>1457</v>
      </c>
      <c r="V4315" s="69" t="s">
        <v>192</v>
      </c>
      <c r="W4315" s="89" t="s">
        <v>171</v>
      </c>
      <c r="X4315" s="106" t="s">
        <v>296</v>
      </c>
      <c r="Y4315" s="107" t="s">
        <v>14</v>
      </c>
      <c r="Z4315" s="67">
        <f>IF(База_КР_КК[[#This Row],[Таб.номер резервиста]]="-","-",IF(OR(База_КР_КК[[#This Row],[Уровень КК]]=2,База_КР_КК[[#This Row],[Уровень КК]]=3),IF(COUNTIFS($U$2:$U4315,$U4315,$F$2:$F4315,$F4315)=1,1,0),IF(COUNTIFS($U$2:$U4315,$U4315,$L$2:$L4315,$L4315)=1,1,0)))</f>
        <v>0</v>
      </c>
      <c r="AA43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5" s="106" t="s">
        <v>24</v>
      </c>
      <c r="AC4315" s="51">
        <v>44825</v>
      </c>
      <c r="AD4315" s="106" t="s">
        <v>15</v>
      </c>
      <c r="AE4315" s="38" t="s">
        <v>399</v>
      </c>
    </row>
    <row r="4316" spans="1:31" ht="18" customHeight="1" x14ac:dyDescent="0.25">
      <c r="A43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6" s="79">
        <v>4</v>
      </c>
      <c r="C4316" s="23">
        <v>44510</v>
      </c>
      <c r="D4316" s="67">
        <f>IF(COUNTIF($G$2:$G4316,$G4316)=1,1,0)</f>
        <v>0</v>
      </c>
      <c r="E4316" s="67" t="str">
        <f>IFERROR(VLOOKUP(База_КР_КК[[#This Row],[ИД штатной должности (S)]],'уровень защищенности'!$B$7:$F$1095,5,0),"не защищена")</f>
        <v>высокий</v>
      </c>
      <c r="F4316" s="68">
        <v>500519</v>
      </c>
      <c r="G4316" s="74" t="s">
        <v>3235</v>
      </c>
      <c r="H4316" s="181">
        <f>INDEX('Списки данных'!$D$2:$D$1048576,MATCH(База_КР_КК[[#This Row],[Структурное подразделение]],'Списки данных'!$C$2:$C$1048576,0))</f>
        <v>221</v>
      </c>
      <c r="I4316" s="80" t="s">
        <v>171</v>
      </c>
      <c r="J4316" s="80" t="s">
        <v>266</v>
      </c>
      <c r="K4316" s="80" t="s">
        <v>21</v>
      </c>
      <c r="L4316" s="30" t="s">
        <v>191</v>
      </c>
      <c r="M4316" s="68">
        <v>7</v>
      </c>
      <c r="N4316" s="181" t="str">
        <f t="shared" si="68"/>
        <v>нет</v>
      </c>
      <c r="O4316" s="23"/>
      <c r="P4316" s="23"/>
      <c r="Q4316" s="106"/>
      <c r="R4316" s="37">
        <v>1050</v>
      </c>
      <c r="S4316" s="39" t="s">
        <v>1459</v>
      </c>
      <c r="T4316" s="37">
        <v>1049</v>
      </c>
      <c r="U4316" s="37" t="s">
        <v>1458</v>
      </c>
      <c r="V4316" s="69" t="s">
        <v>192</v>
      </c>
      <c r="W4316" s="89" t="s">
        <v>171</v>
      </c>
      <c r="X4316" s="106" t="s">
        <v>296</v>
      </c>
      <c r="Y4316" s="107" t="s">
        <v>14</v>
      </c>
      <c r="Z4316" s="67">
        <f>IF(База_КР_КК[[#This Row],[Таб.номер резервиста]]="-","-",IF(OR(База_КР_КК[[#This Row],[Уровень КК]]=2,База_КР_КК[[#This Row],[Уровень КК]]=3),IF(COUNTIFS($U$2:$U4316,$U4316,$F$2:$F4316,$F4316)=1,1,0),IF(COUNTIFS($U$2:$U4316,$U4316,$L$2:$L4316,$L4316)=1,1,0)))</f>
        <v>0</v>
      </c>
      <c r="AA43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6" s="106" t="s">
        <v>24</v>
      </c>
      <c r="AC4316" s="51">
        <v>44963</v>
      </c>
      <c r="AD4316" s="106" t="s">
        <v>15</v>
      </c>
      <c r="AE4316" s="38" t="s">
        <v>399</v>
      </c>
    </row>
    <row r="4317" spans="1:31" ht="18" customHeight="1" x14ac:dyDescent="0.25">
      <c r="A43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7" s="79">
        <v>4</v>
      </c>
      <c r="C4317" s="23">
        <v>44510</v>
      </c>
      <c r="D4317" s="67">
        <f>IF(COUNTIF($G$2:$G4317,$G4317)=1,1,0)</f>
        <v>1</v>
      </c>
      <c r="E4317" s="67" t="str">
        <f>IFERROR(VLOOKUP(База_КР_КК[[#This Row],[ИД штатной должности (S)]],'уровень защищенности'!$B$7:$F$1095,5,0),"не защищена")</f>
        <v>высокий</v>
      </c>
      <c r="F4317" s="68">
        <v>500519</v>
      </c>
      <c r="G4317" s="74" t="s">
        <v>3236</v>
      </c>
      <c r="H4317" s="181">
        <f>INDEX('Списки данных'!$D$2:$D$1048576,MATCH(База_КР_КК[[#This Row],[Структурное подразделение]],'Списки данных'!$C$2:$C$1048576,0))</f>
        <v>221</v>
      </c>
      <c r="I4317" s="80" t="s">
        <v>171</v>
      </c>
      <c r="J4317" s="80" t="s">
        <v>266</v>
      </c>
      <c r="K4317" s="80" t="s">
        <v>21</v>
      </c>
      <c r="L4317" s="30" t="s">
        <v>191</v>
      </c>
      <c r="M4317" s="68">
        <v>7</v>
      </c>
      <c r="N4317" s="181" t="str">
        <f t="shared" si="68"/>
        <v>нет</v>
      </c>
      <c r="O4317" s="23"/>
      <c r="P4317" s="23"/>
      <c r="Q4317" s="106"/>
      <c r="R4317" s="37">
        <v>1051</v>
      </c>
      <c r="S4317" s="39" t="s">
        <v>1460</v>
      </c>
      <c r="T4317" s="37">
        <v>2112</v>
      </c>
      <c r="U4317" s="37" t="s">
        <v>2139</v>
      </c>
      <c r="V4317" s="69" t="s">
        <v>272</v>
      </c>
      <c r="W4317" s="89" t="s">
        <v>171</v>
      </c>
      <c r="X4317" s="106" t="s">
        <v>295</v>
      </c>
      <c r="Y4317" s="107" t="s">
        <v>12</v>
      </c>
      <c r="Z4317" s="67">
        <f>IF(База_КР_КК[[#This Row],[Таб.номер резервиста]]="-","-",IF(OR(База_КР_КК[[#This Row],[Уровень КК]]=2,База_КР_КК[[#This Row],[Уровень КК]]=3),IF(COUNTIFS($U$2:$U4317,$U4317,$F$2:$F4317,$F4317)=1,1,0),IF(COUNTIFS($U$2:$U4317,$U4317,$L$2:$L4317,$L4317)=1,1,0)))</f>
        <v>0</v>
      </c>
      <c r="AA43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7" s="106"/>
      <c r="AC4317" s="51"/>
      <c r="AD4317" s="106" t="s">
        <v>17</v>
      </c>
      <c r="AE4317" s="38" t="s">
        <v>322</v>
      </c>
    </row>
    <row r="4318" spans="1:31" ht="18" customHeight="1" x14ac:dyDescent="0.25">
      <c r="A43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8" s="79">
        <v>4</v>
      </c>
      <c r="C4318" s="23">
        <v>44510</v>
      </c>
      <c r="D4318" s="67">
        <f>IF(COUNTIF($G$2:$G4318,$G4318)=1,1,0)</f>
        <v>0</v>
      </c>
      <c r="E4318" s="67" t="str">
        <f>IFERROR(VLOOKUP(База_КР_КК[[#This Row],[ИД штатной должности (S)]],'уровень защищенности'!$B$7:$F$1095,5,0),"не защищена")</f>
        <v>высокий</v>
      </c>
      <c r="F4318" s="68">
        <v>500519</v>
      </c>
      <c r="G4318" s="74" t="s">
        <v>3236</v>
      </c>
      <c r="H4318" s="181">
        <f>INDEX('Списки данных'!$D$2:$D$1048576,MATCH(База_КР_КК[[#This Row],[Структурное подразделение]],'Списки данных'!$C$2:$C$1048576,0))</f>
        <v>221</v>
      </c>
      <c r="I4318" s="80" t="s">
        <v>171</v>
      </c>
      <c r="J4318" s="80" t="s">
        <v>266</v>
      </c>
      <c r="K4318" s="80" t="s">
        <v>21</v>
      </c>
      <c r="L4318" s="30" t="s">
        <v>191</v>
      </c>
      <c r="M4318" s="68">
        <v>7</v>
      </c>
      <c r="N4318" s="181" t="str">
        <f t="shared" si="68"/>
        <v>нет</v>
      </c>
      <c r="O4318" s="23"/>
      <c r="P4318" s="23"/>
      <c r="Q4318" s="106"/>
      <c r="R4318" s="37">
        <v>1051</v>
      </c>
      <c r="S4318" s="39" t="s">
        <v>1460</v>
      </c>
      <c r="T4318" s="37">
        <v>1048</v>
      </c>
      <c r="U4318" s="37" t="s">
        <v>1457</v>
      </c>
      <c r="V4318" s="69" t="s">
        <v>192</v>
      </c>
      <c r="W4318" s="89" t="s">
        <v>171</v>
      </c>
      <c r="X4318" s="106" t="s">
        <v>296</v>
      </c>
      <c r="Y4318" s="107" t="s">
        <v>14</v>
      </c>
      <c r="Z4318" s="67">
        <f>IF(База_КР_КК[[#This Row],[Таб.номер резервиста]]="-","-",IF(OR(База_КР_КК[[#This Row],[Уровень КК]]=2,База_КР_КК[[#This Row],[Уровень КК]]=3),IF(COUNTIFS($U$2:$U4318,$U4318,$F$2:$F4318,$F4318)=1,1,0),IF(COUNTIFS($U$2:$U4318,$U4318,$L$2:$L4318,$L4318)=1,1,0)))</f>
        <v>0</v>
      </c>
      <c r="AA43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8" s="106" t="s">
        <v>24</v>
      </c>
      <c r="AC4318" s="51">
        <v>44825</v>
      </c>
      <c r="AD4318" s="106" t="s">
        <v>15</v>
      </c>
      <c r="AE4318" s="38" t="s">
        <v>399</v>
      </c>
    </row>
    <row r="4319" spans="1:31" ht="18" customHeight="1" x14ac:dyDescent="0.25">
      <c r="A43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19" s="79">
        <v>4</v>
      </c>
      <c r="C4319" s="23">
        <v>44510</v>
      </c>
      <c r="D4319" s="67">
        <f>IF(COUNTIF($G$2:$G4319,$G4319)=1,1,0)</f>
        <v>0</v>
      </c>
      <c r="E4319" s="67" t="str">
        <f>IFERROR(VLOOKUP(База_КР_КК[[#This Row],[ИД штатной должности (S)]],'уровень защищенности'!$B$7:$F$1095,5,0),"не защищена")</f>
        <v>высокий</v>
      </c>
      <c r="F4319" s="68">
        <v>500519</v>
      </c>
      <c r="G4319" s="74" t="s">
        <v>3236</v>
      </c>
      <c r="H4319" s="181">
        <f>INDEX('Списки данных'!$D$2:$D$1048576,MATCH(База_КР_КК[[#This Row],[Структурное подразделение]],'Списки данных'!$C$2:$C$1048576,0))</f>
        <v>221</v>
      </c>
      <c r="I4319" s="80" t="s">
        <v>171</v>
      </c>
      <c r="J4319" s="80" t="s">
        <v>266</v>
      </c>
      <c r="K4319" s="80" t="s">
        <v>21</v>
      </c>
      <c r="L4319" s="30" t="s">
        <v>191</v>
      </c>
      <c r="M4319" s="68">
        <v>7</v>
      </c>
      <c r="N4319" s="181" t="str">
        <f t="shared" si="68"/>
        <v>нет</v>
      </c>
      <c r="O4319" s="23"/>
      <c r="P4319" s="23"/>
      <c r="Q4319" s="106"/>
      <c r="R4319" s="37">
        <v>1051</v>
      </c>
      <c r="S4319" s="39" t="s">
        <v>1460</v>
      </c>
      <c r="T4319" s="37">
        <v>1049</v>
      </c>
      <c r="U4319" s="37" t="s">
        <v>1458</v>
      </c>
      <c r="V4319" s="69" t="s">
        <v>192</v>
      </c>
      <c r="W4319" s="89" t="s">
        <v>171</v>
      </c>
      <c r="X4319" s="106" t="s">
        <v>296</v>
      </c>
      <c r="Y4319" s="107" t="s">
        <v>14</v>
      </c>
      <c r="Z4319" s="67">
        <f>IF(База_КР_КК[[#This Row],[Таб.номер резервиста]]="-","-",IF(OR(База_КР_КК[[#This Row],[Уровень КК]]=2,База_КР_КК[[#This Row],[Уровень КК]]=3),IF(COUNTIFS($U$2:$U4319,$U4319,$F$2:$F4319,$F4319)=1,1,0),IF(COUNTIFS($U$2:$U4319,$U4319,$L$2:$L4319,$L4319)=1,1,0)))</f>
        <v>0</v>
      </c>
      <c r="AA43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19" s="106" t="s">
        <v>24</v>
      </c>
      <c r="AC4319" s="51">
        <v>44963</v>
      </c>
      <c r="AD4319" s="106" t="s">
        <v>15</v>
      </c>
      <c r="AE4319" s="38" t="s">
        <v>399</v>
      </c>
    </row>
    <row r="4320" spans="1:31" ht="18" customHeight="1" x14ac:dyDescent="0.25">
      <c r="A43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0" s="79">
        <v>4</v>
      </c>
      <c r="C4320" s="23">
        <v>44510</v>
      </c>
      <c r="D4320" s="67">
        <f>IF(COUNTIF($G$2:$G4320,$G4320)=1,1,0)</f>
        <v>1</v>
      </c>
      <c r="E4320" s="67" t="str">
        <f>IFERROR(VLOOKUP(База_КР_КК[[#This Row],[ИД штатной должности (S)]],'уровень защищенности'!$B$7:$F$1095,5,0),"не защищена")</f>
        <v>средний</v>
      </c>
      <c r="F4320" s="68">
        <v>500520</v>
      </c>
      <c r="G4320" s="74" t="s">
        <v>3237</v>
      </c>
      <c r="H4320" s="181">
        <f>INDEX('Списки данных'!$D$2:$D$1048576,MATCH(База_КР_КК[[#This Row],[Структурное подразделение]],'Списки данных'!$C$2:$C$1048576,0))</f>
        <v>221</v>
      </c>
      <c r="I4320" s="80" t="s">
        <v>171</v>
      </c>
      <c r="J4320" s="80" t="s">
        <v>266</v>
      </c>
      <c r="K4320" s="80" t="s">
        <v>267</v>
      </c>
      <c r="L4320" s="30" t="s">
        <v>198</v>
      </c>
      <c r="M4320" s="68">
        <v>7</v>
      </c>
      <c r="N4320" s="181" t="str">
        <f t="shared" si="68"/>
        <v>нет</v>
      </c>
      <c r="O4320" s="23"/>
      <c r="P4320" s="23"/>
      <c r="Q4320" s="106"/>
      <c r="R4320" s="37">
        <v>1052</v>
      </c>
      <c r="S4320" s="39" t="s">
        <v>1461</v>
      </c>
      <c r="T4320" s="37">
        <v>2113</v>
      </c>
      <c r="U4320" s="37" t="s">
        <v>2140</v>
      </c>
      <c r="V4320" s="89" t="s">
        <v>16</v>
      </c>
      <c r="W4320" s="89" t="s">
        <v>171</v>
      </c>
      <c r="X4320" s="106" t="s">
        <v>297</v>
      </c>
      <c r="Y4320" s="107" t="s">
        <v>12</v>
      </c>
      <c r="Z4320" s="67">
        <f>IF(База_КР_КК[[#This Row],[Таб.номер резервиста]]="-","-",IF(OR(База_КР_КК[[#This Row],[Уровень КК]]=2,База_КР_КК[[#This Row],[Уровень КК]]=3),IF(COUNTIFS($U$2:$U4320,$U4320,$F$2:$F4320,$F4320)=1,1,0),IF(COUNTIFS($U$2:$U4320,$U4320,$L$2:$L4320,$L4320)=1,1,0)))</f>
        <v>1</v>
      </c>
      <c r="AA43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0" s="106"/>
      <c r="AC4320" s="51"/>
      <c r="AD4320" s="106" t="s">
        <v>17</v>
      </c>
      <c r="AE4320" s="38" t="s">
        <v>322</v>
      </c>
    </row>
    <row r="4321" spans="1:31" ht="18" customHeight="1" x14ac:dyDescent="0.25">
      <c r="A43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1" s="79">
        <v>4</v>
      </c>
      <c r="C4321" s="23">
        <v>44510</v>
      </c>
      <c r="D4321" s="67">
        <f>IF(COUNTIF($G$2:$G4321,$G4321)=1,1,0)</f>
        <v>1</v>
      </c>
      <c r="E4321" s="67" t="str">
        <f>IFERROR(VLOOKUP(База_КР_КК[[#This Row],[ИД штатной должности (S)]],'уровень защищенности'!$B$7:$F$1095,5,0),"не защищена")</f>
        <v>средний</v>
      </c>
      <c r="F4321" s="68">
        <v>500521</v>
      </c>
      <c r="G4321" s="74" t="s">
        <v>3238</v>
      </c>
      <c r="H4321" s="181">
        <f>INDEX('Списки данных'!$D$2:$D$1048576,MATCH(База_КР_КК[[#This Row],[Структурное подразделение]],'Списки данных'!$C$2:$C$1048576,0))</f>
        <v>221</v>
      </c>
      <c r="I4321" s="80" t="s">
        <v>171</v>
      </c>
      <c r="J4321" s="80" t="s">
        <v>266</v>
      </c>
      <c r="K4321" s="80" t="s">
        <v>267</v>
      </c>
      <c r="L4321" s="30" t="s">
        <v>198</v>
      </c>
      <c r="M4321" s="68">
        <v>7</v>
      </c>
      <c r="N4321" s="181" t="str">
        <f t="shared" si="68"/>
        <v>да</v>
      </c>
      <c r="O4321" s="23">
        <v>44966</v>
      </c>
      <c r="P4321" s="23">
        <v>45091</v>
      </c>
      <c r="Q4321" s="106" t="s">
        <v>65</v>
      </c>
      <c r="R4321" s="37">
        <v>1053</v>
      </c>
      <c r="S4321" s="37" t="s">
        <v>1462</v>
      </c>
      <c r="T4321" s="37">
        <v>2114</v>
      </c>
      <c r="U4321" s="37" t="s">
        <v>1967</v>
      </c>
      <c r="V4321" s="69" t="s">
        <v>16</v>
      </c>
      <c r="W4321" s="89" t="s">
        <v>273</v>
      </c>
      <c r="X4321" s="106" t="s">
        <v>297</v>
      </c>
      <c r="Y4321" s="107" t="s">
        <v>12</v>
      </c>
      <c r="Z4321" s="67">
        <f>IF(База_КР_КК[[#This Row],[Таб.номер резервиста]]="-","-",IF(OR(База_КР_КК[[#This Row],[Уровень КК]]=2,База_КР_КК[[#This Row],[Уровень КК]]=3),IF(COUNTIFS($U$2:$U4321,$U4321,$F$2:$F4321,$F4321)=1,1,0),IF(COUNTIFS($U$2:$U4321,$U4321,$L$2:$L4321,$L4321)=1,1,0)))</f>
        <v>0</v>
      </c>
      <c r="AA43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1" s="106"/>
      <c r="AC4321" s="51"/>
      <c r="AD4321" s="106" t="s">
        <v>17</v>
      </c>
      <c r="AE4321" s="38" t="s">
        <v>322</v>
      </c>
    </row>
    <row r="4322" spans="1:31" ht="18" customHeight="1" x14ac:dyDescent="0.25">
      <c r="A43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2" s="79">
        <v>4</v>
      </c>
      <c r="C4322" s="23">
        <v>44510</v>
      </c>
      <c r="D4322" s="67">
        <f>IF(COUNTIF($G$2:$G4322,$G4322)=1,1,0)</f>
        <v>1</v>
      </c>
      <c r="E4322" s="67" t="str">
        <f>IFERROR(VLOOKUP(База_КР_КК[[#This Row],[ИД штатной должности (S)]],'уровень защищенности'!$B$7:$F$1095,5,0),"не защищена")</f>
        <v>не защищена</v>
      </c>
      <c r="F4322" s="68">
        <v>500522</v>
      </c>
      <c r="G4322" s="74" t="s">
        <v>3239</v>
      </c>
      <c r="H4322" s="181">
        <f>INDEX('Списки данных'!$D$2:$D$1048576,MATCH(База_КР_КК[[#This Row],[Структурное подразделение]],'Списки данных'!$C$2:$C$1048576,0))</f>
        <v>221</v>
      </c>
      <c r="I4322" s="80" t="s">
        <v>171</v>
      </c>
      <c r="J4322" s="80" t="s">
        <v>266</v>
      </c>
      <c r="K4322" s="80" t="s">
        <v>267</v>
      </c>
      <c r="L4322" s="30" t="s">
        <v>198</v>
      </c>
      <c r="M4322" s="68">
        <v>7</v>
      </c>
      <c r="N4322" s="181" t="str">
        <f t="shared" si="68"/>
        <v>нет</v>
      </c>
      <c r="O4322" s="23"/>
      <c r="P4322" s="23"/>
      <c r="Q4322" s="106"/>
      <c r="R4322" s="37">
        <v>1054</v>
      </c>
      <c r="S4322" s="39" t="s">
        <v>1463</v>
      </c>
      <c r="T4322" s="37">
        <v>1064</v>
      </c>
      <c r="U4322" s="37" t="s">
        <v>1473</v>
      </c>
      <c r="V4322" s="69" t="s">
        <v>194</v>
      </c>
      <c r="W4322" s="89" t="s">
        <v>171</v>
      </c>
      <c r="X4322" s="106" t="s">
        <v>295</v>
      </c>
      <c r="Y4322" s="107" t="s">
        <v>14</v>
      </c>
      <c r="Z4322" s="67">
        <f>IF(База_КР_КК[[#This Row],[Таб.номер резервиста]]="-","-",IF(OR(База_КР_КК[[#This Row],[Уровень КК]]=2,База_КР_КК[[#This Row],[Уровень КК]]=3),IF(COUNTIFS($U$2:$U4322,$U4322,$F$2:$F4322,$F4322)=1,1,0),IF(COUNTIFS($U$2:$U4322,$U4322,$L$2:$L4322,$L4322)=1,1,0)))</f>
        <v>1</v>
      </c>
      <c r="AA43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2" s="106" t="s">
        <v>24</v>
      </c>
      <c r="AC4322" s="51">
        <v>44951</v>
      </c>
      <c r="AD4322" s="106" t="s">
        <v>15</v>
      </c>
      <c r="AE4322" s="38" t="s">
        <v>399</v>
      </c>
    </row>
    <row r="4323" spans="1:31" ht="18" customHeight="1" x14ac:dyDescent="0.25">
      <c r="A43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3" s="79">
        <v>4</v>
      </c>
      <c r="C4323" s="23">
        <v>44510</v>
      </c>
      <c r="D4323" s="67">
        <f>IF(COUNTIF($G$2:$G4323,$G4323)=1,1,0)</f>
        <v>1</v>
      </c>
      <c r="E4323" s="67" t="str">
        <f>IFERROR(VLOOKUP(База_КР_КК[[#This Row],[ИД штатной должности (S)]],'уровень защищенности'!$B$7:$F$1095,5,0),"не защищена")</f>
        <v>средний</v>
      </c>
      <c r="F4323" s="68">
        <v>500523</v>
      </c>
      <c r="G4323" s="74" t="s">
        <v>3240</v>
      </c>
      <c r="H4323" s="181">
        <f>INDEX('Списки данных'!$D$2:$D$1048576,MATCH(База_КР_КК[[#This Row],[Структурное подразделение]],'Списки данных'!$C$2:$C$1048576,0))</f>
        <v>221</v>
      </c>
      <c r="I4323" s="80" t="s">
        <v>171</v>
      </c>
      <c r="J4323" s="80" t="s">
        <v>266</v>
      </c>
      <c r="K4323" s="80" t="s">
        <v>21</v>
      </c>
      <c r="L4323" s="30" t="s">
        <v>186</v>
      </c>
      <c r="M4323" s="68">
        <v>6</v>
      </c>
      <c r="N4323" s="181" t="str">
        <f t="shared" si="68"/>
        <v>нет</v>
      </c>
      <c r="O4323" s="23"/>
      <c r="P4323" s="23"/>
      <c r="Q4323" s="106"/>
      <c r="R4323" s="37">
        <v>1055</v>
      </c>
      <c r="S4323" s="39" t="s">
        <v>1464</v>
      </c>
      <c r="T4323" s="37">
        <v>1099</v>
      </c>
      <c r="U4323" s="37" t="s">
        <v>1508</v>
      </c>
      <c r="V4323" s="89" t="s">
        <v>192</v>
      </c>
      <c r="W4323" s="89" t="s">
        <v>171</v>
      </c>
      <c r="X4323" s="106" t="s">
        <v>297</v>
      </c>
      <c r="Y4323" s="107" t="s">
        <v>12</v>
      </c>
      <c r="Z4323" s="67">
        <f>IF(База_КР_КК[[#This Row],[Таб.номер резервиста]]="-","-",IF(OR(База_КР_КК[[#This Row],[Уровень КК]]=2,База_КР_КК[[#This Row],[Уровень КК]]=3),IF(COUNTIFS($U$2:$U4323,$U4323,$F$2:$F4323,$F4323)=1,1,0),IF(COUNTIFS($U$2:$U4323,$U4323,$L$2:$L4323,$L4323)=1,1,0)))</f>
        <v>1</v>
      </c>
      <c r="AA43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3" s="106"/>
      <c r="AC4323" s="51"/>
      <c r="AD4323" s="106" t="s">
        <v>13</v>
      </c>
      <c r="AE4323" s="38" t="s">
        <v>389</v>
      </c>
    </row>
    <row r="4324" spans="1:31" ht="18" customHeight="1" x14ac:dyDescent="0.25">
      <c r="A43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4" s="79">
        <v>4</v>
      </c>
      <c r="C4324" s="23">
        <v>44510</v>
      </c>
      <c r="D4324" s="67">
        <f>IF(COUNTIF($G$2:$G4324,$G4324)=1,1,0)</f>
        <v>0</v>
      </c>
      <c r="E4324" s="67" t="str">
        <f>IFERROR(VLOOKUP(База_КР_КК[[#This Row],[ИД штатной должности (S)]],'уровень защищенности'!$B$7:$F$1095,5,0),"не защищена")</f>
        <v>средний</v>
      </c>
      <c r="F4324" s="68">
        <v>500523</v>
      </c>
      <c r="G4324" s="74" t="s">
        <v>3240</v>
      </c>
      <c r="H4324" s="181">
        <f>INDEX('Списки данных'!$D$2:$D$1048576,MATCH(База_КР_КК[[#This Row],[Структурное подразделение]],'Списки данных'!$C$2:$C$1048576,0))</f>
        <v>221</v>
      </c>
      <c r="I4324" s="80" t="s">
        <v>171</v>
      </c>
      <c r="J4324" s="80" t="s">
        <v>266</v>
      </c>
      <c r="K4324" s="80" t="s">
        <v>21</v>
      </c>
      <c r="L4324" s="30" t="s">
        <v>186</v>
      </c>
      <c r="M4324" s="68">
        <v>6</v>
      </c>
      <c r="N4324" s="181" t="str">
        <f t="shared" si="68"/>
        <v>нет</v>
      </c>
      <c r="O4324" s="23"/>
      <c r="P4324" s="23"/>
      <c r="Q4324" s="106"/>
      <c r="R4324" s="37">
        <v>1055</v>
      </c>
      <c r="S4324" s="39" t="s">
        <v>1464</v>
      </c>
      <c r="T4324" s="37">
        <v>2115</v>
      </c>
      <c r="U4324" s="38" t="s">
        <v>1582</v>
      </c>
      <c r="V4324" s="69" t="s">
        <v>251</v>
      </c>
      <c r="W4324" s="89" t="s">
        <v>171</v>
      </c>
      <c r="X4324" s="106" t="s">
        <v>296</v>
      </c>
      <c r="Y4324" s="107" t="s">
        <v>12</v>
      </c>
      <c r="Z4324" s="67">
        <f>IF(База_КР_КК[[#This Row],[Таб.номер резервиста]]="-","-",IF(OR(База_КР_КК[[#This Row],[Уровень КК]]=2,База_КР_КК[[#This Row],[Уровень КК]]=3),IF(COUNTIFS($U$2:$U4324,$U4324,$F$2:$F4324,$F4324)=1,1,0),IF(COUNTIFS($U$2:$U4324,$U4324,$L$2:$L4324,$L4324)=1,1,0)))</f>
        <v>1</v>
      </c>
      <c r="AA43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4" s="106"/>
      <c r="AC4324" s="51"/>
      <c r="AD4324" s="106" t="s">
        <v>15</v>
      </c>
      <c r="AE4324" s="38" t="s">
        <v>389</v>
      </c>
    </row>
    <row r="4325" spans="1:31" ht="18" customHeight="1" x14ac:dyDescent="0.25">
      <c r="A43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5" s="79">
        <v>4</v>
      </c>
      <c r="C4325" s="23">
        <v>44510</v>
      </c>
      <c r="D4325" s="67">
        <f>IF(COUNTIF($G$2:$G4325,$G4325)=1,1,0)</f>
        <v>1</v>
      </c>
      <c r="E4325" s="67" t="str">
        <f>IFERROR(VLOOKUP(База_КР_КК[[#This Row],[ИД штатной должности (S)]],'уровень защищенности'!$B$7:$F$1095,5,0),"не защищена")</f>
        <v>не защищена</v>
      </c>
      <c r="F4325" s="68">
        <v>500524</v>
      </c>
      <c r="G4325" s="74" t="s">
        <v>3241</v>
      </c>
      <c r="H4325" s="181">
        <f>INDEX('Списки данных'!$D$2:$D$1048576,MATCH(База_КР_КК[[#This Row],[Структурное подразделение]],'Списки данных'!$C$2:$C$1048576,0))</f>
        <v>221</v>
      </c>
      <c r="I4325" s="80" t="s">
        <v>171</v>
      </c>
      <c r="J4325" s="80" t="s">
        <v>266</v>
      </c>
      <c r="K4325" s="80" t="s">
        <v>21</v>
      </c>
      <c r="L4325" s="30" t="s">
        <v>191</v>
      </c>
      <c r="M4325" s="68">
        <v>7</v>
      </c>
      <c r="N4325" s="181" t="str">
        <f t="shared" si="68"/>
        <v>да</v>
      </c>
      <c r="O4325" s="23">
        <v>44901</v>
      </c>
      <c r="P4325" s="23">
        <v>44911</v>
      </c>
      <c r="Q4325" s="106" t="s">
        <v>66</v>
      </c>
      <c r="R4325" s="37">
        <v>1056</v>
      </c>
      <c r="S4325" s="37" t="s">
        <v>1465</v>
      </c>
      <c r="T4325" s="37">
        <v>1056</v>
      </c>
      <c r="U4325" s="37" t="s">
        <v>1465</v>
      </c>
      <c r="V4325" s="69" t="s">
        <v>192</v>
      </c>
      <c r="W4325" s="89" t="s">
        <v>171</v>
      </c>
      <c r="X4325" s="106" t="s">
        <v>295</v>
      </c>
      <c r="Y4325" s="107" t="s">
        <v>14</v>
      </c>
      <c r="Z4325" s="67">
        <f>IF(База_КР_КК[[#This Row],[Таб.номер резервиста]]="-","-",IF(OR(База_КР_КК[[#This Row],[Уровень КК]]=2,База_КР_КК[[#This Row],[Уровень КК]]=3),IF(COUNTIFS($U$2:$U4325,$U4325,$F$2:$F4325,$F4325)=1,1,0),IF(COUNTIFS($U$2:$U4325,$U4325,$L$2:$L4325,$L4325)=1,1,0)))</f>
        <v>1</v>
      </c>
      <c r="AA43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25" s="106" t="s">
        <v>24</v>
      </c>
      <c r="AC4325" s="51">
        <v>44911</v>
      </c>
      <c r="AD4325" s="106" t="s">
        <v>17</v>
      </c>
      <c r="AE4325" s="38" t="s">
        <v>322</v>
      </c>
    </row>
    <row r="4326" spans="1:31" ht="18" customHeight="1" x14ac:dyDescent="0.25">
      <c r="A43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6" s="79">
        <v>4</v>
      </c>
      <c r="C4326" s="23">
        <v>44510</v>
      </c>
      <c r="D4326" s="67">
        <f>IF(COUNTIF($G$2:$G4326,$G4326)=1,1,0)</f>
        <v>1</v>
      </c>
      <c r="E4326" s="67" t="str">
        <f>IFERROR(VLOOKUP(База_КР_КК[[#This Row],[ИД штатной должности (S)]],'уровень защищенности'!$B$7:$F$1095,5,0),"не защищена")</f>
        <v>не защищена</v>
      </c>
      <c r="F4326" s="68">
        <v>500524</v>
      </c>
      <c r="G4326" s="74" t="s">
        <v>3242</v>
      </c>
      <c r="H4326" s="181">
        <f>INDEX('Списки данных'!$D$2:$D$1048576,MATCH(База_КР_КК[[#This Row],[Структурное подразделение]],'Списки данных'!$C$2:$C$1048576,0))</f>
        <v>221</v>
      </c>
      <c r="I4326" s="80" t="s">
        <v>171</v>
      </c>
      <c r="J4326" s="80" t="s">
        <v>266</v>
      </c>
      <c r="K4326" s="80" t="s">
        <v>21</v>
      </c>
      <c r="L4326" s="30" t="s">
        <v>191</v>
      </c>
      <c r="M4326" s="68">
        <v>7</v>
      </c>
      <c r="N4326" s="181" t="str">
        <f t="shared" si="68"/>
        <v>нет</v>
      </c>
      <c r="O4326" s="23"/>
      <c r="P4326" s="23"/>
      <c r="Q4326" s="106"/>
      <c r="R4326" s="37">
        <v>1057</v>
      </c>
      <c r="S4326" s="39" t="s">
        <v>1466</v>
      </c>
      <c r="T4326" s="37">
        <v>1056</v>
      </c>
      <c r="U4326" s="37" t="s">
        <v>1465</v>
      </c>
      <c r="V4326" s="69" t="s">
        <v>192</v>
      </c>
      <c r="W4326" s="89" t="s">
        <v>171</v>
      </c>
      <c r="X4326" s="106" t="s">
        <v>295</v>
      </c>
      <c r="Y4326" s="107" t="s">
        <v>14</v>
      </c>
      <c r="Z4326" s="67">
        <f>IF(База_КР_КК[[#This Row],[Таб.номер резервиста]]="-","-",IF(OR(База_КР_КК[[#This Row],[Уровень КК]]=2,База_КР_КК[[#This Row],[Уровень КК]]=3),IF(COUNTIFS($U$2:$U4326,$U4326,$F$2:$F4326,$F4326)=1,1,0),IF(COUNTIFS($U$2:$U4326,$U4326,$L$2:$L4326,$L4326)=1,1,0)))</f>
        <v>0</v>
      </c>
      <c r="AA43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6" s="106" t="s">
        <v>24</v>
      </c>
      <c r="AC4326" s="51">
        <v>44911</v>
      </c>
      <c r="AD4326" s="106" t="s">
        <v>17</v>
      </c>
      <c r="AE4326" s="38" t="s">
        <v>322</v>
      </c>
    </row>
    <row r="4327" spans="1:31" ht="18" customHeight="1" x14ac:dyDescent="0.25">
      <c r="A43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7" s="79">
        <v>4</v>
      </c>
      <c r="C4327" s="23">
        <v>44510</v>
      </c>
      <c r="D4327" s="67">
        <f>IF(COUNTIF($G$2:$G4327,$G4327)=1,1,0)</f>
        <v>1</v>
      </c>
      <c r="E4327" s="67" t="str">
        <f>IFERROR(VLOOKUP(База_КР_КК[[#This Row],[ИД штатной должности (S)]],'уровень защищенности'!$B$7:$F$1095,5,0),"не защищена")</f>
        <v>не защищена</v>
      </c>
      <c r="F4327" s="68">
        <v>500524</v>
      </c>
      <c r="G4327" s="74" t="s">
        <v>3243</v>
      </c>
      <c r="H4327" s="181">
        <f>INDEX('Списки данных'!$D$2:$D$1048576,MATCH(База_КР_КК[[#This Row],[Структурное подразделение]],'Списки данных'!$C$2:$C$1048576,0))</f>
        <v>221</v>
      </c>
      <c r="I4327" s="80" t="s">
        <v>171</v>
      </c>
      <c r="J4327" s="80" t="s">
        <v>266</v>
      </c>
      <c r="K4327" s="80" t="s">
        <v>21</v>
      </c>
      <c r="L4327" s="30" t="s">
        <v>191</v>
      </c>
      <c r="M4327" s="68">
        <v>7</v>
      </c>
      <c r="N4327" s="181" t="str">
        <f t="shared" si="68"/>
        <v>нет</v>
      </c>
      <c r="O4327" s="23"/>
      <c r="P4327" s="23"/>
      <c r="Q4327" s="106"/>
      <c r="R4327" s="37">
        <v>1058</v>
      </c>
      <c r="S4327" s="39" t="s">
        <v>1467</v>
      </c>
      <c r="T4327" s="37">
        <v>1056</v>
      </c>
      <c r="U4327" s="37" t="s">
        <v>1465</v>
      </c>
      <c r="V4327" s="69" t="s">
        <v>192</v>
      </c>
      <c r="W4327" s="89" t="s">
        <v>171</v>
      </c>
      <c r="X4327" s="106" t="s">
        <v>295</v>
      </c>
      <c r="Y4327" s="107" t="s">
        <v>14</v>
      </c>
      <c r="Z4327" s="67">
        <f>IF(База_КР_КК[[#This Row],[Таб.номер резервиста]]="-","-",IF(OR(База_КР_КК[[#This Row],[Уровень КК]]=2,База_КР_КК[[#This Row],[Уровень КК]]=3),IF(COUNTIFS($U$2:$U4327,$U4327,$F$2:$F4327,$F4327)=1,1,0),IF(COUNTIFS($U$2:$U4327,$U4327,$L$2:$L4327,$L4327)=1,1,0)))</f>
        <v>0</v>
      </c>
      <c r="AA43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7" s="106" t="s">
        <v>24</v>
      </c>
      <c r="AC4327" s="51">
        <v>44911</v>
      </c>
      <c r="AD4327" s="106" t="s">
        <v>17</v>
      </c>
      <c r="AE4327" s="38" t="s">
        <v>322</v>
      </c>
    </row>
    <row r="4328" spans="1:31" ht="18" customHeight="1" x14ac:dyDescent="0.25">
      <c r="A43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8" s="79">
        <v>4</v>
      </c>
      <c r="C4328" s="23">
        <v>44510</v>
      </c>
      <c r="D4328" s="67">
        <f>IF(COUNTIF($G$2:$G4328,$G4328)=1,1,0)</f>
        <v>1</v>
      </c>
      <c r="E4328" s="67" t="str">
        <f>IFERROR(VLOOKUP(База_КР_КК[[#This Row],[ИД штатной должности (S)]],'уровень защищенности'!$B$7:$F$1095,5,0),"не защищена")</f>
        <v>не защищена</v>
      </c>
      <c r="F4328" s="68">
        <v>500524</v>
      </c>
      <c r="G4328" s="74" t="s">
        <v>3244</v>
      </c>
      <c r="H4328" s="181">
        <f>INDEX('Списки данных'!$D$2:$D$1048576,MATCH(База_КР_КК[[#This Row],[Структурное подразделение]],'Списки данных'!$C$2:$C$1048576,0))</f>
        <v>221</v>
      </c>
      <c r="I4328" s="80" t="s">
        <v>171</v>
      </c>
      <c r="J4328" s="80" t="s">
        <v>266</v>
      </c>
      <c r="K4328" s="80" t="s">
        <v>21</v>
      </c>
      <c r="L4328" s="30" t="s">
        <v>191</v>
      </c>
      <c r="M4328" s="68">
        <v>7</v>
      </c>
      <c r="N4328" s="181" t="str">
        <f t="shared" si="68"/>
        <v>нет</v>
      </c>
      <c r="O4328" s="23"/>
      <c r="P4328" s="23"/>
      <c r="Q4328" s="106"/>
      <c r="R4328" s="37">
        <v>1059</v>
      </c>
      <c r="S4328" s="39" t="s">
        <v>1468</v>
      </c>
      <c r="T4328" s="37">
        <v>1056</v>
      </c>
      <c r="U4328" s="37" t="s">
        <v>1465</v>
      </c>
      <c r="V4328" s="69" t="s">
        <v>192</v>
      </c>
      <c r="W4328" s="89" t="s">
        <v>171</v>
      </c>
      <c r="X4328" s="106" t="s">
        <v>295</v>
      </c>
      <c r="Y4328" s="107" t="s">
        <v>14</v>
      </c>
      <c r="Z4328" s="67">
        <f>IF(База_КР_КК[[#This Row],[Таб.номер резервиста]]="-","-",IF(OR(База_КР_КК[[#This Row],[Уровень КК]]=2,База_КР_КК[[#This Row],[Уровень КК]]=3),IF(COUNTIFS($U$2:$U4328,$U4328,$F$2:$F4328,$F4328)=1,1,0),IF(COUNTIFS($U$2:$U4328,$U4328,$L$2:$L4328,$L4328)=1,1,0)))</f>
        <v>0</v>
      </c>
      <c r="AA43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8" s="106" t="s">
        <v>24</v>
      </c>
      <c r="AC4328" s="51">
        <v>44911</v>
      </c>
      <c r="AD4328" s="106" t="s">
        <v>17</v>
      </c>
      <c r="AE4328" s="38" t="s">
        <v>322</v>
      </c>
    </row>
    <row r="4329" spans="1:31" ht="18" customHeight="1" x14ac:dyDescent="0.25">
      <c r="A43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29" s="79">
        <v>4</v>
      </c>
      <c r="C4329" s="23">
        <v>44510</v>
      </c>
      <c r="D4329" s="67">
        <f>IF(COUNTIF($G$2:$G4329,$G4329)=1,1,0)</f>
        <v>1</v>
      </c>
      <c r="E4329" s="67" t="str">
        <f>IFERROR(VLOOKUP(База_КР_КК[[#This Row],[ИД штатной должности (S)]],'уровень защищенности'!$B$7:$F$1095,5,0),"не защищена")</f>
        <v>высокий</v>
      </c>
      <c r="F4329" s="68">
        <v>500525</v>
      </c>
      <c r="G4329" s="74" t="s">
        <v>3245</v>
      </c>
      <c r="H4329" s="181">
        <f>INDEX('Списки данных'!$D$2:$D$1048576,MATCH(База_КР_КК[[#This Row],[Структурное подразделение]],'Списки данных'!$C$2:$C$1048576,0))</f>
        <v>221</v>
      </c>
      <c r="I4329" s="80" t="s">
        <v>171</v>
      </c>
      <c r="J4329" s="80" t="s">
        <v>266</v>
      </c>
      <c r="K4329" s="80" t="s">
        <v>21</v>
      </c>
      <c r="L4329" s="30" t="s">
        <v>186</v>
      </c>
      <c r="M4329" s="68">
        <v>6</v>
      </c>
      <c r="N4329" s="181" t="str">
        <f t="shared" si="68"/>
        <v>нет</v>
      </c>
      <c r="O4329" s="23"/>
      <c r="P4329" s="23"/>
      <c r="Q4329" s="106"/>
      <c r="R4329" s="37">
        <v>1060</v>
      </c>
      <c r="S4329" s="39" t="s">
        <v>1469</v>
      </c>
      <c r="T4329" s="37">
        <v>2116</v>
      </c>
      <c r="U4329" s="37" t="s">
        <v>1582</v>
      </c>
      <c r="V4329" s="69" t="s">
        <v>189</v>
      </c>
      <c r="W4329" s="89" t="s">
        <v>171</v>
      </c>
      <c r="X4329" s="106" t="s">
        <v>295</v>
      </c>
      <c r="Y4329" s="107" t="s">
        <v>12</v>
      </c>
      <c r="Z4329" s="67">
        <f>IF(База_КР_КК[[#This Row],[Таб.номер резервиста]]="-","-",IF(OR(База_КР_КК[[#This Row],[Уровень КК]]=2,База_КР_КК[[#This Row],[Уровень КК]]=3),IF(COUNTIFS($U$2:$U4329,$U4329,$F$2:$F4329,$F4329)=1,1,0),IF(COUNTIFS($U$2:$U4329,$U4329,$L$2:$L4329,$L4329)=1,1,0)))</f>
        <v>0</v>
      </c>
      <c r="AA432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29" s="106"/>
      <c r="AC4329" s="51"/>
      <c r="AD4329" s="106" t="s">
        <v>13</v>
      </c>
      <c r="AE4329" s="38" t="s">
        <v>389</v>
      </c>
    </row>
    <row r="4330" spans="1:31" ht="18" customHeight="1" x14ac:dyDescent="0.25">
      <c r="A43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0" s="79">
        <v>4</v>
      </c>
      <c r="C4330" s="23">
        <v>44510</v>
      </c>
      <c r="D4330" s="67">
        <f>IF(COUNTIF($G$2:$G4330,$G4330)=1,1,0)</f>
        <v>0</v>
      </c>
      <c r="E4330" s="67" t="str">
        <f>IFERROR(VLOOKUP(База_КР_КК[[#This Row],[ИД штатной должности (S)]],'уровень защищенности'!$B$7:$F$1095,5,0),"не защищена")</f>
        <v>высокий</v>
      </c>
      <c r="F4330" s="68">
        <v>500525</v>
      </c>
      <c r="G4330" s="74" t="s">
        <v>3245</v>
      </c>
      <c r="H4330" s="181">
        <f>INDEX('Списки данных'!$D$2:$D$1048576,MATCH(База_КР_КК[[#This Row],[Структурное подразделение]],'Списки данных'!$C$2:$C$1048576,0))</f>
        <v>221</v>
      </c>
      <c r="I4330" s="80" t="s">
        <v>171</v>
      </c>
      <c r="J4330" s="80" t="s">
        <v>266</v>
      </c>
      <c r="K4330" s="80" t="s">
        <v>21</v>
      </c>
      <c r="L4330" s="30" t="s">
        <v>186</v>
      </c>
      <c r="M4330" s="68">
        <v>6</v>
      </c>
      <c r="N4330" s="181" t="str">
        <f t="shared" si="68"/>
        <v>нет</v>
      </c>
      <c r="O4330" s="23"/>
      <c r="P4330" s="23"/>
      <c r="Q4330" s="106"/>
      <c r="R4330" s="37">
        <v>1060</v>
      </c>
      <c r="S4330" s="39" t="s">
        <v>1469</v>
      </c>
      <c r="T4330" s="37">
        <v>2117</v>
      </c>
      <c r="U4330" s="37" t="s">
        <v>2014</v>
      </c>
      <c r="V4330" s="69" t="s">
        <v>189</v>
      </c>
      <c r="W4330" s="89" t="s">
        <v>294</v>
      </c>
      <c r="X4330" s="106" t="s">
        <v>296</v>
      </c>
      <c r="Y4330" s="107" t="s">
        <v>12</v>
      </c>
      <c r="Z4330" s="67">
        <f>IF(База_КР_КК[[#This Row],[Таб.номер резервиста]]="-","-",IF(OR(База_КР_КК[[#This Row],[Уровень КК]]=2,База_КР_КК[[#This Row],[Уровень КК]]=3),IF(COUNTIFS($U$2:$U4330,$U4330,$F$2:$F4330,$F4330)=1,1,0),IF(COUNTIFS($U$2:$U4330,$U4330,$L$2:$L4330,$L4330)=1,1,0)))</f>
        <v>1</v>
      </c>
      <c r="AA43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0" s="106"/>
      <c r="AC4330" s="51"/>
      <c r="AD4330" s="106" t="s">
        <v>13</v>
      </c>
      <c r="AE4330" s="38" t="s">
        <v>389</v>
      </c>
    </row>
    <row r="4331" spans="1:31" ht="18" customHeight="1" x14ac:dyDescent="0.25">
      <c r="A43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1" s="79">
        <v>4</v>
      </c>
      <c r="C4331" s="23">
        <v>44510</v>
      </c>
      <c r="D4331" s="67">
        <f>IF(COUNTIF($G$2:$G4331,$G4331)=1,1,0)</f>
        <v>1</v>
      </c>
      <c r="E4331" s="67" t="str">
        <f>IFERROR(VLOOKUP(База_КР_КК[[#This Row],[ИД штатной должности (S)]],'уровень защищенности'!$B$7:$F$1095,5,0),"не защищена")</f>
        <v>низкий</v>
      </c>
      <c r="F4331" s="68">
        <v>500526</v>
      </c>
      <c r="G4331" s="74" t="s">
        <v>3246</v>
      </c>
      <c r="H4331" s="181">
        <f>INDEX('Списки данных'!$D$2:$D$1048576,MATCH(База_КР_КК[[#This Row],[Структурное подразделение]],'Списки данных'!$C$2:$C$1048576,0))</f>
        <v>221</v>
      </c>
      <c r="I4331" s="80" t="s">
        <v>171</v>
      </c>
      <c r="J4331" s="80" t="s">
        <v>266</v>
      </c>
      <c r="K4331" s="80" t="s">
        <v>21</v>
      </c>
      <c r="L4331" s="30" t="s">
        <v>194</v>
      </c>
      <c r="M4331" s="68">
        <v>7</v>
      </c>
      <c r="N4331" s="181" t="str">
        <f t="shared" si="68"/>
        <v>нет</v>
      </c>
      <c r="O4331" s="23"/>
      <c r="P4331" s="23"/>
      <c r="Q4331" s="106"/>
      <c r="R4331" s="37">
        <v>1061</v>
      </c>
      <c r="S4331" s="39" t="s">
        <v>1470</v>
      </c>
      <c r="T4331" s="37">
        <v>2118</v>
      </c>
      <c r="U4331" s="37" t="s">
        <v>1759</v>
      </c>
      <c r="V4331" s="69" t="s">
        <v>16</v>
      </c>
      <c r="W4331" s="89" t="s">
        <v>171</v>
      </c>
      <c r="X4331" s="106" t="s">
        <v>296</v>
      </c>
      <c r="Y4331" s="107" t="s">
        <v>12</v>
      </c>
      <c r="Z4331" s="67">
        <f>IF(База_КР_КК[[#This Row],[Таб.номер резервиста]]="-","-",IF(OR(База_КР_КК[[#This Row],[Уровень КК]]=2,База_КР_КК[[#This Row],[Уровень КК]]=3),IF(COUNTIFS($U$2:$U4331,$U4331,$F$2:$F4331,$F4331)=1,1,0),IF(COUNTIFS($U$2:$U4331,$U4331,$L$2:$L4331,$L4331)=1,1,0)))</f>
        <v>1</v>
      </c>
      <c r="AA43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1" s="106"/>
      <c r="AC4331" s="51"/>
      <c r="AD4331" s="106" t="s">
        <v>17</v>
      </c>
      <c r="AE4331" s="38" t="s">
        <v>322</v>
      </c>
    </row>
    <row r="4332" spans="1:31" ht="18" customHeight="1" x14ac:dyDescent="0.25">
      <c r="A43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2" s="79">
        <v>4</v>
      </c>
      <c r="C4332" s="23">
        <v>44879</v>
      </c>
      <c r="D4332" s="67">
        <f>IF(COUNTIF($G$2:$G4332,$G4332)=1,1,0)</f>
        <v>0</v>
      </c>
      <c r="E4332" s="67" t="str">
        <f>IFERROR(VLOOKUP(База_КР_КК[[#This Row],[ИД штатной должности (S)]],'уровень защищенности'!$B$7:$F$1095,5,0),"не защищена")</f>
        <v>низкий</v>
      </c>
      <c r="F4332" s="68">
        <v>500526</v>
      </c>
      <c r="G4332" s="74" t="s">
        <v>3246</v>
      </c>
      <c r="H4332" s="181">
        <f>INDEX('Списки данных'!$D$2:$D$1048576,MATCH(База_КР_КК[[#This Row],[Структурное подразделение]],'Списки данных'!$C$2:$C$1048576,0))</f>
        <v>221</v>
      </c>
      <c r="I4332" s="80" t="s">
        <v>171</v>
      </c>
      <c r="J4332" s="80" t="s">
        <v>266</v>
      </c>
      <c r="K4332" s="80" t="s">
        <v>21</v>
      </c>
      <c r="L4332" s="30" t="s">
        <v>194</v>
      </c>
      <c r="M4332" s="68">
        <v>7</v>
      </c>
      <c r="N4332" s="181" t="str">
        <f t="shared" si="68"/>
        <v>нет</v>
      </c>
      <c r="O4332" s="23"/>
      <c r="P4332" s="23"/>
      <c r="Q4332" s="106"/>
      <c r="R4332" s="37">
        <v>1061</v>
      </c>
      <c r="S4332" s="39" t="s">
        <v>1470</v>
      </c>
      <c r="T4332" s="37">
        <v>2119</v>
      </c>
      <c r="U4332" s="38" t="s">
        <v>1987</v>
      </c>
      <c r="V4332" s="69" t="s">
        <v>16</v>
      </c>
      <c r="W4332" s="89" t="s">
        <v>171</v>
      </c>
      <c r="X4332" s="106" t="s">
        <v>296</v>
      </c>
      <c r="Y4332" s="107" t="s">
        <v>12</v>
      </c>
      <c r="Z4332" s="67">
        <f>IF(База_КР_КК[[#This Row],[Таб.номер резервиста]]="-","-",IF(OR(База_КР_КК[[#This Row],[Уровень КК]]=2,База_КР_КК[[#This Row],[Уровень КК]]=3),IF(COUNTIFS($U$2:$U4332,$U4332,$F$2:$F4332,$F4332)=1,1,0),IF(COUNTIFS($U$2:$U4332,$U4332,$L$2:$L4332,$L4332)=1,1,0)))</f>
        <v>1</v>
      </c>
      <c r="AA43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2" s="106"/>
      <c r="AC4332" s="51"/>
      <c r="AD4332" s="106" t="s">
        <v>15</v>
      </c>
      <c r="AE4332" s="38" t="s">
        <v>322</v>
      </c>
    </row>
    <row r="4333" spans="1:31" ht="18" customHeight="1" x14ac:dyDescent="0.25">
      <c r="A43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3" s="79">
        <v>4</v>
      </c>
      <c r="C4333" s="23">
        <v>44510</v>
      </c>
      <c r="D4333" s="67">
        <f>IF(COUNTIF($G$2:$G4333,$G4333)=1,1,0)</f>
        <v>0</v>
      </c>
      <c r="E4333" s="67" t="str">
        <f>IFERROR(VLOOKUP(База_КР_КК[[#This Row],[ИД штатной должности (S)]],'уровень защищенности'!$B$7:$F$1095,5,0),"не защищена")</f>
        <v>низкий</v>
      </c>
      <c r="F4333" s="68">
        <v>500526</v>
      </c>
      <c r="G4333" s="74" t="s">
        <v>3246</v>
      </c>
      <c r="H4333" s="181">
        <f>INDEX('Списки данных'!$D$2:$D$1048576,MATCH(База_КР_КК[[#This Row],[Структурное подразделение]],'Списки данных'!$C$2:$C$1048576,0))</f>
        <v>221</v>
      </c>
      <c r="I4333" s="80" t="s">
        <v>171</v>
      </c>
      <c r="J4333" s="80" t="s">
        <v>266</v>
      </c>
      <c r="K4333" s="80" t="s">
        <v>21</v>
      </c>
      <c r="L4333" s="30" t="s">
        <v>194</v>
      </c>
      <c r="M4333" s="68">
        <v>7</v>
      </c>
      <c r="N4333" s="181" t="str">
        <f t="shared" si="68"/>
        <v>нет</v>
      </c>
      <c r="O4333" s="23"/>
      <c r="P4333" s="23"/>
      <c r="Q4333" s="106"/>
      <c r="R4333" s="37">
        <v>1061</v>
      </c>
      <c r="S4333" s="39" t="s">
        <v>1470</v>
      </c>
      <c r="T4333" s="37">
        <v>1062</v>
      </c>
      <c r="U4333" s="37" t="s">
        <v>1471</v>
      </c>
      <c r="V4333" s="69" t="s">
        <v>194</v>
      </c>
      <c r="W4333" s="89" t="s">
        <v>171</v>
      </c>
      <c r="X4333" s="106" t="s">
        <v>296</v>
      </c>
      <c r="Y4333" s="107" t="s">
        <v>14</v>
      </c>
      <c r="Z4333" s="67">
        <f>IF(База_КР_КК[[#This Row],[Таб.номер резервиста]]="-","-",IF(OR(База_КР_КК[[#This Row],[Уровень КК]]=2,База_КР_КК[[#This Row],[Уровень КК]]=3),IF(COUNTIFS($U$2:$U4333,$U4333,$F$2:$F4333,$F4333)=1,1,0),IF(COUNTIFS($U$2:$U4333,$U4333,$L$2:$L4333,$L4333)=1,1,0)))</f>
        <v>1</v>
      </c>
      <c r="AA43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3" s="106" t="s">
        <v>24</v>
      </c>
      <c r="AC4333" s="51">
        <v>44806</v>
      </c>
      <c r="AD4333" s="106" t="s">
        <v>31</v>
      </c>
      <c r="AE4333" s="38" t="s">
        <v>322</v>
      </c>
    </row>
    <row r="4334" spans="1:31" ht="18" customHeight="1" x14ac:dyDescent="0.25">
      <c r="A43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4" s="79">
        <v>4</v>
      </c>
      <c r="C4334" s="23">
        <v>44510</v>
      </c>
      <c r="D4334" s="67">
        <f>IF(COUNTIF($G$2:$G4334,$G4334)=1,1,0)</f>
        <v>0</v>
      </c>
      <c r="E4334" s="67" t="str">
        <f>IFERROR(VLOOKUP(База_КР_КК[[#This Row],[ИД штатной должности (S)]],'уровень защищенности'!$B$7:$F$1095,5,0),"не защищена")</f>
        <v>низкий</v>
      </c>
      <c r="F4334" s="68">
        <v>500526</v>
      </c>
      <c r="G4334" s="74" t="s">
        <v>3246</v>
      </c>
      <c r="H4334" s="181">
        <f>INDEX('Списки данных'!$D$2:$D$1048576,MATCH(База_КР_КК[[#This Row],[Структурное подразделение]],'Списки данных'!$C$2:$C$1048576,0))</f>
        <v>221</v>
      </c>
      <c r="I4334" s="80" t="s">
        <v>171</v>
      </c>
      <c r="J4334" s="80" t="s">
        <v>266</v>
      </c>
      <c r="K4334" s="80" t="s">
        <v>21</v>
      </c>
      <c r="L4334" s="30" t="s">
        <v>194</v>
      </c>
      <c r="M4334" s="68">
        <v>7</v>
      </c>
      <c r="N4334" s="181" t="str">
        <f t="shared" si="68"/>
        <v>нет</v>
      </c>
      <c r="O4334" s="23"/>
      <c r="P4334" s="23"/>
      <c r="Q4334" s="106"/>
      <c r="R4334" s="37">
        <v>1061</v>
      </c>
      <c r="S4334" s="39" t="s">
        <v>1470</v>
      </c>
      <c r="T4334" s="37">
        <v>1064</v>
      </c>
      <c r="U4334" s="37" t="s">
        <v>1473</v>
      </c>
      <c r="V4334" s="69" t="s">
        <v>194</v>
      </c>
      <c r="W4334" s="89" t="s">
        <v>171</v>
      </c>
      <c r="X4334" s="106" t="s">
        <v>295</v>
      </c>
      <c r="Y4334" s="107" t="s">
        <v>14</v>
      </c>
      <c r="Z4334" s="67">
        <f>IF(База_КР_КК[[#This Row],[Таб.номер резервиста]]="-","-",IF(OR(База_КР_КК[[#This Row],[Уровень КК]]=2,База_КР_КК[[#This Row],[Уровень КК]]=3),IF(COUNTIFS($U$2:$U4334,$U4334,$F$2:$F4334,$F4334)=1,1,0),IF(COUNTIFS($U$2:$U4334,$U4334,$L$2:$L4334,$L4334)=1,1,0)))</f>
        <v>1</v>
      </c>
      <c r="AA43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4" s="106" t="s">
        <v>24</v>
      </c>
      <c r="AC4334" s="51">
        <v>44951</v>
      </c>
      <c r="AD4334" s="106" t="s">
        <v>15</v>
      </c>
      <c r="AE4334" s="38" t="s">
        <v>399</v>
      </c>
    </row>
    <row r="4335" spans="1:31" ht="18" customHeight="1" x14ac:dyDescent="0.25">
      <c r="A43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5" s="79">
        <v>4</v>
      </c>
      <c r="C4335" s="23">
        <v>44510</v>
      </c>
      <c r="D4335" s="67">
        <f>IF(COUNTIF($G$2:$G4335,$G4335)=1,1,0)</f>
        <v>1</v>
      </c>
      <c r="E4335" s="67" t="str">
        <f>IFERROR(VLOOKUP(База_КР_КК[[#This Row],[ИД штатной должности (S)]],'уровень защищенности'!$B$7:$F$1095,5,0),"не защищена")</f>
        <v>низкий</v>
      </c>
      <c r="F4335" s="68">
        <v>500526</v>
      </c>
      <c r="G4335" s="74" t="s">
        <v>3247</v>
      </c>
      <c r="H4335" s="181">
        <f>INDEX('Списки данных'!$D$2:$D$1048576,MATCH(База_КР_КК[[#This Row],[Структурное подразделение]],'Списки данных'!$C$2:$C$1048576,0))</f>
        <v>221</v>
      </c>
      <c r="I4335" s="80" t="s">
        <v>171</v>
      </c>
      <c r="J4335" s="80" t="s">
        <v>266</v>
      </c>
      <c r="K4335" s="80" t="s">
        <v>21</v>
      </c>
      <c r="L4335" s="30" t="s">
        <v>194</v>
      </c>
      <c r="M4335" s="68">
        <v>7</v>
      </c>
      <c r="N4335" s="181" t="str">
        <f t="shared" si="68"/>
        <v>да</v>
      </c>
      <c r="O4335" s="23">
        <v>44781</v>
      </c>
      <c r="P4335" s="23">
        <v>44806</v>
      </c>
      <c r="Q4335" s="106" t="s">
        <v>66</v>
      </c>
      <c r="R4335" s="37">
        <v>1062</v>
      </c>
      <c r="S4335" s="39" t="s">
        <v>1471</v>
      </c>
      <c r="T4335" s="37">
        <v>2118</v>
      </c>
      <c r="U4335" s="37" t="s">
        <v>1759</v>
      </c>
      <c r="V4335" s="69" t="s">
        <v>16</v>
      </c>
      <c r="W4335" s="89" t="s">
        <v>171</v>
      </c>
      <c r="X4335" s="106" t="s">
        <v>296</v>
      </c>
      <c r="Y4335" s="107" t="s">
        <v>12</v>
      </c>
      <c r="Z4335" s="67">
        <f>IF(База_КР_КК[[#This Row],[Таб.номер резервиста]]="-","-",IF(OR(База_КР_КК[[#This Row],[Уровень КК]]=2,База_КР_КК[[#This Row],[Уровень КК]]=3),IF(COUNTIFS($U$2:$U4335,$U4335,$F$2:$F4335,$F4335)=1,1,0),IF(COUNTIFS($U$2:$U4335,$U4335,$L$2:$L4335,$L4335)=1,1,0)))</f>
        <v>0</v>
      </c>
      <c r="AA43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5" s="106"/>
      <c r="AC4335" s="51"/>
      <c r="AD4335" s="106" t="s">
        <v>15</v>
      </c>
      <c r="AE4335" s="38" t="s">
        <v>399</v>
      </c>
    </row>
    <row r="4336" spans="1:31" ht="18" customHeight="1" x14ac:dyDescent="0.25">
      <c r="A43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6" s="79">
        <v>4</v>
      </c>
      <c r="C4336" s="23">
        <v>44879</v>
      </c>
      <c r="D4336" s="67">
        <f>IF(COUNTIF($G$2:$G4336,$G4336)=1,1,0)</f>
        <v>0</v>
      </c>
      <c r="E4336" s="67" t="str">
        <f>IFERROR(VLOOKUP(База_КР_КК[[#This Row],[ИД штатной должности (S)]],'уровень защищенности'!$B$7:$F$1095,5,0),"не защищена")</f>
        <v>низкий</v>
      </c>
      <c r="F4336" s="68">
        <v>500526</v>
      </c>
      <c r="G4336" s="74" t="s">
        <v>3247</v>
      </c>
      <c r="H4336" s="181">
        <f>INDEX('Списки данных'!$D$2:$D$1048576,MATCH(База_КР_КК[[#This Row],[Структурное подразделение]],'Списки данных'!$C$2:$C$1048576,0))</f>
        <v>221</v>
      </c>
      <c r="I4336" s="80" t="s">
        <v>171</v>
      </c>
      <c r="J4336" s="80" t="s">
        <v>266</v>
      </c>
      <c r="K4336" s="80" t="s">
        <v>21</v>
      </c>
      <c r="L4336" s="30" t="s">
        <v>194</v>
      </c>
      <c r="M4336" s="68">
        <v>7</v>
      </c>
      <c r="N4336" s="181" t="str">
        <f t="shared" si="68"/>
        <v>да</v>
      </c>
      <c r="O4336" s="23">
        <v>44781</v>
      </c>
      <c r="P4336" s="23">
        <v>44806</v>
      </c>
      <c r="Q4336" s="106" t="s">
        <v>66</v>
      </c>
      <c r="R4336" s="37">
        <v>1062</v>
      </c>
      <c r="S4336" s="39" t="s">
        <v>1471</v>
      </c>
      <c r="T4336" s="37">
        <v>2119</v>
      </c>
      <c r="U4336" s="38" t="s">
        <v>1987</v>
      </c>
      <c r="V4336" s="69" t="s">
        <v>16</v>
      </c>
      <c r="W4336" s="89" t="s">
        <v>171</v>
      </c>
      <c r="X4336" s="106" t="s">
        <v>296</v>
      </c>
      <c r="Y4336" s="107" t="s">
        <v>12</v>
      </c>
      <c r="Z4336" s="67">
        <f>IF(База_КР_КК[[#This Row],[Таб.номер резервиста]]="-","-",IF(OR(База_КР_КК[[#This Row],[Уровень КК]]=2,База_КР_КК[[#This Row],[Уровень КК]]=3),IF(COUNTIFS($U$2:$U4336,$U4336,$F$2:$F4336,$F4336)=1,1,0),IF(COUNTIFS($U$2:$U4336,$U4336,$L$2:$L4336,$L4336)=1,1,0)))</f>
        <v>0</v>
      </c>
      <c r="AA433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6" s="106"/>
      <c r="AC4336" s="51"/>
      <c r="AD4336" s="106" t="s">
        <v>15</v>
      </c>
      <c r="AE4336" s="38" t="s">
        <v>322</v>
      </c>
    </row>
    <row r="4337" spans="1:31" ht="18" customHeight="1" x14ac:dyDescent="0.25">
      <c r="A43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7" s="79">
        <v>4</v>
      </c>
      <c r="C4337" s="23">
        <v>44510</v>
      </c>
      <c r="D4337" s="67">
        <f>IF(COUNTIF($G$2:$G4337,$G4337)=1,1,0)</f>
        <v>0</v>
      </c>
      <c r="E4337" s="67" t="str">
        <f>IFERROR(VLOOKUP(База_КР_КК[[#This Row],[ИД штатной должности (S)]],'уровень защищенности'!$B$7:$F$1095,5,0),"не защищена")</f>
        <v>низкий</v>
      </c>
      <c r="F4337" s="68">
        <v>500526</v>
      </c>
      <c r="G4337" s="74" t="s">
        <v>3247</v>
      </c>
      <c r="H4337" s="181">
        <f>INDEX('Списки данных'!$D$2:$D$1048576,MATCH(База_КР_КК[[#This Row],[Структурное подразделение]],'Списки данных'!$C$2:$C$1048576,0))</f>
        <v>221</v>
      </c>
      <c r="I4337" s="80" t="s">
        <v>171</v>
      </c>
      <c r="J4337" s="80" t="s">
        <v>266</v>
      </c>
      <c r="K4337" s="80" t="s">
        <v>21</v>
      </c>
      <c r="L4337" s="30" t="s">
        <v>194</v>
      </c>
      <c r="M4337" s="68">
        <v>7</v>
      </c>
      <c r="N4337" s="181" t="str">
        <f t="shared" si="68"/>
        <v>да</v>
      </c>
      <c r="O4337" s="23">
        <v>44781</v>
      </c>
      <c r="P4337" s="23">
        <v>44806</v>
      </c>
      <c r="Q4337" s="106" t="s">
        <v>66</v>
      </c>
      <c r="R4337" s="37">
        <v>1062</v>
      </c>
      <c r="S4337" s="39" t="s">
        <v>1471</v>
      </c>
      <c r="T4337" s="37">
        <v>1062</v>
      </c>
      <c r="U4337" s="37" t="s">
        <v>1471</v>
      </c>
      <c r="V4337" s="69" t="s">
        <v>194</v>
      </c>
      <c r="W4337" s="89" t="s">
        <v>171</v>
      </c>
      <c r="X4337" s="106" t="s">
        <v>296</v>
      </c>
      <c r="Y4337" s="107" t="s">
        <v>14</v>
      </c>
      <c r="Z4337" s="67">
        <f>IF(База_КР_КК[[#This Row],[Таб.номер резервиста]]="-","-",IF(OR(База_КР_КК[[#This Row],[Уровень КК]]=2,База_КР_КК[[#This Row],[Уровень КК]]=3),IF(COUNTIFS($U$2:$U4337,$U4337,$F$2:$F4337,$F4337)=1,1,0),IF(COUNTIFS($U$2:$U4337,$U4337,$L$2:$L4337,$L4337)=1,1,0)))</f>
        <v>0</v>
      </c>
      <c r="AA43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37" s="106" t="s">
        <v>24</v>
      </c>
      <c r="AC4337" s="51">
        <v>44806</v>
      </c>
      <c r="AD4337" s="106" t="s">
        <v>31</v>
      </c>
      <c r="AE4337" s="38" t="s">
        <v>322</v>
      </c>
    </row>
    <row r="4338" spans="1:31" ht="18" customHeight="1" x14ac:dyDescent="0.25">
      <c r="A43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8" s="79">
        <v>4</v>
      </c>
      <c r="C4338" s="23">
        <v>44510</v>
      </c>
      <c r="D4338" s="67">
        <f>IF(COUNTIF($G$2:$G4338,$G4338)=1,1,0)</f>
        <v>0</v>
      </c>
      <c r="E4338" s="67" t="str">
        <f>IFERROR(VLOOKUP(База_КР_КК[[#This Row],[ИД штатной должности (S)]],'уровень защищенности'!$B$7:$F$1095,5,0),"не защищена")</f>
        <v>низкий</v>
      </c>
      <c r="F4338" s="68">
        <v>500526</v>
      </c>
      <c r="G4338" s="74" t="s">
        <v>3247</v>
      </c>
      <c r="H4338" s="181">
        <f>INDEX('Списки данных'!$D$2:$D$1048576,MATCH(База_КР_КК[[#This Row],[Структурное подразделение]],'Списки данных'!$C$2:$C$1048576,0))</f>
        <v>221</v>
      </c>
      <c r="I4338" s="80" t="s">
        <v>171</v>
      </c>
      <c r="J4338" s="80" t="s">
        <v>266</v>
      </c>
      <c r="K4338" s="80" t="s">
        <v>21</v>
      </c>
      <c r="L4338" s="30" t="s">
        <v>194</v>
      </c>
      <c r="M4338" s="68">
        <v>7</v>
      </c>
      <c r="N4338" s="181" t="str">
        <f t="shared" si="68"/>
        <v>да</v>
      </c>
      <c r="O4338" s="23">
        <v>44781</v>
      </c>
      <c r="P4338" s="23">
        <v>44806</v>
      </c>
      <c r="Q4338" s="106" t="s">
        <v>66</v>
      </c>
      <c r="R4338" s="37">
        <v>1062</v>
      </c>
      <c r="S4338" s="39" t="s">
        <v>1471</v>
      </c>
      <c r="T4338" s="37">
        <v>1064</v>
      </c>
      <c r="U4338" s="37" t="s">
        <v>1473</v>
      </c>
      <c r="V4338" s="69" t="s">
        <v>194</v>
      </c>
      <c r="W4338" s="89" t="s">
        <v>171</v>
      </c>
      <c r="X4338" s="106" t="s">
        <v>295</v>
      </c>
      <c r="Y4338" s="107" t="s">
        <v>14</v>
      </c>
      <c r="Z4338" s="67">
        <f>IF(База_КР_КК[[#This Row],[Таб.номер резервиста]]="-","-",IF(OR(База_КР_КК[[#This Row],[Уровень КК]]=2,База_КР_КК[[#This Row],[Уровень КК]]=3),IF(COUNTIFS($U$2:$U4338,$U4338,$F$2:$F4338,$F4338)=1,1,0),IF(COUNTIFS($U$2:$U4338,$U4338,$L$2:$L4338,$L4338)=1,1,0)))</f>
        <v>0</v>
      </c>
      <c r="AA43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8" s="106" t="s">
        <v>24</v>
      </c>
      <c r="AC4338" s="51">
        <v>44951</v>
      </c>
      <c r="AD4338" s="106" t="s">
        <v>15</v>
      </c>
      <c r="AE4338" s="38" t="s">
        <v>399</v>
      </c>
    </row>
    <row r="4339" spans="1:31" ht="18" customHeight="1" x14ac:dyDescent="0.25">
      <c r="A43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39" s="79">
        <v>4</v>
      </c>
      <c r="C4339" s="23">
        <v>44510</v>
      </c>
      <c r="D4339" s="67">
        <f>IF(COUNTIF($G$2:$G4339,$G4339)=1,1,0)</f>
        <v>1</v>
      </c>
      <c r="E4339" s="67" t="str">
        <f>IFERROR(VLOOKUP(База_КР_КК[[#This Row],[ИД штатной должности (S)]],'уровень защищенности'!$B$7:$F$1095,5,0),"не защищена")</f>
        <v>низкий</v>
      </c>
      <c r="F4339" s="68">
        <v>500526</v>
      </c>
      <c r="G4339" s="74" t="s">
        <v>3248</v>
      </c>
      <c r="H4339" s="181">
        <f>INDEX('Списки данных'!$D$2:$D$1048576,MATCH(База_КР_КК[[#This Row],[Структурное подразделение]],'Списки данных'!$C$2:$C$1048576,0))</f>
        <v>221</v>
      </c>
      <c r="I4339" s="80" t="s">
        <v>171</v>
      </c>
      <c r="J4339" s="80" t="s">
        <v>266</v>
      </c>
      <c r="K4339" s="80" t="s">
        <v>21</v>
      </c>
      <c r="L4339" s="30" t="s">
        <v>194</v>
      </c>
      <c r="M4339" s="68">
        <v>7</v>
      </c>
      <c r="N4339" s="181" t="str">
        <f t="shared" si="68"/>
        <v>нет</v>
      </c>
      <c r="O4339" s="23"/>
      <c r="P4339" s="23"/>
      <c r="Q4339" s="106"/>
      <c r="R4339" s="37">
        <v>1063</v>
      </c>
      <c r="S4339" s="39" t="s">
        <v>1472</v>
      </c>
      <c r="T4339" s="37">
        <v>2118</v>
      </c>
      <c r="U4339" s="37" t="s">
        <v>1759</v>
      </c>
      <c r="V4339" s="69" t="s">
        <v>16</v>
      </c>
      <c r="W4339" s="89" t="s">
        <v>171</v>
      </c>
      <c r="X4339" s="106" t="s">
        <v>296</v>
      </c>
      <c r="Y4339" s="107" t="s">
        <v>12</v>
      </c>
      <c r="Z4339" s="67">
        <f>IF(База_КР_КК[[#This Row],[Таб.номер резервиста]]="-","-",IF(OR(База_КР_КК[[#This Row],[Уровень КК]]=2,База_КР_КК[[#This Row],[Уровень КК]]=3),IF(COUNTIFS($U$2:$U4339,$U4339,$F$2:$F4339,$F4339)=1,1,0),IF(COUNTIFS($U$2:$U4339,$U4339,$L$2:$L4339,$L4339)=1,1,0)))</f>
        <v>0</v>
      </c>
      <c r="AA43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39" s="106"/>
      <c r="AC4339" s="51"/>
      <c r="AD4339" s="106" t="s">
        <v>15</v>
      </c>
      <c r="AE4339" s="38" t="s">
        <v>399</v>
      </c>
    </row>
    <row r="4340" spans="1:31" ht="18" customHeight="1" x14ac:dyDescent="0.25">
      <c r="A43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0" s="79">
        <v>4</v>
      </c>
      <c r="C4340" s="23">
        <v>44879</v>
      </c>
      <c r="D4340" s="67">
        <f>IF(COUNTIF($G$2:$G4340,$G4340)=1,1,0)</f>
        <v>0</v>
      </c>
      <c r="E4340" s="67" t="str">
        <f>IFERROR(VLOOKUP(База_КР_КК[[#This Row],[ИД штатной должности (S)]],'уровень защищенности'!$B$7:$F$1095,5,0),"не защищена")</f>
        <v>низкий</v>
      </c>
      <c r="F4340" s="68">
        <v>500526</v>
      </c>
      <c r="G4340" s="74" t="s">
        <v>3248</v>
      </c>
      <c r="H4340" s="181">
        <f>INDEX('Списки данных'!$D$2:$D$1048576,MATCH(База_КР_КК[[#This Row],[Структурное подразделение]],'Списки данных'!$C$2:$C$1048576,0))</f>
        <v>221</v>
      </c>
      <c r="I4340" s="80" t="s">
        <v>171</v>
      </c>
      <c r="J4340" s="80" t="s">
        <v>266</v>
      </c>
      <c r="K4340" s="80" t="s">
        <v>21</v>
      </c>
      <c r="L4340" s="30" t="s">
        <v>194</v>
      </c>
      <c r="M4340" s="68">
        <v>7</v>
      </c>
      <c r="N4340" s="181" t="str">
        <f t="shared" si="68"/>
        <v>нет</v>
      </c>
      <c r="O4340" s="23"/>
      <c r="P4340" s="23"/>
      <c r="Q4340" s="106"/>
      <c r="R4340" s="37">
        <v>1063</v>
      </c>
      <c r="S4340" s="39" t="s">
        <v>1472</v>
      </c>
      <c r="T4340" s="37">
        <v>2119</v>
      </c>
      <c r="U4340" s="38" t="s">
        <v>1987</v>
      </c>
      <c r="V4340" s="69" t="s">
        <v>16</v>
      </c>
      <c r="W4340" s="89" t="s">
        <v>171</v>
      </c>
      <c r="X4340" s="106" t="s">
        <v>296</v>
      </c>
      <c r="Y4340" s="107" t="s">
        <v>12</v>
      </c>
      <c r="Z4340" s="67">
        <f>IF(База_КР_КК[[#This Row],[Таб.номер резервиста]]="-","-",IF(OR(База_КР_КК[[#This Row],[Уровень КК]]=2,База_КР_КК[[#This Row],[Уровень КК]]=3),IF(COUNTIFS($U$2:$U4340,$U4340,$F$2:$F4340,$F4340)=1,1,0),IF(COUNTIFS($U$2:$U4340,$U4340,$L$2:$L4340,$L4340)=1,1,0)))</f>
        <v>0</v>
      </c>
      <c r="AA43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40" s="106"/>
      <c r="AC4340" s="51"/>
      <c r="AD4340" s="106" t="s">
        <v>15</v>
      </c>
      <c r="AE4340" s="38" t="s">
        <v>322</v>
      </c>
    </row>
    <row r="4341" spans="1:31" ht="18" customHeight="1" x14ac:dyDescent="0.25">
      <c r="A43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1" s="79">
        <v>4</v>
      </c>
      <c r="C4341" s="23">
        <v>44510</v>
      </c>
      <c r="D4341" s="67">
        <f>IF(COUNTIF($G$2:$G4341,$G4341)=1,1,0)</f>
        <v>0</v>
      </c>
      <c r="E4341" s="67" t="str">
        <f>IFERROR(VLOOKUP(База_КР_КК[[#This Row],[ИД штатной должности (S)]],'уровень защищенности'!$B$7:$F$1095,5,0),"не защищена")</f>
        <v>низкий</v>
      </c>
      <c r="F4341" s="68">
        <v>500526</v>
      </c>
      <c r="G4341" s="74" t="s">
        <v>3248</v>
      </c>
      <c r="H4341" s="181">
        <f>INDEX('Списки данных'!$D$2:$D$1048576,MATCH(База_КР_КК[[#This Row],[Структурное подразделение]],'Списки данных'!$C$2:$C$1048576,0))</f>
        <v>221</v>
      </c>
      <c r="I4341" s="80" t="s">
        <v>171</v>
      </c>
      <c r="J4341" s="80" t="s">
        <v>266</v>
      </c>
      <c r="K4341" s="80" t="s">
        <v>21</v>
      </c>
      <c r="L4341" s="30" t="s">
        <v>194</v>
      </c>
      <c r="M4341" s="68">
        <v>7</v>
      </c>
      <c r="N4341" s="181" t="str">
        <f t="shared" si="68"/>
        <v>нет</v>
      </c>
      <c r="O4341" s="23"/>
      <c r="P4341" s="23"/>
      <c r="Q4341" s="106"/>
      <c r="R4341" s="37">
        <v>1063</v>
      </c>
      <c r="S4341" s="39" t="s">
        <v>1472</v>
      </c>
      <c r="T4341" s="37">
        <v>1062</v>
      </c>
      <c r="U4341" s="37" t="s">
        <v>1471</v>
      </c>
      <c r="V4341" s="69" t="s">
        <v>194</v>
      </c>
      <c r="W4341" s="89" t="s">
        <v>171</v>
      </c>
      <c r="X4341" s="106" t="s">
        <v>296</v>
      </c>
      <c r="Y4341" s="107" t="s">
        <v>14</v>
      </c>
      <c r="Z4341" s="67">
        <f>IF(База_КР_КК[[#This Row],[Таб.номер резервиста]]="-","-",IF(OR(База_КР_КК[[#This Row],[Уровень КК]]=2,База_КР_КК[[#This Row],[Уровень КК]]=3),IF(COUNTIFS($U$2:$U4341,$U4341,$F$2:$F4341,$F4341)=1,1,0),IF(COUNTIFS($U$2:$U4341,$U4341,$L$2:$L4341,$L4341)=1,1,0)))</f>
        <v>0</v>
      </c>
      <c r="AA43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41" s="106" t="s">
        <v>24</v>
      </c>
      <c r="AC4341" s="51">
        <v>44806</v>
      </c>
      <c r="AD4341" s="106" t="s">
        <v>31</v>
      </c>
      <c r="AE4341" s="38" t="s">
        <v>322</v>
      </c>
    </row>
    <row r="4342" spans="1:31" ht="18" customHeight="1" x14ac:dyDescent="0.25">
      <c r="A43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2" s="79">
        <v>4</v>
      </c>
      <c r="C4342" s="23">
        <v>44510</v>
      </c>
      <c r="D4342" s="67">
        <f>IF(COUNTIF($G$2:$G4342,$G4342)=1,1,0)</f>
        <v>0</v>
      </c>
      <c r="E4342" s="67" t="str">
        <f>IFERROR(VLOOKUP(База_КР_КК[[#This Row],[ИД штатной должности (S)]],'уровень защищенности'!$B$7:$F$1095,5,0),"не защищена")</f>
        <v>низкий</v>
      </c>
      <c r="F4342" s="68">
        <v>500526</v>
      </c>
      <c r="G4342" s="74" t="s">
        <v>3248</v>
      </c>
      <c r="H4342" s="181">
        <f>INDEX('Списки данных'!$D$2:$D$1048576,MATCH(База_КР_КК[[#This Row],[Структурное подразделение]],'Списки данных'!$C$2:$C$1048576,0))</f>
        <v>221</v>
      </c>
      <c r="I4342" s="80" t="s">
        <v>171</v>
      </c>
      <c r="J4342" s="80" t="s">
        <v>266</v>
      </c>
      <c r="K4342" s="80" t="s">
        <v>21</v>
      </c>
      <c r="L4342" s="30" t="s">
        <v>194</v>
      </c>
      <c r="M4342" s="68">
        <v>7</v>
      </c>
      <c r="N4342" s="181" t="str">
        <f t="shared" si="68"/>
        <v>нет</v>
      </c>
      <c r="O4342" s="23"/>
      <c r="P4342" s="23"/>
      <c r="Q4342" s="106"/>
      <c r="R4342" s="37">
        <v>1063</v>
      </c>
      <c r="S4342" s="39" t="s">
        <v>1472</v>
      </c>
      <c r="T4342" s="37">
        <v>1064</v>
      </c>
      <c r="U4342" s="37" t="s">
        <v>1473</v>
      </c>
      <c r="V4342" s="69" t="s">
        <v>194</v>
      </c>
      <c r="W4342" s="89" t="s">
        <v>171</v>
      </c>
      <c r="X4342" s="106" t="s">
        <v>295</v>
      </c>
      <c r="Y4342" s="107" t="s">
        <v>14</v>
      </c>
      <c r="Z4342" s="67">
        <f>IF(База_КР_КК[[#This Row],[Таб.номер резервиста]]="-","-",IF(OR(База_КР_КК[[#This Row],[Уровень КК]]=2,База_КР_КК[[#This Row],[Уровень КК]]=3),IF(COUNTIFS($U$2:$U4342,$U4342,$F$2:$F4342,$F4342)=1,1,0),IF(COUNTIFS($U$2:$U4342,$U4342,$L$2:$L4342,$L4342)=1,1,0)))</f>
        <v>0</v>
      </c>
      <c r="AA43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42" s="106" t="s">
        <v>24</v>
      </c>
      <c r="AC4342" s="51">
        <v>44951</v>
      </c>
      <c r="AD4342" s="106" t="s">
        <v>15</v>
      </c>
      <c r="AE4342" s="38" t="s">
        <v>399</v>
      </c>
    </row>
    <row r="4343" spans="1:31" ht="18" customHeight="1" x14ac:dyDescent="0.25">
      <c r="A43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3" s="79">
        <v>4</v>
      </c>
      <c r="C4343" s="23">
        <v>44510</v>
      </c>
      <c r="D4343" s="67">
        <f>IF(COUNTIF($G$2:$G4343,$G4343)=1,1,0)</f>
        <v>1</v>
      </c>
      <c r="E4343" s="67" t="str">
        <f>IFERROR(VLOOKUP(База_КР_КК[[#This Row],[ИД штатной должности (S)]],'уровень защищенности'!$B$7:$F$1095,5,0),"не защищена")</f>
        <v>низкий</v>
      </c>
      <c r="F4343" s="68">
        <v>500526</v>
      </c>
      <c r="G4343" s="74" t="s">
        <v>3249</v>
      </c>
      <c r="H4343" s="181">
        <f>INDEX('Списки данных'!$D$2:$D$1048576,MATCH(База_КР_КК[[#This Row],[Структурное подразделение]],'Списки данных'!$C$2:$C$1048576,0))</f>
        <v>221</v>
      </c>
      <c r="I4343" s="80" t="s">
        <v>171</v>
      </c>
      <c r="J4343" s="80" t="s">
        <v>266</v>
      </c>
      <c r="K4343" s="80" t="s">
        <v>21</v>
      </c>
      <c r="L4343" s="30" t="s">
        <v>194</v>
      </c>
      <c r="M4343" s="68">
        <v>7</v>
      </c>
      <c r="N4343" s="181" t="str">
        <f t="shared" si="68"/>
        <v>да</v>
      </c>
      <c r="O4343" s="23">
        <v>44942</v>
      </c>
      <c r="P4343" s="23">
        <v>44951</v>
      </c>
      <c r="Q4343" s="106" t="s">
        <v>66</v>
      </c>
      <c r="R4343" s="37">
        <v>1064</v>
      </c>
      <c r="S4343" s="37" t="s">
        <v>1473</v>
      </c>
      <c r="T4343" s="37">
        <v>2118</v>
      </c>
      <c r="U4343" s="37" t="s">
        <v>1759</v>
      </c>
      <c r="V4343" s="69" t="s">
        <v>16</v>
      </c>
      <c r="W4343" s="89" t="s">
        <v>171</v>
      </c>
      <c r="X4343" s="106" t="s">
        <v>296</v>
      </c>
      <c r="Y4343" s="107" t="s">
        <v>12</v>
      </c>
      <c r="Z4343" s="67">
        <f>IF(База_КР_КК[[#This Row],[Таб.номер резервиста]]="-","-",IF(OR(База_КР_КК[[#This Row],[Уровень КК]]=2,База_КР_КК[[#This Row],[Уровень КК]]=3),IF(COUNTIFS($U$2:$U4343,$U4343,$F$2:$F4343,$F4343)=1,1,0),IF(COUNTIFS($U$2:$U4343,$U4343,$L$2:$L4343,$L4343)=1,1,0)))</f>
        <v>0</v>
      </c>
      <c r="AA43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43" s="106"/>
      <c r="AC4343" s="51"/>
      <c r="AD4343" s="106" t="s">
        <v>15</v>
      </c>
      <c r="AE4343" s="38" t="s">
        <v>399</v>
      </c>
    </row>
    <row r="4344" spans="1:31" ht="18" customHeight="1" x14ac:dyDescent="0.25">
      <c r="A43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4" s="79">
        <v>4</v>
      </c>
      <c r="C4344" s="23">
        <v>44879</v>
      </c>
      <c r="D4344" s="67">
        <f>IF(COUNTIF($G$2:$G4344,$G4344)=1,1,0)</f>
        <v>0</v>
      </c>
      <c r="E4344" s="67" t="str">
        <f>IFERROR(VLOOKUP(База_КР_КК[[#This Row],[ИД штатной должности (S)]],'уровень защищенности'!$B$7:$F$1095,5,0),"не защищена")</f>
        <v>низкий</v>
      </c>
      <c r="F4344" s="68">
        <v>500526</v>
      </c>
      <c r="G4344" s="74" t="s">
        <v>3249</v>
      </c>
      <c r="H4344" s="181">
        <f>INDEX('Списки данных'!$D$2:$D$1048576,MATCH(База_КР_КК[[#This Row],[Структурное подразделение]],'Списки данных'!$C$2:$C$1048576,0))</f>
        <v>221</v>
      </c>
      <c r="I4344" s="80" t="s">
        <v>171</v>
      </c>
      <c r="J4344" s="80" t="s">
        <v>266</v>
      </c>
      <c r="K4344" s="80" t="s">
        <v>21</v>
      </c>
      <c r="L4344" s="30" t="s">
        <v>194</v>
      </c>
      <c r="M4344" s="68">
        <v>7</v>
      </c>
      <c r="N4344" s="181" t="str">
        <f t="shared" si="68"/>
        <v>да</v>
      </c>
      <c r="O4344" s="23">
        <v>44942</v>
      </c>
      <c r="P4344" s="23">
        <v>44951</v>
      </c>
      <c r="Q4344" s="106" t="s">
        <v>66</v>
      </c>
      <c r="R4344" s="37">
        <v>1064</v>
      </c>
      <c r="S4344" s="37" t="s">
        <v>1473</v>
      </c>
      <c r="T4344" s="37">
        <v>2119</v>
      </c>
      <c r="U4344" s="38" t="s">
        <v>1987</v>
      </c>
      <c r="V4344" s="69" t="s">
        <v>16</v>
      </c>
      <c r="W4344" s="89" t="s">
        <v>171</v>
      </c>
      <c r="X4344" s="106" t="s">
        <v>296</v>
      </c>
      <c r="Y4344" s="107" t="s">
        <v>12</v>
      </c>
      <c r="Z4344" s="67">
        <f>IF(База_КР_КК[[#This Row],[Таб.номер резервиста]]="-","-",IF(OR(База_КР_КК[[#This Row],[Уровень КК]]=2,База_КР_КК[[#This Row],[Уровень КК]]=3),IF(COUNTIFS($U$2:$U4344,$U4344,$F$2:$F4344,$F4344)=1,1,0),IF(COUNTIFS($U$2:$U4344,$U4344,$L$2:$L4344,$L4344)=1,1,0)))</f>
        <v>0</v>
      </c>
      <c r="AA43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44" s="106"/>
      <c r="AC4344" s="51"/>
      <c r="AD4344" s="106" t="s">
        <v>15</v>
      </c>
      <c r="AE4344" s="38" t="s">
        <v>322</v>
      </c>
    </row>
    <row r="4345" spans="1:31" ht="18" customHeight="1" x14ac:dyDescent="0.25">
      <c r="A43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5" s="79">
        <v>4</v>
      </c>
      <c r="C4345" s="23">
        <v>44510</v>
      </c>
      <c r="D4345" s="67">
        <f>IF(COUNTIF($G$2:$G4345,$G4345)=1,1,0)</f>
        <v>0</v>
      </c>
      <c r="E4345" s="67" t="str">
        <f>IFERROR(VLOOKUP(База_КР_КК[[#This Row],[ИД штатной должности (S)]],'уровень защищенности'!$B$7:$F$1095,5,0),"не защищена")</f>
        <v>низкий</v>
      </c>
      <c r="F4345" s="68">
        <v>500526</v>
      </c>
      <c r="G4345" s="74" t="s">
        <v>3249</v>
      </c>
      <c r="H4345" s="181">
        <f>INDEX('Списки данных'!$D$2:$D$1048576,MATCH(База_КР_КК[[#This Row],[Структурное подразделение]],'Списки данных'!$C$2:$C$1048576,0))</f>
        <v>221</v>
      </c>
      <c r="I4345" s="80" t="s">
        <v>171</v>
      </c>
      <c r="J4345" s="80" t="s">
        <v>266</v>
      </c>
      <c r="K4345" s="80" t="s">
        <v>21</v>
      </c>
      <c r="L4345" s="30" t="s">
        <v>194</v>
      </c>
      <c r="M4345" s="68">
        <v>7</v>
      </c>
      <c r="N4345" s="181" t="str">
        <f t="shared" si="68"/>
        <v>да</v>
      </c>
      <c r="O4345" s="23">
        <v>44942</v>
      </c>
      <c r="P4345" s="23">
        <v>44951</v>
      </c>
      <c r="Q4345" s="106" t="s">
        <v>66</v>
      </c>
      <c r="R4345" s="37">
        <v>1064</v>
      </c>
      <c r="S4345" s="37" t="s">
        <v>1473</v>
      </c>
      <c r="T4345" s="37">
        <v>1062</v>
      </c>
      <c r="U4345" s="37" t="s">
        <v>1471</v>
      </c>
      <c r="V4345" s="69" t="s">
        <v>194</v>
      </c>
      <c r="W4345" s="89" t="s">
        <v>171</v>
      </c>
      <c r="X4345" s="106" t="s">
        <v>296</v>
      </c>
      <c r="Y4345" s="107" t="s">
        <v>14</v>
      </c>
      <c r="Z4345" s="67">
        <f>IF(База_КР_КК[[#This Row],[Таб.номер резервиста]]="-","-",IF(OR(База_КР_КК[[#This Row],[Уровень КК]]=2,База_КР_КК[[#This Row],[Уровень КК]]=3),IF(COUNTIFS($U$2:$U4345,$U4345,$F$2:$F4345,$F4345)=1,1,0),IF(COUNTIFS($U$2:$U4345,$U4345,$L$2:$L4345,$L4345)=1,1,0)))</f>
        <v>0</v>
      </c>
      <c r="AA43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45" s="106" t="s">
        <v>24</v>
      </c>
      <c r="AC4345" s="51">
        <v>44806</v>
      </c>
      <c r="AD4345" s="106" t="s">
        <v>31</v>
      </c>
      <c r="AE4345" s="38" t="s">
        <v>322</v>
      </c>
    </row>
    <row r="4346" spans="1:31" ht="18" customHeight="1" x14ac:dyDescent="0.25">
      <c r="A43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6" s="79">
        <v>4</v>
      </c>
      <c r="C4346" s="23">
        <v>44510</v>
      </c>
      <c r="D4346" s="67">
        <f>IF(COUNTIF($G$2:$G4346,$G4346)=1,1,0)</f>
        <v>0</v>
      </c>
      <c r="E4346" s="67" t="str">
        <f>IFERROR(VLOOKUP(База_КР_КК[[#This Row],[ИД штатной должности (S)]],'уровень защищенности'!$B$7:$F$1095,5,0),"не защищена")</f>
        <v>низкий</v>
      </c>
      <c r="F4346" s="68">
        <v>500526</v>
      </c>
      <c r="G4346" s="74" t="s">
        <v>3249</v>
      </c>
      <c r="H4346" s="181">
        <f>INDEX('Списки данных'!$D$2:$D$1048576,MATCH(База_КР_КК[[#This Row],[Структурное подразделение]],'Списки данных'!$C$2:$C$1048576,0))</f>
        <v>221</v>
      </c>
      <c r="I4346" s="80" t="s">
        <v>171</v>
      </c>
      <c r="J4346" s="80" t="s">
        <v>266</v>
      </c>
      <c r="K4346" s="80" t="s">
        <v>21</v>
      </c>
      <c r="L4346" s="30" t="s">
        <v>194</v>
      </c>
      <c r="M4346" s="68">
        <v>7</v>
      </c>
      <c r="N4346" s="181" t="str">
        <f t="shared" si="68"/>
        <v>да</v>
      </c>
      <c r="O4346" s="23">
        <v>44942</v>
      </c>
      <c r="P4346" s="23">
        <v>44951</v>
      </c>
      <c r="Q4346" s="106" t="s">
        <v>66</v>
      </c>
      <c r="R4346" s="37">
        <v>1064</v>
      </c>
      <c r="S4346" s="37" t="s">
        <v>1473</v>
      </c>
      <c r="T4346" s="37">
        <v>1064</v>
      </c>
      <c r="U4346" s="37" t="s">
        <v>1473</v>
      </c>
      <c r="V4346" s="69" t="s">
        <v>194</v>
      </c>
      <c r="W4346" s="89" t="s">
        <v>171</v>
      </c>
      <c r="X4346" s="106" t="s">
        <v>295</v>
      </c>
      <c r="Y4346" s="107" t="s">
        <v>14</v>
      </c>
      <c r="Z4346" s="67">
        <f>IF(База_КР_КК[[#This Row],[Таб.номер резервиста]]="-","-",IF(OR(База_КР_КК[[#This Row],[Уровень КК]]=2,База_КР_КК[[#This Row],[Уровень КК]]=3),IF(COUNTIFS($U$2:$U4346,$U4346,$F$2:$F4346,$F4346)=1,1,0),IF(COUNTIFS($U$2:$U4346,$U4346,$L$2:$L4346,$L4346)=1,1,0)))</f>
        <v>0</v>
      </c>
      <c r="AA43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46" s="106" t="s">
        <v>24</v>
      </c>
      <c r="AC4346" s="51">
        <v>44951</v>
      </c>
      <c r="AD4346" s="106" t="s">
        <v>15</v>
      </c>
      <c r="AE4346" s="38" t="s">
        <v>399</v>
      </c>
    </row>
    <row r="4347" spans="1:31" ht="18" customHeight="1" x14ac:dyDescent="0.25">
      <c r="A43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7" s="79">
        <v>4</v>
      </c>
      <c r="C4347" s="23">
        <v>44510</v>
      </c>
      <c r="D4347" s="67">
        <f>IF(COUNTIF($G$2:$G4347,$G4347)=1,1,0)</f>
        <v>1</v>
      </c>
      <c r="E4347" s="67" t="str">
        <f>IFERROR(VLOOKUP(База_КР_КК[[#This Row],[ИД штатной должности (S)]],'уровень защищенности'!$B$7:$F$1095,5,0),"не защищена")</f>
        <v>низкий</v>
      </c>
      <c r="F4347" s="68">
        <v>500526</v>
      </c>
      <c r="G4347" s="74" t="s">
        <v>3250</v>
      </c>
      <c r="H4347" s="181">
        <f>INDEX('Списки данных'!$D$2:$D$1048576,MATCH(База_КР_КК[[#This Row],[Структурное подразделение]],'Списки данных'!$C$2:$C$1048576,0))</f>
        <v>221</v>
      </c>
      <c r="I4347" s="80" t="s">
        <v>171</v>
      </c>
      <c r="J4347" s="80" t="s">
        <v>266</v>
      </c>
      <c r="K4347" s="80" t="s">
        <v>21</v>
      </c>
      <c r="L4347" s="30" t="s">
        <v>194</v>
      </c>
      <c r="M4347" s="68">
        <v>7</v>
      </c>
      <c r="N4347" s="181" t="str">
        <f t="shared" si="68"/>
        <v>нет</v>
      </c>
      <c r="O4347" s="23"/>
      <c r="P4347" s="23"/>
      <c r="Q4347" s="106"/>
      <c r="R4347" s="37">
        <v>1065</v>
      </c>
      <c r="S4347" s="39" t="s">
        <v>1474</v>
      </c>
      <c r="T4347" s="37">
        <v>2118</v>
      </c>
      <c r="U4347" s="37" t="s">
        <v>1759</v>
      </c>
      <c r="V4347" s="69" t="s">
        <v>16</v>
      </c>
      <c r="W4347" s="89" t="s">
        <v>171</v>
      </c>
      <c r="X4347" s="106" t="s">
        <v>296</v>
      </c>
      <c r="Y4347" s="107" t="s">
        <v>12</v>
      </c>
      <c r="Z4347" s="67">
        <f>IF(База_КР_КК[[#This Row],[Таб.номер резервиста]]="-","-",IF(OR(База_КР_КК[[#This Row],[Уровень КК]]=2,База_КР_КК[[#This Row],[Уровень КК]]=3),IF(COUNTIFS($U$2:$U4347,$U4347,$F$2:$F4347,$F4347)=1,1,0),IF(COUNTIFS($U$2:$U4347,$U4347,$L$2:$L4347,$L4347)=1,1,0)))</f>
        <v>0</v>
      </c>
      <c r="AA43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47" s="106"/>
      <c r="AC4347" s="51"/>
      <c r="AD4347" s="106" t="s">
        <v>15</v>
      </c>
      <c r="AE4347" s="38" t="s">
        <v>399</v>
      </c>
    </row>
    <row r="4348" spans="1:31" ht="18" customHeight="1" x14ac:dyDescent="0.25">
      <c r="A43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8" s="79">
        <v>4</v>
      </c>
      <c r="C4348" s="23">
        <v>44879</v>
      </c>
      <c r="D4348" s="67">
        <f>IF(COUNTIF($G$2:$G4348,$G4348)=1,1,0)</f>
        <v>0</v>
      </c>
      <c r="E4348" s="67" t="str">
        <f>IFERROR(VLOOKUP(База_КР_КК[[#This Row],[ИД штатной должности (S)]],'уровень защищенности'!$B$7:$F$1095,5,0),"не защищена")</f>
        <v>низкий</v>
      </c>
      <c r="F4348" s="68">
        <v>500526</v>
      </c>
      <c r="G4348" s="74" t="s">
        <v>3250</v>
      </c>
      <c r="H4348" s="181">
        <f>INDEX('Списки данных'!$D$2:$D$1048576,MATCH(База_КР_КК[[#This Row],[Структурное подразделение]],'Списки данных'!$C$2:$C$1048576,0))</f>
        <v>221</v>
      </c>
      <c r="I4348" s="80" t="s">
        <v>171</v>
      </c>
      <c r="J4348" s="80" t="s">
        <v>266</v>
      </c>
      <c r="K4348" s="80" t="s">
        <v>21</v>
      </c>
      <c r="L4348" s="30" t="s">
        <v>194</v>
      </c>
      <c r="M4348" s="68">
        <v>7</v>
      </c>
      <c r="N4348" s="181" t="str">
        <f t="shared" si="68"/>
        <v>нет</v>
      </c>
      <c r="O4348" s="23"/>
      <c r="P4348" s="23"/>
      <c r="Q4348" s="106"/>
      <c r="R4348" s="37">
        <v>1065</v>
      </c>
      <c r="S4348" s="39" t="s">
        <v>1474</v>
      </c>
      <c r="T4348" s="37">
        <v>2119</v>
      </c>
      <c r="U4348" s="38" t="s">
        <v>1987</v>
      </c>
      <c r="V4348" s="93" t="s">
        <v>16</v>
      </c>
      <c r="W4348" s="89" t="s">
        <v>171</v>
      </c>
      <c r="X4348" s="106" t="s">
        <v>296</v>
      </c>
      <c r="Y4348" s="107" t="s">
        <v>12</v>
      </c>
      <c r="Z4348" s="67">
        <f>IF(База_КР_КК[[#This Row],[Таб.номер резервиста]]="-","-",IF(OR(База_КР_КК[[#This Row],[Уровень КК]]=2,База_КР_КК[[#This Row],[Уровень КК]]=3),IF(COUNTIFS($U$2:$U4348,$U4348,$F$2:$F4348,$F4348)=1,1,0),IF(COUNTIFS($U$2:$U4348,$U4348,$L$2:$L4348,$L4348)=1,1,0)))</f>
        <v>0</v>
      </c>
      <c r="AA43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48" s="106"/>
      <c r="AC4348" s="51"/>
      <c r="AD4348" s="106" t="s">
        <v>15</v>
      </c>
      <c r="AE4348" s="38" t="s">
        <v>322</v>
      </c>
    </row>
    <row r="4349" spans="1:31" ht="18" customHeight="1" x14ac:dyDescent="0.25">
      <c r="A43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49" s="79">
        <v>4</v>
      </c>
      <c r="C4349" s="23">
        <v>44510</v>
      </c>
      <c r="D4349" s="67">
        <f>IF(COUNTIF($G$2:$G4349,$G4349)=1,1,0)</f>
        <v>0</v>
      </c>
      <c r="E4349" s="67" t="str">
        <f>IFERROR(VLOOKUP(База_КР_КК[[#This Row],[ИД штатной должности (S)]],'уровень защищенности'!$B$7:$F$1095,5,0),"не защищена")</f>
        <v>низкий</v>
      </c>
      <c r="F4349" s="68">
        <v>500526</v>
      </c>
      <c r="G4349" s="74" t="s">
        <v>3250</v>
      </c>
      <c r="H4349" s="181">
        <f>INDEX('Списки данных'!$D$2:$D$1048576,MATCH(База_КР_КК[[#This Row],[Структурное подразделение]],'Списки данных'!$C$2:$C$1048576,0))</f>
        <v>221</v>
      </c>
      <c r="I4349" s="80" t="s">
        <v>171</v>
      </c>
      <c r="J4349" s="80" t="s">
        <v>266</v>
      </c>
      <c r="K4349" s="80" t="s">
        <v>21</v>
      </c>
      <c r="L4349" s="30" t="s">
        <v>194</v>
      </c>
      <c r="M4349" s="68">
        <v>7</v>
      </c>
      <c r="N4349" s="181" t="str">
        <f t="shared" ref="N4349:N4412" si="69">IF(ISBLANK(O4349),"нет","да")</f>
        <v>нет</v>
      </c>
      <c r="O4349" s="23"/>
      <c r="P4349" s="23"/>
      <c r="Q4349" s="106"/>
      <c r="R4349" s="37">
        <v>1065</v>
      </c>
      <c r="S4349" s="39" t="s">
        <v>1474</v>
      </c>
      <c r="T4349" s="37">
        <v>1062</v>
      </c>
      <c r="U4349" s="37" t="s">
        <v>1471</v>
      </c>
      <c r="V4349" s="69" t="s">
        <v>194</v>
      </c>
      <c r="W4349" s="89" t="s">
        <v>171</v>
      </c>
      <c r="X4349" s="106" t="s">
        <v>296</v>
      </c>
      <c r="Y4349" s="107" t="s">
        <v>14</v>
      </c>
      <c r="Z4349" s="67">
        <f>IF(База_КР_КК[[#This Row],[Таб.номер резервиста]]="-","-",IF(OR(База_КР_КК[[#This Row],[Уровень КК]]=2,База_КР_КК[[#This Row],[Уровень КК]]=3),IF(COUNTIFS($U$2:$U4349,$U4349,$F$2:$F4349,$F4349)=1,1,0),IF(COUNTIFS($U$2:$U4349,$U4349,$L$2:$L4349,$L4349)=1,1,0)))</f>
        <v>0</v>
      </c>
      <c r="AA43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49" s="106" t="s">
        <v>24</v>
      </c>
      <c r="AC4349" s="51">
        <v>44806</v>
      </c>
      <c r="AD4349" s="106" t="s">
        <v>31</v>
      </c>
      <c r="AE4349" s="38" t="s">
        <v>322</v>
      </c>
    </row>
    <row r="4350" spans="1:31" ht="18" customHeight="1" x14ac:dyDescent="0.25">
      <c r="A43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0" s="79">
        <v>4</v>
      </c>
      <c r="C4350" s="23">
        <v>44510</v>
      </c>
      <c r="D4350" s="67">
        <f>IF(COUNTIF($G$2:$G4350,$G4350)=1,1,0)</f>
        <v>0</v>
      </c>
      <c r="E4350" s="67" t="str">
        <f>IFERROR(VLOOKUP(База_КР_КК[[#This Row],[ИД штатной должности (S)]],'уровень защищенности'!$B$7:$F$1095,5,0),"не защищена")</f>
        <v>низкий</v>
      </c>
      <c r="F4350" s="68">
        <v>500526</v>
      </c>
      <c r="G4350" s="74" t="s">
        <v>3250</v>
      </c>
      <c r="H4350" s="181">
        <f>INDEX('Списки данных'!$D$2:$D$1048576,MATCH(База_КР_КК[[#This Row],[Структурное подразделение]],'Списки данных'!$C$2:$C$1048576,0))</f>
        <v>221</v>
      </c>
      <c r="I4350" s="80" t="s">
        <v>171</v>
      </c>
      <c r="J4350" s="80" t="s">
        <v>266</v>
      </c>
      <c r="K4350" s="80" t="s">
        <v>21</v>
      </c>
      <c r="L4350" s="30" t="s">
        <v>194</v>
      </c>
      <c r="M4350" s="68">
        <v>7</v>
      </c>
      <c r="N4350" s="181" t="str">
        <f t="shared" si="69"/>
        <v>нет</v>
      </c>
      <c r="O4350" s="23"/>
      <c r="P4350" s="23"/>
      <c r="Q4350" s="106"/>
      <c r="R4350" s="37">
        <v>1065</v>
      </c>
      <c r="S4350" s="39" t="s">
        <v>1474</v>
      </c>
      <c r="T4350" s="37">
        <v>1064</v>
      </c>
      <c r="U4350" s="37" t="s">
        <v>1473</v>
      </c>
      <c r="V4350" s="69" t="s">
        <v>194</v>
      </c>
      <c r="W4350" s="89" t="s">
        <v>171</v>
      </c>
      <c r="X4350" s="106" t="s">
        <v>295</v>
      </c>
      <c r="Y4350" s="107" t="s">
        <v>14</v>
      </c>
      <c r="Z4350" s="67">
        <f>IF(База_КР_КК[[#This Row],[Таб.номер резервиста]]="-","-",IF(OR(База_КР_КК[[#This Row],[Уровень КК]]=2,База_КР_КК[[#This Row],[Уровень КК]]=3),IF(COUNTIFS($U$2:$U4350,$U4350,$F$2:$F4350,$F4350)=1,1,0),IF(COUNTIFS($U$2:$U4350,$U4350,$L$2:$L4350,$L4350)=1,1,0)))</f>
        <v>0</v>
      </c>
      <c r="AA43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0" s="106" t="s">
        <v>24</v>
      </c>
      <c r="AC4350" s="51">
        <v>44951</v>
      </c>
      <c r="AD4350" s="106" t="s">
        <v>15</v>
      </c>
      <c r="AE4350" s="38" t="s">
        <v>399</v>
      </c>
    </row>
    <row r="4351" spans="1:31" ht="18" customHeight="1" x14ac:dyDescent="0.25">
      <c r="A43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1" s="79">
        <v>3</v>
      </c>
      <c r="C4351" s="23">
        <v>42787</v>
      </c>
      <c r="D4351" s="67">
        <f>IF(COUNTIF($G$2:$G4351,$G4351)=1,1,0)</f>
        <v>1</v>
      </c>
      <c r="E4351" s="67" t="str">
        <f>IFERROR(VLOOKUP(База_КР_КК[[#This Row],[ИД штатной должности (S)]],'уровень защищенности'!$B$7:$F$1095,5,0),"не защищена")</f>
        <v>высокий</v>
      </c>
      <c r="F4351" s="68">
        <v>500209</v>
      </c>
      <c r="G4351" s="74" t="s">
        <v>3251</v>
      </c>
      <c r="H4351" s="181">
        <f>INDEX('Списки данных'!$D$2:$D$1048576,MATCH(База_КР_КК[[#This Row],[Структурное подразделение]],'Списки данных'!$C$2:$C$1048576,0))</f>
        <v>221</v>
      </c>
      <c r="I4351" s="80" t="s">
        <v>171</v>
      </c>
      <c r="J4351" s="80" t="s">
        <v>266</v>
      </c>
      <c r="K4351" s="80" t="s">
        <v>21</v>
      </c>
      <c r="L4351" s="30" t="s">
        <v>183</v>
      </c>
      <c r="M4351" s="68">
        <v>5</v>
      </c>
      <c r="N4351" s="181" t="str">
        <f t="shared" si="69"/>
        <v>нет</v>
      </c>
      <c r="O4351" s="23"/>
      <c r="P4351" s="23"/>
      <c r="Q4351" s="106"/>
      <c r="R4351" s="37">
        <v>1066</v>
      </c>
      <c r="S4351" s="39" t="s">
        <v>1475</v>
      </c>
      <c r="T4351" s="37">
        <v>1067</v>
      </c>
      <c r="U4351" s="38" t="s">
        <v>1476</v>
      </c>
      <c r="V4351" s="69" t="s">
        <v>186</v>
      </c>
      <c r="W4351" s="89" t="s">
        <v>171</v>
      </c>
      <c r="X4351" s="106" t="s">
        <v>295</v>
      </c>
      <c r="Y4351" s="107" t="s">
        <v>12</v>
      </c>
      <c r="Z4351" s="67">
        <f>IF(База_КР_КК[[#This Row],[Таб.номер резервиста]]="-","-",IF(OR(База_КР_КК[[#This Row],[Уровень КК]]=2,База_КР_КК[[#This Row],[Уровень КК]]=3),IF(COUNTIFS($U$2:$U4351,$U4351,$F$2:$F4351,$F4351)=1,1,0),IF(COUNTIFS($U$2:$U4351,$U4351,$L$2:$L4351,$L4351)=1,1,0)))</f>
        <v>1</v>
      </c>
      <c r="AA43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1" s="106"/>
      <c r="AC4351" s="51"/>
      <c r="AD4351" s="106" t="s">
        <v>17</v>
      </c>
      <c r="AE4351" s="38" t="s">
        <v>369</v>
      </c>
    </row>
    <row r="4352" spans="1:31" ht="18" customHeight="1" x14ac:dyDescent="0.25">
      <c r="A43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2" s="79">
        <v>3</v>
      </c>
      <c r="C4352" s="23">
        <v>43855</v>
      </c>
      <c r="D4352" s="67">
        <f>IF(COUNTIF($G$2:$G4352,$G4352)=1,1,0)</f>
        <v>0</v>
      </c>
      <c r="E4352" s="67" t="str">
        <f>IFERROR(VLOOKUP(База_КР_КК[[#This Row],[ИД штатной должности (S)]],'уровень защищенности'!$B$7:$F$1095,5,0),"не защищена")</f>
        <v>высокий</v>
      </c>
      <c r="F4352" s="68">
        <v>500209</v>
      </c>
      <c r="G4352" s="74" t="s">
        <v>3251</v>
      </c>
      <c r="H4352" s="181">
        <f>INDEX('Списки данных'!$D$2:$D$1048576,MATCH(База_КР_КК[[#This Row],[Структурное подразделение]],'Списки данных'!$C$2:$C$1048576,0))</f>
        <v>221</v>
      </c>
      <c r="I4352" s="80" t="s">
        <v>171</v>
      </c>
      <c r="J4352" s="80" t="s">
        <v>266</v>
      </c>
      <c r="K4352" s="80" t="s">
        <v>21</v>
      </c>
      <c r="L4352" s="30" t="s">
        <v>183</v>
      </c>
      <c r="M4352" s="68">
        <v>5</v>
      </c>
      <c r="N4352" s="181" t="str">
        <f t="shared" si="69"/>
        <v>нет</v>
      </c>
      <c r="O4352" s="23"/>
      <c r="P4352" s="23"/>
      <c r="Q4352" s="106"/>
      <c r="R4352" s="37">
        <v>1066</v>
      </c>
      <c r="S4352" s="39" t="s">
        <v>1475</v>
      </c>
      <c r="T4352" s="37">
        <v>2116</v>
      </c>
      <c r="U4352" s="38" t="s">
        <v>1582</v>
      </c>
      <c r="V4352" s="69" t="s">
        <v>189</v>
      </c>
      <c r="W4352" s="89" t="s">
        <v>171</v>
      </c>
      <c r="X4352" s="106" t="s">
        <v>296</v>
      </c>
      <c r="Y4352" s="107" t="s">
        <v>12</v>
      </c>
      <c r="Z4352" s="67">
        <f>IF(База_КР_КК[[#This Row],[Таб.номер резервиста]]="-","-",IF(OR(База_КР_КК[[#This Row],[Уровень КК]]=2,База_КР_КК[[#This Row],[Уровень КК]]=3),IF(COUNTIFS($U$2:$U4352,$U4352,$F$2:$F4352,$F4352)=1,1,0),IF(COUNTIFS($U$2:$U4352,$U4352,$L$2:$L4352,$L4352)=1,1,0)))</f>
        <v>1</v>
      </c>
      <c r="AA43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2" s="106"/>
      <c r="AC4352" s="51"/>
      <c r="AD4352" s="106" t="s">
        <v>13</v>
      </c>
      <c r="AE4352" s="38" t="s">
        <v>369</v>
      </c>
    </row>
    <row r="4353" spans="1:31" ht="18" customHeight="1" x14ac:dyDescent="0.25">
      <c r="A43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3" s="79">
        <v>3</v>
      </c>
      <c r="C4353" s="189">
        <v>43855</v>
      </c>
      <c r="D4353" s="67">
        <f>IF(COUNTIF($G$2:$G4353,$G4353)=1,1,0)</f>
        <v>0</v>
      </c>
      <c r="E4353" s="67" t="str">
        <f>IFERROR(VLOOKUP(База_КР_КК[[#This Row],[ИД штатной должности (S)]],'уровень защищенности'!$B$7:$F$1095,5,0),"не защищена")</f>
        <v>высокий</v>
      </c>
      <c r="F4353" s="68">
        <v>500209</v>
      </c>
      <c r="G4353" s="74" t="s">
        <v>3251</v>
      </c>
      <c r="H4353" s="181">
        <f>INDEX('Списки данных'!$D$2:$D$1048576,MATCH(База_КР_КК[[#This Row],[Структурное подразделение]],'Списки данных'!$C$2:$C$1048576,0))</f>
        <v>221</v>
      </c>
      <c r="I4353" s="80" t="s">
        <v>171</v>
      </c>
      <c r="J4353" s="80" t="s">
        <v>266</v>
      </c>
      <c r="K4353" s="80" t="s">
        <v>21</v>
      </c>
      <c r="L4353" s="30" t="s">
        <v>183</v>
      </c>
      <c r="M4353" s="68">
        <v>5</v>
      </c>
      <c r="N4353" s="181" t="str">
        <f t="shared" si="69"/>
        <v>нет</v>
      </c>
      <c r="O4353" s="23"/>
      <c r="P4353" s="23"/>
      <c r="Q4353" s="106"/>
      <c r="R4353" s="37">
        <v>1066</v>
      </c>
      <c r="S4353" s="39" t="s">
        <v>1475</v>
      </c>
      <c r="T4353" s="37">
        <v>1060</v>
      </c>
      <c r="U4353" s="38" t="s">
        <v>1469</v>
      </c>
      <c r="V4353" s="69" t="s">
        <v>186</v>
      </c>
      <c r="W4353" s="89" t="s">
        <v>171</v>
      </c>
      <c r="X4353" s="106" t="s">
        <v>296</v>
      </c>
      <c r="Y4353" s="107" t="s">
        <v>12</v>
      </c>
      <c r="Z4353" s="67">
        <f>IF(База_КР_КК[[#This Row],[Таб.номер резервиста]]="-","-",IF(OR(База_КР_КК[[#This Row],[Уровень КК]]=2,База_КР_КК[[#This Row],[Уровень КК]]=3),IF(COUNTIFS($U$2:$U4353,$U4353,$F$2:$F4353,$F4353)=1,1,0),IF(COUNTIFS($U$2:$U4353,$U4353,$L$2:$L4353,$L4353)=1,1,0)))</f>
        <v>1</v>
      </c>
      <c r="AA43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3" s="106"/>
      <c r="AC4353" s="51"/>
      <c r="AD4353" s="106" t="s">
        <v>13</v>
      </c>
      <c r="AE4353" s="38" t="s">
        <v>369</v>
      </c>
    </row>
    <row r="4354" spans="1:31" ht="18" customHeight="1" x14ac:dyDescent="0.25">
      <c r="A43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4" s="79">
        <v>3</v>
      </c>
      <c r="C4354" s="23">
        <v>42787</v>
      </c>
      <c r="D4354" s="67">
        <f>IF(COUNTIF($G$2:$G4354,$G4354)=1,1,0)</f>
        <v>0</v>
      </c>
      <c r="E4354" s="67" t="str">
        <f>IFERROR(VLOOKUP(База_КР_КК[[#This Row],[ИД штатной должности (S)]],'уровень защищенности'!$B$7:$F$1095,5,0),"не защищена")</f>
        <v>высокий</v>
      </c>
      <c r="F4354" s="68">
        <v>500209</v>
      </c>
      <c r="G4354" s="74" t="s">
        <v>3251</v>
      </c>
      <c r="H4354" s="181">
        <f>INDEX('Списки данных'!$D$2:$D$1048576,MATCH(База_КР_КК[[#This Row],[Структурное подразделение]],'Списки данных'!$C$2:$C$1048576,0))</f>
        <v>221</v>
      </c>
      <c r="I4354" s="80" t="s">
        <v>171</v>
      </c>
      <c r="J4354" s="80" t="s">
        <v>266</v>
      </c>
      <c r="K4354" s="80" t="s">
        <v>21</v>
      </c>
      <c r="L4354" s="30" t="s">
        <v>183</v>
      </c>
      <c r="M4354" s="68">
        <v>5</v>
      </c>
      <c r="N4354" s="181" t="str">
        <f t="shared" si="69"/>
        <v>нет</v>
      </c>
      <c r="O4354" s="23"/>
      <c r="P4354" s="23"/>
      <c r="Q4354" s="106"/>
      <c r="R4354" s="37">
        <v>1066</v>
      </c>
      <c r="S4354" s="39" t="s">
        <v>1475</v>
      </c>
      <c r="T4354" s="37">
        <v>2120</v>
      </c>
      <c r="U4354" s="38" t="s">
        <v>2101</v>
      </c>
      <c r="V4354" s="69" t="s">
        <v>192</v>
      </c>
      <c r="W4354" s="89" t="s">
        <v>171</v>
      </c>
      <c r="X4354" s="106" t="s">
        <v>295</v>
      </c>
      <c r="Y4354" s="107" t="s">
        <v>18</v>
      </c>
      <c r="Z4354" s="67">
        <f>IF(База_КР_КК[[#This Row],[Таб.номер резервиста]]="-","-",IF(OR(База_КР_КК[[#This Row],[Уровень КК]]=2,База_КР_КК[[#This Row],[Уровень КК]]=3),IF(COUNTIFS($U$2:$U4354,$U4354,$F$2:$F4354,$F4354)=1,1,0),IF(COUNTIFS($U$2:$U4354,$U4354,$L$2:$L4354,$L4354)=1,1,0)))</f>
        <v>1</v>
      </c>
      <c r="AA43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4" s="106" t="s">
        <v>37</v>
      </c>
      <c r="AC4354" s="51">
        <v>44449</v>
      </c>
      <c r="AD4354" s="106" t="s">
        <v>13</v>
      </c>
      <c r="AE4354" s="38" t="s">
        <v>302</v>
      </c>
    </row>
    <row r="4355" spans="1:31" ht="18" customHeight="1" x14ac:dyDescent="0.25">
      <c r="A43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5" s="79">
        <v>4</v>
      </c>
      <c r="C4355" s="23">
        <v>44510</v>
      </c>
      <c r="D4355" s="67">
        <f>IF(COUNTIF($G$2:$G4355,$G4355)=1,1,0)</f>
        <v>1</v>
      </c>
      <c r="E4355" s="67" t="str">
        <f>IFERROR(VLOOKUP(База_КР_КК[[#This Row],[ИД штатной должности (S)]],'уровень защищенности'!$B$7:$F$1095,5,0),"не защищена")</f>
        <v>высокий</v>
      </c>
      <c r="F4355" s="68">
        <v>500210</v>
      </c>
      <c r="G4355" s="74" t="s">
        <v>3252</v>
      </c>
      <c r="H4355" s="181">
        <f>INDEX('Списки данных'!$D$2:$D$1048576,MATCH(База_КР_КК[[#This Row],[Структурное подразделение]],'Списки данных'!$C$2:$C$1048576,0))</f>
        <v>221</v>
      </c>
      <c r="I4355" s="80" t="s">
        <v>171</v>
      </c>
      <c r="J4355" s="80" t="s">
        <v>266</v>
      </c>
      <c r="K4355" s="80" t="s">
        <v>21</v>
      </c>
      <c r="L4355" s="30" t="s">
        <v>186</v>
      </c>
      <c r="M4355" s="68">
        <v>6</v>
      </c>
      <c r="N4355" s="181" t="str">
        <f t="shared" si="69"/>
        <v>нет</v>
      </c>
      <c r="O4355" s="23"/>
      <c r="P4355" s="23"/>
      <c r="Q4355" s="106"/>
      <c r="R4355" s="37">
        <v>1067</v>
      </c>
      <c r="S4355" s="39" t="s">
        <v>1476</v>
      </c>
      <c r="T4355" s="37">
        <v>1045</v>
      </c>
      <c r="U4355" s="37" t="s">
        <v>1454</v>
      </c>
      <c r="V4355" s="69" t="s">
        <v>189</v>
      </c>
      <c r="W4355" s="89" t="s">
        <v>171</v>
      </c>
      <c r="X4355" s="106" t="s">
        <v>295</v>
      </c>
      <c r="Y4355" s="107" t="s">
        <v>18</v>
      </c>
      <c r="Z4355" s="67">
        <f>IF(База_КР_КК[[#This Row],[Таб.номер резервиста]]="-","-",IF(OR(База_КР_КК[[#This Row],[Уровень КК]]=2,База_КР_КК[[#This Row],[Уровень КК]]=3),IF(COUNTIFS($U$2:$U4355,$U4355,$F$2:$F4355,$F4355)=1,1,0),IF(COUNTIFS($U$2:$U4355,$U4355,$L$2:$L4355,$L4355)=1,1,0)))</f>
        <v>1</v>
      </c>
      <c r="AA43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5" s="106" t="s">
        <v>37</v>
      </c>
      <c r="AC4355" s="51">
        <v>45090</v>
      </c>
      <c r="AD4355" s="106" t="s">
        <v>13</v>
      </c>
      <c r="AE4355" s="38" t="s">
        <v>389</v>
      </c>
    </row>
    <row r="4356" spans="1:31" ht="18" customHeight="1" x14ac:dyDescent="0.25">
      <c r="A43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6" s="79">
        <v>4</v>
      </c>
      <c r="C4356" s="23">
        <v>44510</v>
      </c>
      <c r="D4356" s="67">
        <f>IF(COUNTIF($G$2:$G4356,$G4356)=1,1,0)</f>
        <v>0</v>
      </c>
      <c r="E4356" s="67" t="str">
        <f>IFERROR(VLOOKUP(База_КР_КК[[#This Row],[ИД штатной должности (S)]],'уровень защищенности'!$B$7:$F$1095,5,0),"не защищена")</f>
        <v>высокий</v>
      </c>
      <c r="F4356" s="68">
        <v>500210</v>
      </c>
      <c r="G4356" s="74" t="s">
        <v>3252</v>
      </c>
      <c r="H4356" s="181">
        <f>INDEX('Списки данных'!$D$2:$D$1048576,MATCH(База_КР_КК[[#This Row],[Структурное подразделение]],'Списки данных'!$C$2:$C$1048576,0))</f>
        <v>221</v>
      </c>
      <c r="I4356" s="80" t="s">
        <v>171</v>
      </c>
      <c r="J4356" s="80" t="s">
        <v>266</v>
      </c>
      <c r="K4356" s="80" t="s">
        <v>21</v>
      </c>
      <c r="L4356" s="30" t="s">
        <v>186</v>
      </c>
      <c r="M4356" s="68">
        <v>6</v>
      </c>
      <c r="N4356" s="181" t="str">
        <f t="shared" si="69"/>
        <v>нет</v>
      </c>
      <c r="O4356" s="23"/>
      <c r="P4356" s="23"/>
      <c r="Q4356" s="106"/>
      <c r="R4356" s="37">
        <v>1067</v>
      </c>
      <c r="S4356" s="39" t="s">
        <v>1476</v>
      </c>
      <c r="T4356" s="37">
        <v>2121</v>
      </c>
      <c r="U4356" s="37" t="s">
        <v>1582</v>
      </c>
      <c r="V4356" s="69" t="s">
        <v>189</v>
      </c>
      <c r="W4356" s="89" t="s">
        <v>171</v>
      </c>
      <c r="X4356" s="106" t="s">
        <v>295</v>
      </c>
      <c r="Y4356" s="107" t="s">
        <v>12</v>
      </c>
      <c r="Z4356" s="67">
        <f>IF(База_КР_КК[[#This Row],[Таб.номер резервиста]]="-","-",IF(OR(База_КР_КК[[#This Row],[Уровень КК]]=2,База_КР_КК[[#This Row],[Уровень КК]]=3),IF(COUNTIFS($U$2:$U4356,$U4356,$F$2:$F4356,$F4356)=1,1,0),IF(COUNTIFS($U$2:$U4356,$U4356,$L$2:$L4356,$L4356)=1,1,0)))</f>
        <v>0</v>
      </c>
      <c r="AA43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6" s="106"/>
      <c r="AC4356" s="51"/>
      <c r="AD4356" s="106" t="s">
        <v>13</v>
      </c>
      <c r="AE4356" s="38" t="s">
        <v>389</v>
      </c>
    </row>
    <row r="4357" spans="1:31" ht="18" customHeight="1" x14ac:dyDescent="0.25">
      <c r="A43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7" s="79">
        <v>4</v>
      </c>
      <c r="C4357" s="23">
        <v>44510</v>
      </c>
      <c r="D4357" s="67">
        <f>IF(COUNTIF($G$2:$G4357,$G4357)=1,1,0)</f>
        <v>1</v>
      </c>
      <c r="E4357" s="67" t="str">
        <f>IFERROR(VLOOKUP(База_КР_КК[[#This Row],[ИД штатной должности (S)]],'уровень защищенности'!$B$7:$F$1095,5,0),"не защищена")</f>
        <v>средний</v>
      </c>
      <c r="F4357" s="68">
        <v>500211</v>
      </c>
      <c r="G4357" s="74" t="s">
        <v>3253</v>
      </c>
      <c r="H4357" s="181">
        <f>INDEX('Списки данных'!$D$2:$D$1048576,MATCH(База_КР_КК[[#This Row],[Структурное подразделение]],'Списки данных'!$C$2:$C$1048576,0))</f>
        <v>221</v>
      </c>
      <c r="I4357" s="80" t="s">
        <v>171</v>
      </c>
      <c r="J4357" s="80" t="s">
        <v>266</v>
      </c>
      <c r="K4357" s="80" t="s">
        <v>21</v>
      </c>
      <c r="L4357" s="30" t="s">
        <v>191</v>
      </c>
      <c r="M4357" s="68">
        <v>7</v>
      </c>
      <c r="N4357" s="181" t="str">
        <f t="shared" si="69"/>
        <v>нет</v>
      </c>
      <c r="O4357" s="23"/>
      <c r="P4357" s="23"/>
      <c r="Q4357" s="106"/>
      <c r="R4357" s="37">
        <v>1068</v>
      </c>
      <c r="S4357" s="39" t="s">
        <v>1477</v>
      </c>
      <c r="T4357" s="37">
        <v>2122</v>
      </c>
      <c r="U4357" s="37" t="s">
        <v>1647</v>
      </c>
      <c r="V4357" s="69" t="s">
        <v>272</v>
      </c>
      <c r="W4357" s="89" t="s">
        <v>171</v>
      </c>
      <c r="X4357" s="106" t="s">
        <v>296</v>
      </c>
      <c r="Y4357" s="107" t="s">
        <v>12</v>
      </c>
      <c r="Z4357" s="67">
        <f>IF(База_КР_КК[[#This Row],[Таб.номер резервиста]]="-","-",IF(OR(База_КР_КК[[#This Row],[Уровень КК]]=2,База_КР_КК[[#This Row],[Уровень КК]]=3),IF(COUNTIFS($U$2:$U4357,$U4357,$F$2:$F4357,$F4357)=1,1,0),IF(COUNTIFS($U$2:$U4357,$U4357,$L$2:$L4357,$L4357)=1,1,0)))</f>
        <v>0</v>
      </c>
      <c r="AA43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7" s="106"/>
      <c r="AC4357" s="51"/>
      <c r="AD4357" s="106" t="s">
        <v>15</v>
      </c>
      <c r="AE4357" s="38" t="s">
        <v>399</v>
      </c>
    </row>
    <row r="4358" spans="1:31" ht="18" customHeight="1" x14ac:dyDescent="0.25">
      <c r="A43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8" s="79">
        <v>4</v>
      </c>
      <c r="C4358" s="23">
        <v>44879</v>
      </c>
      <c r="D4358" s="67">
        <f>IF(COUNTIF($G$2:$G4358,$G4358)=1,1,0)</f>
        <v>0</v>
      </c>
      <c r="E4358" s="67" t="str">
        <f>IFERROR(VLOOKUP(База_КР_КК[[#This Row],[ИД штатной должности (S)]],'уровень защищенности'!$B$7:$F$1095,5,0),"не защищена")</f>
        <v>средний</v>
      </c>
      <c r="F4358" s="68">
        <v>500211</v>
      </c>
      <c r="G4358" s="74" t="s">
        <v>3253</v>
      </c>
      <c r="H4358" s="181">
        <f>INDEX('Списки данных'!$D$2:$D$1048576,MATCH(База_КР_КК[[#This Row],[Структурное подразделение]],'Списки данных'!$C$2:$C$1048576,0))</f>
        <v>221</v>
      </c>
      <c r="I4358" s="80" t="s">
        <v>171</v>
      </c>
      <c r="J4358" s="80" t="s">
        <v>266</v>
      </c>
      <c r="K4358" s="80" t="s">
        <v>21</v>
      </c>
      <c r="L4358" s="30" t="s">
        <v>191</v>
      </c>
      <c r="M4358" s="68">
        <v>7</v>
      </c>
      <c r="N4358" s="181" t="str">
        <f t="shared" si="69"/>
        <v>нет</v>
      </c>
      <c r="O4358" s="23"/>
      <c r="P4358" s="23"/>
      <c r="Q4358" s="106"/>
      <c r="R4358" s="37">
        <v>1068</v>
      </c>
      <c r="S4358" s="39" t="s">
        <v>1477</v>
      </c>
      <c r="T4358" s="37">
        <v>2123</v>
      </c>
      <c r="U4358" s="38" t="s">
        <v>2089</v>
      </c>
      <c r="V4358" s="69" t="s">
        <v>272</v>
      </c>
      <c r="W4358" s="89" t="s">
        <v>171</v>
      </c>
      <c r="X4358" s="106" t="s">
        <v>297</v>
      </c>
      <c r="Y4358" s="107" t="s">
        <v>12</v>
      </c>
      <c r="Z4358" s="67">
        <f>IF(База_КР_КК[[#This Row],[Таб.номер резервиста]]="-","-",IF(OR(База_КР_КК[[#This Row],[Уровень КК]]=2,База_КР_КК[[#This Row],[Уровень КК]]=3),IF(COUNTIFS($U$2:$U4358,$U4358,$F$2:$F4358,$F4358)=1,1,0),IF(COUNTIFS($U$2:$U4358,$U4358,$L$2:$L4358,$L4358)=1,1,0)))</f>
        <v>0</v>
      </c>
      <c r="AA43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8" s="106"/>
      <c r="AC4358" s="51"/>
      <c r="AD4358" s="106" t="s">
        <v>15</v>
      </c>
      <c r="AE4358" s="38" t="s">
        <v>322</v>
      </c>
    </row>
    <row r="4359" spans="1:31" ht="18" customHeight="1" x14ac:dyDescent="0.25">
      <c r="A435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59" s="79">
        <v>4</v>
      </c>
      <c r="C4359" s="23">
        <v>44510</v>
      </c>
      <c r="D4359" s="67">
        <f>IF(COUNTIF($G$2:$G4359,$G4359)=1,1,0)</f>
        <v>1</v>
      </c>
      <c r="E4359" s="67" t="str">
        <f>IFERROR(VLOOKUP(База_КР_КК[[#This Row],[ИД штатной должности (S)]],'уровень защищенности'!$B$7:$F$1095,5,0),"не защищена")</f>
        <v>средний</v>
      </c>
      <c r="F4359" s="68">
        <v>500211</v>
      </c>
      <c r="G4359" s="74" t="s">
        <v>3254</v>
      </c>
      <c r="H4359" s="181">
        <f>INDEX('Списки данных'!$D$2:$D$1048576,MATCH(База_КР_КК[[#This Row],[Структурное подразделение]],'Списки данных'!$C$2:$C$1048576,0))</f>
        <v>221</v>
      </c>
      <c r="I4359" s="80" t="s">
        <v>171</v>
      </c>
      <c r="J4359" s="80" t="s">
        <v>266</v>
      </c>
      <c r="K4359" s="80" t="s">
        <v>21</v>
      </c>
      <c r="L4359" s="30" t="s">
        <v>191</v>
      </c>
      <c r="M4359" s="68">
        <v>7</v>
      </c>
      <c r="N4359" s="181" t="str">
        <f t="shared" si="69"/>
        <v>нет</v>
      </c>
      <c r="O4359" s="23"/>
      <c r="P4359" s="23"/>
      <c r="Q4359" s="106"/>
      <c r="R4359" s="37">
        <v>1069</v>
      </c>
      <c r="S4359" s="39" t="s">
        <v>1478</v>
      </c>
      <c r="T4359" s="37">
        <v>2122</v>
      </c>
      <c r="U4359" s="37" t="s">
        <v>1647</v>
      </c>
      <c r="V4359" s="69" t="s">
        <v>272</v>
      </c>
      <c r="W4359" s="89" t="s">
        <v>171</v>
      </c>
      <c r="X4359" s="106" t="s">
        <v>296</v>
      </c>
      <c r="Y4359" s="107" t="s">
        <v>12</v>
      </c>
      <c r="Z4359" s="67">
        <f>IF(База_КР_КК[[#This Row],[Таб.номер резервиста]]="-","-",IF(OR(База_КР_КК[[#This Row],[Уровень КК]]=2,База_КР_КК[[#This Row],[Уровень КК]]=3),IF(COUNTIFS($U$2:$U4359,$U4359,$F$2:$F4359,$F4359)=1,1,0),IF(COUNTIFS($U$2:$U4359,$U4359,$L$2:$L4359,$L4359)=1,1,0)))</f>
        <v>0</v>
      </c>
      <c r="AA43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59" s="106"/>
      <c r="AC4359" s="51"/>
      <c r="AD4359" s="106" t="s">
        <v>15</v>
      </c>
      <c r="AE4359" s="38" t="s">
        <v>399</v>
      </c>
    </row>
    <row r="4360" spans="1:31" ht="18" customHeight="1" x14ac:dyDescent="0.25">
      <c r="A436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0" s="79">
        <v>4</v>
      </c>
      <c r="C4360" s="23">
        <v>44879</v>
      </c>
      <c r="D4360" s="67">
        <f>IF(COUNTIF($G$2:$G4360,$G4360)=1,1,0)</f>
        <v>0</v>
      </c>
      <c r="E4360" s="67" t="str">
        <f>IFERROR(VLOOKUP(База_КР_КК[[#This Row],[ИД штатной должности (S)]],'уровень защищенности'!$B$7:$F$1095,5,0),"не защищена")</f>
        <v>средний</v>
      </c>
      <c r="F4360" s="68">
        <v>500211</v>
      </c>
      <c r="G4360" s="74" t="s">
        <v>3254</v>
      </c>
      <c r="H4360" s="181">
        <f>INDEX('Списки данных'!$D$2:$D$1048576,MATCH(База_КР_КК[[#This Row],[Структурное подразделение]],'Списки данных'!$C$2:$C$1048576,0))</f>
        <v>221</v>
      </c>
      <c r="I4360" s="80" t="s">
        <v>171</v>
      </c>
      <c r="J4360" s="80" t="s">
        <v>266</v>
      </c>
      <c r="K4360" s="80" t="s">
        <v>21</v>
      </c>
      <c r="L4360" s="30" t="s">
        <v>191</v>
      </c>
      <c r="M4360" s="68">
        <v>7</v>
      </c>
      <c r="N4360" s="181" t="str">
        <f t="shared" si="69"/>
        <v>нет</v>
      </c>
      <c r="O4360" s="23"/>
      <c r="P4360" s="23"/>
      <c r="Q4360" s="106"/>
      <c r="R4360" s="37">
        <v>1069</v>
      </c>
      <c r="S4360" s="39" t="s">
        <v>1478</v>
      </c>
      <c r="T4360" s="37">
        <v>2123</v>
      </c>
      <c r="U4360" s="38" t="s">
        <v>2089</v>
      </c>
      <c r="V4360" s="69" t="s">
        <v>272</v>
      </c>
      <c r="W4360" s="89" t="s">
        <v>171</v>
      </c>
      <c r="X4360" s="106" t="s">
        <v>297</v>
      </c>
      <c r="Y4360" s="107" t="s">
        <v>12</v>
      </c>
      <c r="Z4360" s="67">
        <f>IF(База_КР_КК[[#This Row],[Таб.номер резервиста]]="-","-",IF(OR(База_КР_КК[[#This Row],[Уровень КК]]=2,База_КР_КК[[#This Row],[Уровень КК]]=3),IF(COUNTIFS($U$2:$U4360,$U4360,$F$2:$F4360,$F4360)=1,1,0),IF(COUNTIFS($U$2:$U4360,$U4360,$L$2:$L4360,$L4360)=1,1,0)))</f>
        <v>0</v>
      </c>
      <c r="AA43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0" s="106"/>
      <c r="AC4360" s="51"/>
      <c r="AD4360" s="106" t="s">
        <v>15</v>
      </c>
      <c r="AE4360" s="38" t="s">
        <v>322</v>
      </c>
    </row>
    <row r="4361" spans="1:31" ht="18" customHeight="1" x14ac:dyDescent="0.25">
      <c r="A436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1" s="79">
        <v>4</v>
      </c>
      <c r="C4361" s="23">
        <v>44510</v>
      </c>
      <c r="D4361" s="67">
        <f>IF(COUNTIF($G$2:$G4361,$G4361)=1,1,0)</f>
        <v>1</v>
      </c>
      <c r="E4361" s="67" t="str">
        <f>IFERROR(VLOOKUP(База_КР_КК[[#This Row],[ИД штатной должности (S)]],'уровень защищенности'!$B$7:$F$1095,5,0),"не защищена")</f>
        <v>средний</v>
      </c>
      <c r="F4361" s="68">
        <v>500211</v>
      </c>
      <c r="G4361" s="74" t="s">
        <v>3255</v>
      </c>
      <c r="H4361" s="181">
        <f>INDEX('Списки данных'!$D$2:$D$1048576,MATCH(База_КР_КК[[#This Row],[Структурное подразделение]],'Списки данных'!$C$2:$C$1048576,0))</f>
        <v>221</v>
      </c>
      <c r="I4361" s="80" t="s">
        <v>171</v>
      </c>
      <c r="J4361" s="80" t="s">
        <v>266</v>
      </c>
      <c r="K4361" s="80" t="s">
        <v>21</v>
      </c>
      <c r="L4361" s="30" t="s">
        <v>191</v>
      </c>
      <c r="M4361" s="68">
        <v>7</v>
      </c>
      <c r="N4361" s="181" t="str">
        <f t="shared" si="69"/>
        <v>нет</v>
      </c>
      <c r="O4361" s="23"/>
      <c r="P4361" s="23"/>
      <c r="Q4361" s="106"/>
      <c r="R4361" s="37">
        <v>1070</v>
      </c>
      <c r="S4361" s="39" t="s">
        <v>1479</v>
      </c>
      <c r="T4361" s="37">
        <v>2122</v>
      </c>
      <c r="U4361" s="37" t="s">
        <v>1647</v>
      </c>
      <c r="V4361" s="69" t="s">
        <v>272</v>
      </c>
      <c r="W4361" s="89" t="s">
        <v>171</v>
      </c>
      <c r="X4361" s="106" t="s">
        <v>296</v>
      </c>
      <c r="Y4361" s="107" t="s">
        <v>12</v>
      </c>
      <c r="Z4361" s="67">
        <f>IF(База_КР_КК[[#This Row],[Таб.номер резервиста]]="-","-",IF(OR(База_КР_КК[[#This Row],[Уровень КК]]=2,База_КР_КК[[#This Row],[Уровень КК]]=3),IF(COUNTIFS($U$2:$U4361,$U4361,$F$2:$F4361,$F4361)=1,1,0),IF(COUNTIFS($U$2:$U4361,$U4361,$L$2:$L4361,$L4361)=1,1,0)))</f>
        <v>0</v>
      </c>
      <c r="AA43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1" s="106"/>
      <c r="AC4361" s="51"/>
      <c r="AD4361" s="106" t="s">
        <v>15</v>
      </c>
      <c r="AE4361" s="38" t="s">
        <v>399</v>
      </c>
    </row>
    <row r="4362" spans="1:31" ht="18" customHeight="1" x14ac:dyDescent="0.25">
      <c r="A436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2" s="79">
        <v>4</v>
      </c>
      <c r="C4362" s="23">
        <v>44879</v>
      </c>
      <c r="D4362" s="67">
        <f>IF(COUNTIF($G$2:$G4362,$G4362)=1,1,0)</f>
        <v>0</v>
      </c>
      <c r="E4362" s="67" t="str">
        <f>IFERROR(VLOOKUP(База_КР_КК[[#This Row],[ИД штатной должности (S)]],'уровень защищенности'!$B$7:$F$1095,5,0),"не защищена")</f>
        <v>средний</v>
      </c>
      <c r="F4362" s="68">
        <v>500211</v>
      </c>
      <c r="G4362" s="74" t="s">
        <v>3255</v>
      </c>
      <c r="H4362" s="181">
        <f>INDEX('Списки данных'!$D$2:$D$1048576,MATCH(База_КР_КК[[#This Row],[Структурное подразделение]],'Списки данных'!$C$2:$C$1048576,0))</f>
        <v>221</v>
      </c>
      <c r="I4362" s="80" t="s">
        <v>171</v>
      </c>
      <c r="J4362" s="80" t="s">
        <v>266</v>
      </c>
      <c r="K4362" s="80" t="s">
        <v>21</v>
      </c>
      <c r="L4362" s="30" t="s">
        <v>191</v>
      </c>
      <c r="M4362" s="68">
        <v>7</v>
      </c>
      <c r="N4362" s="181" t="str">
        <f t="shared" si="69"/>
        <v>нет</v>
      </c>
      <c r="O4362" s="23"/>
      <c r="P4362" s="23"/>
      <c r="Q4362" s="106"/>
      <c r="R4362" s="37">
        <v>1070</v>
      </c>
      <c r="S4362" s="39" t="s">
        <v>1479</v>
      </c>
      <c r="T4362" s="37">
        <v>2123</v>
      </c>
      <c r="U4362" s="38" t="s">
        <v>2089</v>
      </c>
      <c r="V4362" s="69" t="s">
        <v>272</v>
      </c>
      <c r="W4362" s="89" t="s">
        <v>171</v>
      </c>
      <c r="X4362" s="106" t="s">
        <v>297</v>
      </c>
      <c r="Y4362" s="107" t="s">
        <v>12</v>
      </c>
      <c r="Z4362" s="67">
        <f>IF(База_КР_КК[[#This Row],[Таб.номер резервиста]]="-","-",IF(OR(База_КР_КК[[#This Row],[Уровень КК]]=2,База_КР_КК[[#This Row],[Уровень КК]]=3),IF(COUNTIFS($U$2:$U4362,$U4362,$F$2:$F4362,$F4362)=1,1,0),IF(COUNTIFS($U$2:$U4362,$U4362,$L$2:$L4362,$L4362)=1,1,0)))</f>
        <v>0</v>
      </c>
      <c r="AA43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2" s="106"/>
      <c r="AC4362" s="51"/>
      <c r="AD4362" s="106" t="s">
        <v>15</v>
      </c>
      <c r="AE4362" s="38" t="s">
        <v>322</v>
      </c>
    </row>
    <row r="4363" spans="1:31" ht="18" customHeight="1" x14ac:dyDescent="0.25">
      <c r="A43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3" s="79">
        <v>4</v>
      </c>
      <c r="C4363" s="23">
        <v>44510</v>
      </c>
      <c r="D4363" s="67">
        <f>IF(COUNTIF($G$2:$G4363,$G4363)=1,1,0)</f>
        <v>1</v>
      </c>
      <c r="E4363" s="67" t="str">
        <f>IFERROR(VLOOKUP(База_КР_КК[[#This Row],[ИД штатной должности (S)]],'уровень защищенности'!$B$7:$F$1095,5,0),"не защищена")</f>
        <v>средний</v>
      </c>
      <c r="F4363" s="68">
        <v>500211</v>
      </c>
      <c r="G4363" s="74" t="s">
        <v>3256</v>
      </c>
      <c r="H4363" s="181">
        <f>INDEX('Списки данных'!$D$2:$D$1048576,MATCH(База_КР_КК[[#This Row],[Структурное подразделение]],'Списки данных'!$C$2:$C$1048576,0))</f>
        <v>221</v>
      </c>
      <c r="I4363" s="80" t="s">
        <v>171</v>
      </c>
      <c r="J4363" s="80" t="s">
        <v>266</v>
      </c>
      <c r="K4363" s="80" t="s">
        <v>21</v>
      </c>
      <c r="L4363" s="30" t="s">
        <v>191</v>
      </c>
      <c r="M4363" s="68">
        <v>7</v>
      </c>
      <c r="N4363" s="181" t="str">
        <f t="shared" si="69"/>
        <v>нет</v>
      </c>
      <c r="O4363" s="23"/>
      <c r="P4363" s="23"/>
      <c r="Q4363" s="106"/>
      <c r="R4363" s="37">
        <v>1071</v>
      </c>
      <c r="S4363" s="39" t="s">
        <v>1480</v>
      </c>
      <c r="T4363" s="37">
        <v>2122</v>
      </c>
      <c r="U4363" s="37" t="s">
        <v>1647</v>
      </c>
      <c r="V4363" s="69" t="s">
        <v>272</v>
      </c>
      <c r="W4363" s="89" t="s">
        <v>171</v>
      </c>
      <c r="X4363" s="106" t="s">
        <v>296</v>
      </c>
      <c r="Y4363" s="107" t="s">
        <v>12</v>
      </c>
      <c r="Z4363" s="67">
        <f>IF(База_КР_КК[[#This Row],[Таб.номер резервиста]]="-","-",IF(OR(База_КР_КК[[#This Row],[Уровень КК]]=2,База_КР_КК[[#This Row],[Уровень КК]]=3),IF(COUNTIFS($U$2:$U4363,$U4363,$F$2:$F4363,$F4363)=1,1,0),IF(COUNTIFS($U$2:$U4363,$U4363,$L$2:$L4363,$L4363)=1,1,0)))</f>
        <v>0</v>
      </c>
      <c r="AA43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3" s="106"/>
      <c r="AC4363" s="51"/>
      <c r="AD4363" s="106" t="s">
        <v>15</v>
      </c>
      <c r="AE4363" s="38" t="s">
        <v>399</v>
      </c>
    </row>
    <row r="4364" spans="1:31" ht="18" customHeight="1" x14ac:dyDescent="0.25">
      <c r="A43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4" s="79">
        <v>4</v>
      </c>
      <c r="C4364" s="23">
        <v>44879</v>
      </c>
      <c r="D4364" s="67">
        <f>IF(COUNTIF($G$2:$G4364,$G4364)=1,1,0)</f>
        <v>0</v>
      </c>
      <c r="E4364" s="67" t="str">
        <f>IFERROR(VLOOKUP(База_КР_КК[[#This Row],[ИД штатной должности (S)]],'уровень защищенности'!$B$7:$F$1095,5,0),"не защищена")</f>
        <v>средний</v>
      </c>
      <c r="F4364" s="68">
        <v>500211</v>
      </c>
      <c r="G4364" s="74" t="s">
        <v>3256</v>
      </c>
      <c r="H4364" s="181">
        <f>INDEX('Списки данных'!$D$2:$D$1048576,MATCH(База_КР_КК[[#This Row],[Структурное подразделение]],'Списки данных'!$C$2:$C$1048576,0))</f>
        <v>221</v>
      </c>
      <c r="I4364" s="80" t="s">
        <v>171</v>
      </c>
      <c r="J4364" s="80" t="s">
        <v>266</v>
      </c>
      <c r="K4364" s="80" t="s">
        <v>21</v>
      </c>
      <c r="L4364" s="30" t="s">
        <v>191</v>
      </c>
      <c r="M4364" s="68">
        <v>7</v>
      </c>
      <c r="N4364" s="181" t="str">
        <f t="shared" si="69"/>
        <v>нет</v>
      </c>
      <c r="O4364" s="23"/>
      <c r="P4364" s="23"/>
      <c r="Q4364" s="106"/>
      <c r="R4364" s="37">
        <v>1071</v>
      </c>
      <c r="S4364" s="39" t="s">
        <v>1480</v>
      </c>
      <c r="T4364" s="37">
        <v>2123</v>
      </c>
      <c r="U4364" s="38" t="s">
        <v>2089</v>
      </c>
      <c r="V4364" s="69" t="s">
        <v>272</v>
      </c>
      <c r="W4364" s="89" t="s">
        <v>171</v>
      </c>
      <c r="X4364" s="106" t="s">
        <v>297</v>
      </c>
      <c r="Y4364" s="107" t="s">
        <v>12</v>
      </c>
      <c r="Z4364" s="67">
        <f>IF(База_КР_КК[[#This Row],[Таб.номер резервиста]]="-","-",IF(OR(База_КР_КК[[#This Row],[Уровень КК]]=2,База_КР_КК[[#This Row],[Уровень КК]]=3),IF(COUNTIFS($U$2:$U4364,$U4364,$F$2:$F4364,$F4364)=1,1,0),IF(COUNTIFS($U$2:$U4364,$U4364,$L$2:$L4364,$L4364)=1,1,0)))</f>
        <v>0</v>
      </c>
      <c r="AA43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4" s="106"/>
      <c r="AC4364" s="51"/>
      <c r="AD4364" s="106" t="s">
        <v>15</v>
      </c>
      <c r="AE4364" s="38" t="s">
        <v>322</v>
      </c>
    </row>
    <row r="4365" spans="1:31" ht="18" customHeight="1" x14ac:dyDescent="0.25">
      <c r="A43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5" s="79">
        <v>4</v>
      </c>
      <c r="C4365" s="23">
        <v>44510</v>
      </c>
      <c r="D4365" s="67">
        <f>IF(COUNTIF($G$2:$G4365,$G4365)=1,1,0)</f>
        <v>1</v>
      </c>
      <c r="E4365" s="67" t="str">
        <f>IFERROR(VLOOKUP(База_КР_КК[[#This Row],[ИД штатной должности (S)]],'уровень защищенности'!$B$7:$F$1095,5,0),"не защищена")</f>
        <v>средний</v>
      </c>
      <c r="F4365" s="68">
        <v>500211</v>
      </c>
      <c r="G4365" s="74" t="s">
        <v>3257</v>
      </c>
      <c r="H4365" s="181">
        <f>INDEX('Списки данных'!$D$2:$D$1048576,MATCH(База_КР_КК[[#This Row],[Структурное подразделение]],'Списки данных'!$C$2:$C$1048576,0))</f>
        <v>221</v>
      </c>
      <c r="I4365" s="80" t="s">
        <v>171</v>
      </c>
      <c r="J4365" s="80" t="s">
        <v>266</v>
      </c>
      <c r="K4365" s="80" t="s">
        <v>21</v>
      </c>
      <c r="L4365" s="30" t="s">
        <v>191</v>
      </c>
      <c r="M4365" s="68">
        <v>7</v>
      </c>
      <c r="N4365" s="181" t="str">
        <f t="shared" si="69"/>
        <v>нет</v>
      </c>
      <c r="O4365" s="23"/>
      <c r="P4365" s="23"/>
      <c r="Q4365" s="106"/>
      <c r="R4365" s="37">
        <v>1072</v>
      </c>
      <c r="S4365" s="39" t="s">
        <v>1481</v>
      </c>
      <c r="T4365" s="37">
        <v>2122</v>
      </c>
      <c r="U4365" s="37" t="s">
        <v>1647</v>
      </c>
      <c r="V4365" s="69" t="s">
        <v>272</v>
      </c>
      <c r="W4365" s="89" t="s">
        <v>171</v>
      </c>
      <c r="X4365" s="106" t="s">
        <v>296</v>
      </c>
      <c r="Y4365" s="107" t="s">
        <v>12</v>
      </c>
      <c r="Z4365" s="67">
        <f>IF(База_КР_КК[[#This Row],[Таб.номер резервиста]]="-","-",IF(OR(База_КР_КК[[#This Row],[Уровень КК]]=2,База_КР_КК[[#This Row],[Уровень КК]]=3),IF(COUNTIFS($U$2:$U4365,$U4365,$F$2:$F4365,$F4365)=1,1,0),IF(COUNTIFS($U$2:$U4365,$U4365,$L$2:$L4365,$L4365)=1,1,0)))</f>
        <v>0</v>
      </c>
      <c r="AA43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5" s="106"/>
      <c r="AC4365" s="51"/>
      <c r="AD4365" s="106" t="s">
        <v>15</v>
      </c>
      <c r="AE4365" s="38" t="s">
        <v>399</v>
      </c>
    </row>
    <row r="4366" spans="1:31" ht="18" customHeight="1" x14ac:dyDescent="0.25">
      <c r="A436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6" s="79">
        <v>4</v>
      </c>
      <c r="C4366" s="23">
        <v>44879</v>
      </c>
      <c r="D4366" s="67">
        <f>IF(COUNTIF($G$2:$G4366,$G4366)=1,1,0)</f>
        <v>0</v>
      </c>
      <c r="E4366" s="67" t="str">
        <f>IFERROR(VLOOKUP(База_КР_КК[[#This Row],[ИД штатной должности (S)]],'уровень защищенности'!$B$7:$F$1095,5,0),"не защищена")</f>
        <v>средний</v>
      </c>
      <c r="F4366" s="68">
        <v>500211</v>
      </c>
      <c r="G4366" s="74" t="s">
        <v>3257</v>
      </c>
      <c r="H4366" s="181">
        <f>INDEX('Списки данных'!$D$2:$D$1048576,MATCH(База_КР_КК[[#This Row],[Структурное подразделение]],'Списки данных'!$C$2:$C$1048576,0))</f>
        <v>221</v>
      </c>
      <c r="I4366" s="80" t="s">
        <v>171</v>
      </c>
      <c r="J4366" s="80" t="s">
        <v>266</v>
      </c>
      <c r="K4366" s="80" t="s">
        <v>21</v>
      </c>
      <c r="L4366" s="30" t="s">
        <v>191</v>
      </c>
      <c r="M4366" s="68">
        <v>7</v>
      </c>
      <c r="N4366" s="181" t="str">
        <f t="shared" si="69"/>
        <v>нет</v>
      </c>
      <c r="O4366" s="23"/>
      <c r="P4366" s="23"/>
      <c r="Q4366" s="106"/>
      <c r="R4366" s="37">
        <v>1072</v>
      </c>
      <c r="S4366" s="39" t="s">
        <v>1481</v>
      </c>
      <c r="T4366" s="37">
        <v>2123</v>
      </c>
      <c r="U4366" s="38" t="s">
        <v>2089</v>
      </c>
      <c r="V4366" s="69" t="s">
        <v>272</v>
      </c>
      <c r="W4366" s="89" t="s">
        <v>171</v>
      </c>
      <c r="X4366" s="106" t="s">
        <v>297</v>
      </c>
      <c r="Y4366" s="107" t="s">
        <v>12</v>
      </c>
      <c r="Z4366" s="67">
        <f>IF(База_КР_КК[[#This Row],[Таб.номер резервиста]]="-","-",IF(OR(База_КР_КК[[#This Row],[Уровень КК]]=2,База_КР_КК[[#This Row],[Уровень КК]]=3),IF(COUNTIFS($U$2:$U4366,$U4366,$F$2:$F4366,$F4366)=1,1,0),IF(COUNTIFS($U$2:$U4366,$U4366,$L$2:$L4366,$L4366)=1,1,0)))</f>
        <v>0</v>
      </c>
      <c r="AA43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6" s="106"/>
      <c r="AC4366" s="51"/>
      <c r="AD4366" s="106" t="s">
        <v>15</v>
      </c>
      <c r="AE4366" s="38" t="s">
        <v>322</v>
      </c>
    </row>
    <row r="4367" spans="1:31" ht="18" customHeight="1" x14ac:dyDescent="0.25">
      <c r="A436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7" s="79">
        <v>4</v>
      </c>
      <c r="C4367" s="23">
        <v>44510</v>
      </c>
      <c r="D4367" s="67">
        <f>IF(COUNTIF($G$2:$G4367,$G4367)=1,1,0)</f>
        <v>1</v>
      </c>
      <c r="E4367" s="67" t="str">
        <f>IFERROR(VLOOKUP(База_КР_КК[[#This Row],[ИД штатной должности (S)]],'уровень защищенности'!$B$7:$F$1095,5,0),"не защищена")</f>
        <v>низкий</v>
      </c>
      <c r="F4367" s="68">
        <v>500212</v>
      </c>
      <c r="G4367" s="74" t="s">
        <v>3258</v>
      </c>
      <c r="H4367" s="181">
        <f>INDEX('Списки данных'!$D$2:$D$1048576,MATCH(База_КР_КК[[#This Row],[Структурное подразделение]],'Списки данных'!$C$2:$C$1048576,0))</f>
        <v>221</v>
      </c>
      <c r="I4367" s="80" t="s">
        <v>171</v>
      </c>
      <c r="J4367" s="80" t="s">
        <v>266</v>
      </c>
      <c r="K4367" s="80" t="s">
        <v>21</v>
      </c>
      <c r="L4367" s="30" t="s">
        <v>192</v>
      </c>
      <c r="M4367" s="68">
        <v>7</v>
      </c>
      <c r="N4367" s="181" t="str">
        <f t="shared" si="69"/>
        <v>нет</v>
      </c>
      <c r="O4367" s="23"/>
      <c r="P4367" s="23"/>
      <c r="Q4367" s="106"/>
      <c r="R4367" s="37">
        <v>1073</v>
      </c>
      <c r="S4367" s="39" t="s">
        <v>1482</v>
      </c>
      <c r="T4367" s="37">
        <v>2124</v>
      </c>
      <c r="U4367" s="37" t="s">
        <v>2074</v>
      </c>
      <c r="V4367" s="69" t="s">
        <v>272</v>
      </c>
      <c r="W4367" s="89" t="s">
        <v>171</v>
      </c>
      <c r="X4367" s="106" t="s">
        <v>296</v>
      </c>
      <c r="Y4367" s="107" t="s">
        <v>12</v>
      </c>
      <c r="Z4367" s="67">
        <f>IF(База_КР_КК[[#This Row],[Таб.номер резервиста]]="-","-",IF(OR(База_КР_КК[[#This Row],[Уровень КК]]=2,База_КР_КК[[#This Row],[Уровень КК]]=3),IF(COUNTIFS($U$2:$U4367,$U4367,$F$2:$F4367,$F4367)=1,1,0),IF(COUNTIFS($U$2:$U4367,$U4367,$L$2:$L4367,$L4367)=1,1,0)))</f>
        <v>1</v>
      </c>
      <c r="AA43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7" s="106"/>
      <c r="AC4367" s="51"/>
      <c r="AD4367" s="106" t="s">
        <v>15</v>
      </c>
      <c r="AE4367" s="38" t="s">
        <v>399</v>
      </c>
    </row>
    <row r="4368" spans="1:31" ht="18" customHeight="1" x14ac:dyDescent="0.25">
      <c r="A436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8" s="79">
        <v>4</v>
      </c>
      <c r="C4368" s="23">
        <v>44510</v>
      </c>
      <c r="D4368" s="67">
        <f>IF(COUNTIF($G$2:$G4368,$G4368)=1,1,0)</f>
        <v>1</v>
      </c>
      <c r="E4368" s="67" t="str">
        <f>IFERROR(VLOOKUP(База_КР_КК[[#This Row],[ИД штатной должности (S)]],'уровень защищенности'!$B$7:$F$1095,5,0),"не защищена")</f>
        <v>не защищена</v>
      </c>
      <c r="F4368" s="68">
        <v>500214</v>
      </c>
      <c r="G4368" s="74" t="s">
        <v>3259</v>
      </c>
      <c r="H4368" s="181">
        <f>INDEX('Списки данных'!$D$2:$D$1048576,MATCH(База_КР_КК[[#This Row],[Структурное подразделение]],'Списки данных'!$C$2:$C$1048576,0))</f>
        <v>221</v>
      </c>
      <c r="I4368" s="80" t="s">
        <v>171</v>
      </c>
      <c r="J4368" s="80" t="s">
        <v>266</v>
      </c>
      <c r="K4368" s="80" t="s">
        <v>21</v>
      </c>
      <c r="L4368" s="30" t="s">
        <v>186</v>
      </c>
      <c r="M4368" s="68">
        <v>6</v>
      </c>
      <c r="N4368" s="181" t="str">
        <f t="shared" si="69"/>
        <v>да</v>
      </c>
      <c r="O4368" s="23">
        <v>44837</v>
      </c>
      <c r="P4368" s="23">
        <v>44949</v>
      </c>
      <c r="Q4368" s="106" t="s">
        <v>66</v>
      </c>
      <c r="R4368" s="37">
        <v>1074</v>
      </c>
      <c r="S4368" s="37" t="s">
        <v>1483</v>
      </c>
      <c r="T4368" s="37">
        <v>1074</v>
      </c>
      <c r="U4368" s="37" t="s">
        <v>1483</v>
      </c>
      <c r="V4368" s="69" t="s">
        <v>192</v>
      </c>
      <c r="W4368" s="89" t="s">
        <v>171</v>
      </c>
      <c r="X4368" s="106" t="s">
        <v>296</v>
      </c>
      <c r="Y4368" s="107" t="s">
        <v>14</v>
      </c>
      <c r="Z4368" s="67">
        <f>IF(База_КР_КК[[#This Row],[Таб.номер резервиста]]="-","-",IF(OR(База_КР_КК[[#This Row],[Уровень КК]]=2,База_КР_КК[[#This Row],[Уровень КК]]=3),IF(COUNTIFS($U$2:$U4368,$U4368,$F$2:$F4368,$F4368)=1,1,0),IF(COUNTIFS($U$2:$U4368,$U4368,$L$2:$L4368,$L4368)=1,1,0)))</f>
        <v>1</v>
      </c>
      <c r="AA43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68" s="106" t="s">
        <v>24</v>
      </c>
      <c r="AC4368" s="51">
        <v>44949</v>
      </c>
      <c r="AD4368" s="106" t="s">
        <v>13</v>
      </c>
      <c r="AE4368" s="38" t="s">
        <v>389</v>
      </c>
    </row>
    <row r="4369" spans="1:31" ht="18" customHeight="1" x14ac:dyDescent="0.25">
      <c r="A436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69" s="79">
        <v>4</v>
      </c>
      <c r="C4369" s="23">
        <v>44510</v>
      </c>
      <c r="D4369" s="67">
        <f>IF(COUNTIF($G$2:$G4369,$G4369)=1,1,0)</f>
        <v>1</v>
      </c>
      <c r="E4369" s="67" t="str">
        <f>IFERROR(VLOOKUP(База_КР_КК[[#This Row],[ИД штатной должности (S)]],'уровень защищенности'!$B$7:$F$1095,5,0),"не защищена")</f>
        <v>низкий</v>
      </c>
      <c r="F4369" s="68">
        <v>500215</v>
      </c>
      <c r="G4369" s="74" t="s">
        <v>3260</v>
      </c>
      <c r="H4369" s="181">
        <f>INDEX('Списки данных'!$D$2:$D$1048576,MATCH(База_КР_КК[[#This Row],[Структурное подразделение]],'Списки данных'!$C$2:$C$1048576,0))</f>
        <v>221</v>
      </c>
      <c r="I4369" s="80" t="s">
        <v>171</v>
      </c>
      <c r="J4369" s="80" t="s">
        <v>266</v>
      </c>
      <c r="K4369" s="80" t="s">
        <v>21</v>
      </c>
      <c r="L4369" s="30" t="s">
        <v>191</v>
      </c>
      <c r="M4369" s="68">
        <v>7</v>
      </c>
      <c r="N4369" s="181" t="str">
        <f t="shared" si="69"/>
        <v>нет</v>
      </c>
      <c r="O4369" s="23"/>
      <c r="P4369" s="23"/>
      <c r="Q4369" s="106"/>
      <c r="R4369" s="37">
        <v>1075</v>
      </c>
      <c r="S4369" s="39" t="s">
        <v>1484</v>
      </c>
      <c r="T4369" s="37">
        <v>2125</v>
      </c>
      <c r="U4369" s="37" t="s">
        <v>2046</v>
      </c>
      <c r="V4369" s="69" t="s">
        <v>272</v>
      </c>
      <c r="W4369" s="89" t="s">
        <v>171</v>
      </c>
      <c r="X4369" s="106" t="s">
        <v>296</v>
      </c>
      <c r="Y4369" s="107" t="s">
        <v>12</v>
      </c>
      <c r="Z4369" s="67">
        <f>IF(База_КР_КК[[#This Row],[Таб.номер резервиста]]="-","-",IF(OR(База_КР_КК[[#This Row],[Уровень КК]]=2,База_КР_КК[[#This Row],[Уровень КК]]=3),IF(COUNTIFS($U$2:$U4369,$U4369,$F$2:$F4369,$F4369)=1,1,0),IF(COUNTIFS($U$2:$U4369,$U4369,$L$2:$L4369,$L4369)=1,1,0)))</f>
        <v>0</v>
      </c>
      <c r="AA43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69" s="106"/>
      <c r="AC4369" s="51"/>
      <c r="AD4369" s="106" t="s">
        <v>15</v>
      </c>
      <c r="AE4369" s="38" t="s">
        <v>399</v>
      </c>
    </row>
    <row r="4370" spans="1:31" ht="18" customHeight="1" x14ac:dyDescent="0.25">
      <c r="A437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0" s="79">
        <v>4</v>
      </c>
      <c r="C4370" s="23">
        <v>44510</v>
      </c>
      <c r="D4370" s="67">
        <f>IF(COUNTIF($G$2:$G4370,$G4370)=1,1,0)</f>
        <v>1</v>
      </c>
      <c r="E4370" s="67" t="str">
        <f>IFERROR(VLOOKUP(База_КР_КК[[#This Row],[ИД штатной должности (S)]],'уровень защищенности'!$B$7:$F$1095,5,0),"не защищена")</f>
        <v>низкий</v>
      </c>
      <c r="F4370" s="68">
        <v>500215</v>
      </c>
      <c r="G4370" s="74" t="s">
        <v>3261</v>
      </c>
      <c r="H4370" s="181">
        <f>INDEX('Списки данных'!$D$2:$D$1048576,MATCH(База_КР_КК[[#This Row],[Структурное подразделение]],'Списки данных'!$C$2:$C$1048576,0))</f>
        <v>221</v>
      </c>
      <c r="I4370" s="80" t="s">
        <v>171</v>
      </c>
      <c r="J4370" s="80" t="s">
        <v>266</v>
      </c>
      <c r="K4370" s="80" t="s">
        <v>21</v>
      </c>
      <c r="L4370" s="30" t="s">
        <v>191</v>
      </c>
      <c r="M4370" s="68">
        <v>7</v>
      </c>
      <c r="N4370" s="181" t="str">
        <f t="shared" si="69"/>
        <v>нет</v>
      </c>
      <c r="O4370" s="23"/>
      <c r="P4370" s="23"/>
      <c r="Q4370" s="106"/>
      <c r="R4370" s="37">
        <v>1076</v>
      </c>
      <c r="S4370" s="39" t="s">
        <v>1485</v>
      </c>
      <c r="T4370" s="37">
        <v>2125</v>
      </c>
      <c r="U4370" s="37" t="s">
        <v>2046</v>
      </c>
      <c r="V4370" s="69" t="s">
        <v>272</v>
      </c>
      <c r="W4370" s="89" t="s">
        <v>171</v>
      </c>
      <c r="X4370" s="106" t="s">
        <v>296</v>
      </c>
      <c r="Y4370" s="107" t="s">
        <v>12</v>
      </c>
      <c r="Z4370" s="67">
        <f>IF(База_КР_КК[[#This Row],[Таб.номер резервиста]]="-","-",IF(OR(База_КР_КК[[#This Row],[Уровень КК]]=2,База_КР_КК[[#This Row],[Уровень КК]]=3),IF(COUNTIFS($U$2:$U4370,$U4370,$F$2:$F4370,$F4370)=1,1,0),IF(COUNTIFS($U$2:$U4370,$U4370,$L$2:$L4370,$L4370)=1,1,0)))</f>
        <v>0</v>
      </c>
      <c r="AA437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0" s="106"/>
      <c r="AC4370" s="51"/>
      <c r="AD4370" s="106" t="s">
        <v>15</v>
      </c>
      <c r="AE4370" s="38" t="s">
        <v>399</v>
      </c>
    </row>
    <row r="4371" spans="1:31" ht="18" customHeight="1" x14ac:dyDescent="0.25">
      <c r="A437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1" s="79">
        <v>4</v>
      </c>
      <c r="C4371" s="23">
        <v>44510</v>
      </c>
      <c r="D4371" s="67">
        <f>IF(COUNTIF($G$2:$G4371,$G4371)=1,1,0)</f>
        <v>1</v>
      </c>
      <c r="E4371" s="67" t="str">
        <f>IFERROR(VLOOKUP(База_КР_КК[[#This Row],[ИД штатной должности (S)]],'уровень защищенности'!$B$7:$F$1095,5,0),"не защищена")</f>
        <v>низкий</v>
      </c>
      <c r="F4371" s="68">
        <v>500215</v>
      </c>
      <c r="G4371" s="74" t="s">
        <v>3262</v>
      </c>
      <c r="H4371" s="181">
        <f>INDEX('Списки данных'!$D$2:$D$1048576,MATCH(База_КР_КК[[#This Row],[Структурное подразделение]],'Списки данных'!$C$2:$C$1048576,0))</f>
        <v>221</v>
      </c>
      <c r="I4371" s="80" t="s">
        <v>171</v>
      </c>
      <c r="J4371" s="80" t="s">
        <v>266</v>
      </c>
      <c r="K4371" s="80" t="s">
        <v>21</v>
      </c>
      <c r="L4371" s="30" t="s">
        <v>191</v>
      </c>
      <c r="M4371" s="68">
        <v>7</v>
      </c>
      <c r="N4371" s="181" t="str">
        <f t="shared" si="69"/>
        <v>нет</v>
      </c>
      <c r="O4371" s="23"/>
      <c r="P4371" s="23"/>
      <c r="Q4371" s="106"/>
      <c r="R4371" s="37">
        <v>1077</v>
      </c>
      <c r="S4371" s="39" t="s">
        <v>1486</v>
      </c>
      <c r="T4371" s="37">
        <v>2125</v>
      </c>
      <c r="U4371" s="37" t="s">
        <v>2046</v>
      </c>
      <c r="V4371" s="69" t="s">
        <v>272</v>
      </c>
      <c r="W4371" s="89" t="s">
        <v>171</v>
      </c>
      <c r="X4371" s="106" t="s">
        <v>296</v>
      </c>
      <c r="Y4371" s="107" t="s">
        <v>12</v>
      </c>
      <c r="Z4371" s="67">
        <f>IF(База_КР_КК[[#This Row],[Таб.номер резервиста]]="-","-",IF(OR(База_КР_КК[[#This Row],[Уровень КК]]=2,База_КР_КК[[#This Row],[Уровень КК]]=3),IF(COUNTIFS($U$2:$U4371,$U4371,$F$2:$F4371,$F4371)=1,1,0),IF(COUNTIFS($U$2:$U4371,$U4371,$L$2:$L4371,$L4371)=1,1,0)))</f>
        <v>0</v>
      </c>
      <c r="AA437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1" s="106"/>
      <c r="AC4371" s="51"/>
      <c r="AD4371" s="106" t="s">
        <v>15</v>
      </c>
      <c r="AE4371" s="38" t="s">
        <v>399</v>
      </c>
    </row>
    <row r="4372" spans="1:31" ht="18" customHeight="1" x14ac:dyDescent="0.25">
      <c r="A437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2" s="79">
        <v>4</v>
      </c>
      <c r="C4372" s="23">
        <v>44510</v>
      </c>
      <c r="D4372" s="67">
        <f>IF(COUNTIF($G$2:$G4372,$G4372)=1,1,0)</f>
        <v>1</v>
      </c>
      <c r="E4372" s="67" t="str">
        <f>IFERROR(VLOOKUP(База_КР_КК[[#This Row],[ИД штатной должности (S)]],'уровень защищенности'!$B$7:$F$1095,5,0),"не защищена")</f>
        <v>низкий</v>
      </c>
      <c r="F4372" s="68">
        <v>500215</v>
      </c>
      <c r="G4372" s="74" t="s">
        <v>3263</v>
      </c>
      <c r="H4372" s="181">
        <f>INDEX('Списки данных'!$D$2:$D$1048576,MATCH(База_КР_КК[[#This Row],[Структурное подразделение]],'Списки данных'!$C$2:$C$1048576,0))</f>
        <v>221</v>
      </c>
      <c r="I4372" s="80" t="s">
        <v>171</v>
      </c>
      <c r="J4372" s="80" t="s">
        <v>266</v>
      </c>
      <c r="K4372" s="80" t="s">
        <v>21</v>
      </c>
      <c r="L4372" s="30" t="s">
        <v>191</v>
      </c>
      <c r="M4372" s="68">
        <v>7</v>
      </c>
      <c r="N4372" s="181" t="str">
        <f t="shared" si="69"/>
        <v>нет</v>
      </c>
      <c r="O4372" s="23"/>
      <c r="P4372" s="23"/>
      <c r="Q4372" s="106"/>
      <c r="R4372" s="37">
        <v>1078</v>
      </c>
      <c r="S4372" s="39" t="s">
        <v>1487</v>
      </c>
      <c r="T4372" s="37">
        <v>2125</v>
      </c>
      <c r="U4372" s="37" t="s">
        <v>2046</v>
      </c>
      <c r="V4372" s="69" t="s">
        <v>272</v>
      </c>
      <c r="W4372" s="89" t="s">
        <v>171</v>
      </c>
      <c r="X4372" s="106" t="s">
        <v>296</v>
      </c>
      <c r="Y4372" s="107" t="s">
        <v>12</v>
      </c>
      <c r="Z4372" s="67">
        <f>IF(База_КР_КК[[#This Row],[Таб.номер резервиста]]="-","-",IF(OR(База_КР_КК[[#This Row],[Уровень КК]]=2,База_КР_КК[[#This Row],[Уровень КК]]=3),IF(COUNTIFS($U$2:$U4372,$U4372,$F$2:$F4372,$F4372)=1,1,0),IF(COUNTIFS($U$2:$U4372,$U4372,$L$2:$L4372,$L4372)=1,1,0)))</f>
        <v>0</v>
      </c>
      <c r="AA437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2" s="106"/>
      <c r="AC4372" s="51"/>
      <c r="AD4372" s="106" t="s">
        <v>15</v>
      </c>
      <c r="AE4372" s="38" t="s">
        <v>399</v>
      </c>
    </row>
    <row r="4373" spans="1:31" ht="18" customHeight="1" x14ac:dyDescent="0.25">
      <c r="A437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3" s="79">
        <v>4</v>
      </c>
      <c r="C4373" s="23">
        <v>44190</v>
      </c>
      <c r="D4373" s="67">
        <f>IF(COUNTIF($G$2:$G4373,$G4373)=1,1,0)</f>
        <v>1</v>
      </c>
      <c r="E4373" s="67" t="str">
        <f>IFERROR(VLOOKUP(База_КР_КК[[#This Row],[ИД штатной должности (S)]],'уровень защищенности'!$B$7:$F$1095,5,0),"не защищена")</f>
        <v>низкий</v>
      </c>
      <c r="F4373" s="68">
        <v>500533</v>
      </c>
      <c r="G4373" s="74" t="s">
        <v>3264</v>
      </c>
      <c r="H4373" s="181">
        <f>INDEX('Списки данных'!$D$2:$D$1048576,MATCH(База_КР_КК[[#This Row],[Структурное подразделение]],'Списки данных'!$C$2:$C$1048576,0))</f>
        <v>50</v>
      </c>
      <c r="I4373" s="80" t="s">
        <v>159</v>
      </c>
      <c r="J4373" s="80" t="s">
        <v>255</v>
      </c>
      <c r="K4373" s="80" t="s">
        <v>21</v>
      </c>
      <c r="L4373" s="82" t="s">
        <v>192</v>
      </c>
      <c r="M4373" s="68">
        <v>7</v>
      </c>
      <c r="N4373" s="181" t="str">
        <f t="shared" si="69"/>
        <v>нет</v>
      </c>
      <c r="O4373" s="23"/>
      <c r="P4373" s="23"/>
      <c r="Q4373" s="106"/>
      <c r="R4373" s="37">
        <v>1079</v>
      </c>
      <c r="S4373" s="39" t="s">
        <v>1488</v>
      </c>
      <c r="T4373" s="37">
        <v>2064</v>
      </c>
      <c r="U4373" s="37" t="s">
        <v>2049</v>
      </c>
      <c r="V4373" s="69" t="s">
        <v>272</v>
      </c>
      <c r="W4373" s="89" t="s">
        <v>159</v>
      </c>
      <c r="X4373" s="106" t="s">
        <v>296</v>
      </c>
      <c r="Y4373" s="107" t="s">
        <v>12</v>
      </c>
      <c r="Z4373" s="67">
        <f>IF(База_КР_КК[[#This Row],[Таб.номер резервиста]]="-","-",IF(OR(База_КР_КК[[#This Row],[Уровень КК]]=2,База_КР_КК[[#This Row],[Уровень КК]]=3),IF(COUNTIFS($U$2:$U4373,$U4373,$F$2:$F4373,$F4373)=1,1,0),IF(COUNTIFS($U$2:$U4373,$U4373,$L$2:$L4373,$L4373)=1,1,0)))</f>
        <v>0</v>
      </c>
      <c r="AA437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3" s="106"/>
      <c r="AC4373" s="51"/>
      <c r="AD4373" s="106" t="s">
        <v>13</v>
      </c>
      <c r="AE4373" s="38" t="s">
        <v>356</v>
      </c>
    </row>
    <row r="4374" spans="1:31" ht="18" customHeight="1" x14ac:dyDescent="0.25">
      <c r="A437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4" s="79">
        <v>4</v>
      </c>
      <c r="C4374" s="23">
        <v>44190</v>
      </c>
      <c r="D4374" s="67">
        <f>IF(COUNTIF($G$2:$G4374,$G4374)=1,1,0)</f>
        <v>0</v>
      </c>
      <c r="E4374" s="67" t="str">
        <f>IFERROR(VLOOKUP(База_КР_КК[[#This Row],[ИД штатной должности (S)]],'уровень защищенности'!$B$7:$F$1095,5,0),"не защищена")</f>
        <v>низкий</v>
      </c>
      <c r="F4374" s="68">
        <v>500533</v>
      </c>
      <c r="G4374" s="74" t="s">
        <v>3264</v>
      </c>
      <c r="H4374" s="181">
        <f>INDEX('Списки данных'!$D$2:$D$1048576,MATCH(База_КР_КК[[#This Row],[Структурное подразделение]],'Списки данных'!$C$2:$C$1048576,0))</f>
        <v>50</v>
      </c>
      <c r="I4374" s="80" t="s">
        <v>159</v>
      </c>
      <c r="J4374" s="80" t="s">
        <v>255</v>
      </c>
      <c r="K4374" s="80" t="s">
        <v>21</v>
      </c>
      <c r="L4374" s="82" t="s">
        <v>192</v>
      </c>
      <c r="M4374" s="68">
        <v>7</v>
      </c>
      <c r="N4374" s="181" t="str">
        <f t="shared" si="69"/>
        <v>нет</v>
      </c>
      <c r="O4374" s="23"/>
      <c r="P4374" s="23"/>
      <c r="Q4374" s="106"/>
      <c r="R4374" s="37">
        <v>1079</v>
      </c>
      <c r="S4374" s="39" t="s">
        <v>1488</v>
      </c>
      <c r="T4374" s="37">
        <v>2126</v>
      </c>
      <c r="U4374" s="37" t="s">
        <v>2115</v>
      </c>
      <c r="V4374" s="69" t="s">
        <v>272</v>
      </c>
      <c r="W4374" s="89" t="s">
        <v>159</v>
      </c>
      <c r="X4374" s="106" t="s">
        <v>296</v>
      </c>
      <c r="Y4374" s="107" t="s">
        <v>12</v>
      </c>
      <c r="Z4374" s="67">
        <f>IF(База_КР_КК[[#This Row],[Таб.номер резервиста]]="-","-",IF(OR(База_КР_КК[[#This Row],[Уровень КК]]=2,База_КР_КК[[#This Row],[Уровень КК]]=3),IF(COUNTIFS($U$2:$U4374,$U4374,$F$2:$F4374,$F4374)=1,1,0),IF(COUNTIFS($U$2:$U4374,$U4374,$L$2:$L4374,$L4374)=1,1,0)))</f>
        <v>0</v>
      </c>
      <c r="AA437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4" s="106"/>
      <c r="AC4374" s="51"/>
      <c r="AD4374" s="106" t="s">
        <v>13</v>
      </c>
      <c r="AE4374" s="38" t="s">
        <v>356</v>
      </c>
    </row>
    <row r="4375" spans="1:31" ht="18" customHeight="1" x14ac:dyDescent="0.25">
      <c r="A437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5" s="79">
        <v>4</v>
      </c>
      <c r="C4375" s="23">
        <v>44190</v>
      </c>
      <c r="D4375" s="67">
        <f>IF(COUNTIF($G$2:$G4375,$G4375)=1,1,0)</f>
        <v>1</v>
      </c>
      <c r="E4375" s="67" t="str">
        <f>IFERROR(VLOOKUP(База_КР_КК[[#This Row],[ИД штатной должности (S)]],'уровень защищенности'!$B$7:$F$1095,5,0),"не защищена")</f>
        <v>низкий</v>
      </c>
      <c r="F4375" s="68">
        <v>500534</v>
      </c>
      <c r="G4375" s="74" t="s">
        <v>3265</v>
      </c>
      <c r="H4375" s="181">
        <f>INDEX('Списки данных'!$D$2:$D$1048576,MATCH(База_КР_КК[[#This Row],[Структурное подразделение]],'Списки данных'!$C$2:$C$1048576,0))</f>
        <v>50</v>
      </c>
      <c r="I4375" s="80" t="s">
        <v>159</v>
      </c>
      <c r="J4375" s="80" t="s">
        <v>255</v>
      </c>
      <c r="K4375" s="80" t="s">
        <v>263</v>
      </c>
      <c r="L4375" s="82" t="s">
        <v>192</v>
      </c>
      <c r="M4375" s="68">
        <v>7</v>
      </c>
      <c r="N4375" s="181" t="str">
        <f t="shared" si="69"/>
        <v>нет</v>
      </c>
      <c r="O4375" s="23"/>
      <c r="P4375" s="23"/>
      <c r="Q4375" s="106"/>
      <c r="R4375" s="37">
        <v>1080</v>
      </c>
      <c r="S4375" s="39" t="s">
        <v>1489</v>
      </c>
      <c r="T4375" s="37">
        <v>2061</v>
      </c>
      <c r="U4375" s="37" t="s">
        <v>1859</v>
      </c>
      <c r="V4375" s="69" t="s">
        <v>272</v>
      </c>
      <c r="W4375" s="89" t="s">
        <v>159</v>
      </c>
      <c r="X4375" s="106" t="s">
        <v>296</v>
      </c>
      <c r="Y4375" s="107" t="s">
        <v>12</v>
      </c>
      <c r="Z4375" s="67">
        <f>IF(База_КР_КК[[#This Row],[Таб.номер резервиста]]="-","-",IF(OR(База_КР_КК[[#This Row],[Уровень КК]]=2,База_КР_КК[[#This Row],[Уровень КК]]=3),IF(COUNTIFS($U$2:$U4375,$U4375,$F$2:$F4375,$F4375)=1,1,0),IF(COUNTIFS($U$2:$U4375,$U4375,$L$2:$L4375,$L4375)=1,1,0)))</f>
        <v>0</v>
      </c>
      <c r="AA437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5" s="106"/>
      <c r="AC4375" s="51"/>
      <c r="AD4375" s="106" t="s">
        <v>13</v>
      </c>
      <c r="AE4375" s="38" t="s">
        <v>356</v>
      </c>
    </row>
    <row r="4376" spans="1:31" ht="18" customHeight="1" x14ac:dyDescent="0.25">
      <c r="A437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6" s="79">
        <v>4</v>
      </c>
      <c r="C4376" s="23">
        <v>44190</v>
      </c>
      <c r="D4376" s="67">
        <f>IF(COUNTIF($G$2:$G4376,$G4376)=1,1,0)</f>
        <v>1</v>
      </c>
      <c r="E4376" s="67" t="str">
        <f>IFERROR(VLOOKUP(База_КР_КК[[#This Row],[ИД штатной должности (S)]],'уровень защищенности'!$B$7:$F$1095,5,0),"не защищена")</f>
        <v>низкий</v>
      </c>
      <c r="F4376" s="68">
        <v>500536</v>
      </c>
      <c r="G4376" s="74" t="s">
        <v>3266</v>
      </c>
      <c r="H4376" s="181">
        <f>INDEX('Списки данных'!$D$2:$D$1048576,MATCH(База_КР_КК[[#This Row],[Структурное подразделение]],'Списки данных'!$C$2:$C$1048576,0))</f>
        <v>50</v>
      </c>
      <c r="I4376" s="80" t="s">
        <v>159</v>
      </c>
      <c r="J4376" s="80" t="s">
        <v>255</v>
      </c>
      <c r="K4376" s="80" t="s">
        <v>263</v>
      </c>
      <c r="L4376" s="82" t="s">
        <v>192</v>
      </c>
      <c r="M4376" s="68">
        <v>7</v>
      </c>
      <c r="N4376" s="181" t="str">
        <f t="shared" si="69"/>
        <v>нет</v>
      </c>
      <c r="O4376" s="23"/>
      <c r="P4376" s="23"/>
      <c r="Q4376" s="106"/>
      <c r="R4376" s="37">
        <v>1081</v>
      </c>
      <c r="S4376" s="39" t="s">
        <v>1490</v>
      </c>
      <c r="T4376" s="37">
        <v>2061</v>
      </c>
      <c r="U4376" s="37" t="s">
        <v>1859</v>
      </c>
      <c r="V4376" s="69" t="s">
        <v>272</v>
      </c>
      <c r="W4376" s="89" t="s">
        <v>159</v>
      </c>
      <c r="X4376" s="106" t="s">
        <v>296</v>
      </c>
      <c r="Y4376" s="107" t="s">
        <v>12</v>
      </c>
      <c r="Z4376" s="67">
        <f>IF(База_КР_КК[[#This Row],[Таб.номер резервиста]]="-","-",IF(OR(База_КР_КК[[#This Row],[Уровень КК]]=2,База_КР_КК[[#This Row],[Уровень КК]]=3),IF(COUNTIFS($U$2:$U4376,$U4376,$F$2:$F4376,$F4376)=1,1,0),IF(COUNTIFS($U$2:$U4376,$U4376,$L$2:$L4376,$L4376)=1,1,0)))</f>
        <v>0</v>
      </c>
      <c r="AA437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6" s="106"/>
      <c r="AC4376" s="51"/>
      <c r="AD4376" s="106" t="s">
        <v>13</v>
      </c>
      <c r="AE4376" s="38" t="s">
        <v>356</v>
      </c>
    </row>
    <row r="4377" spans="1:31" ht="18" customHeight="1" x14ac:dyDescent="0.25">
      <c r="A437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7" s="79">
        <v>4</v>
      </c>
      <c r="C4377" s="23">
        <v>44190</v>
      </c>
      <c r="D4377" s="67">
        <f>IF(COUNTIF($G$2:$G4377,$G4377)=1,1,0)</f>
        <v>0</v>
      </c>
      <c r="E4377" s="67" t="str">
        <f>IFERROR(VLOOKUP(База_КР_КК[[#This Row],[ИД штатной должности (S)]],'уровень защищенности'!$B$7:$F$1095,5,0),"не защищена")</f>
        <v>низкий</v>
      </c>
      <c r="F4377" s="68">
        <v>500536</v>
      </c>
      <c r="G4377" s="74" t="s">
        <v>3266</v>
      </c>
      <c r="H4377" s="181">
        <f>INDEX('Списки данных'!$D$2:$D$1048576,MATCH(База_КР_КК[[#This Row],[Структурное подразделение]],'Списки данных'!$C$2:$C$1048576,0))</f>
        <v>50</v>
      </c>
      <c r="I4377" s="80" t="s">
        <v>159</v>
      </c>
      <c r="J4377" s="80" t="s">
        <v>255</v>
      </c>
      <c r="K4377" s="80" t="s">
        <v>263</v>
      </c>
      <c r="L4377" s="82" t="s">
        <v>192</v>
      </c>
      <c r="M4377" s="68">
        <v>7</v>
      </c>
      <c r="N4377" s="181" t="str">
        <f t="shared" si="69"/>
        <v>нет</v>
      </c>
      <c r="O4377" s="23"/>
      <c r="P4377" s="23"/>
      <c r="Q4377" s="106"/>
      <c r="R4377" s="37">
        <v>1081</v>
      </c>
      <c r="S4377" s="39" t="s">
        <v>1490</v>
      </c>
      <c r="T4377" s="37">
        <v>982</v>
      </c>
      <c r="U4377" s="37" t="s">
        <v>1391</v>
      </c>
      <c r="V4377" s="80" t="s">
        <v>192</v>
      </c>
      <c r="W4377" s="89" t="s">
        <v>159</v>
      </c>
      <c r="X4377" s="106" t="s">
        <v>295</v>
      </c>
      <c r="Y4377" s="107" t="s">
        <v>18</v>
      </c>
      <c r="Z4377" s="67">
        <f>IF(База_КР_КК[[#This Row],[Таб.номер резервиста]]="-","-",IF(OR(База_КР_КК[[#This Row],[Уровень КК]]=2,База_КР_КК[[#This Row],[Уровень КК]]=3),IF(COUNTIFS($U$2:$U4377,$U4377,$F$2:$F4377,$F4377)=1,1,0),IF(COUNTIFS($U$2:$U4377,$U4377,$L$2:$L4377,$L4377)=1,1,0)))</f>
        <v>0</v>
      </c>
      <c r="AA437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7" s="106" t="s">
        <v>37</v>
      </c>
      <c r="AC4377" s="51">
        <v>44558</v>
      </c>
      <c r="AD4377" s="106" t="s">
        <v>15</v>
      </c>
      <c r="AE4377" s="38" t="s">
        <v>394</v>
      </c>
    </row>
    <row r="4378" spans="1:31" ht="18" customHeight="1" x14ac:dyDescent="0.25">
      <c r="A437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8" s="79">
        <v>4</v>
      </c>
      <c r="C4378" s="23">
        <v>44525</v>
      </c>
      <c r="D4378" s="67">
        <f>IF(COUNTIF($G$2:$G4378,$G4378)=1,1,0)</f>
        <v>1</v>
      </c>
      <c r="E4378" s="67" t="str">
        <f>IFERROR(VLOOKUP(База_КР_КК[[#This Row],[ИД штатной должности (S)]],'уровень защищенности'!$B$7:$F$1095,5,0),"не защищена")</f>
        <v>низкий</v>
      </c>
      <c r="F4378" s="68">
        <v>500537</v>
      </c>
      <c r="G4378" s="74" t="s">
        <v>3267</v>
      </c>
      <c r="H4378" s="181">
        <f>INDEX('Списки данных'!$D$2:$D$1048576,MATCH(База_КР_КК[[#This Row],[Структурное подразделение]],'Списки данных'!$C$2:$C$1048576,0))</f>
        <v>49</v>
      </c>
      <c r="I4378" s="80" t="s">
        <v>147</v>
      </c>
      <c r="J4378" s="80" t="s">
        <v>256</v>
      </c>
      <c r="K4378" s="80" t="s">
        <v>21</v>
      </c>
      <c r="L4378" s="82" t="s">
        <v>192</v>
      </c>
      <c r="M4378" s="68">
        <v>7</v>
      </c>
      <c r="N4378" s="181" t="str">
        <f t="shared" si="69"/>
        <v>нет</v>
      </c>
      <c r="O4378" s="23"/>
      <c r="P4378" s="23"/>
      <c r="Q4378" s="106"/>
      <c r="R4378" s="37">
        <v>1082</v>
      </c>
      <c r="S4378" s="37" t="s">
        <v>1491</v>
      </c>
      <c r="T4378" s="37">
        <v>2127</v>
      </c>
      <c r="U4378" s="37" t="s">
        <v>2075</v>
      </c>
      <c r="V4378" s="69" t="s">
        <v>272</v>
      </c>
      <c r="W4378" s="89" t="s">
        <v>147</v>
      </c>
      <c r="X4378" s="106" t="s">
        <v>296</v>
      </c>
      <c r="Y4378" s="107" t="s">
        <v>12</v>
      </c>
      <c r="Z4378" s="67">
        <f>IF(База_КР_КК[[#This Row],[Таб.номер резервиста]]="-","-",IF(OR(База_КР_КК[[#This Row],[Уровень КК]]=2,База_КР_КК[[#This Row],[Уровень КК]]=3),IF(COUNTIFS($U$2:$U4378,$U4378,$F$2:$F4378,$F4378)=1,1,0),IF(COUNTIFS($U$2:$U4378,$U4378,$L$2:$L4378,$L4378)=1,1,0)))</f>
        <v>1</v>
      </c>
      <c r="AA437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8" s="106"/>
      <c r="AC4378" s="51"/>
      <c r="AD4378" s="106" t="s">
        <v>15</v>
      </c>
      <c r="AE4378" s="38" t="s">
        <v>391</v>
      </c>
    </row>
    <row r="4379" spans="1:31" ht="18" customHeight="1" x14ac:dyDescent="0.25">
      <c r="A437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79" s="79">
        <v>4</v>
      </c>
      <c r="C4379" s="23">
        <v>44525</v>
      </c>
      <c r="D4379" s="67">
        <f>IF(COUNTIF($G$2:$G4379,$G4379)=1,1,0)</f>
        <v>0</v>
      </c>
      <c r="E4379" s="67" t="str">
        <f>IFERROR(VLOOKUP(База_КР_КК[[#This Row],[ИД штатной должности (S)]],'уровень защищенности'!$B$7:$F$1095,5,0),"не защищена")</f>
        <v>низкий</v>
      </c>
      <c r="F4379" s="68">
        <v>500537</v>
      </c>
      <c r="G4379" s="74" t="s">
        <v>3267</v>
      </c>
      <c r="H4379" s="181">
        <f>INDEX('Списки данных'!$D$2:$D$1048576,MATCH(База_КР_КК[[#This Row],[Структурное подразделение]],'Списки данных'!$C$2:$C$1048576,0))</f>
        <v>49</v>
      </c>
      <c r="I4379" s="80" t="s">
        <v>147</v>
      </c>
      <c r="J4379" s="80" t="s">
        <v>256</v>
      </c>
      <c r="K4379" s="80" t="s">
        <v>21</v>
      </c>
      <c r="L4379" s="82" t="s">
        <v>192</v>
      </c>
      <c r="M4379" s="68">
        <v>7</v>
      </c>
      <c r="N4379" s="181" t="str">
        <f t="shared" si="69"/>
        <v>нет</v>
      </c>
      <c r="O4379" s="23"/>
      <c r="P4379" s="23"/>
      <c r="Q4379" s="106"/>
      <c r="R4379" s="37">
        <v>1082</v>
      </c>
      <c r="S4379" s="37" t="s">
        <v>1491</v>
      </c>
      <c r="T4379" s="37">
        <v>2128</v>
      </c>
      <c r="U4379" s="37" t="s">
        <v>2060</v>
      </c>
      <c r="V4379" s="69" t="s">
        <v>272</v>
      </c>
      <c r="W4379" s="89" t="s">
        <v>147</v>
      </c>
      <c r="X4379" s="106" t="s">
        <v>296</v>
      </c>
      <c r="Y4379" s="107" t="s">
        <v>12</v>
      </c>
      <c r="Z4379" s="67">
        <f>IF(База_КР_КК[[#This Row],[Таб.номер резервиста]]="-","-",IF(OR(База_КР_КК[[#This Row],[Уровень КК]]=2,База_КР_КК[[#This Row],[Уровень КК]]=3),IF(COUNTIFS($U$2:$U4379,$U4379,$F$2:$F4379,$F4379)=1,1,0),IF(COUNTIFS($U$2:$U4379,$U4379,$L$2:$L4379,$L4379)=1,1,0)))</f>
        <v>0</v>
      </c>
      <c r="AA437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79" s="106"/>
      <c r="AC4379" s="51"/>
      <c r="AD4379" s="106" t="s">
        <v>15</v>
      </c>
      <c r="AE4379" s="38" t="s">
        <v>391</v>
      </c>
    </row>
    <row r="4380" spans="1:31" ht="18" customHeight="1" x14ac:dyDescent="0.25">
      <c r="A438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0" s="79">
        <v>4</v>
      </c>
      <c r="C4380" s="23">
        <v>44525</v>
      </c>
      <c r="D4380" s="67">
        <f>IF(COUNTIF($G$2:$G4380,$G4380)=1,1,0)</f>
        <v>1</v>
      </c>
      <c r="E4380" s="67" t="str">
        <f>IFERROR(VLOOKUP(База_КР_КК[[#This Row],[ИД штатной должности (S)]],'уровень защищенности'!$B$7:$F$1095,5,0),"не защищена")</f>
        <v>низкий</v>
      </c>
      <c r="F4380" s="68">
        <v>500538</v>
      </c>
      <c r="G4380" s="74" t="s">
        <v>3268</v>
      </c>
      <c r="H4380" s="181">
        <f>INDEX('Списки данных'!$D$2:$D$1048576,MATCH(База_КР_КК[[#This Row],[Структурное подразделение]],'Списки данных'!$C$2:$C$1048576,0))</f>
        <v>49</v>
      </c>
      <c r="I4380" s="80" t="s">
        <v>147</v>
      </c>
      <c r="J4380" s="80" t="s">
        <v>256</v>
      </c>
      <c r="K4380" s="80" t="s">
        <v>21</v>
      </c>
      <c r="L4380" s="82" t="s">
        <v>192</v>
      </c>
      <c r="M4380" s="68">
        <v>7</v>
      </c>
      <c r="N4380" s="181" t="str">
        <f t="shared" si="69"/>
        <v>нет</v>
      </c>
      <c r="O4380" s="23"/>
      <c r="P4380" s="23"/>
      <c r="Q4380" s="106"/>
      <c r="R4380" s="37">
        <v>1083</v>
      </c>
      <c r="S4380" s="37" t="s">
        <v>1492</v>
      </c>
      <c r="T4380" s="37">
        <v>2127</v>
      </c>
      <c r="U4380" s="37" t="s">
        <v>2075</v>
      </c>
      <c r="V4380" s="69" t="s">
        <v>272</v>
      </c>
      <c r="W4380" s="89" t="s">
        <v>147</v>
      </c>
      <c r="X4380" s="106" t="s">
        <v>296</v>
      </c>
      <c r="Y4380" s="107" t="s">
        <v>12</v>
      </c>
      <c r="Z4380" s="67">
        <f>IF(База_КР_КК[[#This Row],[Таб.номер резервиста]]="-","-",IF(OR(База_КР_КК[[#This Row],[Уровень КК]]=2,База_КР_КК[[#This Row],[Уровень КК]]=3),IF(COUNTIFS($U$2:$U4380,$U4380,$F$2:$F4380,$F4380)=1,1,0),IF(COUNTIFS($U$2:$U4380,$U4380,$L$2:$L4380,$L4380)=1,1,0)))</f>
        <v>0</v>
      </c>
      <c r="AA438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0" s="106"/>
      <c r="AC4380" s="51"/>
      <c r="AD4380" s="106" t="s">
        <v>15</v>
      </c>
      <c r="AE4380" s="38" t="s">
        <v>391</v>
      </c>
    </row>
    <row r="4381" spans="1:31" ht="18" customHeight="1" x14ac:dyDescent="0.25">
      <c r="A438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1" s="79">
        <v>4</v>
      </c>
      <c r="C4381" s="23">
        <v>44525</v>
      </c>
      <c r="D4381" s="67">
        <f>IF(COUNTIF($G$2:$G4381,$G4381)=1,1,0)</f>
        <v>0</v>
      </c>
      <c r="E4381" s="67" t="str">
        <f>IFERROR(VLOOKUP(База_КР_КК[[#This Row],[ИД штатной должности (S)]],'уровень защищенности'!$B$7:$F$1095,5,0),"не защищена")</f>
        <v>низкий</v>
      </c>
      <c r="F4381" s="68">
        <v>500538</v>
      </c>
      <c r="G4381" s="74" t="s">
        <v>3268</v>
      </c>
      <c r="H4381" s="181">
        <f>INDEX('Списки данных'!$D$2:$D$1048576,MATCH(База_КР_КК[[#This Row],[Структурное подразделение]],'Списки данных'!$C$2:$C$1048576,0))</f>
        <v>49</v>
      </c>
      <c r="I4381" s="80" t="s">
        <v>147</v>
      </c>
      <c r="J4381" s="80" t="s">
        <v>256</v>
      </c>
      <c r="K4381" s="80" t="s">
        <v>21</v>
      </c>
      <c r="L4381" s="82" t="s">
        <v>192</v>
      </c>
      <c r="M4381" s="68">
        <v>7</v>
      </c>
      <c r="N4381" s="181" t="str">
        <f t="shared" si="69"/>
        <v>нет</v>
      </c>
      <c r="O4381" s="23"/>
      <c r="P4381" s="23"/>
      <c r="Q4381" s="106"/>
      <c r="R4381" s="37">
        <v>1083</v>
      </c>
      <c r="S4381" s="37" t="s">
        <v>1492</v>
      </c>
      <c r="T4381" s="37">
        <v>2128</v>
      </c>
      <c r="U4381" s="37" t="s">
        <v>2060</v>
      </c>
      <c r="V4381" s="69" t="s">
        <v>272</v>
      </c>
      <c r="W4381" s="89" t="s">
        <v>147</v>
      </c>
      <c r="X4381" s="106" t="s">
        <v>296</v>
      </c>
      <c r="Y4381" s="107" t="s">
        <v>12</v>
      </c>
      <c r="Z4381" s="67">
        <f>IF(База_КР_КК[[#This Row],[Таб.номер резервиста]]="-","-",IF(OR(База_КР_КК[[#This Row],[Уровень КК]]=2,База_КР_КК[[#This Row],[Уровень КК]]=3),IF(COUNTIFS($U$2:$U4381,$U4381,$F$2:$F4381,$F4381)=1,1,0),IF(COUNTIFS($U$2:$U4381,$U4381,$L$2:$L4381,$L4381)=1,1,0)))</f>
        <v>0</v>
      </c>
      <c r="AA438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1" s="106"/>
      <c r="AC4381" s="51"/>
      <c r="AD4381" s="106" t="s">
        <v>15</v>
      </c>
      <c r="AE4381" s="38" t="s">
        <v>391</v>
      </c>
    </row>
    <row r="4382" spans="1:31" ht="18" customHeight="1" x14ac:dyDescent="0.25">
      <c r="A438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2" s="79" t="s">
        <v>36</v>
      </c>
      <c r="C4382" s="23">
        <v>44391</v>
      </c>
      <c r="D4382" s="67">
        <f>IF(COUNTIF($G$2:$G4382,$G4382)=1,1,0)</f>
        <v>1</v>
      </c>
      <c r="E4382" s="67" t="str">
        <f>IFERROR(VLOOKUP(База_КР_КК[[#This Row],[ИД штатной должности (S)]],'уровень защищенности'!$B$7:$F$1095,5,0),"не защищена")</f>
        <v>высокий</v>
      </c>
      <c r="F4382" s="68">
        <v>500545</v>
      </c>
      <c r="G4382" s="74" t="s">
        <v>3269</v>
      </c>
      <c r="H4382" s="181">
        <f>INDEX('Списки данных'!$D$2:$D$1048576,MATCH(База_КР_КК[[#This Row],[Структурное подразделение]],'Списки данных'!$C$2:$C$1048576,0))</f>
        <v>110</v>
      </c>
      <c r="I4382" s="80" t="s">
        <v>130</v>
      </c>
      <c r="J4382" s="80" t="s">
        <v>268</v>
      </c>
      <c r="K4382" s="80" t="s">
        <v>21</v>
      </c>
      <c r="L4382" s="30" t="s">
        <v>181</v>
      </c>
      <c r="M4382" s="68">
        <v>3</v>
      </c>
      <c r="N4382" s="181" t="str">
        <f t="shared" si="69"/>
        <v>да</v>
      </c>
      <c r="O4382" s="23">
        <v>43556</v>
      </c>
      <c r="P4382" s="23">
        <v>43556</v>
      </c>
      <c r="Q4382" s="106" t="s">
        <v>66</v>
      </c>
      <c r="R4382" s="37">
        <v>1084</v>
      </c>
      <c r="S4382" s="38" t="s">
        <v>1493</v>
      </c>
      <c r="T4382" s="37">
        <v>1088</v>
      </c>
      <c r="U4382" s="38" t="s">
        <v>1497</v>
      </c>
      <c r="V4382" s="89" t="s">
        <v>179</v>
      </c>
      <c r="W4382" s="89" t="s">
        <v>130</v>
      </c>
      <c r="X4382" s="106" t="s">
        <v>295</v>
      </c>
      <c r="Y4382" s="107" t="s">
        <v>12</v>
      </c>
      <c r="Z4382" s="67">
        <f>IF(База_КР_КК[[#This Row],[Таб.номер резервиста]]="-","-",IF(OR(База_КР_КК[[#This Row],[Уровень КК]]=2,База_КР_КК[[#This Row],[Уровень КК]]=3),IF(COUNTIFS($U$2:$U4382,$U4382,$F$2:$F4382,$F4382)=1,1,0),IF(COUNTIFS($U$2:$U4382,$U4382,$L$2:$L4382,$L4382)=1,1,0)))</f>
        <v>1</v>
      </c>
      <c r="AA438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2" s="106"/>
      <c r="AC4382" s="51"/>
      <c r="AD4382" s="106" t="s">
        <v>13</v>
      </c>
      <c r="AE4382" s="38" t="s">
        <v>400</v>
      </c>
    </row>
    <row r="4383" spans="1:31" ht="18" customHeight="1" x14ac:dyDescent="0.25">
      <c r="A438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3" s="79" t="s">
        <v>36</v>
      </c>
      <c r="C4383" s="23">
        <v>42787</v>
      </c>
      <c r="D4383" s="67">
        <f>IF(COUNTIF($G$2:$G4383,$G4383)=1,1,0)</f>
        <v>0</v>
      </c>
      <c r="E4383" s="67" t="str">
        <f>IFERROR(VLOOKUP(База_КР_КК[[#This Row],[ИД штатной должности (S)]],'уровень защищенности'!$B$7:$F$1095,5,0),"не защищена")</f>
        <v>высокий</v>
      </c>
      <c r="F4383" s="68">
        <v>500545</v>
      </c>
      <c r="G4383" s="74" t="s">
        <v>3269</v>
      </c>
      <c r="H4383" s="181">
        <f>INDEX('Списки данных'!$D$2:$D$1048576,MATCH(База_КР_КК[[#This Row],[Структурное подразделение]],'Списки данных'!$C$2:$C$1048576,0))</f>
        <v>110</v>
      </c>
      <c r="I4383" s="80" t="s">
        <v>130</v>
      </c>
      <c r="J4383" s="80" t="s">
        <v>268</v>
      </c>
      <c r="K4383" s="80" t="s">
        <v>21</v>
      </c>
      <c r="L4383" s="30" t="s">
        <v>181</v>
      </c>
      <c r="M4383" s="68">
        <v>3</v>
      </c>
      <c r="N4383" s="181" t="str">
        <f t="shared" si="69"/>
        <v>да</v>
      </c>
      <c r="O4383" s="23">
        <v>43556</v>
      </c>
      <c r="P4383" s="23">
        <v>43556</v>
      </c>
      <c r="Q4383" s="106" t="s">
        <v>66</v>
      </c>
      <c r="R4383" s="37">
        <v>1084</v>
      </c>
      <c r="S4383" s="38" t="s">
        <v>1493</v>
      </c>
      <c r="T4383" s="37">
        <v>1066</v>
      </c>
      <c r="U4383" s="38" t="s">
        <v>1475</v>
      </c>
      <c r="V4383" s="89" t="s">
        <v>183</v>
      </c>
      <c r="W4383" s="89" t="s">
        <v>171</v>
      </c>
      <c r="X4383" s="106" t="s">
        <v>297</v>
      </c>
      <c r="Y4383" s="107" t="s">
        <v>12</v>
      </c>
      <c r="Z4383" s="67">
        <f>IF(База_КР_КК[[#This Row],[Таб.номер резервиста]]="-","-",IF(OR(База_КР_КК[[#This Row],[Уровень КК]]=2,База_КР_КК[[#This Row],[Уровень КК]]=3),IF(COUNTIFS($U$2:$U4383,$U4383,$F$2:$F4383,$F4383)=1,1,0),IF(COUNTIFS($U$2:$U4383,$U4383,$L$2:$L4383,$L4383)=1,1,0)))</f>
        <v>1</v>
      </c>
      <c r="AA438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3" s="106"/>
      <c r="AC4383" s="51"/>
      <c r="AD4383" s="106" t="s">
        <v>13</v>
      </c>
      <c r="AE4383" s="38" t="s">
        <v>400</v>
      </c>
    </row>
    <row r="4384" spans="1:31" ht="18" customHeight="1" x14ac:dyDescent="0.25">
      <c r="A438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4" s="79" t="s">
        <v>36</v>
      </c>
      <c r="C4384" s="23">
        <v>42787</v>
      </c>
      <c r="D4384" s="67">
        <f>IF(COUNTIF($G$2:$G4384,$G4384)=1,1,0)</f>
        <v>0</v>
      </c>
      <c r="E4384" s="67" t="str">
        <f>IFERROR(VLOOKUP(База_КР_КК[[#This Row],[ИД штатной должности (S)]],'уровень защищенности'!$B$7:$F$1095,5,0),"не защищена")</f>
        <v>высокий</v>
      </c>
      <c r="F4384" s="68">
        <v>500545</v>
      </c>
      <c r="G4384" s="74" t="s">
        <v>3269</v>
      </c>
      <c r="H4384" s="181">
        <f>INDEX('Списки данных'!$D$2:$D$1048576,MATCH(База_КР_КК[[#This Row],[Структурное подразделение]],'Списки данных'!$C$2:$C$1048576,0))</f>
        <v>110</v>
      </c>
      <c r="I4384" s="80" t="s">
        <v>130</v>
      </c>
      <c r="J4384" s="80" t="s">
        <v>268</v>
      </c>
      <c r="K4384" s="80" t="s">
        <v>21</v>
      </c>
      <c r="L4384" s="30" t="s">
        <v>181</v>
      </c>
      <c r="M4384" s="68">
        <v>3</v>
      </c>
      <c r="N4384" s="181" t="str">
        <f t="shared" si="69"/>
        <v>да</v>
      </c>
      <c r="O4384" s="23">
        <v>43556</v>
      </c>
      <c r="P4384" s="23">
        <v>43556</v>
      </c>
      <c r="Q4384" s="106" t="s">
        <v>66</v>
      </c>
      <c r="R4384" s="37">
        <v>1084</v>
      </c>
      <c r="S4384" s="38" t="s">
        <v>1493</v>
      </c>
      <c r="T4384" s="37">
        <v>1084</v>
      </c>
      <c r="U4384" s="38" t="s">
        <v>1493</v>
      </c>
      <c r="V4384" s="69" t="s">
        <v>183</v>
      </c>
      <c r="W4384" s="89" t="s">
        <v>130</v>
      </c>
      <c r="X4384" s="106" t="s">
        <v>297</v>
      </c>
      <c r="Y4384" s="107" t="s">
        <v>14</v>
      </c>
      <c r="Z4384" s="67">
        <f>IF(База_КР_КК[[#This Row],[Таб.номер резервиста]]="-","-",IF(OR(База_КР_КК[[#This Row],[Уровень КК]]=2,База_КР_КК[[#This Row],[Уровень КК]]=3),IF(COUNTIFS($U$2:$U4384,$U4384,$F$2:$F4384,$F4384)=1,1,0),IF(COUNTIFS($U$2:$U4384,$U4384,$L$2:$L4384,$L4384)=1,1,0)))</f>
        <v>1</v>
      </c>
      <c r="AA438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84" s="106" t="s">
        <v>24</v>
      </c>
      <c r="AC4384" s="51">
        <v>43556</v>
      </c>
      <c r="AD4384" s="106" t="s">
        <v>17</v>
      </c>
      <c r="AE4384" s="38" t="s">
        <v>401</v>
      </c>
    </row>
    <row r="4385" spans="1:31" ht="18" customHeight="1" x14ac:dyDescent="0.25">
      <c r="A438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5" s="79">
        <v>4</v>
      </c>
      <c r="C4385" s="23">
        <v>44190</v>
      </c>
      <c r="D4385" s="67">
        <f>IF(COUNTIF($G$2:$G4385,$G4385)=1,1,0)</f>
        <v>1</v>
      </c>
      <c r="E4385" s="67" t="str">
        <f>IFERROR(VLOOKUP(База_КР_КК[[#This Row],[ИД штатной должности (S)]],'уровень защищенности'!$B$7:$F$1095,5,0),"не защищена")</f>
        <v>низкий</v>
      </c>
      <c r="F4385" s="68">
        <v>500469</v>
      </c>
      <c r="G4385" s="74" t="s">
        <v>3270</v>
      </c>
      <c r="H4385" s="181">
        <f>INDEX('Списки данных'!$D$2:$D$1048576,MATCH(База_КР_КК[[#This Row],[Структурное подразделение]],'Списки данных'!$C$2:$C$1048576,0))</f>
        <v>50</v>
      </c>
      <c r="I4385" s="80" t="s">
        <v>159</v>
      </c>
      <c r="J4385" s="80" t="s">
        <v>255</v>
      </c>
      <c r="K4385" s="80" t="s">
        <v>263</v>
      </c>
      <c r="L4385" s="82" t="s">
        <v>192</v>
      </c>
      <c r="M4385" s="68">
        <v>7</v>
      </c>
      <c r="N4385" s="181" t="str">
        <f t="shared" si="69"/>
        <v>нет</v>
      </c>
      <c r="O4385" s="23"/>
      <c r="P4385" s="23"/>
      <c r="Q4385" s="106"/>
      <c r="R4385" s="37">
        <v>1085</v>
      </c>
      <c r="S4385" s="39" t="s">
        <v>1494</v>
      </c>
      <c r="T4385" s="37">
        <v>995</v>
      </c>
      <c r="U4385" s="37" t="s">
        <v>1404</v>
      </c>
      <c r="V4385" s="69" t="s">
        <v>192</v>
      </c>
      <c r="W4385" s="89" t="s">
        <v>159</v>
      </c>
      <c r="X4385" s="106" t="s">
        <v>296</v>
      </c>
      <c r="Y4385" s="107" t="s">
        <v>12</v>
      </c>
      <c r="Z4385" s="67">
        <f>IF(База_КР_КК[[#This Row],[Таб.номер резервиста]]="-","-",IF(OR(База_КР_КК[[#This Row],[Уровень КК]]=2,База_КР_КК[[#This Row],[Уровень КК]]=3),IF(COUNTIFS($U$2:$U4385,$U4385,$F$2:$F4385,$F4385)=1,1,0),IF(COUNTIFS($U$2:$U4385,$U4385,$L$2:$L4385,$L4385)=1,1,0)))</f>
        <v>0</v>
      </c>
      <c r="AA438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5" s="106"/>
      <c r="AC4385" s="51"/>
      <c r="AD4385" s="106" t="s">
        <v>15</v>
      </c>
      <c r="AE4385" s="38" t="s">
        <v>394</v>
      </c>
    </row>
    <row r="4386" spans="1:31" ht="18" customHeight="1" x14ac:dyDescent="0.25">
      <c r="A438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6" s="79">
        <v>4</v>
      </c>
      <c r="C4386" s="23">
        <v>44190</v>
      </c>
      <c r="D4386" s="67">
        <f>IF(COUNTIF($G$2:$G4386,$G4386)=1,1,0)</f>
        <v>0</v>
      </c>
      <c r="E4386" s="67" t="str">
        <f>IFERROR(VLOOKUP(База_КР_КК[[#This Row],[ИД штатной должности (S)]],'уровень защищенности'!$B$7:$F$1095,5,0),"не защищена")</f>
        <v>низкий</v>
      </c>
      <c r="F4386" s="68">
        <v>500469</v>
      </c>
      <c r="G4386" s="74" t="s">
        <v>3270</v>
      </c>
      <c r="H4386" s="181">
        <f>INDEX('Списки данных'!$D$2:$D$1048576,MATCH(База_КР_КК[[#This Row],[Структурное подразделение]],'Списки данных'!$C$2:$C$1048576,0))</f>
        <v>50</v>
      </c>
      <c r="I4386" s="80" t="s">
        <v>159</v>
      </c>
      <c r="J4386" s="80" t="s">
        <v>255</v>
      </c>
      <c r="K4386" s="80" t="s">
        <v>263</v>
      </c>
      <c r="L4386" s="82" t="s">
        <v>192</v>
      </c>
      <c r="M4386" s="68">
        <v>7</v>
      </c>
      <c r="N4386" s="181" t="str">
        <f t="shared" si="69"/>
        <v>нет</v>
      </c>
      <c r="O4386" s="23"/>
      <c r="P4386" s="23"/>
      <c r="Q4386" s="106"/>
      <c r="R4386" s="37">
        <v>1085</v>
      </c>
      <c r="S4386" s="39" t="s">
        <v>1494</v>
      </c>
      <c r="T4386" s="37">
        <v>2061</v>
      </c>
      <c r="U4386" s="37" t="s">
        <v>1859</v>
      </c>
      <c r="V4386" s="69" t="s">
        <v>272</v>
      </c>
      <c r="W4386" s="89" t="s">
        <v>159</v>
      </c>
      <c r="X4386" s="106" t="s">
        <v>296</v>
      </c>
      <c r="Y4386" s="107" t="s">
        <v>12</v>
      </c>
      <c r="Z4386" s="67">
        <f>IF(База_КР_КК[[#This Row],[Таб.номер резервиста]]="-","-",IF(OR(База_КР_КК[[#This Row],[Уровень КК]]=2,База_КР_КК[[#This Row],[Уровень КК]]=3),IF(COUNTIFS($U$2:$U4386,$U4386,$F$2:$F4386,$F4386)=1,1,0),IF(COUNTIFS($U$2:$U4386,$U4386,$L$2:$L4386,$L4386)=1,1,0)))</f>
        <v>0</v>
      </c>
      <c r="AA438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6" s="106"/>
      <c r="AC4386" s="51"/>
      <c r="AD4386" s="106" t="s">
        <v>13</v>
      </c>
      <c r="AE4386" s="38" t="s">
        <v>356</v>
      </c>
    </row>
    <row r="4387" spans="1:31" ht="18" customHeight="1" x14ac:dyDescent="0.25">
      <c r="A438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7" s="79">
        <v>4</v>
      </c>
      <c r="C4387" s="23">
        <v>44888</v>
      </c>
      <c r="D4387" s="67">
        <f>IF(COUNTIF($G$2:$G4387,$G4387)=1,1,0)</f>
        <v>0</v>
      </c>
      <c r="E4387" s="67" t="str">
        <f>IFERROR(VLOOKUP(База_КР_КК[[#This Row],[ИД штатной должности (S)]],'уровень защищенности'!$B$7:$F$1095,5,0),"не защищена")</f>
        <v>низкий</v>
      </c>
      <c r="F4387" s="68">
        <v>500469</v>
      </c>
      <c r="G4387" s="74" t="s">
        <v>3270</v>
      </c>
      <c r="H4387" s="181">
        <f>INDEX('Списки данных'!$D$2:$D$1048576,MATCH(База_КР_КК[[#This Row],[Структурное подразделение]],'Списки данных'!$C$2:$C$1048576,0))</f>
        <v>50</v>
      </c>
      <c r="I4387" s="80" t="s">
        <v>159</v>
      </c>
      <c r="J4387" s="80" t="s">
        <v>255</v>
      </c>
      <c r="K4387" s="80" t="s">
        <v>263</v>
      </c>
      <c r="L4387" s="82" t="s">
        <v>192</v>
      </c>
      <c r="M4387" s="68">
        <v>7</v>
      </c>
      <c r="N4387" s="181" t="str">
        <f t="shared" si="69"/>
        <v>нет</v>
      </c>
      <c r="O4387" s="23"/>
      <c r="P4387" s="23"/>
      <c r="Q4387" s="106"/>
      <c r="R4387" s="37">
        <v>1085</v>
      </c>
      <c r="S4387" s="39" t="s">
        <v>1494</v>
      </c>
      <c r="T4387" s="37">
        <v>2062</v>
      </c>
      <c r="U4387" s="38" t="s">
        <v>2131</v>
      </c>
      <c r="V4387" s="69" t="s">
        <v>272</v>
      </c>
      <c r="W4387" s="89" t="s">
        <v>159</v>
      </c>
      <c r="X4387" s="106" t="s">
        <v>296</v>
      </c>
      <c r="Y4387" s="107" t="s">
        <v>12</v>
      </c>
      <c r="Z4387" s="67">
        <f>IF(База_КР_КК[[#This Row],[Таб.номер резервиста]]="-","-",IF(OR(База_КР_КК[[#This Row],[Уровень КК]]=2,База_КР_КК[[#This Row],[Уровень КК]]=3),IF(COUNTIFS($U$2:$U4387,$U4387,$F$2:$F4387,$F4387)=1,1,0),IF(COUNTIFS($U$2:$U4387,$U4387,$L$2:$L4387,$L4387)=1,1,0)))</f>
        <v>0</v>
      </c>
      <c r="AA438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7" s="106"/>
      <c r="AC4387" s="51"/>
      <c r="AD4387" s="106" t="s">
        <v>15</v>
      </c>
      <c r="AE4387" s="38" t="s">
        <v>356</v>
      </c>
    </row>
    <row r="4388" spans="1:31" ht="18" customHeight="1" x14ac:dyDescent="0.25">
      <c r="A438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8" s="79">
        <v>4</v>
      </c>
      <c r="C4388" s="23">
        <v>44888</v>
      </c>
      <c r="D4388" s="67">
        <f>IF(COUNTIF($G$2:$G4388,$G4388)=1,1,0)</f>
        <v>0</v>
      </c>
      <c r="E4388" s="67" t="str">
        <f>IFERROR(VLOOKUP(База_КР_КК[[#This Row],[ИД штатной должности (S)]],'уровень защищенности'!$B$7:$F$1095,5,0),"не защищена")</f>
        <v>низкий</v>
      </c>
      <c r="F4388" s="68">
        <v>500469</v>
      </c>
      <c r="G4388" s="74" t="s">
        <v>3270</v>
      </c>
      <c r="H4388" s="181">
        <f>INDEX('Списки данных'!$D$2:$D$1048576,MATCH(База_КР_КК[[#This Row],[Структурное подразделение]],'Списки данных'!$C$2:$C$1048576,0))</f>
        <v>50</v>
      </c>
      <c r="I4388" s="80" t="s">
        <v>159</v>
      </c>
      <c r="J4388" s="80" t="s">
        <v>255</v>
      </c>
      <c r="K4388" s="80" t="s">
        <v>263</v>
      </c>
      <c r="L4388" s="82" t="s">
        <v>192</v>
      </c>
      <c r="M4388" s="68">
        <v>7</v>
      </c>
      <c r="N4388" s="181" t="str">
        <f t="shared" si="69"/>
        <v>нет</v>
      </c>
      <c r="O4388" s="23"/>
      <c r="P4388" s="23"/>
      <c r="Q4388" s="106"/>
      <c r="R4388" s="37">
        <v>1085</v>
      </c>
      <c r="S4388" s="39" t="s">
        <v>1494</v>
      </c>
      <c r="T4388" s="37">
        <v>2063</v>
      </c>
      <c r="U4388" s="38" t="s">
        <v>1925</v>
      </c>
      <c r="V4388" s="69" t="s">
        <v>272</v>
      </c>
      <c r="W4388" s="89" t="s">
        <v>159</v>
      </c>
      <c r="X4388" s="106" t="s">
        <v>296</v>
      </c>
      <c r="Y4388" s="107" t="s">
        <v>12</v>
      </c>
      <c r="Z4388" s="67">
        <f>IF(База_КР_КК[[#This Row],[Таб.номер резервиста]]="-","-",IF(OR(База_КР_КК[[#This Row],[Уровень КК]]=2,База_КР_КК[[#This Row],[Уровень КК]]=3),IF(COUNTIFS($U$2:$U4388,$U4388,$F$2:$F4388,$F4388)=1,1,0),IF(COUNTIFS($U$2:$U4388,$U4388,$L$2:$L4388,$L4388)=1,1,0)))</f>
        <v>0</v>
      </c>
      <c r="AA438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8" s="106"/>
      <c r="AC4388" s="51"/>
      <c r="AD4388" s="106" t="s">
        <v>15</v>
      </c>
      <c r="AE4388" s="38" t="s">
        <v>356</v>
      </c>
    </row>
    <row r="4389" spans="1:31" ht="18" customHeight="1" x14ac:dyDescent="0.25">
      <c r="A438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89" s="79">
        <v>4</v>
      </c>
      <c r="C4389" s="23">
        <v>44190</v>
      </c>
      <c r="D4389" s="67">
        <f>IF(COUNTIF($G$2:$G4389,$G4389)=1,1,0)</f>
        <v>0</v>
      </c>
      <c r="E4389" s="67" t="str">
        <f>IFERROR(VLOOKUP(База_КР_КК[[#This Row],[ИД штатной должности (S)]],'уровень защищенности'!$B$7:$F$1095,5,0),"не защищена")</f>
        <v>низкий</v>
      </c>
      <c r="F4389" s="68">
        <v>500469</v>
      </c>
      <c r="G4389" s="74" t="s">
        <v>3270</v>
      </c>
      <c r="H4389" s="181">
        <f>INDEX('Списки данных'!$D$2:$D$1048576,MATCH(База_КР_КК[[#This Row],[Структурное подразделение]],'Списки данных'!$C$2:$C$1048576,0))</f>
        <v>50</v>
      </c>
      <c r="I4389" s="80" t="s">
        <v>159</v>
      </c>
      <c r="J4389" s="80" t="s">
        <v>255</v>
      </c>
      <c r="K4389" s="80" t="s">
        <v>263</v>
      </c>
      <c r="L4389" s="82" t="s">
        <v>192</v>
      </c>
      <c r="M4389" s="68">
        <v>7</v>
      </c>
      <c r="N4389" s="181" t="str">
        <f t="shared" si="69"/>
        <v>нет</v>
      </c>
      <c r="O4389" s="23"/>
      <c r="P4389" s="23"/>
      <c r="Q4389" s="106"/>
      <c r="R4389" s="37">
        <v>1085</v>
      </c>
      <c r="S4389" s="39" t="s">
        <v>1494</v>
      </c>
      <c r="T4389" s="37">
        <v>982</v>
      </c>
      <c r="U4389" s="37" t="s">
        <v>1391</v>
      </c>
      <c r="V4389" s="80" t="s">
        <v>192</v>
      </c>
      <c r="W4389" s="89" t="s">
        <v>159</v>
      </c>
      <c r="X4389" s="106" t="s">
        <v>295</v>
      </c>
      <c r="Y4389" s="107" t="s">
        <v>18</v>
      </c>
      <c r="Z4389" s="67">
        <f>IF(База_КР_КК[[#This Row],[Таб.номер резервиста]]="-","-",IF(OR(База_КР_КК[[#This Row],[Уровень КК]]=2,База_КР_КК[[#This Row],[Уровень КК]]=3),IF(COUNTIFS($U$2:$U4389,$U4389,$F$2:$F4389,$F4389)=1,1,0),IF(COUNTIFS($U$2:$U4389,$U4389,$L$2:$L4389,$L4389)=1,1,0)))</f>
        <v>0</v>
      </c>
      <c r="AA438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89" s="106" t="s">
        <v>37</v>
      </c>
      <c r="AC4389" s="51">
        <v>44558</v>
      </c>
      <c r="AD4389" s="106" t="s">
        <v>15</v>
      </c>
      <c r="AE4389" s="38" t="s">
        <v>394</v>
      </c>
    </row>
    <row r="4390" spans="1:31" ht="18" customHeight="1" x14ac:dyDescent="0.25">
      <c r="A439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0" s="79">
        <v>4</v>
      </c>
      <c r="C4390" s="23">
        <v>44174</v>
      </c>
      <c r="D4390" s="67">
        <f>IF(COUNTIF($G$2:$G4390,$G4390)=1,1,0)</f>
        <v>1</v>
      </c>
      <c r="E4390" s="67" t="str">
        <f>IFERROR(VLOOKUP(База_КР_КК[[#This Row],[ИД штатной должности (S)]],'уровень защищенности'!$B$7:$F$1095,5,0),"не защищена")</f>
        <v>средний</v>
      </c>
      <c r="F4390" s="68">
        <v>500363</v>
      </c>
      <c r="G4390" s="74" t="s">
        <v>3271</v>
      </c>
      <c r="H4390" s="181">
        <f>INDEX('Списки данных'!$D$2:$D$1048576,MATCH(База_КР_КК[[#This Row],[Структурное подразделение]],'Списки данных'!$C$2:$C$1048576,0))</f>
        <v>52</v>
      </c>
      <c r="I4390" s="80" t="s">
        <v>123</v>
      </c>
      <c r="J4390" s="80" t="s">
        <v>254</v>
      </c>
      <c r="K4390" s="80" t="s">
        <v>21</v>
      </c>
      <c r="L4390" s="30" t="s">
        <v>191</v>
      </c>
      <c r="M4390" s="68">
        <v>7</v>
      </c>
      <c r="N4390" s="181" t="str">
        <f t="shared" si="69"/>
        <v>да</v>
      </c>
      <c r="O4390" s="23">
        <v>45091</v>
      </c>
      <c r="P4390" s="23">
        <v>45091</v>
      </c>
      <c r="Q4390" s="106" t="s">
        <v>66</v>
      </c>
      <c r="R4390" s="37">
        <v>1086</v>
      </c>
      <c r="S4390" s="37" t="s">
        <v>1495</v>
      </c>
      <c r="T4390" s="37">
        <v>1986</v>
      </c>
      <c r="U4390" s="37" t="s">
        <v>1457</v>
      </c>
      <c r="V4390" s="69" t="s">
        <v>272</v>
      </c>
      <c r="W4390" s="89" t="s">
        <v>123</v>
      </c>
      <c r="X4390" s="106" t="s">
        <v>297</v>
      </c>
      <c r="Y4390" s="107" t="s">
        <v>12</v>
      </c>
      <c r="Z4390" s="67">
        <f>IF(База_КР_КК[[#This Row],[Таб.номер резервиста]]="-","-",IF(OR(База_КР_КК[[#This Row],[Уровень КК]]=2,База_КР_КК[[#This Row],[Уровень КК]]=3),IF(COUNTIFS($U$2:$U4390,$U4390,$F$2:$F4390,$F4390)=1,1,0),IF(COUNTIFS($U$2:$U4390,$U4390,$L$2:$L4390,$L4390)=1,1,0)))</f>
        <v>0</v>
      </c>
      <c r="AA439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90" s="106"/>
      <c r="AC4390" s="51"/>
      <c r="AD4390" s="106" t="s">
        <v>17</v>
      </c>
      <c r="AE4390" s="38" t="s">
        <v>356</v>
      </c>
    </row>
    <row r="4391" spans="1:31" ht="18" customHeight="1" x14ac:dyDescent="0.25">
      <c r="A439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1" s="79">
        <v>4</v>
      </c>
      <c r="C4391" s="23">
        <v>44174</v>
      </c>
      <c r="D4391" s="67">
        <f>IF(COUNTIF($G$2:$G4391,$G4391)=1,1,0)</f>
        <v>0</v>
      </c>
      <c r="E4391" s="67" t="str">
        <f>IFERROR(VLOOKUP(База_КР_КК[[#This Row],[ИД штатной должности (S)]],'уровень защищенности'!$B$7:$F$1095,5,0),"не защищена")</f>
        <v>средний</v>
      </c>
      <c r="F4391" s="68">
        <v>500363</v>
      </c>
      <c r="G4391" s="74" t="s">
        <v>3271</v>
      </c>
      <c r="H4391" s="181">
        <f>INDEX('Списки данных'!$D$2:$D$1048576,MATCH(База_КР_КК[[#This Row],[Структурное подразделение]],'Списки данных'!$C$2:$C$1048576,0))</f>
        <v>52</v>
      </c>
      <c r="I4391" s="80" t="s">
        <v>123</v>
      </c>
      <c r="J4391" s="80" t="s">
        <v>254</v>
      </c>
      <c r="K4391" s="80" t="s">
        <v>21</v>
      </c>
      <c r="L4391" s="30" t="s">
        <v>191</v>
      </c>
      <c r="M4391" s="68">
        <v>7</v>
      </c>
      <c r="N4391" s="181" t="str">
        <f t="shared" si="69"/>
        <v>да</v>
      </c>
      <c r="O4391" s="23">
        <v>45091</v>
      </c>
      <c r="P4391" s="23">
        <v>45091</v>
      </c>
      <c r="Q4391" s="106" t="s">
        <v>66</v>
      </c>
      <c r="R4391" s="37">
        <v>1086</v>
      </c>
      <c r="S4391" s="37" t="s">
        <v>1495</v>
      </c>
      <c r="T4391" s="37">
        <v>1987</v>
      </c>
      <c r="U4391" s="37" t="s">
        <v>1956</v>
      </c>
      <c r="V4391" s="93" t="s">
        <v>272</v>
      </c>
      <c r="W4391" s="89" t="s">
        <v>123</v>
      </c>
      <c r="X4391" s="106" t="s">
        <v>296</v>
      </c>
      <c r="Y4391" s="107" t="s">
        <v>12</v>
      </c>
      <c r="Z4391" s="67">
        <f>IF(База_КР_КК[[#This Row],[Таб.номер резервиста]]="-","-",IF(OR(База_КР_КК[[#This Row],[Уровень КК]]=2,База_КР_КК[[#This Row],[Уровень КК]]=3),IF(COUNTIFS($U$2:$U4391,$U4391,$F$2:$F4391,$F4391)=1,1,0),IF(COUNTIFS($U$2:$U4391,$U4391,$L$2:$L4391,$L4391)=1,1,0)))</f>
        <v>0</v>
      </c>
      <c r="AA439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91" s="106"/>
      <c r="AC4391" s="51"/>
      <c r="AD4391" s="106" t="s">
        <v>15</v>
      </c>
      <c r="AE4391" s="38" t="s">
        <v>393</v>
      </c>
    </row>
    <row r="4392" spans="1:31" ht="18" customHeight="1" x14ac:dyDescent="0.25">
      <c r="A439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2" s="79">
        <v>4</v>
      </c>
      <c r="C4392" s="23">
        <v>44174</v>
      </c>
      <c r="D4392" s="67">
        <f>IF(COUNTIF($G$2:$G4392,$G4392)=1,1,0)</f>
        <v>0</v>
      </c>
      <c r="E4392" s="67" t="str">
        <f>IFERROR(VLOOKUP(База_КР_КК[[#This Row],[ИД штатной должности (S)]],'уровень защищенности'!$B$7:$F$1095,5,0),"не защищена")</f>
        <v>средний</v>
      </c>
      <c r="F4392" s="68">
        <v>500363</v>
      </c>
      <c r="G4392" s="74" t="s">
        <v>3271</v>
      </c>
      <c r="H4392" s="181">
        <f>INDEX('Списки данных'!$D$2:$D$1048576,MATCH(База_КР_КК[[#This Row],[Структурное подразделение]],'Списки данных'!$C$2:$C$1048576,0))</f>
        <v>52</v>
      </c>
      <c r="I4392" s="80" t="s">
        <v>123</v>
      </c>
      <c r="J4392" s="80" t="s">
        <v>254</v>
      </c>
      <c r="K4392" s="80" t="s">
        <v>21</v>
      </c>
      <c r="L4392" s="30" t="s">
        <v>191</v>
      </c>
      <c r="M4392" s="68">
        <v>7</v>
      </c>
      <c r="N4392" s="181" t="str">
        <f t="shared" si="69"/>
        <v>да</v>
      </c>
      <c r="O4392" s="23">
        <v>45091</v>
      </c>
      <c r="P4392" s="23">
        <v>45091</v>
      </c>
      <c r="Q4392" s="106" t="s">
        <v>66</v>
      </c>
      <c r="R4392" s="37">
        <v>1086</v>
      </c>
      <c r="S4392" s="37" t="s">
        <v>1495</v>
      </c>
      <c r="T4392" s="37">
        <v>1988</v>
      </c>
      <c r="U4392" s="37" t="s">
        <v>2116</v>
      </c>
      <c r="V4392" s="69" t="s">
        <v>272</v>
      </c>
      <c r="W4392" s="89" t="s">
        <v>123</v>
      </c>
      <c r="X4392" s="106" t="s">
        <v>297</v>
      </c>
      <c r="Y4392" s="107" t="s">
        <v>12</v>
      </c>
      <c r="Z4392" s="67">
        <f>IF(База_КР_КК[[#This Row],[Таб.номер резервиста]]="-","-",IF(OR(База_КР_КК[[#This Row],[Уровень КК]]=2,База_КР_КК[[#This Row],[Уровень КК]]=3),IF(COUNTIFS($U$2:$U4392,$U4392,$F$2:$F4392,$F4392)=1,1,0),IF(COUNTIFS($U$2:$U4392,$U4392,$L$2:$L4392,$L4392)=1,1,0)))</f>
        <v>0</v>
      </c>
      <c r="AA439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92" s="106"/>
      <c r="AC4392" s="51"/>
      <c r="AD4392" s="106" t="s">
        <v>13</v>
      </c>
      <c r="AE4392" s="38" t="s">
        <v>356</v>
      </c>
    </row>
    <row r="4393" spans="1:31" ht="18" customHeight="1" x14ac:dyDescent="0.2">
      <c r="A439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3" s="79">
        <v>4</v>
      </c>
      <c r="C4393" s="23">
        <v>44888</v>
      </c>
      <c r="D4393" s="67">
        <f>IF(COUNTIF($G$2:$G4393,$G4393)=1,1,0)</f>
        <v>0</v>
      </c>
      <c r="E4393" s="67" t="str">
        <f>IFERROR(VLOOKUP(База_КР_КК[[#This Row],[ИД штатной должности (S)]],'уровень защищенности'!$B$7:$F$1095,5,0),"не защищена")</f>
        <v>средний</v>
      </c>
      <c r="F4393" s="68">
        <v>500363</v>
      </c>
      <c r="G4393" s="74" t="s">
        <v>3271</v>
      </c>
      <c r="H4393" s="181">
        <f>INDEX('Списки данных'!$D$2:$D$1048576,MATCH(База_КР_КК[[#This Row],[Структурное подразделение]],'Списки данных'!$C$2:$C$1048576,0))</f>
        <v>52</v>
      </c>
      <c r="I4393" s="80" t="s">
        <v>123</v>
      </c>
      <c r="J4393" s="80" t="s">
        <v>254</v>
      </c>
      <c r="K4393" s="80" t="s">
        <v>21</v>
      </c>
      <c r="L4393" s="30" t="s">
        <v>191</v>
      </c>
      <c r="M4393" s="68">
        <v>7</v>
      </c>
      <c r="N4393" s="181" t="str">
        <f t="shared" si="69"/>
        <v>да</v>
      </c>
      <c r="O4393" s="23">
        <v>45091</v>
      </c>
      <c r="P4393" s="23">
        <v>45091</v>
      </c>
      <c r="Q4393" s="106" t="s">
        <v>66</v>
      </c>
      <c r="R4393" s="37">
        <v>1086</v>
      </c>
      <c r="S4393" s="37" t="s">
        <v>1495</v>
      </c>
      <c r="T4393" s="37">
        <v>1086</v>
      </c>
      <c r="U4393" s="37" t="s">
        <v>1495</v>
      </c>
      <c r="V4393" s="195" t="s">
        <v>192</v>
      </c>
      <c r="W4393" s="89" t="s">
        <v>123</v>
      </c>
      <c r="X4393" s="106" t="s">
        <v>295</v>
      </c>
      <c r="Y4393" s="107" t="s">
        <v>14</v>
      </c>
      <c r="Z4393" s="67">
        <f>IF(База_КР_КК[[#This Row],[Таб.номер резервиста]]="-","-",IF(OR(База_КР_КК[[#This Row],[Уровень КК]]=2,База_КР_КК[[#This Row],[Уровень КК]]=3),IF(COUNTIFS($U$2:$U4393,$U4393,$F$2:$F4393,$F4393)=1,1,0),IF(COUNTIFS($U$2:$U4393,$U4393,$L$2:$L4393,$L4393)=1,1,0)))</f>
        <v>0</v>
      </c>
      <c r="AA439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93" s="106" t="s">
        <v>24</v>
      </c>
      <c r="AC4393" s="51">
        <v>45091</v>
      </c>
      <c r="AD4393" s="106" t="s">
        <v>15</v>
      </c>
      <c r="AE4393" s="38" t="s">
        <v>356</v>
      </c>
    </row>
    <row r="4394" spans="1:31" ht="18" customHeight="1" x14ac:dyDescent="0.25">
      <c r="A439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4" s="79">
        <v>4</v>
      </c>
      <c r="C4394" s="23">
        <v>44888</v>
      </c>
      <c r="D4394" s="67">
        <f>IF(COUNTIF($G$2:$G4394,$G4394)=1,1,0)</f>
        <v>0</v>
      </c>
      <c r="E4394" s="67" t="str">
        <f>IFERROR(VLOOKUP(База_КР_КК[[#This Row],[ИД штатной должности (S)]],'уровень защищенности'!$B$7:$F$1095,5,0),"не защищена")</f>
        <v>средний</v>
      </c>
      <c r="F4394" s="68">
        <v>500363</v>
      </c>
      <c r="G4394" s="74" t="s">
        <v>3271</v>
      </c>
      <c r="H4394" s="181">
        <f>INDEX('Списки данных'!$D$2:$D$1048576,MATCH(База_КР_КК[[#This Row],[Структурное подразделение]],'Списки данных'!$C$2:$C$1048576,0))</f>
        <v>52</v>
      </c>
      <c r="I4394" s="80" t="s">
        <v>123</v>
      </c>
      <c r="J4394" s="80" t="s">
        <v>254</v>
      </c>
      <c r="K4394" s="80" t="s">
        <v>21</v>
      </c>
      <c r="L4394" s="30" t="s">
        <v>191</v>
      </c>
      <c r="M4394" s="68">
        <v>7</v>
      </c>
      <c r="N4394" s="181" t="str">
        <f t="shared" si="69"/>
        <v>да</v>
      </c>
      <c r="O4394" s="23">
        <v>45091</v>
      </c>
      <c r="P4394" s="23">
        <v>45091</v>
      </c>
      <c r="Q4394" s="106" t="s">
        <v>66</v>
      </c>
      <c r="R4394" s="37">
        <v>1086</v>
      </c>
      <c r="S4394" s="37" t="s">
        <v>1495</v>
      </c>
      <c r="T4394" s="37">
        <v>1989</v>
      </c>
      <c r="U4394" s="37" t="s">
        <v>2117</v>
      </c>
      <c r="V4394" s="69" t="s">
        <v>272</v>
      </c>
      <c r="W4394" s="89" t="s">
        <v>123</v>
      </c>
      <c r="X4394" s="106" t="s">
        <v>297</v>
      </c>
      <c r="Y4394" s="107" t="s">
        <v>12</v>
      </c>
      <c r="Z4394" s="67">
        <f>IF(База_КР_КК[[#This Row],[Таб.номер резервиста]]="-","-",IF(OR(База_КР_КК[[#This Row],[Уровень КК]]=2,База_КР_КК[[#This Row],[Уровень КК]]=3),IF(COUNTIFS($U$2:$U4394,$U4394,$F$2:$F4394,$F4394)=1,1,0),IF(COUNTIFS($U$2:$U4394,$U4394,$L$2:$L4394,$L4394)=1,1,0)))</f>
        <v>0</v>
      </c>
      <c r="AA439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94" s="106"/>
      <c r="AC4394" s="51"/>
      <c r="AD4394" s="106" t="s">
        <v>15</v>
      </c>
      <c r="AE4394" s="38" t="s">
        <v>356</v>
      </c>
    </row>
    <row r="4395" spans="1:31" ht="18" customHeight="1" x14ac:dyDescent="0.25">
      <c r="A439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5" s="79">
        <v>4</v>
      </c>
      <c r="C4395" s="23">
        <v>44174</v>
      </c>
      <c r="D4395" s="67">
        <f>IF(COUNTIF($G$2:$G4395,$G4395)=1,1,0)</f>
        <v>0</v>
      </c>
      <c r="E4395" s="67" t="str">
        <f>IFERROR(VLOOKUP(База_КР_КК[[#This Row],[ИД штатной должности (S)]],'уровень защищенности'!$B$7:$F$1095,5,0),"не защищена")</f>
        <v>средний</v>
      </c>
      <c r="F4395" s="68">
        <v>500363</v>
      </c>
      <c r="G4395" s="74" t="s">
        <v>3271</v>
      </c>
      <c r="H4395" s="181">
        <f>INDEX('Списки данных'!$D$2:$D$1048576,MATCH(База_КР_КК[[#This Row],[Структурное подразделение]],'Списки данных'!$C$2:$C$1048576,0))</f>
        <v>52</v>
      </c>
      <c r="I4395" s="80" t="s">
        <v>123</v>
      </c>
      <c r="J4395" s="80" t="s">
        <v>254</v>
      </c>
      <c r="K4395" s="80" t="s">
        <v>21</v>
      </c>
      <c r="L4395" s="30" t="s">
        <v>191</v>
      </c>
      <c r="M4395" s="68">
        <v>7</v>
      </c>
      <c r="N4395" s="181" t="str">
        <f t="shared" si="69"/>
        <v>да</v>
      </c>
      <c r="O4395" s="23">
        <v>45091</v>
      </c>
      <c r="P4395" s="23">
        <v>45091</v>
      </c>
      <c r="Q4395" s="106" t="s">
        <v>66</v>
      </c>
      <c r="R4395" s="37">
        <v>1086</v>
      </c>
      <c r="S4395" s="37" t="s">
        <v>1495</v>
      </c>
      <c r="T4395" s="37">
        <v>884</v>
      </c>
      <c r="U4395" s="37" t="s">
        <v>1293</v>
      </c>
      <c r="V4395" s="69" t="s">
        <v>192</v>
      </c>
      <c r="W4395" s="89" t="s">
        <v>123</v>
      </c>
      <c r="X4395" s="106" t="s">
        <v>295</v>
      </c>
      <c r="Y4395" s="107" t="s">
        <v>14</v>
      </c>
      <c r="Z4395" s="67">
        <f>IF(База_КР_КК[[#This Row],[Таб.номер резервиста]]="-","-",IF(OR(База_КР_КК[[#This Row],[Уровень КК]]=2,База_КР_КК[[#This Row],[Уровень КК]]=3),IF(COUNTIFS($U$2:$U4395,$U4395,$F$2:$F4395,$F4395)=1,1,0),IF(COUNTIFS($U$2:$U4395,$U4395,$L$2:$L4395,$L4395)=1,1,0)))</f>
        <v>0</v>
      </c>
      <c r="AA439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95" s="106" t="s">
        <v>24</v>
      </c>
      <c r="AC4395" s="51">
        <v>44301</v>
      </c>
      <c r="AD4395" s="106" t="s">
        <v>15</v>
      </c>
      <c r="AE4395" s="38" t="s">
        <v>393</v>
      </c>
    </row>
    <row r="4396" spans="1:31" ht="18" customHeight="1" x14ac:dyDescent="0.25">
      <c r="A439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6" s="79">
        <v>3</v>
      </c>
      <c r="C4396" s="23">
        <v>42787</v>
      </c>
      <c r="D4396" s="67">
        <f>IF(COUNTIF($G$2:$G4396,$G4396)=1,1,0)</f>
        <v>1</v>
      </c>
      <c r="E4396" s="67" t="str">
        <f>IFERROR(VLOOKUP(База_КР_КК[[#This Row],[ИД штатной должности (S)]],'уровень защищенности'!$B$7:$F$1095,5,0),"не защищена")</f>
        <v>высокий</v>
      </c>
      <c r="F4396" s="68">
        <v>500080</v>
      </c>
      <c r="G4396" s="74" t="s">
        <v>3272</v>
      </c>
      <c r="H4396" s="181">
        <f>INDEX('Списки данных'!$D$2:$D$1048576,MATCH(База_КР_КК[[#This Row],[Структурное подразделение]],'Списки данных'!$C$2:$C$1048576,0))</f>
        <v>110</v>
      </c>
      <c r="I4396" s="80" t="s">
        <v>130</v>
      </c>
      <c r="J4396" s="80" t="s">
        <v>268</v>
      </c>
      <c r="K4396" s="80" t="s">
        <v>21</v>
      </c>
      <c r="L4396" s="30" t="s">
        <v>179</v>
      </c>
      <c r="M4396" s="68">
        <v>5</v>
      </c>
      <c r="N4396" s="181" t="str">
        <f t="shared" si="69"/>
        <v>да</v>
      </c>
      <c r="O4396" s="23">
        <v>43486</v>
      </c>
      <c r="P4396" s="23">
        <v>43486</v>
      </c>
      <c r="Q4396" s="106" t="s">
        <v>66</v>
      </c>
      <c r="R4396" s="37">
        <v>1087</v>
      </c>
      <c r="S4396" s="38" t="s">
        <v>1496</v>
      </c>
      <c r="T4396" s="37">
        <v>2129</v>
      </c>
      <c r="U4396" s="38" t="s">
        <v>1833</v>
      </c>
      <c r="V4396" s="69" t="s">
        <v>189</v>
      </c>
      <c r="W4396" s="89" t="s">
        <v>130</v>
      </c>
      <c r="X4396" s="106" t="s">
        <v>295</v>
      </c>
      <c r="Y4396" s="107" t="s">
        <v>12</v>
      </c>
      <c r="Z4396" s="67">
        <f>IF(База_КР_КК[[#This Row],[Таб.номер резервиста]]="-","-",IF(OR(База_КР_КК[[#This Row],[Уровень КК]]=2,База_КР_КК[[#This Row],[Уровень КК]]=3),IF(COUNTIFS($U$2:$U4396,$U4396,$F$2:$F4396,$F4396)=1,1,0),IF(COUNTIFS($U$2:$U4396,$U4396,$L$2:$L4396,$L4396)=1,1,0)))</f>
        <v>1</v>
      </c>
      <c r="AA439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96" s="106"/>
      <c r="AC4396" s="51"/>
      <c r="AD4396" s="106" t="s">
        <v>17</v>
      </c>
      <c r="AE4396" s="38" t="s">
        <v>369</v>
      </c>
    </row>
    <row r="4397" spans="1:31" ht="18" customHeight="1" x14ac:dyDescent="0.25">
      <c r="A439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7" s="79">
        <v>3</v>
      </c>
      <c r="C4397" s="23">
        <v>43199</v>
      </c>
      <c r="D4397" s="67">
        <f>IF(COUNTIF($G$2:$G4397,$G4397)=1,1,0)</f>
        <v>0</v>
      </c>
      <c r="E4397" s="67" t="str">
        <f>IFERROR(VLOOKUP(База_КР_КК[[#This Row],[ИД штатной должности (S)]],'уровень защищенности'!$B$7:$F$1095,5,0),"не защищена")</f>
        <v>высокий</v>
      </c>
      <c r="F4397" s="68">
        <v>500080</v>
      </c>
      <c r="G4397" s="74" t="s">
        <v>3272</v>
      </c>
      <c r="H4397" s="181">
        <f>INDEX('Списки данных'!$D$2:$D$1048576,MATCH(База_КР_КК[[#This Row],[Структурное подразделение]],'Списки данных'!$C$2:$C$1048576,0))</f>
        <v>110</v>
      </c>
      <c r="I4397" s="80" t="s">
        <v>130</v>
      </c>
      <c r="J4397" s="80" t="s">
        <v>268</v>
      </c>
      <c r="K4397" s="80" t="s">
        <v>21</v>
      </c>
      <c r="L4397" s="30" t="s">
        <v>179</v>
      </c>
      <c r="M4397" s="68">
        <v>5</v>
      </c>
      <c r="N4397" s="181" t="str">
        <f t="shared" si="69"/>
        <v>да</v>
      </c>
      <c r="O4397" s="23">
        <v>43486</v>
      </c>
      <c r="P4397" s="23">
        <v>43486</v>
      </c>
      <c r="Q4397" s="106" t="s">
        <v>66</v>
      </c>
      <c r="R4397" s="37">
        <v>1087</v>
      </c>
      <c r="S4397" s="38" t="s">
        <v>1496</v>
      </c>
      <c r="T4397" s="37">
        <v>2130</v>
      </c>
      <c r="U4397" s="38" t="s">
        <v>1866</v>
      </c>
      <c r="V4397" s="69" t="s">
        <v>189</v>
      </c>
      <c r="W4397" s="89" t="s">
        <v>130</v>
      </c>
      <c r="X4397" s="106" t="s">
        <v>297</v>
      </c>
      <c r="Y4397" s="107" t="s">
        <v>12</v>
      </c>
      <c r="Z4397" s="67">
        <f>IF(База_КР_КК[[#This Row],[Таб.номер резервиста]]="-","-",IF(OR(База_КР_КК[[#This Row],[Уровень КК]]=2,База_КР_КК[[#This Row],[Уровень КК]]=3),IF(COUNTIFS($U$2:$U4397,$U4397,$F$2:$F4397,$F4397)=1,1,0),IF(COUNTIFS($U$2:$U4397,$U4397,$L$2:$L4397,$L4397)=1,1,0)))</f>
        <v>1</v>
      </c>
      <c r="AA439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97" s="106"/>
      <c r="AC4397" s="51"/>
      <c r="AD4397" s="106" t="s">
        <v>17</v>
      </c>
      <c r="AE4397" s="38" t="s">
        <v>369</v>
      </c>
    </row>
    <row r="4398" spans="1:31" ht="18" customHeight="1" x14ac:dyDescent="0.25">
      <c r="A439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8" s="79">
        <v>3</v>
      </c>
      <c r="C4398" s="23">
        <v>43199</v>
      </c>
      <c r="D4398" s="67">
        <f>IF(COUNTIF($G$2:$G4398,$G4398)=1,1,0)</f>
        <v>0</v>
      </c>
      <c r="E4398" s="67" t="str">
        <f>IFERROR(VLOOKUP(База_КР_КК[[#This Row],[ИД штатной должности (S)]],'уровень защищенности'!$B$7:$F$1095,5,0),"не защищена")</f>
        <v>высокий</v>
      </c>
      <c r="F4398" s="68">
        <v>500080</v>
      </c>
      <c r="G4398" s="74" t="s">
        <v>3272</v>
      </c>
      <c r="H4398" s="181">
        <f>INDEX('Списки данных'!$D$2:$D$1048576,MATCH(База_КР_КК[[#This Row],[Структурное подразделение]],'Списки данных'!$C$2:$C$1048576,0))</f>
        <v>110</v>
      </c>
      <c r="I4398" s="80" t="s">
        <v>130</v>
      </c>
      <c r="J4398" s="80" t="s">
        <v>268</v>
      </c>
      <c r="K4398" s="80" t="s">
        <v>21</v>
      </c>
      <c r="L4398" s="30" t="s">
        <v>179</v>
      </c>
      <c r="M4398" s="68">
        <v>5</v>
      </c>
      <c r="N4398" s="181" t="str">
        <f t="shared" si="69"/>
        <v>да</v>
      </c>
      <c r="O4398" s="23">
        <v>43486</v>
      </c>
      <c r="P4398" s="23">
        <v>43486</v>
      </c>
      <c r="Q4398" s="106" t="s">
        <v>66</v>
      </c>
      <c r="R4398" s="37">
        <v>1087</v>
      </c>
      <c r="S4398" s="38" t="s">
        <v>1496</v>
      </c>
      <c r="T4398" s="37">
        <v>1087</v>
      </c>
      <c r="U4398" s="38" t="s">
        <v>1496</v>
      </c>
      <c r="V4398" s="69" t="s">
        <v>186</v>
      </c>
      <c r="W4398" s="89" t="s">
        <v>130</v>
      </c>
      <c r="X4398" s="106" t="s">
        <v>296</v>
      </c>
      <c r="Y4398" s="107" t="s">
        <v>14</v>
      </c>
      <c r="Z4398" s="67">
        <f>IF(База_КР_КК[[#This Row],[Таб.номер резервиста]]="-","-",IF(OR(База_КР_КК[[#This Row],[Уровень КК]]=2,База_КР_КК[[#This Row],[Уровень КК]]=3),IF(COUNTIFS($U$2:$U4398,$U4398,$F$2:$F4398,$F4398)=1,1,0),IF(COUNTIFS($U$2:$U4398,$U4398,$L$2:$L4398,$L4398)=1,1,0)))</f>
        <v>1</v>
      </c>
      <c r="AA439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1</v>
      </c>
      <c r="AB4398" s="106" t="s">
        <v>24</v>
      </c>
      <c r="AC4398" s="51">
        <v>43486</v>
      </c>
      <c r="AD4398" s="106" t="s">
        <v>15</v>
      </c>
      <c r="AE4398" s="187" t="s">
        <v>401</v>
      </c>
    </row>
    <row r="4399" spans="1:31" ht="18" customHeight="1" x14ac:dyDescent="0.25">
      <c r="A439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399" s="79">
        <v>3</v>
      </c>
      <c r="C4399" s="23">
        <v>44432</v>
      </c>
      <c r="D4399" s="67">
        <f>IF(COUNTIF($G$2:$G4399,$G4399)=1,1,0)</f>
        <v>1</v>
      </c>
      <c r="E4399" s="67" t="str">
        <f>IFERROR(VLOOKUP(База_КР_КК[[#This Row],[ИД штатной должности (S)]],'уровень защищенности'!$B$7:$F$1095,5,0),"не защищена")</f>
        <v>низкий</v>
      </c>
      <c r="F4399" s="68">
        <v>500081</v>
      </c>
      <c r="G4399" s="74" t="s">
        <v>3273</v>
      </c>
      <c r="H4399" s="181">
        <f>INDEX('Списки данных'!$D$2:$D$1048576,MATCH(База_КР_КК[[#This Row],[Структурное подразделение]],'Списки данных'!$C$2:$C$1048576,0))</f>
        <v>110</v>
      </c>
      <c r="I4399" s="80" t="s">
        <v>130</v>
      </c>
      <c r="J4399" s="80" t="s">
        <v>268</v>
      </c>
      <c r="K4399" s="80" t="s">
        <v>21</v>
      </c>
      <c r="L4399" s="30" t="s">
        <v>179</v>
      </c>
      <c r="M4399" s="68">
        <v>5</v>
      </c>
      <c r="N4399" s="181" t="str">
        <f t="shared" si="69"/>
        <v>нет</v>
      </c>
      <c r="O4399" s="23"/>
      <c r="P4399" s="23"/>
      <c r="Q4399" s="106"/>
      <c r="R4399" s="37">
        <v>1088</v>
      </c>
      <c r="S4399" s="38" t="s">
        <v>1497</v>
      </c>
      <c r="T4399" s="37">
        <v>861</v>
      </c>
      <c r="U4399" s="38" t="s">
        <v>1270</v>
      </c>
      <c r="V4399" s="69" t="s">
        <v>183</v>
      </c>
      <c r="W4399" s="89" t="s">
        <v>123</v>
      </c>
      <c r="X4399" s="106" t="s">
        <v>296</v>
      </c>
      <c r="Y4399" s="107" t="s">
        <v>12</v>
      </c>
      <c r="Z4399" s="67">
        <f>IF(База_КР_КК[[#This Row],[Таб.номер резервиста]]="-","-",IF(OR(База_КР_КК[[#This Row],[Уровень КК]]=2,База_КР_КК[[#This Row],[Уровень КК]]=3),IF(COUNTIFS($U$2:$U4399,$U4399,$F$2:$F4399,$F4399)=1,1,0),IF(COUNTIFS($U$2:$U4399,$U4399,$L$2:$L4399,$L4399)=1,1,0)))</f>
        <v>1</v>
      </c>
      <c r="AA439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399" s="106"/>
      <c r="AC4399" s="51"/>
      <c r="AD4399" s="106" t="s">
        <v>13</v>
      </c>
      <c r="AE4399" s="38" t="s">
        <v>369</v>
      </c>
    </row>
    <row r="4400" spans="1:31" ht="18" customHeight="1" x14ac:dyDescent="0.25">
      <c r="A440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0" s="79">
        <v>3</v>
      </c>
      <c r="C4400" s="23">
        <v>44432</v>
      </c>
      <c r="D4400" s="67">
        <f>IF(COUNTIF($G$2:$G4400,$G4400)=1,1,0)</f>
        <v>0</v>
      </c>
      <c r="E4400" s="67" t="str">
        <f>IFERROR(VLOOKUP(База_КР_КК[[#This Row],[ИД штатной должности (S)]],'уровень защищенности'!$B$7:$F$1095,5,0),"не защищена")</f>
        <v>низкий</v>
      </c>
      <c r="F4400" s="68">
        <v>500081</v>
      </c>
      <c r="G4400" s="74" t="s">
        <v>3273</v>
      </c>
      <c r="H4400" s="181">
        <f>INDEX('Списки данных'!$D$2:$D$1048576,MATCH(База_КР_КК[[#This Row],[Структурное подразделение]],'Списки данных'!$C$2:$C$1048576,0))</f>
        <v>110</v>
      </c>
      <c r="I4400" s="80" t="s">
        <v>130</v>
      </c>
      <c r="J4400" s="80" t="s">
        <v>268</v>
      </c>
      <c r="K4400" s="80" t="s">
        <v>21</v>
      </c>
      <c r="L4400" s="30" t="s">
        <v>179</v>
      </c>
      <c r="M4400" s="68">
        <v>5</v>
      </c>
      <c r="N4400" s="181" t="str">
        <f t="shared" si="69"/>
        <v>нет</v>
      </c>
      <c r="O4400" s="23"/>
      <c r="P4400" s="23"/>
      <c r="Q4400" s="106"/>
      <c r="R4400" s="37">
        <v>1088</v>
      </c>
      <c r="S4400" s="38" t="s">
        <v>1497</v>
      </c>
      <c r="T4400" s="37">
        <v>1067</v>
      </c>
      <c r="U4400" s="38" t="s">
        <v>1476</v>
      </c>
      <c r="V4400" s="69" t="s">
        <v>186</v>
      </c>
      <c r="W4400" s="89" t="s">
        <v>171</v>
      </c>
      <c r="X4400" s="106" t="s">
        <v>296</v>
      </c>
      <c r="Y4400" s="107" t="s">
        <v>12</v>
      </c>
      <c r="Z4400" s="67">
        <f>IF(База_КР_КК[[#This Row],[Таб.номер резервиста]]="-","-",IF(OR(База_КР_КК[[#This Row],[Уровень КК]]=2,База_КР_КК[[#This Row],[Уровень КК]]=3),IF(COUNTIFS($U$2:$U4400,$U4400,$F$2:$F4400,$F4400)=1,1,0),IF(COUNTIFS($U$2:$U4400,$U4400,$L$2:$L4400,$L4400)=1,1,0)))</f>
        <v>1</v>
      </c>
      <c r="AA440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0" s="106"/>
      <c r="AC4400" s="51"/>
      <c r="AD4400" s="106" t="s">
        <v>13</v>
      </c>
      <c r="AE4400" s="38" t="s">
        <v>369</v>
      </c>
    </row>
    <row r="4401" spans="1:31" ht="18" customHeight="1" x14ac:dyDescent="0.25">
      <c r="A440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1" s="79">
        <v>3</v>
      </c>
      <c r="C4401" s="23">
        <v>43199</v>
      </c>
      <c r="D4401" s="67">
        <f>IF(COUNTIF($G$2:$G4401,$G4401)=1,1,0)</f>
        <v>0</v>
      </c>
      <c r="E4401" s="67" t="str">
        <f>IFERROR(VLOOKUP(База_КР_КК[[#This Row],[ИД штатной должности (S)]],'уровень защищенности'!$B$7:$F$1095,5,0),"не защищена")</f>
        <v>низкий</v>
      </c>
      <c r="F4401" s="68">
        <v>500081</v>
      </c>
      <c r="G4401" s="74" t="s">
        <v>3273</v>
      </c>
      <c r="H4401" s="181">
        <f>INDEX('Списки данных'!$D$2:$D$1048576,MATCH(База_КР_КК[[#This Row],[Структурное подразделение]],'Списки данных'!$C$2:$C$1048576,0))</f>
        <v>110</v>
      </c>
      <c r="I4401" s="80" t="s">
        <v>130</v>
      </c>
      <c r="J4401" s="80" t="s">
        <v>268</v>
      </c>
      <c r="K4401" s="80" t="s">
        <v>21</v>
      </c>
      <c r="L4401" s="30" t="s">
        <v>179</v>
      </c>
      <c r="M4401" s="68">
        <v>5</v>
      </c>
      <c r="N4401" s="181" t="str">
        <f t="shared" si="69"/>
        <v>нет</v>
      </c>
      <c r="O4401" s="23"/>
      <c r="P4401" s="23"/>
      <c r="Q4401" s="106"/>
      <c r="R4401" s="37">
        <v>1088</v>
      </c>
      <c r="S4401" s="38" t="s">
        <v>1497</v>
      </c>
      <c r="T4401" s="37">
        <v>1066</v>
      </c>
      <c r="U4401" s="38" t="s">
        <v>1475</v>
      </c>
      <c r="V4401" s="89" t="s">
        <v>183</v>
      </c>
      <c r="W4401" s="89" t="s">
        <v>171</v>
      </c>
      <c r="X4401" s="106" t="s">
        <v>296</v>
      </c>
      <c r="Y4401" s="107" t="s">
        <v>18</v>
      </c>
      <c r="Z4401" s="67">
        <f>IF(База_КР_КК[[#This Row],[Таб.номер резервиста]]="-","-",IF(OR(База_КР_КК[[#This Row],[Уровень КК]]=2,База_КР_КК[[#This Row],[Уровень КК]]=3),IF(COUNTIFS($U$2:$U4401,$U4401,$F$2:$F4401,$F4401)=1,1,0),IF(COUNTIFS($U$2:$U4401,$U4401,$L$2:$L4401,$L4401)=1,1,0)))</f>
        <v>1</v>
      </c>
      <c r="AA440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1" s="106" t="s">
        <v>38</v>
      </c>
      <c r="AC4401" s="51">
        <v>44743</v>
      </c>
      <c r="AD4401" s="106" t="s">
        <v>31</v>
      </c>
      <c r="AE4401" s="38" t="s">
        <v>369</v>
      </c>
    </row>
    <row r="4402" spans="1:31" ht="18" customHeight="1" x14ac:dyDescent="0.25">
      <c r="A440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2" s="79">
        <v>3</v>
      </c>
      <c r="C4402" s="23">
        <v>43199</v>
      </c>
      <c r="D4402" s="67">
        <f>IF(COUNTIF($G$2:$G4402,$G4402)=1,1,0)</f>
        <v>0</v>
      </c>
      <c r="E4402" s="67" t="str">
        <f>IFERROR(VLOOKUP(База_КР_КК[[#This Row],[ИД штатной должности (S)]],'уровень защищенности'!$B$7:$F$1095,5,0),"не защищена")</f>
        <v>низкий</v>
      </c>
      <c r="F4402" s="68">
        <v>500081</v>
      </c>
      <c r="G4402" s="74" t="s">
        <v>3273</v>
      </c>
      <c r="H4402" s="181">
        <f>INDEX('Списки данных'!$D$2:$D$1048576,MATCH(База_КР_КК[[#This Row],[Структурное подразделение]],'Списки данных'!$C$2:$C$1048576,0))</f>
        <v>110</v>
      </c>
      <c r="I4402" s="80" t="s">
        <v>130</v>
      </c>
      <c r="J4402" s="80" t="s">
        <v>268</v>
      </c>
      <c r="K4402" s="80" t="s">
        <v>21</v>
      </c>
      <c r="L4402" s="30" t="s">
        <v>179</v>
      </c>
      <c r="M4402" s="68">
        <v>5</v>
      </c>
      <c r="N4402" s="181" t="str">
        <f t="shared" si="69"/>
        <v>нет</v>
      </c>
      <c r="O4402" s="23"/>
      <c r="P4402" s="23"/>
      <c r="Q4402" s="106"/>
      <c r="R4402" s="37">
        <v>1088</v>
      </c>
      <c r="S4402" s="38" t="s">
        <v>1497</v>
      </c>
      <c r="T4402" s="37">
        <v>1089</v>
      </c>
      <c r="U4402" s="38" t="s">
        <v>1498</v>
      </c>
      <c r="V4402" s="69" t="s">
        <v>187</v>
      </c>
      <c r="W4402" s="89" t="s">
        <v>130</v>
      </c>
      <c r="X4402" s="106" t="s">
        <v>297</v>
      </c>
      <c r="Y4402" s="107" t="s">
        <v>18</v>
      </c>
      <c r="Z4402" s="67">
        <f>IF(База_КР_КК[[#This Row],[Таб.номер резервиста]]="-","-",IF(OR(База_КР_КК[[#This Row],[Уровень КК]]=2,База_КР_КК[[#This Row],[Уровень КК]]=3),IF(COUNTIFS($U$2:$U4402,$U4402,$F$2:$F4402,$F4402)=1,1,0),IF(COUNTIFS($U$2:$U4402,$U4402,$L$2:$L4402,$L4402)=1,1,0)))</f>
        <v>1</v>
      </c>
      <c r="AA440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2" s="106" t="s">
        <v>20</v>
      </c>
      <c r="AC4402" s="51">
        <v>44743</v>
      </c>
      <c r="AD4402" s="106" t="s">
        <v>31</v>
      </c>
      <c r="AE4402" s="38" t="s">
        <v>369</v>
      </c>
    </row>
    <row r="4403" spans="1:31" ht="18" customHeight="1" x14ac:dyDescent="0.25">
      <c r="A440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3" s="79">
        <v>3</v>
      </c>
      <c r="C4403" s="23">
        <v>43199</v>
      </c>
      <c r="D4403" s="67">
        <f>IF(COUNTIF($G$2:$G4403,$G4403)=1,1,0)</f>
        <v>0</v>
      </c>
      <c r="E4403" s="67" t="str">
        <f>IFERROR(VLOOKUP(База_КР_КК[[#This Row],[ИД штатной должности (S)]],'уровень защищенности'!$B$7:$F$1095,5,0),"не защищена")</f>
        <v>низкий</v>
      </c>
      <c r="F4403" s="68">
        <v>500081</v>
      </c>
      <c r="G4403" s="74" t="s">
        <v>3273</v>
      </c>
      <c r="H4403" s="181">
        <f>INDEX('Списки данных'!$D$2:$D$1048576,MATCH(База_КР_КК[[#This Row],[Структурное подразделение]],'Списки данных'!$C$2:$C$1048576,0))</f>
        <v>110</v>
      </c>
      <c r="I4403" s="80" t="s">
        <v>130</v>
      </c>
      <c r="J4403" s="80" t="s">
        <v>268</v>
      </c>
      <c r="K4403" s="80" t="s">
        <v>21</v>
      </c>
      <c r="L4403" s="30" t="s">
        <v>179</v>
      </c>
      <c r="M4403" s="68">
        <v>5</v>
      </c>
      <c r="N4403" s="181" t="str">
        <f t="shared" si="69"/>
        <v>нет</v>
      </c>
      <c r="O4403" s="23"/>
      <c r="P4403" s="23"/>
      <c r="Q4403" s="106"/>
      <c r="R4403" s="37">
        <v>1088</v>
      </c>
      <c r="S4403" s="38" t="s">
        <v>1497</v>
      </c>
      <c r="T4403" s="37">
        <v>2132</v>
      </c>
      <c r="U4403" s="38" t="s">
        <v>1994</v>
      </c>
      <c r="V4403" s="69" t="s">
        <v>189</v>
      </c>
      <c r="W4403" s="89" t="s">
        <v>130</v>
      </c>
      <c r="X4403" s="106" t="s">
        <v>297</v>
      </c>
      <c r="Y4403" s="107" t="s">
        <v>18</v>
      </c>
      <c r="Z4403" s="67">
        <f>IF(База_КР_КК[[#This Row],[Таб.номер резервиста]]="-","-",IF(OR(База_КР_КК[[#This Row],[Уровень КК]]=2,База_КР_КК[[#This Row],[Уровень КК]]=3),IF(COUNTIFS($U$2:$U4403,$U4403,$F$2:$F4403,$F4403)=1,1,0),IF(COUNTIFS($U$2:$U4403,$U4403,$L$2:$L4403,$L4403)=1,1,0)))</f>
        <v>1</v>
      </c>
      <c r="AA440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3" s="106" t="s">
        <v>20</v>
      </c>
      <c r="AC4403" s="51">
        <v>44743</v>
      </c>
      <c r="AD4403" s="106" t="s">
        <v>31</v>
      </c>
      <c r="AE4403" s="38" t="s">
        <v>369</v>
      </c>
    </row>
    <row r="4404" spans="1:31" ht="18" customHeight="1" x14ac:dyDescent="0.25">
      <c r="A440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4" s="79">
        <v>3</v>
      </c>
      <c r="C4404" s="23">
        <v>44743</v>
      </c>
      <c r="D4404" s="67">
        <f>IF(COUNTIF($G$2:$G4404,$G4404)=1,1,0)</f>
        <v>1</v>
      </c>
      <c r="E4404" s="67" t="str">
        <f>IFERROR(VLOOKUP(База_КР_КК[[#This Row],[ИД штатной должности (S)]],'уровень защищенности'!$B$7:$F$1095,5,0),"не защищена")</f>
        <v>средний</v>
      </c>
      <c r="F4404" s="68">
        <v>500082</v>
      </c>
      <c r="G4404" s="74" t="s">
        <v>3274</v>
      </c>
      <c r="H4404" s="181">
        <f>INDEX('Списки данных'!$D$2:$D$1048576,MATCH(База_КР_КК[[#This Row],[Структурное подразделение]],'Списки данных'!$C$2:$C$1048576,0))</f>
        <v>110</v>
      </c>
      <c r="I4404" s="80" t="s">
        <v>130</v>
      </c>
      <c r="J4404" s="80" t="s">
        <v>268</v>
      </c>
      <c r="K4404" s="80" t="s">
        <v>269</v>
      </c>
      <c r="L4404" s="30" t="s">
        <v>187</v>
      </c>
      <c r="M4404" s="68">
        <v>6</v>
      </c>
      <c r="N4404" s="181" t="str">
        <f t="shared" si="69"/>
        <v>нет</v>
      </c>
      <c r="O4404" s="23"/>
      <c r="P4404" s="23"/>
      <c r="Q4404" s="106"/>
      <c r="R4404" s="37">
        <v>1089</v>
      </c>
      <c r="S4404" s="38" t="s">
        <v>1498</v>
      </c>
      <c r="T4404" s="37">
        <v>2133</v>
      </c>
      <c r="U4404" s="38" t="s">
        <v>1582</v>
      </c>
      <c r="V4404" s="69" t="s">
        <v>16</v>
      </c>
      <c r="W4404" s="89" t="s">
        <v>130</v>
      </c>
      <c r="X4404" s="106" t="s">
        <v>297</v>
      </c>
      <c r="Y4404" s="107" t="s">
        <v>12</v>
      </c>
      <c r="Z4404" s="67">
        <f>IF(База_КР_КК[[#This Row],[Таб.номер резервиста]]="-","-",IF(OR(База_КР_КК[[#This Row],[Уровень КК]]=2,База_КР_КК[[#This Row],[Уровень КК]]=3),IF(COUNTIFS($U$2:$U4404,$U4404,$F$2:$F4404,$F4404)=1,1,0),IF(COUNTIFS($U$2:$U4404,$U4404,$L$2:$L4404,$L4404)=1,1,0)))</f>
        <v>1</v>
      </c>
      <c r="AA440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4" s="106"/>
      <c r="AC4404" s="51"/>
      <c r="AD4404" s="106" t="s">
        <v>15</v>
      </c>
      <c r="AE4404" s="38" t="s">
        <v>369</v>
      </c>
    </row>
    <row r="4405" spans="1:31" ht="18" customHeight="1" x14ac:dyDescent="0.25">
      <c r="A440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5" s="79">
        <v>3</v>
      </c>
      <c r="C4405" s="23">
        <v>42787</v>
      </c>
      <c r="D4405" s="67">
        <f>IF(COUNTIF($G$2:$G4405,$G4405)=1,1,0)</f>
        <v>1</v>
      </c>
      <c r="E4405" s="67" t="str">
        <f>IFERROR(VLOOKUP(База_КР_КК[[#This Row],[ИД штатной должности (S)]],'уровень защищенности'!$B$7:$F$1095,5,0),"не защищена")</f>
        <v>высокий</v>
      </c>
      <c r="F4405" s="68">
        <v>500083</v>
      </c>
      <c r="G4405" s="74" t="s">
        <v>3275</v>
      </c>
      <c r="H4405" s="181">
        <f>INDEX('Списки данных'!$D$2:$D$1048576,MATCH(База_КР_КК[[#This Row],[Структурное подразделение]],'Списки данных'!$C$2:$C$1048576,0))</f>
        <v>110</v>
      </c>
      <c r="I4405" s="80" t="s">
        <v>130</v>
      </c>
      <c r="J4405" s="80" t="s">
        <v>268</v>
      </c>
      <c r="K4405" s="80" t="s">
        <v>21</v>
      </c>
      <c r="L4405" s="30" t="s">
        <v>179</v>
      </c>
      <c r="M4405" s="68">
        <v>5</v>
      </c>
      <c r="N4405" s="181" t="str">
        <f t="shared" si="69"/>
        <v>нет</v>
      </c>
      <c r="O4405" s="23"/>
      <c r="P4405" s="23"/>
      <c r="Q4405" s="106"/>
      <c r="R4405" s="37">
        <v>1090</v>
      </c>
      <c r="S4405" s="38" t="s">
        <v>1499</v>
      </c>
      <c r="T4405" s="37">
        <v>1089</v>
      </c>
      <c r="U4405" s="38" t="s">
        <v>1498</v>
      </c>
      <c r="V4405" s="69" t="s">
        <v>187</v>
      </c>
      <c r="W4405" s="89" t="s">
        <v>130</v>
      </c>
      <c r="X4405" s="106" t="s">
        <v>295</v>
      </c>
      <c r="Y4405" s="107" t="s">
        <v>12</v>
      </c>
      <c r="Z4405" s="67">
        <f>IF(База_КР_КК[[#This Row],[Таб.номер резервиста]]="-","-",IF(OR(База_КР_КК[[#This Row],[Уровень КК]]=2,База_КР_КК[[#This Row],[Уровень КК]]=3),IF(COUNTIFS($U$2:$U4405,$U4405,$F$2:$F4405,$F4405)=1,1,0),IF(COUNTIFS($U$2:$U4405,$U4405,$L$2:$L4405,$L4405)=1,1,0)))</f>
        <v>1</v>
      </c>
      <c r="AA440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5" s="106"/>
      <c r="AC4405" s="51"/>
      <c r="AD4405" s="106" t="s">
        <v>17</v>
      </c>
      <c r="AE4405" s="38" t="s">
        <v>369</v>
      </c>
    </row>
    <row r="4406" spans="1:31" ht="18" customHeight="1" x14ac:dyDescent="0.25">
      <c r="A440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6" s="79">
        <v>3</v>
      </c>
      <c r="C4406" s="23">
        <v>44743</v>
      </c>
      <c r="D4406" s="67">
        <f>IF(COUNTIF($G$2:$G4406,$G4406)=1,1,0)</f>
        <v>0</v>
      </c>
      <c r="E4406" s="67" t="str">
        <f>IFERROR(VLOOKUP(База_КР_КК[[#This Row],[ИД штатной должности (S)]],'уровень защищенности'!$B$7:$F$1095,5,0),"не защищена")</f>
        <v>высокий</v>
      </c>
      <c r="F4406" s="68">
        <v>500083</v>
      </c>
      <c r="G4406" s="74" t="s">
        <v>3275</v>
      </c>
      <c r="H4406" s="181">
        <f>INDEX('Списки данных'!$D$2:$D$1048576,MATCH(База_КР_КК[[#This Row],[Структурное подразделение]],'Списки данных'!$C$2:$C$1048576,0))</f>
        <v>110</v>
      </c>
      <c r="I4406" s="80" t="s">
        <v>130</v>
      </c>
      <c r="J4406" s="80" t="s">
        <v>268</v>
      </c>
      <c r="K4406" s="80" t="s">
        <v>21</v>
      </c>
      <c r="L4406" s="30" t="s">
        <v>179</v>
      </c>
      <c r="M4406" s="68">
        <v>5</v>
      </c>
      <c r="N4406" s="181" t="str">
        <f t="shared" si="69"/>
        <v>нет</v>
      </c>
      <c r="O4406" s="23"/>
      <c r="P4406" s="23"/>
      <c r="Q4406" s="106"/>
      <c r="R4406" s="37">
        <v>1090</v>
      </c>
      <c r="S4406" s="38" t="s">
        <v>1499</v>
      </c>
      <c r="T4406" s="37">
        <v>2133</v>
      </c>
      <c r="U4406" s="38" t="s">
        <v>1582</v>
      </c>
      <c r="V4406" s="69" t="s">
        <v>16</v>
      </c>
      <c r="W4406" s="89" t="s">
        <v>130</v>
      </c>
      <c r="X4406" s="106" t="s">
        <v>296</v>
      </c>
      <c r="Y4406" s="107" t="s">
        <v>12</v>
      </c>
      <c r="Z4406" s="67">
        <f>IF(База_КР_КК[[#This Row],[Таб.номер резервиста]]="-","-",IF(OR(База_КР_КК[[#This Row],[Уровень КК]]=2,База_КР_КК[[#This Row],[Уровень КК]]=3),IF(COUNTIFS($U$2:$U4406,$U4406,$F$2:$F4406,$F4406)=1,1,0),IF(COUNTIFS($U$2:$U4406,$U4406,$L$2:$L4406,$L4406)=1,1,0)))</f>
        <v>1</v>
      </c>
      <c r="AA440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6" s="106"/>
      <c r="AC4406" s="51"/>
      <c r="AD4406" s="106" t="s">
        <v>15</v>
      </c>
      <c r="AE4406" s="38" t="s">
        <v>369</v>
      </c>
    </row>
    <row r="4407" spans="1:31" ht="18" customHeight="1" x14ac:dyDescent="0.25">
      <c r="A440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7" s="79">
        <v>3</v>
      </c>
      <c r="C4407" s="23">
        <v>44743</v>
      </c>
      <c r="D4407" s="67">
        <f>IF(COUNTIF($G$2:$G4407,$G4407)=1,1,0)</f>
        <v>0</v>
      </c>
      <c r="E4407" s="67" t="str">
        <f>IFERROR(VLOOKUP(База_КР_КК[[#This Row],[ИД штатной должности (S)]],'уровень защищенности'!$B$7:$F$1095,5,0),"не защищена")</f>
        <v>высокий</v>
      </c>
      <c r="F4407" s="68">
        <v>500083</v>
      </c>
      <c r="G4407" s="74" t="s">
        <v>3275</v>
      </c>
      <c r="H4407" s="181">
        <f>INDEX('Списки данных'!$D$2:$D$1048576,MATCH(База_КР_КК[[#This Row],[Структурное подразделение]],'Списки данных'!$C$2:$C$1048576,0))</f>
        <v>110</v>
      </c>
      <c r="I4407" s="80" t="s">
        <v>130</v>
      </c>
      <c r="J4407" s="80" t="s">
        <v>268</v>
      </c>
      <c r="K4407" s="80" t="s">
        <v>21</v>
      </c>
      <c r="L4407" s="30" t="s">
        <v>179</v>
      </c>
      <c r="M4407" s="68">
        <v>5</v>
      </c>
      <c r="N4407" s="181" t="str">
        <f t="shared" si="69"/>
        <v>нет</v>
      </c>
      <c r="O4407" s="23"/>
      <c r="P4407" s="23"/>
      <c r="Q4407" s="106"/>
      <c r="R4407" s="37">
        <v>1090</v>
      </c>
      <c r="S4407" s="38" t="s">
        <v>1499</v>
      </c>
      <c r="T4407" s="37">
        <v>1091</v>
      </c>
      <c r="U4407" s="38" t="s">
        <v>1500</v>
      </c>
      <c r="V4407" s="69" t="s">
        <v>187</v>
      </c>
      <c r="W4407" s="89" t="s">
        <v>130</v>
      </c>
      <c r="X4407" s="106" t="s">
        <v>296</v>
      </c>
      <c r="Y4407" s="107" t="s">
        <v>12</v>
      </c>
      <c r="Z4407" s="67">
        <f>IF(База_КР_КК[[#This Row],[Таб.номер резервиста]]="-","-",IF(OR(База_КР_КК[[#This Row],[Уровень КК]]=2,База_КР_КК[[#This Row],[Уровень КК]]=3),IF(COUNTIFS($U$2:$U4407,$U4407,$F$2:$F4407,$F4407)=1,1,0),IF(COUNTIFS($U$2:$U4407,$U4407,$L$2:$L4407,$L4407)=1,1,0)))</f>
        <v>1</v>
      </c>
      <c r="AA440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7" s="106"/>
      <c r="AC4407" s="51"/>
      <c r="AD4407" s="106" t="s">
        <v>15</v>
      </c>
      <c r="AE4407" s="38" t="s">
        <v>369</v>
      </c>
    </row>
    <row r="4408" spans="1:31" ht="18" customHeight="1" x14ac:dyDescent="0.25">
      <c r="A440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8" s="79">
        <v>3</v>
      </c>
      <c r="C4408" s="23">
        <v>44743</v>
      </c>
      <c r="D4408" s="67">
        <f>IF(COUNTIF($G$2:$G4408,$G4408)=1,1,0)</f>
        <v>0</v>
      </c>
      <c r="E4408" s="67" t="str">
        <f>IFERROR(VLOOKUP(База_КР_КК[[#This Row],[ИД штатной должности (S)]],'уровень защищенности'!$B$7:$F$1095,5,0),"не защищена")</f>
        <v>высокий</v>
      </c>
      <c r="F4408" s="68">
        <v>500083</v>
      </c>
      <c r="G4408" s="74" t="s">
        <v>3275</v>
      </c>
      <c r="H4408" s="181">
        <f>INDEX('Списки данных'!$D$2:$D$1048576,MATCH(База_КР_КК[[#This Row],[Структурное подразделение]],'Списки данных'!$C$2:$C$1048576,0))</f>
        <v>110</v>
      </c>
      <c r="I4408" s="80" t="s">
        <v>130</v>
      </c>
      <c r="J4408" s="80" t="s">
        <v>268</v>
      </c>
      <c r="K4408" s="80" t="s">
        <v>21</v>
      </c>
      <c r="L4408" s="30" t="s">
        <v>179</v>
      </c>
      <c r="M4408" s="68">
        <v>5</v>
      </c>
      <c r="N4408" s="181" t="str">
        <f t="shared" si="69"/>
        <v>нет</v>
      </c>
      <c r="O4408" s="23"/>
      <c r="P4408" s="23"/>
      <c r="Q4408" s="106"/>
      <c r="R4408" s="37">
        <v>1090</v>
      </c>
      <c r="S4408" s="38" t="s">
        <v>1499</v>
      </c>
      <c r="T4408" s="37">
        <v>880</v>
      </c>
      <c r="U4408" s="38" t="s">
        <v>1289</v>
      </c>
      <c r="V4408" s="69" t="s">
        <v>198</v>
      </c>
      <c r="W4408" s="89" t="s">
        <v>123</v>
      </c>
      <c r="X4408" s="106" t="s">
        <v>296</v>
      </c>
      <c r="Y4408" s="107" t="s">
        <v>12</v>
      </c>
      <c r="Z4408" s="67">
        <f>IF(База_КР_КК[[#This Row],[Таб.номер резервиста]]="-","-",IF(OR(База_КР_КК[[#This Row],[Уровень КК]]=2,База_КР_КК[[#This Row],[Уровень КК]]=3),IF(COUNTIFS($U$2:$U4408,$U4408,$F$2:$F4408,$F4408)=1,1,0),IF(COUNTIFS($U$2:$U4408,$U4408,$L$2:$L4408,$L4408)=1,1,0)))</f>
        <v>1</v>
      </c>
      <c r="AA440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8" s="106"/>
      <c r="AC4408" s="51"/>
      <c r="AD4408" s="106" t="s">
        <v>15</v>
      </c>
      <c r="AE4408" s="38" t="s">
        <v>369</v>
      </c>
    </row>
    <row r="4409" spans="1:31" ht="18" customHeight="1" x14ac:dyDescent="0.25">
      <c r="A440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09" s="79">
        <v>3</v>
      </c>
      <c r="C4409" s="23">
        <v>44432</v>
      </c>
      <c r="D4409" s="67">
        <f>IF(COUNTIF($G$2:$G4409,$G4409)=1,1,0)</f>
        <v>0</v>
      </c>
      <c r="E4409" s="67" t="str">
        <f>IFERROR(VLOOKUP(База_КР_КК[[#This Row],[ИД штатной должности (S)]],'уровень защищенности'!$B$7:$F$1095,5,0),"не защищена")</f>
        <v>высокий</v>
      </c>
      <c r="F4409" s="68">
        <v>500083</v>
      </c>
      <c r="G4409" s="74" t="s">
        <v>3275</v>
      </c>
      <c r="H4409" s="181">
        <f>INDEX('Списки данных'!$D$2:$D$1048576,MATCH(База_КР_КК[[#This Row],[Структурное подразделение]],'Списки данных'!$C$2:$C$1048576,0))</f>
        <v>110</v>
      </c>
      <c r="I4409" s="80" t="s">
        <v>130</v>
      </c>
      <c r="J4409" s="80" t="s">
        <v>268</v>
      </c>
      <c r="K4409" s="80" t="s">
        <v>21</v>
      </c>
      <c r="L4409" s="30" t="s">
        <v>179</v>
      </c>
      <c r="M4409" s="68">
        <v>5</v>
      </c>
      <c r="N4409" s="181" t="str">
        <f t="shared" si="69"/>
        <v>нет</v>
      </c>
      <c r="O4409" s="23"/>
      <c r="P4409" s="23"/>
      <c r="Q4409" s="106"/>
      <c r="R4409" s="37">
        <v>1090</v>
      </c>
      <c r="S4409" s="38" t="s">
        <v>1499</v>
      </c>
      <c r="T4409" s="37">
        <v>865</v>
      </c>
      <c r="U4409" s="38" t="s">
        <v>1274</v>
      </c>
      <c r="V4409" s="69" t="s">
        <v>183</v>
      </c>
      <c r="W4409" s="89" t="s">
        <v>134</v>
      </c>
      <c r="X4409" s="106" t="s">
        <v>296</v>
      </c>
      <c r="Y4409" s="107" t="s">
        <v>18</v>
      </c>
      <c r="Z4409" s="67">
        <f>IF(База_КР_КК[[#This Row],[Таб.номер резервиста]]="-","-",IF(OR(База_КР_КК[[#This Row],[Уровень КК]]=2,База_КР_КК[[#This Row],[Уровень КК]]=3),IF(COUNTIFS($U$2:$U4409,$U4409,$F$2:$F4409,$F4409)=1,1,0),IF(COUNTIFS($U$2:$U4409,$U4409,$L$2:$L4409,$L4409)=1,1,0)))</f>
        <v>1</v>
      </c>
      <c r="AA440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09" s="106" t="s">
        <v>38</v>
      </c>
      <c r="AC4409" s="51">
        <v>44743</v>
      </c>
      <c r="AD4409" s="106" t="s">
        <v>31</v>
      </c>
      <c r="AE4409" s="38" t="s">
        <v>369</v>
      </c>
    </row>
    <row r="4410" spans="1:31" ht="18" customHeight="1" x14ac:dyDescent="0.25">
      <c r="A441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0" s="79">
        <v>3</v>
      </c>
      <c r="C4410" s="23">
        <v>42787</v>
      </c>
      <c r="D4410" s="67">
        <f>IF(COUNTIF($G$2:$G4410,$G4410)=1,1,0)</f>
        <v>0</v>
      </c>
      <c r="E4410" s="67" t="str">
        <f>IFERROR(VLOOKUP(База_КР_КК[[#This Row],[ИД штатной должности (S)]],'уровень защищенности'!$B$7:$F$1095,5,0),"не защищена")</f>
        <v>высокий</v>
      </c>
      <c r="F4410" s="68">
        <v>500083</v>
      </c>
      <c r="G4410" s="74" t="s">
        <v>3275</v>
      </c>
      <c r="H4410" s="181">
        <f>INDEX('Списки данных'!$D$2:$D$1048576,MATCH(База_КР_КК[[#This Row],[Структурное подразделение]],'Списки данных'!$C$2:$C$1048576,0))</f>
        <v>110</v>
      </c>
      <c r="I4410" s="80" t="s">
        <v>130</v>
      </c>
      <c r="J4410" s="80" t="s">
        <v>268</v>
      </c>
      <c r="K4410" s="80" t="s">
        <v>21</v>
      </c>
      <c r="L4410" s="30" t="s">
        <v>179</v>
      </c>
      <c r="M4410" s="68">
        <v>5</v>
      </c>
      <c r="N4410" s="181" t="str">
        <f t="shared" si="69"/>
        <v>нет</v>
      </c>
      <c r="O4410" s="23"/>
      <c r="P4410" s="23"/>
      <c r="Q4410" s="106"/>
      <c r="R4410" s="37">
        <v>1090</v>
      </c>
      <c r="S4410" s="38" t="s">
        <v>1499</v>
      </c>
      <c r="T4410" s="37">
        <v>2132</v>
      </c>
      <c r="U4410" s="38" t="s">
        <v>1994</v>
      </c>
      <c r="V4410" s="69" t="s">
        <v>189</v>
      </c>
      <c r="W4410" s="89" t="s">
        <v>130</v>
      </c>
      <c r="X4410" s="106" t="s">
        <v>296</v>
      </c>
      <c r="Y4410" s="107" t="s">
        <v>18</v>
      </c>
      <c r="Z4410" s="67">
        <f>IF(База_КР_КК[[#This Row],[Таб.номер резервиста]]="-","-",IF(OR(База_КР_КК[[#This Row],[Уровень КК]]=2,База_КР_КК[[#This Row],[Уровень КК]]=3),IF(COUNTIFS($U$2:$U4410,$U4410,$F$2:$F4410,$F4410)=1,1,0),IF(COUNTIFS($U$2:$U4410,$U4410,$L$2:$L4410,$L4410)=1,1,0)))</f>
        <v>1</v>
      </c>
      <c r="AA441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0" s="106" t="s">
        <v>38</v>
      </c>
      <c r="AC4410" s="51">
        <v>44743</v>
      </c>
      <c r="AD4410" s="106" t="s">
        <v>31</v>
      </c>
      <c r="AE4410" s="38" t="s">
        <v>369</v>
      </c>
    </row>
    <row r="4411" spans="1:31" ht="18" customHeight="1" x14ac:dyDescent="0.25">
      <c r="A441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1" s="79">
        <v>3</v>
      </c>
      <c r="C4411" s="23">
        <v>44743</v>
      </c>
      <c r="D4411" s="67">
        <f>IF(COUNTIF($G$2:$G4411,$G4411)=1,1,0)</f>
        <v>1</v>
      </c>
      <c r="E4411" s="67" t="str">
        <f>IFERROR(VLOOKUP(База_КР_КК[[#This Row],[ИД штатной должности (S)]],'уровень защищенности'!$B$7:$F$1095,5,0),"не защищена")</f>
        <v>не защищена</v>
      </c>
      <c r="F4411" s="68">
        <v>500084</v>
      </c>
      <c r="G4411" s="74" t="s">
        <v>3276</v>
      </c>
      <c r="H4411" s="181">
        <f>INDEX('Списки данных'!$D$2:$D$1048576,MATCH(База_КР_КК[[#This Row],[Структурное подразделение]],'Списки данных'!$C$2:$C$1048576,0))</f>
        <v>110</v>
      </c>
      <c r="I4411" s="80" t="s">
        <v>130</v>
      </c>
      <c r="J4411" s="80" t="s">
        <v>268</v>
      </c>
      <c r="K4411" s="80" t="s">
        <v>269</v>
      </c>
      <c r="L4411" s="30" t="s">
        <v>187</v>
      </c>
      <c r="M4411" s="68">
        <v>6</v>
      </c>
      <c r="N4411" s="181" t="str">
        <f t="shared" si="69"/>
        <v>нет</v>
      </c>
      <c r="O4411" s="23"/>
      <c r="P4411" s="23"/>
      <c r="Q4411" s="106"/>
      <c r="R4411" s="37">
        <v>1091</v>
      </c>
      <c r="S4411" s="38" t="s">
        <v>1500</v>
      </c>
      <c r="T4411" s="37">
        <v>2134</v>
      </c>
      <c r="U4411" s="38" t="s">
        <v>1925</v>
      </c>
      <c r="V4411" s="69" t="s">
        <v>189</v>
      </c>
      <c r="W4411" s="89" t="s">
        <v>293</v>
      </c>
      <c r="X4411" s="106" t="s">
        <v>295</v>
      </c>
      <c r="Y4411" s="107" t="s">
        <v>18</v>
      </c>
      <c r="Z4411" s="67">
        <f>IF(База_КР_КК[[#This Row],[Таб.номер резервиста]]="-","-",IF(OR(База_КР_КК[[#This Row],[Уровень КК]]=2,База_КР_КК[[#This Row],[Уровень КК]]=3),IF(COUNTIFS($U$2:$U4411,$U4411,$F$2:$F4411,$F4411)=1,1,0),IF(COUNTIFS($U$2:$U4411,$U4411,$L$2:$L4411,$L4411)=1,1,0)))</f>
        <v>1</v>
      </c>
      <c r="AA441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1" s="106" t="s">
        <v>33</v>
      </c>
      <c r="AC4411" s="51">
        <v>45078</v>
      </c>
      <c r="AD4411" s="106" t="s">
        <v>15</v>
      </c>
      <c r="AE4411" s="38" t="s">
        <v>369</v>
      </c>
    </row>
    <row r="4412" spans="1:31" ht="18" customHeight="1" x14ac:dyDescent="0.25">
      <c r="A441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2" s="79">
        <v>3</v>
      </c>
      <c r="C4412" s="23">
        <v>44743</v>
      </c>
      <c r="D4412" s="67">
        <f>IF(COUNTIF($G$2:$G4412,$G4412)=1,1,0)</f>
        <v>1</v>
      </c>
      <c r="E4412" s="67" t="str">
        <f>IFERROR(VLOOKUP(База_КР_КК[[#This Row],[ИД штатной должности (S)]],'уровень защищенности'!$B$7:$F$1095,5,0),"не защищена")</f>
        <v>высокий</v>
      </c>
      <c r="F4412" s="68">
        <v>500085</v>
      </c>
      <c r="G4412" s="74" t="s">
        <v>3277</v>
      </c>
      <c r="H4412" s="181">
        <f>INDEX('Списки данных'!$D$2:$D$1048576,MATCH(База_КР_КК[[#This Row],[Структурное подразделение]],'Списки данных'!$C$2:$C$1048576,0))</f>
        <v>110</v>
      </c>
      <c r="I4412" s="80" t="s">
        <v>130</v>
      </c>
      <c r="J4412" s="80" t="s">
        <v>268</v>
      </c>
      <c r="K4412" s="80" t="s">
        <v>269</v>
      </c>
      <c r="L4412" s="30" t="s">
        <v>187</v>
      </c>
      <c r="M4412" s="68">
        <v>6</v>
      </c>
      <c r="N4412" s="181" t="str">
        <f t="shared" si="69"/>
        <v>нет</v>
      </c>
      <c r="O4412" s="23"/>
      <c r="P4412" s="23"/>
      <c r="Q4412" s="106"/>
      <c r="R4412" s="37">
        <v>1092</v>
      </c>
      <c r="S4412" s="38" t="s">
        <v>1501</v>
      </c>
      <c r="T4412" s="37">
        <v>2135</v>
      </c>
      <c r="U4412" s="38" t="s">
        <v>1986</v>
      </c>
      <c r="V4412" s="69" t="s">
        <v>16</v>
      </c>
      <c r="W4412" s="89" t="s">
        <v>130</v>
      </c>
      <c r="X4412" s="106" t="s">
        <v>295</v>
      </c>
      <c r="Y4412" s="107" t="s">
        <v>12</v>
      </c>
      <c r="Z4412" s="67">
        <f>IF(База_КР_КК[[#This Row],[Таб.номер резервиста]]="-","-",IF(OR(База_КР_КК[[#This Row],[Уровень КК]]=2,База_КР_КК[[#This Row],[Уровень КК]]=3),IF(COUNTIFS($U$2:$U4412,$U4412,$F$2:$F4412,$F4412)=1,1,0),IF(COUNTIFS($U$2:$U4412,$U4412,$L$2:$L4412,$L4412)=1,1,0)))</f>
        <v>1</v>
      </c>
      <c r="AA441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2" s="106"/>
      <c r="AC4412" s="51"/>
      <c r="AD4412" s="106" t="s">
        <v>15</v>
      </c>
      <c r="AE4412" s="38" t="s">
        <v>369</v>
      </c>
    </row>
    <row r="4413" spans="1:31" ht="18" customHeight="1" x14ac:dyDescent="0.25">
      <c r="A441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3" s="79">
        <v>3</v>
      </c>
      <c r="C4413" s="23">
        <v>44743</v>
      </c>
      <c r="D4413" s="67">
        <f>IF(COUNTIF($G$2:$G4413,$G4413)=1,1,0)</f>
        <v>0</v>
      </c>
      <c r="E4413" s="67" t="str">
        <f>IFERROR(VLOOKUP(База_КР_КК[[#This Row],[ИД штатной должности (S)]],'уровень защищенности'!$B$7:$F$1095,5,0),"не защищена")</f>
        <v>высокий</v>
      </c>
      <c r="F4413" s="68">
        <v>500085</v>
      </c>
      <c r="G4413" s="74" t="s">
        <v>3277</v>
      </c>
      <c r="H4413" s="181">
        <f>INDEX('Списки данных'!$D$2:$D$1048576,MATCH(База_КР_КК[[#This Row],[Структурное подразделение]],'Списки данных'!$C$2:$C$1048576,0))</f>
        <v>110</v>
      </c>
      <c r="I4413" s="80" t="s">
        <v>130</v>
      </c>
      <c r="J4413" s="80" t="s">
        <v>268</v>
      </c>
      <c r="K4413" s="80" t="s">
        <v>269</v>
      </c>
      <c r="L4413" s="30" t="s">
        <v>187</v>
      </c>
      <c r="M4413" s="68">
        <v>6</v>
      </c>
      <c r="N4413" s="181" t="str">
        <f t="shared" ref="N4413:N4442" si="70">IF(ISBLANK(O4413),"нет","да")</f>
        <v>нет</v>
      </c>
      <c r="O4413" s="23"/>
      <c r="P4413" s="23"/>
      <c r="Q4413" s="106"/>
      <c r="R4413" s="37">
        <v>1092</v>
      </c>
      <c r="S4413" s="38" t="s">
        <v>1501</v>
      </c>
      <c r="T4413" s="37">
        <v>1039</v>
      </c>
      <c r="U4413" s="38" t="s">
        <v>1448</v>
      </c>
      <c r="V4413" s="69" t="s">
        <v>251</v>
      </c>
      <c r="W4413" s="89" t="s">
        <v>168</v>
      </c>
      <c r="X4413" s="106" t="s">
        <v>296</v>
      </c>
      <c r="Y4413" s="107" t="s">
        <v>12</v>
      </c>
      <c r="Z4413" s="67">
        <f>IF(База_КР_КК[[#This Row],[Таб.номер резервиста]]="-","-",IF(OR(База_КР_КК[[#This Row],[Уровень КК]]=2,База_КР_КК[[#This Row],[Уровень КК]]=3),IF(COUNTIFS($U$2:$U4413,$U4413,$F$2:$F4413,$F4413)=1,1,0),IF(COUNTIFS($U$2:$U4413,$U4413,$L$2:$L4413,$L4413)=1,1,0)))</f>
        <v>1</v>
      </c>
      <c r="AA441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3" s="106"/>
      <c r="AC4413" s="51"/>
      <c r="AD4413" s="106" t="s">
        <v>15</v>
      </c>
      <c r="AE4413" s="38" t="s">
        <v>369</v>
      </c>
    </row>
    <row r="4414" spans="1:31" ht="18" customHeight="1" x14ac:dyDescent="0.25">
      <c r="A441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4" s="79">
        <v>4</v>
      </c>
      <c r="C4414" s="23">
        <v>44516</v>
      </c>
      <c r="D4414" s="67">
        <f>IF(COUNTIF($G$2:$G4414,$G4414)=1,1,0)</f>
        <v>1</v>
      </c>
      <c r="E4414" s="67" t="str">
        <f>IFERROR(VLOOKUP(База_КР_КК[[#This Row],[ИД штатной должности (S)]],'уровень защищенности'!$B$7:$F$1095,5,0),"не защищена")</f>
        <v>средний</v>
      </c>
      <c r="F4414" s="68">
        <v>500576</v>
      </c>
      <c r="G4414" s="74" t="s">
        <v>3278</v>
      </c>
      <c r="H4414" s="181">
        <f>INDEX('Списки данных'!$D$2:$D$1048576,MATCH(База_КР_КК[[#This Row],[Структурное подразделение]],'Списки данных'!$C$2:$C$1048576,0))</f>
        <v>51</v>
      </c>
      <c r="I4414" s="80" t="s">
        <v>134</v>
      </c>
      <c r="J4414" s="80" t="s">
        <v>21</v>
      </c>
      <c r="K4414" s="80" t="s">
        <v>21</v>
      </c>
      <c r="L4414" s="30" t="s">
        <v>189</v>
      </c>
      <c r="M4414" s="68">
        <v>7</v>
      </c>
      <c r="N4414" s="181" t="str">
        <f t="shared" si="70"/>
        <v>нет</v>
      </c>
      <c r="O4414" s="23"/>
      <c r="P4414" s="23"/>
      <c r="Q4414" s="106"/>
      <c r="R4414" s="37">
        <v>1093</v>
      </c>
      <c r="S4414" s="37" t="s">
        <v>1502</v>
      </c>
      <c r="T4414" s="37">
        <v>2136</v>
      </c>
      <c r="U4414" s="37" t="s">
        <v>2001</v>
      </c>
      <c r="V4414" s="89" t="s">
        <v>272</v>
      </c>
      <c r="W4414" s="89" t="s">
        <v>134</v>
      </c>
      <c r="X4414" s="106" t="s">
        <v>297</v>
      </c>
      <c r="Y4414" s="107" t="s">
        <v>12</v>
      </c>
      <c r="Z4414" s="67">
        <f>IF(База_КР_КК[[#This Row],[Таб.номер резервиста]]="-","-",IF(OR(База_КР_КК[[#This Row],[Уровень КК]]=2,База_КР_КК[[#This Row],[Уровень КК]]=3),IF(COUNTIFS($U$2:$U4414,$U4414,$F$2:$F4414,$F4414)=1,1,0),IF(COUNTIFS($U$2:$U4414,$U4414,$L$2:$L4414,$L4414)=1,1,0)))</f>
        <v>1</v>
      </c>
      <c r="AA441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4" s="106"/>
      <c r="AC4414" s="51"/>
      <c r="AD4414" s="106" t="s">
        <v>13</v>
      </c>
      <c r="AE4414" s="40" t="s">
        <v>390</v>
      </c>
    </row>
    <row r="4415" spans="1:31" ht="18" customHeight="1" x14ac:dyDescent="0.25">
      <c r="A441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5" s="79">
        <v>4</v>
      </c>
      <c r="C4415" s="23">
        <v>44190</v>
      </c>
      <c r="D4415" s="67">
        <f>IF(COUNTIF($G$2:$G4415,$G4415)=1,1,0)</f>
        <v>0</v>
      </c>
      <c r="E4415" s="67" t="str">
        <f>IFERROR(VLOOKUP(База_КР_КК[[#This Row],[ИД штатной должности (S)]],'уровень защищенности'!$B$7:$F$1095,5,0),"не защищена")</f>
        <v>средний</v>
      </c>
      <c r="F4415" s="68">
        <v>500576</v>
      </c>
      <c r="G4415" s="74" t="s">
        <v>3278</v>
      </c>
      <c r="H4415" s="181">
        <f>INDEX('Списки данных'!$D$2:$D$1048576,MATCH(База_КР_КК[[#This Row],[Структурное подразделение]],'Списки данных'!$C$2:$C$1048576,0))</f>
        <v>51</v>
      </c>
      <c r="I4415" s="80" t="s">
        <v>134</v>
      </c>
      <c r="J4415" s="80" t="s">
        <v>21</v>
      </c>
      <c r="K4415" s="80" t="s">
        <v>21</v>
      </c>
      <c r="L4415" s="30" t="s">
        <v>189</v>
      </c>
      <c r="M4415" s="68">
        <v>7</v>
      </c>
      <c r="N4415" s="181" t="str">
        <f t="shared" si="70"/>
        <v>нет</v>
      </c>
      <c r="O4415" s="23"/>
      <c r="P4415" s="23"/>
      <c r="Q4415" s="106"/>
      <c r="R4415" s="37">
        <v>1093</v>
      </c>
      <c r="S4415" s="37" t="s">
        <v>1502</v>
      </c>
      <c r="T4415" s="37">
        <v>890</v>
      </c>
      <c r="U4415" s="37" t="s">
        <v>1299</v>
      </c>
      <c r="V4415" s="69" t="s">
        <v>194</v>
      </c>
      <c r="W4415" s="89" t="s">
        <v>134</v>
      </c>
      <c r="X4415" s="106" t="s">
        <v>297</v>
      </c>
      <c r="Y4415" s="107" t="s">
        <v>18</v>
      </c>
      <c r="Z4415" s="67">
        <f>IF(База_КР_КК[[#This Row],[Таб.номер резервиста]]="-","-",IF(OR(База_КР_КК[[#This Row],[Уровень КК]]=2,База_КР_КК[[#This Row],[Уровень КК]]=3),IF(COUNTIFS($U$2:$U4415,$U4415,$F$2:$F4415,$F4415)=1,1,0),IF(COUNTIFS($U$2:$U4415,$U4415,$L$2:$L4415,$L4415)=1,1,0)))</f>
        <v>1</v>
      </c>
      <c r="AA441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5" s="106" t="s">
        <v>20</v>
      </c>
      <c r="AC4415" s="51">
        <v>44896</v>
      </c>
      <c r="AD4415" s="106" t="s">
        <v>31</v>
      </c>
      <c r="AE4415" s="40" t="s">
        <v>390</v>
      </c>
    </row>
    <row r="4416" spans="1:31" ht="18" customHeight="1" x14ac:dyDescent="0.25">
      <c r="A441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6" s="79">
        <v>3</v>
      </c>
      <c r="C4416" s="23">
        <v>43455</v>
      </c>
      <c r="D4416" s="67">
        <f>IF(COUNTIF($G$2:$G4416,$G4416)=1,1,0)</f>
        <v>1</v>
      </c>
      <c r="E4416" s="67" t="str">
        <f>IFERROR(VLOOKUP(База_КР_КК[[#This Row],[ИД штатной должности (S)]],'уровень защищенности'!$B$7:$F$1095,5,0),"не защищена")</f>
        <v>не защищена</v>
      </c>
      <c r="F4416" s="68">
        <v>500577</v>
      </c>
      <c r="G4416" s="74" t="s">
        <v>3279</v>
      </c>
      <c r="H4416" s="181">
        <f>INDEX('Списки данных'!$D$2:$D$1048576,MATCH(База_КР_КК[[#This Row],[Структурное подразделение]],'Списки данных'!$C$2:$C$1048576,0))</f>
        <v>49</v>
      </c>
      <c r="I4416" s="80" t="s">
        <v>147</v>
      </c>
      <c r="J4416" s="82" t="s">
        <v>256</v>
      </c>
      <c r="K4416" s="80" t="s">
        <v>21</v>
      </c>
      <c r="L4416" s="30" t="s">
        <v>189</v>
      </c>
      <c r="M4416" s="68">
        <v>6</v>
      </c>
      <c r="N4416" s="181" t="str">
        <f t="shared" si="70"/>
        <v>нет</v>
      </c>
      <c r="O4416" s="23"/>
      <c r="P4416" s="23"/>
      <c r="Q4416" s="107"/>
      <c r="R4416" s="37">
        <v>1094</v>
      </c>
      <c r="S4416" s="38" t="s">
        <v>1503</v>
      </c>
      <c r="T4416" s="37">
        <v>2137</v>
      </c>
      <c r="U4416" s="38" t="s">
        <v>1965</v>
      </c>
      <c r="V4416" s="69" t="s">
        <v>189</v>
      </c>
      <c r="W4416" s="89" t="s">
        <v>147</v>
      </c>
      <c r="X4416" s="106" t="s">
        <v>296</v>
      </c>
      <c r="Y4416" s="107" t="s">
        <v>18</v>
      </c>
      <c r="Z4416" s="67">
        <f>IF(База_КР_КК[[#This Row],[Таб.номер резервиста]]="-","-",IF(OR(База_КР_КК[[#This Row],[Уровень КК]]=2,База_КР_КК[[#This Row],[Уровень КК]]=3),IF(COUNTIFS($U$2:$U4416,$U4416,$F$2:$F4416,$F4416)=1,1,0),IF(COUNTIFS($U$2:$U4416,$U4416,$L$2:$L4416,$L4416)=1,1,0)))</f>
        <v>1</v>
      </c>
      <c r="AA441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6" s="106" t="s">
        <v>19</v>
      </c>
      <c r="AC4416" s="51">
        <v>44714</v>
      </c>
      <c r="AD4416" s="106" t="s">
        <v>15</v>
      </c>
      <c r="AE4416" s="187" t="s">
        <v>392</v>
      </c>
    </row>
    <row r="4417" spans="1:31" ht="18" customHeight="1" x14ac:dyDescent="0.25">
      <c r="A441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7" s="79">
        <v>3</v>
      </c>
      <c r="C4417" s="23">
        <v>44743</v>
      </c>
      <c r="D4417" s="67">
        <f>IF(COUNTIF($G$2:$G4417,$G4417)=1,1,0)</f>
        <v>1</v>
      </c>
      <c r="E4417" s="67" t="str">
        <f>IFERROR(VLOOKUP(База_КР_КК[[#This Row],[ИД штатной должности (S)]],'уровень защищенности'!$B$7:$F$1095,5,0),"не защищена")</f>
        <v>средний</v>
      </c>
      <c r="F4417" s="68">
        <v>500591</v>
      </c>
      <c r="G4417" s="74" t="s">
        <v>3280</v>
      </c>
      <c r="H4417" s="181">
        <f>INDEX('Списки данных'!$D$2:$D$1048576,MATCH(База_КР_КК[[#This Row],[Структурное подразделение]],'Списки данных'!$C$2:$C$1048576,0))</f>
        <v>110</v>
      </c>
      <c r="I4417" s="80" t="s">
        <v>130</v>
      </c>
      <c r="J4417" s="80" t="s">
        <v>268</v>
      </c>
      <c r="K4417" s="80" t="s">
        <v>21</v>
      </c>
      <c r="L4417" s="30" t="s">
        <v>179</v>
      </c>
      <c r="M4417" s="68">
        <v>5</v>
      </c>
      <c r="N4417" s="181" t="str">
        <f t="shared" si="70"/>
        <v>нет</v>
      </c>
      <c r="O4417" s="23"/>
      <c r="P4417" s="23"/>
      <c r="Q4417" s="106"/>
      <c r="R4417" s="37">
        <v>1095</v>
      </c>
      <c r="S4417" s="38" t="s">
        <v>1504</v>
      </c>
      <c r="T4417" s="37">
        <v>1097</v>
      </c>
      <c r="U4417" s="38" t="s">
        <v>1506</v>
      </c>
      <c r="V4417" s="69" t="s">
        <v>187</v>
      </c>
      <c r="W4417" s="89" t="s">
        <v>130</v>
      </c>
      <c r="X4417" s="106" t="s">
        <v>297</v>
      </c>
      <c r="Y4417" s="107" t="s">
        <v>12</v>
      </c>
      <c r="Z4417" s="67">
        <f>IF(База_КР_КК[[#This Row],[Таб.номер резервиста]]="-","-",IF(OR(База_КР_КК[[#This Row],[Уровень КК]]=2,База_КР_КК[[#This Row],[Уровень КК]]=3),IF(COUNTIFS($U$2:$U4417,$U4417,$F$2:$F4417,$F4417)=1,1,0),IF(COUNTIFS($U$2:$U4417,$U4417,$L$2:$L4417,$L4417)=1,1,0)))</f>
        <v>1</v>
      </c>
      <c r="AA441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7" s="106"/>
      <c r="AC4417" s="51"/>
      <c r="AD4417" s="106" t="s">
        <v>15</v>
      </c>
      <c r="AE4417" s="38" t="s">
        <v>369</v>
      </c>
    </row>
    <row r="4418" spans="1:31" ht="18" customHeight="1" x14ac:dyDescent="0.25">
      <c r="A441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8" s="76">
        <v>3</v>
      </c>
      <c r="C4418" s="28">
        <v>44743</v>
      </c>
      <c r="D4418" s="67">
        <f>IF(COUNTIF($G$2:$G4418,$G4418)=1,1,0)</f>
        <v>0</v>
      </c>
      <c r="E4418" s="182" t="str">
        <f>IFERROR(VLOOKUP(База_КР_КК[[#This Row],[ИД штатной должности (S)]],'уровень защищенности'!$B$7:$F$1095,5,0),"не защищена")</f>
        <v>средний</v>
      </c>
      <c r="F4418" s="68">
        <v>500591</v>
      </c>
      <c r="G4418" s="77" t="s">
        <v>3280</v>
      </c>
      <c r="H4418" s="181">
        <f>INDEX('Списки данных'!$D$2:$D$1048576,MATCH(База_КР_КК[[#This Row],[Структурное подразделение]],'Списки данных'!$C$2:$C$1048576,0))</f>
        <v>110</v>
      </c>
      <c r="I4418" s="84" t="s">
        <v>130</v>
      </c>
      <c r="J4418" s="84" t="s">
        <v>268</v>
      </c>
      <c r="K4418" s="80" t="s">
        <v>21</v>
      </c>
      <c r="L4418" s="32" t="s">
        <v>179</v>
      </c>
      <c r="M4418" s="77">
        <v>5</v>
      </c>
      <c r="N4418" s="181" t="str">
        <f t="shared" si="70"/>
        <v>нет</v>
      </c>
      <c r="O4418" s="28"/>
      <c r="P4418" s="28"/>
      <c r="Q4418" s="66"/>
      <c r="R4418" s="37">
        <v>1095</v>
      </c>
      <c r="S4418" s="47" t="s">
        <v>1504</v>
      </c>
      <c r="T4418" s="48">
        <v>2138</v>
      </c>
      <c r="U4418" s="47" t="s">
        <v>2029</v>
      </c>
      <c r="V4418" s="96" t="s">
        <v>189</v>
      </c>
      <c r="W4418" s="91" t="s">
        <v>130</v>
      </c>
      <c r="X4418" s="106" t="s">
        <v>296</v>
      </c>
      <c r="Y4418" s="191" t="s">
        <v>12</v>
      </c>
      <c r="Z4418" s="67">
        <f>IF(База_КР_КК[[#This Row],[Таб.номер резервиста]]="-","-",IF(OR(База_КР_КК[[#This Row],[Уровень КК]]=2,База_КР_КК[[#This Row],[Уровень КК]]=3),IF(COUNTIFS($U$2:$U4418,$U4418,$F$2:$F4418,$F4418)=1,1,0),IF(COUNTIFS($U$2:$U4418,$U4418,$L$2:$L4418,$L4418)=1,1,0)))</f>
        <v>1</v>
      </c>
      <c r="AA441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8" s="106"/>
      <c r="AC4418" s="51"/>
      <c r="AD4418" s="66" t="s">
        <v>15</v>
      </c>
      <c r="AE4418" s="47" t="s">
        <v>369</v>
      </c>
    </row>
    <row r="4419" spans="1:31" ht="18" customHeight="1" x14ac:dyDescent="0.25">
      <c r="A441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19" s="79">
        <v>3</v>
      </c>
      <c r="C4419" s="23">
        <v>44743</v>
      </c>
      <c r="D4419" s="67">
        <f>IF(COUNTIF($G$2:$G4419,$G4419)=1,1,0)</f>
        <v>0</v>
      </c>
      <c r="E4419" s="67" t="str">
        <f>IFERROR(VLOOKUP(База_КР_КК[[#This Row],[ИД штатной должности (S)]],'уровень защищенности'!$B$7:$F$1095,5,0),"не защищена")</f>
        <v>средний</v>
      </c>
      <c r="F4419" s="68">
        <v>500591</v>
      </c>
      <c r="G4419" s="74" t="s">
        <v>3280</v>
      </c>
      <c r="H4419" s="181">
        <f>INDEX('Списки данных'!$D$2:$D$1048576,MATCH(База_КР_КК[[#This Row],[Структурное подразделение]],'Списки данных'!$C$2:$C$1048576,0))</f>
        <v>110</v>
      </c>
      <c r="I4419" s="80" t="s">
        <v>130</v>
      </c>
      <c r="J4419" s="80" t="s">
        <v>268</v>
      </c>
      <c r="K4419" s="80" t="s">
        <v>21</v>
      </c>
      <c r="L4419" s="30" t="s">
        <v>179</v>
      </c>
      <c r="M4419" s="68">
        <v>5</v>
      </c>
      <c r="N4419" s="181" t="str">
        <f t="shared" si="70"/>
        <v>нет</v>
      </c>
      <c r="O4419" s="23"/>
      <c r="P4419" s="23"/>
      <c r="Q4419" s="106"/>
      <c r="R4419" s="37">
        <v>1095</v>
      </c>
      <c r="S4419" s="38" t="s">
        <v>1504</v>
      </c>
      <c r="T4419" s="37">
        <v>1047</v>
      </c>
      <c r="U4419" s="38" t="s">
        <v>1456</v>
      </c>
      <c r="V4419" s="69" t="s">
        <v>186</v>
      </c>
      <c r="W4419" s="89" t="s">
        <v>171</v>
      </c>
      <c r="X4419" s="106" t="s">
        <v>296</v>
      </c>
      <c r="Y4419" s="107" t="s">
        <v>12</v>
      </c>
      <c r="Z4419" s="67">
        <f>IF(База_КР_КК[[#This Row],[Таб.номер резервиста]]="-","-",IF(OR(База_КР_КК[[#This Row],[Уровень КК]]=2,База_КР_КК[[#This Row],[Уровень КК]]=3),IF(COUNTIFS($U$2:$U4419,$U4419,$F$2:$F4419,$F4419)=1,1,0),IF(COUNTIFS($U$2:$U4419,$U4419,$L$2:$L4419,$L4419)=1,1,0)))</f>
        <v>1</v>
      </c>
      <c r="AA441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19" s="106"/>
      <c r="AC4419" s="51"/>
      <c r="AD4419" s="106" t="s">
        <v>15</v>
      </c>
      <c r="AE4419" s="38" t="s">
        <v>369</v>
      </c>
    </row>
    <row r="4420" spans="1:31" ht="18" customHeight="1" x14ac:dyDescent="0.25">
      <c r="A442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0" s="76">
        <v>3</v>
      </c>
      <c r="C4420" s="28">
        <v>44743</v>
      </c>
      <c r="D4420" s="67">
        <f>IF(COUNTIF($G$2:$G4420,$G4420)=1,1,0)</f>
        <v>1</v>
      </c>
      <c r="E4420" s="182" t="str">
        <f>IFERROR(VLOOKUP(База_КР_КК[[#This Row],[ИД штатной должности (S)]],'уровень защищенности'!$B$7:$F$1095,5,0),"не защищена")</f>
        <v>высокий</v>
      </c>
      <c r="F4420" s="68">
        <v>500592</v>
      </c>
      <c r="G4420" s="77" t="s">
        <v>3281</v>
      </c>
      <c r="H4420" s="181">
        <f>INDEX('Списки данных'!$D$2:$D$1048576,MATCH(База_КР_КК[[#This Row],[Структурное подразделение]],'Списки данных'!$C$2:$C$1048576,0))</f>
        <v>110</v>
      </c>
      <c r="I4420" s="84" t="s">
        <v>130</v>
      </c>
      <c r="J4420" s="84" t="s">
        <v>268</v>
      </c>
      <c r="K4420" s="84" t="s">
        <v>269</v>
      </c>
      <c r="L4420" s="32" t="s">
        <v>187</v>
      </c>
      <c r="M4420" s="68">
        <v>6</v>
      </c>
      <c r="N4420" s="181" t="str">
        <f t="shared" si="70"/>
        <v>нет</v>
      </c>
      <c r="O4420" s="28"/>
      <c r="P4420" s="28"/>
      <c r="Q4420" s="106"/>
      <c r="R4420" s="37">
        <v>1096</v>
      </c>
      <c r="S4420" s="38" t="s">
        <v>1505</v>
      </c>
      <c r="T4420" s="37">
        <v>2139</v>
      </c>
      <c r="U4420" s="38" t="s">
        <v>2095</v>
      </c>
      <c r="V4420" s="69" t="s">
        <v>189</v>
      </c>
      <c r="W4420" s="89" t="s">
        <v>130</v>
      </c>
      <c r="X4420" s="106" t="s">
        <v>295</v>
      </c>
      <c r="Y4420" s="107" t="s">
        <v>12</v>
      </c>
      <c r="Z4420" s="67">
        <f>IF(База_КР_КК[[#This Row],[Таб.номер резервиста]]="-","-",IF(OR(База_КР_КК[[#This Row],[Уровень КК]]=2,База_КР_КК[[#This Row],[Уровень КК]]=3),IF(COUNTIFS($U$2:$U4420,$U4420,$F$2:$F4420,$F4420)=1,1,0),IF(COUNTIFS($U$2:$U4420,$U4420,$L$2:$L4420,$L4420)=1,1,0)))</f>
        <v>1</v>
      </c>
      <c r="AA442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0" s="66"/>
      <c r="AC4420" s="162"/>
      <c r="AD4420" s="106" t="s">
        <v>15</v>
      </c>
      <c r="AE4420" s="38" t="s">
        <v>369</v>
      </c>
    </row>
    <row r="4421" spans="1:31" ht="18" customHeight="1" x14ac:dyDescent="0.25">
      <c r="A442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1" s="76">
        <v>3</v>
      </c>
      <c r="C4421" s="28">
        <v>44743</v>
      </c>
      <c r="D4421" s="67">
        <f>IF(COUNTIF($G$2:$G4421,$G4421)=1,1,0)</f>
        <v>1</v>
      </c>
      <c r="E4421" s="182" t="str">
        <f>IFERROR(VLOOKUP(База_КР_КК[[#This Row],[ИД штатной должности (S)]],'уровень защищенности'!$B$7:$F$1095,5,0),"не защищена")</f>
        <v>высокий</v>
      </c>
      <c r="F4421" s="68">
        <v>500593</v>
      </c>
      <c r="G4421" s="77" t="s">
        <v>3282</v>
      </c>
      <c r="H4421" s="181">
        <f>INDEX('Списки данных'!$D$2:$D$1048576,MATCH(База_КР_КК[[#This Row],[Структурное подразделение]],'Списки данных'!$C$2:$C$1048576,0))</f>
        <v>110</v>
      </c>
      <c r="I4421" s="84" t="s">
        <v>130</v>
      </c>
      <c r="J4421" s="84" t="s">
        <v>268</v>
      </c>
      <c r="K4421" s="84" t="s">
        <v>269</v>
      </c>
      <c r="L4421" s="32" t="s">
        <v>187</v>
      </c>
      <c r="M4421" s="68">
        <v>6</v>
      </c>
      <c r="N4421" s="181" t="str">
        <f t="shared" si="70"/>
        <v>нет</v>
      </c>
      <c r="O4421" s="28"/>
      <c r="P4421" s="28"/>
      <c r="Q4421" s="106"/>
      <c r="R4421" s="37">
        <v>1097</v>
      </c>
      <c r="S4421" s="38" t="s">
        <v>1506</v>
      </c>
      <c r="T4421" s="37">
        <v>2138</v>
      </c>
      <c r="U4421" s="38" t="s">
        <v>2029</v>
      </c>
      <c r="V4421" s="69" t="s">
        <v>189</v>
      </c>
      <c r="W4421" s="89" t="s">
        <v>130</v>
      </c>
      <c r="X4421" s="106" t="s">
        <v>295</v>
      </c>
      <c r="Y4421" s="107" t="s">
        <v>12</v>
      </c>
      <c r="Z4421" s="67">
        <f>IF(База_КР_КК[[#This Row],[Таб.номер резервиста]]="-","-",IF(OR(База_КР_КК[[#This Row],[Уровень КК]]=2,База_КР_КК[[#This Row],[Уровень КК]]=3),IF(COUNTIFS($U$2:$U4421,$U4421,$F$2:$F4421,$F4421)=1,1,0),IF(COUNTIFS($U$2:$U4421,$U4421,$L$2:$L4421,$L4421)=1,1,0)))</f>
        <v>1</v>
      </c>
      <c r="AA442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1" s="66"/>
      <c r="AC4421" s="51"/>
      <c r="AD4421" s="106" t="s">
        <v>15</v>
      </c>
      <c r="AE4421" s="38" t="s">
        <v>369</v>
      </c>
    </row>
    <row r="4422" spans="1:31" ht="18" customHeight="1" x14ac:dyDescent="0.25">
      <c r="A442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2" s="73">
        <v>3</v>
      </c>
      <c r="C4422" s="61">
        <v>44743</v>
      </c>
      <c r="D4422" s="67">
        <f>IF(COUNTIF($G$2:$G4422,$G4422)=1,1,0)</f>
        <v>0</v>
      </c>
      <c r="E4422" s="67" t="str">
        <f>IFERROR(VLOOKUP(База_КР_КК[[#This Row],[ИД штатной должности (S)]],'уровень защищенности'!$B$7:$F$1095,5,0),"не защищена")</f>
        <v>высокий</v>
      </c>
      <c r="F4422" s="68">
        <v>500593</v>
      </c>
      <c r="G4422" s="74" t="s">
        <v>3282</v>
      </c>
      <c r="H4422" s="181">
        <f>INDEX('Списки данных'!$D$2:$D$1048576,MATCH(База_КР_КК[[#This Row],[Структурное подразделение]],'Списки данных'!$C$2:$C$1048576,0))</f>
        <v>110</v>
      </c>
      <c r="I4422" s="85" t="s">
        <v>130</v>
      </c>
      <c r="J4422" s="85" t="s">
        <v>268</v>
      </c>
      <c r="K4422" s="85" t="s">
        <v>269</v>
      </c>
      <c r="L4422" s="62" t="s">
        <v>187</v>
      </c>
      <c r="M4422" s="74">
        <v>6</v>
      </c>
      <c r="N4422" s="183" t="str">
        <f t="shared" si="70"/>
        <v>нет</v>
      </c>
      <c r="O4422" s="61"/>
      <c r="P4422" s="61"/>
      <c r="Q4422" s="188"/>
      <c r="R4422" s="45">
        <v>1097</v>
      </c>
      <c r="S4422" s="64" t="s">
        <v>1506</v>
      </c>
      <c r="T4422" s="45">
        <v>2140</v>
      </c>
      <c r="U4422" s="64" t="s">
        <v>1839</v>
      </c>
      <c r="V4422" s="93" t="s">
        <v>272</v>
      </c>
      <c r="W4422" s="88" t="s">
        <v>166</v>
      </c>
      <c r="X4422" s="106" t="s">
        <v>296</v>
      </c>
      <c r="Y4422" s="192" t="s">
        <v>12</v>
      </c>
      <c r="Z4422" s="67">
        <f>IF(База_КР_КК[[#This Row],[Таб.номер резервиста]]="-","-",IF(OR(База_КР_КК[[#This Row],[Уровень КК]]=2,База_КР_КК[[#This Row],[Уровень КК]]=3),IF(COUNTIFS($U$2:$U4422,$U4422,$F$2:$F4422,$F4422)=1,1,0),IF(COUNTIFS($U$2:$U4422,$U4422,$L$2:$L4422,$L4422)=1,1,0)))</f>
        <v>1</v>
      </c>
      <c r="AA442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2" s="188"/>
      <c r="AC4422" s="163"/>
      <c r="AD4422" s="188" t="s">
        <v>15</v>
      </c>
      <c r="AE4422" s="64" t="s">
        <v>369</v>
      </c>
    </row>
    <row r="4423" spans="1:31" ht="18" customHeight="1" x14ac:dyDescent="0.25">
      <c r="A442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3" s="73">
        <v>3</v>
      </c>
      <c r="C4423" s="61">
        <v>44743</v>
      </c>
      <c r="D4423" s="67">
        <f>IF(COUNTIF($G$2:$G4423,$G4423)=1,1,0)</f>
        <v>0</v>
      </c>
      <c r="E4423" s="67" t="str">
        <f>IFERROR(VLOOKUP(База_КР_КК[[#This Row],[ИД штатной должности (S)]],'уровень защищенности'!$B$7:$F$1095,5,0),"не защищена")</f>
        <v>высокий</v>
      </c>
      <c r="F4423" s="68">
        <v>500593</v>
      </c>
      <c r="G4423" s="74" t="s">
        <v>3282</v>
      </c>
      <c r="H4423" s="181">
        <f>INDEX('Списки данных'!$D$2:$D$1048576,MATCH(База_КР_КК[[#This Row],[Структурное подразделение]],'Списки данных'!$C$2:$C$1048576,0))</f>
        <v>110</v>
      </c>
      <c r="I4423" s="85" t="s">
        <v>130</v>
      </c>
      <c r="J4423" s="85" t="s">
        <v>268</v>
      </c>
      <c r="K4423" s="85" t="s">
        <v>269</v>
      </c>
      <c r="L4423" s="62" t="s">
        <v>187</v>
      </c>
      <c r="M4423" s="74">
        <v>6</v>
      </c>
      <c r="N4423" s="183" t="str">
        <f t="shared" si="70"/>
        <v>нет</v>
      </c>
      <c r="O4423" s="61"/>
      <c r="P4423" s="61"/>
      <c r="Q4423" s="188"/>
      <c r="R4423" s="45">
        <v>1097</v>
      </c>
      <c r="S4423" s="64" t="s">
        <v>1506</v>
      </c>
      <c r="T4423" s="45">
        <v>2141</v>
      </c>
      <c r="U4423" s="64" t="s">
        <v>1647</v>
      </c>
      <c r="V4423" s="93" t="s">
        <v>192</v>
      </c>
      <c r="W4423" s="88" t="s">
        <v>130</v>
      </c>
      <c r="X4423" s="106" t="s">
        <v>296</v>
      </c>
      <c r="Y4423" s="192" t="s">
        <v>12</v>
      </c>
      <c r="Z4423" s="67">
        <f>IF(База_КР_КК[[#This Row],[Таб.номер резервиста]]="-","-",IF(OR(База_КР_КК[[#This Row],[Уровень КК]]=2,База_КР_КК[[#This Row],[Уровень КК]]=3),IF(COUNTIFS($U$2:$U4423,$U4423,$F$2:$F4423,$F4423)=1,1,0),IF(COUNTIFS($U$2:$U4423,$U4423,$L$2:$L4423,$L4423)=1,1,0)))</f>
        <v>1</v>
      </c>
      <c r="AA442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3" s="188"/>
      <c r="AC4423" s="163"/>
      <c r="AD4423" s="188" t="s">
        <v>15</v>
      </c>
      <c r="AE4423" s="64" t="s">
        <v>369</v>
      </c>
    </row>
    <row r="4424" spans="1:31" ht="18" customHeight="1" x14ac:dyDescent="0.25">
      <c r="A442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4" s="76">
        <v>3</v>
      </c>
      <c r="C4424" s="28">
        <v>44743</v>
      </c>
      <c r="D4424" s="67">
        <f>IF(COUNTIF($G$2:$G4424,$G4424)=1,1,0)</f>
        <v>1</v>
      </c>
      <c r="E4424" s="182" t="str">
        <f>IFERROR(VLOOKUP(База_КР_КК[[#This Row],[ИД штатной должности (S)]],'уровень защищенности'!$B$7:$F$1095,5,0),"не защищена")</f>
        <v>не защищена</v>
      </c>
      <c r="F4424" s="68">
        <v>500610</v>
      </c>
      <c r="G4424" s="77" t="s">
        <v>3283</v>
      </c>
      <c r="H4424" s="181">
        <f>INDEX('Списки данных'!$D$2:$D$1048576,MATCH(База_КР_КК[[#This Row],[Структурное подразделение]],'Списки данных'!$C$2:$C$1048576,0))</f>
        <v>384</v>
      </c>
      <c r="I4424" s="84" t="s">
        <v>172</v>
      </c>
      <c r="J4424" s="84" t="s">
        <v>270</v>
      </c>
      <c r="K4424" s="80" t="s">
        <v>21</v>
      </c>
      <c r="L4424" s="32" t="s">
        <v>183</v>
      </c>
      <c r="M4424" s="77">
        <v>5</v>
      </c>
      <c r="N4424" s="184" t="str">
        <f t="shared" si="70"/>
        <v>нет</v>
      </c>
      <c r="O4424" s="162"/>
      <c r="P4424" s="162"/>
      <c r="Q4424" s="66"/>
      <c r="R4424" s="48">
        <v>1098</v>
      </c>
      <c r="S4424" s="49" t="s">
        <v>1507</v>
      </c>
      <c r="T4424" s="48">
        <v>2142</v>
      </c>
      <c r="U4424" s="49" t="s">
        <v>2141</v>
      </c>
      <c r="V4424" s="91" t="s">
        <v>186</v>
      </c>
      <c r="W4424" s="91" t="s">
        <v>172</v>
      </c>
      <c r="X4424" s="106" t="s">
        <v>297</v>
      </c>
      <c r="Y4424" s="191" t="s">
        <v>18</v>
      </c>
      <c r="Z4424" s="67">
        <f>IF(База_КР_КК[[#This Row],[Таб.номер резервиста]]="-","-",IF(OR(База_КР_КК[[#This Row],[Уровень КК]]=2,База_КР_КК[[#This Row],[Уровень КК]]=3),IF(COUNTIFS($U$2:$U4424,$U4424,$F$2:$F4424,$F4424)=1,1,0),IF(COUNTIFS($U$2:$U4424,$U4424,$L$2:$L4424,$L4424)=1,1,0)))</f>
        <v>1</v>
      </c>
      <c r="AA442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4" s="66" t="s">
        <v>19</v>
      </c>
      <c r="AC4424" s="162">
        <v>45073</v>
      </c>
      <c r="AD4424" s="66" t="s">
        <v>15</v>
      </c>
      <c r="AE4424" s="47" t="s">
        <v>369</v>
      </c>
    </row>
    <row r="4425" spans="1:31" ht="18" customHeight="1" x14ac:dyDescent="0.25">
      <c r="A442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5" s="73">
        <v>3</v>
      </c>
      <c r="C4425" s="61">
        <v>44743</v>
      </c>
      <c r="D4425" s="67">
        <f>IF(COUNTIF($G$2:$G4425,$G4425)=1,1,0)</f>
        <v>0</v>
      </c>
      <c r="E4425" s="67" t="str">
        <f>IFERROR(VLOOKUP(База_КР_КК[[#This Row],[ИД штатной должности (S)]],'уровень защищенности'!$B$7:$F$1095,5,0),"не защищена")</f>
        <v>не защищена</v>
      </c>
      <c r="F4425" s="68">
        <v>500610</v>
      </c>
      <c r="G4425" s="74" t="s">
        <v>3283</v>
      </c>
      <c r="H4425" s="181">
        <f>INDEX('Списки данных'!$D$2:$D$1048576,MATCH(База_КР_КК[[#This Row],[Структурное подразделение]],'Списки данных'!$C$2:$C$1048576,0))</f>
        <v>384</v>
      </c>
      <c r="I4425" s="85" t="s">
        <v>172</v>
      </c>
      <c r="J4425" s="85" t="s">
        <v>270</v>
      </c>
      <c r="K4425" s="80" t="s">
        <v>21</v>
      </c>
      <c r="L4425" s="62" t="s">
        <v>183</v>
      </c>
      <c r="M4425" s="74">
        <v>5</v>
      </c>
      <c r="N4425" s="183" t="str">
        <f t="shared" si="70"/>
        <v>нет</v>
      </c>
      <c r="O4425" s="163"/>
      <c r="P4425" s="163"/>
      <c r="Q4425" s="188"/>
      <c r="R4425" s="45">
        <v>1098</v>
      </c>
      <c r="S4425" s="63" t="s">
        <v>1507</v>
      </c>
      <c r="T4425" s="48">
        <v>2143</v>
      </c>
      <c r="U4425" s="66" t="s">
        <v>1986</v>
      </c>
      <c r="V4425" s="92" t="s">
        <v>186</v>
      </c>
      <c r="W4425" s="92" t="s">
        <v>172</v>
      </c>
      <c r="X4425" s="106" t="s">
        <v>296</v>
      </c>
      <c r="Y4425" s="192" t="s">
        <v>18</v>
      </c>
      <c r="Z4425" s="67">
        <f>IF(База_КР_КК[[#This Row],[Таб.номер резервиста]]="-","-",IF(OR(База_КР_КК[[#This Row],[Уровень КК]]=2,База_КР_КК[[#This Row],[Уровень КК]]=3),IF(COUNTIFS($U$2:$U4425,$U4425,$F$2:$F4425,$F4425)=1,1,0),IF(COUNTIFS($U$2:$U4425,$U4425,$L$2:$L4425,$L4425)=1,1,0)))</f>
        <v>1</v>
      </c>
      <c r="AA442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5" s="188" t="s">
        <v>19</v>
      </c>
      <c r="AC4425" s="163">
        <v>45078</v>
      </c>
      <c r="AD4425" s="188" t="s">
        <v>15</v>
      </c>
      <c r="AE4425" s="64" t="s">
        <v>369</v>
      </c>
    </row>
    <row r="4426" spans="1:31" ht="18" customHeight="1" x14ac:dyDescent="0.25">
      <c r="A442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6" s="73">
        <v>4</v>
      </c>
      <c r="C4426" s="61">
        <v>44510</v>
      </c>
      <c r="D4426" s="67">
        <f>IF(COUNTIF($G$2:$G4426,$G4426)=1,1,0)</f>
        <v>1</v>
      </c>
      <c r="E4426" s="67" t="str">
        <f>IFERROR(VLOOKUP(База_КР_КК[[#This Row],[ИД штатной должности (S)]],'уровень защищенности'!$B$7:$F$1095,5,0),"не защищена")</f>
        <v>средний</v>
      </c>
      <c r="F4426" s="68">
        <v>500611</v>
      </c>
      <c r="G4426" s="74" t="s">
        <v>3284</v>
      </c>
      <c r="H4426" s="181">
        <f>INDEX('Списки данных'!$D$2:$D$1048576,MATCH(База_КР_КК[[#This Row],[Структурное подразделение]],'Списки данных'!$C$2:$C$1048576,0))</f>
        <v>221</v>
      </c>
      <c r="I4426" s="85" t="s">
        <v>171</v>
      </c>
      <c r="J4426" s="85" t="s">
        <v>266</v>
      </c>
      <c r="K4426" s="85" t="s">
        <v>267</v>
      </c>
      <c r="L4426" s="104" t="s">
        <v>192</v>
      </c>
      <c r="M4426" s="74">
        <v>7</v>
      </c>
      <c r="N4426" s="183" t="str">
        <f t="shared" si="70"/>
        <v>нет</v>
      </c>
      <c r="O4426" s="61"/>
      <c r="P4426" s="61"/>
      <c r="Q4426" s="188"/>
      <c r="R4426" s="45">
        <v>1099</v>
      </c>
      <c r="S4426" s="63" t="s">
        <v>1508</v>
      </c>
      <c r="T4426" s="48">
        <v>2144</v>
      </c>
      <c r="U4426" s="48" t="s">
        <v>2142</v>
      </c>
      <c r="V4426" s="93" t="s">
        <v>272</v>
      </c>
      <c r="W4426" s="88" t="s">
        <v>171</v>
      </c>
      <c r="X4426" s="106" t="s">
        <v>297</v>
      </c>
      <c r="Y4426" s="192" t="s">
        <v>12</v>
      </c>
      <c r="Z4426" s="67">
        <f>IF(База_КР_КК[[#This Row],[Таб.номер резервиста]]="-","-",IF(OR(База_КР_КК[[#This Row],[Уровень КК]]=2,База_КР_КК[[#This Row],[Уровень КК]]=3),IF(COUNTIFS($U$2:$U4426,$U4426,$F$2:$F4426,$F4426)=1,1,0),IF(COUNTIFS($U$2:$U4426,$U4426,$L$2:$L4426,$L4426)=1,1,0)))</f>
        <v>1</v>
      </c>
      <c r="AA442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6" s="188"/>
      <c r="AC4426" s="163"/>
      <c r="AD4426" s="188" t="s">
        <v>17</v>
      </c>
      <c r="AE4426" s="64" t="s">
        <v>322</v>
      </c>
    </row>
    <row r="4427" spans="1:31" ht="18" customHeight="1" x14ac:dyDescent="0.25">
      <c r="A442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7" s="73">
        <v>4</v>
      </c>
      <c r="C4427" s="61">
        <v>44888</v>
      </c>
      <c r="D4427" s="67">
        <f>IF(COUNTIF($G$2:$G4427,$G4427)=1,1,0)</f>
        <v>1</v>
      </c>
      <c r="E4427" s="67" t="str">
        <f>IFERROR(VLOOKUP(База_КР_КК[[#This Row],[ИД штатной должности (S)]],'уровень защищенности'!$B$7:$F$1095,5,0),"не защищена")</f>
        <v>низкий</v>
      </c>
      <c r="F4427" s="68">
        <v>500616</v>
      </c>
      <c r="G4427" s="74" t="s">
        <v>3285</v>
      </c>
      <c r="H4427" s="181">
        <f>INDEX('Списки данных'!$D$2:$D$1048576,MATCH(База_КР_КК[[#This Row],[Структурное подразделение]],'Списки данных'!$C$2:$C$1048576,0))</f>
        <v>50</v>
      </c>
      <c r="I4427" s="85" t="s">
        <v>159</v>
      </c>
      <c r="J4427" s="85" t="s">
        <v>255</v>
      </c>
      <c r="K4427" s="85" t="s">
        <v>263</v>
      </c>
      <c r="L4427" s="62" t="s">
        <v>192</v>
      </c>
      <c r="M4427" s="74">
        <v>7</v>
      </c>
      <c r="N4427" s="183" t="str">
        <f t="shared" si="70"/>
        <v>нет</v>
      </c>
      <c r="O4427" s="61"/>
      <c r="P4427" s="61"/>
      <c r="Q4427" s="106"/>
      <c r="R4427" s="45">
        <v>1100</v>
      </c>
      <c r="S4427" s="63" t="s">
        <v>1509</v>
      </c>
      <c r="T4427" s="48">
        <v>2145</v>
      </c>
      <c r="U4427" s="47" t="s">
        <v>2143</v>
      </c>
      <c r="V4427" s="93" t="s">
        <v>272</v>
      </c>
      <c r="W4427" s="87" t="s">
        <v>159</v>
      </c>
      <c r="X4427" s="106" t="s">
        <v>296</v>
      </c>
      <c r="Y4427" s="192" t="s">
        <v>12</v>
      </c>
      <c r="Z4427" s="67">
        <f>IF(База_КР_КК[[#This Row],[Таб.номер резервиста]]="-","-",IF(OR(База_КР_КК[[#This Row],[Уровень КК]]=2,База_КР_КК[[#This Row],[Уровень КК]]=3),IF(COUNTIFS($U$2:$U4427,$U4427,$F$2:$F4427,$F4427)=1,1,0),IF(COUNTIFS($U$2:$U4427,$U4427,$L$2:$L4427,$L4427)=1,1,0)))</f>
        <v>1</v>
      </c>
      <c r="AA442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7" s="188"/>
      <c r="AC4427" s="163"/>
      <c r="AD4427" s="188" t="s">
        <v>15</v>
      </c>
      <c r="AE4427" s="64" t="s">
        <v>356</v>
      </c>
    </row>
    <row r="4428" spans="1:31" ht="18" customHeight="1" x14ac:dyDescent="0.25">
      <c r="A442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8" s="73">
        <v>4</v>
      </c>
      <c r="C4428" s="61">
        <v>44888</v>
      </c>
      <c r="D4428" s="67">
        <f>IF(COUNTIF($G$2:$G4428,$G4428)=1,1,0)</f>
        <v>0</v>
      </c>
      <c r="E4428" s="67" t="str">
        <f>IFERROR(VLOOKUP(База_КР_КК[[#This Row],[ИД штатной должности (S)]],'уровень защищенности'!$B$7:$F$1095,5,0),"не защищена")</f>
        <v>низкий</v>
      </c>
      <c r="F4428" s="68">
        <v>500616</v>
      </c>
      <c r="G4428" s="74" t="s">
        <v>3285</v>
      </c>
      <c r="H4428" s="181">
        <f>INDEX('Списки данных'!$D$2:$D$1048576,MATCH(База_КР_КК[[#This Row],[Структурное подразделение]],'Списки данных'!$C$2:$C$1048576,0))</f>
        <v>50</v>
      </c>
      <c r="I4428" s="85" t="s">
        <v>159</v>
      </c>
      <c r="J4428" s="85" t="s">
        <v>255</v>
      </c>
      <c r="K4428" s="85" t="s">
        <v>263</v>
      </c>
      <c r="L4428" s="62" t="s">
        <v>192</v>
      </c>
      <c r="M4428" s="74">
        <v>7</v>
      </c>
      <c r="N4428" s="183" t="str">
        <f t="shared" si="70"/>
        <v>нет</v>
      </c>
      <c r="O4428" s="61"/>
      <c r="P4428" s="61"/>
      <c r="Q4428" s="188"/>
      <c r="R4428" s="45">
        <v>1100</v>
      </c>
      <c r="S4428" s="63" t="s">
        <v>1509</v>
      </c>
      <c r="T4428" s="48">
        <v>2146</v>
      </c>
      <c r="U4428" s="47" t="s">
        <v>2060</v>
      </c>
      <c r="V4428" s="88" t="s">
        <v>272</v>
      </c>
      <c r="W4428" s="87" t="s">
        <v>159</v>
      </c>
      <c r="X4428" s="106" t="s">
        <v>296</v>
      </c>
      <c r="Y4428" s="192" t="s">
        <v>12</v>
      </c>
      <c r="Z4428" s="67">
        <f>IF(База_КР_КК[[#This Row],[Таб.номер резервиста]]="-","-",IF(OR(База_КР_КК[[#This Row],[Уровень КК]]=2,База_КР_КК[[#This Row],[Уровень КК]]=3),IF(COUNTIFS($U$2:$U4428,$U4428,$F$2:$F4428,$F4428)=1,1,0),IF(COUNTIFS($U$2:$U4428,$U4428,$L$2:$L4428,$L4428)=1,1,0)))</f>
        <v>0</v>
      </c>
      <c r="AA442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28" s="188"/>
      <c r="AC4428" s="163"/>
      <c r="AD4428" s="188" t="s">
        <v>15</v>
      </c>
      <c r="AE4428" s="64" t="s">
        <v>356</v>
      </c>
    </row>
    <row r="4429" spans="1:31" ht="18" customHeight="1" x14ac:dyDescent="0.25">
      <c r="A442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29" s="73">
        <v>4</v>
      </c>
      <c r="C4429" s="61">
        <v>44896</v>
      </c>
      <c r="D4429" s="67">
        <f>IF(COUNTIF($G$2:$G4429,$G4429)=1,1,0)</f>
        <v>1</v>
      </c>
      <c r="E4429" s="67" t="str">
        <f>IFERROR(VLOOKUP(База_КР_КК[[#This Row],[ИД штатной должности (S)]],'уровень защищенности'!$B$7:$F$1095,5,0),"не защищена")</f>
        <v>не защищена</v>
      </c>
      <c r="F4429" s="68">
        <v>500621</v>
      </c>
      <c r="G4429" s="74" t="s">
        <v>3286</v>
      </c>
      <c r="H4429" s="181">
        <f>INDEX('Списки данных'!$D$2:$D$1048576,MATCH(База_КР_КК[[#This Row],[Структурное подразделение]],'Списки данных'!$C$2:$C$1048576,0))</f>
        <v>51</v>
      </c>
      <c r="I4429" s="85" t="s">
        <v>134</v>
      </c>
      <c r="J4429" s="85" t="s">
        <v>257</v>
      </c>
      <c r="K4429" s="80" t="s">
        <v>21</v>
      </c>
      <c r="L4429" s="62" t="s">
        <v>189</v>
      </c>
      <c r="M4429" s="74">
        <v>7</v>
      </c>
      <c r="N4429" s="183" t="str">
        <f t="shared" si="70"/>
        <v>нет</v>
      </c>
      <c r="O4429" s="61"/>
      <c r="P4429" s="61"/>
      <c r="Q4429" s="188"/>
      <c r="R4429" s="45">
        <v>1101</v>
      </c>
      <c r="S4429" s="45" t="s">
        <v>1510</v>
      </c>
      <c r="T4429" s="37" t="s">
        <v>21</v>
      </c>
      <c r="U4429" s="37" t="s">
        <v>21</v>
      </c>
      <c r="V4429" s="88" t="s">
        <v>21</v>
      </c>
      <c r="W4429" s="88" t="s">
        <v>21</v>
      </c>
      <c r="X4429" s="188"/>
      <c r="Y4429" s="192"/>
      <c r="Z4429" s="67" t="str">
        <f>IF(База_КР_КК[[#This Row],[Таб.номер резервиста]]="-","-",IF(OR(База_КР_КК[[#This Row],[Уровень КК]]=2,База_КР_КК[[#This Row],[Уровень КК]]=3),IF(COUNTIFS($U$2:$U4429,$U4429,$F$2:$F4429,$F4429)=1,1,0),IF(COUNTIFS($U$2:$U4429,$U4429,$L$2:$L4429,$L4429)=1,1,0)))</f>
        <v>-</v>
      </c>
      <c r="AA4429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4429" s="188"/>
      <c r="AC4429" s="163"/>
      <c r="AD4429" s="188"/>
      <c r="AE4429" s="65" t="s">
        <v>390</v>
      </c>
    </row>
    <row r="4430" spans="1:31" ht="18" customHeight="1" x14ac:dyDescent="0.25">
      <c r="A443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0" s="73">
        <v>4</v>
      </c>
      <c r="C4430" s="61">
        <v>44879</v>
      </c>
      <c r="D4430" s="67">
        <f>IF(COUNTIF($G$2:$G4430,$G4430)=1,1,0)</f>
        <v>1</v>
      </c>
      <c r="E4430" s="67" t="str">
        <f>IFERROR(VLOOKUP(База_КР_КК[[#This Row],[ИД штатной должности (S)]],'уровень защищенности'!$B$7:$F$1095,5,0),"не защищена")</f>
        <v>высокий</v>
      </c>
      <c r="F4430" s="68">
        <v>500622</v>
      </c>
      <c r="G4430" s="74" t="s">
        <v>3287</v>
      </c>
      <c r="H4430" s="181">
        <f>INDEX('Списки данных'!$D$2:$D$1048576,MATCH(База_КР_КК[[#This Row],[Структурное подразделение]],'Списки данных'!$C$2:$C$1048576,0))</f>
        <v>221</v>
      </c>
      <c r="I4430" s="85" t="s">
        <v>171</v>
      </c>
      <c r="J4430" s="85" t="s">
        <v>266</v>
      </c>
      <c r="K4430" s="85" t="s">
        <v>267</v>
      </c>
      <c r="L4430" s="62" t="s">
        <v>192</v>
      </c>
      <c r="M4430" s="74">
        <v>7</v>
      </c>
      <c r="N4430" s="183" t="str">
        <f t="shared" si="70"/>
        <v>нет</v>
      </c>
      <c r="O4430" s="61"/>
      <c r="P4430" s="61"/>
      <c r="Q4430" s="188"/>
      <c r="R4430" s="45">
        <v>1102</v>
      </c>
      <c r="S4430" s="63" t="s">
        <v>1511</v>
      </c>
      <c r="T4430" s="48">
        <v>2147</v>
      </c>
      <c r="U4430" s="47" t="s">
        <v>1710</v>
      </c>
      <c r="V4430" s="93" t="s">
        <v>272</v>
      </c>
      <c r="W4430" s="88" t="s">
        <v>171</v>
      </c>
      <c r="X4430" s="106" t="s">
        <v>295</v>
      </c>
      <c r="Y4430" s="192" t="s">
        <v>12</v>
      </c>
      <c r="Z4430" s="67">
        <f>IF(База_КР_КК[[#This Row],[Таб.номер резервиста]]="-","-",IF(OR(База_КР_КК[[#This Row],[Уровень КК]]=2,База_КР_КК[[#This Row],[Уровень КК]]=3),IF(COUNTIFS($U$2:$U4430,$U4430,$F$2:$F4430,$F4430)=1,1,0),IF(COUNTIFS($U$2:$U4430,$U4430,$L$2:$L4430,$L4430)=1,1,0)))</f>
        <v>1</v>
      </c>
      <c r="AA443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0" s="188"/>
      <c r="AC4430" s="163"/>
      <c r="AD4430" s="188" t="s">
        <v>15</v>
      </c>
      <c r="AE4430" s="64" t="s">
        <v>322</v>
      </c>
    </row>
    <row r="4431" spans="1:31" ht="18" customHeight="1" x14ac:dyDescent="0.25">
      <c r="A443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1" s="73">
        <v>4</v>
      </c>
      <c r="C4431" s="61">
        <v>44879</v>
      </c>
      <c r="D4431" s="67">
        <f>IF(COUNTIF($G$2:$G4431,$G4431)=1,1,0)</f>
        <v>0</v>
      </c>
      <c r="E4431" s="67" t="str">
        <f>IFERROR(VLOOKUP(База_КР_КК[[#This Row],[ИД штатной должности (S)]],'уровень защищенности'!$B$7:$F$1095,5,0),"не защищена")</f>
        <v>высокий</v>
      </c>
      <c r="F4431" s="68">
        <v>500622</v>
      </c>
      <c r="G4431" s="74" t="s">
        <v>3287</v>
      </c>
      <c r="H4431" s="181">
        <f>INDEX('Списки данных'!$D$2:$D$1048576,MATCH(База_КР_КК[[#This Row],[Структурное подразделение]],'Списки данных'!$C$2:$C$1048576,0))</f>
        <v>221</v>
      </c>
      <c r="I4431" s="85" t="s">
        <v>171</v>
      </c>
      <c r="J4431" s="85" t="s">
        <v>266</v>
      </c>
      <c r="K4431" s="85" t="s">
        <v>267</v>
      </c>
      <c r="L4431" s="62" t="s">
        <v>192</v>
      </c>
      <c r="M4431" s="74">
        <v>7</v>
      </c>
      <c r="N4431" s="183" t="str">
        <f t="shared" si="70"/>
        <v>нет</v>
      </c>
      <c r="O4431" s="61"/>
      <c r="P4431" s="61"/>
      <c r="Q4431" s="188"/>
      <c r="R4431" s="45">
        <v>1102</v>
      </c>
      <c r="S4431" s="63" t="s">
        <v>1511</v>
      </c>
      <c r="T4431" s="48">
        <v>2148</v>
      </c>
      <c r="U4431" s="47" t="s">
        <v>1582</v>
      </c>
      <c r="V4431" s="88" t="s">
        <v>272</v>
      </c>
      <c r="W4431" s="88" t="s">
        <v>171</v>
      </c>
      <c r="X4431" s="106" t="s">
        <v>297</v>
      </c>
      <c r="Y4431" s="192" t="s">
        <v>12</v>
      </c>
      <c r="Z4431" s="67">
        <f>IF(База_КР_КК[[#This Row],[Таб.номер резервиста]]="-","-",IF(OR(База_КР_КК[[#This Row],[Уровень КК]]=2,База_КР_КК[[#This Row],[Уровень КК]]=3),IF(COUNTIFS($U$2:$U4431,$U4431,$F$2:$F4431,$F4431)=1,1,0),IF(COUNTIFS($U$2:$U4431,$U4431,$L$2:$L4431,$L4431)=1,1,0)))</f>
        <v>0</v>
      </c>
      <c r="AA443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1" s="188"/>
      <c r="AC4431" s="163"/>
      <c r="AD4431" s="188" t="s">
        <v>15</v>
      </c>
      <c r="AE4431" s="64" t="s">
        <v>322</v>
      </c>
    </row>
    <row r="4432" spans="1:31" ht="18" customHeight="1" x14ac:dyDescent="0.25">
      <c r="A443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2" s="73">
        <v>3</v>
      </c>
      <c r="C4432" s="61">
        <v>44747</v>
      </c>
      <c r="D4432" s="67">
        <f>IF(COUNTIF($G$2:$G4432,$G4432)=1,1,0)</f>
        <v>1</v>
      </c>
      <c r="E4432" s="67" t="str">
        <f>IFERROR(VLOOKUP(База_КР_КК[[#This Row],[ИД штатной должности (S)]],'уровень защищенности'!$B$7:$F$1095,5,0),"не защищена")</f>
        <v>средний</v>
      </c>
      <c r="F4432" s="68">
        <v>500641</v>
      </c>
      <c r="G4432" s="74" t="s">
        <v>3288</v>
      </c>
      <c r="H4432" s="181">
        <f>INDEX('Списки данных'!$D$2:$D$1048576,MATCH(База_КР_КК[[#This Row],[Структурное подразделение]],'Списки данных'!$C$2:$C$1048576,0))</f>
        <v>51</v>
      </c>
      <c r="I4432" s="85" t="s">
        <v>134</v>
      </c>
      <c r="J4432" s="165" t="s">
        <v>257</v>
      </c>
      <c r="K4432" s="80" t="s">
        <v>21</v>
      </c>
      <c r="L4432" s="62" t="s">
        <v>186</v>
      </c>
      <c r="M4432" s="74">
        <v>6</v>
      </c>
      <c r="N4432" s="183" t="str">
        <f t="shared" si="70"/>
        <v>нет</v>
      </c>
      <c r="O4432" s="61"/>
      <c r="P4432" s="61"/>
      <c r="Q4432" s="188"/>
      <c r="R4432" s="45">
        <v>1103</v>
      </c>
      <c r="S4432" s="64" t="s">
        <v>1512</v>
      </c>
      <c r="T4432" s="48">
        <v>1105</v>
      </c>
      <c r="U4432" s="47" t="s">
        <v>1514</v>
      </c>
      <c r="V4432" s="93" t="s">
        <v>198</v>
      </c>
      <c r="W4432" s="88" t="s">
        <v>134</v>
      </c>
      <c r="X4432" s="106" t="s">
        <v>297</v>
      </c>
      <c r="Y4432" s="192" t="s">
        <v>12</v>
      </c>
      <c r="Z4432" s="67">
        <f>IF(База_КР_КК[[#This Row],[Таб.номер резервиста]]="-","-",IF(OR(База_КР_КК[[#This Row],[Уровень КК]]=2,База_КР_КК[[#This Row],[Уровень КК]]=3),IF(COUNTIFS($U$2:$U4432,$U4432,$F$2:$F4432,$F4432)=1,1,0),IF(COUNTIFS($U$2:$U4432,$U4432,$L$2:$L4432,$L4432)=1,1,0)))</f>
        <v>1</v>
      </c>
      <c r="AA443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2" s="188"/>
      <c r="AC4432" s="163"/>
      <c r="AD4432" s="188" t="s">
        <v>15</v>
      </c>
      <c r="AE4432" s="64" t="s">
        <v>389</v>
      </c>
    </row>
    <row r="4433" spans="1:31" ht="18" customHeight="1" x14ac:dyDescent="0.25">
      <c r="A443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3" s="73">
        <v>4</v>
      </c>
      <c r="C4433" s="61">
        <v>44896</v>
      </c>
      <c r="D4433" s="67">
        <f>IF(COUNTIF($G$2:$G4433,$G4433)=1,1,0)</f>
        <v>1</v>
      </c>
      <c r="E4433" s="67" t="str">
        <f>IFERROR(VLOOKUP(База_КР_КК[[#This Row],[ИД штатной должности (S)]],'уровень защищенности'!$B$7:$F$1095,5,0),"не защищена")</f>
        <v>средний</v>
      </c>
      <c r="F4433" s="68">
        <v>500639</v>
      </c>
      <c r="G4433" s="74" t="s">
        <v>3289</v>
      </c>
      <c r="H4433" s="181">
        <f>INDEX('Списки данных'!$D$2:$D$1048576,MATCH(База_КР_КК[[#This Row],[Структурное подразделение]],'Списки данных'!$C$2:$C$1048576,0))</f>
        <v>51</v>
      </c>
      <c r="I4433" s="85" t="s">
        <v>134</v>
      </c>
      <c r="J4433" s="165" t="s">
        <v>257</v>
      </c>
      <c r="K4433" s="104" t="s">
        <v>260</v>
      </c>
      <c r="L4433" s="104" t="s">
        <v>192</v>
      </c>
      <c r="M4433" s="74">
        <v>7</v>
      </c>
      <c r="N4433" s="183" t="str">
        <f t="shared" si="70"/>
        <v>нет</v>
      </c>
      <c r="O4433" s="61"/>
      <c r="P4433" s="61"/>
      <c r="Q4433" s="188"/>
      <c r="R4433" s="45">
        <v>1104</v>
      </c>
      <c r="S4433" s="45" t="s">
        <v>1513</v>
      </c>
      <c r="T4433" s="48">
        <v>2149</v>
      </c>
      <c r="U4433" s="48" t="s">
        <v>1986</v>
      </c>
      <c r="V4433" s="93" t="s">
        <v>272</v>
      </c>
      <c r="W4433" s="88" t="s">
        <v>134</v>
      </c>
      <c r="X4433" s="106" t="s">
        <v>297</v>
      </c>
      <c r="Y4433" s="192" t="s">
        <v>12</v>
      </c>
      <c r="Z4433" s="67">
        <f>IF(База_КР_КК[[#This Row],[Таб.номер резервиста]]="-","-",IF(OR(База_КР_КК[[#This Row],[Уровень КК]]=2,База_КР_КК[[#This Row],[Уровень КК]]=3),IF(COUNTIFS($U$2:$U4433,$U4433,$F$2:$F4433,$F4433)=1,1,0),IF(COUNTIFS($U$2:$U4433,$U4433,$L$2:$L4433,$L4433)=1,1,0)))</f>
        <v>1</v>
      </c>
      <c r="AA443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3" s="188"/>
      <c r="AC4433" s="163"/>
      <c r="AD4433" s="188" t="s">
        <v>15</v>
      </c>
      <c r="AE4433" s="65" t="s">
        <v>390</v>
      </c>
    </row>
    <row r="4434" spans="1:31" ht="18" customHeight="1" x14ac:dyDescent="0.25">
      <c r="A443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4" s="73">
        <v>4</v>
      </c>
      <c r="C4434" s="61">
        <v>44190</v>
      </c>
      <c r="D4434" s="67">
        <f>IF(COUNTIF($G$2:$G4434,$G4434)=1,1,0)</f>
        <v>0</v>
      </c>
      <c r="E4434" s="67" t="str">
        <f>IFERROR(VLOOKUP(База_КР_КК[[#This Row],[ИД штатной должности (S)]],'уровень защищенности'!$B$7:$F$1095,5,0),"не защищена")</f>
        <v>средний</v>
      </c>
      <c r="F4434" s="68">
        <v>500639</v>
      </c>
      <c r="G4434" s="74" t="s">
        <v>3289</v>
      </c>
      <c r="H4434" s="181">
        <f>INDEX('Списки данных'!$D$2:$D$1048576,MATCH(База_КР_КК[[#This Row],[Структурное подразделение]],'Списки данных'!$C$2:$C$1048576,0))</f>
        <v>51</v>
      </c>
      <c r="I4434" s="85" t="s">
        <v>134</v>
      </c>
      <c r="J4434" s="165" t="s">
        <v>257</v>
      </c>
      <c r="K4434" s="104" t="s">
        <v>260</v>
      </c>
      <c r="L4434" s="104" t="s">
        <v>192</v>
      </c>
      <c r="M4434" s="74">
        <v>7</v>
      </c>
      <c r="N4434" s="183" t="str">
        <f t="shared" si="70"/>
        <v>нет</v>
      </c>
      <c r="O4434" s="61"/>
      <c r="P4434" s="61"/>
      <c r="Q4434" s="188"/>
      <c r="R4434" s="45">
        <v>1104</v>
      </c>
      <c r="S4434" s="45" t="s">
        <v>1513</v>
      </c>
      <c r="T4434" s="45">
        <v>2149</v>
      </c>
      <c r="U4434" s="45" t="s">
        <v>1986</v>
      </c>
      <c r="V4434" s="93" t="s">
        <v>272</v>
      </c>
      <c r="W4434" s="88" t="s">
        <v>134</v>
      </c>
      <c r="X4434" s="106" t="s">
        <v>297</v>
      </c>
      <c r="Y4434" s="192" t="s">
        <v>18</v>
      </c>
      <c r="Z4434" s="67">
        <f>IF(База_КР_КК[[#This Row],[Таб.номер резервиста]]="-","-",IF(OR(База_КР_КК[[#This Row],[Уровень КК]]=2,База_КР_КК[[#This Row],[Уровень КК]]=3),IF(COUNTIFS($U$2:$U4434,$U4434,$F$2:$F4434,$F4434)=1,1,0),IF(COUNTIFS($U$2:$U4434,$U4434,$L$2:$L4434,$L4434)=1,1,0)))</f>
        <v>0</v>
      </c>
      <c r="AA443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4" s="188" t="s">
        <v>20</v>
      </c>
      <c r="AC4434" s="163">
        <v>44511</v>
      </c>
      <c r="AD4434" s="188" t="s">
        <v>15</v>
      </c>
      <c r="AE4434" s="64" t="s">
        <v>394</v>
      </c>
    </row>
    <row r="4435" spans="1:31" ht="18" customHeight="1" x14ac:dyDescent="0.25">
      <c r="A443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5" s="73">
        <v>4</v>
      </c>
      <c r="C4435" s="61">
        <v>44190</v>
      </c>
      <c r="D4435" s="67">
        <f>IF(COUNTIF($G$2:$G4435,$G4435)=1,1,0)</f>
        <v>1</v>
      </c>
      <c r="E4435" s="67" t="str">
        <f>IFERROR(VLOOKUP(База_КР_КК[[#This Row],[ИД штатной должности (S)]],'уровень защищенности'!$B$7:$F$1095,5,0),"не защищена")</f>
        <v>средний</v>
      </c>
      <c r="F4435" s="68">
        <v>500640</v>
      </c>
      <c r="G4435" s="74" t="s">
        <v>3290</v>
      </c>
      <c r="H4435" s="181">
        <f>INDEX('Списки данных'!$D$2:$D$1048576,MATCH(База_КР_КК[[#This Row],[Структурное подразделение]],'Списки данных'!$C$2:$C$1048576,0))</f>
        <v>51</v>
      </c>
      <c r="I4435" s="85" t="s">
        <v>134</v>
      </c>
      <c r="J4435" s="85" t="s">
        <v>257</v>
      </c>
      <c r="K4435" s="85" t="s">
        <v>260</v>
      </c>
      <c r="L4435" s="62" t="s">
        <v>198</v>
      </c>
      <c r="M4435" s="74">
        <v>7</v>
      </c>
      <c r="N4435" s="183" t="str">
        <f t="shared" si="70"/>
        <v>да</v>
      </c>
      <c r="O4435" s="61">
        <v>44682</v>
      </c>
      <c r="P4435" s="61">
        <v>44687</v>
      </c>
      <c r="Q4435" s="188" t="s">
        <v>49</v>
      </c>
      <c r="R4435" s="45">
        <v>1105</v>
      </c>
      <c r="S4435" s="45" t="s">
        <v>1514</v>
      </c>
      <c r="T4435" s="45">
        <v>1104</v>
      </c>
      <c r="U4435" s="45" t="s">
        <v>1513</v>
      </c>
      <c r="V4435" s="88" t="s">
        <v>192</v>
      </c>
      <c r="W4435" s="88" t="s">
        <v>134</v>
      </c>
      <c r="X4435" s="106" t="s">
        <v>297</v>
      </c>
      <c r="Y4435" s="192" t="s">
        <v>12</v>
      </c>
      <c r="Z4435" s="67">
        <f>IF(База_КР_КК[[#This Row],[Таб.номер резервиста]]="-","-",IF(OR(База_КР_КК[[#This Row],[Уровень КК]]=2,База_КР_КК[[#This Row],[Уровень КК]]=3),IF(COUNTIFS($U$2:$U4435,$U4435,$F$2:$F4435,$F4435)=1,1,0),IF(COUNTIFS($U$2:$U4435,$U4435,$L$2:$L4435,$L4435)=1,1,0)))</f>
        <v>1</v>
      </c>
      <c r="AA443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5" s="188"/>
      <c r="AC4435" s="163"/>
      <c r="AD4435" s="188" t="s">
        <v>13</v>
      </c>
      <c r="AE4435" s="65" t="s">
        <v>390</v>
      </c>
    </row>
    <row r="4436" spans="1:31" ht="18" customHeight="1" x14ac:dyDescent="0.25">
      <c r="A443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6" s="73">
        <v>4</v>
      </c>
      <c r="C4436" s="61">
        <v>44896</v>
      </c>
      <c r="D4436" s="67">
        <f>IF(COUNTIF($G$2:$G4436,$G4436)=1,1,0)</f>
        <v>1</v>
      </c>
      <c r="E4436" s="67" t="str">
        <f>IFERROR(VLOOKUP(База_КР_КК[[#This Row],[ИД штатной должности (S)]],'уровень защищенности'!$B$7:$F$1095,5,0),"не защищена")</f>
        <v>не защищена</v>
      </c>
      <c r="F4436" s="68">
        <v>500642</v>
      </c>
      <c r="G4436" s="74" t="s">
        <v>3291</v>
      </c>
      <c r="H4436" s="181">
        <f>INDEX('Списки данных'!$D$2:$D$1048576,MATCH(База_КР_КК[[#This Row],[Структурное подразделение]],'Списки данных'!$C$2:$C$1048576,0))</f>
        <v>51</v>
      </c>
      <c r="I4436" s="85" t="s">
        <v>134</v>
      </c>
      <c r="J4436" s="85" t="s">
        <v>257</v>
      </c>
      <c r="K4436" s="85" t="s">
        <v>260</v>
      </c>
      <c r="L4436" s="104" t="s">
        <v>192</v>
      </c>
      <c r="M4436" s="74">
        <v>7</v>
      </c>
      <c r="N4436" s="183" t="str">
        <f t="shared" si="70"/>
        <v>нет</v>
      </c>
      <c r="O4436" s="61"/>
      <c r="P4436" s="61"/>
      <c r="Q4436" s="106"/>
      <c r="R4436" s="45">
        <v>1106</v>
      </c>
      <c r="S4436" s="45" t="s">
        <v>1515</v>
      </c>
      <c r="T4436" s="37" t="s">
        <v>21</v>
      </c>
      <c r="U4436" s="37" t="s">
        <v>21</v>
      </c>
      <c r="V4436" s="88" t="s">
        <v>21</v>
      </c>
      <c r="W4436" s="88" t="s">
        <v>21</v>
      </c>
      <c r="X4436" s="188"/>
      <c r="Y4436" s="192"/>
      <c r="Z4436" s="67" t="str">
        <f>IF(База_КР_КК[[#This Row],[Таб.номер резервиста]]="-","-",IF(OR(База_КР_КК[[#This Row],[Уровень КК]]=2,База_КР_КК[[#This Row],[Уровень КК]]=3),IF(COUNTIFS($U$2:$U4436,$U4436,$F$2:$F4436,$F4436)=1,1,0),IF(COUNTIFS($U$2:$U4436,$U4436,$L$2:$L4436,$L4436)=1,1,0)))</f>
        <v>-</v>
      </c>
      <c r="AA4436" s="181" t="str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-</v>
      </c>
      <c r="AB4436" s="188"/>
      <c r="AC4436" s="163"/>
      <c r="AD4436" s="188"/>
      <c r="AE4436" s="65" t="s">
        <v>390</v>
      </c>
    </row>
    <row r="4437" spans="1:31" ht="18" customHeight="1" x14ac:dyDescent="0.25">
      <c r="A443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7" s="73">
        <v>3</v>
      </c>
      <c r="C4437" s="61">
        <v>44743</v>
      </c>
      <c r="D4437" s="67">
        <f>IF(COUNTIF($G$2:$G4437,$G4437)=1,1,0)</f>
        <v>1</v>
      </c>
      <c r="E4437" s="67" t="str">
        <f>IFERROR(VLOOKUP(База_КР_КК[[#This Row],[ИД штатной должности (S)]],'уровень защищенности'!$B$7:$F$1095,5,0),"не защищена")</f>
        <v>средний</v>
      </c>
      <c r="F4437" s="68">
        <v>500644</v>
      </c>
      <c r="G4437" s="74" t="s">
        <v>3292</v>
      </c>
      <c r="H4437" s="181">
        <f>INDEX('Списки данных'!$D$2:$D$1048576,MATCH(База_КР_КК[[#This Row],[Структурное подразделение]],'Списки данных'!$C$2:$C$1048576,0))</f>
        <v>110</v>
      </c>
      <c r="I4437" s="85" t="s">
        <v>130</v>
      </c>
      <c r="J4437" s="85" t="s">
        <v>268</v>
      </c>
      <c r="K4437" s="85" t="s">
        <v>269</v>
      </c>
      <c r="L4437" s="62" t="s">
        <v>187</v>
      </c>
      <c r="M4437" s="74">
        <v>6</v>
      </c>
      <c r="N4437" s="183" t="str">
        <f t="shared" si="70"/>
        <v>нет</v>
      </c>
      <c r="O4437" s="61"/>
      <c r="P4437" s="61"/>
      <c r="Q4437" s="188"/>
      <c r="R4437" s="45">
        <v>1107</v>
      </c>
      <c r="S4437" s="64" t="s">
        <v>1516</v>
      </c>
      <c r="T4437" s="45">
        <v>2150</v>
      </c>
      <c r="U4437" s="64" t="s">
        <v>1967</v>
      </c>
      <c r="V4437" s="93" t="s">
        <v>189</v>
      </c>
      <c r="W4437" s="88" t="s">
        <v>130</v>
      </c>
      <c r="X4437" s="106" t="s">
        <v>297</v>
      </c>
      <c r="Y4437" s="192" t="s">
        <v>12</v>
      </c>
      <c r="Z4437" s="67">
        <f>IF(База_КР_КК[[#This Row],[Таб.номер резервиста]]="-","-",IF(OR(База_КР_КК[[#This Row],[Уровень КК]]=2,База_КР_КК[[#This Row],[Уровень КК]]=3),IF(COUNTIFS($U$2:$U4437,$U4437,$F$2:$F4437,$F4437)=1,1,0),IF(COUNTIFS($U$2:$U4437,$U4437,$L$2:$L4437,$L4437)=1,1,0)))</f>
        <v>1</v>
      </c>
      <c r="AA443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7" s="188"/>
      <c r="AC4437" s="163"/>
      <c r="AD4437" s="188" t="s">
        <v>15</v>
      </c>
      <c r="AE4437" s="64" t="s">
        <v>369</v>
      </c>
    </row>
    <row r="4438" spans="1:31" ht="18" customHeight="1" x14ac:dyDescent="0.25">
      <c r="A443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8" s="73">
        <v>3</v>
      </c>
      <c r="C4438" s="61">
        <v>44743</v>
      </c>
      <c r="D4438" s="67">
        <f>IF(COUNTIF($G$2:$G4438,$G4438)=1,1,0)</f>
        <v>0</v>
      </c>
      <c r="E4438" s="67" t="str">
        <f>IFERROR(VLOOKUP(База_КР_КК[[#This Row],[ИД штатной должности (S)]],'уровень защищенности'!$B$7:$F$1095,5,0),"не защищена")</f>
        <v>средний</v>
      </c>
      <c r="F4438" s="68">
        <v>500644</v>
      </c>
      <c r="G4438" s="74" t="s">
        <v>3292</v>
      </c>
      <c r="H4438" s="181">
        <f>INDEX('Списки данных'!$D$2:$D$1048576,MATCH(База_КР_КК[[#This Row],[Структурное подразделение]],'Списки данных'!$C$2:$C$1048576,0))</f>
        <v>110</v>
      </c>
      <c r="I4438" s="85" t="s">
        <v>130</v>
      </c>
      <c r="J4438" s="85" t="s">
        <v>268</v>
      </c>
      <c r="K4438" s="85" t="s">
        <v>269</v>
      </c>
      <c r="L4438" s="62" t="s">
        <v>187</v>
      </c>
      <c r="M4438" s="74">
        <v>6</v>
      </c>
      <c r="N4438" s="183" t="str">
        <f t="shared" si="70"/>
        <v>нет</v>
      </c>
      <c r="O4438" s="61"/>
      <c r="P4438" s="61"/>
      <c r="Q4438" s="188"/>
      <c r="R4438" s="45">
        <v>1107</v>
      </c>
      <c r="S4438" s="64" t="s">
        <v>1516</v>
      </c>
      <c r="T4438" s="45">
        <v>2151</v>
      </c>
      <c r="U4438" s="64" t="s">
        <v>2001</v>
      </c>
      <c r="V4438" s="93" t="s">
        <v>189</v>
      </c>
      <c r="W4438" s="88" t="s">
        <v>130</v>
      </c>
      <c r="X4438" s="106" t="s">
        <v>296</v>
      </c>
      <c r="Y4438" s="192" t="s">
        <v>12</v>
      </c>
      <c r="Z4438" s="67">
        <f>IF(База_КР_КК[[#This Row],[Таб.номер резервиста]]="-","-",IF(OR(База_КР_КК[[#This Row],[Уровень КК]]=2,База_КР_КК[[#This Row],[Уровень КК]]=3),IF(COUNTIFS($U$2:$U4438,$U4438,$F$2:$F4438,$F4438)=1,1,0),IF(COUNTIFS($U$2:$U4438,$U4438,$L$2:$L4438,$L4438)=1,1,0)))</f>
        <v>1</v>
      </c>
      <c r="AA443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8" s="188"/>
      <c r="AC4438" s="163"/>
      <c r="AD4438" s="188" t="s">
        <v>15</v>
      </c>
      <c r="AE4438" s="64" t="s">
        <v>369</v>
      </c>
    </row>
    <row r="4439" spans="1:31" ht="18" customHeight="1" x14ac:dyDescent="0.25">
      <c r="A443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39" s="73">
        <v>3</v>
      </c>
      <c r="C4439" s="61">
        <v>43455</v>
      </c>
      <c r="D4439" s="67">
        <f>IF(COUNTIF($G$2:$G4439,$G4439)=1,1,0)</f>
        <v>1</v>
      </c>
      <c r="E4439" s="67" t="str">
        <f>IFERROR(VLOOKUP(База_КР_КК[[#This Row],[ИД штатной должности (S)]],'уровень защищенности'!$B$7:$F$1095,5,0),"не защищена")</f>
        <v>средний</v>
      </c>
      <c r="F4439" s="68">
        <v>500719</v>
      </c>
      <c r="G4439" s="74" t="s">
        <v>3293</v>
      </c>
      <c r="H4439" s="181">
        <f>INDEX('Списки данных'!$D$2:$D$1048576,MATCH(База_КР_КК[[#This Row],[Структурное подразделение]],'Списки данных'!$C$2:$C$1048576,0))</f>
        <v>49</v>
      </c>
      <c r="I4439" s="85" t="s">
        <v>147</v>
      </c>
      <c r="J4439" s="85" t="s">
        <v>256</v>
      </c>
      <c r="K4439" s="80" t="s">
        <v>21</v>
      </c>
      <c r="L4439" s="62" t="s">
        <v>198</v>
      </c>
      <c r="M4439" s="74">
        <v>6</v>
      </c>
      <c r="N4439" s="183" t="str">
        <f t="shared" si="70"/>
        <v>да</v>
      </c>
      <c r="O4439" s="61">
        <v>44806</v>
      </c>
      <c r="P4439" s="61">
        <v>44808</v>
      </c>
      <c r="Q4439" s="106" t="s">
        <v>57</v>
      </c>
      <c r="R4439" s="45">
        <v>1108</v>
      </c>
      <c r="S4439" s="64" t="s">
        <v>1517</v>
      </c>
      <c r="T4439" s="45">
        <v>2152</v>
      </c>
      <c r="U4439" s="64" t="s">
        <v>2144</v>
      </c>
      <c r="V4439" s="93" t="s">
        <v>16</v>
      </c>
      <c r="W4439" s="88" t="s">
        <v>147</v>
      </c>
      <c r="X4439" s="106" t="s">
        <v>297</v>
      </c>
      <c r="Y4439" s="192" t="s">
        <v>12</v>
      </c>
      <c r="Z4439" s="67">
        <f>IF(База_КР_КК[[#This Row],[Таб.номер резервиста]]="-","-",IF(OR(База_КР_КК[[#This Row],[Уровень КК]]=2,База_КР_КК[[#This Row],[Уровень КК]]=3),IF(COUNTIFS($U$2:$U4439,$U4439,$F$2:$F4439,$F4439)=1,1,0),IF(COUNTIFS($U$2:$U4439,$U4439,$L$2:$L4439,$L4439)=1,1,0)))</f>
        <v>1</v>
      </c>
      <c r="AA443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39" s="188"/>
      <c r="AC4439" s="163"/>
      <c r="AD4439" s="188" t="s">
        <v>22</v>
      </c>
      <c r="AE4439" s="64" t="s">
        <v>389</v>
      </c>
    </row>
    <row r="4440" spans="1:31" ht="18" customHeight="1" x14ac:dyDescent="0.25">
      <c r="A444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40" s="73">
        <v>3</v>
      </c>
      <c r="C4440" s="61">
        <v>43455</v>
      </c>
      <c r="D4440" s="67">
        <f>IF(COUNTIF($G$2:$G4440,$G4440)=1,1,0)</f>
        <v>0</v>
      </c>
      <c r="E4440" s="67" t="str">
        <f>IFERROR(VLOOKUP(База_КР_КК[[#This Row],[ИД штатной должности (S)]],'уровень защищенности'!$B$7:$F$1095,5,0),"не защищена")</f>
        <v>средний</v>
      </c>
      <c r="F4440" s="68">
        <v>500719</v>
      </c>
      <c r="G4440" s="74" t="s">
        <v>3293</v>
      </c>
      <c r="H4440" s="181">
        <f>INDEX('Списки данных'!$D$2:$D$1048576,MATCH(База_КР_КК[[#This Row],[Структурное подразделение]],'Списки данных'!$C$2:$C$1048576,0))</f>
        <v>49</v>
      </c>
      <c r="I4440" s="85" t="s">
        <v>147</v>
      </c>
      <c r="J4440" s="85" t="s">
        <v>256</v>
      </c>
      <c r="K4440" s="80" t="s">
        <v>21</v>
      </c>
      <c r="L4440" s="62" t="s">
        <v>198</v>
      </c>
      <c r="M4440" s="74">
        <v>6</v>
      </c>
      <c r="N4440" s="183" t="str">
        <f t="shared" si="70"/>
        <v>да</v>
      </c>
      <c r="O4440" s="61">
        <v>44806</v>
      </c>
      <c r="P4440" s="61">
        <v>44808</v>
      </c>
      <c r="Q4440" s="106" t="s">
        <v>57</v>
      </c>
      <c r="R4440" s="45">
        <v>1108</v>
      </c>
      <c r="S4440" s="64" t="s">
        <v>1517</v>
      </c>
      <c r="T4440" s="45">
        <v>1109</v>
      </c>
      <c r="U4440" s="64" t="s">
        <v>1518</v>
      </c>
      <c r="V4440" s="93" t="s">
        <v>192</v>
      </c>
      <c r="W4440" s="88" t="s">
        <v>147</v>
      </c>
      <c r="X4440" s="106" t="s">
        <v>296</v>
      </c>
      <c r="Y4440" s="192" t="s">
        <v>12</v>
      </c>
      <c r="Z4440" s="67">
        <f>IF(База_КР_КК[[#This Row],[Таб.номер резервиста]]="-","-",IF(OR(База_КР_КК[[#This Row],[Уровень КК]]=2,База_КР_КК[[#This Row],[Уровень КК]]=3),IF(COUNTIFS($U$2:$U4440,$U4440,$F$2:$F4440,$F4440)=1,1,0),IF(COUNTIFS($U$2:$U4440,$U4440,$L$2:$L4440,$L4440)=1,1,0)))</f>
        <v>1</v>
      </c>
      <c r="AA444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0" s="188"/>
      <c r="AC4440" s="163"/>
      <c r="AD4440" s="188" t="s">
        <v>15</v>
      </c>
      <c r="AE4440" s="64" t="s">
        <v>392</v>
      </c>
    </row>
    <row r="4441" spans="1:31" ht="18" customHeight="1" x14ac:dyDescent="0.25">
      <c r="A444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41" s="73">
        <v>4</v>
      </c>
      <c r="C4441" s="61">
        <v>44525</v>
      </c>
      <c r="D4441" s="67">
        <f>IF(COUNTIF($G$2:$G4441,$G4441)=1,1,0)</f>
        <v>1</v>
      </c>
      <c r="E4441" s="67" t="str">
        <f>IFERROR(VLOOKUP(База_КР_КК[[#This Row],[ИД штатной должности (S)]],'уровень защищенности'!$B$7:$F$1095,5,0),"не защищена")</f>
        <v>средний</v>
      </c>
      <c r="F4441" s="68">
        <v>500720</v>
      </c>
      <c r="G4441" s="74" t="s">
        <v>3294</v>
      </c>
      <c r="H4441" s="181">
        <f>INDEX('Списки данных'!$D$2:$D$1048576,MATCH(База_КР_КК[[#This Row],[Структурное подразделение]],'Списки данных'!$C$2:$C$1048576,0))</f>
        <v>49</v>
      </c>
      <c r="I4441" s="85" t="s">
        <v>147</v>
      </c>
      <c r="J4441" s="85" t="s">
        <v>256</v>
      </c>
      <c r="K4441" s="80" t="s">
        <v>21</v>
      </c>
      <c r="L4441" s="104" t="s">
        <v>192</v>
      </c>
      <c r="M4441" s="74">
        <v>7</v>
      </c>
      <c r="N4441" s="183" t="str">
        <f t="shared" si="70"/>
        <v>нет</v>
      </c>
      <c r="O4441" s="61"/>
      <c r="P4441" s="61"/>
      <c r="Q4441" s="188"/>
      <c r="R4441" s="45">
        <v>1109</v>
      </c>
      <c r="S4441" s="45" t="s">
        <v>1518</v>
      </c>
      <c r="T4441" s="45">
        <v>2153</v>
      </c>
      <c r="U4441" s="45" t="s">
        <v>1710</v>
      </c>
      <c r="V4441" s="93" t="s">
        <v>272</v>
      </c>
      <c r="W4441" s="88" t="s">
        <v>147</v>
      </c>
      <c r="X4441" s="106" t="s">
        <v>297</v>
      </c>
      <c r="Y4441" s="192" t="s">
        <v>12</v>
      </c>
      <c r="Z4441" s="67">
        <f>IF(База_КР_КК[[#This Row],[Таб.номер резервиста]]="-","-",IF(OR(База_КР_КК[[#This Row],[Уровень КК]]=2,База_КР_КК[[#This Row],[Уровень КК]]=3),IF(COUNTIFS($U$2:$U4441,$U4441,$F$2:$F4441,$F4441)=1,1,0),IF(COUNTIFS($U$2:$U4441,$U4441,$L$2:$L4441,$L4441)=1,1,0)))</f>
        <v>0</v>
      </c>
      <c r="AA444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1" s="188"/>
      <c r="AC4441" s="163"/>
      <c r="AD4441" s="188" t="s">
        <v>17</v>
      </c>
      <c r="AE4441" s="64" t="s">
        <v>356</v>
      </c>
    </row>
    <row r="4442" spans="1:31" ht="18" customHeight="1" x14ac:dyDescent="0.25">
      <c r="A444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13</v>
      </c>
      <c r="B4442" s="76">
        <v>4</v>
      </c>
      <c r="C4442" s="28">
        <v>44525</v>
      </c>
      <c r="D4442" s="67">
        <f>IF(COUNTIF($G$2:$G4442,$G4442)=1,1,0)</f>
        <v>1</v>
      </c>
      <c r="E4442" s="182" t="str">
        <f>IFERROR(VLOOKUP(База_КР_КК[[#This Row],[ИД штатной должности (S)]],'уровень защищенности'!$B$7:$F$1095,5,0),"не защищена")</f>
        <v>средний</v>
      </c>
      <c r="F4442" s="68">
        <v>500721</v>
      </c>
      <c r="G4442" s="77" t="s">
        <v>3295</v>
      </c>
      <c r="H4442" s="181">
        <f>INDEX('Списки данных'!$D$2:$D$1048576,MATCH(База_КР_КК[[#This Row],[Структурное подразделение]],'Списки данных'!$C$2:$C$1048576,0))</f>
        <v>49</v>
      </c>
      <c r="I4442" s="84" t="s">
        <v>147</v>
      </c>
      <c r="J4442" s="84" t="s">
        <v>256</v>
      </c>
      <c r="K4442" s="80" t="s">
        <v>21</v>
      </c>
      <c r="L4442" s="103" t="s">
        <v>192</v>
      </c>
      <c r="M4442" s="77">
        <v>7</v>
      </c>
      <c r="N4442" s="183" t="str">
        <f t="shared" si="70"/>
        <v>нет</v>
      </c>
      <c r="O4442" s="28"/>
      <c r="P4442" s="28"/>
      <c r="Q4442" s="66"/>
      <c r="R4442" s="48">
        <v>1110</v>
      </c>
      <c r="S4442" s="48" t="s">
        <v>1519</v>
      </c>
      <c r="T4442" s="45">
        <v>2154</v>
      </c>
      <c r="U4442" s="45" t="s">
        <v>1866</v>
      </c>
      <c r="V4442" s="96" t="s">
        <v>272</v>
      </c>
      <c r="W4442" s="91" t="s">
        <v>147</v>
      </c>
      <c r="X4442" s="106" t="s">
        <v>297</v>
      </c>
      <c r="Y4442" s="191" t="s">
        <v>12</v>
      </c>
      <c r="Z4442" s="67">
        <f>IF(База_КР_КК[[#This Row],[Таб.номер резервиста]]="-","-",IF(OR(База_КР_КК[[#This Row],[Уровень КК]]=2,База_КР_КК[[#This Row],[Уровень КК]]=3),IF(COUNTIFS($U$2:$U4442,$U4442,$F$2:$F4442,$F4442)=1,1,0),IF(COUNTIFS($U$2:$U4442,$U4442,$L$2:$L4442,$L4442)=1,1,0)))</f>
        <v>1</v>
      </c>
      <c r="AA444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2" s="66"/>
      <c r="AC4442" s="162"/>
      <c r="AD4442" s="66" t="s">
        <v>17</v>
      </c>
      <c r="AE4442" s="47" t="s">
        <v>356</v>
      </c>
    </row>
    <row r="4443" spans="1:31" s="108" customFormat="1" ht="18" customHeight="1" x14ac:dyDescent="0.25">
      <c r="A444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43" s="76">
        <v>4</v>
      </c>
      <c r="C4443" s="28">
        <v>45071</v>
      </c>
      <c r="D4443" s="67">
        <f>IF(COUNTIF($G$2:$G4443,$G4443)=1,1,0)</f>
        <v>0</v>
      </c>
      <c r="E4443" s="182" t="str">
        <f>IFERROR(VLOOKUP(База_КР_КК[[#This Row],[ИД штатной должности (S)]],'уровень защищенности'!$B$7:$F$1095,5,0),"не защищена")</f>
        <v>средний</v>
      </c>
      <c r="F4443" s="68">
        <v>500186</v>
      </c>
      <c r="G4443" s="77" t="s">
        <v>2392</v>
      </c>
      <c r="H4443" s="181">
        <f>INDEX('Списки данных'!$D$2:$D$1048576,MATCH(База_КР_КК[[#This Row],[Структурное подразделение]],'Списки данных'!$C$2:$C$1048576,0))</f>
        <v>28</v>
      </c>
      <c r="I4443" s="103" t="s">
        <v>164</v>
      </c>
      <c r="J4443" s="103" t="s">
        <v>207</v>
      </c>
      <c r="K4443" s="103" t="s">
        <v>208</v>
      </c>
      <c r="L4443" s="32" t="s">
        <v>191</v>
      </c>
      <c r="M4443" s="77">
        <v>7</v>
      </c>
      <c r="N4443" s="183" t="str">
        <f t="shared" ref="N4443:N4469" si="71">IF(ISBLANK(O4443),"нет","да")</f>
        <v>нет</v>
      </c>
      <c r="O4443" s="23"/>
      <c r="P4443" s="23"/>
      <c r="Q4443" s="106"/>
      <c r="R4443" s="37">
        <v>232</v>
      </c>
      <c r="S4443" s="38" t="s">
        <v>644</v>
      </c>
      <c r="T4443" s="48">
        <v>1317</v>
      </c>
      <c r="U4443" s="47" t="s">
        <v>1713</v>
      </c>
      <c r="V4443" s="96" t="s">
        <v>272</v>
      </c>
      <c r="W4443" s="91" t="s">
        <v>164</v>
      </c>
      <c r="X4443" s="106" t="s">
        <v>296</v>
      </c>
      <c r="Y4443" s="49" t="s">
        <v>12</v>
      </c>
      <c r="Z4443" s="67">
        <f>IF(База_КР_КК[[#This Row],[Таб.номер резервиста]]="-","-",IF(OR(База_КР_КК[[#This Row],[Уровень КК]]=2,База_КР_КК[[#This Row],[Уровень КК]]=3),IF(COUNTIFS($U$2:$U4443,$U4443,$F$2:$F4443,$F4443)=1,1,0),IF(COUNTIFS($U$2:$U4443,$U4443,$L$2:$L4443,$L4443)=1,1,0)))</f>
        <v>0</v>
      </c>
      <c r="AA444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3" s="102"/>
      <c r="AC4443" s="78"/>
      <c r="AD4443" s="106" t="s">
        <v>15</v>
      </c>
      <c r="AE4443" s="47" t="s">
        <v>335</v>
      </c>
    </row>
    <row r="4444" spans="1:31" s="108" customFormat="1" ht="18" customHeight="1" x14ac:dyDescent="0.25">
      <c r="A444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44" s="76">
        <v>4</v>
      </c>
      <c r="C4444" s="28">
        <v>45071</v>
      </c>
      <c r="D4444" s="67">
        <f>IF(COUNTIF($G$2:$G4444,$G4444)=1,1,0)</f>
        <v>0</v>
      </c>
      <c r="E4444" s="182" t="str">
        <f>IFERROR(VLOOKUP(База_КР_КК[[#This Row],[ИД штатной должности (S)]],'уровень защищенности'!$B$7:$F$1095,5,0),"не защищена")</f>
        <v>средний</v>
      </c>
      <c r="F4444" s="68">
        <v>500186</v>
      </c>
      <c r="G4444" s="77" t="s">
        <v>2393</v>
      </c>
      <c r="H4444" s="181">
        <f>INDEX('Списки данных'!$D$2:$D$1048576,MATCH(База_КР_КК[[#This Row],[Структурное подразделение]],'Списки данных'!$C$2:$C$1048576,0))</f>
        <v>28</v>
      </c>
      <c r="I4444" s="103" t="s">
        <v>164</v>
      </c>
      <c r="J4444" s="103" t="s">
        <v>207</v>
      </c>
      <c r="K4444" s="103" t="s">
        <v>208</v>
      </c>
      <c r="L4444" s="32" t="s">
        <v>191</v>
      </c>
      <c r="M4444" s="77">
        <v>7</v>
      </c>
      <c r="N4444" s="183" t="str">
        <f t="shared" si="71"/>
        <v>да</v>
      </c>
      <c r="O4444" s="23">
        <v>44840</v>
      </c>
      <c r="P4444" s="23"/>
      <c r="Q4444" s="106"/>
      <c r="R4444" s="37" t="s">
        <v>23</v>
      </c>
      <c r="S4444" s="37" t="s">
        <v>23</v>
      </c>
      <c r="T4444" s="48">
        <v>1317</v>
      </c>
      <c r="U4444" s="47" t="s">
        <v>1713</v>
      </c>
      <c r="V4444" s="96" t="s">
        <v>272</v>
      </c>
      <c r="W4444" s="91" t="s">
        <v>164</v>
      </c>
      <c r="X4444" s="106" t="s">
        <v>296</v>
      </c>
      <c r="Y4444" s="49" t="s">
        <v>12</v>
      </c>
      <c r="Z4444" s="67">
        <f>IF(База_КР_КК[[#This Row],[Таб.номер резервиста]]="-","-",IF(OR(База_КР_КК[[#This Row],[Уровень КК]]=2,База_КР_КК[[#This Row],[Уровень КК]]=3),IF(COUNTIFS($U$2:$U4444,$U4444,$F$2:$F4444,$F4444)=1,1,0),IF(COUNTIFS($U$2:$U4444,$U4444,$L$2:$L4444,$L4444)=1,1,0)))</f>
        <v>0</v>
      </c>
      <c r="AA444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4" s="102"/>
      <c r="AC4444" s="78"/>
      <c r="AD4444" s="106" t="s">
        <v>15</v>
      </c>
      <c r="AE4444" s="47" t="s">
        <v>335</v>
      </c>
    </row>
    <row r="4445" spans="1:31" s="108" customFormat="1" ht="18" customHeight="1" x14ac:dyDescent="0.25">
      <c r="A444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45" s="76">
        <v>4</v>
      </c>
      <c r="C4445" s="28">
        <v>45071</v>
      </c>
      <c r="D4445" s="67">
        <f>IF(COUNTIF($G$2:$G4445,$G4445)=1,1,0)</f>
        <v>0</v>
      </c>
      <c r="E4445" s="182" t="str">
        <f>IFERROR(VLOOKUP(База_КР_КК[[#This Row],[ИД штатной должности (S)]],'уровень защищенности'!$B$7:$F$1095,5,0),"не защищена")</f>
        <v>средний</v>
      </c>
      <c r="F4445" s="68">
        <v>500186</v>
      </c>
      <c r="G4445" s="77" t="s">
        <v>2394</v>
      </c>
      <c r="H4445" s="181">
        <f>INDEX('Списки данных'!$D$2:$D$1048576,MATCH(База_КР_КК[[#This Row],[Структурное подразделение]],'Списки данных'!$C$2:$C$1048576,0))</f>
        <v>28</v>
      </c>
      <c r="I4445" s="103" t="s">
        <v>164</v>
      </c>
      <c r="J4445" s="103" t="s">
        <v>207</v>
      </c>
      <c r="K4445" s="103" t="s">
        <v>208</v>
      </c>
      <c r="L4445" s="32" t="s">
        <v>191</v>
      </c>
      <c r="M4445" s="77">
        <v>7</v>
      </c>
      <c r="N4445" s="183" t="str">
        <f t="shared" si="71"/>
        <v>да</v>
      </c>
      <c r="O4445" s="23">
        <v>44840</v>
      </c>
      <c r="P4445" s="23"/>
      <c r="Q4445" s="106"/>
      <c r="R4445" s="37" t="s">
        <v>23</v>
      </c>
      <c r="S4445" s="37" t="s">
        <v>23</v>
      </c>
      <c r="T4445" s="48">
        <v>1317</v>
      </c>
      <c r="U4445" s="47" t="s">
        <v>1713</v>
      </c>
      <c r="V4445" s="96" t="s">
        <v>272</v>
      </c>
      <c r="W4445" s="91" t="s">
        <v>164</v>
      </c>
      <c r="X4445" s="106" t="s">
        <v>296</v>
      </c>
      <c r="Y4445" s="49" t="s">
        <v>12</v>
      </c>
      <c r="Z4445" s="67">
        <f>IF(База_КР_КК[[#This Row],[Таб.номер резервиста]]="-","-",IF(OR(База_КР_КК[[#This Row],[Уровень КК]]=2,База_КР_КК[[#This Row],[Уровень КК]]=3),IF(COUNTIFS($U$2:$U4445,$U4445,$F$2:$F4445,$F4445)=1,1,0),IF(COUNTIFS($U$2:$U4445,$U4445,$L$2:$L4445,$L4445)=1,1,0)))</f>
        <v>0</v>
      </c>
      <c r="AA444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5" s="102"/>
      <c r="AC4445" s="78"/>
      <c r="AD4445" s="106" t="s">
        <v>15</v>
      </c>
      <c r="AE4445" s="47" t="s">
        <v>335</v>
      </c>
    </row>
    <row r="4446" spans="1:31" s="108" customFormat="1" ht="18" customHeight="1" x14ac:dyDescent="0.25">
      <c r="A444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46" s="76">
        <v>4</v>
      </c>
      <c r="C4446" s="28">
        <v>45071</v>
      </c>
      <c r="D4446" s="67">
        <f>IF(COUNTIF($G$2:$G4446,$G4446)=1,1,0)</f>
        <v>0</v>
      </c>
      <c r="E4446" s="182" t="str">
        <f>IFERROR(VLOOKUP(База_КР_КК[[#This Row],[ИД штатной должности (S)]],'уровень защищенности'!$B$7:$F$1095,5,0),"не защищена")</f>
        <v>средний</v>
      </c>
      <c r="F4446" s="68">
        <v>500186</v>
      </c>
      <c r="G4446" s="77" t="s">
        <v>2404</v>
      </c>
      <c r="H4446" s="181">
        <f>INDEX('Списки данных'!$D$2:$D$1048576,MATCH(База_КР_КК[[#This Row],[Структурное подразделение]],'Списки данных'!$C$2:$C$1048576,0))</f>
        <v>28</v>
      </c>
      <c r="I4446" s="103" t="s">
        <v>164</v>
      </c>
      <c r="J4446" s="103" t="s">
        <v>207</v>
      </c>
      <c r="K4446" s="103" t="s">
        <v>208</v>
      </c>
      <c r="L4446" s="32" t="s">
        <v>191</v>
      </c>
      <c r="M4446" s="77">
        <v>7</v>
      </c>
      <c r="N4446" s="183" t="str">
        <f t="shared" si="71"/>
        <v>нет</v>
      </c>
      <c r="O4446" s="28"/>
      <c r="P4446" s="28"/>
      <c r="Q4446" s="102"/>
      <c r="R4446" s="37">
        <v>240</v>
      </c>
      <c r="S4446" s="38" t="s">
        <v>652</v>
      </c>
      <c r="T4446" s="48">
        <v>1317</v>
      </c>
      <c r="U4446" s="47" t="s">
        <v>1713</v>
      </c>
      <c r="V4446" s="96" t="s">
        <v>272</v>
      </c>
      <c r="W4446" s="91" t="s">
        <v>164</v>
      </c>
      <c r="X4446" s="106" t="s">
        <v>296</v>
      </c>
      <c r="Y4446" s="49" t="s">
        <v>12</v>
      </c>
      <c r="Z4446" s="67">
        <f>IF(База_КР_КК[[#This Row],[Таб.номер резервиста]]="-","-",IF(OR(База_КР_КК[[#This Row],[Уровень КК]]=2,База_КР_КК[[#This Row],[Уровень КК]]=3),IF(COUNTIFS($U$2:$U4446,$U4446,$F$2:$F4446,$F4446)=1,1,0),IF(COUNTIFS($U$2:$U4446,$U4446,$L$2:$L4446,$L4446)=1,1,0)))</f>
        <v>0</v>
      </c>
      <c r="AA444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6" s="102"/>
      <c r="AC4446" s="78"/>
      <c r="AD4446" s="106" t="s">
        <v>15</v>
      </c>
      <c r="AE4446" s="47" t="s">
        <v>335</v>
      </c>
    </row>
    <row r="4447" spans="1:31" s="108" customFormat="1" ht="18" customHeight="1" x14ac:dyDescent="0.25">
      <c r="A444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47" s="76">
        <v>4</v>
      </c>
      <c r="C4447" s="28">
        <v>45071</v>
      </c>
      <c r="D4447" s="67">
        <f>IF(COUNTIF($G$2:$G4447,$G4447)=1,1,0)</f>
        <v>0</v>
      </c>
      <c r="E4447" s="182" t="str">
        <f>IFERROR(VLOOKUP(База_КР_КК[[#This Row],[ИД штатной должности (S)]],'уровень защищенности'!$B$7:$F$1095,5,0),"не защищена")</f>
        <v>средний</v>
      </c>
      <c r="F4447" s="68">
        <v>500186</v>
      </c>
      <c r="G4447" s="74" t="s">
        <v>2392</v>
      </c>
      <c r="H4447" s="181">
        <f>INDEX('Списки данных'!$D$2:$D$1048576,MATCH(База_КР_КК[[#This Row],[Структурное подразделение]],'Списки данных'!$C$2:$C$1048576,0))</f>
        <v>28</v>
      </c>
      <c r="I4447" s="104" t="s">
        <v>164</v>
      </c>
      <c r="J4447" s="104" t="s">
        <v>207</v>
      </c>
      <c r="K4447" s="104" t="s">
        <v>208</v>
      </c>
      <c r="L4447" s="62" t="s">
        <v>191</v>
      </c>
      <c r="M4447" s="74">
        <v>7</v>
      </c>
      <c r="N4447" s="183" t="str">
        <f t="shared" si="71"/>
        <v>нет</v>
      </c>
      <c r="O4447" s="23"/>
      <c r="P4447" s="23"/>
      <c r="Q4447" s="106"/>
      <c r="R4447" s="37">
        <v>232</v>
      </c>
      <c r="S4447" s="38" t="s">
        <v>644</v>
      </c>
      <c r="T4447" s="45">
        <v>2155</v>
      </c>
      <c r="U4447" s="64" t="s">
        <v>1988</v>
      </c>
      <c r="V4447" s="96" t="s">
        <v>272</v>
      </c>
      <c r="W4447" s="91" t="s">
        <v>164</v>
      </c>
      <c r="X4447" s="106" t="s">
        <v>296</v>
      </c>
      <c r="Y4447" s="49" t="s">
        <v>12</v>
      </c>
      <c r="Z4447" s="67">
        <f>IF(База_КР_КК[[#This Row],[Таб.номер резервиста]]="-","-",IF(OR(База_КР_КК[[#This Row],[Уровень КК]]=2,База_КР_КК[[#This Row],[Уровень КК]]=3),IF(COUNTIFS($U$2:$U4447,$U4447,$F$2:$F4447,$F4447)=1,1,0),IF(COUNTIFS($U$2:$U4447,$U4447,$L$2:$L4447,$L4447)=1,1,0)))</f>
        <v>0</v>
      </c>
      <c r="AA444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7" s="101"/>
      <c r="AC4447" s="75"/>
      <c r="AD4447" s="106" t="s">
        <v>15</v>
      </c>
      <c r="AE4447" s="47" t="s">
        <v>335</v>
      </c>
    </row>
    <row r="4448" spans="1:31" s="108" customFormat="1" ht="18" customHeight="1" x14ac:dyDescent="0.25">
      <c r="A444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48" s="76">
        <v>4</v>
      </c>
      <c r="C4448" s="28">
        <v>45071</v>
      </c>
      <c r="D4448" s="67">
        <f>IF(COUNTIF($G$2:$G4448,$G4448)=1,1,0)</f>
        <v>0</v>
      </c>
      <c r="E4448" s="182" t="str">
        <f>IFERROR(VLOOKUP(База_КР_КК[[#This Row],[ИД штатной должности (S)]],'уровень защищенности'!$B$7:$F$1095,5,0),"не защищена")</f>
        <v>средний</v>
      </c>
      <c r="F4448" s="68">
        <v>500186</v>
      </c>
      <c r="G4448" s="74" t="s">
        <v>2393</v>
      </c>
      <c r="H4448" s="181">
        <f>INDEX('Списки данных'!$D$2:$D$1048576,MATCH(База_КР_КК[[#This Row],[Структурное подразделение]],'Списки данных'!$C$2:$C$1048576,0))</f>
        <v>28</v>
      </c>
      <c r="I4448" s="104" t="s">
        <v>164</v>
      </c>
      <c r="J4448" s="104" t="s">
        <v>207</v>
      </c>
      <c r="K4448" s="104" t="s">
        <v>208</v>
      </c>
      <c r="L4448" s="62" t="s">
        <v>191</v>
      </c>
      <c r="M4448" s="74">
        <v>7</v>
      </c>
      <c r="N4448" s="183" t="str">
        <f t="shared" si="71"/>
        <v>да</v>
      </c>
      <c r="O4448" s="23">
        <v>44840</v>
      </c>
      <c r="P4448" s="23"/>
      <c r="Q4448" s="106"/>
      <c r="R4448" s="37" t="s">
        <v>23</v>
      </c>
      <c r="S4448" s="37" t="s">
        <v>23</v>
      </c>
      <c r="T4448" s="45">
        <v>2155</v>
      </c>
      <c r="U4448" s="64" t="s">
        <v>1988</v>
      </c>
      <c r="V4448" s="93" t="s">
        <v>272</v>
      </c>
      <c r="W4448" s="91" t="s">
        <v>164</v>
      </c>
      <c r="X4448" s="106" t="s">
        <v>296</v>
      </c>
      <c r="Y4448" s="49" t="s">
        <v>12</v>
      </c>
      <c r="Z4448" s="67">
        <f>IF(База_КР_КК[[#This Row],[Таб.номер резервиста]]="-","-",IF(OR(База_КР_КК[[#This Row],[Уровень КК]]=2,База_КР_КК[[#This Row],[Уровень КК]]=3),IF(COUNTIFS($U$2:$U4448,$U4448,$F$2:$F4448,$F4448)=1,1,0),IF(COUNTIFS($U$2:$U4448,$U4448,$L$2:$L4448,$L4448)=1,1,0)))</f>
        <v>0</v>
      </c>
      <c r="AA444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8" s="101"/>
      <c r="AC4448" s="75"/>
      <c r="AD4448" s="106" t="s">
        <v>15</v>
      </c>
      <c r="AE4448" s="47" t="s">
        <v>335</v>
      </c>
    </row>
    <row r="4449" spans="1:31" s="108" customFormat="1" ht="18" customHeight="1" x14ac:dyDescent="0.25">
      <c r="A4449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49" s="76">
        <v>4</v>
      </c>
      <c r="C4449" s="28">
        <v>45071</v>
      </c>
      <c r="D4449" s="67">
        <f>IF(COUNTIF($G$2:$G4449,$G4449)=1,1,0)</f>
        <v>0</v>
      </c>
      <c r="E4449" s="182" t="str">
        <f>IFERROR(VLOOKUP(База_КР_КК[[#This Row],[ИД штатной должности (S)]],'уровень защищенности'!$B$7:$F$1095,5,0),"не защищена")</f>
        <v>средний</v>
      </c>
      <c r="F4449" s="68">
        <v>500186</v>
      </c>
      <c r="G4449" s="74" t="s">
        <v>2394</v>
      </c>
      <c r="H4449" s="181">
        <f>INDEX('Списки данных'!$D$2:$D$1048576,MATCH(База_КР_КК[[#This Row],[Структурное подразделение]],'Списки данных'!$C$2:$C$1048576,0))</f>
        <v>28</v>
      </c>
      <c r="I4449" s="104" t="s">
        <v>164</v>
      </c>
      <c r="J4449" s="104" t="s">
        <v>207</v>
      </c>
      <c r="K4449" s="104" t="s">
        <v>208</v>
      </c>
      <c r="L4449" s="62" t="s">
        <v>191</v>
      </c>
      <c r="M4449" s="74">
        <v>7</v>
      </c>
      <c r="N4449" s="183" t="str">
        <f t="shared" si="71"/>
        <v>да</v>
      </c>
      <c r="O4449" s="23">
        <v>44840</v>
      </c>
      <c r="P4449" s="23"/>
      <c r="Q4449" s="106"/>
      <c r="R4449" s="37" t="s">
        <v>23</v>
      </c>
      <c r="S4449" s="37" t="s">
        <v>23</v>
      </c>
      <c r="T4449" s="45">
        <v>2155</v>
      </c>
      <c r="U4449" s="64" t="s">
        <v>1988</v>
      </c>
      <c r="V4449" s="93" t="s">
        <v>272</v>
      </c>
      <c r="W4449" s="91" t="s">
        <v>164</v>
      </c>
      <c r="X4449" s="106" t="s">
        <v>296</v>
      </c>
      <c r="Y4449" s="49" t="s">
        <v>12</v>
      </c>
      <c r="Z4449" s="67">
        <f>IF(База_КР_КК[[#This Row],[Таб.номер резервиста]]="-","-",IF(OR(База_КР_КК[[#This Row],[Уровень КК]]=2,База_КР_КК[[#This Row],[Уровень КК]]=3),IF(COUNTIFS($U$2:$U4449,$U4449,$F$2:$F4449,$F4449)=1,1,0),IF(COUNTIFS($U$2:$U4449,$U4449,$L$2:$L4449,$L4449)=1,1,0)))</f>
        <v>0</v>
      </c>
      <c r="AA444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49" s="101"/>
      <c r="AC4449" s="75"/>
      <c r="AD4449" s="106" t="s">
        <v>15</v>
      </c>
      <c r="AE4449" s="47" t="s">
        <v>335</v>
      </c>
    </row>
    <row r="4450" spans="1:31" s="108" customFormat="1" ht="18" customHeight="1" x14ac:dyDescent="0.25">
      <c r="A4450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0" s="76">
        <v>4</v>
      </c>
      <c r="C4450" s="28">
        <v>45071</v>
      </c>
      <c r="D4450" s="67">
        <f>IF(COUNTIF($G$2:$G4450,$G4450)=1,1,0)</f>
        <v>0</v>
      </c>
      <c r="E4450" s="182" t="str">
        <f>IFERROR(VLOOKUP(База_КР_КК[[#This Row],[ИД штатной должности (S)]],'уровень защищенности'!$B$7:$F$1095,5,0),"не защищена")</f>
        <v>средний</v>
      </c>
      <c r="F4450" s="68">
        <v>500186</v>
      </c>
      <c r="G4450" s="77" t="s">
        <v>2404</v>
      </c>
      <c r="H4450" s="181">
        <f>INDEX('Списки данных'!$D$2:$D$1048576,MATCH(База_КР_КК[[#This Row],[Структурное подразделение]],'Списки данных'!$C$2:$C$1048576,0))</f>
        <v>28</v>
      </c>
      <c r="I4450" s="103" t="s">
        <v>164</v>
      </c>
      <c r="J4450" s="103" t="s">
        <v>207</v>
      </c>
      <c r="K4450" s="103" t="s">
        <v>208</v>
      </c>
      <c r="L4450" s="32" t="s">
        <v>191</v>
      </c>
      <c r="M4450" s="77">
        <v>7</v>
      </c>
      <c r="N4450" s="183" t="str">
        <f t="shared" si="71"/>
        <v>нет</v>
      </c>
      <c r="O4450" s="28"/>
      <c r="P4450" s="28"/>
      <c r="Q4450" s="102"/>
      <c r="R4450" s="37">
        <v>240</v>
      </c>
      <c r="S4450" s="38" t="s">
        <v>652</v>
      </c>
      <c r="T4450" s="48">
        <v>2155</v>
      </c>
      <c r="U4450" s="64" t="s">
        <v>1988</v>
      </c>
      <c r="V4450" s="96" t="s">
        <v>272</v>
      </c>
      <c r="W4450" s="91" t="s">
        <v>164</v>
      </c>
      <c r="X4450" s="106" t="s">
        <v>296</v>
      </c>
      <c r="Y4450" s="49" t="s">
        <v>12</v>
      </c>
      <c r="Z4450" s="67">
        <f>IF(База_КР_КК[[#This Row],[Таб.номер резервиста]]="-","-",IF(OR(База_КР_КК[[#This Row],[Уровень КК]]=2,База_КР_КК[[#This Row],[Уровень КК]]=3),IF(COUNTIFS($U$2:$U4450,$U4450,$F$2:$F4450,$F4450)=1,1,0),IF(COUNTIFS($U$2:$U4450,$U4450,$L$2:$L4450,$L4450)=1,1,0)))</f>
        <v>0</v>
      </c>
      <c r="AA445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0" s="102"/>
      <c r="AC4450" s="78"/>
      <c r="AD4450" s="106" t="s">
        <v>15</v>
      </c>
      <c r="AE4450" s="47" t="s">
        <v>335</v>
      </c>
    </row>
    <row r="4451" spans="1:31" s="108" customFormat="1" ht="18" customHeight="1" x14ac:dyDescent="0.25">
      <c r="A4451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1" s="76">
        <v>4</v>
      </c>
      <c r="C4451" s="28">
        <v>45071</v>
      </c>
      <c r="D4451" s="67">
        <f>IF(COUNTIF($G$2:$G4451,$G4451)=1,1,0)</f>
        <v>0</v>
      </c>
      <c r="E4451" s="182" t="str">
        <f>IFERROR(VLOOKUP(База_КР_КК[[#This Row],[ИД штатной должности (S)]],'уровень защищенности'!$B$7:$F$1095,5,0),"не защищена")</f>
        <v>средний</v>
      </c>
      <c r="F4451" s="68">
        <v>500186</v>
      </c>
      <c r="G4451" s="74" t="s">
        <v>2392</v>
      </c>
      <c r="H4451" s="181">
        <f>INDEX('Списки данных'!$D$2:$D$1048576,MATCH(База_КР_КК[[#This Row],[Структурное подразделение]],'Списки данных'!$C$2:$C$1048576,0))</f>
        <v>28</v>
      </c>
      <c r="I4451" s="104" t="s">
        <v>164</v>
      </c>
      <c r="J4451" s="104" t="s">
        <v>207</v>
      </c>
      <c r="K4451" s="104" t="s">
        <v>208</v>
      </c>
      <c r="L4451" s="62" t="s">
        <v>191</v>
      </c>
      <c r="M4451" s="74">
        <v>7</v>
      </c>
      <c r="N4451" s="183" t="str">
        <f t="shared" si="71"/>
        <v>нет</v>
      </c>
      <c r="O4451" s="23"/>
      <c r="P4451" s="23"/>
      <c r="Q4451" s="106"/>
      <c r="R4451" s="37">
        <v>232</v>
      </c>
      <c r="S4451" s="38" t="s">
        <v>644</v>
      </c>
      <c r="T4451" s="45">
        <v>2156</v>
      </c>
      <c r="U4451" s="64" t="s">
        <v>1866</v>
      </c>
      <c r="V4451" s="93" t="s">
        <v>272</v>
      </c>
      <c r="W4451" s="91" t="s">
        <v>164</v>
      </c>
      <c r="X4451" s="106" t="s">
        <v>297</v>
      </c>
      <c r="Y4451" s="63" t="s">
        <v>12</v>
      </c>
      <c r="Z4451" s="67">
        <f>IF(База_КР_КК[[#This Row],[Таб.номер резервиста]]="-","-",IF(OR(База_КР_КК[[#This Row],[Уровень КК]]=2,База_КР_КК[[#This Row],[Уровень КК]]=3),IF(COUNTIFS($U$2:$U4451,$U4451,$F$2:$F4451,$F4451)=1,1,0),IF(COUNTIFS($U$2:$U4451,$U4451,$L$2:$L4451,$L4451)=1,1,0)))</f>
        <v>0</v>
      </c>
      <c r="AA445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1" s="101"/>
      <c r="AC4451" s="75"/>
      <c r="AD4451" s="106" t="s">
        <v>15</v>
      </c>
      <c r="AE4451" s="47" t="s">
        <v>335</v>
      </c>
    </row>
    <row r="4452" spans="1:31" s="108" customFormat="1" ht="18" customHeight="1" x14ac:dyDescent="0.25">
      <c r="A4452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2" s="76">
        <v>4</v>
      </c>
      <c r="C4452" s="28">
        <v>45071</v>
      </c>
      <c r="D4452" s="67">
        <f>IF(COUNTIF($G$2:$G4452,$G4452)=1,1,0)</f>
        <v>0</v>
      </c>
      <c r="E4452" s="182" t="str">
        <f>IFERROR(VLOOKUP(База_КР_КК[[#This Row],[ИД штатной должности (S)]],'уровень защищенности'!$B$7:$F$1095,5,0),"не защищена")</f>
        <v>средний</v>
      </c>
      <c r="F4452" s="68">
        <v>500186</v>
      </c>
      <c r="G4452" s="74" t="s">
        <v>2393</v>
      </c>
      <c r="H4452" s="181">
        <f>INDEX('Списки данных'!$D$2:$D$1048576,MATCH(База_КР_КК[[#This Row],[Структурное подразделение]],'Списки данных'!$C$2:$C$1048576,0))</f>
        <v>28</v>
      </c>
      <c r="I4452" s="104" t="s">
        <v>164</v>
      </c>
      <c r="J4452" s="104" t="s">
        <v>207</v>
      </c>
      <c r="K4452" s="104" t="s">
        <v>208</v>
      </c>
      <c r="L4452" s="62" t="s">
        <v>191</v>
      </c>
      <c r="M4452" s="74">
        <v>7</v>
      </c>
      <c r="N4452" s="183" t="str">
        <f t="shared" si="71"/>
        <v>да</v>
      </c>
      <c r="O4452" s="23">
        <v>44840</v>
      </c>
      <c r="P4452" s="23"/>
      <c r="Q4452" s="106"/>
      <c r="R4452" s="37" t="s">
        <v>23</v>
      </c>
      <c r="S4452" s="37" t="s">
        <v>23</v>
      </c>
      <c r="T4452" s="45">
        <v>2156</v>
      </c>
      <c r="U4452" s="64" t="s">
        <v>1866</v>
      </c>
      <c r="V4452" s="93" t="s">
        <v>272</v>
      </c>
      <c r="W4452" s="91" t="s">
        <v>164</v>
      </c>
      <c r="X4452" s="106" t="s">
        <v>297</v>
      </c>
      <c r="Y4452" s="63" t="s">
        <v>12</v>
      </c>
      <c r="Z4452" s="67">
        <f>IF(База_КР_КК[[#This Row],[Таб.номер резервиста]]="-","-",IF(OR(База_КР_КК[[#This Row],[Уровень КК]]=2,База_КР_КК[[#This Row],[Уровень КК]]=3),IF(COUNTIFS($U$2:$U4452,$U4452,$F$2:$F4452,$F4452)=1,1,0),IF(COUNTIFS($U$2:$U4452,$U4452,$L$2:$L4452,$L4452)=1,1,0)))</f>
        <v>0</v>
      </c>
      <c r="AA445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2" s="101"/>
      <c r="AC4452" s="75"/>
      <c r="AD4452" s="106" t="s">
        <v>15</v>
      </c>
      <c r="AE4452" s="47" t="s">
        <v>335</v>
      </c>
    </row>
    <row r="4453" spans="1:31" s="108" customFormat="1" ht="18" customHeight="1" x14ac:dyDescent="0.25">
      <c r="A445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3" s="76">
        <v>4</v>
      </c>
      <c r="C4453" s="28">
        <v>45071</v>
      </c>
      <c r="D4453" s="67">
        <f>IF(COUNTIF($G$2:$G4453,$G4453)=1,1,0)</f>
        <v>0</v>
      </c>
      <c r="E4453" s="182" t="str">
        <f>IFERROR(VLOOKUP(База_КР_КК[[#This Row],[ИД штатной должности (S)]],'уровень защищенности'!$B$7:$F$1095,5,0),"не защищена")</f>
        <v>средний</v>
      </c>
      <c r="F4453" s="68">
        <v>500186</v>
      </c>
      <c r="G4453" s="74" t="s">
        <v>2394</v>
      </c>
      <c r="H4453" s="181">
        <f>INDEX('Списки данных'!$D$2:$D$1048576,MATCH(База_КР_КК[[#This Row],[Структурное подразделение]],'Списки данных'!$C$2:$C$1048576,0))</f>
        <v>28</v>
      </c>
      <c r="I4453" s="104" t="s">
        <v>164</v>
      </c>
      <c r="J4453" s="104" t="s">
        <v>207</v>
      </c>
      <c r="K4453" s="104" t="s">
        <v>208</v>
      </c>
      <c r="L4453" s="62" t="s">
        <v>191</v>
      </c>
      <c r="M4453" s="74">
        <v>7</v>
      </c>
      <c r="N4453" s="183" t="str">
        <f t="shared" si="71"/>
        <v>да</v>
      </c>
      <c r="O4453" s="23">
        <v>44840</v>
      </c>
      <c r="P4453" s="23"/>
      <c r="Q4453" s="106"/>
      <c r="R4453" s="37" t="s">
        <v>23</v>
      </c>
      <c r="S4453" s="37" t="s">
        <v>23</v>
      </c>
      <c r="T4453" s="45">
        <v>2156</v>
      </c>
      <c r="U4453" s="64" t="s">
        <v>1866</v>
      </c>
      <c r="V4453" s="93" t="s">
        <v>272</v>
      </c>
      <c r="W4453" s="91" t="s">
        <v>164</v>
      </c>
      <c r="X4453" s="106" t="s">
        <v>297</v>
      </c>
      <c r="Y4453" s="63" t="s">
        <v>12</v>
      </c>
      <c r="Z4453" s="67">
        <f>IF(База_КР_КК[[#This Row],[Таб.номер резервиста]]="-","-",IF(OR(База_КР_КК[[#This Row],[Уровень КК]]=2,База_КР_КК[[#This Row],[Уровень КК]]=3),IF(COUNTIFS($U$2:$U4453,$U4453,$F$2:$F4453,$F4453)=1,1,0),IF(COUNTIFS($U$2:$U4453,$U4453,$L$2:$L4453,$L4453)=1,1,0)))</f>
        <v>0</v>
      </c>
      <c r="AA445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3" s="101"/>
      <c r="AC4453" s="75"/>
      <c r="AD4453" s="106" t="s">
        <v>15</v>
      </c>
      <c r="AE4453" s="47" t="s">
        <v>335</v>
      </c>
    </row>
    <row r="4454" spans="1:31" s="108" customFormat="1" ht="18" customHeight="1" x14ac:dyDescent="0.25">
      <c r="A445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4" s="76">
        <v>4</v>
      </c>
      <c r="C4454" s="28">
        <v>45071</v>
      </c>
      <c r="D4454" s="67">
        <f>IF(COUNTIF($G$2:$G4454,$G4454)=1,1,0)</f>
        <v>0</v>
      </c>
      <c r="E4454" s="182" t="str">
        <f>IFERROR(VLOOKUP(База_КР_КК[[#This Row],[ИД штатной должности (S)]],'уровень защищенности'!$B$7:$F$1095,5,0),"не защищена")</f>
        <v>средний</v>
      </c>
      <c r="F4454" s="68">
        <v>500186</v>
      </c>
      <c r="G4454" s="77" t="s">
        <v>2404</v>
      </c>
      <c r="H4454" s="181">
        <f>INDEX('Списки данных'!$D$2:$D$1048576,MATCH(База_КР_КК[[#This Row],[Структурное подразделение]],'Списки данных'!$C$2:$C$1048576,0))</f>
        <v>28</v>
      </c>
      <c r="I4454" s="103" t="s">
        <v>164</v>
      </c>
      <c r="J4454" s="103" t="s">
        <v>207</v>
      </c>
      <c r="K4454" s="103" t="s">
        <v>208</v>
      </c>
      <c r="L4454" s="32" t="s">
        <v>191</v>
      </c>
      <c r="M4454" s="77">
        <v>7</v>
      </c>
      <c r="N4454" s="183" t="str">
        <f t="shared" si="71"/>
        <v>нет</v>
      </c>
      <c r="O4454" s="28"/>
      <c r="P4454" s="28"/>
      <c r="Q4454" s="102"/>
      <c r="R4454" s="37">
        <v>240</v>
      </c>
      <c r="S4454" s="38" t="s">
        <v>652</v>
      </c>
      <c r="T4454" s="45">
        <v>2156</v>
      </c>
      <c r="U4454" s="64" t="s">
        <v>1866</v>
      </c>
      <c r="V4454" s="93" t="s">
        <v>272</v>
      </c>
      <c r="W4454" s="91" t="s">
        <v>164</v>
      </c>
      <c r="X4454" s="106" t="s">
        <v>297</v>
      </c>
      <c r="Y4454" s="49" t="s">
        <v>12</v>
      </c>
      <c r="Z4454" s="67">
        <f>IF(База_КР_КК[[#This Row],[Таб.номер резервиста]]="-","-",IF(OR(База_КР_КК[[#This Row],[Уровень КК]]=2,База_КР_КК[[#This Row],[Уровень КК]]=3),IF(COUNTIFS($U$2:$U4454,$U4454,$F$2:$F4454,$F4454)=1,1,0),IF(COUNTIFS($U$2:$U4454,$U4454,$L$2:$L4454,$L4454)=1,1,0)))</f>
        <v>0</v>
      </c>
      <c r="AA445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4" s="102"/>
      <c r="AC4454" s="78"/>
      <c r="AD4454" s="106" t="s">
        <v>15</v>
      </c>
      <c r="AE4454" s="47" t="s">
        <v>335</v>
      </c>
    </row>
    <row r="4455" spans="1:31" s="108" customFormat="1" ht="18" customHeight="1" x14ac:dyDescent="0.25">
      <c r="A445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5" s="76">
        <v>4</v>
      </c>
      <c r="C4455" s="28">
        <v>45071</v>
      </c>
      <c r="D4455" s="67">
        <f>IF(COUNTIF($G$2:$G4455,$G4455)=1,1,0)</f>
        <v>0</v>
      </c>
      <c r="E4455" s="182" t="str">
        <f>IFERROR(VLOOKUP(База_КР_КК[[#This Row],[ИД штатной должности (S)]],'уровень защищенности'!$B$7:$F$1095,5,0),"не защищена")</f>
        <v>средний</v>
      </c>
      <c r="F4455" s="68">
        <v>500186</v>
      </c>
      <c r="G4455" s="74" t="s">
        <v>2392</v>
      </c>
      <c r="H4455" s="181">
        <f>INDEX('Списки данных'!$D$2:$D$1048576,MATCH(База_КР_КК[[#This Row],[Структурное подразделение]],'Списки данных'!$C$2:$C$1048576,0))</f>
        <v>28</v>
      </c>
      <c r="I4455" s="104" t="s">
        <v>164</v>
      </c>
      <c r="J4455" s="104" t="s">
        <v>207</v>
      </c>
      <c r="K4455" s="104" t="s">
        <v>208</v>
      </c>
      <c r="L4455" s="62" t="s">
        <v>191</v>
      </c>
      <c r="M4455" s="74">
        <v>7</v>
      </c>
      <c r="N4455" s="183" t="str">
        <f t="shared" si="71"/>
        <v>нет</v>
      </c>
      <c r="O4455" s="23"/>
      <c r="P4455" s="23"/>
      <c r="Q4455" s="106"/>
      <c r="R4455" s="37">
        <v>232</v>
      </c>
      <c r="S4455" s="38" t="s">
        <v>644</v>
      </c>
      <c r="T4455" s="45">
        <v>2157</v>
      </c>
      <c r="U4455" s="64" t="s">
        <v>2060</v>
      </c>
      <c r="V4455" s="96" t="s">
        <v>272</v>
      </c>
      <c r="W4455" s="91" t="s">
        <v>164</v>
      </c>
      <c r="X4455" s="106" t="s">
        <v>297</v>
      </c>
      <c r="Y4455" s="49" t="s">
        <v>12</v>
      </c>
      <c r="Z4455" s="67">
        <f>IF(База_КР_КК[[#This Row],[Таб.номер резервиста]]="-","-",IF(OR(База_КР_КК[[#This Row],[Уровень КК]]=2,База_КР_КК[[#This Row],[Уровень КК]]=3),IF(COUNTIFS($U$2:$U4455,$U4455,$F$2:$F4455,$F4455)=1,1,0),IF(COUNTIFS($U$2:$U4455,$U4455,$L$2:$L4455,$L4455)=1,1,0)))</f>
        <v>0</v>
      </c>
      <c r="AA445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5" s="101"/>
      <c r="AC4455" s="75"/>
      <c r="AD4455" s="106" t="s">
        <v>15</v>
      </c>
      <c r="AE4455" s="47" t="s">
        <v>335</v>
      </c>
    </row>
    <row r="4456" spans="1:31" s="108" customFormat="1" ht="18" customHeight="1" x14ac:dyDescent="0.25">
      <c r="A4456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6" s="76">
        <v>4</v>
      </c>
      <c r="C4456" s="28">
        <v>45071</v>
      </c>
      <c r="D4456" s="67">
        <f>IF(COUNTIF($G$2:$G4456,$G4456)=1,1,0)</f>
        <v>0</v>
      </c>
      <c r="E4456" s="182" t="str">
        <f>IFERROR(VLOOKUP(База_КР_КК[[#This Row],[ИД штатной должности (S)]],'уровень защищенности'!$B$7:$F$1095,5,0),"не защищена")</f>
        <v>средний</v>
      </c>
      <c r="F4456" s="68">
        <v>500186</v>
      </c>
      <c r="G4456" s="74" t="s">
        <v>2393</v>
      </c>
      <c r="H4456" s="181">
        <f>INDEX('Списки данных'!$D$2:$D$1048576,MATCH(База_КР_КК[[#This Row],[Структурное подразделение]],'Списки данных'!$C$2:$C$1048576,0))</f>
        <v>28</v>
      </c>
      <c r="I4456" s="104" t="s">
        <v>164</v>
      </c>
      <c r="J4456" s="104" t="s">
        <v>207</v>
      </c>
      <c r="K4456" s="104" t="s">
        <v>208</v>
      </c>
      <c r="L4456" s="62" t="s">
        <v>191</v>
      </c>
      <c r="M4456" s="74">
        <v>7</v>
      </c>
      <c r="N4456" s="183" t="str">
        <f t="shared" si="71"/>
        <v>да</v>
      </c>
      <c r="O4456" s="23">
        <v>44840</v>
      </c>
      <c r="P4456" s="23"/>
      <c r="Q4456" s="106"/>
      <c r="R4456" s="37" t="s">
        <v>23</v>
      </c>
      <c r="S4456" s="37" t="s">
        <v>23</v>
      </c>
      <c r="T4456" s="45">
        <v>2157</v>
      </c>
      <c r="U4456" s="64" t="s">
        <v>2060</v>
      </c>
      <c r="V4456" s="96" t="s">
        <v>272</v>
      </c>
      <c r="W4456" s="91" t="s">
        <v>164</v>
      </c>
      <c r="X4456" s="106" t="s">
        <v>297</v>
      </c>
      <c r="Y4456" s="49" t="s">
        <v>12</v>
      </c>
      <c r="Z4456" s="67">
        <f>IF(База_КР_КК[[#This Row],[Таб.номер резервиста]]="-","-",IF(OR(База_КР_КК[[#This Row],[Уровень КК]]=2,База_КР_КК[[#This Row],[Уровень КК]]=3),IF(COUNTIFS($U$2:$U4456,$U4456,$F$2:$F4456,$F4456)=1,1,0),IF(COUNTIFS($U$2:$U4456,$U4456,$L$2:$L4456,$L4456)=1,1,0)))</f>
        <v>0</v>
      </c>
      <c r="AA445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6" s="101"/>
      <c r="AC4456" s="75"/>
      <c r="AD4456" s="106" t="s">
        <v>15</v>
      </c>
      <c r="AE4456" s="47" t="s">
        <v>335</v>
      </c>
    </row>
    <row r="4457" spans="1:31" s="108" customFormat="1" ht="18" customHeight="1" x14ac:dyDescent="0.25">
      <c r="A4457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7" s="76">
        <v>4</v>
      </c>
      <c r="C4457" s="28">
        <v>45071</v>
      </c>
      <c r="D4457" s="67">
        <f>IF(COUNTIF($G$2:$G4457,$G4457)=1,1,0)</f>
        <v>0</v>
      </c>
      <c r="E4457" s="182" t="str">
        <f>IFERROR(VLOOKUP(База_КР_КК[[#This Row],[ИД штатной должности (S)]],'уровень защищенности'!$B$7:$F$1095,5,0),"не защищена")</f>
        <v>средний</v>
      </c>
      <c r="F4457" s="68">
        <v>500186</v>
      </c>
      <c r="G4457" s="74" t="s">
        <v>2394</v>
      </c>
      <c r="H4457" s="181">
        <f>INDEX('Списки данных'!$D$2:$D$1048576,MATCH(База_КР_КК[[#This Row],[Структурное подразделение]],'Списки данных'!$C$2:$C$1048576,0))</f>
        <v>28</v>
      </c>
      <c r="I4457" s="104" t="s">
        <v>164</v>
      </c>
      <c r="J4457" s="104" t="s">
        <v>207</v>
      </c>
      <c r="K4457" s="104" t="s">
        <v>208</v>
      </c>
      <c r="L4457" s="62" t="s">
        <v>191</v>
      </c>
      <c r="M4457" s="74">
        <v>7</v>
      </c>
      <c r="N4457" s="183" t="str">
        <f t="shared" si="71"/>
        <v>да</v>
      </c>
      <c r="O4457" s="23">
        <v>44840</v>
      </c>
      <c r="P4457" s="23"/>
      <c r="Q4457" s="106"/>
      <c r="R4457" s="37" t="s">
        <v>23</v>
      </c>
      <c r="S4457" s="37" t="s">
        <v>23</v>
      </c>
      <c r="T4457" s="45">
        <v>2157</v>
      </c>
      <c r="U4457" s="64" t="s">
        <v>2060</v>
      </c>
      <c r="V4457" s="96" t="s">
        <v>272</v>
      </c>
      <c r="W4457" s="91" t="s">
        <v>164</v>
      </c>
      <c r="X4457" s="106" t="s">
        <v>297</v>
      </c>
      <c r="Y4457" s="49" t="s">
        <v>12</v>
      </c>
      <c r="Z4457" s="67">
        <f>IF(База_КР_КК[[#This Row],[Таб.номер резервиста]]="-","-",IF(OR(База_КР_КК[[#This Row],[Уровень КК]]=2,База_КР_КК[[#This Row],[Уровень КК]]=3),IF(COUNTIFS($U$2:$U4457,$U4457,$F$2:$F4457,$F4457)=1,1,0),IF(COUNTIFS($U$2:$U4457,$U4457,$L$2:$L4457,$L4457)=1,1,0)))</f>
        <v>0</v>
      </c>
      <c r="AA445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7" s="101"/>
      <c r="AC4457" s="75"/>
      <c r="AD4457" s="106" t="s">
        <v>15</v>
      </c>
      <c r="AE4457" s="47" t="s">
        <v>335</v>
      </c>
    </row>
    <row r="4458" spans="1:31" s="108" customFormat="1" ht="18" customHeight="1" x14ac:dyDescent="0.25">
      <c r="A4458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8" s="76">
        <v>4</v>
      </c>
      <c r="C4458" s="28">
        <v>45071</v>
      </c>
      <c r="D4458" s="67">
        <f>IF(COUNTIF($G$2:$G4458,$G4458)=1,1,0)</f>
        <v>0</v>
      </c>
      <c r="E4458" s="182" t="str">
        <f>IFERROR(VLOOKUP(База_КР_КК[[#This Row],[ИД штатной должности (S)]],'уровень защищенности'!$B$7:$F$1095,5,0),"не защищена")</f>
        <v>средний</v>
      </c>
      <c r="F4458" s="68">
        <v>500186</v>
      </c>
      <c r="G4458" s="77" t="s">
        <v>2404</v>
      </c>
      <c r="H4458" s="181">
        <f>INDEX('Списки данных'!$D$2:$D$1048576,MATCH(База_КР_КК[[#This Row],[Структурное подразделение]],'Списки данных'!$C$2:$C$1048576,0))</f>
        <v>28</v>
      </c>
      <c r="I4458" s="103" t="s">
        <v>164</v>
      </c>
      <c r="J4458" s="103" t="s">
        <v>207</v>
      </c>
      <c r="K4458" s="103" t="s">
        <v>208</v>
      </c>
      <c r="L4458" s="32" t="s">
        <v>191</v>
      </c>
      <c r="M4458" s="77">
        <v>7</v>
      </c>
      <c r="N4458" s="183" t="str">
        <f t="shared" si="71"/>
        <v>нет</v>
      </c>
      <c r="O4458" s="28"/>
      <c r="P4458" s="28"/>
      <c r="Q4458" s="102"/>
      <c r="R4458" s="37">
        <v>240</v>
      </c>
      <c r="S4458" s="38" t="s">
        <v>652</v>
      </c>
      <c r="T4458" s="45">
        <v>2157</v>
      </c>
      <c r="U4458" s="64" t="s">
        <v>2060</v>
      </c>
      <c r="V4458" s="96" t="s">
        <v>272</v>
      </c>
      <c r="W4458" s="91" t="s">
        <v>164</v>
      </c>
      <c r="X4458" s="106" t="s">
        <v>297</v>
      </c>
      <c r="Y4458" s="49" t="s">
        <v>12</v>
      </c>
      <c r="Z4458" s="67">
        <f>IF(База_КР_КК[[#This Row],[Таб.номер резервиста]]="-","-",IF(OR(База_КР_КК[[#This Row],[Уровень КК]]=2,База_КР_КК[[#This Row],[Уровень КК]]=3),IF(COUNTIFS($U$2:$U4458,$U4458,$F$2:$F4458,$F4458)=1,1,0),IF(COUNTIFS($U$2:$U4458,$U4458,$L$2:$L4458,$L4458)=1,1,0)))</f>
        <v>0</v>
      </c>
      <c r="AA445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8" s="102"/>
      <c r="AC4458" s="78"/>
      <c r="AD4458" s="106" t="s">
        <v>15</v>
      </c>
      <c r="AE4458" s="47" t="s">
        <v>335</v>
      </c>
    </row>
    <row r="4459" spans="1:31" ht="18" customHeight="1" x14ac:dyDescent="0.25">
      <c r="A4459" s="185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59" s="76">
        <v>4</v>
      </c>
      <c r="C4459" s="28">
        <v>45071</v>
      </c>
      <c r="D4459" s="67">
        <f>IF(COUNTIF($G$2:$G4459,$G4459)=1,1,0)</f>
        <v>0</v>
      </c>
      <c r="E4459" s="186" t="str">
        <f>IFERROR(VLOOKUP(База_КР_КК[[#This Row],[ИД штатной должности (S)]],'уровень защищенности'!$B$7:$F$1095,5,0),"не защищена")</f>
        <v>высокий</v>
      </c>
      <c r="F4459" s="68">
        <v>500222</v>
      </c>
      <c r="G4459" s="77" t="s">
        <v>2401</v>
      </c>
      <c r="H4459" s="181">
        <f>INDEX('Списки данных'!$D$2:$D$1048576,MATCH(База_КР_КК[[#This Row],[Структурное подразделение]],'Списки данных'!$C$2:$C$1048576,0))</f>
        <v>28</v>
      </c>
      <c r="I4459" s="80" t="s">
        <v>164</v>
      </c>
      <c r="J4459" s="80" t="s">
        <v>207</v>
      </c>
      <c r="K4459" s="80" t="s">
        <v>208</v>
      </c>
      <c r="L4459" s="30" t="s">
        <v>191</v>
      </c>
      <c r="M4459" s="68">
        <v>7</v>
      </c>
      <c r="N4459" s="184" t="str">
        <f t="shared" si="71"/>
        <v>нет</v>
      </c>
      <c r="O4459" s="28"/>
      <c r="P4459" s="28"/>
      <c r="Q4459" s="102"/>
      <c r="R4459" s="37">
        <v>239</v>
      </c>
      <c r="S4459" s="39" t="s">
        <v>651</v>
      </c>
      <c r="T4459" s="48">
        <v>2158</v>
      </c>
      <c r="U4459" s="47" t="s">
        <v>2068</v>
      </c>
      <c r="V4459" s="69" t="s">
        <v>272</v>
      </c>
      <c r="W4459" s="91" t="s">
        <v>164</v>
      </c>
      <c r="X4459" s="106" t="s">
        <v>295</v>
      </c>
      <c r="Y4459" s="49" t="s">
        <v>12</v>
      </c>
      <c r="Z4459" s="67">
        <f>IF(База_КР_КК[[#This Row],[Таб.номер резервиста]]="-","-",IF(OR(База_КР_КК[[#This Row],[Уровень КК]]=2,База_КР_КК[[#This Row],[Уровень КК]]=3),IF(COUNTIFS($U$2:$U4459,$U4459,$F$2:$F4459,$F4459)=1,1,0),IF(COUNTIFS($U$2:$U4459,$U4459,$L$2:$L4459,$L4459)=1,1,0)))</f>
        <v>1</v>
      </c>
      <c r="AA445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59" s="102"/>
      <c r="AC4459" s="78"/>
      <c r="AD4459" s="106" t="s">
        <v>15</v>
      </c>
      <c r="AE4459" s="47" t="s">
        <v>335</v>
      </c>
    </row>
    <row r="4460" spans="1:31" ht="18" customHeight="1" x14ac:dyDescent="0.25">
      <c r="A4460" s="185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60" s="76">
        <v>4</v>
      </c>
      <c r="C4460" s="28">
        <v>45071</v>
      </c>
      <c r="D4460" s="67">
        <f>IF(COUNTIF($G$2:$G4460,$G4460)=1,1,0)</f>
        <v>0</v>
      </c>
      <c r="E4460" s="186" t="str">
        <f>IFERROR(VLOOKUP(База_КР_КК[[#This Row],[ИД штатной должности (S)]],'уровень защищенности'!$B$7:$F$1095,5,0),"не защищена")</f>
        <v>высокий</v>
      </c>
      <c r="F4460" s="68">
        <v>500222</v>
      </c>
      <c r="G4460" s="77" t="s">
        <v>2402</v>
      </c>
      <c r="H4460" s="181">
        <f>INDEX('Списки данных'!$D$2:$D$1048576,MATCH(База_КР_КК[[#This Row],[Структурное подразделение]],'Списки данных'!$C$2:$C$1048576,0))</f>
        <v>28</v>
      </c>
      <c r="I4460" s="80" t="s">
        <v>164</v>
      </c>
      <c r="J4460" s="80" t="s">
        <v>207</v>
      </c>
      <c r="K4460" s="80" t="s">
        <v>208</v>
      </c>
      <c r="L4460" s="30" t="s">
        <v>191</v>
      </c>
      <c r="M4460" s="68">
        <v>7</v>
      </c>
      <c r="N4460" s="184" t="str">
        <f t="shared" si="71"/>
        <v>да</v>
      </c>
      <c r="O4460" s="23">
        <v>44622</v>
      </c>
      <c r="P4460" s="28"/>
      <c r="Q4460" s="102"/>
      <c r="R4460" s="37" t="s">
        <v>23</v>
      </c>
      <c r="S4460" s="37" t="s">
        <v>23</v>
      </c>
      <c r="T4460" s="48">
        <v>2158</v>
      </c>
      <c r="U4460" s="47" t="s">
        <v>2068</v>
      </c>
      <c r="V4460" s="69" t="s">
        <v>272</v>
      </c>
      <c r="W4460" s="91" t="s">
        <v>164</v>
      </c>
      <c r="X4460" s="106" t="s">
        <v>295</v>
      </c>
      <c r="Y4460" s="49" t="s">
        <v>12</v>
      </c>
      <c r="Z4460" s="67">
        <f>IF(База_КР_КК[[#This Row],[Таб.номер резервиста]]="-","-",IF(OR(База_КР_КК[[#This Row],[Уровень КК]]=2,База_КР_КК[[#This Row],[Уровень КК]]=3),IF(COUNTIFS($U$2:$U4460,$U4460,$F$2:$F4460,$F4460)=1,1,0),IF(COUNTIFS($U$2:$U4460,$U4460,$L$2:$L4460,$L4460)=1,1,0)))</f>
        <v>0</v>
      </c>
      <c r="AA4460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0" s="102"/>
      <c r="AC4460" s="78"/>
      <c r="AD4460" s="106" t="s">
        <v>15</v>
      </c>
      <c r="AE4460" s="47" t="s">
        <v>335</v>
      </c>
    </row>
    <row r="4461" spans="1:31" ht="18" customHeight="1" x14ac:dyDescent="0.25">
      <c r="A4461" s="185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61" s="76">
        <v>4</v>
      </c>
      <c r="C4461" s="28">
        <v>45071</v>
      </c>
      <c r="D4461" s="67">
        <f>IF(COUNTIF($G$2:$G4461,$G4461)=1,1,0)</f>
        <v>0</v>
      </c>
      <c r="E4461" s="186" t="str">
        <f>IFERROR(VLOOKUP(База_КР_КК[[#This Row],[ИД штатной должности (S)]],'уровень защищенности'!$B$7:$F$1095,5,0),"не защищена")</f>
        <v>высокий</v>
      </c>
      <c r="F4461" s="68">
        <v>500222</v>
      </c>
      <c r="G4461" s="77" t="s">
        <v>2405</v>
      </c>
      <c r="H4461" s="181">
        <f>INDEX('Списки данных'!$D$2:$D$1048576,MATCH(База_КР_КК[[#This Row],[Структурное подразделение]],'Списки данных'!$C$2:$C$1048576,0))</f>
        <v>28</v>
      </c>
      <c r="I4461" s="80" t="s">
        <v>164</v>
      </c>
      <c r="J4461" s="80" t="s">
        <v>207</v>
      </c>
      <c r="K4461" s="80" t="s">
        <v>208</v>
      </c>
      <c r="L4461" s="30" t="s">
        <v>191</v>
      </c>
      <c r="M4461" s="68">
        <v>7</v>
      </c>
      <c r="N4461" s="184" t="str">
        <f t="shared" si="71"/>
        <v>да</v>
      </c>
      <c r="O4461" s="23">
        <v>44622</v>
      </c>
      <c r="P4461" s="23"/>
      <c r="Q4461" s="106"/>
      <c r="R4461" s="37" t="s">
        <v>23</v>
      </c>
      <c r="S4461" s="37" t="s">
        <v>23</v>
      </c>
      <c r="T4461" s="48">
        <v>2158</v>
      </c>
      <c r="U4461" s="47" t="s">
        <v>2068</v>
      </c>
      <c r="V4461" s="69" t="s">
        <v>272</v>
      </c>
      <c r="W4461" s="91" t="s">
        <v>164</v>
      </c>
      <c r="X4461" s="106" t="s">
        <v>295</v>
      </c>
      <c r="Y4461" s="49" t="s">
        <v>12</v>
      </c>
      <c r="Z4461" s="67">
        <f>IF(База_КР_КК[[#This Row],[Таб.номер резервиста]]="-","-",IF(OR(База_КР_КК[[#This Row],[Уровень КК]]=2,База_КР_КК[[#This Row],[Уровень КК]]=3),IF(COUNTIFS($U$2:$U4461,$U4461,$F$2:$F4461,$F4461)=1,1,0),IF(COUNTIFS($U$2:$U4461,$U4461,$L$2:$L4461,$L4461)=1,1,0)))</f>
        <v>0</v>
      </c>
      <c r="AA4461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1" s="102"/>
      <c r="AC4461" s="78"/>
      <c r="AD4461" s="106" t="s">
        <v>15</v>
      </c>
      <c r="AE4461" s="47" t="s">
        <v>335</v>
      </c>
    </row>
    <row r="4462" spans="1:31" ht="18" customHeight="1" x14ac:dyDescent="0.25">
      <c r="A4462" s="185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62" s="76">
        <v>4</v>
      </c>
      <c r="C4462" s="28">
        <v>45071</v>
      </c>
      <c r="D4462" s="67">
        <f>IF(COUNTIF($G$2:$G4462,$G4462)=1,1,0)</f>
        <v>0</v>
      </c>
      <c r="E4462" s="186" t="str">
        <f>IFERROR(VLOOKUP(База_КР_КК[[#This Row],[ИД штатной должности (S)]],'уровень защищенности'!$B$7:$F$1095,5,0),"не защищена")</f>
        <v>высокий</v>
      </c>
      <c r="F4462" s="68">
        <v>500222</v>
      </c>
      <c r="G4462" s="77" t="s">
        <v>2406</v>
      </c>
      <c r="H4462" s="181">
        <f>INDEX('Списки данных'!$D$2:$D$1048576,MATCH(База_КР_КК[[#This Row],[Структурное подразделение]],'Списки данных'!$C$2:$C$1048576,0))</f>
        <v>28</v>
      </c>
      <c r="I4462" s="80" t="s">
        <v>164</v>
      </c>
      <c r="J4462" s="80" t="s">
        <v>207</v>
      </c>
      <c r="K4462" s="80" t="s">
        <v>208</v>
      </c>
      <c r="L4462" s="30" t="s">
        <v>191</v>
      </c>
      <c r="M4462" s="68">
        <v>7</v>
      </c>
      <c r="N4462" s="184" t="str">
        <f t="shared" si="71"/>
        <v>да</v>
      </c>
      <c r="O4462" s="23">
        <v>44622</v>
      </c>
      <c r="P4462" s="23">
        <v>44910</v>
      </c>
      <c r="Q4462" s="106" t="s">
        <v>66</v>
      </c>
      <c r="R4462" s="37">
        <v>241</v>
      </c>
      <c r="S4462" s="38" t="s">
        <v>653</v>
      </c>
      <c r="T4462" s="48">
        <v>2158</v>
      </c>
      <c r="U4462" s="47" t="s">
        <v>2068</v>
      </c>
      <c r="V4462" s="69" t="s">
        <v>272</v>
      </c>
      <c r="W4462" s="91" t="s">
        <v>164</v>
      </c>
      <c r="X4462" s="106" t="s">
        <v>295</v>
      </c>
      <c r="Y4462" s="49" t="s">
        <v>12</v>
      </c>
      <c r="Z4462" s="67">
        <f>IF(База_КР_КК[[#This Row],[Таб.номер резервиста]]="-","-",IF(OR(База_КР_КК[[#This Row],[Уровень КК]]=2,База_КР_КК[[#This Row],[Уровень КК]]=3),IF(COUNTIFS($U$2:$U4462,$U4462,$F$2:$F4462,$F4462)=1,1,0),IF(COUNTIFS($U$2:$U4462,$U4462,$L$2:$L4462,$L4462)=1,1,0)))</f>
        <v>0</v>
      </c>
      <c r="AA4462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2" s="102"/>
      <c r="AC4462" s="78"/>
      <c r="AD4462" s="106" t="s">
        <v>15</v>
      </c>
      <c r="AE4462" s="47" t="s">
        <v>335</v>
      </c>
    </row>
    <row r="4463" spans="1:31" ht="18" customHeight="1" x14ac:dyDescent="0.25">
      <c r="A4463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63" s="76">
        <v>4</v>
      </c>
      <c r="C4463" s="28">
        <v>45071</v>
      </c>
      <c r="D4463" s="67">
        <f>IF(COUNTIF($G$2:$G4463,$G4463)=1,1,0)</f>
        <v>0</v>
      </c>
      <c r="E4463" s="179" t="str">
        <f>IFERROR(VLOOKUP(База_КР_КК[[#This Row],[ИД штатной должности (S)]],'уровень защищенности'!$B$7:$F$1095,5,0),"не защищена")</f>
        <v>высокий</v>
      </c>
      <c r="F4463" s="68">
        <v>500222</v>
      </c>
      <c r="G4463" s="74" t="s">
        <v>2401</v>
      </c>
      <c r="H4463" s="181">
        <f>INDEX('Списки данных'!$D$2:$D$1048576,MATCH(База_КР_КК[[#This Row],[Структурное подразделение]],'Списки данных'!$C$2:$C$1048576,0))</f>
        <v>28</v>
      </c>
      <c r="I4463" s="80" t="s">
        <v>164</v>
      </c>
      <c r="J4463" s="80" t="s">
        <v>207</v>
      </c>
      <c r="K4463" s="80" t="s">
        <v>208</v>
      </c>
      <c r="L4463" s="30" t="s">
        <v>191</v>
      </c>
      <c r="M4463" s="68">
        <v>7</v>
      </c>
      <c r="N4463" s="183" t="str">
        <f t="shared" si="71"/>
        <v>нет</v>
      </c>
      <c r="O4463" s="61"/>
      <c r="P4463" s="61"/>
      <c r="Q4463" s="101"/>
      <c r="R4463" s="37">
        <v>239</v>
      </c>
      <c r="S4463" s="39" t="s">
        <v>651</v>
      </c>
      <c r="T4463" s="45">
        <v>2159</v>
      </c>
      <c r="U4463" s="64" t="s">
        <v>1922</v>
      </c>
      <c r="V4463" s="93" t="s">
        <v>272</v>
      </c>
      <c r="W4463" s="88" t="s">
        <v>164</v>
      </c>
      <c r="X4463" s="106" t="s">
        <v>296</v>
      </c>
      <c r="Y4463" s="63" t="s">
        <v>12</v>
      </c>
      <c r="Z4463" s="67">
        <f>IF(База_КР_КК[[#This Row],[Таб.номер резервиста]]="-","-",IF(OR(База_КР_КК[[#This Row],[Уровень КК]]=2,База_КР_КК[[#This Row],[Уровень КК]]=3),IF(COUNTIFS($U$2:$U4463,$U4463,$F$2:$F4463,$F4463)=1,1,0),IF(COUNTIFS($U$2:$U4463,$U4463,$L$2:$L4463,$L4463)=1,1,0)))</f>
        <v>1</v>
      </c>
      <c r="AA4463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3" s="101"/>
      <c r="AC4463" s="75"/>
      <c r="AD4463" s="106" t="s">
        <v>15</v>
      </c>
      <c r="AE4463" s="47" t="s">
        <v>335</v>
      </c>
    </row>
    <row r="4464" spans="1:31" ht="18" customHeight="1" x14ac:dyDescent="0.25">
      <c r="A4464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64" s="76">
        <v>4</v>
      </c>
      <c r="C4464" s="28">
        <v>45071</v>
      </c>
      <c r="D4464" s="67">
        <f>IF(COUNTIF($G$2:$G4464,$G4464)=1,1,0)</f>
        <v>0</v>
      </c>
      <c r="E4464" s="179" t="str">
        <f>IFERROR(VLOOKUP(База_КР_КК[[#This Row],[ИД штатной должности (S)]],'уровень защищенности'!$B$7:$F$1095,5,0),"не защищена")</f>
        <v>высокий</v>
      </c>
      <c r="F4464" s="68">
        <v>500222</v>
      </c>
      <c r="G4464" s="74" t="s">
        <v>2402</v>
      </c>
      <c r="H4464" s="181">
        <f>INDEX('Списки данных'!$D$2:$D$1048576,MATCH(База_КР_КК[[#This Row],[Структурное подразделение]],'Списки данных'!$C$2:$C$1048576,0))</f>
        <v>28</v>
      </c>
      <c r="I4464" s="80" t="s">
        <v>164</v>
      </c>
      <c r="J4464" s="80" t="s">
        <v>207</v>
      </c>
      <c r="K4464" s="80" t="s">
        <v>208</v>
      </c>
      <c r="L4464" s="30" t="s">
        <v>191</v>
      </c>
      <c r="M4464" s="68">
        <v>7</v>
      </c>
      <c r="N4464" s="183" t="str">
        <f t="shared" si="71"/>
        <v>да</v>
      </c>
      <c r="O4464" s="23">
        <v>44622</v>
      </c>
      <c r="P4464" s="61"/>
      <c r="Q4464" s="101"/>
      <c r="R4464" s="37" t="s">
        <v>23</v>
      </c>
      <c r="S4464" s="37" t="s">
        <v>23</v>
      </c>
      <c r="T4464" s="45">
        <v>2159</v>
      </c>
      <c r="U4464" s="64" t="s">
        <v>1922</v>
      </c>
      <c r="V4464" s="93" t="s">
        <v>272</v>
      </c>
      <c r="W4464" s="88" t="s">
        <v>164</v>
      </c>
      <c r="X4464" s="106" t="s">
        <v>296</v>
      </c>
      <c r="Y4464" s="63" t="s">
        <v>12</v>
      </c>
      <c r="Z4464" s="67">
        <f>IF(База_КР_КК[[#This Row],[Таб.номер резервиста]]="-","-",IF(OR(База_КР_КК[[#This Row],[Уровень КК]]=2,База_КР_КК[[#This Row],[Уровень КК]]=3),IF(COUNTIFS($U$2:$U4464,$U4464,$F$2:$F4464,$F4464)=1,1,0),IF(COUNTIFS($U$2:$U4464,$U4464,$L$2:$L4464,$L4464)=1,1,0)))</f>
        <v>0</v>
      </c>
      <c r="AA4464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4" s="101"/>
      <c r="AC4464" s="75"/>
      <c r="AD4464" s="106" t="s">
        <v>15</v>
      </c>
      <c r="AE4464" s="47" t="s">
        <v>335</v>
      </c>
    </row>
    <row r="4465" spans="1:31" ht="18" customHeight="1" x14ac:dyDescent="0.25">
      <c r="A4465" s="180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65" s="76">
        <v>4</v>
      </c>
      <c r="C4465" s="28">
        <v>45071</v>
      </c>
      <c r="D4465" s="67">
        <f>IF(COUNTIF($G$2:$G4465,$G4465)=1,1,0)</f>
        <v>0</v>
      </c>
      <c r="E4465" s="179" t="str">
        <f>IFERROR(VLOOKUP(База_КР_КК[[#This Row],[ИД штатной должности (S)]],'уровень защищенности'!$B$7:$F$1095,5,0),"не защищена")</f>
        <v>высокий</v>
      </c>
      <c r="F4465" s="68">
        <v>500222</v>
      </c>
      <c r="G4465" s="74" t="s">
        <v>2405</v>
      </c>
      <c r="H4465" s="181">
        <f>INDEX('Списки данных'!$D$2:$D$1048576,MATCH(База_КР_КК[[#This Row],[Структурное подразделение]],'Списки данных'!$C$2:$C$1048576,0))</f>
        <v>28</v>
      </c>
      <c r="I4465" s="80" t="s">
        <v>164</v>
      </c>
      <c r="J4465" s="80" t="s">
        <v>207</v>
      </c>
      <c r="K4465" s="80" t="s">
        <v>208</v>
      </c>
      <c r="L4465" s="30" t="s">
        <v>191</v>
      </c>
      <c r="M4465" s="68">
        <v>7</v>
      </c>
      <c r="N4465" s="183" t="str">
        <f t="shared" si="71"/>
        <v>да</v>
      </c>
      <c r="O4465" s="23">
        <v>44622</v>
      </c>
      <c r="P4465" s="23"/>
      <c r="Q4465" s="106"/>
      <c r="R4465" s="37" t="s">
        <v>23</v>
      </c>
      <c r="S4465" s="37" t="s">
        <v>23</v>
      </c>
      <c r="T4465" s="45">
        <v>2159</v>
      </c>
      <c r="U4465" s="64" t="s">
        <v>1922</v>
      </c>
      <c r="V4465" s="93" t="s">
        <v>272</v>
      </c>
      <c r="W4465" s="88" t="s">
        <v>164</v>
      </c>
      <c r="X4465" s="106" t="s">
        <v>296</v>
      </c>
      <c r="Y4465" s="63" t="s">
        <v>12</v>
      </c>
      <c r="Z4465" s="67">
        <f>IF(База_КР_КК[[#This Row],[Таб.номер резервиста]]="-","-",IF(OR(База_КР_КК[[#This Row],[Уровень КК]]=2,База_КР_КК[[#This Row],[Уровень КК]]=3),IF(COUNTIFS($U$2:$U4465,$U4465,$F$2:$F4465,$F4465)=1,1,0),IF(COUNTIFS($U$2:$U4465,$U4465,$L$2:$L4465,$L4465)=1,1,0)))</f>
        <v>0</v>
      </c>
      <c r="AA4465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5" s="101"/>
      <c r="AC4465" s="75"/>
      <c r="AD4465" s="106" t="s">
        <v>15</v>
      </c>
      <c r="AE4465" s="47" t="s">
        <v>335</v>
      </c>
    </row>
    <row r="4466" spans="1:31" ht="18" customHeight="1" x14ac:dyDescent="0.25">
      <c r="A4466" s="185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66" s="76">
        <v>4</v>
      </c>
      <c r="C4466" s="28">
        <v>45071</v>
      </c>
      <c r="D4466" s="67">
        <f>IF(COUNTIF($G$2:$G4466,$G4466)=1,1,0)</f>
        <v>0</v>
      </c>
      <c r="E4466" s="186" t="str">
        <f>IFERROR(VLOOKUP(База_КР_КК[[#This Row],[ИД штатной должности (S)]],'уровень защищенности'!$B$7:$F$1095,5,0),"не защищена")</f>
        <v>высокий</v>
      </c>
      <c r="F4466" s="68">
        <v>500222</v>
      </c>
      <c r="G4466" s="77" t="s">
        <v>2406</v>
      </c>
      <c r="H4466" s="181">
        <f>INDEX('Списки данных'!$D$2:$D$1048576,MATCH(База_КР_КК[[#This Row],[Структурное подразделение]],'Списки данных'!$C$2:$C$1048576,0))</f>
        <v>28</v>
      </c>
      <c r="I4466" s="80" t="s">
        <v>164</v>
      </c>
      <c r="J4466" s="80" t="s">
        <v>207</v>
      </c>
      <c r="K4466" s="80" t="s">
        <v>208</v>
      </c>
      <c r="L4466" s="30" t="s">
        <v>191</v>
      </c>
      <c r="M4466" s="68">
        <v>7</v>
      </c>
      <c r="N4466" s="184" t="str">
        <f t="shared" si="71"/>
        <v>да</v>
      </c>
      <c r="O4466" s="23">
        <v>44622</v>
      </c>
      <c r="P4466" s="23">
        <v>44910</v>
      </c>
      <c r="Q4466" s="106" t="s">
        <v>66</v>
      </c>
      <c r="R4466" s="37">
        <v>241</v>
      </c>
      <c r="S4466" s="38" t="s">
        <v>653</v>
      </c>
      <c r="T4466" s="45">
        <v>2159</v>
      </c>
      <c r="U4466" s="64" t="s">
        <v>1922</v>
      </c>
      <c r="V4466" s="93" t="s">
        <v>272</v>
      </c>
      <c r="W4466" s="88" t="s">
        <v>164</v>
      </c>
      <c r="X4466" s="106" t="s">
        <v>296</v>
      </c>
      <c r="Y4466" s="49" t="s">
        <v>12</v>
      </c>
      <c r="Z4466" s="67">
        <f>IF(База_КР_КК[[#This Row],[Таб.номер резервиста]]="-","-",IF(OR(База_КР_КК[[#This Row],[Уровень КК]]=2,База_КР_КК[[#This Row],[Уровень КК]]=3),IF(COUNTIFS($U$2:$U4466,$U4466,$F$2:$F4466,$F4466)=1,1,0),IF(COUNTIFS($U$2:$U4466,$U4466,$L$2:$L4466,$L4466)=1,1,0)))</f>
        <v>0</v>
      </c>
      <c r="AA4466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6" s="102"/>
      <c r="AC4466" s="78"/>
      <c r="AD4466" s="106" t="s">
        <v>15</v>
      </c>
      <c r="AE4466" s="47" t="s">
        <v>335</v>
      </c>
    </row>
    <row r="4467" spans="1:31" ht="18" customHeight="1" x14ac:dyDescent="0.25">
      <c r="A4467" s="185" t="str">
        <f>INDEX('Списки данных'!$E$2:$E$1048576,MATCH(База_КР_КК[[#This Row],[Структурное подразделение]],'Списки данных'!$C$2:$C$1048576,0))</f>
        <v>Функциональное направление 5</v>
      </c>
      <c r="B4467" s="76">
        <v>4</v>
      </c>
      <c r="C4467" s="28">
        <v>45071</v>
      </c>
      <c r="D4467" s="67">
        <f>IF(COUNTIF($G$2:$G4467,$G4467)=1,1,0)</f>
        <v>0</v>
      </c>
      <c r="E4467" s="186" t="str">
        <f>IFERROR(VLOOKUP(База_КР_КК[[#This Row],[ИД штатной должности (S)]],'уровень защищенности'!$B$7:$F$1095,5,0),"не защищена")</f>
        <v>низкий</v>
      </c>
      <c r="F4467" s="77">
        <v>500216</v>
      </c>
      <c r="G4467" s="77" t="s">
        <v>2399</v>
      </c>
      <c r="H4467" s="181">
        <f>INDEX('Списки данных'!$D$2:$D$1048576,MATCH(База_КР_КК[[#This Row],[Структурное подразделение]],'Списки данных'!$C$2:$C$1048576,0))</f>
        <v>28</v>
      </c>
      <c r="I4467" s="103" t="s">
        <v>164</v>
      </c>
      <c r="J4467" s="103" t="s">
        <v>207</v>
      </c>
      <c r="K4467" s="103" t="s">
        <v>21</v>
      </c>
      <c r="L4467" s="32" t="s">
        <v>192</v>
      </c>
      <c r="M4467" s="77">
        <v>7</v>
      </c>
      <c r="N4467" s="184" t="str">
        <f t="shared" si="71"/>
        <v>да</v>
      </c>
      <c r="O4467" s="28">
        <v>44682</v>
      </c>
      <c r="P4467" s="28">
        <v>44910</v>
      </c>
      <c r="Q4467" s="106" t="s">
        <v>66</v>
      </c>
      <c r="R4467" s="48">
        <v>237</v>
      </c>
      <c r="S4467" s="49" t="s">
        <v>649</v>
      </c>
      <c r="T4467" s="48">
        <v>2160</v>
      </c>
      <c r="U4467" s="47" t="s">
        <v>2145</v>
      </c>
      <c r="V4467" s="96" t="s">
        <v>272</v>
      </c>
      <c r="W4467" s="91" t="s">
        <v>164</v>
      </c>
      <c r="X4467" s="106" t="s">
        <v>296</v>
      </c>
      <c r="Y4467" s="49" t="s">
        <v>12</v>
      </c>
      <c r="Z4467" s="67">
        <f>IF(База_КР_КК[[#This Row],[Таб.номер резервиста]]="-","-",IF(OR(База_КР_КК[[#This Row],[Уровень КК]]=2,База_КР_КК[[#This Row],[Уровень КК]]=3),IF(COUNTIFS($U$2:$U4467,$U4467,$F$2:$F4467,$F4467)=1,1,0),IF(COUNTIFS($U$2:$U4467,$U4467,$L$2:$L4467,$L4467)=1,1,0)))</f>
        <v>1</v>
      </c>
      <c r="AA4467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7" s="102"/>
      <c r="AC4467" s="78"/>
      <c r="AD4467" s="102" t="s">
        <v>15</v>
      </c>
      <c r="AE4467" s="38" t="s">
        <v>335</v>
      </c>
    </row>
    <row r="4468" spans="1:31" ht="18" customHeight="1" x14ac:dyDescent="0.25">
      <c r="A4468" s="185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4468" s="76">
        <v>3</v>
      </c>
      <c r="C4468" s="28">
        <v>45100</v>
      </c>
      <c r="D4468" s="67">
        <f>IF(COUNTIF($G$2:$G4468,$G4468)=1,1,0)</f>
        <v>0</v>
      </c>
      <c r="E4468" s="186" t="str">
        <f>IFERROR(VLOOKUP(База_КР_КК[[#This Row],[ИД штатной должности (S)]],'уровень защищенности'!$B$7:$F$1095,5,0),"не защищена")</f>
        <v>высокий</v>
      </c>
      <c r="F4468" s="68">
        <v>500009</v>
      </c>
      <c r="G4468" s="74" t="s">
        <v>2805</v>
      </c>
      <c r="H4468" s="177">
        <f>INDEX('Списки данных'!$D$2:$D$1048576,MATCH(База_КР_КК[[#This Row],[Структурное подразделение]],'Списки данных'!$C$2:$C$1048576,0))</f>
        <v>21</v>
      </c>
      <c r="I4468" s="80" t="s">
        <v>138</v>
      </c>
      <c r="J4468" s="103" t="s">
        <v>21</v>
      </c>
      <c r="K4468" s="103" t="s">
        <v>21</v>
      </c>
      <c r="L4468" s="30" t="s">
        <v>183</v>
      </c>
      <c r="M4468" s="77">
        <v>5</v>
      </c>
      <c r="N4468" s="184" t="str">
        <f t="shared" si="71"/>
        <v>да</v>
      </c>
      <c r="O4468" s="23">
        <v>43283</v>
      </c>
      <c r="P4468" s="23">
        <v>43283</v>
      </c>
      <c r="Q4468" s="106" t="s">
        <v>66</v>
      </c>
      <c r="R4468" s="37">
        <v>629</v>
      </c>
      <c r="S4468" s="38" t="s">
        <v>1038</v>
      </c>
      <c r="T4468" s="48">
        <v>715</v>
      </c>
      <c r="U4468" s="47" t="s">
        <v>1124</v>
      </c>
      <c r="V4468" s="96" t="s">
        <v>198</v>
      </c>
      <c r="W4468" s="91" t="s">
        <v>138</v>
      </c>
      <c r="X4468" s="106" t="s">
        <v>296</v>
      </c>
      <c r="Y4468" s="49" t="s">
        <v>12</v>
      </c>
      <c r="Z4468" s="67">
        <f>IF(База_КР_КК[[#This Row],[Таб.номер резервиста]]="-","-",IF(OR(База_КР_КК[[#This Row],[Уровень КК]]=2,База_КР_КК[[#This Row],[Уровень КК]]=3),IF(COUNTIFS($U$2:$U4468,$U4468,$F$2:$F4468,$F4468)=1,1,0),IF(COUNTIFS($U$2:$U4468,$U4468,$L$2:$L4468,$L4468)=1,1,0)))</f>
        <v>1</v>
      </c>
      <c r="AA4468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8" s="102"/>
      <c r="AC4468" s="78"/>
      <c r="AD4468" s="102" t="s">
        <v>15</v>
      </c>
      <c r="AE4468" s="47" t="s">
        <v>370</v>
      </c>
    </row>
    <row r="4469" spans="1:31" ht="18" customHeight="1" x14ac:dyDescent="0.25">
      <c r="A4469" s="185" t="str">
        <f>INDEX('Списки данных'!$E$2:$E$1048576,MATCH(База_КР_КК[[#This Row],[Структурное подразделение]],'Списки данных'!$C$2:$C$1048576,0))</f>
        <v>Функциональное направление 10</v>
      </c>
      <c r="B4469" s="76">
        <v>3</v>
      </c>
      <c r="C4469" s="28">
        <v>45100</v>
      </c>
      <c r="D4469" s="67">
        <f>IF(COUNTIF($G$2:$G4469,$G4469)=1,1,0)</f>
        <v>0</v>
      </c>
      <c r="E4469" s="186" t="str">
        <f>IFERROR(VLOOKUP(База_КР_КК[[#This Row],[ИД штатной должности (S)]],'уровень защищенности'!$B$7:$F$1095,5,0),"не защищена")</f>
        <v>высокий</v>
      </c>
      <c r="F4469" s="68">
        <v>500157</v>
      </c>
      <c r="G4469" s="74" t="s">
        <v>2911</v>
      </c>
      <c r="H4469" s="177">
        <f>INDEX('Списки данных'!$D$2:$D$1048576,MATCH(База_КР_КК[[#This Row],[Структурное подразделение]],'Списки данных'!$C$2:$C$1048576,0))</f>
        <v>21</v>
      </c>
      <c r="I4469" s="80" t="s">
        <v>138</v>
      </c>
      <c r="J4469" s="80" t="s">
        <v>243</v>
      </c>
      <c r="K4469" s="80" t="s">
        <v>21</v>
      </c>
      <c r="L4469" s="30" t="s">
        <v>187</v>
      </c>
      <c r="M4469" s="68">
        <v>6</v>
      </c>
      <c r="N4469" s="184" t="str">
        <f t="shared" si="71"/>
        <v>да</v>
      </c>
      <c r="O4469" s="23">
        <v>45101</v>
      </c>
      <c r="P4469" s="28"/>
      <c r="Q4469" s="102"/>
      <c r="R4469" s="48" t="s">
        <v>23</v>
      </c>
      <c r="S4469" s="49" t="s">
        <v>23</v>
      </c>
      <c r="T4469" s="48">
        <v>722</v>
      </c>
      <c r="U4469" s="47" t="s">
        <v>1131</v>
      </c>
      <c r="V4469" s="96" t="s">
        <v>192</v>
      </c>
      <c r="W4469" s="91" t="s">
        <v>138</v>
      </c>
      <c r="X4469" s="106" t="s">
        <v>297</v>
      </c>
      <c r="Y4469" s="49" t="s">
        <v>12</v>
      </c>
      <c r="Z4469" s="67">
        <f>IF(База_КР_КК[[#This Row],[Таб.номер резервиста]]="-","-",IF(OR(База_КР_КК[[#This Row],[Уровень КК]]=2,База_КР_КК[[#This Row],[Уровень КК]]=3),IF(COUNTIFS($U$2:$U4469,$U4469,$F$2:$F4469,$F4469)=1,1,0),IF(COUNTIFS($U$2:$U4469,$U4469,$L$2:$L4469,$L4469)=1,1,0)))</f>
        <v>1</v>
      </c>
      <c r="AA4469" s="181">
        <f>IF(AND(База_КР_КК[[#This Row],[Статус в резерве]]="назначен на целевую должность",База_КР_КК[[#This Row],[Таб.номер резервиста]]=База_КР_КК[[#This Row],[таб. держателя должности]]),1,IF(База_КР_КК[[#This Row],[ФИО резервиста]]="-","-",0))</f>
        <v>0</v>
      </c>
      <c r="AB4469" s="102"/>
      <c r="AC4469" s="78"/>
      <c r="AD4469" s="102" t="s">
        <v>15</v>
      </c>
      <c r="AE4469" s="47" t="s">
        <v>370</v>
      </c>
    </row>
    <row r="4470" spans="1:31" x14ac:dyDescent="0.25">
      <c r="AC4470" s="178"/>
    </row>
    <row r="1041466" spans="6:27" x14ac:dyDescent="0.25">
      <c r="F1041466" s="34"/>
      <c r="G1041466" s="34"/>
      <c r="I1041466" s="29"/>
      <c r="J1041466" s="29"/>
      <c r="K1041466" s="29"/>
      <c r="N1041466" s="29"/>
      <c r="AA1041466" s="29"/>
    </row>
    <row r="1041856" spans="6:27" x14ac:dyDescent="0.25">
      <c r="F1041856" s="34"/>
      <c r="G1041856" s="34"/>
      <c r="I1041856" s="29"/>
      <c r="J1041856" s="29"/>
      <c r="K1041856" s="29"/>
      <c r="N1041856" s="29"/>
      <c r="AA1041856" s="29"/>
    </row>
    <row r="1041919" spans="6:27" x14ac:dyDescent="0.25">
      <c r="F1041919" s="34"/>
      <c r="G1041919" s="34"/>
      <c r="I1041919" s="29"/>
      <c r="J1041919" s="29"/>
      <c r="K1041919" s="29"/>
      <c r="N1041919" s="29"/>
      <c r="AA1041919" s="29"/>
    </row>
    <row r="1041927" spans="6:27" x14ac:dyDescent="0.25">
      <c r="F1041927" s="34"/>
      <c r="G1041927" s="34"/>
      <c r="I1041927" s="29"/>
      <c r="J1041927" s="29"/>
      <c r="K1041927" s="29"/>
      <c r="N1041927" s="29"/>
      <c r="AA1041927" s="29"/>
    </row>
    <row r="1041951" spans="6:27" x14ac:dyDescent="0.25">
      <c r="F1041951" s="34"/>
      <c r="G1041951" s="34"/>
      <c r="I1041951" s="29"/>
      <c r="J1041951" s="29"/>
      <c r="K1041951" s="29"/>
      <c r="N1041951" s="29"/>
      <c r="AA1041951" s="29"/>
    </row>
    <row r="1043675" spans="31:31" x14ac:dyDescent="0.25">
      <c r="AE1043675" s="40"/>
    </row>
  </sheetData>
  <sheetProtection formatCells="0" formatColumns="0" formatRows="0" insertColumns="0" insertRows="0" insertHyperlinks="0" deleteColumns="0" deleteRows="0" sort="0" autoFilter="0" pivotTables="0"/>
  <conditionalFormatting sqref="P2:P4469">
    <cfRule type="expression" dxfId="121" priority="569">
      <formula>AND(ISBLANK($P2),NOT(ISBLANK($Q2)))</formula>
    </cfRule>
  </conditionalFormatting>
  <conditionalFormatting sqref="Q2:Q4469">
    <cfRule type="expression" dxfId="120" priority="568">
      <formula>AND(ISBLANK($Q2),NOT(ISBLANK($P2)))</formula>
    </cfRule>
  </conditionalFormatting>
  <conditionalFormatting sqref="AB2:AB4469">
    <cfRule type="expression" dxfId="119" priority="572">
      <formula>AND(ISBLANK($AB2),OR($Y2&lt;&gt;"состоит в резерве",NOT(ISBLANK($AC2))))</formula>
    </cfRule>
  </conditionalFormatting>
  <conditionalFormatting sqref="AC2:AC4469">
    <cfRule type="expression" dxfId="118" priority="571">
      <formula>AND(ISBLANK($AC2),OR($Y2&lt;&gt;"состоит в резерве",NOT(ISBLANK($AB2))))</formula>
    </cfRule>
  </conditionalFormatting>
  <conditionalFormatting sqref="O2:O4469">
    <cfRule type="expression" dxfId="117" priority="284">
      <formula>AND(OR($R2="вакансия",$S2="вакансия"),$N2="нет")</formula>
    </cfRule>
    <cfRule type="expression" dxfId="116" priority="530">
      <formula>AND(ISBLANK($O2),OR(NOT(ISBLANK($P2)),NOT(ISBLANK($Q2))))</formula>
    </cfRule>
  </conditionalFormatting>
  <conditionalFormatting sqref="R2:R4469">
    <cfRule type="expression" dxfId="115" priority="3">
      <formula>OR(AND(NOT(ISBLANK($O2)),ISBLANK($P2),$R2&lt;&gt;"вакансия"),AND(OR(NOT(ISBLANK($P2)),NOT(ISBLANK($Q2))),OR($R2="вакансия",ISBLANK($R2))))</formula>
    </cfRule>
  </conditionalFormatting>
  <conditionalFormatting sqref="S2:S4469">
    <cfRule type="expression" dxfId="114" priority="2">
      <formula>OR(AND(NOT(ISBLANK($O2)),ISBLANK($P2),$S2&lt;&gt;"вакансия"),AND(OR(NOT(ISBLANK($P2)),NOT(ISBLANK($Q2))),OR($S2="вакансия",ISBLANK($S2))))</formula>
    </cfRule>
  </conditionalFormatting>
  <conditionalFormatting sqref="Y2:Y4469">
    <cfRule type="expression" dxfId="113" priority="1">
      <formula>AND($Y2="состоит в резерве",OR(NOT(ISBLANK($AB2)),NOT(ISBLANK($AC2))))</formula>
    </cfRule>
  </conditionalFormatting>
  <dataValidations count="3">
    <dataValidation type="date" operator="greaterThan" allowBlank="1" showInputMessage="1" showErrorMessage="1" sqref="C2:C4469 O2:P4469 AC2:AC4469">
      <formula1>32874</formula1>
    </dataValidation>
    <dataValidation type="whole" operator="greaterThan" allowBlank="1" showInputMessage="1" showErrorMessage="1" sqref="B2:B4469">
      <formula1>0</formula1>
    </dataValidation>
    <dataValidation operator="greaterThan" allowBlank="1" showInputMessage="1" showErrorMessage="1" sqref="G2:G4469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22" r:id="rId4" name="Button 14">
              <controlPr defaultSize="0" print="0" autoFill="0" autoPict="0" macro="[0]!данные_резервиста">
                <anchor moveWithCells="1" sizeWithCells="1">
                  <from>
                    <xdr:col>20</xdr:col>
                    <xdr:colOff>0</xdr:colOff>
                    <xdr:row>0</xdr:row>
                    <xdr:rowOff>19050</xdr:rowOff>
                  </from>
                  <to>
                    <xdr:col>23</xdr:col>
                    <xdr:colOff>19050</xdr:colOff>
                    <xdr:row>0</xdr:row>
                    <xdr:rowOff>238125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'Списки данных'!$C$2:$C$58</xm:f>
          </x14:formula1>
          <xm:sqref>I2:I4469</xm:sqref>
        </x14:dataValidation>
        <x14:dataValidation type="list" allowBlank="1" showInputMessage="1" showErrorMessage="1">
          <x14:formula1>
            <xm:f>'Списки данных'!$L$2:$L$4</xm:f>
          </x14:formula1>
          <xm:sqref>Y2:Y4469</xm:sqref>
        </x14:dataValidation>
        <x14:dataValidation type="list" allowBlank="1" showInputMessage="1" showErrorMessage="1">
          <x14:formula1>
            <xm:f>'Списки данных'!$P$2:$P$6</xm:f>
          </x14:formula1>
          <xm:sqref>AD2:AD4469</xm:sqref>
        </x14:dataValidation>
        <x14:dataValidation type="list" allowBlank="1" showInputMessage="1" showErrorMessage="1">
          <x14:formula1>
            <xm:f>'Списки данных'!$N$2:$N$13</xm:f>
          </x14:formula1>
          <xm:sqref>AB2:AB4469</xm:sqref>
        </x14:dataValidation>
        <x14:dataValidation type="list" allowBlank="1" showInputMessage="1" showErrorMessage="1">
          <x14:formula1>
            <xm:f>'Списки данных'!$J$2:$J$4</xm:f>
          </x14:formula1>
          <xm:sqref>X2:X4469</xm:sqref>
        </x14:dataValidation>
        <x14:dataValidation type="list" allowBlank="1" showInputMessage="1" showErrorMessage="1">
          <x14:formula1>
            <xm:f>'Списки данных'!$G$2:$G$9</xm:f>
          </x14:formula1>
          <xm:sqref>Q2:Q4469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92D050"/>
  </sheetPr>
  <dimension ref="B1:W22"/>
  <sheetViews>
    <sheetView zoomScale="90" zoomScaleNormal="90" workbookViewId="0">
      <selection activeCell="R26" sqref="R26"/>
    </sheetView>
  </sheetViews>
  <sheetFormatPr defaultRowHeight="15" x14ac:dyDescent="0.25"/>
  <cols>
    <col min="1" max="1" width="3.7109375" style="160" customWidth="1"/>
    <col min="2" max="2" width="20.85546875" style="160" customWidth="1"/>
    <col min="3" max="3" width="4.28515625" style="160" customWidth="1"/>
    <col min="4" max="4" width="5.140625" style="160" customWidth="1"/>
    <col min="5" max="5" width="16" style="160" customWidth="1"/>
    <col min="6" max="6" width="8.42578125" style="160" customWidth="1"/>
    <col min="7" max="7" width="11" style="160" customWidth="1"/>
    <col min="8" max="8" width="18.5703125" style="160" customWidth="1"/>
    <col min="9" max="9" width="13" style="160" customWidth="1"/>
    <col min="10" max="10" width="11.7109375" style="160" customWidth="1"/>
    <col min="11" max="11" width="17.7109375" style="160" customWidth="1"/>
    <col min="12" max="12" width="13" style="160" customWidth="1"/>
    <col min="13" max="13" width="5.7109375" style="160" customWidth="1"/>
    <col min="14" max="14" width="15" style="160" customWidth="1"/>
    <col min="15" max="15" width="17.140625" style="160" customWidth="1"/>
    <col min="16" max="16" width="8.7109375" style="160" customWidth="1"/>
    <col min="17" max="17" width="3.7109375" style="160" customWidth="1"/>
    <col min="18" max="18" width="18.5703125" style="160" customWidth="1"/>
    <col min="19" max="19" width="10" style="160" customWidth="1"/>
    <col min="20" max="20" width="3.140625" style="160" customWidth="1"/>
    <col min="21" max="21" width="16.28515625" style="160" customWidth="1"/>
    <col min="22" max="22" width="9.5703125" style="160" customWidth="1"/>
    <col min="23" max="23" width="18.28515625" style="160" customWidth="1"/>
    <col min="24" max="26" width="11.7109375" style="160" customWidth="1"/>
    <col min="27" max="27" width="9.140625" style="160"/>
    <col min="28" max="34" width="9.140625" style="160" customWidth="1"/>
    <col min="35" max="16384" width="9.140625" style="160"/>
  </cols>
  <sheetData>
    <row r="1" spans="2:23" ht="18" customHeight="1" x14ac:dyDescent="0.25">
      <c r="B1" s="161" t="s">
        <v>3299</v>
      </c>
      <c r="D1" s="175" t="s">
        <v>3300</v>
      </c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206">
        <v>2023</v>
      </c>
    </row>
    <row r="2" spans="2:23" ht="15.75" customHeight="1" x14ac:dyDescent="0.25">
      <c r="B2" s="221" t="s">
        <v>105</v>
      </c>
    </row>
    <row r="3" spans="2:23" x14ac:dyDescent="0.25">
      <c r="B3" s="221"/>
    </row>
    <row r="4" spans="2:23" ht="30" customHeight="1" x14ac:dyDescent="0.25"/>
    <row r="6" spans="2:23" ht="32.25" customHeight="1" x14ac:dyDescent="0.25"/>
    <row r="7" spans="2:23" ht="35.25" customHeight="1" x14ac:dyDescent="0.25"/>
    <row r="10" spans="2:23" ht="37.5" customHeight="1" x14ac:dyDescent="0.25"/>
    <row r="12" spans="2:23" x14ac:dyDescent="0.25">
      <c r="B12" s="173"/>
    </row>
    <row r="19" spans="4:13" ht="7.5" customHeight="1" x14ac:dyDescent="0.25"/>
    <row r="20" spans="4:13" x14ac:dyDescent="0.25">
      <c r="D20" s="166"/>
      <c r="E20" s="166"/>
      <c r="F20" s="170"/>
      <c r="G20" s="167"/>
      <c r="H20" s="166"/>
      <c r="I20" s="166"/>
      <c r="J20" s="169"/>
      <c r="K20" s="166"/>
      <c r="L20" s="168"/>
      <c r="M20" s="166"/>
    </row>
    <row r="21" spans="4:13" ht="30" customHeight="1" x14ac:dyDescent="0.25">
      <c r="D21" s="166"/>
      <c r="E21" s="171" t="s">
        <v>117</v>
      </c>
      <c r="F21" s="174">
        <f>'текучесть (расчет)'!$C$4</f>
        <v>7.0000000000000007E-2</v>
      </c>
      <c r="G21" s="166"/>
      <c r="H21" s="171" t="s">
        <v>118</v>
      </c>
      <c r="I21" s="172">
        <f>'текучесть (расчет)'!$C$5</f>
        <v>3.7369207772795218E-2</v>
      </c>
      <c r="J21" s="169"/>
      <c r="K21" s="171" t="s">
        <v>119</v>
      </c>
      <c r="L21" s="172">
        <f>'текучесть (расчет)'!$C$6</f>
        <v>9.7159940209267555E-3</v>
      </c>
      <c r="M21" s="166"/>
    </row>
    <row r="22" spans="4:13" x14ac:dyDescent="0.25">
      <c r="D22" s="166"/>
      <c r="E22" s="166"/>
      <c r="F22" s="166"/>
      <c r="G22" s="166"/>
      <c r="H22" s="166"/>
      <c r="I22" s="166"/>
      <c r="J22" s="166"/>
      <c r="K22" s="166"/>
      <c r="L22" s="166"/>
      <c r="M22" s="166"/>
    </row>
  </sheetData>
  <mergeCells count="1">
    <mergeCell ref="B2:B3"/>
  </mergeCells>
  <conditionalFormatting sqref="I21">
    <cfRule type="cellIs" dxfId="76" priority="3" operator="lessThan">
      <formula>$F$21</formula>
    </cfRule>
    <cfRule type="cellIs" dxfId="75" priority="5" operator="greaterThan">
      <formula>$F$21</formula>
    </cfRule>
  </conditionalFormatting>
  <conditionalFormatting sqref="L21">
    <cfRule type="cellIs" dxfId="74" priority="1" operator="lessThan">
      <formula>$F$21</formula>
    </cfRule>
    <cfRule type="cellIs" dxfId="73" priority="2" operator="greaterThan">
      <formula>$F$21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'Списки данных'!$R$2:$R$14</xm:f>
          </x14:formula1>
          <xm:sqref>B2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I1041951"/>
  <sheetViews>
    <sheetView workbookViewId="0">
      <selection activeCell="B1" sqref="B1"/>
    </sheetView>
  </sheetViews>
  <sheetFormatPr defaultRowHeight="15" x14ac:dyDescent="0.25"/>
  <cols>
    <col min="1" max="1" width="16.42578125" style="36" customWidth="1"/>
    <col min="2" max="2" width="15.140625" style="29" customWidth="1"/>
    <col min="3" max="3" width="33.85546875" style="29" bestFit="1" customWidth="1"/>
    <col min="4" max="4" width="15.5703125" style="36" customWidth="1"/>
    <col min="5" max="5" width="18.140625" bestFit="1" customWidth="1"/>
    <col min="6" max="6" width="14.28515625" customWidth="1"/>
    <col min="7" max="7" width="14" customWidth="1"/>
    <col min="8" max="8" width="28.140625" bestFit="1" customWidth="1"/>
    <col min="9" max="9" width="12.28515625" customWidth="1"/>
  </cols>
  <sheetData>
    <row r="1" spans="1:9" ht="36" x14ac:dyDescent="0.25">
      <c r="A1" s="214" t="s">
        <v>26</v>
      </c>
      <c r="B1" s="214" t="s">
        <v>3</v>
      </c>
      <c r="C1" s="214" t="s">
        <v>32</v>
      </c>
      <c r="D1" s="214" t="s">
        <v>25</v>
      </c>
      <c r="E1" s="214" t="s">
        <v>11</v>
      </c>
      <c r="F1" s="214" t="s">
        <v>62</v>
      </c>
      <c r="G1" s="214" t="s">
        <v>63</v>
      </c>
      <c r="H1" s="214" t="s">
        <v>64</v>
      </c>
      <c r="I1" s="214" t="s">
        <v>271</v>
      </c>
    </row>
    <row r="2" spans="1:9" x14ac:dyDescent="0.25">
      <c r="A2" s="74" t="s">
        <v>2158</v>
      </c>
      <c r="B2" s="45">
        <v>1</v>
      </c>
      <c r="C2" s="63" t="s">
        <v>415</v>
      </c>
      <c r="D2" s="74">
        <v>500045</v>
      </c>
      <c r="E2" s="208" t="s">
        <v>124</v>
      </c>
      <c r="F2" s="208" t="s">
        <v>178</v>
      </c>
      <c r="G2" s="208" t="s">
        <v>21</v>
      </c>
      <c r="H2" s="209" t="s">
        <v>179</v>
      </c>
      <c r="I2" s="210">
        <v>5</v>
      </c>
    </row>
    <row r="3" spans="1:9" x14ac:dyDescent="0.25">
      <c r="A3" s="74" t="s">
        <v>2159</v>
      </c>
      <c r="B3" s="45">
        <v>2</v>
      </c>
      <c r="C3" s="64" t="s">
        <v>416</v>
      </c>
      <c r="D3" s="74">
        <v>500527</v>
      </c>
      <c r="E3" s="208" t="s">
        <v>124</v>
      </c>
      <c r="F3" s="208" t="s">
        <v>21</v>
      </c>
      <c r="G3" s="208" t="s">
        <v>21</v>
      </c>
      <c r="H3" s="209" t="s">
        <v>180</v>
      </c>
      <c r="I3" s="210">
        <v>5</v>
      </c>
    </row>
    <row r="4" spans="1:9" x14ac:dyDescent="0.25">
      <c r="A4" s="74" t="s">
        <v>2160</v>
      </c>
      <c r="B4" s="45">
        <v>3</v>
      </c>
      <c r="C4" s="64" t="s">
        <v>417</v>
      </c>
      <c r="D4" s="74">
        <v>500528</v>
      </c>
      <c r="E4" s="208" t="s">
        <v>124</v>
      </c>
      <c r="F4" s="208" t="s">
        <v>178</v>
      </c>
      <c r="G4" s="208" t="s">
        <v>21</v>
      </c>
      <c r="H4" s="209" t="s">
        <v>179</v>
      </c>
      <c r="I4" s="210">
        <v>5</v>
      </c>
    </row>
    <row r="5" spans="1:9" x14ac:dyDescent="0.25">
      <c r="A5" s="74" t="s">
        <v>2161</v>
      </c>
      <c r="B5" s="45">
        <v>4</v>
      </c>
      <c r="C5" s="63" t="s">
        <v>418</v>
      </c>
      <c r="D5" s="74">
        <v>500529</v>
      </c>
      <c r="E5" s="208" t="s">
        <v>124</v>
      </c>
      <c r="F5" s="208" t="s">
        <v>178</v>
      </c>
      <c r="G5" s="208" t="s">
        <v>21</v>
      </c>
      <c r="H5" s="209" t="s">
        <v>179</v>
      </c>
      <c r="I5" s="210">
        <v>5</v>
      </c>
    </row>
    <row r="6" spans="1:9" x14ac:dyDescent="0.25">
      <c r="A6" s="74" t="s">
        <v>2162</v>
      </c>
      <c r="B6" s="45">
        <v>5</v>
      </c>
      <c r="C6" s="64" t="s">
        <v>419</v>
      </c>
      <c r="D6" s="74">
        <v>500530</v>
      </c>
      <c r="E6" s="208" t="s">
        <v>124</v>
      </c>
      <c r="F6" s="208" t="s">
        <v>21</v>
      </c>
      <c r="G6" s="208" t="s">
        <v>21</v>
      </c>
      <c r="H6" s="209" t="s">
        <v>180</v>
      </c>
      <c r="I6" s="210">
        <v>5</v>
      </c>
    </row>
    <row r="7" spans="1:9" x14ac:dyDescent="0.25">
      <c r="A7" s="74" t="s">
        <v>2163</v>
      </c>
      <c r="B7" s="45">
        <v>6</v>
      </c>
      <c r="C7" s="63" t="s">
        <v>420</v>
      </c>
      <c r="D7" s="74">
        <v>500548</v>
      </c>
      <c r="E7" s="208" t="s">
        <v>124</v>
      </c>
      <c r="F7" s="208" t="s">
        <v>21</v>
      </c>
      <c r="G7" s="208" t="s">
        <v>21</v>
      </c>
      <c r="H7" s="209" t="s">
        <v>181</v>
      </c>
      <c r="I7" s="210">
        <v>3</v>
      </c>
    </row>
    <row r="8" spans="1:9" x14ac:dyDescent="0.25">
      <c r="A8" s="74" t="s">
        <v>2164</v>
      </c>
      <c r="B8" s="45">
        <v>7</v>
      </c>
      <c r="C8" s="64" t="s">
        <v>421</v>
      </c>
      <c r="D8" s="74">
        <v>500078</v>
      </c>
      <c r="E8" s="208" t="s">
        <v>124</v>
      </c>
      <c r="F8" s="208" t="s">
        <v>178</v>
      </c>
      <c r="G8" s="208" t="s">
        <v>21</v>
      </c>
      <c r="H8" s="209" t="s">
        <v>180</v>
      </c>
      <c r="I8" s="210">
        <v>5</v>
      </c>
    </row>
    <row r="9" spans="1:9" x14ac:dyDescent="0.25">
      <c r="A9" s="74" t="s">
        <v>2165</v>
      </c>
      <c r="B9" s="45">
        <v>8</v>
      </c>
      <c r="C9" s="63" t="s">
        <v>422</v>
      </c>
      <c r="D9" s="74">
        <v>500079</v>
      </c>
      <c r="E9" s="208" t="s">
        <v>124</v>
      </c>
      <c r="F9" s="208" t="s">
        <v>178</v>
      </c>
      <c r="G9" s="208" t="s">
        <v>21</v>
      </c>
      <c r="H9" s="209" t="s">
        <v>180</v>
      </c>
      <c r="I9" s="210">
        <v>5</v>
      </c>
    </row>
    <row r="10" spans="1:9" x14ac:dyDescent="0.25">
      <c r="A10" s="74" t="s">
        <v>2166</v>
      </c>
      <c r="B10" s="45">
        <v>9</v>
      </c>
      <c r="C10" s="64" t="s">
        <v>423</v>
      </c>
      <c r="D10" s="74">
        <v>500715</v>
      </c>
      <c r="E10" s="208" t="s">
        <v>124</v>
      </c>
      <c r="F10" s="208" t="s">
        <v>21</v>
      </c>
      <c r="G10" s="208" t="s">
        <v>21</v>
      </c>
      <c r="H10" s="209" t="s">
        <v>180</v>
      </c>
      <c r="I10" s="210">
        <v>5</v>
      </c>
    </row>
    <row r="11" spans="1:9" x14ac:dyDescent="0.25">
      <c r="A11" s="74" t="s">
        <v>2167</v>
      </c>
      <c r="B11" s="45">
        <v>10</v>
      </c>
      <c r="C11" s="64" t="s">
        <v>424</v>
      </c>
      <c r="D11" s="74">
        <v>500714</v>
      </c>
      <c r="E11" s="208" t="s">
        <v>124</v>
      </c>
      <c r="F11" s="208" t="s">
        <v>21</v>
      </c>
      <c r="G11" s="208" t="s">
        <v>21</v>
      </c>
      <c r="H11" s="209" t="s">
        <v>180</v>
      </c>
      <c r="I11" s="210">
        <v>5</v>
      </c>
    </row>
    <row r="12" spans="1:9" x14ac:dyDescent="0.25">
      <c r="A12" s="74" t="s">
        <v>2168</v>
      </c>
      <c r="B12" s="45">
        <v>11</v>
      </c>
      <c r="C12" s="63" t="s">
        <v>425</v>
      </c>
      <c r="D12" s="74">
        <v>500296</v>
      </c>
      <c r="E12" s="208" t="s">
        <v>121</v>
      </c>
      <c r="F12" s="208" t="s">
        <v>182</v>
      </c>
      <c r="G12" s="208" t="s">
        <v>21</v>
      </c>
      <c r="H12" s="209" t="s">
        <v>183</v>
      </c>
      <c r="I12" s="210">
        <v>5</v>
      </c>
    </row>
    <row r="13" spans="1:9" x14ac:dyDescent="0.25">
      <c r="A13" s="74" t="s">
        <v>2169</v>
      </c>
      <c r="B13" s="45" t="s">
        <v>23</v>
      </c>
      <c r="C13" s="63" t="s">
        <v>23</v>
      </c>
      <c r="D13" s="74">
        <v>500297</v>
      </c>
      <c r="E13" s="208" t="s">
        <v>121</v>
      </c>
      <c r="F13" s="208" t="s">
        <v>182</v>
      </c>
      <c r="G13" s="208" t="s">
        <v>184</v>
      </c>
      <c r="H13" s="209" t="s">
        <v>185</v>
      </c>
      <c r="I13" s="210">
        <v>6</v>
      </c>
    </row>
    <row r="14" spans="1:9" x14ac:dyDescent="0.25">
      <c r="A14" s="74" t="s">
        <v>2170</v>
      </c>
      <c r="B14" s="45">
        <v>12</v>
      </c>
      <c r="C14" s="63" t="s">
        <v>426</v>
      </c>
      <c r="D14" s="74">
        <v>500300</v>
      </c>
      <c r="E14" s="208" t="s">
        <v>121</v>
      </c>
      <c r="F14" s="208" t="s">
        <v>182</v>
      </c>
      <c r="G14" s="208" t="s">
        <v>184</v>
      </c>
      <c r="H14" s="209" t="s">
        <v>185</v>
      </c>
      <c r="I14" s="210">
        <v>6</v>
      </c>
    </row>
    <row r="15" spans="1:9" x14ac:dyDescent="0.25">
      <c r="A15" s="74" t="s">
        <v>2171</v>
      </c>
      <c r="B15" s="45">
        <v>13</v>
      </c>
      <c r="C15" s="63" t="s">
        <v>427</v>
      </c>
      <c r="D15" s="74">
        <v>500308</v>
      </c>
      <c r="E15" s="208" t="s">
        <v>121</v>
      </c>
      <c r="F15" s="208" t="s">
        <v>182</v>
      </c>
      <c r="G15" s="208" t="s">
        <v>184</v>
      </c>
      <c r="H15" s="209" t="s">
        <v>185</v>
      </c>
      <c r="I15" s="210">
        <v>6</v>
      </c>
    </row>
    <row r="16" spans="1:9" x14ac:dyDescent="0.25">
      <c r="A16" s="74" t="s">
        <v>2172</v>
      </c>
      <c r="B16" s="45">
        <v>14</v>
      </c>
      <c r="C16" s="63" t="s">
        <v>428</v>
      </c>
      <c r="D16" s="74">
        <v>500327</v>
      </c>
      <c r="E16" s="208" t="s">
        <v>121</v>
      </c>
      <c r="F16" s="208" t="s">
        <v>182</v>
      </c>
      <c r="G16" s="208" t="s">
        <v>184</v>
      </c>
      <c r="H16" s="209" t="s">
        <v>185</v>
      </c>
      <c r="I16" s="210">
        <v>6</v>
      </c>
    </row>
    <row r="17" spans="1:9" x14ac:dyDescent="0.25">
      <c r="A17" s="74" t="s">
        <v>2173</v>
      </c>
      <c r="B17" s="45">
        <v>15</v>
      </c>
      <c r="C17" s="63" t="s">
        <v>429</v>
      </c>
      <c r="D17" s="74">
        <v>500328</v>
      </c>
      <c r="E17" s="208" t="s">
        <v>121</v>
      </c>
      <c r="F17" s="208" t="s">
        <v>182</v>
      </c>
      <c r="G17" s="208" t="s">
        <v>184</v>
      </c>
      <c r="H17" s="209" t="s">
        <v>185</v>
      </c>
      <c r="I17" s="210">
        <v>6</v>
      </c>
    </row>
    <row r="18" spans="1:9" x14ac:dyDescent="0.25">
      <c r="A18" s="74" t="s">
        <v>2174</v>
      </c>
      <c r="B18" s="45">
        <v>16</v>
      </c>
      <c r="C18" s="63" t="s">
        <v>430</v>
      </c>
      <c r="D18" s="74">
        <v>500310</v>
      </c>
      <c r="E18" s="208" t="s">
        <v>121</v>
      </c>
      <c r="F18" s="208" t="s">
        <v>182</v>
      </c>
      <c r="G18" s="208" t="s">
        <v>184</v>
      </c>
      <c r="H18" s="209" t="s">
        <v>185</v>
      </c>
      <c r="I18" s="210">
        <v>6</v>
      </c>
    </row>
    <row r="19" spans="1:9" x14ac:dyDescent="0.25">
      <c r="A19" s="74" t="s">
        <v>2175</v>
      </c>
      <c r="B19" s="45">
        <v>17</v>
      </c>
      <c r="C19" s="63" t="s">
        <v>431</v>
      </c>
      <c r="D19" s="74">
        <v>500620</v>
      </c>
      <c r="E19" s="208" t="s">
        <v>121</v>
      </c>
      <c r="F19" s="208" t="s">
        <v>182</v>
      </c>
      <c r="G19" s="208" t="s">
        <v>21</v>
      </c>
      <c r="H19" s="209" t="s">
        <v>186</v>
      </c>
      <c r="I19" s="210">
        <v>5</v>
      </c>
    </row>
    <row r="20" spans="1:9" x14ac:dyDescent="0.25">
      <c r="A20" s="74" t="s">
        <v>2176</v>
      </c>
      <c r="B20" s="45">
        <v>18</v>
      </c>
      <c r="C20" s="63" t="s">
        <v>432</v>
      </c>
      <c r="D20" s="74">
        <v>500619</v>
      </c>
      <c r="E20" s="208" t="s">
        <v>121</v>
      </c>
      <c r="F20" s="208" t="s">
        <v>182</v>
      </c>
      <c r="G20" s="208" t="s">
        <v>184</v>
      </c>
      <c r="H20" s="209" t="s">
        <v>187</v>
      </c>
      <c r="I20" s="210">
        <v>6</v>
      </c>
    </row>
    <row r="21" spans="1:9" x14ac:dyDescent="0.25">
      <c r="A21" s="74" t="s">
        <v>2177</v>
      </c>
      <c r="B21" s="45">
        <v>19</v>
      </c>
      <c r="C21" s="63" t="s">
        <v>433</v>
      </c>
      <c r="D21" s="74">
        <v>500617</v>
      </c>
      <c r="E21" s="208" t="s">
        <v>121</v>
      </c>
      <c r="F21" s="208" t="s">
        <v>182</v>
      </c>
      <c r="G21" s="208" t="s">
        <v>184</v>
      </c>
      <c r="H21" s="209" t="s">
        <v>187</v>
      </c>
      <c r="I21" s="210">
        <v>6</v>
      </c>
    </row>
    <row r="22" spans="1:9" x14ac:dyDescent="0.25">
      <c r="A22" s="74" t="s">
        <v>2178</v>
      </c>
      <c r="B22" s="45">
        <v>20</v>
      </c>
      <c r="C22" s="64" t="s">
        <v>434</v>
      </c>
      <c r="D22" s="74">
        <v>500618</v>
      </c>
      <c r="E22" s="208" t="s">
        <v>121</v>
      </c>
      <c r="F22" s="208" t="s">
        <v>182</v>
      </c>
      <c r="G22" s="208" t="s">
        <v>184</v>
      </c>
      <c r="H22" s="209" t="s">
        <v>187</v>
      </c>
      <c r="I22" s="210">
        <v>6</v>
      </c>
    </row>
    <row r="23" spans="1:9" x14ac:dyDescent="0.25">
      <c r="A23" s="74" t="s">
        <v>2179</v>
      </c>
      <c r="B23" s="45">
        <v>21</v>
      </c>
      <c r="C23" s="63" t="s">
        <v>435</v>
      </c>
      <c r="D23" s="74">
        <v>500630</v>
      </c>
      <c r="E23" s="208" t="s">
        <v>121</v>
      </c>
      <c r="F23" s="208" t="s">
        <v>182</v>
      </c>
      <c r="G23" s="208" t="s">
        <v>21</v>
      </c>
      <c r="H23" s="209" t="s">
        <v>187</v>
      </c>
      <c r="I23" s="210">
        <v>6</v>
      </c>
    </row>
    <row r="24" spans="1:9" x14ac:dyDescent="0.25">
      <c r="A24" s="74" t="s">
        <v>2180</v>
      </c>
      <c r="B24" s="45">
        <v>22</v>
      </c>
      <c r="C24" s="63" t="s">
        <v>436</v>
      </c>
      <c r="D24" s="74">
        <v>500637</v>
      </c>
      <c r="E24" s="208" t="s">
        <v>121</v>
      </c>
      <c r="F24" s="208" t="s">
        <v>182</v>
      </c>
      <c r="G24" s="208" t="s">
        <v>184</v>
      </c>
      <c r="H24" s="209" t="s">
        <v>187</v>
      </c>
      <c r="I24" s="210">
        <v>6</v>
      </c>
    </row>
    <row r="25" spans="1:9" x14ac:dyDescent="0.25">
      <c r="A25" s="74" t="s">
        <v>2181</v>
      </c>
      <c r="B25" s="45">
        <v>23</v>
      </c>
      <c r="C25" s="63" t="s">
        <v>437</v>
      </c>
      <c r="D25" s="74">
        <v>500012</v>
      </c>
      <c r="E25" s="208" t="s">
        <v>133</v>
      </c>
      <c r="F25" s="208" t="s">
        <v>21</v>
      </c>
      <c r="G25" s="208" t="s">
        <v>21</v>
      </c>
      <c r="H25" s="209" t="s">
        <v>183</v>
      </c>
      <c r="I25" s="210">
        <v>4</v>
      </c>
    </row>
    <row r="26" spans="1:9" x14ac:dyDescent="0.25">
      <c r="A26" s="74" t="s">
        <v>2182</v>
      </c>
      <c r="B26" s="45">
        <v>24</v>
      </c>
      <c r="C26" s="64" t="s">
        <v>438</v>
      </c>
      <c r="D26" s="74">
        <v>500014</v>
      </c>
      <c r="E26" s="208" t="s">
        <v>132</v>
      </c>
      <c r="F26" s="208" t="s">
        <v>21</v>
      </c>
      <c r="G26" s="208" t="s">
        <v>21</v>
      </c>
      <c r="H26" s="209" t="s">
        <v>183</v>
      </c>
      <c r="I26" s="210">
        <v>4</v>
      </c>
    </row>
    <row r="27" spans="1:9" x14ac:dyDescent="0.25">
      <c r="A27" s="74" t="s">
        <v>2183</v>
      </c>
      <c r="B27" s="45">
        <v>25</v>
      </c>
      <c r="C27" s="64" t="s">
        <v>439</v>
      </c>
      <c r="D27" s="74">
        <v>500329</v>
      </c>
      <c r="E27" s="208" t="s">
        <v>122</v>
      </c>
      <c r="F27" s="208" t="s">
        <v>188</v>
      </c>
      <c r="G27" s="208" t="s">
        <v>21</v>
      </c>
      <c r="H27" s="209" t="s">
        <v>186</v>
      </c>
      <c r="I27" s="210">
        <v>5</v>
      </c>
    </row>
    <row r="28" spans="1:9" x14ac:dyDescent="0.25">
      <c r="A28" s="74" t="s">
        <v>2184</v>
      </c>
      <c r="B28" s="45">
        <v>26</v>
      </c>
      <c r="C28" s="64" t="s">
        <v>440</v>
      </c>
      <c r="D28" s="74">
        <v>500330</v>
      </c>
      <c r="E28" s="208" t="s">
        <v>122</v>
      </c>
      <c r="F28" s="208" t="s">
        <v>188</v>
      </c>
      <c r="G28" s="208" t="s">
        <v>21</v>
      </c>
      <c r="H28" s="209" t="s">
        <v>186</v>
      </c>
      <c r="I28" s="210">
        <v>5</v>
      </c>
    </row>
    <row r="29" spans="1:9" x14ac:dyDescent="0.25">
      <c r="A29" s="74" t="s">
        <v>2185</v>
      </c>
      <c r="B29" s="45">
        <v>27</v>
      </c>
      <c r="C29" s="63" t="s">
        <v>441</v>
      </c>
      <c r="D29" s="74">
        <v>500331</v>
      </c>
      <c r="E29" s="208" t="s">
        <v>122</v>
      </c>
      <c r="F29" s="208" t="s">
        <v>188</v>
      </c>
      <c r="G29" s="208" t="s">
        <v>21</v>
      </c>
      <c r="H29" s="209" t="s">
        <v>186</v>
      </c>
      <c r="I29" s="210">
        <v>5</v>
      </c>
    </row>
    <row r="30" spans="1:9" x14ac:dyDescent="0.25">
      <c r="A30" s="74" t="s">
        <v>2186</v>
      </c>
      <c r="B30" s="45">
        <v>28</v>
      </c>
      <c r="C30" s="64" t="s">
        <v>442</v>
      </c>
      <c r="D30" s="74">
        <v>500332</v>
      </c>
      <c r="E30" s="208" t="s">
        <v>122</v>
      </c>
      <c r="F30" s="208" t="s">
        <v>21</v>
      </c>
      <c r="G30" s="208" t="s">
        <v>21</v>
      </c>
      <c r="H30" s="209" t="s">
        <v>183</v>
      </c>
      <c r="I30" s="210">
        <v>4</v>
      </c>
    </row>
    <row r="31" spans="1:9" x14ac:dyDescent="0.25">
      <c r="A31" s="74" t="s">
        <v>2187</v>
      </c>
      <c r="B31" s="45" t="s">
        <v>23</v>
      </c>
      <c r="C31" s="45" t="s">
        <v>23</v>
      </c>
      <c r="D31" s="74">
        <v>500333</v>
      </c>
      <c r="E31" s="208" t="s">
        <v>122</v>
      </c>
      <c r="F31" s="208" t="s">
        <v>188</v>
      </c>
      <c r="G31" s="208" t="s">
        <v>21</v>
      </c>
      <c r="H31" s="209" t="s">
        <v>187</v>
      </c>
      <c r="I31" s="210">
        <v>5</v>
      </c>
    </row>
    <row r="32" spans="1:9" x14ac:dyDescent="0.25">
      <c r="A32" s="74" t="s">
        <v>2188</v>
      </c>
      <c r="B32" s="45">
        <v>29</v>
      </c>
      <c r="C32" s="64" t="s">
        <v>443</v>
      </c>
      <c r="D32" s="74">
        <v>500334</v>
      </c>
      <c r="E32" s="208" t="s">
        <v>122</v>
      </c>
      <c r="F32" s="208" t="s">
        <v>21</v>
      </c>
      <c r="G32" s="208" t="s">
        <v>21</v>
      </c>
      <c r="H32" s="209" t="s">
        <v>189</v>
      </c>
      <c r="I32" s="210">
        <v>6</v>
      </c>
    </row>
    <row r="33" spans="1:9" x14ac:dyDescent="0.25">
      <c r="A33" s="74" t="s">
        <v>2189</v>
      </c>
      <c r="B33" s="45">
        <v>30</v>
      </c>
      <c r="C33" s="64" t="s">
        <v>444</v>
      </c>
      <c r="D33" s="74">
        <v>500335</v>
      </c>
      <c r="E33" s="208" t="s">
        <v>122</v>
      </c>
      <c r="F33" s="208" t="s">
        <v>188</v>
      </c>
      <c r="G33" s="208" t="s">
        <v>190</v>
      </c>
      <c r="H33" s="209" t="s">
        <v>191</v>
      </c>
      <c r="I33" s="210">
        <v>6</v>
      </c>
    </row>
    <row r="34" spans="1:9" x14ac:dyDescent="0.25">
      <c r="A34" s="74" t="s">
        <v>2190</v>
      </c>
      <c r="B34" s="45">
        <v>31</v>
      </c>
      <c r="C34" s="64" t="s">
        <v>445</v>
      </c>
      <c r="D34" s="74">
        <v>500335</v>
      </c>
      <c r="E34" s="208" t="s">
        <v>122</v>
      </c>
      <c r="F34" s="208" t="s">
        <v>188</v>
      </c>
      <c r="G34" s="208" t="s">
        <v>190</v>
      </c>
      <c r="H34" s="209" t="s">
        <v>191</v>
      </c>
      <c r="I34" s="210">
        <v>6</v>
      </c>
    </row>
    <row r="35" spans="1:9" x14ac:dyDescent="0.25">
      <c r="A35" s="74" t="s">
        <v>2191</v>
      </c>
      <c r="B35" s="45">
        <v>32</v>
      </c>
      <c r="C35" s="64" t="s">
        <v>446</v>
      </c>
      <c r="D35" s="74">
        <v>500335</v>
      </c>
      <c r="E35" s="208" t="s">
        <v>122</v>
      </c>
      <c r="F35" s="208" t="s">
        <v>188</v>
      </c>
      <c r="G35" s="208" t="s">
        <v>190</v>
      </c>
      <c r="H35" s="209" t="s">
        <v>191</v>
      </c>
      <c r="I35" s="210">
        <v>6</v>
      </c>
    </row>
    <row r="36" spans="1:9" x14ac:dyDescent="0.25">
      <c r="A36" s="74" t="s">
        <v>2192</v>
      </c>
      <c r="B36" s="45">
        <v>33</v>
      </c>
      <c r="C36" s="64" t="s">
        <v>447</v>
      </c>
      <c r="D36" s="74">
        <v>500336</v>
      </c>
      <c r="E36" s="208" t="s">
        <v>122</v>
      </c>
      <c r="F36" s="208" t="s">
        <v>188</v>
      </c>
      <c r="G36" s="208" t="s">
        <v>190</v>
      </c>
      <c r="H36" s="209" t="s">
        <v>189</v>
      </c>
      <c r="I36" s="210">
        <v>6</v>
      </c>
    </row>
    <row r="37" spans="1:9" x14ac:dyDescent="0.25">
      <c r="A37" s="74" t="s">
        <v>2193</v>
      </c>
      <c r="B37" s="45">
        <v>34</v>
      </c>
      <c r="C37" s="64" t="s">
        <v>448</v>
      </c>
      <c r="D37" s="74">
        <v>500337</v>
      </c>
      <c r="E37" s="208" t="s">
        <v>122</v>
      </c>
      <c r="F37" s="208" t="s">
        <v>188</v>
      </c>
      <c r="G37" s="208" t="s">
        <v>190</v>
      </c>
      <c r="H37" s="209" t="s">
        <v>191</v>
      </c>
      <c r="I37" s="210">
        <v>6</v>
      </c>
    </row>
    <row r="38" spans="1:9" x14ac:dyDescent="0.25">
      <c r="A38" s="74" t="s">
        <v>2194</v>
      </c>
      <c r="B38" s="45">
        <v>35</v>
      </c>
      <c r="C38" s="64" t="s">
        <v>449</v>
      </c>
      <c r="D38" s="74">
        <v>500337</v>
      </c>
      <c r="E38" s="208" t="s">
        <v>122</v>
      </c>
      <c r="F38" s="208" t="s">
        <v>188</v>
      </c>
      <c r="G38" s="208" t="s">
        <v>190</v>
      </c>
      <c r="H38" s="209" t="s">
        <v>191</v>
      </c>
      <c r="I38" s="210">
        <v>6</v>
      </c>
    </row>
    <row r="39" spans="1:9" x14ac:dyDescent="0.25">
      <c r="A39" s="74" t="s">
        <v>2195</v>
      </c>
      <c r="B39" s="45">
        <v>36</v>
      </c>
      <c r="C39" s="64" t="s">
        <v>450</v>
      </c>
      <c r="D39" s="74">
        <v>500337</v>
      </c>
      <c r="E39" s="208" t="s">
        <v>122</v>
      </c>
      <c r="F39" s="208" t="s">
        <v>188</v>
      </c>
      <c r="G39" s="208" t="s">
        <v>190</v>
      </c>
      <c r="H39" s="209" t="s">
        <v>191</v>
      </c>
      <c r="I39" s="210">
        <v>6</v>
      </c>
    </row>
    <row r="40" spans="1:9" x14ac:dyDescent="0.25">
      <c r="A40" s="74" t="s">
        <v>2196</v>
      </c>
      <c r="B40" s="45">
        <v>37</v>
      </c>
      <c r="C40" s="64" t="s">
        <v>451</v>
      </c>
      <c r="D40" s="74">
        <v>500337</v>
      </c>
      <c r="E40" s="208" t="s">
        <v>122</v>
      </c>
      <c r="F40" s="208" t="s">
        <v>188</v>
      </c>
      <c r="G40" s="208" t="s">
        <v>190</v>
      </c>
      <c r="H40" s="209" t="s">
        <v>191</v>
      </c>
      <c r="I40" s="210">
        <v>6</v>
      </c>
    </row>
    <row r="41" spans="1:9" x14ac:dyDescent="0.25">
      <c r="A41" s="74" t="s">
        <v>2197</v>
      </c>
      <c r="B41" s="45">
        <v>38</v>
      </c>
      <c r="C41" s="63" t="s">
        <v>452</v>
      </c>
      <c r="D41" s="74">
        <v>500338</v>
      </c>
      <c r="E41" s="208" t="s">
        <v>122</v>
      </c>
      <c r="F41" s="208" t="s">
        <v>188</v>
      </c>
      <c r="G41" s="208" t="s">
        <v>21</v>
      </c>
      <c r="H41" s="209" t="s">
        <v>191</v>
      </c>
      <c r="I41" s="210">
        <v>6</v>
      </c>
    </row>
    <row r="42" spans="1:9" x14ac:dyDescent="0.25">
      <c r="A42" s="74" t="s">
        <v>2198</v>
      </c>
      <c r="B42" s="45">
        <v>39</v>
      </c>
      <c r="C42" s="64" t="s">
        <v>453</v>
      </c>
      <c r="D42" s="74">
        <v>500338</v>
      </c>
      <c r="E42" s="208" t="s">
        <v>122</v>
      </c>
      <c r="F42" s="208" t="s">
        <v>188</v>
      </c>
      <c r="G42" s="208" t="s">
        <v>21</v>
      </c>
      <c r="H42" s="209" t="s">
        <v>191</v>
      </c>
      <c r="I42" s="210">
        <v>6</v>
      </c>
    </row>
    <row r="43" spans="1:9" x14ac:dyDescent="0.25">
      <c r="A43" s="74" t="s">
        <v>2199</v>
      </c>
      <c r="B43" s="45">
        <v>40</v>
      </c>
      <c r="C43" s="64" t="s">
        <v>454</v>
      </c>
      <c r="D43" s="74">
        <v>500338</v>
      </c>
      <c r="E43" s="208" t="s">
        <v>122</v>
      </c>
      <c r="F43" s="208" t="s">
        <v>188</v>
      </c>
      <c r="G43" s="208" t="s">
        <v>21</v>
      </c>
      <c r="H43" s="209" t="s">
        <v>191</v>
      </c>
      <c r="I43" s="210">
        <v>6</v>
      </c>
    </row>
    <row r="44" spans="1:9" x14ac:dyDescent="0.25">
      <c r="A44" s="74" t="s">
        <v>2200</v>
      </c>
      <c r="B44" s="45">
        <v>41</v>
      </c>
      <c r="C44" s="64" t="s">
        <v>455</v>
      </c>
      <c r="D44" s="74">
        <v>500338</v>
      </c>
      <c r="E44" s="208" t="s">
        <v>122</v>
      </c>
      <c r="F44" s="208" t="s">
        <v>188</v>
      </c>
      <c r="G44" s="208" t="s">
        <v>21</v>
      </c>
      <c r="H44" s="209" t="s">
        <v>191</v>
      </c>
      <c r="I44" s="210">
        <v>6</v>
      </c>
    </row>
    <row r="45" spans="1:9" x14ac:dyDescent="0.25">
      <c r="A45" s="74" t="s">
        <v>2201</v>
      </c>
      <c r="B45" s="45">
        <v>42</v>
      </c>
      <c r="C45" s="64" t="s">
        <v>456</v>
      </c>
      <c r="D45" s="74">
        <v>500339</v>
      </c>
      <c r="E45" s="208" t="s">
        <v>122</v>
      </c>
      <c r="F45" s="208" t="s">
        <v>188</v>
      </c>
      <c r="G45" s="208" t="s">
        <v>21</v>
      </c>
      <c r="H45" s="209" t="s">
        <v>186</v>
      </c>
      <c r="I45" s="210">
        <v>5</v>
      </c>
    </row>
    <row r="46" spans="1:9" x14ac:dyDescent="0.25">
      <c r="A46" s="74" t="s">
        <v>2202</v>
      </c>
      <c r="B46" s="45">
        <v>43</v>
      </c>
      <c r="C46" s="64" t="s">
        <v>457</v>
      </c>
      <c r="D46" s="74">
        <v>500340</v>
      </c>
      <c r="E46" s="208" t="s">
        <v>122</v>
      </c>
      <c r="F46" s="208" t="s">
        <v>188</v>
      </c>
      <c r="G46" s="208" t="s">
        <v>21</v>
      </c>
      <c r="H46" s="209" t="s">
        <v>192</v>
      </c>
      <c r="I46" s="210">
        <v>6</v>
      </c>
    </row>
    <row r="47" spans="1:9" x14ac:dyDescent="0.25">
      <c r="A47" s="74" t="s">
        <v>2203</v>
      </c>
      <c r="B47" s="45">
        <v>44</v>
      </c>
      <c r="C47" s="64" t="s">
        <v>458</v>
      </c>
      <c r="D47" s="74">
        <v>500341</v>
      </c>
      <c r="E47" s="208" t="s">
        <v>122</v>
      </c>
      <c r="F47" s="208" t="s">
        <v>188</v>
      </c>
      <c r="G47" s="208" t="s">
        <v>190</v>
      </c>
      <c r="H47" s="209" t="s">
        <v>192</v>
      </c>
      <c r="I47" s="210">
        <v>6</v>
      </c>
    </row>
    <row r="48" spans="1:9" x14ac:dyDescent="0.25">
      <c r="A48" s="74" t="s">
        <v>2204</v>
      </c>
      <c r="B48" s="45">
        <v>45</v>
      </c>
      <c r="C48" s="64" t="s">
        <v>459</v>
      </c>
      <c r="D48" s="74">
        <v>500342</v>
      </c>
      <c r="E48" s="208" t="s">
        <v>122</v>
      </c>
      <c r="F48" s="208" t="s">
        <v>188</v>
      </c>
      <c r="G48" s="208" t="s">
        <v>21</v>
      </c>
      <c r="H48" s="209" t="s">
        <v>191</v>
      </c>
      <c r="I48" s="210">
        <v>6</v>
      </c>
    </row>
    <row r="49" spans="1:9" x14ac:dyDescent="0.25">
      <c r="A49" s="74" t="s">
        <v>2205</v>
      </c>
      <c r="B49" s="45">
        <v>46</v>
      </c>
      <c r="C49" s="63" t="s">
        <v>460</v>
      </c>
      <c r="D49" s="74">
        <v>500342</v>
      </c>
      <c r="E49" s="208" t="s">
        <v>122</v>
      </c>
      <c r="F49" s="208" t="s">
        <v>188</v>
      </c>
      <c r="G49" s="208" t="s">
        <v>21</v>
      </c>
      <c r="H49" s="209" t="s">
        <v>191</v>
      </c>
      <c r="I49" s="210">
        <v>6</v>
      </c>
    </row>
    <row r="50" spans="1:9" x14ac:dyDescent="0.25">
      <c r="A50" s="74" t="s">
        <v>2206</v>
      </c>
      <c r="B50" s="45">
        <v>47</v>
      </c>
      <c r="C50" s="64" t="s">
        <v>461</v>
      </c>
      <c r="D50" s="74">
        <v>500342</v>
      </c>
      <c r="E50" s="208" t="s">
        <v>122</v>
      </c>
      <c r="F50" s="208" t="s">
        <v>188</v>
      </c>
      <c r="G50" s="208" t="s">
        <v>21</v>
      </c>
      <c r="H50" s="209" t="s">
        <v>191</v>
      </c>
      <c r="I50" s="210">
        <v>6</v>
      </c>
    </row>
    <row r="51" spans="1:9" x14ac:dyDescent="0.25">
      <c r="A51" s="74" t="s">
        <v>2207</v>
      </c>
      <c r="B51" s="45">
        <v>48</v>
      </c>
      <c r="C51" s="64" t="s">
        <v>462</v>
      </c>
      <c r="D51" s="74">
        <v>500343</v>
      </c>
      <c r="E51" s="208" t="s">
        <v>122</v>
      </c>
      <c r="F51" s="208" t="s">
        <v>188</v>
      </c>
      <c r="G51" s="208" t="s">
        <v>21</v>
      </c>
      <c r="H51" s="209" t="s">
        <v>192</v>
      </c>
      <c r="I51" s="210">
        <v>6</v>
      </c>
    </row>
    <row r="52" spans="1:9" x14ac:dyDescent="0.25">
      <c r="A52" s="74" t="s">
        <v>2208</v>
      </c>
      <c r="B52" s="45">
        <v>49</v>
      </c>
      <c r="C52" s="64" t="s">
        <v>463</v>
      </c>
      <c r="D52" s="74">
        <v>500344</v>
      </c>
      <c r="E52" s="208" t="s">
        <v>122</v>
      </c>
      <c r="F52" s="208" t="s">
        <v>188</v>
      </c>
      <c r="G52" s="208" t="s">
        <v>21</v>
      </c>
      <c r="H52" s="209" t="s">
        <v>192</v>
      </c>
      <c r="I52" s="210">
        <v>6</v>
      </c>
    </row>
    <row r="53" spans="1:9" x14ac:dyDescent="0.25">
      <c r="A53" s="74" t="s">
        <v>2209</v>
      </c>
      <c r="B53" s="45">
        <v>50</v>
      </c>
      <c r="C53" s="64" t="s">
        <v>464</v>
      </c>
      <c r="D53" s="74">
        <v>500345</v>
      </c>
      <c r="E53" s="208" t="s">
        <v>122</v>
      </c>
      <c r="F53" s="208" t="s">
        <v>188</v>
      </c>
      <c r="G53" s="208" t="s">
        <v>190</v>
      </c>
      <c r="H53" s="209" t="s">
        <v>192</v>
      </c>
      <c r="I53" s="210">
        <v>6</v>
      </c>
    </row>
    <row r="54" spans="1:9" x14ac:dyDescent="0.25">
      <c r="A54" s="74" t="s">
        <v>2210</v>
      </c>
      <c r="B54" s="45">
        <v>51</v>
      </c>
      <c r="C54" s="64" t="s">
        <v>465</v>
      </c>
      <c r="D54" s="74">
        <v>500346</v>
      </c>
      <c r="E54" s="208" t="s">
        <v>122</v>
      </c>
      <c r="F54" s="208" t="s">
        <v>188</v>
      </c>
      <c r="G54" s="208" t="s">
        <v>190</v>
      </c>
      <c r="H54" s="209" t="s">
        <v>193</v>
      </c>
      <c r="I54" s="210">
        <v>6</v>
      </c>
    </row>
    <row r="55" spans="1:9" x14ac:dyDescent="0.25">
      <c r="A55" s="74" t="s">
        <v>2211</v>
      </c>
      <c r="B55" s="45">
        <v>52</v>
      </c>
      <c r="C55" s="64" t="s">
        <v>466</v>
      </c>
      <c r="D55" s="74">
        <v>500347</v>
      </c>
      <c r="E55" s="208" t="s">
        <v>122</v>
      </c>
      <c r="F55" s="208" t="s">
        <v>188</v>
      </c>
      <c r="G55" s="208" t="s">
        <v>21</v>
      </c>
      <c r="H55" s="209" t="s">
        <v>194</v>
      </c>
      <c r="I55" s="210">
        <v>6</v>
      </c>
    </row>
    <row r="56" spans="1:9" x14ac:dyDescent="0.25">
      <c r="A56" s="74" t="s">
        <v>2212</v>
      </c>
      <c r="B56" s="45">
        <v>54</v>
      </c>
      <c r="C56" s="64" t="s">
        <v>467</v>
      </c>
      <c r="D56" s="74">
        <v>500347</v>
      </c>
      <c r="E56" s="208" t="s">
        <v>122</v>
      </c>
      <c r="F56" s="208" t="s">
        <v>188</v>
      </c>
      <c r="G56" s="208" t="s">
        <v>21</v>
      </c>
      <c r="H56" s="209" t="s">
        <v>194</v>
      </c>
      <c r="I56" s="210">
        <v>6</v>
      </c>
    </row>
    <row r="57" spans="1:9" x14ac:dyDescent="0.25">
      <c r="A57" s="74" t="s">
        <v>2213</v>
      </c>
      <c r="B57" s="45">
        <v>56</v>
      </c>
      <c r="C57" s="64" t="s">
        <v>468</v>
      </c>
      <c r="D57" s="74">
        <v>500347</v>
      </c>
      <c r="E57" s="208" t="s">
        <v>122</v>
      </c>
      <c r="F57" s="208" t="s">
        <v>188</v>
      </c>
      <c r="G57" s="208" t="s">
        <v>21</v>
      </c>
      <c r="H57" s="209" t="s">
        <v>194</v>
      </c>
      <c r="I57" s="210">
        <v>6</v>
      </c>
    </row>
    <row r="58" spans="1:9" x14ac:dyDescent="0.25">
      <c r="A58" s="74" t="s">
        <v>2214</v>
      </c>
      <c r="B58" s="45">
        <v>57</v>
      </c>
      <c r="C58" s="64" t="s">
        <v>469</v>
      </c>
      <c r="D58" s="74">
        <v>500347</v>
      </c>
      <c r="E58" s="208" t="s">
        <v>122</v>
      </c>
      <c r="F58" s="208" t="s">
        <v>188</v>
      </c>
      <c r="G58" s="208" t="s">
        <v>21</v>
      </c>
      <c r="H58" s="209" t="s">
        <v>194</v>
      </c>
      <c r="I58" s="210">
        <v>6</v>
      </c>
    </row>
    <row r="59" spans="1:9" x14ac:dyDescent="0.25">
      <c r="A59" s="74" t="s">
        <v>2215</v>
      </c>
      <c r="B59" s="45">
        <v>58</v>
      </c>
      <c r="C59" s="64" t="s">
        <v>470</v>
      </c>
      <c r="D59" s="74">
        <v>500354</v>
      </c>
      <c r="E59" s="208" t="s">
        <v>122</v>
      </c>
      <c r="F59" s="208" t="s">
        <v>188</v>
      </c>
      <c r="G59" s="208" t="s">
        <v>21</v>
      </c>
      <c r="H59" s="209" t="s">
        <v>189</v>
      </c>
      <c r="I59" s="210">
        <v>6</v>
      </c>
    </row>
    <row r="60" spans="1:9" x14ac:dyDescent="0.25">
      <c r="A60" s="74" t="s">
        <v>2216</v>
      </c>
      <c r="B60" s="45">
        <v>59</v>
      </c>
      <c r="C60" s="64" t="s">
        <v>471</v>
      </c>
      <c r="D60" s="74">
        <v>500355</v>
      </c>
      <c r="E60" s="208" t="s">
        <v>122</v>
      </c>
      <c r="F60" s="208" t="s">
        <v>188</v>
      </c>
      <c r="G60" s="208" t="s">
        <v>190</v>
      </c>
      <c r="H60" s="209" t="s">
        <v>189</v>
      </c>
      <c r="I60" s="210">
        <v>6</v>
      </c>
    </row>
    <row r="61" spans="1:9" x14ac:dyDescent="0.25">
      <c r="A61" s="74" t="s">
        <v>2217</v>
      </c>
      <c r="B61" s="45">
        <v>60</v>
      </c>
      <c r="C61" s="64" t="s">
        <v>472</v>
      </c>
      <c r="D61" s="74">
        <v>500366</v>
      </c>
      <c r="E61" s="208" t="s">
        <v>132</v>
      </c>
      <c r="F61" s="208" t="s">
        <v>195</v>
      </c>
      <c r="G61" s="208" t="s">
        <v>21</v>
      </c>
      <c r="H61" s="209" t="s">
        <v>187</v>
      </c>
      <c r="I61" s="210">
        <v>5</v>
      </c>
    </row>
    <row r="62" spans="1:9" x14ac:dyDescent="0.25">
      <c r="A62" s="74" t="s">
        <v>2218</v>
      </c>
      <c r="B62" s="45">
        <v>61</v>
      </c>
      <c r="C62" s="63" t="s">
        <v>473</v>
      </c>
      <c r="D62" s="74">
        <v>500367</v>
      </c>
      <c r="E62" s="208" t="s">
        <v>132</v>
      </c>
      <c r="F62" s="208" t="s">
        <v>195</v>
      </c>
      <c r="G62" s="208" t="s">
        <v>21</v>
      </c>
      <c r="H62" s="209" t="s">
        <v>194</v>
      </c>
      <c r="I62" s="210">
        <v>6</v>
      </c>
    </row>
    <row r="63" spans="1:9" x14ac:dyDescent="0.25">
      <c r="A63" s="74" t="s">
        <v>2219</v>
      </c>
      <c r="B63" s="45">
        <v>62</v>
      </c>
      <c r="C63" s="63" t="s">
        <v>474</v>
      </c>
      <c r="D63" s="74">
        <v>500367</v>
      </c>
      <c r="E63" s="208" t="s">
        <v>132</v>
      </c>
      <c r="F63" s="208" t="s">
        <v>195</v>
      </c>
      <c r="G63" s="208" t="s">
        <v>21</v>
      </c>
      <c r="H63" s="209" t="s">
        <v>194</v>
      </c>
      <c r="I63" s="210">
        <v>6</v>
      </c>
    </row>
    <row r="64" spans="1:9" x14ac:dyDescent="0.25">
      <c r="A64" s="74" t="s">
        <v>2220</v>
      </c>
      <c r="B64" s="45">
        <v>63</v>
      </c>
      <c r="C64" s="64" t="s">
        <v>475</v>
      </c>
      <c r="D64" s="74">
        <v>500367</v>
      </c>
      <c r="E64" s="208" t="s">
        <v>132</v>
      </c>
      <c r="F64" s="208" t="s">
        <v>195</v>
      </c>
      <c r="G64" s="208" t="s">
        <v>21</v>
      </c>
      <c r="H64" s="209" t="s">
        <v>194</v>
      </c>
      <c r="I64" s="210">
        <v>6</v>
      </c>
    </row>
    <row r="65" spans="1:9" x14ac:dyDescent="0.25">
      <c r="A65" s="74" t="s">
        <v>2221</v>
      </c>
      <c r="B65" s="45">
        <v>64</v>
      </c>
      <c r="C65" s="63" t="s">
        <v>476</v>
      </c>
      <c r="D65" s="74">
        <v>500368</v>
      </c>
      <c r="E65" s="208" t="s">
        <v>132</v>
      </c>
      <c r="F65" s="208" t="s">
        <v>21</v>
      </c>
      <c r="G65" s="208" t="s">
        <v>21</v>
      </c>
      <c r="H65" s="209" t="s">
        <v>189</v>
      </c>
      <c r="I65" s="210">
        <v>6</v>
      </c>
    </row>
    <row r="66" spans="1:9" x14ac:dyDescent="0.25">
      <c r="A66" s="74" t="s">
        <v>2222</v>
      </c>
      <c r="B66" s="45">
        <v>65</v>
      </c>
      <c r="C66" s="63" t="s">
        <v>477</v>
      </c>
      <c r="D66" s="74">
        <v>500372</v>
      </c>
      <c r="E66" s="208" t="s">
        <v>132</v>
      </c>
      <c r="F66" s="208" t="s">
        <v>195</v>
      </c>
      <c r="G66" s="208" t="s">
        <v>21</v>
      </c>
      <c r="H66" s="209" t="s">
        <v>192</v>
      </c>
      <c r="I66" s="210">
        <v>6</v>
      </c>
    </row>
    <row r="67" spans="1:9" x14ac:dyDescent="0.25">
      <c r="A67" s="74" t="s">
        <v>2223</v>
      </c>
      <c r="B67" s="45">
        <v>66</v>
      </c>
      <c r="C67" s="63" t="s">
        <v>478</v>
      </c>
      <c r="D67" s="74">
        <v>500373</v>
      </c>
      <c r="E67" s="208" t="s">
        <v>132</v>
      </c>
      <c r="F67" s="208" t="s">
        <v>195</v>
      </c>
      <c r="G67" s="208" t="s">
        <v>196</v>
      </c>
      <c r="H67" s="209" t="s">
        <v>191</v>
      </c>
      <c r="I67" s="210">
        <v>6</v>
      </c>
    </row>
    <row r="68" spans="1:9" x14ac:dyDescent="0.25">
      <c r="A68" s="74" t="s">
        <v>2224</v>
      </c>
      <c r="B68" s="45">
        <v>67</v>
      </c>
      <c r="C68" s="63" t="s">
        <v>479</v>
      </c>
      <c r="D68" s="74">
        <v>500373</v>
      </c>
      <c r="E68" s="208" t="s">
        <v>132</v>
      </c>
      <c r="F68" s="208" t="s">
        <v>195</v>
      </c>
      <c r="G68" s="208" t="s">
        <v>196</v>
      </c>
      <c r="H68" s="209" t="s">
        <v>191</v>
      </c>
      <c r="I68" s="210">
        <v>6</v>
      </c>
    </row>
    <row r="69" spans="1:9" x14ac:dyDescent="0.25">
      <c r="A69" s="74" t="s">
        <v>2225</v>
      </c>
      <c r="B69" s="45">
        <v>68</v>
      </c>
      <c r="C69" s="64" t="s">
        <v>480</v>
      </c>
      <c r="D69" s="74">
        <v>500374</v>
      </c>
      <c r="E69" s="208" t="s">
        <v>132</v>
      </c>
      <c r="F69" s="208" t="s">
        <v>195</v>
      </c>
      <c r="G69" s="208" t="s">
        <v>196</v>
      </c>
      <c r="H69" s="209" t="s">
        <v>191</v>
      </c>
      <c r="I69" s="210">
        <v>6</v>
      </c>
    </row>
    <row r="70" spans="1:9" x14ac:dyDescent="0.25">
      <c r="A70" s="74" t="s">
        <v>2225</v>
      </c>
      <c r="B70" s="45">
        <v>68</v>
      </c>
      <c r="C70" s="64" t="s">
        <v>480</v>
      </c>
      <c r="D70" s="74">
        <v>500373</v>
      </c>
      <c r="E70" s="208" t="s">
        <v>132</v>
      </c>
      <c r="F70" s="208" t="s">
        <v>195</v>
      </c>
      <c r="G70" s="208" t="s">
        <v>196</v>
      </c>
      <c r="H70" s="209" t="s">
        <v>191</v>
      </c>
      <c r="I70" s="210">
        <v>6</v>
      </c>
    </row>
    <row r="71" spans="1:9" x14ac:dyDescent="0.25">
      <c r="A71" s="74" t="s">
        <v>2226</v>
      </c>
      <c r="B71" s="45">
        <v>69</v>
      </c>
      <c r="C71" s="64" t="s">
        <v>481</v>
      </c>
      <c r="D71" s="74">
        <v>500374</v>
      </c>
      <c r="E71" s="208" t="s">
        <v>132</v>
      </c>
      <c r="F71" s="208" t="s">
        <v>195</v>
      </c>
      <c r="G71" s="208" t="s">
        <v>196</v>
      </c>
      <c r="H71" s="209" t="s">
        <v>191</v>
      </c>
      <c r="I71" s="210">
        <v>6</v>
      </c>
    </row>
    <row r="72" spans="1:9" x14ac:dyDescent="0.25">
      <c r="A72" s="74" t="s">
        <v>2227</v>
      </c>
      <c r="B72" s="45">
        <v>70</v>
      </c>
      <c r="C72" s="63" t="s">
        <v>482</v>
      </c>
      <c r="D72" s="74">
        <v>500374</v>
      </c>
      <c r="E72" s="208" t="s">
        <v>132</v>
      </c>
      <c r="F72" s="208" t="s">
        <v>195</v>
      </c>
      <c r="G72" s="208" t="s">
        <v>196</v>
      </c>
      <c r="H72" s="209" t="s">
        <v>191</v>
      </c>
      <c r="I72" s="210">
        <v>6</v>
      </c>
    </row>
    <row r="73" spans="1:9" x14ac:dyDescent="0.25">
      <c r="A73" s="74" t="s">
        <v>2228</v>
      </c>
      <c r="B73" s="45">
        <v>71</v>
      </c>
      <c r="C73" s="64" t="s">
        <v>483</v>
      </c>
      <c r="D73" s="74">
        <v>500375</v>
      </c>
      <c r="E73" s="208" t="s">
        <v>132</v>
      </c>
      <c r="F73" s="208" t="s">
        <v>195</v>
      </c>
      <c r="G73" s="208" t="s">
        <v>196</v>
      </c>
      <c r="H73" s="209" t="s">
        <v>191</v>
      </c>
      <c r="I73" s="210">
        <v>6</v>
      </c>
    </row>
    <row r="74" spans="1:9" x14ac:dyDescent="0.25">
      <c r="A74" s="74" t="s">
        <v>2229</v>
      </c>
      <c r="B74" s="45">
        <v>72</v>
      </c>
      <c r="C74" s="63" t="s">
        <v>484</v>
      </c>
      <c r="D74" s="74">
        <v>500375</v>
      </c>
      <c r="E74" s="208" t="s">
        <v>132</v>
      </c>
      <c r="F74" s="208" t="s">
        <v>195</v>
      </c>
      <c r="G74" s="208" t="s">
        <v>196</v>
      </c>
      <c r="H74" s="209" t="s">
        <v>191</v>
      </c>
      <c r="I74" s="210">
        <v>6</v>
      </c>
    </row>
    <row r="75" spans="1:9" x14ac:dyDescent="0.25">
      <c r="A75" s="74" t="s">
        <v>2230</v>
      </c>
      <c r="B75" s="45">
        <v>73</v>
      </c>
      <c r="C75" s="64" t="s">
        <v>485</v>
      </c>
      <c r="D75" s="74">
        <v>500375</v>
      </c>
      <c r="E75" s="208" t="s">
        <v>132</v>
      </c>
      <c r="F75" s="208" t="s">
        <v>195</v>
      </c>
      <c r="G75" s="208" t="s">
        <v>196</v>
      </c>
      <c r="H75" s="209" t="s">
        <v>191</v>
      </c>
      <c r="I75" s="210">
        <v>6</v>
      </c>
    </row>
    <row r="76" spans="1:9" x14ac:dyDescent="0.25">
      <c r="A76" s="74" t="s">
        <v>2231</v>
      </c>
      <c r="B76" s="45">
        <v>74</v>
      </c>
      <c r="C76" s="64" t="s">
        <v>486</v>
      </c>
      <c r="D76" s="74">
        <v>500376</v>
      </c>
      <c r="E76" s="208" t="s">
        <v>132</v>
      </c>
      <c r="F76" s="208" t="s">
        <v>195</v>
      </c>
      <c r="G76" s="208" t="s">
        <v>196</v>
      </c>
      <c r="H76" s="209" t="s">
        <v>192</v>
      </c>
      <c r="I76" s="210">
        <v>6</v>
      </c>
    </row>
    <row r="77" spans="1:9" x14ac:dyDescent="0.25">
      <c r="A77" s="74" t="s">
        <v>2232</v>
      </c>
      <c r="B77" s="45">
        <v>75</v>
      </c>
      <c r="C77" s="64" t="s">
        <v>487</v>
      </c>
      <c r="D77" s="74">
        <v>500377</v>
      </c>
      <c r="E77" s="208" t="s">
        <v>132</v>
      </c>
      <c r="F77" s="208" t="s">
        <v>195</v>
      </c>
      <c r="G77" s="208" t="s">
        <v>21</v>
      </c>
      <c r="H77" s="209" t="s">
        <v>191</v>
      </c>
      <c r="I77" s="210">
        <v>6</v>
      </c>
    </row>
    <row r="78" spans="1:9" x14ac:dyDescent="0.25">
      <c r="A78" s="74" t="s">
        <v>2233</v>
      </c>
      <c r="B78" s="45">
        <v>76</v>
      </c>
      <c r="C78" s="64" t="s">
        <v>488</v>
      </c>
      <c r="D78" s="74">
        <v>500377</v>
      </c>
      <c r="E78" s="208" t="s">
        <v>132</v>
      </c>
      <c r="F78" s="208" t="s">
        <v>195</v>
      </c>
      <c r="G78" s="208" t="s">
        <v>21</v>
      </c>
      <c r="H78" s="209" t="s">
        <v>191</v>
      </c>
      <c r="I78" s="210">
        <v>6</v>
      </c>
    </row>
    <row r="79" spans="1:9" x14ac:dyDescent="0.25">
      <c r="A79" s="74" t="s">
        <v>2234</v>
      </c>
      <c r="B79" s="45">
        <v>77</v>
      </c>
      <c r="C79" s="64" t="s">
        <v>489</v>
      </c>
      <c r="D79" s="74">
        <v>500377</v>
      </c>
      <c r="E79" s="208" t="s">
        <v>132</v>
      </c>
      <c r="F79" s="208" t="s">
        <v>195</v>
      </c>
      <c r="G79" s="208" t="s">
        <v>21</v>
      </c>
      <c r="H79" s="209" t="s">
        <v>191</v>
      </c>
      <c r="I79" s="210">
        <v>6</v>
      </c>
    </row>
    <row r="80" spans="1:9" x14ac:dyDescent="0.25">
      <c r="A80" s="74" t="s">
        <v>2235</v>
      </c>
      <c r="B80" s="45">
        <v>78</v>
      </c>
      <c r="C80" s="64" t="s">
        <v>490</v>
      </c>
      <c r="D80" s="74">
        <v>500377</v>
      </c>
      <c r="E80" s="208" t="s">
        <v>132</v>
      </c>
      <c r="F80" s="208" t="s">
        <v>195</v>
      </c>
      <c r="G80" s="208" t="s">
        <v>21</v>
      </c>
      <c r="H80" s="209" t="s">
        <v>191</v>
      </c>
      <c r="I80" s="210">
        <v>6</v>
      </c>
    </row>
    <row r="81" spans="1:9" x14ac:dyDescent="0.25">
      <c r="A81" s="74" t="s">
        <v>2236</v>
      </c>
      <c r="B81" s="45">
        <v>79</v>
      </c>
      <c r="C81" s="63" t="s">
        <v>491</v>
      </c>
      <c r="D81" s="74">
        <v>500379</v>
      </c>
      <c r="E81" s="208" t="s">
        <v>132</v>
      </c>
      <c r="F81" s="208" t="s">
        <v>195</v>
      </c>
      <c r="G81" s="208" t="s">
        <v>21</v>
      </c>
      <c r="H81" s="209" t="s">
        <v>192</v>
      </c>
      <c r="I81" s="210">
        <v>6</v>
      </c>
    </row>
    <row r="82" spans="1:9" x14ac:dyDescent="0.25">
      <c r="A82" s="74" t="s">
        <v>2237</v>
      </c>
      <c r="B82" s="45">
        <v>80</v>
      </c>
      <c r="C82" s="64" t="s">
        <v>492</v>
      </c>
      <c r="D82" s="74">
        <v>500380</v>
      </c>
      <c r="E82" s="208" t="s">
        <v>132</v>
      </c>
      <c r="F82" s="208" t="s">
        <v>195</v>
      </c>
      <c r="G82" s="208" t="s">
        <v>21</v>
      </c>
      <c r="H82" s="209" t="s">
        <v>191</v>
      </c>
      <c r="I82" s="210">
        <v>6</v>
      </c>
    </row>
    <row r="83" spans="1:9" x14ac:dyDescent="0.25">
      <c r="A83" s="74" t="s">
        <v>2238</v>
      </c>
      <c r="B83" s="45">
        <v>81</v>
      </c>
      <c r="C83" s="64" t="s">
        <v>493</v>
      </c>
      <c r="D83" s="74">
        <v>500380</v>
      </c>
      <c r="E83" s="208" t="s">
        <v>132</v>
      </c>
      <c r="F83" s="208" t="s">
        <v>195</v>
      </c>
      <c r="G83" s="208" t="s">
        <v>21</v>
      </c>
      <c r="H83" s="209" t="s">
        <v>191</v>
      </c>
      <c r="I83" s="210">
        <v>6</v>
      </c>
    </row>
    <row r="84" spans="1:9" x14ac:dyDescent="0.25">
      <c r="A84" s="74" t="s">
        <v>2239</v>
      </c>
      <c r="B84" s="45">
        <v>82</v>
      </c>
      <c r="C84" s="64" t="s">
        <v>494</v>
      </c>
      <c r="D84" s="74">
        <v>500380</v>
      </c>
      <c r="E84" s="208" t="s">
        <v>132</v>
      </c>
      <c r="F84" s="208" t="s">
        <v>195</v>
      </c>
      <c r="G84" s="208" t="s">
        <v>21</v>
      </c>
      <c r="H84" s="209" t="s">
        <v>191</v>
      </c>
      <c r="I84" s="210">
        <v>6</v>
      </c>
    </row>
    <row r="85" spans="1:9" x14ac:dyDescent="0.25">
      <c r="A85" s="74" t="s">
        <v>2240</v>
      </c>
      <c r="B85" s="45">
        <v>83</v>
      </c>
      <c r="C85" s="63" t="s">
        <v>495</v>
      </c>
      <c r="D85" s="74">
        <v>500380</v>
      </c>
      <c r="E85" s="208" t="s">
        <v>132</v>
      </c>
      <c r="F85" s="208" t="s">
        <v>195</v>
      </c>
      <c r="G85" s="208" t="s">
        <v>21</v>
      </c>
      <c r="H85" s="209" t="s">
        <v>191</v>
      </c>
      <c r="I85" s="210">
        <v>6</v>
      </c>
    </row>
    <row r="86" spans="1:9" x14ac:dyDescent="0.25">
      <c r="A86" s="74" t="s">
        <v>2241</v>
      </c>
      <c r="B86" s="45">
        <v>84</v>
      </c>
      <c r="C86" s="64" t="s">
        <v>496</v>
      </c>
      <c r="D86" s="74">
        <v>500381</v>
      </c>
      <c r="E86" s="208" t="s">
        <v>132</v>
      </c>
      <c r="F86" s="208" t="s">
        <v>195</v>
      </c>
      <c r="G86" s="208" t="s">
        <v>21</v>
      </c>
      <c r="H86" s="209" t="s">
        <v>192</v>
      </c>
      <c r="I86" s="210">
        <v>7</v>
      </c>
    </row>
    <row r="87" spans="1:9" x14ac:dyDescent="0.25">
      <c r="A87" s="74" t="s">
        <v>2242</v>
      </c>
      <c r="B87" s="45">
        <v>85</v>
      </c>
      <c r="C87" s="64" t="s">
        <v>497</v>
      </c>
      <c r="D87" s="74">
        <v>500382</v>
      </c>
      <c r="E87" s="208" t="s">
        <v>132</v>
      </c>
      <c r="F87" s="208" t="s">
        <v>195</v>
      </c>
      <c r="G87" s="208" t="s">
        <v>21</v>
      </c>
      <c r="H87" s="209" t="s">
        <v>192</v>
      </c>
      <c r="I87" s="210">
        <v>7</v>
      </c>
    </row>
    <row r="88" spans="1:9" x14ac:dyDescent="0.25">
      <c r="A88" s="74" t="s">
        <v>2243</v>
      </c>
      <c r="B88" s="45">
        <v>86</v>
      </c>
      <c r="C88" s="64" t="s">
        <v>498</v>
      </c>
      <c r="D88" s="74">
        <v>500383</v>
      </c>
      <c r="E88" s="208" t="s">
        <v>132</v>
      </c>
      <c r="F88" s="208" t="s">
        <v>195</v>
      </c>
      <c r="G88" s="208" t="s">
        <v>21</v>
      </c>
      <c r="H88" s="209" t="s">
        <v>192</v>
      </c>
      <c r="I88" s="210">
        <v>7</v>
      </c>
    </row>
    <row r="89" spans="1:9" x14ac:dyDescent="0.25">
      <c r="A89" s="74" t="s">
        <v>2244</v>
      </c>
      <c r="B89" s="45">
        <v>87</v>
      </c>
      <c r="C89" s="64" t="s">
        <v>499</v>
      </c>
      <c r="D89" s="74">
        <v>500384</v>
      </c>
      <c r="E89" s="208" t="s">
        <v>132</v>
      </c>
      <c r="F89" s="208" t="s">
        <v>195</v>
      </c>
      <c r="G89" s="208" t="s">
        <v>21</v>
      </c>
      <c r="H89" s="209" t="s">
        <v>192</v>
      </c>
      <c r="I89" s="210">
        <v>7</v>
      </c>
    </row>
    <row r="90" spans="1:9" x14ac:dyDescent="0.25">
      <c r="A90" s="74" t="s">
        <v>2245</v>
      </c>
      <c r="B90" s="45">
        <v>88</v>
      </c>
      <c r="C90" s="63" t="s">
        <v>500</v>
      </c>
      <c r="D90" s="74">
        <v>500044</v>
      </c>
      <c r="E90" s="208" t="s">
        <v>133</v>
      </c>
      <c r="F90" s="208" t="s">
        <v>197</v>
      </c>
      <c r="G90" s="208" t="s">
        <v>21</v>
      </c>
      <c r="H90" s="209" t="s">
        <v>198</v>
      </c>
      <c r="I90" s="210">
        <v>6</v>
      </c>
    </row>
    <row r="91" spans="1:9" x14ac:dyDescent="0.25">
      <c r="A91" s="74" t="s">
        <v>2246</v>
      </c>
      <c r="B91" s="45">
        <v>89</v>
      </c>
      <c r="C91" s="63" t="s">
        <v>501</v>
      </c>
      <c r="D91" s="74">
        <v>500517</v>
      </c>
      <c r="E91" s="208" t="s">
        <v>133</v>
      </c>
      <c r="F91" s="208" t="s">
        <v>197</v>
      </c>
      <c r="G91" s="208" t="s">
        <v>199</v>
      </c>
      <c r="H91" s="209" t="s">
        <v>191</v>
      </c>
      <c r="I91" s="210">
        <v>6</v>
      </c>
    </row>
    <row r="92" spans="1:9" x14ac:dyDescent="0.25">
      <c r="A92" s="74" t="s">
        <v>2247</v>
      </c>
      <c r="B92" s="45">
        <v>90</v>
      </c>
      <c r="C92" s="63" t="s">
        <v>502</v>
      </c>
      <c r="D92" s="74">
        <v>500517</v>
      </c>
      <c r="E92" s="208" t="s">
        <v>133</v>
      </c>
      <c r="F92" s="208" t="s">
        <v>197</v>
      </c>
      <c r="G92" s="208" t="s">
        <v>199</v>
      </c>
      <c r="H92" s="209" t="s">
        <v>191</v>
      </c>
      <c r="I92" s="210">
        <v>6</v>
      </c>
    </row>
    <row r="93" spans="1:9" x14ac:dyDescent="0.25">
      <c r="A93" s="74" t="s">
        <v>2248</v>
      </c>
      <c r="B93" s="45">
        <v>91</v>
      </c>
      <c r="C93" s="64" t="s">
        <v>503</v>
      </c>
      <c r="D93" s="74">
        <v>500517</v>
      </c>
      <c r="E93" s="208" t="s">
        <v>133</v>
      </c>
      <c r="F93" s="208" t="s">
        <v>197</v>
      </c>
      <c r="G93" s="208" t="s">
        <v>199</v>
      </c>
      <c r="H93" s="209" t="s">
        <v>191</v>
      </c>
      <c r="I93" s="210">
        <v>6</v>
      </c>
    </row>
    <row r="94" spans="1:9" x14ac:dyDescent="0.25">
      <c r="A94" s="74" t="s">
        <v>2249</v>
      </c>
      <c r="B94" s="45">
        <v>92</v>
      </c>
      <c r="C94" s="63" t="s">
        <v>504</v>
      </c>
      <c r="D94" s="74">
        <v>500517</v>
      </c>
      <c r="E94" s="208" t="s">
        <v>133</v>
      </c>
      <c r="F94" s="208" t="s">
        <v>197</v>
      </c>
      <c r="G94" s="208" t="s">
        <v>199</v>
      </c>
      <c r="H94" s="209" t="s">
        <v>191</v>
      </c>
      <c r="I94" s="210">
        <v>6</v>
      </c>
    </row>
    <row r="95" spans="1:9" x14ac:dyDescent="0.25">
      <c r="A95" s="74" t="s">
        <v>2250</v>
      </c>
      <c r="B95" s="45">
        <v>93</v>
      </c>
      <c r="C95" s="64" t="s">
        <v>505</v>
      </c>
      <c r="D95" s="74">
        <v>500052</v>
      </c>
      <c r="E95" s="208" t="s">
        <v>132</v>
      </c>
      <c r="F95" s="208" t="s">
        <v>195</v>
      </c>
      <c r="G95" s="208" t="s">
        <v>21</v>
      </c>
      <c r="H95" s="209" t="s">
        <v>198</v>
      </c>
      <c r="I95" s="210">
        <v>5</v>
      </c>
    </row>
    <row r="96" spans="1:9" x14ac:dyDescent="0.25">
      <c r="A96" s="74" t="s">
        <v>2251</v>
      </c>
      <c r="B96" s="45">
        <v>94</v>
      </c>
      <c r="C96" s="64" t="s">
        <v>506</v>
      </c>
      <c r="D96" s="74">
        <v>500053</v>
      </c>
      <c r="E96" s="208" t="s">
        <v>132</v>
      </c>
      <c r="F96" s="208" t="s">
        <v>195</v>
      </c>
      <c r="G96" s="208" t="s">
        <v>21</v>
      </c>
      <c r="H96" s="209" t="s">
        <v>198</v>
      </c>
      <c r="I96" s="210">
        <v>5</v>
      </c>
    </row>
    <row r="97" spans="1:9" x14ac:dyDescent="0.25">
      <c r="A97" s="74" t="s">
        <v>2252</v>
      </c>
      <c r="B97" s="45">
        <v>95</v>
      </c>
      <c r="C97" s="64" t="s">
        <v>507</v>
      </c>
      <c r="D97" s="74">
        <v>500054</v>
      </c>
      <c r="E97" s="208" t="s">
        <v>132</v>
      </c>
      <c r="F97" s="208" t="s">
        <v>195</v>
      </c>
      <c r="G97" s="208" t="s">
        <v>21</v>
      </c>
      <c r="H97" s="209" t="s">
        <v>198</v>
      </c>
      <c r="I97" s="210">
        <v>5</v>
      </c>
    </row>
    <row r="98" spans="1:9" x14ac:dyDescent="0.25">
      <c r="A98" s="74" t="s">
        <v>2253</v>
      </c>
      <c r="B98" s="45">
        <v>96</v>
      </c>
      <c r="C98" s="63" t="s">
        <v>508</v>
      </c>
      <c r="D98" s="74">
        <v>500055</v>
      </c>
      <c r="E98" s="208" t="s">
        <v>132</v>
      </c>
      <c r="F98" s="208" t="s">
        <v>195</v>
      </c>
      <c r="G98" s="208" t="s">
        <v>21</v>
      </c>
      <c r="H98" s="209" t="s">
        <v>198</v>
      </c>
      <c r="I98" s="210">
        <v>6</v>
      </c>
    </row>
    <row r="99" spans="1:9" x14ac:dyDescent="0.25">
      <c r="A99" s="74" t="s">
        <v>2254</v>
      </c>
      <c r="B99" s="45">
        <v>97</v>
      </c>
      <c r="C99" s="63" t="s">
        <v>509</v>
      </c>
      <c r="D99" s="74">
        <v>500056</v>
      </c>
      <c r="E99" s="208" t="s">
        <v>132</v>
      </c>
      <c r="F99" s="208" t="s">
        <v>195</v>
      </c>
      <c r="G99" s="208" t="s">
        <v>196</v>
      </c>
      <c r="H99" s="209" t="s">
        <v>198</v>
      </c>
      <c r="I99" s="210">
        <v>5</v>
      </c>
    </row>
    <row r="100" spans="1:9" x14ac:dyDescent="0.25">
      <c r="A100" s="74" t="s">
        <v>2255</v>
      </c>
      <c r="B100" s="45">
        <v>98</v>
      </c>
      <c r="C100" s="64" t="s">
        <v>510</v>
      </c>
      <c r="D100" s="74">
        <v>500057</v>
      </c>
      <c r="E100" s="208" t="s">
        <v>133</v>
      </c>
      <c r="F100" s="208" t="s">
        <v>197</v>
      </c>
      <c r="G100" s="208" t="s">
        <v>21</v>
      </c>
      <c r="H100" s="209" t="s">
        <v>198</v>
      </c>
      <c r="I100" s="210">
        <v>5</v>
      </c>
    </row>
    <row r="101" spans="1:9" x14ac:dyDescent="0.25">
      <c r="A101" s="74" t="s">
        <v>2256</v>
      </c>
      <c r="B101" s="45">
        <v>99</v>
      </c>
      <c r="C101" s="64" t="s">
        <v>511</v>
      </c>
      <c r="D101" s="74">
        <v>500058</v>
      </c>
      <c r="E101" s="208" t="s">
        <v>133</v>
      </c>
      <c r="F101" s="208" t="s">
        <v>197</v>
      </c>
      <c r="G101" s="208" t="s">
        <v>199</v>
      </c>
      <c r="H101" s="209" t="s">
        <v>198</v>
      </c>
      <c r="I101" s="210">
        <v>5</v>
      </c>
    </row>
    <row r="102" spans="1:9" x14ac:dyDescent="0.25">
      <c r="A102" s="74" t="s">
        <v>2257</v>
      </c>
      <c r="B102" s="45">
        <v>100</v>
      </c>
      <c r="C102" s="64" t="s">
        <v>512</v>
      </c>
      <c r="D102" s="74">
        <v>500059</v>
      </c>
      <c r="E102" s="208" t="s">
        <v>133</v>
      </c>
      <c r="F102" s="208" t="s">
        <v>197</v>
      </c>
      <c r="G102" s="208" t="s">
        <v>199</v>
      </c>
      <c r="H102" s="209" t="s">
        <v>198</v>
      </c>
      <c r="I102" s="210">
        <v>5</v>
      </c>
    </row>
    <row r="103" spans="1:9" x14ac:dyDescent="0.25">
      <c r="A103" s="74" t="s">
        <v>2258</v>
      </c>
      <c r="B103" s="45">
        <v>101</v>
      </c>
      <c r="C103" s="64" t="s">
        <v>513</v>
      </c>
      <c r="D103" s="74">
        <v>500060</v>
      </c>
      <c r="E103" s="208" t="s">
        <v>133</v>
      </c>
      <c r="F103" s="208" t="s">
        <v>197</v>
      </c>
      <c r="G103" s="208" t="s">
        <v>21</v>
      </c>
      <c r="H103" s="209" t="s">
        <v>198</v>
      </c>
      <c r="I103" s="210">
        <v>6</v>
      </c>
    </row>
    <row r="104" spans="1:9" x14ac:dyDescent="0.25">
      <c r="A104" s="74" t="s">
        <v>2259</v>
      </c>
      <c r="B104" s="45">
        <v>102</v>
      </c>
      <c r="C104" s="63" t="s">
        <v>514</v>
      </c>
      <c r="D104" s="74">
        <v>500061</v>
      </c>
      <c r="E104" s="208" t="s">
        <v>132</v>
      </c>
      <c r="F104" s="208" t="s">
        <v>195</v>
      </c>
      <c r="G104" s="208" t="s">
        <v>21</v>
      </c>
      <c r="H104" s="209" t="s">
        <v>198</v>
      </c>
      <c r="I104" s="210">
        <v>5</v>
      </c>
    </row>
    <row r="105" spans="1:9" x14ac:dyDescent="0.25">
      <c r="A105" s="74" t="s">
        <v>2260</v>
      </c>
      <c r="B105" s="45">
        <v>103</v>
      </c>
      <c r="C105" s="64" t="s">
        <v>515</v>
      </c>
      <c r="D105" s="74">
        <v>500544</v>
      </c>
      <c r="E105" s="208" t="s">
        <v>133</v>
      </c>
      <c r="F105" s="208" t="s">
        <v>21</v>
      </c>
      <c r="G105" s="208" t="s">
        <v>21</v>
      </c>
      <c r="H105" s="209" t="s">
        <v>189</v>
      </c>
      <c r="I105" s="210">
        <v>6</v>
      </c>
    </row>
    <row r="106" spans="1:9" x14ac:dyDescent="0.25">
      <c r="A106" s="74" t="s">
        <v>2261</v>
      </c>
      <c r="B106" s="45">
        <v>104</v>
      </c>
      <c r="C106" s="63" t="s">
        <v>516</v>
      </c>
      <c r="D106" s="74">
        <v>500547</v>
      </c>
      <c r="E106" s="208" t="s">
        <v>125</v>
      </c>
      <c r="F106" s="208" t="s">
        <v>21</v>
      </c>
      <c r="G106" s="208" t="s">
        <v>21</v>
      </c>
      <c r="H106" s="209" t="s">
        <v>181</v>
      </c>
      <c r="I106" s="210">
        <v>3</v>
      </c>
    </row>
    <row r="107" spans="1:9" x14ac:dyDescent="0.25">
      <c r="A107" s="74" t="s">
        <v>2262</v>
      </c>
      <c r="B107" s="45">
        <v>105</v>
      </c>
      <c r="C107" s="64" t="s">
        <v>517</v>
      </c>
      <c r="D107" s="74">
        <v>500367</v>
      </c>
      <c r="E107" s="208" t="s">
        <v>132</v>
      </c>
      <c r="F107" s="208" t="s">
        <v>195</v>
      </c>
      <c r="G107" s="208" t="s">
        <v>21</v>
      </c>
      <c r="H107" s="209" t="s">
        <v>194</v>
      </c>
      <c r="I107" s="210">
        <v>6</v>
      </c>
    </row>
    <row r="108" spans="1:9" x14ac:dyDescent="0.25">
      <c r="A108" s="74" t="s">
        <v>2263</v>
      </c>
      <c r="B108" s="45">
        <v>106</v>
      </c>
      <c r="C108" s="64" t="s">
        <v>518</v>
      </c>
      <c r="D108" s="74">
        <v>500374</v>
      </c>
      <c r="E108" s="208" t="s">
        <v>132</v>
      </c>
      <c r="F108" s="208" t="s">
        <v>195</v>
      </c>
      <c r="G108" s="208" t="s">
        <v>196</v>
      </c>
      <c r="H108" s="209" t="s">
        <v>191</v>
      </c>
      <c r="I108" s="210">
        <v>6</v>
      </c>
    </row>
    <row r="109" spans="1:9" x14ac:dyDescent="0.25">
      <c r="A109" s="74" t="s">
        <v>2264</v>
      </c>
      <c r="B109" s="45">
        <v>107</v>
      </c>
      <c r="C109" s="215" t="s">
        <v>519</v>
      </c>
      <c r="D109" s="74">
        <v>500375</v>
      </c>
      <c r="E109" s="208" t="s">
        <v>132</v>
      </c>
      <c r="F109" s="208" t="s">
        <v>195</v>
      </c>
      <c r="G109" s="208" t="s">
        <v>196</v>
      </c>
      <c r="H109" s="209" t="s">
        <v>191</v>
      </c>
      <c r="I109" s="210">
        <v>6</v>
      </c>
    </row>
    <row r="110" spans="1:9" x14ac:dyDescent="0.25">
      <c r="A110" s="74" t="s">
        <v>2264</v>
      </c>
      <c r="B110" s="45">
        <v>107</v>
      </c>
      <c r="C110" s="64" t="s">
        <v>519</v>
      </c>
      <c r="D110" s="74">
        <v>500373</v>
      </c>
      <c r="E110" s="208" t="s">
        <v>132</v>
      </c>
      <c r="F110" s="208" t="s">
        <v>195</v>
      </c>
      <c r="G110" s="208" t="s">
        <v>196</v>
      </c>
      <c r="H110" s="209" t="s">
        <v>191</v>
      </c>
      <c r="I110" s="210">
        <v>6</v>
      </c>
    </row>
    <row r="111" spans="1:9" x14ac:dyDescent="0.25">
      <c r="A111" s="74" t="s">
        <v>2265</v>
      </c>
      <c r="B111" s="45">
        <v>108</v>
      </c>
      <c r="C111" s="64" t="s">
        <v>520</v>
      </c>
      <c r="D111" s="74">
        <v>500378</v>
      </c>
      <c r="E111" s="208" t="s">
        <v>132</v>
      </c>
      <c r="F111" s="208" t="s">
        <v>195</v>
      </c>
      <c r="G111" s="208" t="s">
        <v>21</v>
      </c>
      <c r="H111" s="209" t="s">
        <v>192</v>
      </c>
      <c r="I111" s="210">
        <v>6</v>
      </c>
    </row>
    <row r="112" spans="1:9" x14ac:dyDescent="0.25">
      <c r="A112" s="74" t="s">
        <v>2266</v>
      </c>
      <c r="B112" s="45">
        <v>109</v>
      </c>
      <c r="C112" s="63" t="s">
        <v>521</v>
      </c>
      <c r="D112" s="74">
        <v>500239</v>
      </c>
      <c r="E112" s="208" t="s">
        <v>133</v>
      </c>
      <c r="F112" s="208" t="s">
        <v>197</v>
      </c>
      <c r="G112" s="208" t="s">
        <v>21</v>
      </c>
      <c r="H112" s="209" t="s">
        <v>194</v>
      </c>
      <c r="I112" s="210">
        <v>6</v>
      </c>
    </row>
    <row r="113" spans="1:9" x14ac:dyDescent="0.25">
      <c r="A113" s="74" t="s">
        <v>2267</v>
      </c>
      <c r="B113" s="45">
        <v>110</v>
      </c>
      <c r="C113" s="64" t="s">
        <v>522</v>
      </c>
      <c r="D113" s="74">
        <v>500238</v>
      </c>
      <c r="E113" s="208" t="s">
        <v>133</v>
      </c>
      <c r="F113" s="208" t="s">
        <v>197</v>
      </c>
      <c r="G113" s="208" t="s">
        <v>21</v>
      </c>
      <c r="H113" s="209" t="s">
        <v>187</v>
      </c>
      <c r="I113" s="210">
        <v>5</v>
      </c>
    </row>
    <row r="114" spans="1:9" x14ac:dyDescent="0.25">
      <c r="A114" s="74" t="s">
        <v>2268</v>
      </c>
      <c r="B114" s="45">
        <v>111</v>
      </c>
      <c r="C114" s="64" t="s">
        <v>523</v>
      </c>
      <c r="D114" s="74">
        <v>500239</v>
      </c>
      <c r="E114" s="208" t="s">
        <v>133</v>
      </c>
      <c r="F114" s="208" t="s">
        <v>197</v>
      </c>
      <c r="G114" s="208" t="s">
        <v>21</v>
      </c>
      <c r="H114" s="209" t="s">
        <v>194</v>
      </c>
      <c r="I114" s="210">
        <v>6</v>
      </c>
    </row>
    <row r="115" spans="1:9" x14ac:dyDescent="0.25">
      <c r="A115" s="74" t="s">
        <v>2269</v>
      </c>
      <c r="B115" s="45">
        <v>112</v>
      </c>
      <c r="C115" s="64" t="s">
        <v>524</v>
      </c>
      <c r="D115" s="74">
        <v>500239</v>
      </c>
      <c r="E115" s="208" t="s">
        <v>133</v>
      </c>
      <c r="F115" s="208" t="s">
        <v>197</v>
      </c>
      <c r="G115" s="208" t="s">
        <v>21</v>
      </c>
      <c r="H115" s="209" t="s">
        <v>194</v>
      </c>
      <c r="I115" s="210">
        <v>6</v>
      </c>
    </row>
    <row r="116" spans="1:9" x14ac:dyDescent="0.25">
      <c r="A116" s="74" t="s">
        <v>2270</v>
      </c>
      <c r="B116" s="45">
        <v>113</v>
      </c>
      <c r="C116" s="64" t="s">
        <v>525</v>
      </c>
      <c r="D116" s="74">
        <v>500239</v>
      </c>
      <c r="E116" s="208" t="s">
        <v>133</v>
      </c>
      <c r="F116" s="208" t="s">
        <v>197</v>
      </c>
      <c r="G116" s="208" t="s">
        <v>21</v>
      </c>
      <c r="H116" s="209" t="s">
        <v>194</v>
      </c>
      <c r="I116" s="210">
        <v>6</v>
      </c>
    </row>
    <row r="117" spans="1:9" x14ac:dyDescent="0.25">
      <c r="A117" s="74" t="s">
        <v>2271</v>
      </c>
      <c r="B117" s="45">
        <v>114</v>
      </c>
      <c r="C117" s="64" t="s">
        <v>526</v>
      </c>
      <c r="D117" s="74">
        <v>500335</v>
      </c>
      <c r="E117" s="208" t="s">
        <v>122</v>
      </c>
      <c r="F117" s="208" t="s">
        <v>188</v>
      </c>
      <c r="G117" s="208" t="s">
        <v>190</v>
      </c>
      <c r="H117" s="209" t="s">
        <v>191</v>
      </c>
      <c r="I117" s="210">
        <v>6</v>
      </c>
    </row>
    <row r="118" spans="1:9" x14ac:dyDescent="0.25">
      <c r="A118" s="74" t="s">
        <v>2272</v>
      </c>
      <c r="B118" s="45">
        <v>115</v>
      </c>
      <c r="C118" s="64" t="s">
        <v>527</v>
      </c>
      <c r="D118" s="74">
        <v>500342</v>
      </c>
      <c r="E118" s="208" t="s">
        <v>122</v>
      </c>
      <c r="F118" s="208" t="s">
        <v>188</v>
      </c>
      <c r="G118" s="208" t="s">
        <v>21</v>
      </c>
      <c r="H118" s="209" t="s">
        <v>191</v>
      </c>
      <c r="I118" s="210">
        <v>6</v>
      </c>
    </row>
    <row r="119" spans="1:9" x14ac:dyDescent="0.25">
      <c r="A119" s="74" t="s">
        <v>2273</v>
      </c>
      <c r="B119" s="45">
        <v>116</v>
      </c>
      <c r="C119" s="64" t="s">
        <v>528</v>
      </c>
      <c r="D119" s="74">
        <v>500240</v>
      </c>
      <c r="E119" s="208" t="s">
        <v>133</v>
      </c>
      <c r="F119" s="208" t="s">
        <v>197</v>
      </c>
      <c r="G119" s="208" t="s">
        <v>199</v>
      </c>
      <c r="H119" s="209" t="s">
        <v>192</v>
      </c>
      <c r="I119" s="210">
        <v>6</v>
      </c>
    </row>
    <row r="120" spans="1:9" x14ac:dyDescent="0.25">
      <c r="A120" s="74" t="s">
        <v>2274</v>
      </c>
      <c r="B120" s="45">
        <v>117</v>
      </c>
      <c r="C120" s="64" t="s">
        <v>529</v>
      </c>
      <c r="D120" s="74">
        <v>500241</v>
      </c>
      <c r="E120" s="208" t="s">
        <v>133</v>
      </c>
      <c r="F120" s="208" t="s">
        <v>197</v>
      </c>
      <c r="G120" s="208" t="s">
        <v>199</v>
      </c>
      <c r="H120" s="209" t="s">
        <v>192</v>
      </c>
      <c r="I120" s="210">
        <v>6</v>
      </c>
    </row>
    <row r="121" spans="1:9" x14ac:dyDescent="0.25">
      <c r="A121" s="74" t="s">
        <v>2275</v>
      </c>
      <c r="B121" s="45">
        <v>118</v>
      </c>
      <c r="C121" s="64" t="s">
        <v>530</v>
      </c>
      <c r="D121" s="74">
        <v>500242</v>
      </c>
      <c r="E121" s="208" t="s">
        <v>133</v>
      </c>
      <c r="F121" s="208" t="s">
        <v>197</v>
      </c>
      <c r="G121" s="208" t="s">
        <v>199</v>
      </c>
      <c r="H121" s="209" t="s">
        <v>191</v>
      </c>
      <c r="I121" s="210">
        <v>6</v>
      </c>
    </row>
    <row r="122" spans="1:9" x14ac:dyDescent="0.25">
      <c r="A122" s="74" t="s">
        <v>2276</v>
      </c>
      <c r="B122" s="45">
        <v>119</v>
      </c>
      <c r="C122" s="64" t="s">
        <v>531</v>
      </c>
      <c r="D122" s="74">
        <v>500242</v>
      </c>
      <c r="E122" s="208" t="s">
        <v>133</v>
      </c>
      <c r="F122" s="208" t="s">
        <v>197</v>
      </c>
      <c r="G122" s="208" t="s">
        <v>199</v>
      </c>
      <c r="H122" s="209" t="s">
        <v>191</v>
      </c>
      <c r="I122" s="210">
        <v>6</v>
      </c>
    </row>
    <row r="123" spans="1:9" x14ac:dyDescent="0.25">
      <c r="A123" s="74" t="s">
        <v>2277</v>
      </c>
      <c r="B123" s="45">
        <v>120</v>
      </c>
      <c r="C123" s="63" t="s">
        <v>532</v>
      </c>
      <c r="D123" s="74">
        <v>500242</v>
      </c>
      <c r="E123" s="208" t="s">
        <v>133</v>
      </c>
      <c r="F123" s="208" t="s">
        <v>197</v>
      </c>
      <c r="G123" s="208" t="s">
        <v>199</v>
      </c>
      <c r="H123" s="209" t="s">
        <v>191</v>
      </c>
      <c r="I123" s="210">
        <v>6</v>
      </c>
    </row>
    <row r="124" spans="1:9" x14ac:dyDescent="0.25">
      <c r="A124" s="74" t="s">
        <v>2278</v>
      </c>
      <c r="B124" s="45">
        <v>121</v>
      </c>
      <c r="C124" s="64" t="s">
        <v>533</v>
      </c>
      <c r="D124" s="74">
        <v>500242</v>
      </c>
      <c r="E124" s="208" t="s">
        <v>133</v>
      </c>
      <c r="F124" s="208" t="s">
        <v>197</v>
      </c>
      <c r="G124" s="208" t="s">
        <v>199</v>
      </c>
      <c r="H124" s="209" t="s">
        <v>191</v>
      </c>
      <c r="I124" s="210">
        <v>6</v>
      </c>
    </row>
    <row r="125" spans="1:9" x14ac:dyDescent="0.25">
      <c r="A125" s="74" t="s">
        <v>2279</v>
      </c>
      <c r="B125" s="45">
        <v>122</v>
      </c>
      <c r="C125" s="63" t="s">
        <v>534</v>
      </c>
      <c r="D125" s="74">
        <v>500243</v>
      </c>
      <c r="E125" s="208" t="s">
        <v>133</v>
      </c>
      <c r="F125" s="208" t="s">
        <v>197</v>
      </c>
      <c r="G125" s="208" t="s">
        <v>199</v>
      </c>
      <c r="H125" s="209" t="s">
        <v>192</v>
      </c>
      <c r="I125" s="210">
        <v>6</v>
      </c>
    </row>
    <row r="126" spans="1:9" x14ac:dyDescent="0.25">
      <c r="A126" s="74" t="s">
        <v>2280</v>
      </c>
      <c r="B126" s="45">
        <v>123</v>
      </c>
      <c r="C126" s="63" t="s">
        <v>535</v>
      </c>
      <c r="D126" s="74">
        <v>500244</v>
      </c>
      <c r="E126" s="208" t="s">
        <v>133</v>
      </c>
      <c r="F126" s="208" t="s">
        <v>197</v>
      </c>
      <c r="G126" s="208" t="s">
        <v>199</v>
      </c>
      <c r="H126" s="209" t="s">
        <v>192</v>
      </c>
      <c r="I126" s="210">
        <v>6</v>
      </c>
    </row>
    <row r="127" spans="1:9" x14ac:dyDescent="0.25">
      <c r="A127" s="74" t="s">
        <v>2281</v>
      </c>
      <c r="B127" s="45">
        <v>124</v>
      </c>
      <c r="C127" s="64" t="s">
        <v>536</v>
      </c>
      <c r="D127" s="74">
        <v>500245</v>
      </c>
      <c r="E127" s="208" t="s">
        <v>133</v>
      </c>
      <c r="F127" s="208" t="s">
        <v>197</v>
      </c>
      <c r="G127" s="208" t="s">
        <v>199</v>
      </c>
      <c r="H127" s="209" t="s">
        <v>192</v>
      </c>
      <c r="I127" s="210">
        <v>6</v>
      </c>
    </row>
    <row r="128" spans="1:9" x14ac:dyDescent="0.25">
      <c r="A128" s="74" t="s">
        <v>2282</v>
      </c>
      <c r="B128" s="45">
        <v>125</v>
      </c>
      <c r="C128" s="64" t="s">
        <v>537</v>
      </c>
      <c r="D128" s="74">
        <v>500246</v>
      </c>
      <c r="E128" s="208" t="s">
        <v>133</v>
      </c>
      <c r="F128" s="208" t="s">
        <v>197</v>
      </c>
      <c r="G128" s="208" t="s">
        <v>199</v>
      </c>
      <c r="H128" s="209" t="s">
        <v>192</v>
      </c>
      <c r="I128" s="210">
        <v>6</v>
      </c>
    </row>
    <row r="129" spans="1:9" x14ac:dyDescent="0.25">
      <c r="A129" s="74" t="s">
        <v>2283</v>
      </c>
      <c r="B129" s="45">
        <v>126</v>
      </c>
      <c r="C129" s="64" t="s">
        <v>538</v>
      </c>
      <c r="D129" s="74">
        <v>500247</v>
      </c>
      <c r="E129" s="208" t="s">
        <v>133</v>
      </c>
      <c r="F129" s="208" t="s">
        <v>197</v>
      </c>
      <c r="G129" s="208" t="s">
        <v>199</v>
      </c>
      <c r="H129" s="212" t="s">
        <v>192</v>
      </c>
      <c r="I129" s="210">
        <v>6</v>
      </c>
    </row>
    <row r="130" spans="1:9" x14ac:dyDescent="0.25">
      <c r="A130" s="74" t="s">
        <v>2284</v>
      </c>
      <c r="B130" s="45">
        <v>127</v>
      </c>
      <c r="C130" s="64" t="s">
        <v>539</v>
      </c>
      <c r="D130" s="74">
        <v>500248</v>
      </c>
      <c r="E130" s="208" t="s">
        <v>133</v>
      </c>
      <c r="F130" s="208" t="s">
        <v>197</v>
      </c>
      <c r="G130" s="208" t="s">
        <v>21</v>
      </c>
      <c r="H130" s="209" t="s">
        <v>192</v>
      </c>
      <c r="I130" s="210">
        <v>6</v>
      </c>
    </row>
    <row r="131" spans="1:9" x14ac:dyDescent="0.25">
      <c r="A131" s="74" t="s">
        <v>2285</v>
      </c>
      <c r="B131" s="45">
        <v>128</v>
      </c>
      <c r="C131" s="63" t="s">
        <v>540</v>
      </c>
      <c r="D131" s="74">
        <v>500249</v>
      </c>
      <c r="E131" s="208" t="s">
        <v>133</v>
      </c>
      <c r="F131" s="208" t="s">
        <v>197</v>
      </c>
      <c r="G131" s="208" t="s">
        <v>21</v>
      </c>
      <c r="H131" s="209" t="s">
        <v>192</v>
      </c>
      <c r="I131" s="210">
        <v>7</v>
      </c>
    </row>
    <row r="132" spans="1:9" x14ac:dyDescent="0.25">
      <c r="A132" s="74" t="s">
        <v>2286</v>
      </c>
      <c r="B132" s="45">
        <v>129</v>
      </c>
      <c r="C132" s="64" t="s">
        <v>541</v>
      </c>
      <c r="D132" s="74">
        <v>500572</v>
      </c>
      <c r="E132" s="208" t="s">
        <v>132</v>
      </c>
      <c r="F132" s="208" t="s">
        <v>195</v>
      </c>
      <c r="G132" s="208" t="s">
        <v>196</v>
      </c>
      <c r="H132" s="209" t="s">
        <v>198</v>
      </c>
      <c r="I132" s="210">
        <v>5</v>
      </c>
    </row>
    <row r="133" spans="1:9" x14ac:dyDescent="0.25">
      <c r="A133" s="74" t="s">
        <v>2287</v>
      </c>
      <c r="B133" s="45">
        <v>130</v>
      </c>
      <c r="C133" s="64" t="s">
        <v>542</v>
      </c>
      <c r="D133" s="74">
        <v>500373</v>
      </c>
      <c r="E133" s="208" t="s">
        <v>132</v>
      </c>
      <c r="F133" s="208" t="s">
        <v>195</v>
      </c>
      <c r="G133" s="208" t="s">
        <v>196</v>
      </c>
      <c r="H133" s="209" t="s">
        <v>191</v>
      </c>
      <c r="I133" s="210">
        <v>6</v>
      </c>
    </row>
    <row r="134" spans="1:9" x14ac:dyDescent="0.25">
      <c r="A134" s="74" t="s">
        <v>2288</v>
      </c>
      <c r="B134" s="45">
        <v>131</v>
      </c>
      <c r="C134" s="64" t="s">
        <v>543</v>
      </c>
      <c r="D134" s="74">
        <v>500373</v>
      </c>
      <c r="E134" s="208" t="s">
        <v>132</v>
      </c>
      <c r="F134" s="208" t="s">
        <v>195</v>
      </c>
      <c r="G134" s="208" t="s">
        <v>196</v>
      </c>
      <c r="H134" s="209" t="s">
        <v>191</v>
      </c>
      <c r="I134" s="210">
        <v>6</v>
      </c>
    </row>
    <row r="135" spans="1:9" x14ac:dyDescent="0.25">
      <c r="A135" s="74" t="s">
        <v>2289</v>
      </c>
      <c r="B135" s="45">
        <v>132</v>
      </c>
      <c r="C135" s="64" t="s">
        <v>544</v>
      </c>
      <c r="D135" s="74">
        <v>500573</v>
      </c>
      <c r="E135" s="208" t="s">
        <v>132</v>
      </c>
      <c r="F135" s="208" t="s">
        <v>195</v>
      </c>
      <c r="G135" s="208" t="s">
        <v>196</v>
      </c>
      <c r="H135" s="209" t="s">
        <v>198</v>
      </c>
      <c r="I135" s="210">
        <v>5</v>
      </c>
    </row>
    <row r="136" spans="1:9" x14ac:dyDescent="0.25">
      <c r="A136" s="74" t="s">
        <v>2290</v>
      </c>
      <c r="B136" s="45">
        <v>133</v>
      </c>
      <c r="C136" s="64" t="s">
        <v>545</v>
      </c>
      <c r="D136" s="74">
        <v>500602</v>
      </c>
      <c r="E136" s="208" t="s">
        <v>133</v>
      </c>
      <c r="F136" s="208" t="s">
        <v>197</v>
      </c>
      <c r="G136" s="208" t="s">
        <v>199</v>
      </c>
      <c r="H136" s="209" t="s">
        <v>192</v>
      </c>
      <c r="I136" s="210">
        <v>6</v>
      </c>
    </row>
    <row r="137" spans="1:9" x14ac:dyDescent="0.25">
      <c r="A137" s="74" t="s">
        <v>2291</v>
      </c>
      <c r="B137" s="45">
        <v>134</v>
      </c>
      <c r="C137" s="64" t="s">
        <v>546</v>
      </c>
      <c r="D137" s="74">
        <v>500612</v>
      </c>
      <c r="E137" s="208" t="s">
        <v>133</v>
      </c>
      <c r="F137" s="208" t="s">
        <v>197</v>
      </c>
      <c r="G137" s="208" t="s">
        <v>199</v>
      </c>
      <c r="H137" s="209" t="s">
        <v>192</v>
      </c>
      <c r="I137" s="210">
        <v>7</v>
      </c>
    </row>
    <row r="138" spans="1:9" x14ac:dyDescent="0.25">
      <c r="A138" s="74" t="s">
        <v>2292</v>
      </c>
      <c r="B138" s="45">
        <v>135</v>
      </c>
      <c r="C138" s="63" t="s">
        <v>547</v>
      </c>
      <c r="D138" s="74">
        <v>500613</v>
      </c>
      <c r="E138" s="208" t="s">
        <v>133</v>
      </c>
      <c r="F138" s="208" t="s">
        <v>197</v>
      </c>
      <c r="G138" s="208" t="s">
        <v>199</v>
      </c>
      <c r="H138" s="209" t="s">
        <v>192</v>
      </c>
      <c r="I138" s="210">
        <v>7</v>
      </c>
    </row>
    <row r="139" spans="1:9" x14ac:dyDescent="0.25">
      <c r="A139" s="74" t="s">
        <v>2293</v>
      </c>
      <c r="B139" s="45">
        <v>136</v>
      </c>
      <c r="C139" s="64" t="s">
        <v>548</v>
      </c>
      <c r="D139" s="74">
        <v>500623</v>
      </c>
      <c r="E139" s="208" t="s">
        <v>125</v>
      </c>
      <c r="F139" s="208" t="s">
        <v>21</v>
      </c>
      <c r="G139" s="208" t="s">
        <v>21</v>
      </c>
      <c r="H139" s="209" t="s">
        <v>200</v>
      </c>
      <c r="I139" s="210">
        <v>5</v>
      </c>
    </row>
    <row r="140" spans="1:9" x14ac:dyDescent="0.25">
      <c r="A140" s="74" t="s">
        <v>2294</v>
      </c>
      <c r="B140" s="45">
        <v>137</v>
      </c>
      <c r="C140" s="63" t="s">
        <v>549</v>
      </c>
      <c r="D140" s="74">
        <v>500716</v>
      </c>
      <c r="E140" s="208" t="s">
        <v>133</v>
      </c>
      <c r="F140" s="208" t="s">
        <v>197</v>
      </c>
      <c r="G140" s="208" t="s">
        <v>21</v>
      </c>
      <c r="H140" s="209" t="s">
        <v>192</v>
      </c>
      <c r="I140" s="210">
        <v>7</v>
      </c>
    </row>
    <row r="141" spans="1:9" x14ac:dyDescent="0.25">
      <c r="A141" s="74" t="s">
        <v>2295</v>
      </c>
      <c r="B141" s="45">
        <v>138</v>
      </c>
      <c r="C141" s="64" t="s">
        <v>550</v>
      </c>
      <c r="D141" s="74">
        <v>500626</v>
      </c>
      <c r="E141" s="208" t="s">
        <v>125</v>
      </c>
      <c r="F141" s="208" t="s">
        <v>21</v>
      </c>
      <c r="G141" s="208" t="s">
        <v>21</v>
      </c>
      <c r="H141" s="209" t="s">
        <v>200</v>
      </c>
      <c r="I141" s="210">
        <v>5</v>
      </c>
    </row>
    <row r="142" spans="1:9" x14ac:dyDescent="0.25">
      <c r="A142" s="74" t="s">
        <v>2296</v>
      </c>
      <c r="B142" s="45">
        <v>139</v>
      </c>
      <c r="C142" s="63" t="s">
        <v>551</v>
      </c>
      <c r="D142" s="74">
        <v>500656</v>
      </c>
      <c r="E142" s="208" t="s">
        <v>135</v>
      </c>
      <c r="F142" s="208" t="s">
        <v>21</v>
      </c>
      <c r="G142" s="208" t="s">
        <v>21</v>
      </c>
      <c r="H142" s="209" t="s">
        <v>201</v>
      </c>
      <c r="I142" s="210">
        <v>4</v>
      </c>
    </row>
    <row r="143" spans="1:9" x14ac:dyDescent="0.25">
      <c r="A143" s="74" t="s">
        <v>2297</v>
      </c>
      <c r="B143" s="45">
        <v>140</v>
      </c>
      <c r="C143" s="63" t="s">
        <v>552</v>
      </c>
      <c r="D143" s="74">
        <v>500667</v>
      </c>
      <c r="E143" s="208" t="s">
        <v>135</v>
      </c>
      <c r="F143" s="208" t="s">
        <v>21</v>
      </c>
      <c r="G143" s="208" t="s">
        <v>21</v>
      </c>
      <c r="H143" s="209" t="s">
        <v>189</v>
      </c>
      <c r="I143" s="210">
        <v>6</v>
      </c>
    </row>
    <row r="144" spans="1:9" x14ac:dyDescent="0.25">
      <c r="A144" s="74" t="s">
        <v>2298</v>
      </c>
      <c r="B144" s="45">
        <v>141</v>
      </c>
      <c r="C144" s="64" t="s">
        <v>553</v>
      </c>
      <c r="D144" s="74">
        <v>500668</v>
      </c>
      <c r="E144" s="208" t="s">
        <v>135</v>
      </c>
      <c r="F144" s="208" t="s">
        <v>21</v>
      </c>
      <c r="G144" s="208" t="s">
        <v>21</v>
      </c>
      <c r="H144" s="209" t="s">
        <v>189</v>
      </c>
      <c r="I144" s="210">
        <v>5</v>
      </c>
    </row>
    <row r="145" spans="1:9" x14ac:dyDescent="0.25">
      <c r="A145" s="74" t="s">
        <v>2299</v>
      </c>
      <c r="B145" s="45">
        <v>142</v>
      </c>
      <c r="C145" s="64" t="s">
        <v>554</v>
      </c>
      <c r="D145" s="74">
        <v>500658</v>
      </c>
      <c r="E145" s="208" t="s">
        <v>135</v>
      </c>
      <c r="F145" s="208" t="s">
        <v>202</v>
      </c>
      <c r="G145" s="208" t="s">
        <v>21</v>
      </c>
      <c r="H145" s="209" t="s">
        <v>187</v>
      </c>
      <c r="I145" s="210">
        <v>5</v>
      </c>
    </row>
    <row r="146" spans="1:9" x14ac:dyDescent="0.25">
      <c r="A146" s="74" t="s">
        <v>2300</v>
      </c>
      <c r="B146" s="45">
        <v>143</v>
      </c>
      <c r="C146" s="64" t="s">
        <v>555</v>
      </c>
      <c r="D146" s="74">
        <v>500657</v>
      </c>
      <c r="E146" s="208" t="s">
        <v>135</v>
      </c>
      <c r="F146" s="208" t="s">
        <v>202</v>
      </c>
      <c r="G146" s="208" t="s">
        <v>21</v>
      </c>
      <c r="H146" s="209" t="s">
        <v>194</v>
      </c>
      <c r="I146" s="210">
        <v>6</v>
      </c>
    </row>
    <row r="147" spans="1:9" x14ac:dyDescent="0.25">
      <c r="A147" s="74" t="s">
        <v>2301</v>
      </c>
      <c r="B147" s="45">
        <v>144</v>
      </c>
      <c r="C147" s="64" t="s">
        <v>556</v>
      </c>
      <c r="D147" s="74">
        <v>500657</v>
      </c>
      <c r="E147" s="208" t="s">
        <v>135</v>
      </c>
      <c r="F147" s="208" t="s">
        <v>202</v>
      </c>
      <c r="G147" s="208" t="s">
        <v>21</v>
      </c>
      <c r="H147" s="209" t="s">
        <v>194</v>
      </c>
      <c r="I147" s="210">
        <v>6</v>
      </c>
    </row>
    <row r="148" spans="1:9" x14ac:dyDescent="0.25">
      <c r="A148" s="74" t="s">
        <v>2302</v>
      </c>
      <c r="B148" s="45">
        <v>145</v>
      </c>
      <c r="C148" s="64" t="s">
        <v>557</v>
      </c>
      <c r="D148" s="74">
        <v>500657</v>
      </c>
      <c r="E148" s="208" t="s">
        <v>135</v>
      </c>
      <c r="F148" s="208" t="s">
        <v>202</v>
      </c>
      <c r="G148" s="208" t="s">
        <v>21</v>
      </c>
      <c r="H148" s="209" t="s">
        <v>194</v>
      </c>
      <c r="I148" s="210">
        <v>6</v>
      </c>
    </row>
    <row r="149" spans="1:9" x14ac:dyDescent="0.25">
      <c r="A149" s="74" t="s">
        <v>2303</v>
      </c>
      <c r="B149" s="45">
        <v>146</v>
      </c>
      <c r="C149" s="64" t="s">
        <v>558</v>
      </c>
      <c r="D149" s="74">
        <v>500657</v>
      </c>
      <c r="E149" s="208" t="s">
        <v>135</v>
      </c>
      <c r="F149" s="208" t="s">
        <v>202</v>
      </c>
      <c r="G149" s="208" t="s">
        <v>21</v>
      </c>
      <c r="H149" s="209" t="s">
        <v>194</v>
      </c>
      <c r="I149" s="210">
        <v>6</v>
      </c>
    </row>
    <row r="150" spans="1:9" x14ac:dyDescent="0.25">
      <c r="A150" s="74" t="s">
        <v>2304</v>
      </c>
      <c r="B150" s="45">
        <v>147</v>
      </c>
      <c r="C150" s="64" t="s">
        <v>559</v>
      </c>
      <c r="D150" s="74">
        <v>500669</v>
      </c>
      <c r="E150" s="208" t="s">
        <v>135</v>
      </c>
      <c r="F150" s="208" t="s">
        <v>202</v>
      </c>
      <c r="G150" s="208" t="s">
        <v>203</v>
      </c>
      <c r="H150" s="209" t="s">
        <v>193</v>
      </c>
      <c r="I150" s="210">
        <v>6</v>
      </c>
    </row>
    <row r="151" spans="1:9" x14ac:dyDescent="0.25">
      <c r="A151" s="74" t="s">
        <v>2305</v>
      </c>
      <c r="B151" s="45">
        <v>148</v>
      </c>
      <c r="C151" s="64" t="s">
        <v>560</v>
      </c>
      <c r="D151" s="74">
        <v>500664</v>
      </c>
      <c r="E151" s="208" t="s">
        <v>135</v>
      </c>
      <c r="F151" s="208" t="s">
        <v>202</v>
      </c>
      <c r="G151" s="208" t="s">
        <v>21</v>
      </c>
      <c r="H151" s="209" t="s">
        <v>198</v>
      </c>
      <c r="I151" s="210">
        <v>6</v>
      </c>
    </row>
    <row r="152" spans="1:9" x14ac:dyDescent="0.25">
      <c r="A152" s="74" t="s">
        <v>2306</v>
      </c>
      <c r="B152" s="45">
        <v>149</v>
      </c>
      <c r="C152" s="64" t="s">
        <v>561</v>
      </c>
      <c r="D152" s="74">
        <v>500665</v>
      </c>
      <c r="E152" s="208" t="s">
        <v>135</v>
      </c>
      <c r="F152" s="208" t="s">
        <v>202</v>
      </c>
      <c r="G152" s="208" t="s">
        <v>21</v>
      </c>
      <c r="H152" s="209" t="s">
        <v>192</v>
      </c>
      <c r="I152" s="210">
        <v>7</v>
      </c>
    </row>
    <row r="153" spans="1:9" x14ac:dyDescent="0.25">
      <c r="A153" s="74" t="s">
        <v>2307</v>
      </c>
      <c r="B153" s="45">
        <v>150</v>
      </c>
      <c r="C153" s="64" t="s">
        <v>562</v>
      </c>
      <c r="D153" s="74">
        <v>500648</v>
      </c>
      <c r="E153" s="208" t="s">
        <v>135</v>
      </c>
      <c r="F153" s="208" t="s">
        <v>202</v>
      </c>
      <c r="G153" s="208" t="s">
        <v>21</v>
      </c>
      <c r="H153" s="209" t="s">
        <v>198</v>
      </c>
      <c r="I153" s="210">
        <v>6</v>
      </c>
    </row>
    <row r="154" spans="1:9" x14ac:dyDescent="0.25">
      <c r="A154" s="74" t="s">
        <v>2308</v>
      </c>
      <c r="B154" s="45">
        <v>151</v>
      </c>
      <c r="C154" s="64" t="s">
        <v>563</v>
      </c>
      <c r="D154" s="74">
        <v>500649</v>
      </c>
      <c r="E154" s="208" t="s">
        <v>135</v>
      </c>
      <c r="F154" s="208" t="s">
        <v>202</v>
      </c>
      <c r="G154" s="208" t="s">
        <v>21</v>
      </c>
      <c r="H154" s="209" t="s">
        <v>192</v>
      </c>
      <c r="I154" s="210">
        <v>7</v>
      </c>
    </row>
    <row r="155" spans="1:9" x14ac:dyDescent="0.25">
      <c r="A155" s="74" t="s">
        <v>2309</v>
      </c>
      <c r="B155" s="45">
        <v>152</v>
      </c>
      <c r="C155" s="64" t="s">
        <v>564</v>
      </c>
      <c r="D155" s="74">
        <v>500650</v>
      </c>
      <c r="E155" s="208" t="s">
        <v>135</v>
      </c>
      <c r="F155" s="208" t="s">
        <v>202</v>
      </c>
      <c r="G155" s="208" t="s">
        <v>21</v>
      </c>
      <c r="H155" s="209" t="s">
        <v>191</v>
      </c>
      <c r="I155" s="210">
        <v>7</v>
      </c>
    </row>
    <row r="156" spans="1:9" x14ac:dyDescent="0.25">
      <c r="A156" s="74" t="s">
        <v>2310</v>
      </c>
      <c r="B156" s="45">
        <v>153</v>
      </c>
      <c r="C156" s="64" t="s">
        <v>565</v>
      </c>
      <c r="D156" s="74">
        <v>500650</v>
      </c>
      <c r="E156" s="208" t="s">
        <v>135</v>
      </c>
      <c r="F156" s="208" t="s">
        <v>202</v>
      </c>
      <c r="G156" s="208" t="s">
        <v>21</v>
      </c>
      <c r="H156" s="209" t="s">
        <v>191</v>
      </c>
      <c r="I156" s="210">
        <v>7</v>
      </c>
    </row>
    <row r="157" spans="1:9" x14ac:dyDescent="0.25">
      <c r="A157" s="74" t="s">
        <v>2311</v>
      </c>
      <c r="B157" s="45">
        <v>154</v>
      </c>
      <c r="C157" s="64" t="s">
        <v>566</v>
      </c>
      <c r="D157" s="74">
        <v>500650</v>
      </c>
      <c r="E157" s="208" t="s">
        <v>135</v>
      </c>
      <c r="F157" s="208" t="s">
        <v>202</v>
      </c>
      <c r="G157" s="208" t="s">
        <v>21</v>
      </c>
      <c r="H157" s="209" t="s">
        <v>191</v>
      </c>
      <c r="I157" s="210">
        <v>7</v>
      </c>
    </row>
    <row r="158" spans="1:9" x14ac:dyDescent="0.25">
      <c r="A158" s="74" t="s">
        <v>2312</v>
      </c>
      <c r="B158" s="45">
        <v>155</v>
      </c>
      <c r="C158" s="64" t="s">
        <v>567</v>
      </c>
      <c r="D158" s="74">
        <v>500650</v>
      </c>
      <c r="E158" s="208" t="s">
        <v>135</v>
      </c>
      <c r="F158" s="208" t="s">
        <v>202</v>
      </c>
      <c r="G158" s="208" t="s">
        <v>21</v>
      </c>
      <c r="H158" s="209" t="s">
        <v>191</v>
      </c>
      <c r="I158" s="210">
        <v>7</v>
      </c>
    </row>
    <row r="159" spans="1:9" ht="24" x14ac:dyDescent="0.25">
      <c r="A159" s="74" t="s">
        <v>2313</v>
      </c>
      <c r="B159" s="45">
        <v>156</v>
      </c>
      <c r="C159" s="63" t="s">
        <v>568</v>
      </c>
      <c r="D159" s="74">
        <v>500645</v>
      </c>
      <c r="E159" s="208" t="s">
        <v>135</v>
      </c>
      <c r="F159" s="213" t="s">
        <v>202</v>
      </c>
      <c r="G159" s="208" t="s">
        <v>203</v>
      </c>
      <c r="H159" s="209" t="s">
        <v>187</v>
      </c>
      <c r="I159" s="210">
        <v>6</v>
      </c>
    </row>
    <row r="160" spans="1:9" ht="24" x14ac:dyDescent="0.25">
      <c r="A160" s="74" t="s">
        <v>2314</v>
      </c>
      <c r="B160" s="216">
        <v>157</v>
      </c>
      <c r="C160" s="63" t="s">
        <v>569</v>
      </c>
      <c r="D160" s="74">
        <v>500646</v>
      </c>
      <c r="E160" s="208" t="s">
        <v>135</v>
      </c>
      <c r="F160" s="213" t="s">
        <v>202</v>
      </c>
      <c r="G160" s="208" t="s">
        <v>21</v>
      </c>
      <c r="H160" s="209" t="s">
        <v>189</v>
      </c>
      <c r="I160" s="210">
        <v>6</v>
      </c>
    </row>
    <row r="161" spans="1:9" x14ac:dyDescent="0.25">
      <c r="A161" s="74" t="s">
        <v>2315</v>
      </c>
      <c r="B161" s="45">
        <v>158</v>
      </c>
      <c r="C161" s="64" t="s">
        <v>570</v>
      </c>
      <c r="D161" s="74">
        <v>500663</v>
      </c>
      <c r="E161" s="208" t="s">
        <v>135</v>
      </c>
      <c r="F161" s="208" t="s">
        <v>202</v>
      </c>
      <c r="G161" s="208" t="s">
        <v>203</v>
      </c>
      <c r="H161" s="209" t="s">
        <v>191</v>
      </c>
      <c r="I161" s="210">
        <v>6</v>
      </c>
    </row>
    <row r="162" spans="1:9" x14ac:dyDescent="0.25">
      <c r="A162" s="74" t="s">
        <v>2316</v>
      </c>
      <c r="B162" s="45">
        <v>159</v>
      </c>
      <c r="C162" s="64" t="s">
        <v>571</v>
      </c>
      <c r="D162" s="74">
        <v>500663</v>
      </c>
      <c r="E162" s="208" t="s">
        <v>135</v>
      </c>
      <c r="F162" s="208" t="s">
        <v>202</v>
      </c>
      <c r="G162" s="208" t="s">
        <v>203</v>
      </c>
      <c r="H162" s="209" t="s">
        <v>191</v>
      </c>
      <c r="I162" s="210">
        <v>6</v>
      </c>
    </row>
    <row r="163" spans="1:9" x14ac:dyDescent="0.25">
      <c r="A163" s="74" t="s">
        <v>2317</v>
      </c>
      <c r="B163" s="45">
        <v>160</v>
      </c>
      <c r="C163" s="64" t="s">
        <v>572</v>
      </c>
      <c r="D163" s="74">
        <v>500663</v>
      </c>
      <c r="E163" s="208" t="s">
        <v>135</v>
      </c>
      <c r="F163" s="208" t="s">
        <v>202</v>
      </c>
      <c r="G163" s="208" t="s">
        <v>203</v>
      </c>
      <c r="H163" s="209" t="s">
        <v>191</v>
      </c>
      <c r="I163" s="210">
        <v>6</v>
      </c>
    </row>
    <row r="164" spans="1:9" x14ac:dyDescent="0.25">
      <c r="A164" s="74" t="s">
        <v>2318</v>
      </c>
      <c r="B164" s="45">
        <v>161</v>
      </c>
      <c r="C164" s="64" t="s">
        <v>573</v>
      </c>
      <c r="D164" s="74">
        <v>500663</v>
      </c>
      <c r="E164" s="208" t="s">
        <v>135</v>
      </c>
      <c r="F164" s="208" t="s">
        <v>202</v>
      </c>
      <c r="G164" s="208" t="s">
        <v>203</v>
      </c>
      <c r="H164" s="209" t="s">
        <v>191</v>
      </c>
      <c r="I164" s="210">
        <v>6</v>
      </c>
    </row>
    <row r="165" spans="1:9" x14ac:dyDescent="0.25">
      <c r="A165" s="74" t="s">
        <v>2319</v>
      </c>
      <c r="B165" s="45">
        <v>162</v>
      </c>
      <c r="C165" s="64" t="s">
        <v>574</v>
      </c>
      <c r="D165" s="74">
        <v>500671</v>
      </c>
      <c r="E165" s="208" t="s">
        <v>135</v>
      </c>
      <c r="F165" s="208" t="s">
        <v>202</v>
      </c>
      <c r="G165" s="208" t="s">
        <v>203</v>
      </c>
      <c r="H165" s="209" t="s">
        <v>189</v>
      </c>
      <c r="I165" s="210">
        <v>6</v>
      </c>
    </row>
    <row r="166" spans="1:9" x14ac:dyDescent="0.25">
      <c r="A166" s="74" t="s">
        <v>2320</v>
      </c>
      <c r="B166" s="45">
        <v>163</v>
      </c>
      <c r="C166" s="64" t="s">
        <v>575</v>
      </c>
      <c r="D166" s="74">
        <v>500670</v>
      </c>
      <c r="E166" s="208" t="s">
        <v>135</v>
      </c>
      <c r="F166" s="208" t="s">
        <v>202</v>
      </c>
      <c r="G166" s="208" t="s">
        <v>203</v>
      </c>
      <c r="H166" s="209" t="s">
        <v>189</v>
      </c>
      <c r="I166" s="210">
        <v>6</v>
      </c>
    </row>
    <row r="167" spans="1:9" x14ac:dyDescent="0.25">
      <c r="A167" s="74" t="s">
        <v>2321</v>
      </c>
      <c r="B167" s="45">
        <v>164</v>
      </c>
      <c r="C167" s="63" t="s">
        <v>576</v>
      </c>
      <c r="D167" s="74">
        <v>500666</v>
      </c>
      <c r="E167" s="208" t="s">
        <v>135</v>
      </c>
      <c r="F167" s="208" t="s">
        <v>202</v>
      </c>
      <c r="G167" s="208" t="s">
        <v>203</v>
      </c>
      <c r="H167" s="209" t="s">
        <v>192</v>
      </c>
      <c r="I167" s="210">
        <v>6</v>
      </c>
    </row>
    <row r="168" spans="1:9" x14ac:dyDescent="0.25">
      <c r="A168" s="74" t="s">
        <v>2322</v>
      </c>
      <c r="B168" s="45">
        <v>165</v>
      </c>
      <c r="C168" s="64" t="s">
        <v>577</v>
      </c>
      <c r="D168" s="74">
        <v>500661</v>
      </c>
      <c r="E168" s="208" t="s">
        <v>135</v>
      </c>
      <c r="F168" s="208" t="s">
        <v>202</v>
      </c>
      <c r="G168" s="208" t="s">
        <v>21</v>
      </c>
      <c r="H168" s="209" t="s">
        <v>183</v>
      </c>
      <c r="I168" s="210">
        <v>5</v>
      </c>
    </row>
    <row r="169" spans="1:9" x14ac:dyDescent="0.25">
      <c r="A169" s="74" t="s">
        <v>2323</v>
      </c>
      <c r="B169" s="45">
        <v>166</v>
      </c>
      <c r="C169" s="64" t="s">
        <v>578</v>
      </c>
      <c r="D169" s="74">
        <v>500662</v>
      </c>
      <c r="E169" s="208" t="s">
        <v>135</v>
      </c>
      <c r="F169" s="208" t="s">
        <v>202</v>
      </c>
      <c r="G169" s="208" t="s">
        <v>203</v>
      </c>
      <c r="H169" s="209" t="s">
        <v>191</v>
      </c>
      <c r="I169" s="210">
        <v>6</v>
      </c>
    </row>
    <row r="170" spans="1:9" x14ac:dyDescent="0.25">
      <c r="A170" s="74" t="s">
        <v>2324</v>
      </c>
      <c r="B170" s="45">
        <v>167</v>
      </c>
      <c r="C170" s="64" t="s">
        <v>579</v>
      </c>
      <c r="D170" s="74">
        <v>500662</v>
      </c>
      <c r="E170" s="208" t="s">
        <v>135</v>
      </c>
      <c r="F170" s="208" t="s">
        <v>202</v>
      </c>
      <c r="G170" s="208" t="s">
        <v>203</v>
      </c>
      <c r="H170" s="209" t="s">
        <v>191</v>
      </c>
      <c r="I170" s="210">
        <v>6</v>
      </c>
    </row>
    <row r="171" spans="1:9" x14ac:dyDescent="0.25">
      <c r="A171" s="74" t="s">
        <v>2325</v>
      </c>
      <c r="B171" s="45">
        <v>168</v>
      </c>
      <c r="C171" s="64" t="s">
        <v>580</v>
      </c>
      <c r="D171" s="74">
        <v>500662</v>
      </c>
      <c r="E171" s="208" t="s">
        <v>135</v>
      </c>
      <c r="F171" s="208" t="s">
        <v>202</v>
      </c>
      <c r="G171" s="208" t="s">
        <v>203</v>
      </c>
      <c r="H171" s="209" t="s">
        <v>191</v>
      </c>
      <c r="I171" s="210">
        <v>6</v>
      </c>
    </row>
    <row r="172" spans="1:9" x14ac:dyDescent="0.25">
      <c r="A172" s="74" t="s">
        <v>2326</v>
      </c>
      <c r="B172" s="45">
        <v>169</v>
      </c>
      <c r="C172" s="64" t="s">
        <v>581</v>
      </c>
      <c r="D172" s="74">
        <v>500662</v>
      </c>
      <c r="E172" s="208" t="s">
        <v>135</v>
      </c>
      <c r="F172" s="208" t="s">
        <v>202</v>
      </c>
      <c r="G172" s="208" t="s">
        <v>203</v>
      </c>
      <c r="H172" s="209" t="s">
        <v>191</v>
      </c>
      <c r="I172" s="210">
        <v>6</v>
      </c>
    </row>
    <row r="173" spans="1:9" x14ac:dyDescent="0.25">
      <c r="A173" s="74" t="s">
        <v>2327</v>
      </c>
      <c r="B173" s="45">
        <v>170</v>
      </c>
      <c r="C173" s="63" t="s">
        <v>582</v>
      </c>
      <c r="D173" s="74">
        <v>500662</v>
      </c>
      <c r="E173" s="208" t="s">
        <v>135</v>
      </c>
      <c r="F173" s="208" t="s">
        <v>202</v>
      </c>
      <c r="G173" s="208" t="s">
        <v>203</v>
      </c>
      <c r="H173" s="209" t="s">
        <v>191</v>
      </c>
      <c r="I173" s="210">
        <v>6</v>
      </c>
    </row>
    <row r="174" spans="1:9" x14ac:dyDescent="0.25">
      <c r="A174" s="74" t="s">
        <v>2328</v>
      </c>
      <c r="B174" s="45">
        <v>171</v>
      </c>
      <c r="C174" s="63" t="s">
        <v>583</v>
      </c>
      <c r="D174" s="74">
        <v>500662</v>
      </c>
      <c r="E174" s="208" t="s">
        <v>135</v>
      </c>
      <c r="F174" s="208" t="s">
        <v>202</v>
      </c>
      <c r="G174" s="208" t="s">
        <v>203</v>
      </c>
      <c r="H174" s="209" t="s">
        <v>191</v>
      </c>
      <c r="I174" s="210">
        <v>6</v>
      </c>
    </row>
    <row r="175" spans="1:9" x14ac:dyDescent="0.25">
      <c r="A175" s="74" t="s">
        <v>2329</v>
      </c>
      <c r="B175" s="45">
        <v>172</v>
      </c>
      <c r="C175" s="64" t="s">
        <v>584</v>
      </c>
      <c r="D175" s="74">
        <v>500662</v>
      </c>
      <c r="E175" s="208" t="s">
        <v>135</v>
      </c>
      <c r="F175" s="208" t="s">
        <v>202</v>
      </c>
      <c r="G175" s="208" t="s">
        <v>203</v>
      </c>
      <c r="H175" s="209" t="s">
        <v>191</v>
      </c>
      <c r="I175" s="210">
        <v>6</v>
      </c>
    </row>
    <row r="176" spans="1:9" x14ac:dyDescent="0.25">
      <c r="A176" s="74" t="s">
        <v>2330</v>
      </c>
      <c r="B176" s="45">
        <v>173</v>
      </c>
      <c r="C176" s="64" t="s">
        <v>585</v>
      </c>
      <c r="D176" s="74">
        <v>500662</v>
      </c>
      <c r="E176" s="208" t="s">
        <v>135</v>
      </c>
      <c r="F176" s="208" t="s">
        <v>202</v>
      </c>
      <c r="G176" s="208" t="s">
        <v>203</v>
      </c>
      <c r="H176" s="209" t="s">
        <v>191</v>
      </c>
      <c r="I176" s="210">
        <v>6</v>
      </c>
    </row>
    <row r="177" spans="1:9" x14ac:dyDescent="0.25">
      <c r="A177" s="74" t="s">
        <v>2331</v>
      </c>
      <c r="B177" s="45">
        <v>174</v>
      </c>
      <c r="C177" s="64" t="s">
        <v>586</v>
      </c>
      <c r="D177" s="74">
        <v>500672</v>
      </c>
      <c r="E177" s="208" t="s">
        <v>135</v>
      </c>
      <c r="F177" s="208" t="s">
        <v>202</v>
      </c>
      <c r="G177" s="208" t="s">
        <v>203</v>
      </c>
      <c r="H177" s="209" t="s">
        <v>189</v>
      </c>
      <c r="I177" s="210">
        <v>6</v>
      </c>
    </row>
    <row r="178" spans="1:9" x14ac:dyDescent="0.25">
      <c r="A178" s="74" t="s">
        <v>2332</v>
      </c>
      <c r="B178" s="45">
        <v>175</v>
      </c>
      <c r="C178" s="64" t="s">
        <v>587</v>
      </c>
      <c r="D178" s="74">
        <v>500673</v>
      </c>
      <c r="E178" s="208" t="s">
        <v>135</v>
      </c>
      <c r="F178" s="208" t="s">
        <v>202</v>
      </c>
      <c r="G178" s="208" t="s">
        <v>203</v>
      </c>
      <c r="H178" s="209" t="s">
        <v>189</v>
      </c>
      <c r="I178" s="210">
        <v>6</v>
      </c>
    </row>
    <row r="179" spans="1:9" x14ac:dyDescent="0.25">
      <c r="A179" s="74" t="s">
        <v>2333</v>
      </c>
      <c r="B179" s="45" t="s">
        <v>23</v>
      </c>
      <c r="C179" s="45" t="s">
        <v>23</v>
      </c>
      <c r="D179" s="74">
        <v>500676</v>
      </c>
      <c r="E179" s="208" t="s">
        <v>135</v>
      </c>
      <c r="F179" s="208" t="s">
        <v>202</v>
      </c>
      <c r="G179" s="208" t="s">
        <v>203</v>
      </c>
      <c r="H179" s="209" t="s">
        <v>189</v>
      </c>
      <c r="I179" s="210">
        <v>6</v>
      </c>
    </row>
    <row r="180" spans="1:9" x14ac:dyDescent="0.25">
      <c r="A180" s="74" t="s">
        <v>2334</v>
      </c>
      <c r="B180" s="45" t="s">
        <v>23</v>
      </c>
      <c r="C180" s="64" t="s">
        <v>23</v>
      </c>
      <c r="D180" s="74">
        <v>500677</v>
      </c>
      <c r="E180" s="208" t="s">
        <v>135</v>
      </c>
      <c r="F180" s="208" t="s">
        <v>202</v>
      </c>
      <c r="G180" s="208" t="s">
        <v>203</v>
      </c>
      <c r="H180" s="209" t="s">
        <v>192</v>
      </c>
      <c r="I180" s="210">
        <v>6</v>
      </c>
    </row>
    <row r="181" spans="1:9" x14ac:dyDescent="0.25">
      <c r="A181" s="74" t="s">
        <v>2335</v>
      </c>
      <c r="B181" s="45">
        <v>176</v>
      </c>
      <c r="C181" s="63" t="s">
        <v>588</v>
      </c>
      <c r="D181" s="74">
        <v>500678</v>
      </c>
      <c r="E181" s="208" t="s">
        <v>135</v>
      </c>
      <c r="F181" s="208" t="s">
        <v>202</v>
      </c>
      <c r="G181" s="208" t="s">
        <v>203</v>
      </c>
      <c r="H181" s="209" t="s">
        <v>192</v>
      </c>
      <c r="I181" s="210">
        <v>6</v>
      </c>
    </row>
    <row r="182" spans="1:9" x14ac:dyDescent="0.25">
      <c r="A182" s="74" t="s">
        <v>2336</v>
      </c>
      <c r="B182" s="45">
        <v>177</v>
      </c>
      <c r="C182" s="64" t="s">
        <v>589</v>
      </c>
      <c r="D182" s="74">
        <v>500660</v>
      </c>
      <c r="E182" s="208" t="s">
        <v>135</v>
      </c>
      <c r="F182" s="208" t="s">
        <v>202</v>
      </c>
      <c r="G182" s="208" t="s">
        <v>203</v>
      </c>
      <c r="H182" s="209" t="s">
        <v>192</v>
      </c>
      <c r="I182" s="210">
        <v>6</v>
      </c>
    </row>
    <row r="183" spans="1:9" x14ac:dyDescent="0.25">
      <c r="A183" s="74" t="s">
        <v>2337</v>
      </c>
      <c r="B183" s="45">
        <v>178</v>
      </c>
      <c r="C183" s="64" t="s">
        <v>590</v>
      </c>
      <c r="D183" s="74">
        <v>500674</v>
      </c>
      <c r="E183" s="208" t="s">
        <v>135</v>
      </c>
      <c r="F183" s="208" t="s">
        <v>202</v>
      </c>
      <c r="G183" s="208" t="s">
        <v>203</v>
      </c>
      <c r="H183" s="209" t="s">
        <v>189</v>
      </c>
      <c r="I183" s="210">
        <v>6</v>
      </c>
    </row>
    <row r="184" spans="1:9" x14ac:dyDescent="0.25">
      <c r="A184" s="74" t="s">
        <v>2338</v>
      </c>
      <c r="B184" s="45">
        <v>179</v>
      </c>
      <c r="C184" s="64" t="s">
        <v>591</v>
      </c>
      <c r="D184" s="74">
        <v>500675</v>
      </c>
      <c r="E184" s="208" t="s">
        <v>135</v>
      </c>
      <c r="F184" s="208" t="s">
        <v>202</v>
      </c>
      <c r="G184" s="208" t="s">
        <v>203</v>
      </c>
      <c r="H184" s="209" t="s">
        <v>191</v>
      </c>
      <c r="I184" s="210">
        <v>6</v>
      </c>
    </row>
    <row r="185" spans="1:9" x14ac:dyDescent="0.25">
      <c r="A185" s="74" t="s">
        <v>2339</v>
      </c>
      <c r="B185" s="45">
        <v>180</v>
      </c>
      <c r="C185" s="64" t="s">
        <v>592</v>
      </c>
      <c r="D185" s="74">
        <v>500675</v>
      </c>
      <c r="E185" s="208" t="s">
        <v>135</v>
      </c>
      <c r="F185" s="208" t="s">
        <v>202</v>
      </c>
      <c r="G185" s="208" t="s">
        <v>203</v>
      </c>
      <c r="H185" s="209" t="s">
        <v>191</v>
      </c>
      <c r="I185" s="210">
        <v>6</v>
      </c>
    </row>
    <row r="186" spans="1:9" x14ac:dyDescent="0.25">
      <c r="A186" s="74" t="s">
        <v>2340</v>
      </c>
      <c r="B186" s="45" t="s">
        <v>23</v>
      </c>
      <c r="C186" s="63" t="s">
        <v>23</v>
      </c>
      <c r="D186" s="74">
        <v>500675</v>
      </c>
      <c r="E186" s="208" t="s">
        <v>135</v>
      </c>
      <c r="F186" s="208" t="s">
        <v>202</v>
      </c>
      <c r="G186" s="208" t="s">
        <v>203</v>
      </c>
      <c r="H186" s="209" t="s">
        <v>191</v>
      </c>
      <c r="I186" s="210">
        <v>6</v>
      </c>
    </row>
    <row r="187" spans="1:9" x14ac:dyDescent="0.25">
      <c r="A187" s="74" t="s">
        <v>2340</v>
      </c>
      <c r="B187" s="45">
        <v>181</v>
      </c>
      <c r="C187" s="63" t="s">
        <v>593</v>
      </c>
      <c r="D187" s="74">
        <v>500675</v>
      </c>
      <c r="E187" s="208" t="s">
        <v>135</v>
      </c>
      <c r="F187" s="208" t="s">
        <v>202</v>
      </c>
      <c r="G187" s="208" t="s">
        <v>203</v>
      </c>
      <c r="H187" s="209" t="s">
        <v>191</v>
      </c>
      <c r="I187" s="210">
        <v>6</v>
      </c>
    </row>
    <row r="188" spans="1:9" x14ac:dyDescent="0.25">
      <c r="A188" s="74" t="s">
        <v>2341</v>
      </c>
      <c r="B188" s="45">
        <v>182</v>
      </c>
      <c r="C188" s="64" t="s">
        <v>594</v>
      </c>
      <c r="D188" s="74">
        <v>500675</v>
      </c>
      <c r="E188" s="208" t="s">
        <v>135</v>
      </c>
      <c r="F188" s="208" t="s">
        <v>202</v>
      </c>
      <c r="G188" s="208" t="s">
        <v>203</v>
      </c>
      <c r="H188" s="209" t="s">
        <v>191</v>
      </c>
      <c r="I188" s="210">
        <v>6</v>
      </c>
    </row>
    <row r="189" spans="1:9" ht="24" x14ac:dyDescent="0.25">
      <c r="A189" s="74" t="s">
        <v>2342</v>
      </c>
      <c r="B189" s="45">
        <v>183</v>
      </c>
      <c r="C189" s="63" t="s">
        <v>595</v>
      </c>
      <c r="D189" s="74">
        <v>500679</v>
      </c>
      <c r="E189" s="208" t="s">
        <v>135</v>
      </c>
      <c r="F189" s="213" t="s">
        <v>202</v>
      </c>
      <c r="G189" s="213" t="s">
        <v>203</v>
      </c>
      <c r="H189" s="209" t="s">
        <v>189</v>
      </c>
      <c r="I189" s="210">
        <v>7</v>
      </c>
    </row>
    <row r="190" spans="1:9" x14ac:dyDescent="0.25">
      <c r="A190" s="74" t="s">
        <v>2343</v>
      </c>
      <c r="B190" s="45">
        <v>184</v>
      </c>
      <c r="C190" s="64" t="s">
        <v>596</v>
      </c>
      <c r="D190" s="74">
        <v>500659</v>
      </c>
      <c r="E190" s="208" t="s">
        <v>135</v>
      </c>
      <c r="F190" s="208" t="s">
        <v>202</v>
      </c>
      <c r="G190" s="208" t="s">
        <v>21</v>
      </c>
      <c r="H190" s="209" t="s">
        <v>183</v>
      </c>
      <c r="I190" s="210">
        <v>5</v>
      </c>
    </row>
    <row r="191" spans="1:9" x14ac:dyDescent="0.25">
      <c r="A191" s="74" t="s">
        <v>2344</v>
      </c>
      <c r="B191" s="45">
        <v>185</v>
      </c>
      <c r="C191" s="64" t="s">
        <v>597</v>
      </c>
      <c r="D191" s="74">
        <v>500651</v>
      </c>
      <c r="E191" s="208" t="s">
        <v>135</v>
      </c>
      <c r="F191" s="208" t="s">
        <v>202</v>
      </c>
      <c r="G191" s="208" t="s">
        <v>203</v>
      </c>
      <c r="H191" s="209" t="s">
        <v>189</v>
      </c>
      <c r="I191" s="210">
        <v>6</v>
      </c>
    </row>
    <row r="192" spans="1:9" x14ac:dyDescent="0.25">
      <c r="A192" s="74" t="s">
        <v>2345</v>
      </c>
      <c r="B192" s="45">
        <v>186</v>
      </c>
      <c r="C192" s="64" t="s">
        <v>598</v>
      </c>
      <c r="D192" s="74">
        <v>500652</v>
      </c>
      <c r="E192" s="208" t="s">
        <v>135</v>
      </c>
      <c r="F192" s="208" t="s">
        <v>202</v>
      </c>
      <c r="G192" s="208" t="s">
        <v>203</v>
      </c>
      <c r="H192" s="209" t="s">
        <v>191</v>
      </c>
      <c r="I192" s="210">
        <v>7</v>
      </c>
    </row>
    <row r="193" spans="1:9" x14ac:dyDescent="0.25">
      <c r="A193" s="74" t="s">
        <v>2346</v>
      </c>
      <c r="B193" s="45">
        <v>187</v>
      </c>
      <c r="C193" s="64" t="s">
        <v>599</v>
      </c>
      <c r="D193" s="74">
        <v>500652</v>
      </c>
      <c r="E193" s="208" t="s">
        <v>135</v>
      </c>
      <c r="F193" s="208" t="s">
        <v>202</v>
      </c>
      <c r="G193" s="208" t="s">
        <v>203</v>
      </c>
      <c r="H193" s="209" t="s">
        <v>191</v>
      </c>
      <c r="I193" s="210">
        <v>7</v>
      </c>
    </row>
    <row r="194" spans="1:9" x14ac:dyDescent="0.25">
      <c r="A194" s="74" t="s">
        <v>2347</v>
      </c>
      <c r="B194" s="45">
        <v>188</v>
      </c>
      <c r="C194" s="64" t="s">
        <v>600</v>
      </c>
      <c r="D194" s="74">
        <v>500652</v>
      </c>
      <c r="E194" s="208" t="s">
        <v>135</v>
      </c>
      <c r="F194" s="208" t="s">
        <v>202</v>
      </c>
      <c r="G194" s="208" t="s">
        <v>203</v>
      </c>
      <c r="H194" s="209" t="s">
        <v>191</v>
      </c>
      <c r="I194" s="210">
        <v>7</v>
      </c>
    </row>
    <row r="195" spans="1:9" x14ac:dyDescent="0.25">
      <c r="A195" s="74" t="s">
        <v>2348</v>
      </c>
      <c r="B195" s="45">
        <v>189</v>
      </c>
      <c r="C195" s="64" t="s">
        <v>601</v>
      </c>
      <c r="D195" s="74">
        <v>500652</v>
      </c>
      <c r="E195" s="208" t="s">
        <v>135</v>
      </c>
      <c r="F195" s="208" t="s">
        <v>202</v>
      </c>
      <c r="G195" s="208" t="s">
        <v>203</v>
      </c>
      <c r="H195" s="209" t="s">
        <v>191</v>
      </c>
      <c r="I195" s="210">
        <v>7</v>
      </c>
    </row>
    <row r="196" spans="1:9" x14ac:dyDescent="0.25">
      <c r="A196" s="74" t="s">
        <v>2349</v>
      </c>
      <c r="B196" s="45" t="s">
        <v>23</v>
      </c>
      <c r="C196" s="45" t="s">
        <v>23</v>
      </c>
      <c r="D196" s="74">
        <v>500647</v>
      </c>
      <c r="E196" s="208" t="s">
        <v>135</v>
      </c>
      <c r="F196" s="208" t="s">
        <v>202</v>
      </c>
      <c r="G196" s="208" t="s">
        <v>203</v>
      </c>
      <c r="H196" s="209" t="s">
        <v>189</v>
      </c>
      <c r="I196" s="210">
        <v>6</v>
      </c>
    </row>
    <row r="197" spans="1:9" x14ac:dyDescent="0.25">
      <c r="A197" s="74" t="s">
        <v>2350</v>
      </c>
      <c r="B197" s="45">
        <v>190</v>
      </c>
      <c r="C197" s="64" t="s">
        <v>602</v>
      </c>
      <c r="D197" s="74">
        <v>500653</v>
      </c>
      <c r="E197" s="208" t="s">
        <v>135</v>
      </c>
      <c r="F197" s="208" t="s">
        <v>202</v>
      </c>
      <c r="G197" s="208" t="s">
        <v>203</v>
      </c>
      <c r="H197" s="209" t="s">
        <v>191</v>
      </c>
      <c r="I197" s="210">
        <v>7</v>
      </c>
    </row>
    <row r="198" spans="1:9" x14ac:dyDescent="0.25">
      <c r="A198" s="74" t="s">
        <v>2351</v>
      </c>
      <c r="B198" s="45">
        <v>191</v>
      </c>
      <c r="C198" s="64" t="s">
        <v>603</v>
      </c>
      <c r="D198" s="74">
        <v>500653</v>
      </c>
      <c r="E198" s="208" t="s">
        <v>135</v>
      </c>
      <c r="F198" s="208" t="s">
        <v>202</v>
      </c>
      <c r="G198" s="208" t="s">
        <v>203</v>
      </c>
      <c r="H198" s="209" t="s">
        <v>191</v>
      </c>
      <c r="I198" s="210">
        <v>7</v>
      </c>
    </row>
    <row r="199" spans="1:9" x14ac:dyDescent="0.25">
      <c r="A199" s="74" t="s">
        <v>2352</v>
      </c>
      <c r="B199" s="45">
        <v>192</v>
      </c>
      <c r="C199" s="64" t="s">
        <v>604</v>
      </c>
      <c r="D199" s="74">
        <v>500653</v>
      </c>
      <c r="E199" s="208" t="s">
        <v>135</v>
      </c>
      <c r="F199" s="208" t="s">
        <v>202</v>
      </c>
      <c r="G199" s="208" t="s">
        <v>203</v>
      </c>
      <c r="H199" s="209" t="s">
        <v>191</v>
      </c>
      <c r="I199" s="210">
        <v>7</v>
      </c>
    </row>
    <row r="200" spans="1:9" x14ac:dyDescent="0.25">
      <c r="A200" s="74" t="s">
        <v>2353</v>
      </c>
      <c r="B200" s="45">
        <v>193</v>
      </c>
      <c r="C200" s="63" t="s">
        <v>605</v>
      </c>
      <c r="D200" s="74">
        <v>500653</v>
      </c>
      <c r="E200" s="208" t="s">
        <v>135</v>
      </c>
      <c r="F200" s="208" t="s">
        <v>202</v>
      </c>
      <c r="G200" s="208" t="s">
        <v>203</v>
      </c>
      <c r="H200" s="209" t="s">
        <v>191</v>
      </c>
      <c r="I200" s="210">
        <v>7</v>
      </c>
    </row>
    <row r="201" spans="1:9" x14ac:dyDescent="0.25">
      <c r="A201" s="74" t="s">
        <v>2354</v>
      </c>
      <c r="B201" s="45">
        <v>194</v>
      </c>
      <c r="C201" s="64" t="s">
        <v>606</v>
      </c>
      <c r="D201" s="74">
        <v>500654</v>
      </c>
      <c r="E201" s="208" t="s">
        <v>135</v>
      </c>
      <c r="F201" s="208" t="s">
        <v>202</v>
      </c>
      <c r="G201" s="208" t="s">
        <v>203</v>
      </c>
      <c r="H201" s="209" t="s">
        <v>189</v>
      </c>
      <c r="I201" s="210">
        <v>6</v>
      </c>
    </row>
    <row r="202" spans="1:9" x14ac:dyDescent="0.25">
      <c r="A202" s="74" t="s">
        <v>2355</v>
      </c>
      <c r="B202" s="45">
        <v>195</v>
      </c>
      <c r="C202" s="64" t="s">
        <v>607</v>
      </c>
      <c r="D202" s="74">
        <v>500655</v>
      </c>
      <c r="E202" s="208" t="s">
        <v>135</v>
      </c>
      <c r="F202" s="208" t="s">
        <v>202</v>
      </c>
      <c r="G202" s="208" t="s">
        <v>203</v>
      </c>
      <c r="H202" s="209" t="s">
        <v>191</v>
      </c>
      <c r="I202" s="210">
        <v>7</v>
      </c>
    </row>
    <row r="203" spans="1:9" x14ac:dyDescent="0.25">
      <c r="A203" s="74" t="s">
        <v>2356</v>
      </c>
      <c r="B203" s="45">
        <v>196</v>
      </c>
      <c r="C203" s="64" t="s">
        <v>608</v>
      </c>
      <c r="D203" s="74">
        <v>500655</v>
      </c>
      <c r="E203" s="208" t="s">
        <v>135</v>
      </c>
      <c r="F203" s="208" t="s">
        <v>202</v>
      </c>
      <c r="G203" s="208" t="s">
        <v>203</v>
      </c>
      <c r="H203" s="209" t="s">
        <v>191</v>
      </c>
      <c r="I203" s="210">
        <v>7</v>
      </c>
    </row>
    <row r="204" spans="1:9" x14ac:dyDescent="0.25">
      <c r="A204" s="74" t="s">
        <v>2357</v>
      </c>
      <c r="B204" s="45">
        <v>197</v>
      </c>
      <c r="C204" s="64" t="s">
        <v>609</v>
      </c>
      <c r="D204" s="74">
        <v>500655</v>
      </c>
      <c r="E204" s="208" t="s">
        <v>135</v>
      </c>
      <c r="F204" s="208" t="s">
        <v>202</v>
      </c>
      <c r="G204" s="208" t="s">
        <v>203</v>
      </c>
      <c r="H204" s="209" t="s">
        <v>191</v>
      </c>
      <c r="I204" s="210">
        <v>7</v>
      </c>
    </row>
    <row r="205" spans="1:9" x14ac:dyDescent="0.25">
      <c r="A205" s="74" t="s">
        <v>2358</v>
      </c>
      <c r="B205" s="45">
        <v>198</v>
      </c>
      <c r="C205" s="64" t="s">
        <v>610</v>
      </c>
      <c r="D205" s="74">
        <v>500655</v>
      </c>
      <c r="E205" s="208" t="s">
        <v>135</v>
      </c>
      <c r="F205" s="208" t="s">
        <v>202</v>
      </c>
      <c r="G205" s="208" t="s">
        <v>203</v>
      </c>
      <c r="H205" s="209" t="s">
        <v>191</v>
      </c>
      <c r="I205" s="210">
        <v>7</v>
      </c>
    </row>
    <row r="206" spans="1:9" x14ac:dyDescent="0.25">
      <c r="A206" s="74" t="s">
        <v>2359</v>
      </c>
      <c r="B206" s="45">
        <v>199</v>
      </c>
      <c r="C206" s="63" t="s">
        <v>611</v>
      </c>
      <c r="D206" s="74">
        <v>500680</v>
      </c>
      <c r="E206" s="208" t="s">
        <v>132</v>
      </c>
      <c r="F206" s="209" t="s">
        <v>195</v>
      </c>
      <c r="G206" s="208" t="s">
        <v>21</v>
      </c>
      <c r="H206" s="209" t="s">
        <v>189</v>
      </c>
      <c r="I206" s="211">
        <v>7</v>
      </c>
    </row>
    <row r="207" spans="1:9" x14ac:dyDescent="0.25">
      <c r="A207" s="74" t="s">
        <v>2360</v>
      </c>
      <c r="B207" s="45">
        <v>200</v>
      </c>
      <c r="C207" s="64" t="s">
        <v>612</v>
      </c>
      <c r="D207" s="74">
        <v>500727</v>
      </c>
      <c r="E207" s="208" t="s">
        <v>125</v>
      </c>
      <c r="F207" s="208" t="s">
        <v>204</v>
      </c>
      <c r="G207" s="208" t="s">
        <v>21</v>
      </c>
      <c r="H207" s="209" t="s">
        <v>200</v>
      </c>
      <c r="I207" s="210">
        <v>5</v>
      </c>
    </row>
    <row r="208" spans="1:9" x14ac:dyDescent="0.25">
      <c r="A208" s="74" t="s">
        <v>2361</v>
      </c>
      <c r="B208" s="45">
        <v>201</v>
      </c>
      <c r="C208" s="63" t="s">
        <v>613</v>
      </c>
      <c r="D208" s="74">
        <v>500728</v>
      </c>
      <c r="E208" s="208" t="s">
        <v>132</v>
      </c>
      <c r="F208" s="208" t="s">
        <v>195</v>
      </c>
      <c r="G208" s="208" t="s">
        <v>21</v>
      </c>
      <c r="H208" s="209" t="s">
        <v>187</v>
      </c>
      <c r="I208" s="210">
        <v>5</v>
      </c>
    </row>
    <row r="209" spans="1:9" x14ac:dyDescent="0.25">
      <c r="A209" s="74" t="s">
        <v>2362</v>
      </c>
      <c r="B209" s="45">
        <v>202</v>
      </c>
      <c r="C209" s="64" t="s">
        <v>614</v>
      </c>
      <c r="D209" s="74">
        <v>500729</v>
      </c>
      <c r="E209" s="208" t="s">
        <v>133</v>
      </c>
      <c r="F209" s="208" t="s">
        <v>197</v>
      </c>
      <c r="G209" s="208" t="s">
        <v>199</v>
      </c>
      <c r="H209" s="209" t="s">
        <v>187</v>
      </c>
      <c r="I209" s="210">
        <v>5</v>
      </c>
    </row>
    <row r="210" spans="1:9" x14ac:dyDescent="0.25">
      <c r="A210" s="74" t="s">
        <v>2363</v>
      </c>
      <c r="B210" s="45">
        <v>203</v>
      </c>
      <c r="C210" s="64" t="s">
        <v>615</v>
      </c>
      <c r="D210" s="74">
        <v>500730</v>
      </c>
      <c r="E210" s="208" t="s">
        <v>122</v>
      </c>
      <c r="F210" s="208" t="s">
        <v>188</v>
      </c>
      <c r="G210" s="208" t="s">
        <v>21</v>
      </c>
      <c r="H210" s="209" t="s">
        <v>187</v>
      </c>
      <c r="I210" s="210">
        <v>5</v>
      </c>
    </row>
    <row r="211" spans="1:9" x14ac:dyDescent="0.25">
      <c r="A211" s="74" t="s">
        <v>2364</v>
      </c>
      <c r="B211" s="45">
        <v>204</v>
      </c>
      <c r="C211" s="64" t="s">
        <v>616</v>
      </c>
      <c r="D211" s="74">
        <v>500731</v>
      </c>
      <c r="E211" s="208" t="s">
        <v>122</v>
      </c>
      <c r="F211" s="208" t="s">
        <v>188</v>
      </c>
      <c r="G211" s="208" t="s">
        <v>190</v>
      </c>
      <c r="H211" s="209" t="s">
        <v>192</v>
      </c>
      <c r="I211" s="210">
        <v>6</v>
      </c>
    </row>
    <row r="212" spans="1:9" x14ac:dyDescent="0.25">
      <c r="A212" s="74" t="s">
        <v>2365</v>
      </c>
      <c r="B212" s="45">
        <v>205</v>
      </c>
      <c r="C212" s="64" t="s">
        <v>617</v>
      </c>
      <c r="D212" s="74">
        <v>500732</v>
      </c>
      <c r="E212" s="208" t="s">
        <v>135</v>
      </c>
      <c r="F212" s="208" t="s">
        <v>202</v>
      </c>
      <c r="G212" s="208" t="s">
        <v>21</v>
      </c>
      <c r="H212" s="209" t="s">
        <v>187</v>
      </c>
      <c r="I212" s="210">
        <v>5</v>
      </c>
    </row>
    <row r="213" spans="1:9" x14ac:dyDescent="0.25">
      <c r="A213" s="74" t="s">
        <v>2366</v>
      </c>
      <c r="B213" s="45">
        <v>206</v>
      </c>
      <c r="C213" s="64" t="s">
        <v>618</v>
      </c>
      <c r="D213" s="74">
        <v>500733</v>
      </c>
      <c r="E213" s="208" t="s">
        <v>135</v>
      </c>
      <c r="F213" s="208" t="s">
        <v>202</v>
      </c>
      <c r="G213" s="208" t="s">
        <v>21</v>
      </c>
      <c r="H213" s="209" t="s">
        <v>189</v>
      </c>
      <c r="I213" s="210">
        <v>6</v>
      </c>
    </row>
    <row r="214" spans="1:9" x14ac:dyDescent="0.25">
      <c r="A214" s="74" t="s">
        <v>2367</v>
      </c>
      <c r="B214" s="45">
        <v>207</v>
      </c>
      <c r="C214" s="64" t="s">
        <v>619</v>
      </c>
      <c r="D214" s="74">
        <v>500734</v>
      </c>
      <c r="E214" s="208" t="s">
        <v>135</v>
      </c>
      <c r="F214" s="208" t="s">
        <v>202</v>
      </c>
      <c r="G214" s="208" t="s">
        <v>203</v>
      </c>
      <c r="H214" s="209" t="s">
        <v>192</v>
      </c>
      <c r="I214" s="210">
        <v>6</v>
      </c>
    </row>
    <row r="215" spans="1:9" x14ac:dyDescent="0.25">
      <c r="A215" s="74" t="s">
        <v>2368</v>
      </c>
      <c r="B215" s="45">
        <v>208</v>
      </c>
      <c r="C215" s="64" t="s">
        <v>620</v>
      </c>
      <c r="D215" s="74">
        <v>500036</v>
      </c>
      <c r="E215" s="208" t="s">
        <v>127</v>
      </c>
      <c r="F215" s="208" t="s">
        <v>205</v>
      </c>
      <c r="G215" s="208" t="s">
        <v>21</v>
      </c>
      <c r="H215" s="209" t="s">
        <v>179</v>
      </c>
      <c r="I215" s="210">
        <v>4</v>
      </c>
    </row>
    <row r="216" spans="1:9" x14ac:dyDescent="0.25">
      <c r="A216" s="74" t="s">
        <v>2369</v>
      </c>
      <c r="B216" s="45">
        <v>209</v>
      </c>
      <c r="C216" s="64" t="s">
        <v>621</v>
      </c>
      <c r="D216" s="74">
        <v>500575</v>
      </c>
      <c r="E216" s="208" t="s">
        <v>127</v>
      </c>
      <c r="F216" s="208" t="s">
        <v>205</v>
      </c>
      <c r="G216" s="208" t="s">
        <v>206</v>
      </c>
      <c r="H216" s="209" t="s">
        <v>187</v>
      </c>
      <c r="I216" s="210">
        <v>5</v>
      </c>
    </row>
    <row r="217" spans="1:9" x14ac:dyDescent="0.25">
      <c r="A217" s="74" t="s">
        <v>2370</v>
      </c>
      <c r="B217" s="45">
        <v>210</v>
      </c>
      <c r="C217" s="64" t="s">
        <v>622</v>
      </c>
      <c r="D217" s="74">
        <v>500035</v>
      </c>
      <c r="E217" s="208" t="s">
        <v>127</v>
      </c>
      <c r="F217" s="208" t="s">
        <v>21</v>
      </c>
      <c r="G217" s="208" t="s">
        <v>21</v>
      </c>
      <c r="H217" s="209" t="s">
        <v>181</v>
      </c>
      <c r="I217" s="210">
        <v>3</v>
      </c>
    </row>
    <row r="218" spans="1:9" x14ac:dyDescent="0.25">
      <c r="A218" s="74" t="s">
        <v>2371</v>
      </c>
      <c r="B218" s="45">
        <v>211</v>
      </c>
      <c r="C218" s="64" t="s">
        <v>623</v>
      </c>
      <c r="D218" s="74">
        <v>500574</v>
      </c>
      <c r="E218" s="208" t="s">
        <v>127</v>
      </c>
      <c r="F218" s="208" t="s">
        <v>21</v>
      </c>
      <c r="G218" s="208" t="s">
        <v>21</v>
      </c>
      <c r="H218" s="209" t="s">
        <v>180</v>
      </c>
      <c r="I218" s="210">
        <v>4</v>
      </c>
    </row>
    <row r="219" spans="1:9" x14ac:dyDescent="0.25">
      <c r="A219" s="74" t="s">
        <v>2372</v>
      </c>
      <c r="B219" s="45">
        <v>212</v>
      </c>
      <c r="C219" s="64" t="s">
        <v>624</v>
      </c>
      <c r="D219" s="74">
        <v>500037</v>
      </c>
      <c r="E219" s="208" t="s">
        <v>127</v>
      </c>
      <c r="F219" s="208" t="s">
        <v>205</v>
      </c>
      <c r="G219" s="208" t="s">
        <v>21</v>
      </c>
      <c r="H219" s="209" t="s">
        <v>189</v>
      </c>
      <c r="I219" s="210">
        <v>5</v>
      </c>
    </row>
    <row r="220" spans="1:9" x14ac:dyDescent="0.25">
      <c r="A220" s="74" t="s">
        <v>2373</v>
      </c>
      <c r="B220" s="45">
        <v>213</v>
      </c>
      <c r="C220" s="63" t="s">
        <v>625</v>
      </c>
      <c r="D220" s="74">
        <v>500039</v>
      </c>
      <c r="E220" s="208" t="s">
        <v>127</v>
      </c>
      <c r="F220" s="208" t="s">
        <v>205</v>
      </c>
      <c r="G220" s="208" t="s">
        <v>21</v>
      </c>
      <c r="H220" s="209" t="s">
        <v>189</v>
      </c>
      <c r="I220" s="210">
        <v>6</v>
      </c>
    </row>
    <row r="221" spans="1:9" x14ac:dyDescent="0.25">
      <c r="A221" s="74" t="s">
        <v>2374</v>
      </c>
      <c r="B221" s="45">
        <v>214</v>
      </c>
      <c r="C221" s="63" t="s">
        <v>626</v>
      </c>
      <c r="D221" s="74">
        <v>500038</v>
      </c>
      <c r="E221" s="208" t="s">
        <v>127</v>
      </c>
      <c r="F221" s="208" t="s">
        <v>205</v>
      </c>
      <c r="G221" s="208" t="s">
        <v>21</v>
      </c>
      <c r="H221" s="209" t="s">
        <v>189</v>
      </c>
      <c r="I221" s="210">
        <v>6</v>
      </c>
    </row>
    <row r="222" spans="1:9" x14ac:dyDescent="0.25">
      <c r="A222" s="74" t="s">
        <v>2375</v>
      </c>
      <c r="B222" s="45">
        <v>215</v>
      </c>
      <c r="C222" s="64" t="s">
        <v>627</v>
      </c>
      <c r="D222" s="74">
        <v>500586</v>
      </c>
      <c r="E222" s="208" t="s">
        <v>127</v>
      </c>
      <c r="F222" s="208" t="s">
        <v>205</v>
      </c>
      <c r="G222" s="208" t="s">
        <v>21</v>
      </c>
      <c r="H222" s="209" t="s">
        <v>189</v>
      </c>
      <c r="I222" s="210">
        <v>5</v>
      </c>
    </row>
    <row r="223" spans="1:9" x14ac:dyDescent="0.25">
      <c r="A223" s="74" t="s">
        <v>2376</v>
      </c>
      <c r="B223" s="45">
        <v>216</v>
      </c>
      <c r="C223" s="64" t="s">
        <v>628</v>
      </c>
      <c r="D223" s="74">
        <v>500588</v>
      </c>
      <c r="E223" s="208" t="s">
        <v>127</v>
      </c>
      <c r="F223" s="208" t="s">
        <v>21</v>
      </c>
      <c r="G223" s="208" t="s">
        <v>21</v>
      </c>
      <c r="H223" s="209" t="s">
        <v>180</v>
      </c>
      <c r="I223" s="210">
        <v>4</v>
      </c>
    </row>
    <row r="224" spans="1:9" x14ac:dyDescent="0.25">
      <c r="A224" s="74" t="s">
        <v>2377</v>
      </c>
      <c r="B224" s="45">
        <v>217</v>
      </c>
      <c r="C224" s="64" t="s">
        <v>629</v>
      </c>
      <c r="D224" s="74">
        <v>500589</v>
      </c>
      <c r="E224" s="208" t="s">
        <v>127</v>
      </c>
      <c r="F224" s="208" t="s">
        <v>21</v>
      </c>
      <c r="G224" s="208" t="s">
        <v>21</v>
      </c>
      <c r="H224" s="209" t="s">
        <v>180</v>
      </c>
      <c r="I224" s="210">
        <v>4</v>
      </c>
    </row>
    <row r="225" spans="1:9" x14ac:dyDescent="0.25">
      <c r="A225" s="74" t="s">
        <v>2378</v>
      </c>
      <c r="B225" s="45">
        <v>218</v>
      </c>
      <c r="C225" s="64" t="s">
        <v>630</v>
      </c>
      <c r="D225" s="74">
        <v>500590</v>
      </c>
      <c r="E225" s="208" t="s">
        <v>127</v>
      </c>
      <c r="F225" s="208" t="s">
        <v>205</v>
      </c>
      <c r="G225" s="208" t="s">
        <v>206</v>
      </c>
      <c r="H225" s="209" t="s">
        <v>187</v>
      </c>
      <c r="I225" s="210">
        <v>5</v>
      </c>
    </row>
    <row r="226" spans="1:9" x14ac:dyDescent="0.25">
      <c r="A226" s="74" t="s">
        <v>2379</v>
      </c>
      <c r="B226" s="45">
        <v>219</v>
      </c>
      <c r="C226" s="64" t="s">
        <v>631</v>
      </c>
      <c r="D226" s="74">
        <v>500633</v>
      </c>
      <c r="E226" s="208" t="s">
        <v>127</v>
      </c>
      <c r="F226" s="208" t="s">
        <v>205</v>
      </c>
      <c r="G226" s="208" t="s">
        <v>21</v>
      </c>
      <c r="H226" s="209" t="s">
        <v>179</v>
      </c>
      <c r="I226" s="210">
        <v>4</v>
      </c>
    </row>
    <row r="227" spans="1:9" x14ac:dyDescent="0.25">
      <c r="A227" s="74" t="s">
        <v>2380</v>
      </c>
      <c r="B227" s="45">
        <v>220</v>
      </c>
      <c r="C227" s="63" t="s">
        <v>632</v>
      </c>
      <c r="D227" s="74">
        <v>500634</v>
      </c>
      <c r="E227" s="208" t="s">
        <v>127</v>
      </c>
      <c r="F227" s="208" t="s">
        <v>205</v>
      </c>
      <c r="G227" s="208" t="s">
        <v>21</v>
      </c>
      <c r="H227" s="209" t="s">
        <v>200</v>
      </c>
      <c r="I227" s="210">
        <v>5</v>
      </c>
    </row>
    <row r="228" spans="1:9" x14ac:dyDescent="0.25">
      <c r="A228" s="74" t="s">
        <v>2381</v>
      </c>
      <c r="B228" s="45">
        <v>221</v>
      </c>
      <c r="C228" s="64" t="s">
        <v>633</v>
      </c>
      <c r="D228" s="74">
        <v>500635</v>
      </c>
      <c r="E228" s="208" t="s">
        <v>127</v>
      </c>
      <c r="F228" s="208" t="s">
        <v>205</v>
      </c>
      <c r="G228" s="208" t="s">
        <v>206</v>
      </c>
      <c r="H228" s="209" t="s">
        <v>187</v>
      </c>
      <c r="I228" s="210">
        <v>5</v>
      </c>
    </row>
    <row r="229" spans="1:9" x14ac:dyDescent="0.25">
      <c r="A229" s="74" t="s">
        <v>2382</v>
      </c>
      <c r="B229" s="45">
        <v>222</v>
      </c>
      <c r="C229" s="63" t="s">
        <v>634</v>
      </c>
      <c r="D229" s="74">
        <v>500638</v>
      </c>
      <c r="E229" s="208" t="s">
        <v>127</v>
      </c>
      <c r="F229" s="208" t="s">
        <v>205</v>
      </c>
      <c r="G229" s="208" t="s">
        <v>21</v>
      </c>
      <c r="H229" s="209" t="s">
        <v>179</v>
      </c>
      <c r="I229" s="210">
        <v>4</v>
      </c>
    </row>
    <row r="230" spans="1:9" x14ac:dyDescent="0.25">
      <c r="A230" s="74" t="s">
        <v>2383</v>
      </c>
      <c r="B230" s="45">
        <v>223</v>
      </c>
      <c r="C230" s="63" t="s">
        <v>635</v>
      </c>
      <c r="D230" s="74">
        <v>500643</v>
      </c>
      <c r="E230" s="208" t="s">
        <v>127</v>
      </c>
      <c r="F230" s="208" t="s">
        <v>205</v>
      </c>
      <c r="G230" s="208" t="s">
        <v>21</v>
      </c>
      <c r="H230" s="209" t="s">
        <v>200</v>
      </c>
      <c r="I230" s="210">
        <v>5</v>
      </c>
    </row>
    <row r="231" spans="1:9" x14ac:dyDescent="0.25">
      <c r="A231" s="74" t="s">
        <v>2384</v>
      </c>
      <c r="B231" s="45">
        <v>224</v>
      </c>
      <c r="C231" s="64" t="s">
        <v>636</v>
      </c>
      <c r="D231" s="74">
        <v>500006</v>
      </c>
      <c r="E231" s="208" t="s">
        <v>164</v>
      </c>
      <c r="F231" s="208" t="s">
        <v>207</v>
      </c>
      <c r="G231" s="208" t="s">
        <v>21</v>
      </c>
      <c r="H231" s="209" t="s">
        <v>186</v>
      </c>
      <c r="I231" s="210">
        <v>6</v>
      </c>
    </row>
    <row r="232" spans="1:9" x14ac:dyDescent="0.25">
      <c r="A232" s="74" t="s">
        <v>2385</v>
      </c>
      <c r="B232" s="45">
        <v>225</v>
      </c>
      <c r="C232" s="64" t="s">
        <v>637</v>
      </c>
      <c r="D232" s="74">
        <v>500010</v>
      </c>
      <c r="E232" s="208" t="s">
        <v>164</v>
      </c>
      <c r="F232" s="208" t="s">
        <v>21</v>
      </c>
      <c r="G232" s="208" t="s">
        <v>21</v>
      </c>
      <c r="H232" s="209" t="s">
        <v>183</v>
      </c>
      <c r="I232" s="210">
        <v>5</v>
      </c>
    </row>
    <row r="233" spans="1:9" x14ac:dyDescent="0.25">
      <c r="A233" s="74" t="s">
        <v>2386</v>
      </c>
      <c r="B233" s="45">
        <v>226</v>
      </c>
      <c r="C233" s="63" t="s">
        <v>638</v>
      </c>
      <c r="D233" s="74">
        <v>500011</v>
      </c>
      <c r="E233" s="208" t="s">
        <v>164</v>
      </c>
      <c r="F233" s="208" t="s">
        <v>207</v>
      </c>
      <c r="G233" s="208" t="s">
        <v>21</v>
      </c>
      <c r="H233" s="209" t="s">
        <v>186</v>
      </c>
      <c r="I233" s="210">
        <v>6</v>
      </c>
    </row>
    <row r="234" spans="1:9" x14ac:dyDescent="0.25">
      <c r="A234" s="74" t="s">
        <v>2387</v>
      </c>
      <c r="B234" s="45">
        <v>227</v>
      </c>
      <c r="C234" s="64" t="s">
        <v>639</v>
      </c>
      <c r="D234" s="74">
        <v>500023</v>
      </c>
      <c r="E234" s="208" t="s">
        <v>164</v>
      </c>
      <c r="F234" s="208" t="s">
        <v>207</v>
      </c>
      <c r="G234" s="208" t="s">
        <v>208</v>
      </c>
      <c r="H234" s="209" t="s">
        <v>194</v>
      </c>
      <c r="I234" s="210">
        <v>7</v>
      </c>
    </row>
    <row r="235" spans="1:9" x14ac:dyDescent="0.25">
      <c r="A235" s="74" t="s">
        <v>2388</v>
      </c>
      <c r="B235" s="45">
        <v>228</v>
      </c>
      <c r="C235" s="64" t="s">
        <v>640</v>
      </c>
      <c r="D235" s="74">
        <v>500023</v>
      </c>
      <c r="E235" s="208" t="s">
        <v>164</v>
      </c>
      <c r="F235" s="208" t="s">
        <v>207</v>
      </c>
      <c r="G235" s="208" t="s">
        <v>208</v>
      </c>
      <c r="H235" s="209" t="s">
        <v>194</v>
      </c>
      <c r="I235" s="210">
        <v>7</v>
      </c>
    </row>
    <row r="236" spans="1:9" x14ac:dyDescent="0.25">
      <c r="A236" s="74" t="s">
        <v>2389</v>
      </c>
      <c r="B236" s="45">
        <v>229</v>
      </c>
      <c r="C236" s="63" t="s">
        <v>641</v>
      </c>
      <c r="D236" s="74">
        <v>500023</v>
      </c>
      <c r="E236" s="208" t="s">
        <v>164</v>
      </c>
      <c r="F236" s="208" t="s">
        <v>207</v>
      </c>
      <c r="G236" s="208" t="s">
        <v>208</v>
      </c>
      <c r="H236" s="209" t="s">
        <v>194</v>
      </c>
      <c r="I236" s="210">
        <v>7</v>
      </c>
    </row>
    <row r="237" spans="1:9" x14ac:dyDescent="0.25">
      <c r="A237" s="74" t="s">
        <v>2390</v>
      </c>
      <c r="B237" s="45">
        <v>230</v>
      </c>
      <c r="C237" s="64" t="s">
        <v>642</v>
      </c>
      <c r="D237" s="74">
        <v>500040</v>
      </c>
      <c r="E237" s="208" t="s">
        <v>164</v>
      </c>
      <c r="F237" s="208" t="s">
        <v>207</v>
      </c>
      <c r="G237" s="208" t="s">
        <v>21</v>
      </c>
      <c r="H237" s="209" t="s">
        <v>186</v>
      </c>
      <c r="I237" s="210">
        <v>6</v>
      </c>
    </row>
    <row r="238" spans="1:9" x14ac:dyDescent="0.25">
      <c r="A238" s="74" t="s">
        <v>2391</v>
      </c>
      <c r="B238" s="45">
        <v>231</v>
      </c>
      <c r="C238" s="63" t="s">
        <v>643</v>
      </c>
      <c r="D238" s="74">
        <v>500160</v>
      </c>
      <c r="E238" s="208" t="s">
        <v>164</v>
      </c>
      <c r="F238" s="208" t="s">
        <v>207</v>
      </c>
      <c r="G238" s="208" t="s">
        <v>21</v>
      </c>
      <c r="H238" s="209" t="s">
        <v>192</v>
      </c>
      <c r="I238" s="210">
        <v>7</v>
      </c>
    </row>
    <row r="239" spans="1:9" x14ac:dyDescent="0.25">
      <c r="A239" s="74" t="s">
        <v>2392</v>
      </c>
      <c r="B239" s="45">
        <v>232</v>
      </c>
      <c r="C239" s="64" t="s">
        <v>644</v>
      </c>
      <c r="D239" s="74">
        <v>500186</v>
      </c>
      <c r="E239" s="208" t="s">
        <v>164</v>
      </c>
      <c r="F239" s="208" t="s">
        <v>207</v>
      </c>
      <c r="G239" s="208" t="s">
        <v>208</v>
      </c>
      <c r="H239" s="209" t="s">
        <v>191</v>
      </c>
      <c r="I239" s="210">
        <v>7</v>
      </c>
    </row>
    <row r="240" spans="1:9" x14ac:dyDescent="0.25">
      <c r="A240" s="74" t="s">
        <v>2393</v>
      </c>
      <c r="B240" s="45" t="s">
        <v>23</v>
      </c>
      <c r="C240" s="45" t="s">
        <v>23</v>
      </c>
      <c r="D240" s="74">
        <v>500186</v>
      </c>
      <c r="E240" s="208" t="s">
        <v>164</v>
      </c>
      <c r="F240" s="208" t="s">
        <v>207</v>
      </c>
      <c r="G240" s="208" t="s">
        <v>208</v>
      </c>
      <c r="H240" s="209" t="s">
        <v>191</v>
      </c>
      <c r="I240" s="210">
        <v>7</v>
      </c>
    </row>
    <row r="241" spans="1:9" x14ac:dyDescent="0.25">
      <c r="A241" s="74" t="s">
        <v>2394</v>
      </c>
      <c r="B241" s="45" t="s">
        <v>23</v>
      </c>
      <c r="C241" s="45" t="s">
        <v>23</v>
      </c>
      <c r="D241" s="74">
        <v>500186</v>
      </c>
      <c r="E241" s="208" t="s">
        <v>164</v>
      </c>
      <c r="F241" s="208" t="s">
        <v>207</v>
      </c>
      <c r="G241" s="208" t="s">
        <v>208</v>
      </c>
      <c r="H241" s="209" t="s">
        <v>191</v>
      </c>
      <c r="I241" s="210">
        <v>7</v>
      </c>
    </row>
    <row r="242" spans="1:9" x14ac:dyDescent="0.25">
      <c r="A242" s="74" t="s">
        <v>2395</v>
      </c>
      <c r="B242" s="45">
        <v>233</v>
      </c>
      <c r="C242" s="63" t="s">
        <v>645</v>
      </c>
      <c r="D242" s="74">
        <v>500213</v>
      </c>
      <c r="E242" s="208" t="s">
        <v>164</v>
      </c>
      <c r="F242" s="208" t="s">
        <v>207</v>
      </c>
      <c r="G242" s="208" t="s">
        <v>21</v>
      </c>
      <c r="H242" s="209" t="s">
        <v>191</v>
      </c>
      <c r="I242" s="210">
        <v>7</v>
      </c>
    </row>
    <row r="243" spans="1:9" x14ac:dyDescent="0.25">
      <c r="A243" s="74" t="s">
        <v>2396</v>
      </c>
      <c r="B243" s="45">
        <v>234</v>
      </c>
      <c r="C243" s="63" t="s">
        <v>646</v>
      </c>
      <c r="D243" s="74">
        <v>500213</v>
      </c>
      <c r="E243" s="208" t="s">
        <v>164</v>
      </c>
      <c r="F243" s="208" t="s">
        <v>207</v>
      </c>
      <c r="G243" s="208" t="s">
        <v>21</v>
      </c>
      <c r="H243" s="209" t="s">
        <v>191</v>
      </c>
      <c r="I243" s="210">
        <v>7</v>
      </c>
    </row>
    <row r="244" spans="1:9" x14ac:dyDescent="0.25">
      <c r="A244" s="74" t="s">
        <v>2397</v>
      </c>
      <c r="B244" s="45">
        <v>235</v>
      </c>
      <c r="C244" s="63" t="s">
        <v>647</v>
      </c>
      <c r="D244" s="74">
        <v>500213</v>
      </c>
      <c r="E244" s="208" t="s">
        <v>164</v>
      </c>
      <c r="F244" s="208" t="s">
        <v>207</v>
      </c>
      <c r="G244" s="208" t="s">
        <v>21</v>
      </c>
      <c r="H244" s="209" t="s">
        <v>191</v>
      </c>
      <c r="I244" s="210">
        <v>7</v>
      </c>
    </row>
    <row r="245" spans="1:9" x14ac:dyDescent="0.25">
      <c r="A245" s="74" t="s">
        <v>2398</v>
      </c>
      <c r="B245" s="45">
        <v>236</v>
      </c>
      <c r="C245" s="63" t="s">
        <v>648</v>
      </c>
      <c r="D245" s="74">
        <v>500213</v>
      </c>
      <c r="E245" s="208" t="s">
        <v>164</v>
      </c>
      <c r="F245" s="208" t="s">
        <v>207</v>
      </c>
      <c r="G245" s="208" t="s">
        <v>21</v>
      </c>
      <c r="H245" s="209" t="s">
        <v>191</v>
      </c>
      <c r="I245" s="210">
        <v>7</v>
      </c>
    </row>
    <row r="246" spans="1:9" x14ac:dyDescent="0.25">
      <c r="A246" s="74" t="s">
        <v>2399</v>
      </c>
      <c r="B246" s="45">
        <v>237</v>
      </c>
      <c r="C246" s="64" t="s">
        <v>649</v>
      </c>
      <c r="D246" s="74">
        <v>500216</v>
      </c>
      <c r="E246" s="208" t="s">
        <v>164</v>
      </c>
      <c r="F246" s="208" t="s">
        <v>207</v>
      </c>
      <c r="G246" s="208" t="s">
        <v>21</v>
      </c>
      <c r="H246" s="209" t="s">
        <v>192</v>
      </c>
      <c r="I246" s="210">
        <v>7</v>
      </c>
    </row>
    <row r="247" spans="1:9" x14ac:dyDescent="0.25">
      <c r="A247" s="74" t="s">
        <v>2400</v>
      </c>
      <c r="B247" s="45">
        <v>238</v>
      </c>
      <c r="C247" s="63" t="s">
        <v>650</v>
      </c>
      <c r="D247" s="74">
        <v>500217</v>
      </c>
      <c r="E247" s="208" t="s">
        <v>164</v>
      </c>
      <c r="F247" s="208" t="s">
        <v>207</v>
      </c>
      <c r="G247" s="208" t="s">
        <v>208</v>
      </c>
      <c r="H247" s="209" t="s">
        <v>192</v>
      </c>
      <c r="I247" s="210">
        <v>7</v>
      </c>
    </row>
    <row r="248" spans="1:9" x14ac:dyDescent="0.25">
      <c r="A248" s="74" t="s">
        <v>2401</v>
      </c>
      <c r="B248" s="45">
        <v>239</v>
      </c>
      <c r="C248" s="63" t="s">
        <v>651</v>
      </c>
      <c r="D248" s="74">
        <v>500222</v>
      </c>
      <c r="E248" s="208" t="s">
        <v>164</v>
      </c>
      <c r="F248" s="208" t="s">
        <v>207</v>
      </c>
      <c r="G248" s="208" t="s">
        <v>208</v>
      </c>
      <c r="H248" s="209" t="s">
        <v>191</v>
      </c>
      <c r="I248" s="210">
        <v>7</v>
      </c>
    </row>
    <row r="249" spans="1:9" x14ac:dyDescent="0.25">
      <c r="A249" s="74" t="s">
        <v>2402</v>
      </c>
      <c r="B249" s="45" t="s">
        <v>23</v>
      </c>
      <c r="C249" s="45" t="s">
        <v>23</v>
      </c>
      <c r="D249" s="74">
        <v>500222</v>
      </c>
      <c r="E249" s="208" t="s">
        <v>164</v>
      </c>
      <c r="F249" s="208" t="s">
        <v>207</v>
      </c>
      <c r="G249" s="208" t="s">
        <v>208</v>
      </c>
      <c r="H249" s="209" t="s">
        <v>191</v>
      </c>
      <c r="I249" s="210">
        <v>7</v>
      </c>
    </row>
    <row r="250" spans="1:9" x14ac:dyDescent="0.25">
      <c r="A250" s="74" t="s">
        <v>2403</v>
      </c>
      <c r="B250" s="45" t="s">
        <v>23</v>
      </c>
      <c r="C250" s="45" t="s">
        <v>23</v>
      </c>
      <c r="D250" s="74">
        <v>500023</v>
      </c>
      <c r="E250" s="208" t="s">
        <v>164</v>
      </c>
      <c r="F250" s="208" t="s">
        <v>207</v>
      </c>
      <c r="G250" s="208" t="s">
        <v>208</v>
      </c>
      <c r="H250" s="209" t="s">
        <v>194</v>
      </c>
      <c r="I250" s="210">
        <v>7</v>
      </c>
    </row>
    <row r="251" spans="1:9" x14ac:dyDescent="0.25">
      <c r="A251" s="74" t="s">
        <v>2404</v>
      </c>
      <c r="B251" s="45">
        <v>240</v>
      </c>
      <c r="C251" s="64" t="s">
        <v>652</v>
      </c>
      <c r="D251" s="74">
        <v>500186</v>
      </c>
      <c r="E251" s="208" t="s">
        <v>164</v>
      </c>
      <c r="F251" s="208" t="s">
        <v>207</v>
      </c>
      <c r="G251" s="208" t="s">
        <v>208</v>
      </c>
      <c r="H251" s="209" t="s">
        <v>191</v>
      </c>
      <c r="I251" s="210">
        <v>7</v>
      </c>
    </row>
    <row r="252" spans="1:9" x14ac:dyDescent="0.25">
      <c r="A252" s="74" t="s">
        <v>2404</v>
      </c>
      <c r="B252" s="45">
        <v>240</v>
      </c>
      <c r="C252" s="64" t="s">
        <v>23</v>
      </c>
      <c r="D252" s="74">
        <v>500186</v>
      </c>
      <c r="E252" s="208" t="s">
        <v>164</v>
      </c>
      <c r="F252" s="208" t="s">
        <v>207</v>
      </c>
      <c r="G252" s="208" t="s">
        <v>208</v>
      </c>
      <c r="H252" s="209" t="s">
        <v>191</v>
      </c>
      <c r="I252" s="210">
        <v>7</v>
      </c>
    </row>
    <row r="253" spans="1:9" x14ac:dyDescent="0.25">
      <c r="A253" s="74" t="s">
        <v>2405</v>
      </c>
      <c r="B253" s="45" t="s">
        <v>23</v>
      </c>
      <c r="C253" s="45" t="s">
        <v>23</v>
      </c>
      <c r="D253" s="74">
        <v>500222</v>
      </c>
      <c r="E253" s="208" t="s">
        <v>164</v>
      </c>
      <c r="F253" s="208" t="s">
        <v>207</v>
      </c>
      <c r="G253" s="208" t="s">
        <v>208</v>
      </c>
      <c r="H253" s="209" t="s">
        <v>191</v>
      </c>
      <c r="I253" s="210">
        <v>7</v>
      </c>
    </row>
    <row r="254" spans="1:9" x14ac:dyDescent="0.25">
      <c r="A254" s="74" t="s">
        <v>2406</v>
      </c>
      <c r="B254" s="45">
        <v>241</v>
      </c>
      <c r="C254" s="64" t="s">
        <v>653</v>
      </c>
      <c r="D254" s="74">
        <v>500222</v>
      </c>
      <c r="E254" s="208" t="s">
        <v>164</v>
      </c>
      <c r="F254" s="208" t="s">
        <v>207</v>
      </c>
      <c r="G254" s="208" t="s">
        <v>208</v>
      </c>
      <c r="H254" s="209" t="s">
        <v>191</v>
      </c>
      <c r="I254" s="210">
        <v>7</v>
      </c>
    </row>
    <row r="255" spans="1:9" x14ac:dyDescent="0.25">
      <c r="A255" s="74" t="s">
        <v>2407</v>
      </c>
      <c r="B255" s="45">
        <v>242</v>
      </c>
      <c r="C255" s="63" t="s">
        <v>654</v>
      </c>
      <c r="D255" s="74">
        <v>500570</v>
      </c>
      <c r="E255" s="208" t="s">
        <v>164</v>
      </c>
      <c r="F255" s="208" t="s">
        <v>207</v>
      </c>
      <c r="G255" s="208" t="s">
        <v>208</v>
      </c>
      <c r="H255" s="209" t="s">
        <v>191</v>
      </c>
      <c r="I255" s="210">
        <v>7</v>
      </c>
    </row>
    <row r="256" spans="1:9" x14ac:dyDescent="0.25">
      <c r="A256" s="74" t="s">
        <v>2408</v>
      </c>
      <c r="B256" s="45">
        <v>243</v>
      </c>
      <c r="C256" s="63" t="s">
        <v>655</v>
      </c>
      <c r="D256" s="74">
        <v>500570</v>
      </c>
      <c r="E256" s="208" t="s">
        <v>164</v>
      </c>
      <c r="F256" s="208" t="s">
        <v>207</v>
      </c>
      <c r="G256" s="208" t="s">
        <v>208</v>
      </c>
      <c r="H256" s="209" t="s">
        <v>191</v>
      </c>
      <c r="I256" s="210">
        <v>7</v>
      </c>
    </row>
    <row r="257" spans="1:9" x14ac:dyDescent="0.25">
      <c r="A257" s="74" t="s">
        <v>2409</v>
      </c>
      <c r="B257" s="45">
        <v>244</v>
      </c>
      <c r="C257" s="63" t="s">
        <v>656</v>
      </c>
      <c r="D257" s="74">
        <v>500570</v>
      </c>
      <c r="E257" s="208" t="s">
        <v>164</v>
      </c>
      <c r="F257" s="208" t="s">
        <v>207</v>
      </c>
      <c r="G257" s="208" t="s">
        <v>208</v>
      </c>
      <c r="H257" s="209" t="s">
        <v>191</v>
      </c>
      <c r="I257" s="210">
        <v>7</v>
      </c>
    </row>
    <row r="258" spans="1:9" x14ac:dyDescent="0.25">
      <c r="A258" s="74" t="s">
        <v>2410</v>
      </c>
      <c r="B258" s="45">
        <v>245</v>
      </c>
      <c r="C258" s="63" t="s">
        <v>657</v>
      </c>
      <c r="D258" s="74">
        <v>500570</v>
      </c>
      <c r="E258" s="208" t="s">
        <v>164</v>
      </c>
      <c r="F258" s="208" t="s">
        <v>207</v>
      </c>
      <c r="G258" s="208" t="s">
        <v>208</v>
      </c>
      <c r="H258" s="209" t="s">
        <v>191</v>
      </c>
      <c r="I258" s="210">
        <v>7</v>
      </c>
    </row>
    <row r="259" spans="1:9" x14ac:dyDescent="0.25">
      <c r="A259" s="74" t="s">
        <v>2411</v>
      </c>
      <c r="B259" s="45">
        <v>246</v>
      </c>
      <c r="C259" s="64" t="s">
        <v>658</v>
      </c>
      <c r="D259" s="74">
        <v>500578</v>
      </c>
      <c r="E259" s="208" t="s">
        <v>162</v>
      </c>
      <c r="F259" s="208" t="s">
        <v>21</v>
      </c>
      <c r="G259" s="208" t="s">
        <v>21</v>
      </c>
      <c r="H259" s="209" t="s">
        <v>183</v>
      </c>
      <c r="I259" s="210">
        <v>5</v>
      </c>
    </row>
    <row r="260" spans="1:9" x14ac:dyDescent="0.25">
      <c r="A260" s="74" t="s">
        <v>2412</v>
      </c>
      <c r="B260" s="45">
        <v>247</v>
      </c>
      <c r="C260" s="64" t="s">
        <v>659</v>
      </c>
      <c r="D260" s="74">
        <v>500579</v>
      </c>
      <c r="E260" s="208" t="s">
        <v>162</v>
      </c>
      <c r="F260" s="208" t="s">
        <v>209</v>
      </c>
      <c r="G260" s="208" t="s">
        <v>21</v>
      </c>
      <c r="H260" s="209" t="s">
        <v>187</v>
      </c>
      <c r="I260" s="210">
        <v>6</v>
      </c>
    </row>
    <row r="261" spans="1:9" x14ac:dyDescent="0.25">
      <c r="A261" s="74" t="s">
        <v>2413</v>
      </c>
      <c r="B261" s="45">
        <v>248</v>
      </c>
      <c r="C261" s="63" t="s">
        <v>660</v>
      </c>
      <c r="D261" s="74">
        <v>500580</v>
      </c>
      <c r="E261" s="208" t="s">
        <v>162</v>
      </c>
      <c r="F261" s="208" t="s">
        <v>209</v>
      </c>
      <c r="G261" s="208" t="s">
        <v>21</v>
      </c>
      <c r="H261" s="209" t="s">
        <v>191</v>
      </c>
      <c r="I261" s="210">
        <v>6</v>
      </c>
    </row>
    <row r="262" spans="1:9" x14ac:dyDescent="0.25">
      <c r="A262" s="74" t="s">
        <v>2414</v>
      </c>
      <c r="B262" s="45">
        <v>249</v>
      </c>
      <c r="C262" s="63" t="s">
        <v>661</v>
      </c>
      <c r="D262" s="74">
        <v>500580</v>
      </c>
      <c r="E262" s="208" t="s">
        <v>162</v>
      </c>
      <c r="F262" s="208" t="s">
        <v>209</v>
      </c>
      <c r="G262" s="208" t="s">
        <v>21</v>
      </c>
      <c r="H262" s="209" t="s">
        <v>191</v>
      </c>
      <c r="I262" s="210">
        <v>6</v>
      </c>
    </row>
    <row r="263" spans="1:9" x14ac:dyDescent="0.25">
      <c r="A263" s="74" t="s">
        <v>2415</v>
      </c>
      <c r="B263" s="45">
        <v>250</v>
      </c>
      <c r="C263" s="63" t="s">
        <v>662</v>
      </c>
      <c r="D263" s="74">
        <v>500580</v>
      </c>
      <c r="E263" s="208" t="s">
        <v>162</v>
      </c>
      <c r="F263" s="208" t="s">
        <v>209</v>
      </c>
      <c r="G263" s="208" t="s">
        <v>21</v>
      </c>
      <c r="H263" s="209" t="s">
        <v>191</v>
      </c>
      <c r="I263" s="210">
        <v>6</v>
      </c>
    </row>
    <row r="264" spans="1:9" x14ac:dyDescent="0.25">
      <c r="A264" s="74" t="s">
        <v>2416</v>
      </c>
      <c r="B264" s="45">
        <v>251</v>
      </c>
      <c r="C264" s="63" t="s">
        <v>663</v>
      </c>
      <c r="D264" s="74">
        <v>500580</v>
      </c>
      <c r="E264" s="208" t="s">
        <v>162</v>
      </c>
      <c r="F264" s="208" t="s">
        <v>209</v>
      </c>
      <c r="G264" s="208" t="s">
        <v>21</v>
      </c>
      <c r="H264" s="209" t="s">
        <v>191</v>
      </c>
      <c r="I264" s="210">
        <v>6</v>
      </c>
    </row>
    <row r="265" spans="1:9" x14ac:dyDescent="0.25">
      <c r="A265" s="74" t="s">
        <v>2417</v>
      </c>
      <c r="B265" s="45">
        <v>252</v>
      </c>
      <c r="C265" s="45" t="s">
        <v>664</v>
      </c>
      <c r="D265" s="74">
        <v>500631</v>
      </c>
      <c r="E265" s="208" t="s">
        <v>126</v>
      </c>
      <c r="F265" s="208" t="s">
        <v>21</v>
      </c>
      <c r="G265" s="208" t="s">
        <v>21</v>
      </c>
      <c r="H265" s="209" t="s">
        <v>181</v>
      </c>
      <c r="I265" s="210">
        <v>3</v>
      </c>
    </row>
    <row r="266" spans="1:9" x14ac:dyDescent="0.25">
      <c r="A266" s="74" t="s">
        <v>2418</v>
      </c>
      <c r="B266" s="45">
        <v>253</v>
      </c>
      <c r="C266" s="63" t="s">
        <v>665</v>
      </c>
      <c r="D266" s="74">
        <v>500682</v>
      </c>
      <c r="E266" s="208" t="s">
        <v>176</v>
      </c>
      <c r="F266" s="208" t="s">
        <v>210</v>
      </c>
      <c r="G266" s="208" t="s">
        <v>21</v>
      </c>
      <c r="H266" s="209" t="s">
        <v>183</v>
      </c>
      <c r="I266" s="210">
        <v>5</v>
      </c>
    </row>
    <row r="267" spans="1:9" x14ac:dyDescent="0.25">
      <c r="A267" s="74" t="s">
        <v>2419</v>
      </c>
      <c r="B267" s="45">
        <v>254</v>
      </c>
      <c r="C267" s="63" t="s">
        <v>666</v>
      </c>
      <c r="D267" s="74">
        <v>500694</v>
      </c>
      <c r="E267" s="208" t="s">
        <v>176</v>
      </c>
      <c r="F267" s="208" t="s">
        <v>210</v>
      </c>
      <c r="G267" s="208" t="s">
        <v>21</v>
      </c>
      <c r="H267" s="209" t="s">
        <v>186</v>
      </c>
      <c r="I267" s="210">
        <v>6</v>
      </c>
    </row>
    <row r="268" spans="1:9" x14ac:dyDescent="0.25">
      <c r="A268" s="74" t="s">
        <v>2420</v>
      </c>
      <c r="B268" s="45">
        <v>255</v>
      </c>
      <c r="C268" s="63" t="s">
        <v>667</v>
      </c>
      <c r="D268" s="74">
        <v>500688</v>
      </c>
      <c r="E268" s="208" t="s">
        <v>176</v>
      </c>
      <c r="F268" s="208" t="s">
        <v>210</v>
      </c>
      <c r="G268" s="208" t="s">
        <v>21</v>
      </c>
      <c r="H268" s="209" t="s">
        <v>191</v>
      </c>
      <c r="I268" s="210">
        <v>7</v>
      </c>
    </row>
    <row r="269" spans="1:9" x14ac:dyDescent="0.25">
      <c r="A269" s="74" t="s">
        <v>2421</v>
      </c>
      <c r="B269" s="45">
        <v>256</v>
      </c>
      <c r="C269" s="63" t="s">
        <v>668</v>
      </c>
      <c r="D269" s="74">
        <v>500688</v>
      </c>
      <c r="E269" s="208" t="s">
        <v>176</v>
      </c>
      <c r="F269" s="208" t="s">
        <v>210</v>
      </c>
      <c r="G269" s="208" t="s">
        <v>21</v>
      </c>
      <c r="H269" s="209" t="s">
        <v>191</v>
      </c>
      <c r="I269" s="210">
        <v>7</v>
      </c>
    </row>
    <row r="270" spans="1:9" x14ac:dyDescent="0.25">
      <c r="A270" s="74" t="s">
        <v>2422</v>
      </c>
      <c r="B270" s="45" t="s">
        <v>23</v>
      </c>
      <c r="C270" s="63" t="s">
        <v>23</v>
      </c>
      <c r="D270" s="74">
        <v>500688</v>
      </c>
      <c r="E270" s="208" t="s">
        <v>176</v>
      </c>
      <c r="F270" s="208" t="s">
        <v>210</v>
      </c>
      <c r="G270" s="208" t="s">
        <v>21</v>
      </c>
      <c r="H270" s="209" t="s">
        <v>191</v>
      </c>
      <c r="I270" s="210">
        <v>7</v>
      </c>
    </row>
    <row r="271" spans="1:9" x14ac:dyDescent="0.25">
      <c r="A271" s="74" t="s">
        <v>2423</v>
      </c>
      <c r="B271" s="45" t="s">
        <v>23</v>
      </c>
      <c r="C271" s="45" t="s">
        <v>23</v>
      </c>
      <c r="D271" s="74">
        <v>500688</v>
      </c>
      <c r="E271" s="208" t="s">
        <v>176</v>
      </c>
      <c r="F271" s="208" t="s">
        <v>210</v>
      </c>
      <c r="G271" s="208" t="s">
        <v>21</v>
      </c>
      <c r="H271" s="209" t="s">
        <v>191</v>
      </c>
      <c r="I271" s="210">
        <v>7</v>
      </c>
    </row>
    <row r="272" spans="1:9" x14ac:dyDescent="0.25">
      <c r="A272" s="74" t="s">
        <v>2424</v>
      </c>
      <c r="B272" s="45">
        <v>257</v>
      </c>
      <c r="C272" s="63" t="s">
        <v>669</v>
      </c>
      <c r="D272" s="74">
        <v>500689</v>
      </c>
      <c r="E272" s="208" t="s">
        <v>176</v>
      </c>
      <c r="F272" s="208" t="s">
        <v>210</v>
      </c>
      <c r="G272" s="208" t="s">
        <v>211</v>
      </c>
      <c r="H272" s="209" t="s">
        <v>192</v>
      </c>
      <c r="I272" s="210">
        <v>7</v>
      </c>
    </row>
    <row r="273" spans="1:9" x14ac:dyDescent="0.25">
      <c r="A273" s="74" t="s">
        <v>2425</v>
      </c>
      <c r="B273" s="45">
        <v>258</v>
      </c>
      <c r="C273" s="63" t="s">
        <v>670</v>
      </c>
      <c r="D273" s="74">
        <v>500689</v>
      </c>
      <c r="E273" s="208" t="s">
        <v>176</v>
      </c>
      <c r="F273" s="208" t="s">
        <v>210</v>
      </c>
      <c r="G273" s="208" t="s">
        <v>211</v>
      </c>
      <c r="H273" s="209" t="s">
        <v>192</v>
      </c>
      <c r="I273" s="210">
        <v>7</v>
      </c>
    </row>
    <row r="274" spans="1:9" x14ac:dyDescent="0.25">
      <c r="A274" s="74" t="s">
        <v>2426</v>
      </c>
      <c r="B274" s="45">
        <v>259</v>
      </c>
      <c r="C274" s="63" t="s">
        <v>671</v>
      </c>
      <c r="D274" s="74">
        <v>500690</v>
      </c>
      <c r="E274" s="208" t="s">
        <v>176</v>
      </c>
      <c r="F274" s="208" t="s">
        <v>210</v>
      </c>
      <c r="G274" s="208" t="s">
        <v>211</v>
      </c>
      <c r="H274" s="209" t="s">
        <v>192</v>
      </c>
      <c r="I274" s="210">
        <v>7</v>
      </c>
    </row>
    <row r="275" spans="1:9" x14ac:dyDescent="0.25">
      <c r="A275" s="74" t="s">
        <v>2427</v>
      </c>
      <c r="B275" s="45">
        <v>260</v>
      </c>
      <c r="C275" s="63" t="s">
        <v>672</v>
      </c>
      <c r="D275" s="74">
        <v>500690</v>
      </c>
      <c r="E275" s="208" t="s">
        <v>176</v>
      </c>
      <c r="F275" s="208" t="s">
        <v>210</v>
      </c>
      <c r="G275" s="208" t="s">
        <v>211</v>
      </c>
      <c r="H275" s="209" t="s">
        <v>192</v>
      </c>
      <c r="I275" s="210">
        <v>7</v>
      </c>
    </row>
    <row r="276" spans="1:9" x14ac:dyDescent="0.25">
      <c r="A276" s="74" t="s">
        <v>2428</v>
      </c>
      <c r="B276" s="45">
        <v>261</v>
      </c>
      <c r="C276" s="64" t="s">
        <v>673</v>
      </c>
      <c r="D276" s="74">
        <v>500691</v>
      </c>
      <c r="E276" s="208" t="s">
        <v>176</v>
      </c>
      <c r="F276" s="208" t="s">
        <v>210</v>
      </c>
      <c r="G276" s="208" t="s">
        <v>211</v>
      </c>
      <c r="H276" s="209" t="s">
        <v>192</v>
      </c>
      <c r="I276" s="210">
        <v>7</v>
      </c>
    </row>
    <row r="277" spans="1:9" x14ac:dyDescent="0.25">
      <c r="A277" s="74" t="s">
        <v>2429</v>
      </c>
      <c r="B277" s="45">
        <v>262</v>
      </c>
      <c r="C277" s="63" t="s">
        <v>674</v>
      </c>
      <c r="D277" s="74">
        <v>500687</v>
      </c>
      <c r="E277" s="208" t="s">
        <v>176</v>
      </c>
      <c r="F277" s="208" t="s">
        <v>210</v>
      </c>
      <c r="G277" s="208" t="s">
        <v>21</v>
      </c>
      <c r="H277" s="209" t="s">
        <v>192</v>
      </c>
      <c r="I277" s="210">
        <v>7</v>
      </c>
    </row>
    <row r="278" spans="1:9" x14ac:dyDescent="0.25">
      <c r="A278" s="74" t="s">
        <v>2430</v>
      </c>
      <c r="B278" s="45">
        <v>263</v>
      </c>
      <c r="C278" s="63" t="s">
        <v>675</v>
      </c>
      <c r="D278" s="74">
        <v>500686</v>
      </c>
      <c r="E278" s="208" t="s">
        <v>176</v>
      </c>
      <c r="F278" s="208" t="s">
        <v>210</v>
      </c>
      <c r="G278" s="208" t="s">
        <v>21</v>
      </c>
      <c r="H278" s="209" t="s">
        <v>198</v>
      </c>
      <c r="I278" s="210">
        <v>6</v>
      </c>
    </row>
    <row r="279" spans="1:9" x14ac:dyDescent="0.25">
      <c r="A279" s="74" t="s">
        <v>2431</v>
      </c>
      <c r="B279" s="45">
        <v>264</v>
      </c>
      <c r="C279" s="64" t="s">
        <v>676</v>
      </c>
      <c r="D279" s="74">
        <v>500692</v>
      </c>
      <c r="E279" s="208" t="s">
        <v>176</v>
      </c>
      <c r="F279" s="208" t="s">
        <v>210</v>
      </c>
      <c r="G279" s="208" t="s">
        <v>211</v>
      </c>
      <c r="H279" s="209" t="s">
        <v>192</v>
      </c>
      <c r="I279" s="210">
        <v>7</v>
      </c>
    </row>
    <row r="280" spans="1:9" x14ac:dyDescent="0.25">
      <c r="A280" s="74" t="s">
        <v>2432</v>
      </c>
      <c r="B280" s="45">
        <v>265</v>
      </c>
      <c r="C280" s="64" t="s">
        <v>677</v>
      </c>
      <c r="D280" s="74">
        <v>500693</v>
      </c>
      <c r="E280" s="208" t="s">
        <v>176</v>
      </c>
      <c r="F280" s="208" t="s">
        <v>210</v>
      </c>
      <c r="G280" s="208" t="s">
        <v>211</v>
      </c>
      <c r="H280" s="209" t="s">
        <v>192</v>
      </c>
      <c r="I280" s="210">
        <v>7</v>
      </c>
    </row>
    <row r="281" spans="1:9" x14ac:dyDescent="0.25">
      <c r="A281" s="74" t="s">
        <v>2433</v>
      </c>
      <c r="B281" s="45">
        <v>266</v>
      </c>
      <c r="C281" s="63" t="s">
        <v>678</v>
      </c>
      <c r="D281" s="74">
        <v>500683</v>
      </c>
      <c r="E281" s="208" t="s">
        <v>176</v>
      </c>
      <c r="F281" s="208" t="s">
        <v>210</v>
      </c>
      <c r="G281" s="208" t="s">
        <v>21</v>
      </c>
      <c r="H281" s="209" t="s">
        <v>189</v>
      </c>
      <c r="I281" s="210">
        <v>6</v>
      </c>
    </row>
    <row r="282" spans="1:9" x14ac:dyDescent="0.25">
      <c r="A282" s="74" t="s">
        <v>2434</v>
      </c>
      <c r="B282" s="45">
        <v>267</v>
      </c>
      <c r="C282" s="63" t="s">
        <v>679</v>
      </c>
      <c r="D282" s="74">
        <v>500684</v>
      </c>
      <c r="E282" s="208" t="s">
        <v>176</v>
      </c>
      <c r="F282" s="208" t="s">
        <v>210</v>
      </c>
      <c r="G282" s="208" t="s">
        <v>21</v>
      </c>
      <c r="H282" s="209" t="s">
        <v>189</v>
      </c>
      <c r="I282" s="210">
        <v>6</v>
      </c>
    </row>
    <row r="283" spans="1:9" x14ac:dyDescent="0.25">
      <c r="A283" s="74" t="s">
        <v>2435</v>
      </c>
      <c r="B283" s="45">
        <v>268</v>
      </c>
      <c r="C283" s="63" t="s">
        <v>680</v>
      </c>
      <c r="D283" s="74">
        <v>500685</v>
      </c>
      <c r="E283" s="208" t="s">
        <v>176</v>
      </c>
      <c r="F283" s="208" t="s">
        <v>210</v>
      </c>
      <c r="G283" s="208" t="s">
        <v>21</v>
      </c>
      <c r="H283" s="209" t="s">
        <v>189</v>
      </c>
      <c r="I283" s="210">
        <v>6</v>
      </c>
    </row>
    <row r="284" spans="1:9" x14ac:dyDescent="0.25">
      <c r="A284" s="74" t="s">
        <v>2436</v>
      </c>
      <c r="B284" s="45">
        <v>269</v>
      </c>
      <c r="C284" s="63" t="s">
        <v>681</v>
      </c>
      <c r="D284" s="74">
        <v>500169</v>
      </c>
      <c r="E284" s="208" t="s">
        <v>164</v>
      </c>
      <c r="F284" s="208" t="s">
        <v>207</v>
      </c>
      <c r="G284" s="208" t="s">
        <v>21</v>
      </c>
      <c r="H284" s="209" t="s">
        <v>189</v>
      </c>
      <c r="I284" s="211">
        <v>6</v>
      </c>
    </row>
    <row r="285" spans="1:9" x14ac:dyDescent="0.25">
      <c r="A285" s="74" t="s">
        <v>2437</v>
      </c>
      <c r="B285" s="45">
        <v>270</v>
      </c>
      <c r="C285" s="63" t="s">
        <v>682</v>
      </c>
      <c r="D285" s="74">
        <v>500695</v>
      </c>
      <c r="E285" s="208" t="s">
        <v>164</v>
      </c>
      <c r="F285" s="208" t="s">
        <v>207</v>
      </c>
      <c r="G285" s="208" t="s">
        <v>21</v>
      </c>
      <c r="H285" s="209" t="s">
        <v>189</v>
      </c>
      <c r="I285" s="211">
        <v>6</v>
      </c>
    </row>
    <row r="286" spans="1:9" x14ac:dyDescent="0.25">
      <c r="A286" s="74" t="s">
        <v>2438</v>
      </c>
      <c r="B286" s="45">
        <v>271</v>
      </c>
      <c r="C286" s="63" t="s">
        <v>683</v>
      </c>
      <c r="D286" s="74">
        <v>500696</v>
      </c>
      <c r="E286" s="208" t="s">
        <v>164</v>
      </c>
      <c r="F286" s="208" t="s">
        <v>207</v>
      </c>
      <c r="G286" s="208" t="s">
        <v>21</v>
      </c>
      <c r="H286" s="209" t="s">
        <v>187</v>
      </c>
      <c r="I286" s="211">
        <v>6</v>
      </c>
    </row>
    <row r="287" spans="1:9" x14ac:dyDescent="0.25">
      <c r="A287" s="74" t="s">
        <v>2439</v>
      </c>
      <c r="B287" s="45" t="s">
        <v>23</v>
      </c>
      <c r="C287" s="45" t="s">
        <v>23</v>
      </c>
      <c r="D287" s="74">
        <v>500697</v>
      </c>
      <c r="E287" s="208" t="s">
        <v>164</v>
      </c>
      <c r="F287" s="208" t="s">
        <v>207</v>
      </c>
      <c r="G287" s="208" t="s">
        <v>21</v>
      </c>
      <c r="H287" s="209" t="s">
        <v>189</v>
      </c>
      <c r="I287" s="211">
        <v>7</v>
      </c>
    </row>
    <row r="288" spans="1:9" x14ac:dyDescent="0.25">
      <c r="A288" s="74" t="s">
        <v>2440</v>
      </c>
      <c r="B288" s="45">
        <v>272</v>
      </c>
      <c r="C288" s="63" t="s">
        <v>684</v>
      </c>
      <c r="D288" s="74">
        <v>500698</v>
      </c>
      <c r="E288" s="208" t="s">
        <v>164</v>
      </c>
      <c r="F288" s="208" t="s">
        <v>207</v>
      </c>
      <c r="G288" s="208" t="s">
        <v>21</v>
      </c>
      <c r="H288" s="209" t="s">
        <v>189</v>
      </c>
      <c r="I288" s="211">
        <v>7</v>
      </c>
    </row>
    <row r="289" spans="1:9" x14ac:dyDescent="0.25">
      <c r="A289" s="74" t="s">
        <v>2441</v>
      </c>
      <c r="B289" s="45">
        <v>273</v>
      </c>
      <c r="C289" s="64" t="s">
        <v>685</v>
      </c>
      <c r="D289" s="74">
        <v>500280</v>
      </c>
      <c r="E289" s="208" t="s">
        <v>173</v>
      </c>
      <c r="F289" s="208" t="s">
        <v>212</v>
      </c>
      <c r="G289" s="208" t="s">
        <v>213</v>
      </c>
      <c r="H289" s="209" t="s">
        <v>192</v>
      </c>
      <c r="I289" s="210">
        <v>7</v>
      </c>
    </row>
    <row r="290" spans="1:9" x14ac:dyDescent="0.25">
      <c r="A290" s="74" t="s">
        <v>2442</v>
      </c>
      <c r="B290" s="45">
        <v>274</v>
      </c>
      <c r="C290" s="64" t="s">
        <v>686</v>
      </c>
      <c r="D290" s="74">
        <v>500281</v>
      </c>
      <c r="E290" s="208" t="s">
        <v>173</v>
      </c>
      <c r="F290" s="208" t="s">
        <v>212</v>
      </c>
      <c r="G290" s="208" t="s">
        <v>213</v>
      </c>
      <c r="H290" s="209" t="s">
        <v>192</v>
      </c>
      <c r="I290" s="210">
        <v>7</v>
      </c>
    </row>
    <row r="291" spans="1:9" x14ac:dyDescent="0.25">
      <c r="A291" s="74" t="s">
        <v>2443</v>
      </c>
      <c r="B291" s="45">
        <v>275</v>
      </c>
      <c r="C291" s="64" t="s">
        <v>687</v>
      </c>
      <c r="D291" s="74">
        <v>500282</v>
      </c>
      <c r="E291" s="208" t="s">
        <v>173</v>
      </c>
      <c r="F291" s="208" t="s">
        <v>212</v>
      </c>
      <c r="G291" s="208" t="s">
        <v>213</v>
      </c>
      <c r="H291" s="209" t="s">
        <v>192</v>
      </c>
      <c r="I291" s="210">
        <v>7</v>
      </c>
    </row>
    <row r="292" spans="1:9" x14ac:dyDescent="0.25">
      <c r="A292" s="74" t="s">
        <v>2444</v>
      </c>
      <c r="B292" s="45">
        <v>276</v>
      </c>
      <c r="C292" s="63" t="s">
        <v>688</v>
      </c>
      <c r="D292" s="74">
        <v>500283</v>
      </c>
      <c r="E292" s="208" t="s">
        <v>173</v>
      </c>
      <c r="F292" s="208" t="s">
        <v>212</v>
      </c>
      <c r="G292" s="208" t="s">
        <v>21</v>
      </c>
      <c r="H292" s="209" t="s">
        <v>186</v>
      </c>
      <c r="I292" s="210">
        <v>5</v>
      </c>
    </row>
    <row r="293" spans="1:9" x14ac:dyDescent="0.25">
      <c r="A293" s="74" t="s">
        <v>2445</v>
      </c>
      <c r="B293" s="45">
        <v>277</v>
      </c>
      <c r="C293" s="63" t="s">
        <v>689</v>
      </c>
      <c r="D293" s="74">
        <v>500284</v>
      </c>
      <c r="E293" s="208" t="s">
        <v>173</v>
      </c>
      <c r="F293" s="208" t="s">
        <v>212</v>
      </c>
      <c r="G293" s="208" t="s">
        <v>213</v>
      </c>
      <c r="H293" s="209" t="s">
        <v>191</v>
      </c>
      <c r="I293" s="210">
        <v>7</v>
      </c>
    </row>
    <row r="294" spans="1:9" x14ac:dyDescent="0.25">
      <c r="A294" s="74" t="s">
        <v>2446</v>
      </c>
      <c r="B294" s="45">
        <v>278</v>
      </c>
      <c r="C294" s="63" t="s">
        <v>690</v>
      </c>
      <c r="D294" s="74">
        <v>500284</v>
      </c>
      <c r="E294" s="208" t="s">
        <v>173</v>
      </c>
      <c r="F294" s="208" t="s">
        <v>212</v>
      </c>
      <c r="G294" s="208" t="s">
        <v>213</v>
      </c>
      <c r="H294" s="209" t="s">
        <v>191</v>
      </c>
      <c r="I294" s="210">
        <v>7</v>
      </c>
    </row>
    <row r="295" spans="1:9" x14ac:dyDescent="0.25">
      <c r="A295" s="74" t="s">
        <v>2447</v>
      </c>
      <c r="B295" s="45">
        <v>279</v>
      </c>
      <c r="C295" s="64" t="s">
        <v>691</v>
      </c>
      <c r="D295" s="74">
        <v>500284</v>
      </c>
      <c r="E295" s="208" t="s">
        <v>173</v>
      </c>
      <c r="F295" s="208" t="s">
        <v>212</v>
      </c>
      <c r="G295" s="208" t="s">
        <v>213</v>
      </c>
      <c r="H295" s="209" t="s">
        <v>191</v>
      </c>
      <c r="I295" s="210">
        <v>7</v>
      </c>
    </row>
    <row r="296" spans="1:9" x14ac:dyDescent="0.25">
      <c r="A296" s="74" t="s">
        <v>2448</v>
      </c>
      <c r="B296" s="45">
        <v>280</v>
      </c>
      <c r="C296" s="64" t="s">
        <v>692</v>
      </c>
      <c r="D296" s="74">
        <v>500285</v>
      </c>
      <c r="E296" s="208" t="s">
        <v>173</v>
      </c>
      <c r="F296" s="208" t="s">
        <v>212</v>
      </c>
      <c r="G296" s="208" t="s">
        <v>213</v>
      </c>
      <c r="H296" s="209" t="s">
        <v>192</v>
      </c>
      <c r="I296" s="210">
        <v>7</v>
      </c>
    </row>
    <row r="297" spans="1:9" x14ac:dyDescent="0.25">
      <c r="A297" s="74" t="s">
        <v>2449</v>
      </c>
      <c r="B297" s="45">
        <v>281</v>
      </c>
      <c r="C297" s="63" t="s">
        <v>693</v>
      </c>
      <c r="D297" s="74">
        <v>500286</v>
      </c>
      <c r="E297" s="208" t="s">
        <v>173</v>
      </c>
      <c r="F297" s="208" t="s">
        <v>212</v>
      </c>
      <c r="G297" s="208" t="s">
        <v>213</v>
      </c>
      <c r="H297" s="209" t="s">
        <v>192</v>
      </c>
      <c r="I297" s="210">
        <v>7</v>
      </c>
    </row>
    <row r="298" spans="1:9" x14ac:dyDescent="0.25">
      <c r="A298" s="74" t="s">
        <v>2450</v>
      </c>
      <c r="B298" s="45">
        <v>282</v>
      </c>
      <c r="C298" s="64" t="s">
        <v>694</v>
      </c>
      <c r="D298" s="74">
        <v>500287</v>
      </c>
      <c r="E298" s="208" t="s">
        <v>173</v>
      </c>
      <c r="F298" s="208" t="s">
        <v>212</v>
      </c>
      <c r="G298" s="208" t="s">
        <v>213</v>
      </c>
      <c r="H298" s="209" t="s">
        <v>192</v>
      </c>
      <c r="I298" s="210">
        <v>7</v>
      </c>
    </row>
    <row r="299" spans="1:9" x14ac:dyDescent="0.25">
      <c r="A299" s="74" t="s">
        <v>2451</v>
      </c>
      <c r="B299" s="45">
        <v>283</v>
      </c>
      <c r="C299" s="64" t="s">
        <v>695</v>
      </c>
      <c r="D299" s="74">
        <v>500288</v>
      </c>
      <c r="E299" s="208" t="s">
        <v>173</v>
      </c>
      <c r="F299" s="208" t="s">
        <v>212</v>
      </c>
      <c r="G299" s="208" t="s">
        <v>213</v>
      </c>
      <c r="H299" s="209" t="s">
        <v>191</v>
      </c>
      <c r="I299" s="210">
        <v>7</v>
      </c>
    </row>
    <row r="300" spans="1:9" x14ac:dyDescent="0.25">
      <c r="A300" s="74" t="s">
        <v>2452</v>
      </c>
      <c r="B300" s="45">
        <v>284</v>
      </c>
      <c r="C300" s="64" t="s">
        <v>696</v>
      </c>
      <c r="D300" s="74">
        <v>500288</v>
      </c>
      <c r="E300" s="208" t="s">
        <v>173</v>
      </c>
      <c r="F300" s="208" t="s">
        <v>212</v>
      </c>
      <c r="G300" s="208" t="s">
        <v>213</v>
      </c>
      <c r="H300" s="209" t="s">
        <v>191</v>
      </c>
      <c r="I300" s="210">
        <v>7</v>
      </c>
    </row>
    <row r="301" spans="1:9" x14ac:dyDescent="0.25">
      <c r="A301" s="74" t="s">
        <v>2453</v>
      </c>
      <c r="B301" s="45">
        <v>285</v>
      </c>
      <c r="C301" s="64" t="s">
        <v>697</v>
      </c>
      <c r="D301" s="74">
        <v>500288</v>
      </c>
      <c r="E301" s="208" t="s">
        <v>173</v>
      </c>
      <c r="F301" s="208" t="s">
        <v>212</v>
      </c>
      <c r="G301" s="208" t="s">
        <v>213</v>
      </c>
      <c r="H301" s="209" t="s">
        <v>191</v>
      </c>
      <c r="I301" s="210">
        <v>7</v>
      </c>
    </row>
    <row r="302" spans="1:9" x14ac:dyDescent="0.25">
      <c r="A302" s="74" t="s">
        <v>2454</v>
      </c>
      <c r="B302" s="45">
        <v>286</v>
      </c>
      <c r="C302" s="64" t="s">
        <v>698</v>
      </c>
      <c r="D302" s="74">
        <v>500288</v>
      </c>
      <c r="E302" s="208" t="s">
        <v>173</v>
      </c>
      <c r="F302" s="208" t="s">
        <v>212</v>
      </c>
      <c r="G302" s="208" t="s">
        <v>213</v>
      </c>
      <c r="H302" s="209" t="s">
        <v>191</v>
      </c>
      <c r="I302" s="210">
        <v>7</v>
      </c>
    </row>
    <row r="303" spans="1:9" x14ac:dyDescent="0.25">
      <c r="A303" s="74" t="s">
        <v>2455</v>
      </c>
      <c r="B303" s="45">
        <v>287</v>
      </c>
      <c r="C303" s="64" t="s">
        <v>699</v>
      </c>
      <c r="D303" s="74">
        <v>500289</v>
      </c>
      <c r="E303" s="208" t="s">
        <v>173</v>
      </c>
      <c r="F303" s="208" t="s">
        <v>212</v>
      </c>
      <c r="G303" s="208" t="s">
        <v>21</v>
      </c>
      <c r="H303" s="209" t="s">
        <v>186</v>
      </c>
      <c r="I303" s="210">
        <v>5</v>
      </c>
    </row>
    <row r="304" spans="1:9" x14ac:dyDescent="0.25">
      <c r="A304" s="74" t="s">
        <v>2456</v>
      </c>
      <c r="B304" s="45">
        <v>288</v>
      </c>
      <c r="C304" s="63" t="s">
        <v>700</v>
      </c>
      <c r="D304" s="74">
        <v>500290</v>
      </c>
      <c r="E304" s="208" t="s">
        <v>173</v>
      </c>
      <c r="F304" s="208" t="s">
        <v>212</v>
      </c>
      <c r="G304" s="208" t="s">
        <v>21</v>
      </c>
      <c r="H304" s="209" t="s">
        <v>192</v>
      </c>
      <c r="I304" s="210">
        <v>7</v>
      </c>
    </row>
    <row r="305" spans="1:9" x14ac:dyDescent="0.25">
      <c r="A305" s="74" t="s">
        <v>2457</v>
      </c>
      <c r="B305" s="45">
        <v>289</v>
      </c>
      <c r="C305" s="64" t="s">
        <v>701</v>
      </c>
      <c r="D305" s="74">
        <v>500291</v>
      </c>
      <c r="E305" s="208" t="s">
        <v>173</v>
      </c>
      <c r="F305" s="208" t="s">
        <v>212</v>
      </c>
      <c r="G305" s="208" t="s">
        <v>21</v>
      </c>
      <c r="H305" s="209" t="s">
        <v>191</v>
      </c>
      <c r="I305" s="210">
        <v>7</v>
      </c>
    </row>
    <row r="306" spans="1:9" x14ac:dyDescent="0.25">
      <c r="A306" s="74" t="s">
        <v>2458</v>
      </c>
      <c r="B306" s="45">
        <v>290</v>
      </c>
      <c r="C306" s="64" t="s">
        <v>702</v>
      </c>
      <c r="D306" s="74">
        <v>500291</v>
      </c>
      <c r="E306" s="208" t="s">
        <v>173</v>
      </c>
      <c r="F306" s="208" t="s">
        <v>212</v>
      </c>
      <c r="G306" s="208" t="s">
        <v>21</v>
      </c>
      <c r="H306" s="209" t="s">
        <v>191</v>
      </c>
      <c r="I306" s="210">
        <v>7</v>
      </c>
    </row>
    <row r="307" spans="1:9" x14ac:dyDescent="0.25">
      <c r="A307" s="74" t="s">
        <v>2459</v>
      </c>
      <c r="B307" s="45">
        <v>291</v>
      </c>
      <c r="C307" s="64" t="s">
        <v>703</v>
      </c>
      <c r="D307" s="74">
        <v>500291</v>
      </c>
      <c r="E307" s="208" t="s">
        <v>173</v>
      </c>
      <c r="F307" s="208" t="s">
        <v>212</v>
      </c>
      <c r="G307" s="208" t="s">
        <v>21</v>
      </c>
      <c r="H307" s="209" t="s">
        <v>191</v>
      </c>
      <c r="I307" s="210">
        <v>7</v>
      </c>
    </row>
    <row r="308" spans="1:9" x14ac:dyDescent="0.25">
      <c r="A308" s="74" t="s">
        <v>2460</v>
      </c>
      <c r="B308" s="45">
        <v>292</v>
      </c>
      <c r="C308" s="64" t="s">
        <v>704</v>
      </c>
      <c r="D308" s="74">
        <v>500291</v>
      </c>
      <c r="E308" s="208" t="s">
        <v>173</v>
      </c>
      <c r="F308" s="208" t="s">
        <v>212</v>
      </c>
      <c r="G308" s="208" t="s">
        <v>21</v>
      </c>
      <c r="H308" s="209" t="s">
        <v>191</v>
      </c>
      <c r="I308" s="210">
        <v>7</v>
      </c>
    </row>
    <row r="309" spans="1:9" x14ac:dyDescent="0.25">
      <c r="A309" s="74" t="s">
        <v>2461</v>
      </c>
      <c r="B309" s="45">
        <v>293</v>
      </c>
      <c r="C309" s="64" t="s">
        <v>705</v>
      </c>
      <c r="D309" s="74">
        <v>500439</v>
      </c>
      <c r="E309" s="208" t="s">
        <v>161</v>
      </c>
      <c r="F309" s="208" t="s">
        <v>214</v>
      </c>
      <c r="G309" s="208" t="s">
        <v>21</v>
      </c>
      <c r="H309" s="209" t="s">
        <v>183</v>
      </c>
      <c r="I309" s="210">
        <v>4</v>
      </c>
    </row>
    <row r="310" spans="1:9" x14ac:dyDescent="0.25">
      <c r="A310" s="74" t="s">
        <v>2462</v>
      </c>
      <c r="B310" s="45">
        <v>294</v>
      </c>
      <c r="C310" s="64" t="s">
        <v>706</v>
      </c>
      <c r="D310" s="74">
        <v>500440</v>
      </c>
      <c r="E310" s="208" t="s">
        <v>161</v>
      </c>
      <c r="F310" s="208" t="s">
        <v>214</v>
      </c>
      <c r="G310" s="208" t="s">
        <v>21</v>
      </c>
      <c r="H310" s="209" t="s">
        <v>187</v>
      </c>
      <c r="I310" s="210">
        <v>5</v>
      </c>
    </row>
    <row r="311" spans="1:9" x14ac:dyDescent="0.25">
      <c r="A311" s="74" t="s">
        <v>2463</v>
      </c>
      <c r="B311" s="45" t="s">
        <v>23</v>
      </c>
      <c r="C311" s="64" t="s">
        <v>23</v>
      </c>
      <c r="D311" s="74">
        <v>500441</v>
      </c>
      <c r="E311" s="208" t="s">
        <v>161</v>
      </c>
      <c r="F311" s="208" t="s">
        <v>214</v>
      </c>
      <c r="G311" s="208" t="s">
        <v>21</v>
      </c>
      <c r="H311" s="209" t="s">
        <v>194</v>
      </c>
      <c r="I311" s="210">
        <v>6</v>
      </c>
    </row>
    <row r="312" spans="1:9" x14ac:dyDescent="0.25">
      <c r="A312" s="74" t="s">
        <v>2464</v>
      </c>
      <c r="B312" s="45">
        <v>295</v>
      </c>
      <c r="C312" s="64" t="s">
        <v>707</v>
      </c>
      <c r="D312" s="74">
        <v>500441</v>
      </c>
      <c r="E312" s="208" t="s">
        <v>161</v>
      </c>
      <c r="F312" s="208" t="s">
        <v>214</v>
      </c>
      <c r="G312" s="208" t="s">
        <v>21</v>
      </c>
      <c r="H312" s="209" t="s">
        <v>194</v>
      </c>
      <c r="I312" s="210">
        <v>6</v>
      </c>
    </row>
    <row r="313" spans="1:9" x14ac:dyDescent="0.25">
      <c r="A313" s="74" t="s">
        <v>2465</v>
      </c>
      <c r="B313" s="45">
        <v>296</v>
      </c>
      <c r="C313" s="64" t="s">
        <v>708</v>
      </c>
      <c r="D313" s="74">
        <v>500441</v>
      </c>
      <c r="E313" s="208" t="s">
        <v>161</v>
      </c>
      <c r="F313" s="208" t="s">
        <v>214</v>
      </c>
      <c r="G313" s="208" t="s">
        <v>21</v>
      </c>
      <c r="H313" s="209" t="s">
        <v>194</v>
      </c>
      <c r="I313" s="210">
        <v>6</v>
      </c>
    </row>
    <row r="314" spans="1:9" x14ac:dyDescent="0.25">
      <c r="A314" s="74" t="s">
        <v>2466</v>
      </c>
      <c r="B314" s="45">
        <v>297</v>
      </c>
      <c r="C314" s="64" t="s">
        <v>709</v>
      </c>
      <c r="D314" s="74">
        <v>500441</v>
      </c>
      <c r="E314" s="208" t="s">
        <v>161</v>
      </c>
      <c r="F314" s="208" t="s">
        <v>214</v>
      </c>
      <c r="G314" s="208" t="s">
        <v>21</v>
      </c>
      <c r="H314" s="209" t="s">
        <v>194</v>
      </c>
      <c r="I314" s="210">
        <v>6</v>
      </c>
    </row>
    <row r="315" spans="1:9" x14ac:dyDescent="0.25">
      <c r="A315" s="74" t="s">
        <v>2467</v>
      </c>
      <c r="B315" s="45">
        <v>298</v>
      </c>
      <c r="C315" s="64" t="s">
        <v>710</v>
      </c>
      <c r="D315" s="74">
        <v>500442</v>
      </c>
      <c r="E315" s="208" t="s">
        <v>161</v>
      </c>
      <c r="F315" s="208" t="s">
        <v>214</v>
      </c>
      <c r="G315" s="208" t="s">
        <v>215</v>
      </c>
      <c r="H315" s="209" t="s">
        <v>193</v>
      </c>
      <c r="I315" s="210">
        <v>7</v>
      </c>
    </row>
    <row r="316" spans="1:9" x14ac:dyDescent="0.25">
      <c r="A316" s="74" t="s">
        <v>2468</v>
      </c>
      <c r="B316" s="45">
        <v>299</v>
      </c>
      <c r="C316" s="64" t="s">
        <v>711</v>
      </c>
      <c r="D316" s="74">
        <v>500443</v>
      </c>
      <c r="E316" s="208" t="s">
        <v>161</v>
      </c>
      <c r="F316" s="208" t="s">
        <v>214</v>
      </c>
      <c r="G316" s="208" t="s">
        <v>21</v>
      </c>
      <c r="H316" s="209" t="s">
        <v>186</v>
      </c>
      <c r="I316" s="210">
        <v>5</v>
      </c>
    </row>
    <row r="317" spans="1:9" x14ac:dyDescent="0.25">
      <c r="A317" s="74" t="s">
        <v>2469</v>
      </c>
      <c r="B317" s="45">
        <v>300</v>
      </c>
      <c r="C317" s="64" t="s">
        <v>712</v>
      </c>
      <c r="D317" s="74">
        <v>500444</v>
      </c>
      <c r="E317" s="208" t="s">
        <v>161</v>
      </c>
      <c r="F317" s="208" t="s">
        <v>214</v>
      </c>
      <c r="G317" s="208" t="s">
        <v>21</v>
      </c>
      <c r="H317" s="209" t="s">
        <v>191</v>
      </c>
      <c r="I317" s="210">
        <v>7</v>
      </c>
    </row>
    <row r="318" spans="1:9" x14ac:dyDescent="0.25">
      <c r="A318" s="74" t="s">
        <v>2470</v>
      </c>
      <c r="B318" s="45">
        <v>301</v>
      </c>
      <c r="C318" s="64" t="s">
        <v>713</v>
      </c>
      <c r="D318" s="74">
        <v>500444</v>
      </c>
      <c r="E318" s="208" t="s">
        <v>161</v>
      </c>
      <c r="F318" s="208" t="s">
        <v>214</v>
      </c>
      <c r="G318" s="208" t="s">
        <v>21</v>
      </c>
      <c r="H318" s="209" t="s">
        <v>191</v>
      </c>
      <c r="I318" s="210">
        <v>7</v>
      </c>
    </row>
    <row r="319" spans="1:9" x14ac:dyDescent="0.25">
      <c r="A319" s="74" t="s">
        <v>2471</v>
      </c>
      <c r="B319" s="45">
        <v>302</v>
      </c>
      <c r="C319" s="63" t="s">
        <v>714</v>
      </c>
      <c r="D319" s="74">
        <v>500444</v>
      </c>
      <c r="E319" s="208" t="s">
        <v>161</v>
      </c>
      <c r="F319" s="208" t="s">
        <v>214</v>
      </c>
      <c r="G319" s="208" t="s">
        <v>21</v>
      </c>
      <c r="H319" s="209" t="s">
        <v>191</v>
      </c>
      <c r="I319" s="210">
        <v>7</v>
      </c>
    </row>
    <row r="320" spans="1:9" x14ac:dyDescent="0.25">
      <c r="A320" s="74" t="s">
        <v>2472</v>
      </c>
      <c r="B320" s="45">
        <v>303</v>
      </c>
      <c r="C320" s="64" t="s">
        <v>715</v>
      </c>
      <c r="D320" s="74">
        <v>500444</v>
      </c>
      <c r="E320" s="208" t="s">
        <v>161</v>
      </c>
      <c r="F320" s="208" t="s">
        <v>214</v>
      </c>
      <c r="G320" s="208" t="s">
        <v>21</v>
      </c>
      <c r="H320" s="209" t="s">
        <v>191</v>
      </c>
      <c r="I320" s="210">
        <v>7</v>
      </c>
    </row>
    <row r="321" spans="1:9" x14ac:dyDescent="0.25">
      <c r="A321" s="74" t="s">
        <v>2473</v>
      </c>
      <c r="B321" s="45">
        <v>304</v>
      </c>
      <c r="C321" s="64" t="s">
        <v>716</v>
      </c>
      <c r="D321" s="74">
        <v>500445</v>
      </c>
      <c r="E321" s="208" t="s">
        <v>161</v>
      </c>
      <c r="F321" s="208" t="s">
        <v>214</v>
      </c>
      <c r="G321" s="208" t="s">
        <v>21</v>
      </c>
      <c r="H321" s="209" t="s">
        <v>192</v>
      </c>
      <c r="I321" s="210">
        <v>7</v>
      </c>
    </row>
    <row r="322" spans="1:9" x14ac:dyDescent="0.25">
      <c r="A322" s="74" t="s">
        <v>2474</v>
      </c>
      <c r="B322" s="45">
        <v>305</v>
      </c>
      <c r="C322" s="64" t="s">
        <v>717</v>
      </c>
      <c r="D322" s="74">
        <v>500446</v>
      </c>
      <c r="E322" s="208" t="s">
        <v>161</v>
      </c>
      <c r="F322" s="208" t="s">
        <v>214</v>
      </c>
      <c r="G322" s="208" t="s">
        <v>21</v>
      </c>
      <c r="H322" s="209" t="s">
        <v>192</v>
      </c>
      <c r="I322" s="210">
        <v>7</v>
      </c>
    </row>
    <row r="323" spans="1:9" x14ac:dyDescent="0.25">
      <c r="A323" s="74" t="s">
        <v>2475</v>
      </c>
      <c r="B323" s="45">
        <v>306</v>
      </c>
      <c r="C323" s="64" t="s">
        <v>718</v>
      </c>
      <c r="D323" s="74">
        <v>500447</v>
      </c>
      <c r="E323" s="208" t="s">
        <v>161</v>
      </c>
      <c r="F323" s="208" t="s">
        <v>214</v>
      </c>
      <c r="G323" s="208" t="s">
        <v>21</v>
      </c>
      <c r="H323" s="209" t="s">
        <v>186</v>
      </c>
      <c r="I323" s="210">
        <v>5</v>
      </c>
    </row>
    <row r="324" spans="1:9" x14ac:dyDescent="0.25">
      <c r="A324" s="74" t="s">
        <v>2476</v>
      </c>
      <c r="B324" s="45">
        <v>307</v>
      </c>
      <c r="C324" s="64" t="s">
        <v>719</v>
      </c>
      <c r="D324" s="74">
        <v>500448</v>
      </c>
      <c r="E324" s="208" t="s">
        <v>161</v>
      </c>
      <c r="F324" s="208" t="s">
        <v>214</v>
      </c>
      <c r="G324" s="208" t="s">
        <v>21</v>
      </c>
      <c r="H324" s="209" t="s">
        <v>191</v>
      </c>
      <c r="I324" s="210">
        <v>7</v>
      </c>
    </row>
    <row r="325" spans="1:9" x14ac:dyDescent="0.25">
      <c r="A325" s="74" t="s">
        <v>2477</v>
      </c>
      <c r="B325" s="45">
        <v>308</v>
      </c>
      <c r="C325" s="64" t="s">
        <v>720</v>
      </c>
      <c r="D325" s="74">
        <v>500448</v>
      </c>
      <c r="E325" s="208" t="s">
        <v>161</v>
      </c>
      <c r="F325" s="208" t="s">
        <v>214</v>
      </c>
      <c r="G325" s="208" t="s">
        <v>21</v>
      </c>
      <c r="H325" s="209" t="s">
        <v>191</v>
      </c>
      <c r="I325" s="210">
        <v>7</v>
      </c>
    </row>
    <row r="326" spans="1:9" x14ac:dyDescent="0.25">
      <c r="A326" s="74" t="s">
        <v>2478</v>
      </c>
      <c r="B326" s="45">
        <v>309</v>
      </c>
      <c r="C326" s="63" t="s">
        <v>721</v>
      </c>
      <c r="D326" s="74">
        <v>500448</v>
      </c>
      <c r="E326" s="208" t="s">
        <v>161</v>
      </c>
      <c r="F326" s="208" t="s">
        <v>214</v>
      </c>
      <c r="G326" s="208" t="s">
        <v>21</v>
      </c>
      <c r="H326" s="209" t="s">
        <v>191</v>
      </c>
      <c r="I326" s="210">
        <v>7</v>
      </c>
    </row>
    <row r="327" spans="1:9" x14ac:dyDescent="0.25">
      <c r="A327" s="74" t="s">
        <v>2479</v>
      </c>
      <c r="B327" s="45">
        <v>310</v>
      </c>
      <c r="C327" s="64" t="s">
        <v>722</v>
      </c>
      <c r="D327" s="74">
        <v>500448</v>
      </c>
      <c r="E327" s="208" t="s">
        <v>161</v>
      </c>
      <c r="F327" s="208" t="s">
        <v>214</v>
      </c>
      <c r="G327" s="208" t="s">
        <v>21</v>
      </c>
      <c r="H327" s="209" t="s">
        <v>191</v>
      </c>
      <c r="I327" s="210">
        <v>7</v>
      </c>
    </row>
    <row r="328" spans="1:9" x14ac:dyDescent="0.25">
      <c r="A328" s="74" t="s">
        <v>2480</v>
      </c>
      <c r="B328" s="45">
        <v>311</v>
      </c>
      <c r="C328" s="64" t="s">
        <v>723</v>
      </c>
      <c r="D328" s="74">
        <v>500449</v>
      </c>
      <c r="E328" s="208" t="s">
        <v>161</v>
      </c>
      <c r="F328" s="208" t="s">
        <v>214</v>
      </c>
      <c r="G328" s="208" t="s">
        <v>21</v>
      </c>
      <c r="H328" s="209" t="s">
        <v>192</v>
      </c>
      <c r="I328" s="210">
        <v>7</v>
      </c>
    </row>
    <row r="329" spans="1:9" x14ac:dyDescent="0.25">
      <c r="A329" s="74" t="s">
        <v>2481</v>
      </c>
      <c r="B329" s="45">
        <v>312</v>
      </c>
      <c r="C329" s="64" t="s">
        <v>724</v>
      </c>
      <c r="D329" s="74">
        <v>500450</v>
      </c>
      <c r="E329" s="208" t="s">
        <v>161</v>
      </c>
      <c r="F329" s="208" t="s">
        <v>214</v>
      </c>
      <c r="G329" s="208" t="s">
        <v>21</v>
      </c>
      <c r="H329" s="209" t="s">
        <v>192</v>
      </c>
      <c r="I329" s="210">
        <v>7</v>
      </c>
    </row>
    <row r="330" spans="1:9" x14ac:dyDescent="0.25">
      <c r="A330" s="74" t="s">
        <v>2482</v>
      </c>
      <c r="B330" s="45">
        <v>313</v>
      </c>
      <c r="C330" s="64" t="s">
        <v>725</v>
      </c>
      <c r="D330" s="74">
        <v>500041</v>
      </c>
      <c r="E330" s="208" t="s">
        <v>170</v>
      </c>
      <c r="F330" s="208" t="s">
        <v>216</v>
      </c>
      <c r="G330" s="208" t="s">
        <v>21</v>
      </c>
      <c r="H330" s="209" t="s">
        <v>183</v>
      </c>
      <c r="I330" s="210">
        <v>5</v>
      </c>
    </row>
    <row r="331" spans="1:9" x14ac:dyDescent="0.25">
      <c r="A331" s="74" t="s">
        <v>2483</v>
      </c>
      <c r="B331" s="45">
        <v>314</v>
      </c>
      <c r="C331" s="64" t="s">
        <v>726</v>
      </c>
      <c r="D331" s="74">
        <v>500451</v>
      </c>
      <c r="E331" s="208" t="s">
        <v>161</v>
      </c>
      <c r="F331" s="208" t="s">
        <v>214</v>
      </c>
      <c r="G331" s="208" t="s">
        <v>21</v>
      </c>
      <c r="H331" s="209" t="s">
        <v>192</v>
      </c>
      <c r="I331" s="210">
        <v>7</v>
      </c>
    </row>
    <row r="332" spans="1:9" x14ac:dyDescent="0.25">
      <c r="A332" s="74" t="s">
        <v>2484</v>
      </c>
      <c r="B332" s="45">
        <v>315</v>
      </c>
      <c r="C332" s="64" t="s">
        <v>727</v>
      </c>
      <c r="D332" s="74">
        <v>500452</v>
      </c>
      <c r="E332" s="208" t="s">
        <v>161</v>
      </c>
      <c r="F332" s="208" t="s">
        <v>214</v>
      </c>
      <c r="G332" s="208" t="s">
        <v>21</v>
      </c>
      <c r="H332" s="209" t="s">
        <v>186</v>
      </c>
      <c r="I332" s="210">
        <v>5</v>
      </c>
    </row>
    <row r="333" spans="1:9" x14ac:dyDescent="0.25">
      <c r="A333" s="74" t="s">
        <v>2485</v>
      </c>
      <c r="B333" s="45">
        <v>316</v>
      </c>
      <c r="C333" s="64" t="s">
        <v>728</v>
      </c>
      <c r="D333" s="74">
        <v>500453</v>
      </c>
      <c r="E333" s="208" t="s">
        <v>161</v>
      </c>
      <c r="F333" s="208" t="s">
        <v>214</v>
      </c>
      <c r="G333" s="208" t="s">
        <v>21</v>
      </c>
      <c r="H333" s="209" t="s">
        <v>191</v>
      </c>
      <c r="I333" s="210">
        <v>7</v>
      </c>
    </row>
    <row r="334" spans="1:9" x14ac:dyDescent="0.25">
      <c r="A334" s="74" t="s">
        <v>2486</v>
      </c>
      <c r="B334" s="45">
        <v>317</v>
      </c>
      <c r="C334" s="63" t="s">
        <v>729</v>
      </c>
      <c r="D334" s="74">
        <v>500453</v>
      </c>
      <c r="E334" s="208" t="s">
        <v>161</v>
      </c>
      <c r="F334" s="208" t="s">
        <v>214</v>
      </c>
      <c r="G334" s="208" t="s">
        <v>21</v>
      </c>
      <c r="H334" s="209" t="s">
        <v>191</v>
      </c>
      <c r="I334" s="210">
        <v>7</v>
      </c>
    </row>
    <row r="335" spans="1:9" x14ac:dyDescent="0.25">
      <c r="A335" s="74" t="s">
        <v>2487</v>
      </c>
      <c r="B335" s="45">
        <v>318</v>
      </c>
      <c r="C335" s="64" t="s">
        <v>730</v>
      </c>
      <c r="D335" s="74">
        <v>500453</v>
      </c>
      <c r="E335" s="208" t="s">
        <v>161</v>
      </c>
      <c r="F335" s="208" t="s">
        <v>214</v>
      </c>
      <c r="G335" s="208" t="s">
        <v>21</v>
      </c>
      <c r="H335" s="209" t="s">
        <v>191</v>
      </c>
      <c r="I335" s="210">
        <v>7</v>
      </c>
    </row>
    <row r="336" spans="1:9" x14ac:dyDescent="0.25">
      <c r="A336" s="74" t="s">
        <v>2488</v>
      </c>
      <c r="B336" s="45">
        <v>319</v>
      </c>
      <c r="C336" s="64" t="s">
        <v>731</v>
      </c>
      <c r="D336" s="74">
        <v>500454</v>
      </c>
      <c r="E336" s="208" t="s">
        <v>161</v>
      </c>
      <c r="F336" s="208" t="s">
        <v>214</v>
      </c>
      <c r="G336" s="208" t="s">
        <v>21</v>
      </c>
      <c r="H336" s="209" t="s">
        <v>192</v>
      </c>
      <c r="I336" s="210">
        <v>7</v>
      </c>
    </row>
    <row r="337" spans="1:9" x14ac:dyDescent="0.25">
      <c r="A337" s="74" t="s">
        <v>2489</v>
      </c>
      <c r="B337" s="45">
        <v>320</v>
      </c>
      <c r="C337" s="64" t="s">
        <v>732</v>
      </c>
      <c r="D337" s="74">
        <v>500455</v>
      </c>
      <c r="E337" s="208" t="s">
        <v>161</v>
      </c>
      <c r="F337" s="208" t="s">
        <v>214</v>
      </c>
      <c r="G337" s="208" t="s">
        <v>21</v>
      </c>
      <c r="H337" s="209" t="s">
        <v>191</v>
      </c>
      <c r="I337" s="210">
        <v>6</v>
      </c>
    </row>
    <row r="338" spans="1:9" x14ac:dyDescent="0.25">
      <c r="A338" s="74" t="s">
        <v>2489</v>
      </c>
      <c r="B338" s="45">
        <v>320</v>
      </c>
      <c r="C338" s="64" t="s">
        <v>732</v>
      </c>
      <c r="D338" s="74">
        <v>500455</v>
      </c>
      <c r="E338" s="208" t="s">
        <v>161</v>
      </c>
      <c r="F338" s="208" t="s">
        <v>214</v>
      </c>
      <c r="G338" s="208" t="s">
        <v>21</v>
      </c>
      <c r="H338" s="209" t="s">
        <v>191</v>
      </c>
      <c r="I338" s="210">
        <v>7</v>
      </c>
    </row>
    <row r="339" spans="1:9" x14ac:dyDescent="0.25">
      <c r="A339" s="74" t="s">
        <v>2490</v>
      </c>
      <c r="B339" s="45">
        <v>321</v>
      </c>
      <c r="C339" s="64" t="s">
        <v>733</v>
      </c>
      <c r="D339" s="74">
        <v>500455</v>
      </c>
      <c r="E339" s="208" t="s">
        <v>161</v>
      </c>
      <c r="F339" s="208" t="s">
        <v>214</v>
      </c>
      <c r="G339" s="208" t="s">
        <v>21</v>
      </c>
      <c r="H339" s="209" t="s">
        <v>191</v>
      </c>
      <c r="I339" s="210">
        <v>6</v>
      </c>
    </row>
    <row r="340" spans="1:9" x14ac:dyDescent="0.25">
      <c r="A340" s="74" t="s">
        <v>2490</v>
      </c>
      <c r="B340" s="45">
        <v>321</v>
      </c>
      <c r="C340" s="64" t="s">
        <v>733</v>
      </c>
      <c r="D340" s="74">
        <v>500455</v>
      </c>
      <c r="E340" s="208" t="s">
        <v>161</v>
      </c>
      <c r="F340" s="208" t="s">
        <v>214</v>
      </c>
      <c r="G340" s="208" t="s">
        <v>21</v>
      </c>
      <c r="H340" s="209" t="s">
        <v>191</v>
      </c>
      <c r="I340" s="210">
        <v>7</v>
      </c>
    </row>
    <row r="341" spans="1:9" x14ac:dyDescent="0.25">
      <c r="A341" s="74" t="s">
        <v>2491</v>
      </c>
      <c r="B341" s="45">
        <v>322</v>
      </c>
      <c r="C341" s="63" t="s">
        <v>734</v>
      </c>
      <c r="D341" s="74">
        <v>500455</v>
      </c>
      <c r="E341" s="208" t="s">
        <v>161</v>
      </c>
      <c r="F341" s="208" t="s">
        <v>214</v>
      </c>
      <c r="G341" s="208" t="s">
        <v>21</v>
      </c>
      <c r="H341" s="209" t="s">
        <v>191</v>
      </c>
      <c r="I341" s="210">
        <v>6</v>
      </c>
    </row>
    <row r="342" spans="1:9" x14ac:dyDescent="0.25">
      <c r="A342" s="74" t="s">
        <v>2491</v>
      </c>
      <c r="B342" s="45">
        <v>322</v>
      </c>
      <c r="C342" s="63" t="s">
        <v>734</v>
      </c>
      <c r="D342" s="74">
        <v>500455</v>
      </c>
      <c r="E342" s="208" t="s">
        <v>161</v>
      </c>
      <c r="F342" s="208" t="s">
        <v>214</v>
      </c>
      <c r="G342" s="208" t="s">
        <v>21</v>
      </c>
      <c r="H342" s="209" t="s">
        <v>191</v>
      </c>
      <c r="I342" s="210">
        <v>7</v>
      </c>
    </row>
    <row r="343" spans="1:9" x14ac:dyDescent="0.25">
      <c r="A343" s="74" t="s">
        <v>2492</v>
      </c>
      <c r="B343" s="45">
        <v>323</v>
      </c>
      <c r="C343" s="64" t="s">
        <v>735</v>
      </c>
      <c r="D343" s="74">
        <v>500455</v>
      </c>
      <c r="E343" s="208" t="s">
        <v>161</v>
      </c>
      <c r="F343" s="208" t="s">
        <v>214</v>
      </c>
      <c r="G343" s="208" t="s">
        <v>21</v>
      </c>
      <c r="H343" s="209" t="s">
        <v>191</v>
      </c>
      <c r="I343" s="210">
        <v>6</v>
      </c>
    </row>
    <row r="344" spans="1:9" x14ac:dyDescent="0.25">
      <c r="A344" s="74" t="s">
        <v>2492</v>
      </c>
      <c r="B344" s="45">
        <v>323</v>
      </c>
      <c r="C344" s="64" t="s">
        <v>735</v>
      </c>
      <c r="D344" s="74">
        <v>500455</v>
      </c>
      <c r="E344" s="208" t="s">
        <v>161</v>
      </c>
      <c r="F344" s="208" t="s">
        <v>214</v>
      </c>
      <c r="G344" s="208" t="s">
        <v>21</v>
      </c>
      <c r="H344" s="209" t="s">
        <v>191</v>
      </c>
      <c r="I344" s="210">
        <v>7</v>
      </c>
    </row>
    <row r="345" spans="1:9" x14ac:dyDescent="0.25">
      <c r="A345" s="74" t="s">
        <v>2493</v>
      </c>
      <c r="B345" s="45">
        <v>324</v>
      </c>
      <c r="C345" s="64" t="s">
        <v>736</v>
      </c>
      <c r="D345" s="74">
        <v>500456</v>
      </c>
      <c r="E345" s="208" t="s">
        <v>161</v>
      </c>
      <c r="F345" s="208" t="s">
        <v>214</v>
      </c>
      <c r="G345" s="208" t="s">
        <v>21</v>
      </c>
      <c r="H345" s="209" t="s">
        <v>186</v>
      </c>
      <c r="I345" s="210">
        <v>5</v>
      </c>
    </row>
    <row r="346" spans="1:9" x14ac:dyDescent="0.25">
      <c r="A346" s="74" t="s">
        <v>2494</v>
      </c>
      <c r="B346" s="45">
        <v>325</v>
      </c>
      <c r="C346" s="64" t="s">
        <v>737</v>
      </c>
      <c r="D346" s="74">
        <v>500457</v>
      </c>
      <c r="E346" s="208" t="s">
        <v>161</v>
      </c>
      <c r="F346" s="208" t="s">
        <v>214</v>
      </c>
      <c r="G346" s="208" t="s">
        <v>21</v>
      </c>
      <c r="H346" s="209" t="s">
        <v>191</v>
      </c>
      <c r="I346" s="210">
        <v>7</v>
      </c>
    </row>
    <row r="347" spans="1:9" x14ac:dyDescent="0.25">
      <c r="A347" s="74" t="s">
        <v>2495</v>
      </c>
      <c r="B347" s="45">
        <v>326</v>
      </c>
      <c r="C347" s="64" t="s">
        <v>738</v>
      </c>
      <c r="D347" s="74">
        <v>500457</v>
      </c>
      <c r="E347" s="208" t="s">
        <v>161</v>
      </c>
      <c r="F347" s="208" t="s">
        <v>214</v>
      </c>
      <c r="G347" s="208" t="s">
        <v>21</v>
      </c>
      <c r="H347" s="209" t="s">
        <v>191</v>
      </c>
      <c r="I347" s="210">
        <v>7</v>
      </c>
    </row>
    <row r="348" spans="1:9" x14ac:dyDescent="0.25">
      <c r="A348" s="74" t="s">
        <v>2496</v>
      </c>
      <c r="B348" s="45">
        <v>327</v>
      </c>
      <c r="C348" s="64" t="s">
        <v>739</v>
      </c>
      <c r="D348" s="74">
        <v>500457</v>
      </c>
      <c r="E348" s="208" t="s">
        <v>161</v>
      </c>
      <c r="F348" s="208" t="s">
        <v>214</v>
      </c>
      <c r="G348" s="208" t="s">
        <v>21</v>
      </c>
      <c r="H348" s="209" t="s">
        <v>191</v>
      </c>
      <c r="I348" s="210">
        <v>7</v>
      </c>
    </row>
    <row r="349" spans="1:9" x14ac:dyDescent="0.25">
      <c r="A349" s="74" t="s">
        <v>2497</v>
      </c>
      <c r="B349" s="45">
        <v>328</v>
      </c>
      <c r="C349" s="64" t="s">
        <v>740</v>
      </c>
      <c r="D349" s="74">
        <v>500458</v>
      </c>
      <c r="E349" s="208" t="s">
        <v>161</v>
      </c>
      <c r="F349" s="208" t="s">
        <v>214</v>
      </c>
      <c r="G349" s="208" t="s">
        <v>21</v>
      </c>
      <c r="H349" s="209" t="s">
        <v>192</v>
      </c>
      <c r="I349" s="210">
        <v>7</v>
      </c>
    </row>
    <row r="350" spans="1:9" x14ac:dyDescent="0.25">
      <c r="A350" s="74" t="s">
        <v>2498</v>
      </c>
      <c r="B350" s="45">
        <v>329</v>
      </c>
      <c r="C350" s="64" t="s">
        <v>741</v>
      </c>
      <c r="D350" s="74">
        <v>500459</v>
      </c>
      <c r="E350" s="208" t="s">
        <v>161</v>
      </c>
      <c r="F350" s="208" t="s">
        <v>214</v>
      </c>
      <c r="G350" s="208" t="s">
        <v>21</v>
      </c>
      <c r="H350" s="209" t="s">
        <v>192</v>
      </c>
      <c r="I350" s="210">
        <v>7</v>
      </c>
    </row>
    <row r="351" spans="1:9" x14ac:dyDescent="0.25">
      <c r="A351" s="74" t="s">
        <v>2499</v>
      </c>
      <c r="B351" s="45">
        <v>330</v>
      </c>
      <c r="C351" s="64" t="s">
        <v>742</v>
      </c>
      <c r="D351" s="74">
        <v>500460</v>
      </c>
      <c r="E351" s="208" t="s">
        <v>161</v>
      </c>
      <c r="F351" s="208" t="s">
        <v>214</v>
      </c>
      <c r="G351" s="208" t="s">
        <v>215</v>
      </c>
      <c r="H351" s="209" t="s">
        <v>193</v>
      </c>
      <c r="I351" s="210">
        <v>7</v>
      </c>
    </row>
    <row r="352" spans="1:9" x14ac:dyDescent="0.25">
      <c r="A352" s="74" t="s">
        <v>2500</v>
      </c>
      <c r="B352" s="45">
        <v>331</v>
      </c>
      <c r="C352" s="64" t="s">
        <v>743</v>
      </c>
      <c r="D352" s="74">
        <v>500461</v>
      </c>
      <c r="E352" s="208" t="s">
        <v>161</v>
      </c>
      <c r="F352" s="208" t="s">
        <v>214</v>
      </c>
      <c r="G352" s="208" t="s">
        <v>21</v>
      </c>
      <c r="H352" s="209" t="s">
        <v>191</v>
      </c>
      <c r="I352" s="210">
        <v>7</v>
      </c>
    </row>
    <row r="353" spans="1:9" x14ac:dyDescent="0.25">
      <c r="A353" s="74" t="s">
        <v>2501</v>
      </c>
      <c r="B353" s="45">
        <v>332</v>
      </c>
      <c r="C353" s="64" t="s">
        <v>744</v>
      </c>
      <c r="D353" s="74">
        <v>500461</v>
      </c>
      <c r="E353" s="208" t="s">
        <v>161</v>
      </c>
      <c r="F353" s="208" t="s">
        <v>214</v>
      </c>
      <c r="G353" s="208" t="s">
        <v>21</v>
      </c>
      <c r="H353" s="209" t="s">
        <v>191</v>
      </c>
      <c r="I353" s="210">
        <v>7</v>
      </c>
    </row>
    <row r="354" spans="1:9" x14ac:dyDescent="0.25">
      <c r="A354" s="74" t="s">
        <v>2502</v>
      </c>
      <c r="B354" s="45">
        <v>333</v>
      </c>
      <c r="C354" s="64" t="s">
        <v>745</v>
      </c>
      <c r="D354" s="74">
        <v>500461</v>
      </c>
      <c r="E354" s="208" t="s">
        <v>161</v>
      </c>
      <c r="F354" s="208" t="s">
        <v>214</v>
      </c>
      <c r="G354" s="208" t="s">
        <v>21</v>
      </c>
      <c r="H354" s="209" t="s">
        <v>191</v>
      </c>
      <c r="I354" s="210">
        <v>7</v>
      </c>
    </row>
    <row r="355" spans="1:9" x14ac:dyDescent="0.25">
      <c r="A355" s="74" t="s">
        <v>2503</v>
      </c>
      <c r="B355" s="45">
        <v>334</v>
      </c>
      <c r="C355" s="64" t="s">
        <v>746</v>
      </c>
      <c r="D355" s="74">
        <v>500461</v>
      </c>
      <c r="E355" s="208" t="s">
        <v>161</v>
      </c>
      <c r="F355" s="208" t="s">
        <v>214</v>
      </c>
      <c r="G355" s="208" t="s">
        <v>21</v>
      </c>
      <c r="H355" s="209" t="s">
        <v>191</v>
      </c>
      <c r="I355" s="210">
        <v>7</v>
      </c>
    </row>
    <row r="356" spans="1:9" x14ac:dyDescent="0.25">
      <c r="A356" s="74" t="s">
        <v>2504</v>
      </c>
      <c r="B356" s="45">
        <v>335</v>
      </c>
      <c r="C356" s="64" t="s">
        <v>747</v>
      </c>
      <c r="D356" s="74">
        <v>500462</v>
      </c>
      <c r="E356" s="208" t="s">
        <v>161</v>
      </c>
      <c r="F356" s="208" t="s">
        <v>214</v>
      </c>
      <c r="G356" s="208" t="s">
        <v>21</v>
      </c>
      <c r="H356" s="209" t="s">
        <v>198</v>
      </c>
      <c r="I356" s="210">
        <v>6</v>
      </c>
    </row>
    <row r="357" spans="1:9" x14ac:dyDescent="0.25">
      <c r="A357" s="74" t="s">
        <v>2505</v>
      </c>
      <c r="B357" s="45">
        <v>336</v>
      </c>
      <c r="C357" s="64" t="s">
        <v>748</v>
      </c>
      <c r="D357" s="74">
        <v>500463</v>
      </c>
      <c r="E357" s="208" t="s">
        <v>161</v>
      </c>
      <c r="F357" s="208" t="s">
        <v>214</v>
      </c>
      <c r="G357" s="208" t="s">
        <v>21</v>
      </c>
      <c r="H357" s="209" t="s">
        <v>192</v>
      </c>
      <c r="I357" s="210">
        <v>7</v>
      </c>
    </row>
    <row r="358" spans="1:9" x14ac:dyDescent="0.25">
      <c r="A358" s="74" t="s">
        <v>2506</v>
      </c>
      <c r="B358" s="45">
        <v>337</v>
      </c>
      <c r="C358" s="63" t="s">
        <v>749</v>
      </c>
      <c r="D358" s="74">
        <v>500464</v>
      </c>
      <c r="E358" s="208" t="s">
        <v>161</v>
      </c>
      <c r="F358" s="208" t="s">
        <v>214</v>
      </c>
      <c r="G358" s="208" t="s">
        <v>21</v>
      </c>
      <c r="H358" s="209" t="s">
        <v>192</v>
      </c>
      <c r="I358" s="210">
        <v>7</v>
      </c>
    </row>
    <row r="359" spans="1:9" x14ac:dyDescent="0.25">
      <c r="A359" s="74" t="s">
        <v>2507</v>
      </c>
      <c r="B359" s="45">
        <v>338</v>
      </c>
      <c r="C359" s="63" t="s">
        <v>750</v>
      </c>
      <c r="D359" s="74">
        <v>500465</v>
      </c>
      <c r="E359" s="208" t="s">
        <v>161</v>
      </c>
      <c r="F359" s="208" t="s">
        <v>214</v>
      </c>
      <c r="G359" s="208" t="s">
        <v>21</v>
      </c>
      <c r="H359" s="209" t="s">
        <v>192</v>
      </c>
      <c r="I359" s="210">
        <v>7</v>
      </c>
    </row>
    <row r="360" spans="1:9" x14ac:dyDescent="0.25">
      <c r="A360" s="74" t="s">
        <v>2508</v>
      </c>
      <c r="B360" s="45">
        <v>339</v>
      </c>
      <c r="C360" s="64" t="s">
        <v>751</v>
      </c>
      <c r="D360" s="74">
        <v>500466</v>
      </c>
      <c r="E360" s="208" t="s">
        <v>161</v>
      </c>
      <c r="F360" s="208" t="s">
        <v>214</v>
      </c>
      <c r="G360" s="208" t="s">
        <v>21</v>
      </c>
      <c r="H360" s="209" t="s">
        <v>192</v>
      </c>
      <c r="I360" s="210">
        <v>7</v>
      </c>
    </row>
    <row r="361" spans="1:9" x14ac:dyDescent="0.25">
      <c r="A361" s="74" t="s">
        <v>2509</v>
      </c>
      <c r="B361" s="45">
        <v>340</v>
      </c>
      <c r="C361" s="63" t="s">
        <v>752</v>
      </c>
      <c r="D361" s="74">
        <v>500467</v>
      </c>
      <c r="E361" s="208" t="s">
        <v>161</v>
      </c>
      <c r="F361" s="208" t="s">
        <v>214</v>
      </c>
      <c r="G361" s="208" t="s">
        <v>21</v>
      </c>
      <c r="H361" s="209" t="s">
        <v>192</v>
      </c>
      <c r="I361" s="210">
        <v>7</v>
      </c>
    </row>
    <row r="362" spans="1:9" x14ac:dyDescent="0.25">
      <c r="A362" s="74" t="s">
        <v>2510</v>
      </c>
      <c r="B362" s="45">
        <v>341</v>
      </c>
      <c r="C362" s="64" t="s">
        <v>753</v>
      </c>
      <c r="D362" s="74">
        <v>500192</v>
      </c>
      <c r="E362" s="208" t="s">
        <v>160</v>
      </c>
      <c r="F362" s="208" t="s">
        <v>217</v>
      </c>
      <c r="G362" s="208" t="s">
        <v>21</v>
      </c>
      <c r="H362" s="209" t="s">
        <v>198</v>
      </c>
      <c r="I362" s="210">
        <v>5</v>
      </c>
    </row>
    <row r="363" spans="1:9" x14ac:dyDescent="0.25">
      <c r="A363" s="74" t="s">
        <v>2511</v>
      </c>
      <c r="B363" s="45">
        <v>342</v>
      </c>
      <c r="C363" s="64" t="s">
        <v>754</v>
      </c>
      <c r="D363" s="74">
        <v>500193</v>
      </c>
      <c r="E363" s="208" t="s">
        <v>160</v>
      </c>
      <c r="F363" s="208" t="s">
        <v>217</v>
      </c>
      <c r="G363" s="208" t="s">
        <v>218</v>
      </c>
      <c r="H363" s="209" t="s">
        <v>192</v>
      </c>
      <c r="I363" s="210">
        <v>7</v>
      </c>
    </row>
    <row r="364" spans="1:9" x14ac:dyDescent="0.25">
      <c r="A364" s="74" t="s">
        <v>2512</v>
      </c>
      <c r="B364" s="45">
        <v>343</v>
      </c>
      <c r="C364" s="64" t="s">
        <v>755</v>
      </c>
      <c r="D364" s="74">
        <v>500194</v>
      </c>
      <c r="E364" s="208" t="s">
        <v>160</v>
      </c>
      <c r="F364" s="208" t="s">
        <v>217</v>
      </c>
      <c r="G364" s="208" t="s">
        <v>21</v>
      </c>
      <c r="H364" s="209" t="s">
        <v>198</v>
      </c>
      <c r="I364" s="210">
        <v>5</v>
      </c>
    </row>
    <row r="365" spans="1:9" x14ac:dyDescent="0.25">
      <c r="A365" s="74" t="s">
        <v>2513</v>
      </c>
      <c r="B365" s="45">
        <v>344</v>
      </c>
      <c r="C365" s="64" t="s">
        <v>756</v>
      </c>
      <c r="D365" s="74">
        <v>500195</v>
      </c>
      <c r="E365" s="208" t="s">
        <v>160</v>
      </c>
      <c r="F365" s="208" t="s">
        <v>217</v>
      </c>
      <c r="G365" s="208" t="s">
        <v>218</v>
      </c>
      <c r="H365" s="209" t="s">
        <v>192</v>
      </c>
      <c r="I365" s="210">
        <v>7</v>
      </c>
    </row>
    <row r="366" spans="1:9" x14ac:dyDescent="0.25">
      <c r="A366" s="74" t="s">
        <v>2514</v>
      </c>
      <c r="B366" s="45">
        <v>345</v>
      </c>
      <c r="C366" s="64" t="s">
        <v>757</v>
      </c>
      <c r="D366" s="74">
        <v>500196</v>
      </c>
      <c r="E366" s="208" t="s">
        <v>160</v>
      </c>
      <c r="F366" s="208" t="s">
        <v>217</v>
      </c>
      <c r="G366" s="208" t="s">
        <v>218</v>
      </c>
      <c r="H366" s="209" t="s">
        <v>191</v>
      </c>
      <c r="I366" s="210">
        <v>7</v>
      </c>
    </row>
    <row r="367" spans="1:9" x14ac:dyDescent="0.25">
      <c r="A367" s="74" t="s">
        <v>2515</v>
      </c>
      <c r="B367" s="45">
        <v>346</v>
      </c>
      <c r="C367" s="64" t="s">
        <v>758</v>
      </c>
      <c r="D367" s="74">
        <v>500196</v>
      </c>
      <c r="E367" s="208" t="s">
        <v>160</v>
      </c>
      <c r="F367" s="208" t="s">
        <v>217</v>
      </c>
      <c r="G367" s="208" t="s">
        <v>218</v>
      </c>
      <c r="H367" s="209" t="s">
        <v>191</v>
      </c>
      <c r="I367" s="210">
        <v>7</v>
      </c>
    </row>
    <row r="368" spans="1:9" x14ac:dyDescent="0.25">
      <c r="A368" s="74" t="s">
        <v>2516</v>
      </c>
      <c r="B368" s="45">
        <v>347</v>
      </c>
      <c r="C368" s="64" t="s">
        <v>759</v>
      </c>
      <c r="D368" s="74">
        <v>500196</v>
      </c>
      <c r="E368" s="208" t="s">
        <v>160</v>
      </c>
      <c r="F368" s="208" t="s">
        <v>217</v>
      </c>
      <c r="G368" s="208" t="s">
        <v>218</v>
      </c>
      <c r="H368" s="209" t="s">
        <v>191</v>
      </c>
      <c r="I368" s="210">
        <v>7</v>
      </c>
    </row>
    <row r="369" spans="1:9" x14ac:dyDescent="0.25">
      <c r="A369" s="74" t="s">
        <v>2517</v>
      </c>
      <c r="B369" s="45">
        <v>348</v>
      </c>
      <c r="C369" s="64" t="s">
        <v>760</v>
      </c>
      <c r="D369" s="74">
        <v>500196</v>
      </c>
      <c r="E369" s="208" t="s">
        <v>160</v>
      </c>
      <c r="F369" s="208" t="s">
        <v>217</v>
      </c>
      <c r="G369" s="208" t="s">
        <v>218</v>
      </c>
      <c r="H369" s="209" t="s">
        <v>191</v>
      </c>
      <c r="I369" s="210">
        <v>7</v>
      </c>
    </row>
    <row r="370" spans="1:9" x14ac:dyDescent="0.25">
      <c r="A370" s="74" t="s">
        <v>2518</v>
      </c>
      <c r="B370" s="45">
        <v>349</v>
      </c>
      <c r="C370" s="64" t="s">
        <v>761</v>
      </c>
      <c r="D370" s="74">
        <v>500197</v>
      </c>
      <c r="E370" s="208" t="s">
        <v>160</v>
      </c>
      <c r="F370" s="208" t="s">
        <v>217</v>
      </c>
      <c r="G370" s="208" t="s">
        <v>218</v>
      </c>
      <c r="H370" s="209" t="s">
        <v>192</v>
      </c>
      <c r="I370" s="210">
        <v>7</v>
      </c>
    </row>
    <row r="371" spans="1:9" x14ac:dyDescent="0.25">
      <c r="A371" s="74" t="s">
        <v>2519</v>
      </c>
      <c r="B371" s="45">
        <v>350</v>
      </c>
      <c r="C371" s="64" t="s">
        <v>762</v>
      </c>
      <c r="D371" s="74">
        <v>500198</v>
      </c>
      <c r="E371" s="208" t="s">
        <v>160</v>
      </c>
      <c r="F371" s="208" t="s">
        <v>217</v>
      </c>
      <c r="G371" s="208" t="s">
        <v>218</v>
      </c>
      <c r="H371" s="209" t="s">
        <v>192</v>
      </c>
      <c r="I371" s="210">
        <v>7</v>
      </c>
    </row>
    <row r="372" spans="1:9" x14ac:dyDescent="0.25">
      <c r="A372" s="74" t="s">
        <v>2520</v>
      </c>
      <c r="B372" s="45">
        <v>351</v>
      </c>
      <c r="C372" s="63" t="s">
        <v>763</v>
      </c>
      <c r="D372" s="74">
        <v>500199</v>
      </c>
      <c r="E372" s="208" t="s">
        <v>160</v>
      </c>
      <c r="F372" s="208" t="s">
        <v>217</v>
      </c>
      <c r="G372" s="208" t="s">
        <v>21</v>
      </c>
      <c r="H372" s="209" t="s">
        <v>183</v>
      </c>
      <c r="I372" s="210">
        <v>4</v>
      </c>
    </row>
    <row r="373" spans="1:9" x14ac:dyDescent="0.25">
      <c r="A373" s="74" t="s">
        <v>2521</v>
      </c>
      <c r="B373" s="45">
        <v>352</v>
      </c>
      <c r="C373" s="64" t="s">
        <v>764</v>
      </c>
      <c r="D373" s="74">
        <v>500200</v>
      </c>
      <c r="E373" s="208" t="s">
        <v>160</v>
      </c>
      <c r="F373" s="208" t="s">
        <v>217</v>
      </c>
      <c r="G373" s="208" t="s">
        <v>21</v>
      </c>
      <c r="H373" s="209" t="s">
        <v>187</v>
      </c>
      <c r="I373" s="210">
        <v>5</v>
      </c>
    </row>
    <row r="374" spans="1:9" x14ac:dyDescent="0.25">
      <c r="A374" s="74" t="s">
        <v>2522</v>
      </c>
      <c r="B374" s="45">
        <v>353</v>
      </c>
      <c r="C374" s="64" t="s">
        <v>765</v>
      </c>
      <c r="D374" s="74">
        <v>500201</v>
      </c>
      <c r="E374" s="208" t="s">
        <v>160</v>
      </c>
      <c r="F374" s="208" t="s">
        <v>217</v>
      </c>
      <c r="G374" s="208" t="s">
        <v>21</v>
      </c>
      <c r="H374" s="209" t="s">
        <v>194</v>
      </c>
      <c r="I374" s="210">
        <v>6</v>
      </c>
    </row>
    <row r="375" spans="1:9" x14ac:dyDescent="0.25">
      <c r="A375" s="74" t="s">
        <v>2523</v>
      </c>
      <c r="B375" s="45">
        <v>354</v>
      </c>
      <c r="C375" s="64" t="s">
        <v>766</v>
      </c>
      <c r="D375" s="74">
        <v>500201</v>
      </c>
      <c r="E375" s="208" t="s">
        <v>160</v>
      </c>
      <c r="F375" s="208" t="s">
        <v>217</v>
      </c>
      <c r="G375" s="208" t="s">
        <v>21</v>
      </c>
      <c r="H375" s="209" t="s">
        <v>194</v>
      </c>
      <c r="I375" s="210">
        <v>6</v>
      </c>
    </row>
    <row r="376" spans="1:9" x14ac:dyDescent="0.25">
      <c r="A376" s="74" t="s">
        <v>2524</v>
      </c>
      <c r="B376" s="45">
        <v>355</v>
      </c>
      <c r="C376" s="64" t="s">
        <v>767</v>
      </c>
      <c r="D376" s="74">
        <v>500201</v>
      </c>
      <c r="E376" s="208" t="s">
        <v>160</v>
      </c>
      <c r="F376" s="208" t="s">
        <v>217</v>
      </c>
      <c r="G376" s="208" t="s">
        <v>21</v>
      </c>
      <c r="H376" s="209" t="s">
        <v>194</v>
      </c>
      <c r="I376" s="210">
        <v>6</v>
      </c>
    </row>
    <row r="377" spans="1:9" x14ac:dyDescent="0.25">
      <c r="A377" s="74" t="s">
        <v>2525</v>
      </c>
      <c r="B377" s="45">
        <v>356</v>
      </c>
      <c r="C377" s="64" t="s">
        <v>768</v>
      </c>
      <c r="D377" s="74">
        <v>500201</v>
      </c>
      <c r="E377" s="208" t="s">
        <v>160</v>
      </c>
      <c r="F377" s="208" t="s">
        <v>217</v>
      </c>
      <c r="G377" s="208" t="s">
        <v>21</v>
      </c>
      <c r="H377" s="209" t="s">
        <v>194</v>
      </c>
      <c r="I377" s="210">
        <v>6</v>
      </c>
    </row>
    <row r="378" spans="1:9" x14ac:dyDescent="0.25">
      <c r="A378" s="74" t="s">
        <v>2526</v>
      </c>
      <c r="B378" s="45">
        <v>357</v>
      </c>
      <c r="C378" s="63" t="s">
        <v>769</v>
      </c>
      <c r="D378" s="74">
        <v>500202</v>
      </c>
      <c r="E378" s="208" t="s">
        <v>160</v>
      </c>
      <c r="F378" s="208" t="s">
        <v>217</v>
      </c>
      <c r="G378" s="208" t="s">
        <v>21</v>
      </c>
      <c r="H378" s="209" t="s">
        <v>191</v>
      </c>
      <c r="I378" s="210">
        <v>7</v>
      </c>
    </row>
    <row r="379" spans="1:9" x14ac:dyDescent="0.25">
      <c r="A379" s="74" t="s">
        <v>2527</v>
      </c>
      <c r="B379" s="45">
        <v>358</v>
      </c>
      <c r="C379" s="63" t="s">
        <v>770</v>
      </c>
      <c r="D379" s="74">
        <v>500202</v>
      </c>
      <c r="E379" s="208" t="s">
        <v>160</v>
      </c>
      <c r="F379" s="208" t="s">
        <v>217</v>
      </c>
      <c r="G379" s="208" t="s">
        <v>21</v>
      </c>
      <c r="H379" s="209" t="s">
        <v>191</v>
      </c>
      <c r="I379" s="210">
        <v>7</v>
      </c>
    </row>
    <row r="380" spans="1:9" x14ac:dyDescent="0.25">
      <c r="A380" s="74" t="s">
        <v>2528</v>
      </c>
      <c r="B380" s="45">
        <v>359</v>
      </c>
      <c r="C380" s="63" t="s">
        <v>771</v>
      </c>
      <c r="D380" s="74">
        <v>500202</v>
      </c>
      <c r="E380" s="208" t="s">
        <v>160</v>
      </c>
      <c r="F380" s="208" t="s">
        <v>217</v>
      </c>
      <c r="G380" s="208" t="s">
        <v>21</v>
      </c>
      <c r="H380" s="209" t="s">
        <v>191</v>
      </c>
      <c r="I380" s="210">
        <v>7</v>
      </c>
    </row>
    <row r="381" spans="1:9" x14ac:dyDescent="0.25">
      <c r="A381" s="74" t="s">
        <v>2529</v>
      </c>
      <c r="B381" s="45">
        <v>360</v>
      </c>
      <c r="C381" s="63" t="s">
        <v>772</v>
      </c>
      <c r="D381" s="74">
        <v>500202</v>
      </c>
      <c r="E381" s="208" t="s">
        <v>160</v>
      </c>
      <c r="F381" s="208" t="s">
        <v>217</v>
      </c>
      <c r="G381" s="208" t="s">
        <v>21</v>
      </c>
      <c r="H381" s="209" t="s">
        <v>191</v>
      </c>
      <c r="I381" s="210">
        <v>7</v>
      </c>
    </row>
    <row r="382" spans="1:9" x14ac:dyDescent="0.25">
      <c r="A382" s="74" t="s">
        <v>2530</v>
      </c>
      <c r="B382" s="45">
        <v>361</v>
      </c>
      <c r="C382" s="64" t="s">
        <v>773</v>
      </c>
      <c r="D382" s="74">
        <v>500203</v>
      </c>
      <c r="E382" s="208" t="s">
        <v>160</v>
      </c>
      <c r="F382" s="208" t="s">
        <v>217</v>
      </c>
      <c r="G382" s="208" t="s">
        <v>218</v>
      </c>
      <c r="H382" s="209" t="s">
        <v>192</v>
      </c>
      <c r="I382" s="210">
        <v>7</v>
      </c>
    </row>
    <row r="383" spans="1:9" x14ac:dyDescent="0.25">
      <c r="A383" s="74" t="s">
        <v>2531</v>
      </c>
      <c r="B383" s="45">
        <v>362</v>
      </c>
      <c r="C383" s="64" t="s">
        <v>774</v>
      </c>
      <c r="D383" s="74">
        <v>500204</v>
      </c>
      <c r="E383" s="208" t="s">
        <v>160</v>
      </c>
      <c r="F383" s="208" t="s">
        <v>217</v>
      </c>
      <c r="G383" s="208" t="s">
        <v>218</v>
      </c>
      <c r="H383" s="209" t="s">
        <v>192</v>
      </c>
      <c r="I383" s="210">
        <v>7</v>
      </c>
    </row>
    <row r="384" spans="1:9" x14ac:dyDescent="0.25">
      <c r="A384" s="74" t="s">
        <v>2532</v>
      </c>
      <c r="B384" s="45">
        <v>363</v>
      </c>
      <c r="C384" s="64" t="s">
        <v>775</v>
      </c>
      <c r="D384" s="74">
        <v>500205</v>
      </c>
      <c r="E384" s="208" t="s">
        <v>160</v>
      </c>
      <c r="F384" s="208" t="s">
        <v>217</v>
      </c>
      <c r="G384" s="208" t="s">
        <v>21</v>
      </c>
      <c r="H384" s="209" t="s">
        <v>198</v>
      </c>
      <c r="I384" s="210">
        <v>5</v>
      </c>
    </row>
    <row r="385" spans="1:9" x14ac:dyDescent="0.25">
      <c r="A385" s="74" t="s">
        <v>2533</v>
      </c>
      <c r="B385" s="45">
        <v>364</v>
      </c>
      <c r="C385" s="63" t="s">
        <v>776</v>
      </c>
      <c r="D385" s="74">
        <v>500206</v>
      </c>
      <c r="E385" s="208" t="s">
        <v>160</v>
      </c>
      <c r="F385" s="208" t="s">
        <v>217</v>
      </c>
      <c r="G385" s="208" t="s">
        <v>21</v>
      </c>
      <c r="H385" s="209" t="s">
        <v>191</v>
      </c>
      <c r="I385" s="210">
        <v>7</v>
      </c>
    </row>
    <row r="386" spans="1:9" x14ac:dyDescent="0.25">
      <c r="A386" s="74" t="s">
        <v>2534</v>
      </c>
      <c r="B386" s="45">
        <v>365</v>
      </c>
      <c r="C386" s="64" t="s">
        <v>777</v>
      </c>
      <c r="D386" s="74">
        <v>500206</v>
      </c>
      <c r="E386" s="208" t="s">
        <v>160</v>
      </c>
      <c r="F386" s="208" t="s">
        <v>217</v>
      </c>
      <c r="G386" s="208" t="s">
        <v>21</v>
      </c>
      <c r="H386" s="209" t="s">
        <v>191</v>
      </c>
      <c r="I386" s="210">
        <v>7</v>
      </c>
    </row>
    <row r="387" spans="1:9" x14ac:dyDescent="0.25">
      <c r="A387" s="74" t="s">
        <v>2535</v>
      </c>
      <c r="B387" s="45">
        <v>366</v>
      </c>
      <c r="C387" s="63" t="s">
        <v>778</v>
      </c>
      <c r="D387" s="74">
        <v>500206</v>
      </c>
      <c r="E387" s="208" t="s">
        <v>160</v>
      </c>
      <c r="F387" s="208" t="s">
        <v>217</v>
      </c>
      <c r="G387" s="208" t="s">
        <v>21</v>
      </c>
      <c r="H387" s="209" t="s">
        <v>191</v>
      </c>
      <c r="I387" s="210">
        <v>7</v>
      </c>
    </row>
    <row r="388" spans="1:9" x14ac:dyDescent="0.25">
      <c r="A388" s="74" t="s">
        <v>2536</v>
      </c>
      <c r="B388" s="45">
        <v>367</v>
      </c>
      <c r="C388" s="63" t="s">
        <v>779</v>
      </c>
      <c r="D388" s="74">
        <v>500206</v>
      </c>
      <c r="E388" s="208" t="s">
        <v>160</v>
      </c>
      <c r="F388" s="208" t="s">
        <v>217</v>
      </c>
      <c r="G388" s="208" t="s">
        <v>21</v>
      </c>
      <c r="H388" s="209" t="s">
        <v>191</v>
      </c>
      <c r="I388" s="210">
        <v>7</v>
      </c>
    </row>
    <row r="389" spans="1:9" x14ac:dyDescent="0.25">
      <c r="A389" s="74" t="s">
        <v>2537</v>
      </c>
      <c r="B389" s="45">
        <v>368</v>
      </c>
      <c r="C389" s="64" t="s">
        <v>780</v>
      </c>
      <c r="D389" s="74">
        <v>500207</v>
      </c>
      <c r="E389" s="208" t="s">
        <v>160</v>
      </c>
      <c r="F389" s="208" t="s">
        <v>217</v>
      </c>
      <c r="G389" s="208" t="s">
        <v>218</v>
      </c>
      <c r="H389" s="209" t="s">
        <v>192</v>
      </c>
      <c r="I389" s="210">
        <v>7</v>
      </c>
    </row>
    <row r="390" spans="1:9" x14ac:dyDescent="0.25">
      <c r="A390" s="74" t="s">
        <v>2538</v>
      </c>
      <c r="B390" s="45">
        <v>369</v>
      </c>
      <c r="C390" s="64" t="s">
        <v>781</v>
      </c>
      <c r="D390" s="74">
        <v>500208</v>
      </c>
      <c r="E390" s="208" t="s">
        <v>160</v>
      </c>
      <c r="F390" s="208" t="s">
        <v>217</v>
      </c>
      <c r="G390" s="208" t="s">
        <v>218</v>
      </c>
      <c r="H390" s="208" t="s">
        <v>192</v>
      </c>
      <c r="I390" s="210">
        <v>7</v>
      </c>
    </row>
    <row r="391" spans="1:9" x14ac:dyDescent="0.25">
      <c r="A391" s="74" t="s">
        <v>2539</v>
      </c>
      <c r="B391" s="45">
        <v>370</v>
      </c>
      <c r="C391" s="64" t="s">
        <v>782</v>
      </c>
      <c r="D391" s="74">
        <v>500218</v>
      </c>
      <c r="E391" s="208" t="s">
        <v>160</v>
      </c>
      <c r="F391" s="208" t="s">
        <v>217</v>
      </c>
      <c r="G391" s="208" t="s">
        <v>21</v>
      </c>
      <c r="H391" s="209" t="s">
        <v>198</v>
      </c>
      <c r="I391" s="210">
        <v>5</v>
      </c>
    </row>
    <row r="392" spans="1:9" x14ac:dyDescent="0.25">
      <c r="A392" s="74" t="s">
        <v>2540</v>
      </c>
      <c r="B392" s="45">
        <v>371</v>
      </c>
      <c r="C392" s="64" t="s">
        <v>783</v>
      </c>
      <c r="D392" s="74">
        <v>500219</v>
      </c>
      <c r="E392" s="208" t="s">
        <v>170</v>
      </c>
      <c r="F392" s="208" t="s">
        <v>216</v>
      </c>
      <c r="G392" s="208" t="s">
        <v>21</v>
      </c>
      <c r="H392" s="209" t="s">
        <v>187</v>
      </c>
      <c r="I392" s="210">
        <v>6</v>
      </c>
    </row>
    <row r="393" spans="1:9" x14ac:dyDescent="0.25">
      <c r="A393" s="74" t="s">
        <v>2541</v>
      </c>
      <c r="B393" s="45">
        <v>372</v>
      </c>
      <c r="C393" s="64" t="s">
        <v>784</v>
      </c>
      <c r="D393" s="74">
        <v>500221</v>
      </c>
      <c r="E393" s="208" t="s">
        <v>170</v>
      </c>
      <c r="F393" s="208" t="s">
        <v>216</v>
      </c>
      <c r="G393" s="208" t="s">
        <v>21</v>
      </c>
      <c r="H393" s="209" t="s">
        <v>192</v>
      </c>
      <c r="I393" s="210">
        <v>7</v>
      </c>
    </row>
    <row r="394" spans="1:9" x14ac:dyDescent="0.25">
      <c r="A394" s="74" t="s">
        <v>2542</v>
      </c>
      <c r="B394" s="45">
        <v>373</v>
      </c>
      <c r="C394" s="64" t="s">
        <v>785</v>
      </c>
      <c r="D394" s="74">
        <v>500046</v>
      </c>
      <c r="E394" s="208" t="s">
        <v>128</v>
      </c>
      <c r="F394" s="208" t="s">
        <v>219</v>
      </c>
      <c r="G394" s="208" t="s">
        <v>21</v>
      </c>
      <c r="H394" s="209" t="s">
        <v>187</v>
      </c>
      <c r="I394" s="210">
        <v>5</v>
      </c>
    </row>
    <row r="395" spans="1:9" x14ac:dyDescent="0.25">
      <c r="A395" s="74" t="s">
        <v>2543</v>
      </c>
      <c r="B395" s="45">
        <v>374</v>
      </c>
      <c r="C395" s="64" t="s">
        <v>786</v>
      </c>
      <c r="D395" s="74">
        <v>500223</v>
      </c>
      <c r="E395" s="208" t="s">
        <v>169</v>
      </c>
      <c r="F395" s="208" t="s">
        <v>220</v>
      </c>
      <c r="G395" s="208" t="s">
        <v>21</v>
      </c>
      <c r="H395" s="209" t="s">
        <v>183</v>
      </c>
      <c r="I395" s="210">
        <v>4</v>
      </c>
    </row>
    <row r="396" spans="1:9" x14ac:dyDescent="0.25">
      <c r="A396" s="74" t="s">
        <v>2544</v>
      </c>
      <c r="B396" s="45">
        <v>375</v>
      </c>
      <c r="C396" s="64" t="s">
        <v>787</v>
      </c>
      <c r="D396" s="74">
        <v>500224</v>
      </c>
      <c r="E396" s="208" t="s">
        <v>169</v>
      </c>
      <c r="F396" s="208" t="s">
        <v>220</v>
      </c>
      <c r="G396" s="208" t="s">
        <v>21</v>
      </c>
      <c r="H396" s="209" t="s">
        <v>187</v>
      </c>
      <c r="I396" s="210">
        <v>6</v>
      </c>
    </row>
    <row r="397" spans="1:9" x14ac:dyDescent="0.25">
      <c r="A397" s="74" t="s">
        <v>2545</v>
      </c>
      <c r="B397" s="45">
        <v>376</v>
      </c>
      <c r="C397" s="64" t="s">
        <v>788</v>
      </c>
      <c r="D397" s="74">
        <v>500225</v>
      </c>
      <c r="E397" s="208" t="s">
        <v>169</v>
      </c>
      <c r="F397" s="208" t="s">
        <v>220</v>
      </c>
      <c r="G397" s="208" t="s">
        <v>21</v>
      </c>
      <c r="H397" s="209" t="s">
        <v>187</v>
      </c>
      <c r="I397" s="210">
        <v>6</v>
      </c>
    </row>
    <row r="398" spans="1:9" x14ac:dyDescent="0.25">
      <c r="A398" s="74" t="s">
        <v>2546</v>
      </c>
      <c r="B398" s="45">
        <v>377</v>
      </c>
      <c r="C398" s="64" t="s">
        <v>789</v>
      </c>
      <c r="D398" s="74">
        <v>500226</v>
      </c>
      <c r="E398" s="208" t="s">
        <v>169</v>
      </c>
      <c r="F398" s="208" t="s">
        <v>220</v>
      </c>
      <c r="G398" s="208" t="s">
        <v>21</v>
      </c>
      <c r="H398" s="209" t="s">
        <v>198</v>
      </c>
      <c r="I398" s="210">
        <v>6</v>
      </c>
    </row>
    <row r="399" spans="1:9" x14ac:dyDescent="0.25">
      <c r="A399" s="74" t="s">
        <v>2547</v>
      </c>
      <c r="B399" s="45">
        <v>378</v>
      </c>
      <c r="C399" s="64" t="s">
        <v>790</v>
      </c>
      <c r="D399" s="74">
        <v>500227</v>
      </c>
      <c r="E399" s="208" t="s">
        <v>169</v>
      </c>
      <c r="F399" s="208" t="s">
        <v>220</v>
      </c>
      <c r="G399" s="208" t="s">
        <v>21</v>
      </c>
      <c r="H399" s="209" t="s">
        <v>191</v>
      </c>
      <c r="I399" s="210">
        <v>7</v>
      </c>
    </row>
    <row r="400" spans="1:9" x14ac:dyDescent="0.25">
      <c r="A400" s="74" t="s">
        <v>2548</v>
      </c>
      <c r="B400" s="45">
        <v>379</v>
      </c>
      <c r="C400" s="64" t="s">
        <v>791</v>
      </c>
      <c r="D400" s="74">
        <v>500227</v>
      </c>
      <c r="E400" s="208" t="s">
        <v>169</v>
      </c>
      <c r="F400" s="208" t="s">
        <v>220</v>
      </c>
      <c r="G400" s="208" t="s">
        <v>21</v>
      </c>
      <c r="H400" s="209" t="s">
        <v>191</v>
      </c>
      <c r="I400" s="210">
        <v>7</v>
      </c>
    </row>
    <row r="401" spans="1:9" x14ac:dyDescent="0.25">
      <c r="A401" s="74" t="s">
        <v>2549</v>
      </c>
      <c r="B401" s="45">
        <v>380</v>
      </c>
      <c r="C401" s="64" t="s">
        <v>792</v>
      </c>
      <c r="D401" s="74">
        <v>500227</v>
      </c>
      <c r="E401" s="208" t="s">
        <v>169</v>
      </c>
      <c r="F401" s="208" t="s">
        <v>220</v>
      </c>
      <c r="G401" s="208" t="s">
        <v>21</v>
      </c>
      <c r="H401" s="209" t="s">
        <v>191</v>
      </c>
      <c r="I401" s="210">
        <v>7</v>
      </c>
    </row>
    <row r="402" spans="1:9" x14ac:dyDescent="0.25">
      <c r="A402" s="74" t="s">
        <v>2550</v>
      </c>
      <c r="B402" s="45">
        <v>381</v>
      </c>
      <c r="C402" s="64" t="s">
        <v>793</v>
      </c>
      <c r="D402" s="74">
        <v>500227</v>
      </c>
      <c r="E402" s="208" t="s">
        <v>169</v>
      </c>
      <c r="F402" s="208" t="s">
        <v>220</v>
      </c>
      <c r="G402" s="208" t="s">
        <v>21</v>
      </c>
      <c r="H402" s="209" t="s">
        <v>191</v>
      </c>
      <c r="I402" s="210">
        <v>7</v>
      </c>
    </row>
    <row r="403" spans="1:9" x14ac:dyDescent="0.25">
      <c r="A403" s="74" t="s">
        <v>2551</v>
      </c>
      <c r="B403" s="45">
        <v>382</v>
      </c>
      <c r="C403" s="64" t="s">
        <v>794</v>
      </c>
      <c r="D403" s="74">
        <v>500228</v>
      </c>
      <c r="E403" s="208" t="s">
        <v>169</v>
      </c>
      <c r="F403" s="208" t="s">
        <v>220</v>
      </c>
      <c r="G403" s="208" t="s">
        <v>21</v>
      </c>
      <c r="H403" s="209" t="s">
        <v>198</v>
      </c>
      <c r="I403" s="210">
        <v>6</v>
      </c>
    </row>
    <row r="404" spans="1:9" x14ac:dyDescent="0.25">
      <c r="A404" s="74" t="s">
        <v>2552</v>
      </c>
      <c r="B404" s="45">
        <v>383</v>
      </c>
      <c r="C404" s="64" t="s">
        <v>795</v>
      </c>
      <c r="D404" s="74">
        <v>500229</v>
      </c>
      <c r="E404" s="208" t="s">
        <v>169</v>
      </c>
      <c r="F404" s="208" t="s">
        <v>220</v>
      </c>
      <c r="G404" s="208" t="s">
        <v>21</v>
      </c>
      <c r="H404" s="209" t="s">
        <v>192</v>
      </c>
      <c r="I404" s="210">
        <v>7</v>
      </c>
    </row>
    <row r="405" spans="1:9" x14ac:dyDescent="0.25">
      <c r="A405" s="74" t="s">
        <v>2553</v>
      </c>
      <c r="B405" s="45">
        <v>384</v>
      </c>
      <c r="C405" s="64" t="s">
        <v>796</v>
      </c>
      <c r="D405" s="74">
        <v>500230</v>
      </c>
      <c r="E405" s="208" t="s">
        <v>169</v>
      </c>
      <c r="F405" s="208" t="s">
        <v>220</v>
      </c>
      <c r="G405" s="208" t="s">
        <v>21</v>
      </c>
      <c r="H405" s="209" t="s">
        <v>191</v>
      </c>
      <c r="I405" s="210">
        <v>7</v>
      </c>
    </row>
    <row r="406" spans="1:9" x14ac:dyDescent="0.25">
      <c r="A406" s="74" t="s">
        <v>2554</v>
      </c>
      <c r="B406" s="45">
        <v>385</v>
      </c>
      <c r="C406" s="64" t="s">
        <v>797</v>
      </c>
      <c r="D406" s="74">
        <v>500230</v>
      </c>
      <c r="E406" s="208" t="s">
        <v>169</v>
      </c>
      <c r="F406" s="208" t="s">
        <v>220</v>
      </c>
      <c r="G406" s="208" t="s">
        <v>21</v>
      </c>
      <c r="H406" s="209" t="s">
        <v>191</v>
      </c>
      <c r="I406" s="210">
        <v>7</v>
      </c>
    </row>
    <row r="407" spans="1:9" x14ac:dyDescent="0.25">
      <c r="A407" s="74" t="s">
        <v>2555</v>
      </c>
      <c r="B407" s="45">
        <v>386</v>
      </c>
      <c r="C407" s="64" t="s">
        <v>798</v>
      </c>
      <c r="D407" s="74">
        <v>500230</v>
      </c>
      <c r="E407" s="208" t="s">
        <v>169</v>
      </c>
      <c r="F407" s="208" t="s">
        <v>220</v>
      </c>
      <c r="G407" s="208" t="s">
        <v>21</v>
      </c>
      <c r="H407" s="209" t="s">
        <v>191</v>
      </c>
      <c r="I407" s="210">
        <v>7</v>
      </c>
    </row>
    <row r="408" spans="1:9" x14ac:dyDescent="0.25">
      <c r="A408" s="74" t="s">
        <v>2556</v>
      </c>
      <c r="B408" s="45">
        <v>387</v>
      </c>
      <c r="C408" s="64" t="s">
        <v>799</v>
      </c>
      <c r="D408" s="74">
        <v>500230</v>
      </c>
      <c r="E408" s="208" t="s">
        <v>169</v>
      </c>
      <c r="F408" s="208" t="s">
        <v>220</v>
      </c>
      <c r="G408" s="208" t="s">
        <v>21</v>
      </c>
      <c r="H408" s="209" t="s">
        <v>191</v>
      </c>
      <c r="I408" s="210">
        <v>7</v>
      </c>
    </row>
    <row r="409" spans="1:9" x14ac:dyDescent="0.25">
      <c r="A409" s="74" t="s">
        <v>2557</v>
      </c>
      <c r="B409" s="45">
        <v>388</v>
      </c>
      <c r="C409" s="63" t="s">
        <v>800</v>
      </c>
      <c r="D409" s="74">
        <v>500531</v>
      </c>
      <c r="E409" s="208" t="s">
        <v>173</v>
      </c>
      <c r="F409" s="208" t="s">
        <v>212</v>
      </c>
      <c r="G409" s="208" t="s">
        <v>213</v>
      </c>
      <c r="H409" s="209" t="s">
        <v>192</v>
      </c>
      <c r="I409" s="210">
        <v>7</v>
      </c>
    </row>
    <row r="410" spans="1:9" x14ac:dyDescent="0.25">
      <c r="A410" s="74" t="s">
        <v>2558</v>
      </c>
      <c r="B410" s="45">
        <v>389</v>
      </c>
      <c r="C410" s="63" t="s">
        <v>801</v>
      </c>
      <c r="D410" s="74">
        <v>500532</v>
      </c>
      <c r="E410" s="208" t="s">
        <v>173</v>
      </c>
      <c r="F410" s="208" t="s">
        <v>212</v>
      </c>
      <c r="G410" s="208" t="s">
        <v>213</v>
      </c>
      <c r="H410" s="209" t="s">
        <v>192</v>
      </c>
      <c r="I410" s="210">
        <v>7</v>
      </c>
    </row>
    <row r="411" spans="1:9" x14ac:dyDescent="0.25">
      <c r="A411" s="74" t="s">
        <v>2559</v>
      </c>
      <c r="B411" s="45">
        <v>390</v>
      </c>
      <c r="C411" s="64" t="s">
        <v>802</v>
      </c>
      <c r="D411" s="74">
        <v>500232</v>
      </c>
      <c r="E411" s="208" t="s">
        <v>169</v>
      </c>
      <c r="F411" s="208" t="s">
        <v>220</v>
      </c>
      <c r="G411" s="208" t="s">
        <v>21</v>
      </c>
      <c r="H411" s="209" t="s">
        <v>191</v>
      </c>
      <c r="I411" s="210">
        <v>7</v>
      </c>
    </row>
    <row r="412" spans="1:9" x14ac:dyDescent="0.25">
      <c r="A412" s="74" t="s">
        <v>2560</v>
      </c>
      <c r="B412" s="45" t="s">
        <v>23</v>
      </c>
      <c r="C412" s="64" t="s">
        <v>23</v>
      </c>
      <c r="D412" s="74">
        <v>500232</v>
      </c>
      <c r="E412" s="208" t="s">
        <v>169</v>
      </c>
      <c r="F412" s="208" t="s">
        <v>220</v>
      </c>
      <c r="G412" s="208" t="s">
        <v>21</v>
      </c>
      <c r="H412" s="209" t="s">
        <v>191</v>
      </c>
      <c r="I412" s="210">
        <v>7</v>
      </c>
    </row>
    <row r="413" spans="1:9" x14ac:dyDescent="0.25">
      <c r="A413" s="74" t="s">
        <v>2561</v>
      </c>
      <c r="B413" s="45">
        <v>391</v>
      </c>
      <c r="C413" s="64" t="s">
        <v>803</v>
      </c>
      <c r="D413" s="74">
        <v>500232</v>
      </c>
      <c r="E413" s="208" t="s">
        <v>169</v>
      </c>
      <c r="F413" s="208" t="s">
        <v>220</v>
      </c>
      <c r="G413" s="208" t="s">
        <v>21</v>
      </c>
      <c r="H413" s="209" t="s">
        <v>191</v>
      </c>
      <c r="I413" s="210">
        <v>7</v>
      </c>
    </row>
    <row r="414" spans="1:9" x14ac:dyDescent="0.25">
      <c r="A414" s="74" t="s">
        <v>2562</v>
      </c>
      <c r="B414" s="45">
        <v>392</v>
      </c>
      <c r="C414" s="64" t="s">
        <v>804</v>
      </c>
      <c r="D414" s="74">
        <v>500232</v>
      </c>
      <c r="E414" s="208" t="s">
        <v>169</v>
      </c>
      <c r="F414" s="208" t="s">
        <v>220</v>
      </c>
      <c r="G414" s="208" t="s">
        <v>21</v>
      </c>
      <c r="H414" s="209" t="s">
        <v>191</v>
      </c>
      <c r="I414" s="210">
        <v>7</v>
      </c>
    </row>
    <row r="415" spans="1:9" x14ac:dyDescent="0.25">
      <c r="A415" s="74" t="s">
        <v>2563</v>
      </c>
      <c r="B415" s="45">
        <v>393</v>
      </c>
      <c r="C415" s="64" t="s">
        <v>805</v>
      </c>
      <c r="D415" s="74">
        <v>500233</v>
      </c>
      <c r="E415" s="208" t="s">
        <v>169</v>
      </c>
      <c r="F415" s="208" t="s">
        <v>220</v>
      </c>
      <c r="G415" s="208" t="s">
        <v>21</v>
      </c>
      <c r="H415" s="209" t="s">
        <v>198</v>
      </c>
      <c r="I415" s="210">
        <v>6</v>
      </c>
    </row>
    <row r="416" spans="1:9" x14ac:dyDescent="0.25">
      <c r="A416" s="74" t="s">
        <v>2564</v>
      </c>
      <c r="B416" s="45">
        <v>394</v>
      </c>
      <c r="C416" s="64" t="s">
        <v>806</v>
      </c>
      <c r="D416" s="74">
        <v>500234</v>
      </c>
      <c r="E416" s="208" t="s">
        <v>169</v>
      </c>
      <c r="F416" s="208" t="s">
        <v>220</v>
      </c>
      <c r="G416" s="208" t="s">
        <v>21</v>
      </c>
      <c r="H416" s="209" t="s">
        <v>192</v>
      </c>
      <c r="I416" s="210">
        <v>7</v>
      </c>
    </row>
    <row r="417" spans="1:9" x14ac:dyDescent="0.25">
      <c r="A417" s="74" t="s">
        <v>2565</v>
      </c>
      <c r="B417" s="45">
        <v>395</v>
      </c>
      <c r="C417" s="64" t="s">
        <v>807</v>
      </c>
      <c r="D417" s="74">
        <v>500235</v>
      </c>
      <c r="E417" s="208" t="s">
        <v>169</v>
      </c>
      <c r="F417" s="208" t="s">
        <v>220</v>
      </c>
      <c r="G417" s="208" t="s">
        <v>21</v>
      </c>
      <c r="H417" s="209" t="s">
        <v>191</v>
      </c>
      <c r="I417" s="210">
        <v>7</v>
      </c>
    </row>
    <row r="418" spans="1:9" x14ac:dyDescent="0.25">
      <c r="A418" s="74" t="s">
        <v>2566</v>
      </c>
      <c r="B418" s="45">
        <v>396</v>
      </c>
      <c r="C418" s="64" t="s">
        <v>808</v>
      </c>
      <c r="D418" s="74">
        <v>500235</v>
      </c>
      <c r="E418" s="208" t="s">
        <v>169</v>
      </c>
      <c r="F418" s="208" t="s">
        <v>220</v>
      </c>
      <c r="G418" s="208" t="s">
        <v>21</v>
      </c>
      <c r="H418" s="209" t="s">
        <v>191</v>
      </c>
      <c r="I418" s="210">
        <v>7</v>
      </c>
    </row>
    <row r="419" spans="1:9" x14ac:dyDescent="0.25">
      <c r="A419" s="74" t="s">
        <v>2567</v>
      </c>
      <c r="B419" s="45">
        <v>397</v>
      </c>
      <c r="C419" s="64" t="s">
        <v>809</v>
      </c>
      <c r="D419" s="74">
        <v>500235</v>
      </c>
      <c r="E419" s="208" t="s">
        <v>169</v>
      </c>
      <c r="F419" s="208" t="s">
        <v>220</v>
      </c>
      <c r="G419" s="208" t="s">
        <v>21</v>
      </c>
      <c r="H419" s="209" t="s">
        <v>191</v>
      </c>
      <c r="I419" s="210">
        <v>7</v>
      </c>
    </row>
    <row r="420" spans="1:9" x14ac:dyDescent="0.25">
      <c r="A420" s="74" t="s">
        <v>2568</v>
      </c>
      <c r="B420" s="45">
        <v>398</v>
      </c>
      <c r="C420" s="63" t="s">
        <v>810</v>
      </c>
      <c r="D420" s="74">
        <v>500235</v>
      </c>
      <c r="E420" s="208" t="s">
        <v>169</v>
      </c>
      <c r="F420" s="208" t="s">
        <v>220</v>
      </c>
      <c r="G420" s="208" t="s">
        <v>21</v>
      </c>
      <c r="H420" s="209" t="s">
        <v>191</v>
      </c>
      <c r="I420" s="210">
        <v>7</v>
      </c>
    </row>
    <row r="421" spans="1:9" x14ac:dyDescent="0.25">
      <c r="A421" s="74" t="s">
        <v>2569</v>
      </c>
      <c r="B421" s="45">
        <v>399</v>
      </c>
      <c r="C421" s="64" t="s">
        <v>811</v>
      </c>
      <c r="D421" s="74">
        <v>500236</v>
      </c>
      <c r="E421" s="208" t="s">
        <v>169</v>
      </c>
      <c r="F421" s="208" t="s">
        <v>220</v>
      </c>
      <c r="G421" s="208" t="s">
        <v>21</v>
      </c>
      <c r="H421" s="209" t="s">
        <v>198</v>
      </c>
      <c r="I421" s="210">
        <v>6</v>
      </c>
    </row>
    <row r="422" spans="1:9" x14ac:dyDescent="0.25">
      <c r="A422" s="74" t="s">
        <v>2570</v>
      </c>
      <c r="B422" s="45">
        <v>400</v>
      </c>
      <c r="C422" s="64" t="s">
        <v>812</v>
      </c>
      <c r="D422" s="74">
        <v>500237</v>
      </c>
      <c r="E422" s="208" t="s">
        <v>169</v>
      </c>
      <c r="F422" s="208" t="s">
        <v>220</v>
      </c>
      <c r="G422" s="208" t="s">
        <v>21</v>
      </c>
      <c r="H422" s="209" t="s">
        <v>191</v>
      </c>
      <c r="I422" s="210">
        <v>7</v>
      </c>
    </row>
    <row r="423" spans="1:9" x14ac:dyDescent="0.25">
      <c r="A423" s="74" t="s">
        <v>2571</v>
      </c>
      <c r="B423" s="45">
        <v>401</v>
      </c>
      <c r="C423" s="64" t="s">
        <v>813</v>
      </c>
      <c r="D423" s="74">
        <v>500237</v>
      </c>
      <c r="E423" s="208" t="s">
        <v>169</v>
      </c>
      <c r="F423" s="208" t="s">
        <v>220</v>
      </c>
      <c r="G423" s="208" t="s">
        <v>21</v>
      </c>
      <c r="H423" s="209" t="s">
        <v>191</v>
      </c>
      <c r="I423" s="210">
        <v>7</v>
      </c>
    </row>
    <row r="424" spans="1:9" x14ac:dyDescent="0.25">
      <c r="A424" s="74" t="s">
        <v>2572</v>
      </c>
      <c r="B424" s="45">
        <v>402</v>
      </c>
      <c r="C424" s="63" t="s">
        <v>814</v>
      </c>
      <c r="D424" s="74">
        <v>500237</v>
      </c>
      <c r="E424" s="208" t="s">
        <v>169</v>
      </c>
      <c r="F424" s="208" t="s">
        <v>220</v>
      </c>
      <c r="G424" s="208" t="s">
        <v>21</v>
      </c>
      <c r="H424" s="209" t="s">
        <v>191</v>
      </c>
      <c r="I424" s="210">
        <v>7</v>
      </c>
    </row>
    <row r="425" spans="1:9" x14ac:dyDescent="0.25">
      <c r="A425" s="74" t="s">
        <v>2573</v>
      </c>
      <c r="B425" s="45">
        <v>403</v>
      </c>
      <c r="C425" s="64" t="s">
        <v>815</v>
      </c>
      <c r="D425" s="74">
        <v>500237</v>
      </c>
      <c r="E425" s="208" t="s">
        <v>169</v>
      </c>
      <c r="F425" s="208" t="s">
        <v>220</v>
      </c>
      <c r="G425" s="208" t="s">
        <v>21</v>
      </c>
      <c r="H425" s="209" t="s">
        <v>191</v>
      </c>
      <c r="I425" s="210">
        <v>7</v>
      </c>
    </row>
    <row r="426" spans="1:9" x14ac:dyDescent="0.25">
      <c r="A426" s="74" t="s">
        <v>2574</v>
      </c>
      <c r="B426" s="45">
        <v>404</v>
      </c>
      <c r="C426" s="64" t="s">
        <v>816</v>
      </c>
      <c r="D426" s="74">
        <v>500231</v>
      </c>
      <c r="E426" s="208" t="s">
        <v>169</v>
      </c>
      <c r="F426" s="208" t="s">
        <v>220</v>
      </c>
      <c r="G426" s="208" t="s">
        <v>21</v>
      </c>
      <c r="H426" s="209" t="s">
        <v>198</v>
      </c>
      <c r="I426" s="210">
        <v>6</v>
      </c>
    </row>
    <row r="427" spans="1:9" x14ac:dyDescent="0.25">
      <c r="A427" s="74" t="s">
        <v>2575</v>
      </c>
      <c r="B427" s="45">
        <v>405</v>
      </c>
      <c r="C427" s="64" t="s">
        <v>817</v>
      </c>
      <c r="D427" s="74">
        <v>500260</v>
      </c>
      <c r="E427" s="208" t="s">
        <v>173</v>
      </c>
      <c r="F427" s="208" t="s">
        <v>212</v>
      </c>
      <c r="G427" s="208" t="s">
        <v>21</v>
      </c>
      <c r="H427" s="209" t="s">
        <v>191</v>
      </c>
      <c r="I427" s="210">
        <v>7</v>
      </c>
    </row>
    <row r="428" spans="1:9" x14ac:dyDescent="0.25">
      <c r="A428" s="74" t="s">
        <v>2576</v>
      </c>
      <c r="B428" s="45">
        <v>406</v>
      </c>
      <c r="C428" s="63" t="s">
        <v>818</v>
      </c>
      <c r="D428" s="74">
        <v>500269</v>
      </c>
      <c r="E428" s="208" t="s">
        <v>173</v>
      </c>
      <c r="F428" s="208" t="s">
        <v>212</v>
      </c>
      <c r="G428" s="208" t="s">
        <v>213</v>
      </c>
      <c r="H428" s="209" t="s">
        <v>192</v>
      </c>
      <c r="I428" s="210">
        <v>7</v>
      </c>
    </row>
    <row r="429" spans="1:9" x14ac:dyDescent="0.25">
      <c r="A429" s="74" t="s">
        <v>2577</v>
      </c>
      <c r="B429" s="45">
        <v>407</v>
      </c>
      <c r="C429" s="63" t="s">
        <v>819</v>
      </c>
      <c r="D429" s="74">
        <v>500284</v>
      </c>
      <c r="E429" s="208" t="s">
        <v>173</v>
      </c>
      <c r="F429" s="208" t="s">
        <v>212</v>
      </c>
      <c r="G429" s="208" t="s">
        <v>213</v>
      </c>
      <c r="H429" s="209" t="s">
        <v>191</v>
      </c>
      <c r="I429" s="210">
        <v>7</v>
      </c>
    </row>
    <row r="430" spans="1:9" x14ac:dyDescent="0.25">
      <c r="A430" s="74" t="s">
        <v>2578</v>
      </c>
      <c r="B430" s="45">
        <v>408</v>
      </c>
      <c r="C430" s="64" t="s">
        <v>820</v>
      </c>
      <c r="D430" s="74">
        <v>500453</v>
      </c>
      <c r="E430" s="208" t="s">
        <v>161</v>
      </c>
      <c r="F430" s="208" t="s">
        <v>214</v>
      </c>
      <c r="G430" s="208" t="s">
        <v>21</v>
      </c>
      <c r="H430" s="209" t="s">
        <v>191</v>
      </c>
      <c r="I430" s="210">
        <v>7</v>
      </c>
    </row>
    <row r="431" spans="1:9" x14ac:dyDescent="0.25">
      <c r="A431" s="74" t="s">
        <v>2579</v>
      </c>
      <c r="B431" s="45">
        <v>409</v>
      </c>
      <c r="C431" s="64" t="s">
        <v>821</v>
      </c>
      <c r="D431" s="74">
        <v>500457</v>
      </c>
      <c r="E431" s="208" t="s">
        <v>161</v>
      </c>
      <c r="F431" s="208" t="s">
        <v>214</v>
      </c>
      <c r="G431" s="208" t="s">
        <v>21</v>
      </c>
      <c r="H431" s="209" t="s">
        <v>191</v>
      </c>
      <c r="I431" s="210">
        <v>7</v>
      </c>
    </row>
    <row r="432" spans="1:9" x14ac:dyDescent="0.25">
      <c r="A432" s="74" t="s">
        <v>2580</v>
      </c>
      <c r="B432" s="45">
        <v>410</v>
      </c>
      <c r="C432" s="64" t="s">
        <v>822</v>
      </c>
      <c r="D432" s="74">
        <v>500255</v>
      </c>
      <c r="E432" s="208" t="s">
        <v>173</v>
      </c>
      <c r="F432" s="208" t="s">
        <v>212</v>
      </c>
      <c r="G432" s="208" t="s">
        <v>21</v>
      </c>
      <c r="H432" s="209" t="s">
        <v>183</v>
      </c>
      <c r="I432" s="210">
        <v>4</v>
      </c>
    </row>
    <row r="433" spans="1:9" x14ac:dyDescent="0.25">
      <c r="A433" s="74" t="s">
        <v>2581</v>
      </c>
      <c r="B433" s="45">
        <v>411</v>
      </c>
      <c r="C433" s="64" t="s">
        <v>823</v>
      </c>
      <c r="D433" s="74">
        <v>500256</v>
      </c>
      <c r="E433" s="208" t="s">
        <v>173</v>
      </c>
      <c r="F433" s="208" t="s">
        <v>212</v>
      </c>
      <c r="G433" s="208" t="s">
        <v>21</v>
      </c>
      <c r="H433" s="209" t="s">
        <v>187</v>
      </c>
      <c r="I433" s="210">
        <v>5</v>
      </c>
    </row>
    <row r="434" spans="1:9" x14ac:dyDescent="0.25">
      <c r="A434" s="74" t="s">
        <v>2582</v>
      </c>
      <c r="B434" s="45">
        <v>412</v>
      </c>
      <c r="C434" s="64" t="s">
        <v>824</v>
      </c>
      <c r="D434" s="74">
        <v>500257</v>
      </c>
      <c r="E434" s="208" t="s">
        <v>173</v>
      </c>
      <c r="F434" s="208" t="s">
        <v>212</v>
      </c>
      <c r="G434" s="208" t="s">
        <v>213</v>
      </c>
      <c r="H434" s="209" t="s">
        <v>194</v>
      </c>
      <c r="I434" s="210">
        <v>6</v>
      </c>
    </row>
    <row r="435" spans="1:9" x14ac:dyDescent="0.25">
      <c r="A435" s="74" t="s">
        <v>2583</v>
      </c>
      <c r="B435" s="45">
        <v>413</v>
      </c>
      <c r="C435" s="64" t="s">
        <v>825</v>
      </c>
      <c r="D435" s="74">
        <v>500257</v>
      </c>
      <c r="E435" s="208" t="s">
        <v>173</v>
      </c>
      <c r="F435" s="208" t="s">
        <v>212</v>
      </c>
      <c r="G435" s="208" t="s">
        <v>213</v>
      </c>
      <c r="H435" s="209" t="s">
        <v>194</v>
      </c>
      <c r="I435" s="210">
        <v>6</v>
      </c>
    </row>
    <row r="436" spans="1:9" x14ac:dyDescent="0.25">
      <c r="A436" s="74" t="s">
        <v>2584</v>
      </c>
      <c r="B436" s="45">
        <v>414</v>
      </c>
      <c r="C436" s="64" t="s">
        <v>826</v>
      </c>
      <c r="D436" s="74">
        <v>500257</v>
      </c>
      <c r="E436" s="208" t="s">
        <v>173</v>
      </c>
      <c r="F436" s="208" t="s">
        <v>212</v>
      </c>
      <c r="G436" s="208" t="s">
        <v>213</v>
      </c>
      <c r="H436" s="209" t="s">
        <v>194</v>
      </c>
      <c r="I436" s="210">
        <v>6</v>
      </c>
    </row>
    <row r="437" spans="1:9" x14ac:dyDescent="0.25">
      <c r="A437" s="74" t="s">
        <v>2585</v>
      </c>
      <c r="B437" s="45">
        <v>415</v>
      </c>
      <c r="C437" s="64" t="s">
        <v>827</v>
      </c>
      <c r="D437" s="74">
        <v>500257</v>
      </c>
      <c r="E437" s="208" t="s">
        <v>173</v>
      </c>
      <c r="F437" s="208" t="s">
        <v>212</v>
      </c>
      <c r="G437" s="208" t="s">
        <v>213</v>
      </c>
      <c r="H437" s="209" t="s">
        <v>194</v>
      </c>
      <c r="I437" s="210">
        <v>6</v>
      </c>
    </row>
    <row r="438" spans="1:9" x14ac:dyDescent="0.25">
      <c r="A438" s="74" t="s">
        <v>2586</v>
      </c>
      <c r="B438" s="45">
        <v>416</v>
      </c>
      <c r="C438" s="64" t="s">
        <v>828</v>
      </c>
      <c r="D438" s="74">
        <v>500258</v>
      </c>
      <c r="E438" s="208" t="s">
        <v>173</v>
      </c>
      <c r="F438" s="208" t="s">
        <v>212</v>
      </c>
      <c r="G438" s="208" t="s">
        <v>213</v>
      </c>
      <c r="H438" s="209" t="s">
        <v>193</v>
      </c>
      <c r="I438" s="210">
        <v>6</v>
      </c>
    </row>
    <row r="439" spans="1:9" x14ac:dyDescent="0.25">
      <c r="A439" s="74" t="s">
        <v>2587</v>
      </c>
      <c r="B439" s="45">
        <v>417</v>
      </c>
      <c r="C439" s="64" t="s">
        <v>829</v>
      </c>
      <c r="D439" s="74">
        <v>500259</v>
      </c>
      <c r="E439" s="208" t="s">
        <v>173</v>
      </c>
      <c r="F439" s="208" t="s">
        <v>212</v>
      </c>
      <c r="G439" s="208" t="s">
        <v>21</v>
      </c>
      <c r="H439" s="209" t="s">
        <v>186</v>
      </c>
      <c r="I439" s="210">
        <v>5</v>
      </c>
    </row>
    <row r="440" spans="1:9" x14ac:dyDescent="0.25">
      <c r="A440" s="74" t="s">
        <v>2588</v>
      </c>
      <c r="B440" s="45">
        <v>418</v>
      </c>
      <c r="C440" s="63" t="s">
        <v>830</v>
      </c>
      <c r="D440" s="74">
        <v>500260</v>
      </c>
      <c r="E440" s="208" t="s">
        <v>173</v>
      </c>
      <c r="F440" s="208" t="s">
        <v>212</v>
      </c>
      <c r="G440" s="208" t="s">
        <v>21</v>
      </c>
      <c r="H440" s="209" t="s">
        <v>191</v>
      </c>
      <c r="I440" s="210">
        <v>7</v>
      </c>
    </row>
    <row r="441" spans="1:9" x14ac:dyDescent="0.25">
      <c r="A441" s="74" t="s">
        <v>2589</v>
      </c>
      <c r="B441" s="45">
        <v>419</v>
      </c>
      <c r="C441" s="63" t="s">
        <v>831</v>
      </c>
      <c r="D441" s="74">
        <v>500260</v>
      </c>
      <c r="E441" s="208" t="s">
        <v>173</v>
      </c>
      <c r="F441" s="208" t="s">
        <v>212</v>
      </c>
      <c r="G441" s="208" t="s">
        <v>21</v>
      </c>
      <c r="H441" s="209" t="s">
        <v>191</v>
      </c>
      <c r="I441" s="210">
        <v>7</v>
      </c>
    </row>
    <row r="442" spans="1:9" x14ac:dyDescent="0.25">
      <c r="A442" s="74" t="s">
        <v>2590</v>
      </c>
      <c r="B442" s="45">
        <v>420</v>
      </c>
      <c r="C442" s="64" t="s">
        <v>832</v>
      </c>
      <c r="D442" s="74">
        <v>500260</v>
      </c>
      <c r="E442" s="208" t="s">
        <v>173</v>
      </c>
      <c r="F442" s="208" t="s">
        <v>212</v>
      </c>
      <c r="G442" s="208" t="s">
        <v>21</v>
      </c>
      <c r="H442" s="209" t="s">
        <v>191</v>
      </c>
      <c r="I442" s="210">
        <v>7</v>
      </c>
    </row>
    <row r="443" spans="1:9" x14ac:dyDescent="0.25">
      <c r="A443" s="74" t="s">
        <v>2591</v>
      </c>
      <c r="B443" s="45">
        <v>421</v>
      </c>
      <c r="C443" s="64" t="s">
        <v>833</v>
      </c>
      <c r="D443" s="74">
        <v>500261</v>
      </c>
      <c r="E443" s="208" t="s">
        <v>173</v>
      </c>
      <c r="F443" s="208" t="s">
        <v>212</v>
      </c>
      <c r="G443" s="208" t="s">
        <v>21</v>
      </c>
      <c r="H443" s="209" t="s">
        <v>192</v>
      </c>
      <c r="I443" s="210">
        <v>7</v>
      </c>
    </row>
    <row r="444" spans="1:9" x14ac:dyDescent="0.25">
      <c r="A444" s="74" t="s">
        <v>2592</v>
      </c>
      <c r="B444" s="45">
        <v>422</v>
      </c>
      <c r="C444" s="64" t="s">
        <v>834</v>
      </c>
      <c r="D444" s="74">
        <v>500262</v>
      </c>
      <c r="E444" s="208" t="s">
        <v>173</v>
      </c>
      <c r="F444" s="208" t="s">
        <v>212</v>
      </c>
      <c r="G444" s="208" t="s">
        <v>21</v>
      </c>
      <c r="H444" s="209" t="s">
        <v>186</v>
      </c>
      <c r="I444" s="210">
        <v>5</v>
      </c>
    </row>
    <row r="445" spans="1:9" x14ac:dyDescent="0.25">
      <c r="A445" s="74" t="s">
        <v>2593</v>
      </c>
      <c r="B445" s="45">
        <v>423</v>
      </c>
      <c r="C445" s="64" t="s">
        <v>835</v>
      </c>
      <c r="D445" s="74">
        <v>500263</v>
      </c>
      <c r="E445" s="208" t="s">
        <v>173</v>
      </c>
      <c r="F445" s="208" t="s">
        <v>212</v>
      </c>
      <c r="G445" s="208" t="s">
        <v>21</v>
      </c>
      <c r="H445" s="209" t="s">
        <v>191</v>
      </c>
      <c r="I445" s="210">
        <v>7</v>
      </c>
    </row>
    <row r="446" spans="1:9" x14ac:dyDescent="0.25">
      <c r="A446" s="74" t="s">
        <v>2594</v>
      </c>
      <c r="B446" s="45">
        <v>424</v>
      </c>
      <c r="C446" s="64" t="s">
        <v>836</v>
      </c>
      <c r="D446" s="74">
        <v>500263</v>
      </c>
      <c r="E446" s="208" t="s">
        <v>173</v>
      </c>
      <c r="F446" s="208" t="s">
        <v>212</v>
      </c>
      <c r="G446" s="208" t="s">
        <v>21</v>
      </c>
      <c r="H446" s="209" t="s">
        <v>191</v>
      </c>
      <c r="I446" s="210">
        <v>7</v>
      </c>
    </row>
    <row r="447" spans="1:9" x14ac:dyDescent="0.25">
      <c r="A447" s="74" t="s">
        <v>2595</v>
      </c>
      <c r="B447" s="45">
        <v>425</v>
      </c>
      <c r="C447" s="64" t="s">
        <v>837</v>
      </c>
      <c r="D447" s="74">
        <v>500263</v>
      </c>
      <c r="E447" s="208" t="s">
        <v>173</v>
      </c>
      <c r="F447" s="208" t="s">
        <v>212</v>
      </c>
      <c r="G447" s="208" t="s">
        <v>21</v>
      </c>
      <c r="H447" s="209" t="s">
        <v>191</v>
      </c>
      <c r="I447" s="210">
        <v>7</v>
      </c>
    </row>
    <row r="448" spans="1:9" x14ac:dyDescent="0.25">
      <c r="A448" s="74" t="s">
        <v>2596</v>
      </c>
      <c r="B448" s="45">
        <v>426</v>
      </c>
      <c r="C448" s="64" t="s">
        <v>838</v>
      </c>
      <c r="D448" s="74">
        <v>500263</v>
      </c>
      <c r="E448" s="208" t="s">
        <v>173</v>
      </c>
      <c r="F448" s="208" t="s">
        <v>212</v>
      </c>
      <c r="G448" s="208" t="s">
        <v>21</v>
      </c>
      <c r="H448" s="209" t="s">
        <v>191</v>
      </c>
      <c r="I448" s="210">
        <v>7</v>
      </c>
    </row>
    <row r="449" spans="1:9" x14ac:dyDescent="0.25">
      <c r="A449" s="74" t="s">
        <v>2597</v>
      </c>
      <c r="B449" s="45">
        <v>427</v>
      </c>
      <c r="C449" s="64" t="s">
        <v>839</v>
      </c>
      <c r="D449" s="74">
        <v>500264</v>
      </c>
      <c r="E449" s="208" t="s">
        <v>173</v>
      </c>
      <c r="F449" s="208" t="s">
        <v>212</v>
      </c>
      <c r="G449" s="208" t="s">
        <v>21</v>
      </c>
      <c r="H449" s="209" t="s">
        <v>192</v>
      </c>
      <c r="I449" s="210">
        <v>7</v>
      </c>
    </row>
    <row r="450" spans="1:9" x14ac:dyDescent="0.25">
      <c r="A450" s="74" t="s">
        <v>2598</v>
      </c>
      <c r="B450" s="45">
        <v>428</v>
      </c>
      <c r="C450" s="63" t="s">
        <v>840</v>
      </c>
      <c r="D450" s="74">
        <v>500265</v>
      </c>
      <c r="E450" s="208" t="s">
        <v>173</v>
      </c>
      <c r="F450" s="208" t="s">
        <v>212</v>
      </c>
      <c r="G450" s="208" t="s">
        <v>21</v>
      </c>
      <c r="H450" s="209" t="s">
        <v>186</v>
      </c>
      <c r="I450" s="210">
        <v>5</v>
      </c>
    </row>
    <row r="451" spans="1:9" x14ac:dyDescent="0.25">
      <c r="A451" s="74" t="s">
        <v>2599</v>
      </c>
      <c r="B451" s="45" t="s">
        <v>23</v>
      </c>
      <c r="C451" s="64" t="s">
        <v>23</v>
      </c>
      <c r="D451" s="74">
        <v>500266</v>
      </c>
      <c r="E451" s="208" t="s">
        <v>173</v>
      </c>
      <c r="F451" s="208" t="s">
        <v>212</v>
      </c>
      <c r="G451" s="208" t="s">
        <v>21</v>
      </c>
      <c r="H451" s="209" t="s">
        <v>191</v>
      </c>
      <c r="I451" s="210">
        <v>7</v>
      </c>
    </row>
    <row r="452" spans="1:9" x14ac:dyDescent="0.25">
      <c r="A452" s="74" t="s">
        <v>2600</v>
      </c>
      <c r="B452" s="45">
        <v>429</v>
      </c>
      <c r="C452" s="63" t="s">
        <v>841</v>
      </c>
      <c r="D452" s="74">
        <v>500266</v>
      </c>
      <c r="E452" s="208" t="s">
        <v>173</v>
      </c>
      <c r="F452" s="208" t="s">
        <v>212</v>
      </c>
      <c r="G452" s="208" t="s">
        <v>21</v>
      </c>
      <c r="H452" s="209" t="s">
        <v>191</v>
      </c>
      <c r="I452" s="210">
        <v>7</v>
      </c>
    </row>
    <row r="453" spans="1:9" x14ac:dyDescent="0.25">
      <c r="A453" s="74" t="s">
        <v>2601</v>
      </c>
      <c r="B453" s="45">
        <v>430</v>
      </c>
      <c r="C453" s="64" t="s">
        <v>842</v>
      </c>
      <c r="D453" s="74">
        <v>500266</v>
      </c>
      <c r="E453" s="208" t="s">
        <v>173</v>
      </c>
      <c r="F453" s="208" t="s">
        <v>212</v>
      </c>
      <c r="G453" s="208" t="s">
        <v>21</v>
      </c>
      <c r="H453" s="209" t="s">
        <v>191</v>
      </c>
      <c r="I453" s="210">
        <v>7</v>
      </c>
    </row>
    <row r="454" spans="1:9" x14ac:dyDescent="0.25">
      <c r="A454" s="74" t="s">
        <v>2602</v>
      </c>
      <c r="B454" s="45" t="s">
        <v>23</v>
      </c>
      <c r="C454" s="45" t="s">
        <v>23</v>
      </c>
      <c r="D454" s="74">
        <v>500266</v>
      </c>
      <c r="E454" s="208" t="s">
        <v>173</v>
      </c>
      <c r="F454" s="208" t="s">
        <v>212</v>
      </c>
      <c r="G454" s="208" t="s">
        <v>21</v>
      </c>
      <c r="H454" s="209" t="s">
        <v>191</v>
      </c>
      <c r="I454" s="210">
        <v>7</v>
      </c>
    </row>
    <row r="455" spans="1:9" x14ac:dyDescent="0.25">
      <c r="A455" s="74" t="s">
        <v>2603</v>
      </c>
      <c r="B455" s="45">
        <v>431</v>
      </c>
      <c r="C455" s="45" t="s">
        <v>843</v>
      </c>
      <c r="D455" s="74">
        <v>500267</v>
      </c>
      <c r="E455" s="208" t="s">
        <v>173</v>
      </c>
      <c r="F455" s="208" t="s">
        <v>212</v>
      </c>
      <c r="G455" s="208" t="s">
        <v>21</v>
      </c>
      <c r="H455" s="209" t="s">
        <v>192</v>
      </c>
      <c r="I455" s="210">
        <v>7</v>
      </c>
    </row>
    <row r="456" spans="1:9" x14ac:dyDescent="0.25">
      <c r="A456" s="74" t="s">
        <v>2604</v>
      </c>
      <c r="B456" s="45">
        <v>432</v>
      </c>
      <c r="C456" s="64" t="s">
        <v>844</v>
      </c>
      <c r="D456" s="74">
        <v>500268</v>
      </c>
      <c r="E456" s="208" t="s">
        <v>173</v>
      </c>
      <c r="F456" s="208" t="s">
        <v>212</v>
      </c>
      <c r="G456" s="208" t="s">
        <v>213</v>
      </c>
      <c r="H456" s="209" t="s">
        <v>192</v>
      </c>
      <c r="I456" s="210">
        <v>7</v>
      </c>
    </row>
    <row r="457" spans="1:9" x14ac:dyDescent="0.25">
      <c r="A457" s="74" t="s">
        <v>2605</v>
      </c>
      <c r="B457" s="45">
        <v>433</v>
      </c>
      <c r="C457" s="64" t="s">
        <v>845</v>
      </c>
      <c r="D457" s="74">
        <v>500270</v>
      </c>
      <c r="E457" s="208" t="s">
        <v>173</v>
      </c>
      <c r="F457" s="208" t="s">
        <v>212</v>
      </c>
      <c r="G457" s="208" t="s">
        <v>21</v>
      </c>
      <c r="H457" s="209" t="s">
        <v>186</v>
      </c>
      <c r="I457" s="210">
        <v>5</v>
      </c>
    </row>
    <row r="458" spans="1:9" x14ac:dyDescent="0.25">
      <c r="A458" s="74" t="s">
        <v>2606</v>
      </c>
      <c r="B458" s="45">
        <v>434</v>
      </c>
      <c r="C458" s="64" t="s">
        <v>846</v>
      </c>
      <c r="D458" s="74">
        <v>500271</v>
      </c>
      <c r="E458" s="208" t="s">
        <v>173</v>
      </c>
      <c r="F458" s="208" t="s">
        <v>212</v>
      </c>
      <c r="G458" s="208" t="s">
        <v>213</v>
      </c>
      <c r="H458" s="209" t="s">
        <v>192</v>
      </c>
      <c r="I458" s="210">
        <v>7</v>
      </c>
    </row>
    <row r="459" spans="1:9" x14ac:dyDescent="0.25">
      <c r="A459" s="74" t="s">
        <v>2607</v>
      </c>
      <c r="B459" s="45">
        <v>435</v>
      </c>
      <c r="C459" s="64" t="s">
        <v>847</v>
      </c>
      <c r="D459" s="74">
        <v>500272</v>
      </c>
      <c r="E459" s="208" t="s">
        <v>173</v>
      </c>
      <c r="F459" s="208" t="s">
        <v>212</v>
      </c>
      <c r="G459" s="208" t="s">
        <v>213</v>
      </c>
      <c r="H459" s="209" t="s">
        <v>191</v>
      </c>
      <c r="I459" s="210">
        <v>7</v>
      </c>
    </row>
    <row r="460" spans="1:9" x14ac:dyDescent="0.25">
      <c r="A460" s="74" t="s">
        <v>2608</v>
      </c>
      <c r="B460" s="45">
        <v>436</v>
      </c>
      <c r="C460" s="64" t="s">
        <v>848</v>
      </c>
      <c r="D460" s="74">
        <v>500272</v>
      </c>
      <c r="E460" s="208" t="s">
        <v>173</v>
      </c>
      <c r="F460" s="208" t="s">
        <v>212</v>
      </c>
      <c r="G460" s="208" t="s">
        <v>213</v>
      </c>
      <c r="H460" s="209" t="s">
        <v>191</v>
      </c>
      <c r="I460" s="210">
        <v>7</v>
      </c>
    </row>
    <row r="461" spans="1:9" x14ac:dyDescent="0.25">
      <c r="A461" s="74" t="s">
        <v>2609</v>
      </c>
      <c r="B461" s="45">
        <v>437</v>
      </c>
      <c r="C461" s="64" t="s">
        <v>849</v>
      </c>
      <c r="D461" s="74">
        <v>500273</v>
      </c>
      <c r="E461" s="208" t="s">
        <v>173</v>
      </c>
      <c r="F461" s="208" t="s">
        <v>212</v>
      </c>
      <c r="G461" s="208" t="s">
        <v>213</v>
      </c>
      <c r="H461" s="209" t="s">
        <v>191</v>
      </c>
      <c r="I461" s="210">
        <v>7</v>
      </c>
    </row>
    <row r="462" spans="1:9" x14ac:dyDescent="0.25">
      <c r="A462" s="74" t="s">
        <v>2610</v>
      </c>
      <c r="B462" s="45">
        <v>438</v>
      </c>
      <c r="C462" s="64" t="s">
        <v>850</v>
      </c>
      <c r="D462" s="74">
        <v>500273</v>
      </c>
      <c r="E462" s="208" t="s">
        <v>173</v>
      </c>
      <c r="F462" s="208" t="s">
        <v>212</v>
      </c>
      <c r="G462" s="208" t="s">
        <v>213</v>
      </c>
      <c r="H462" s="209" t="s">
        <v>191</v>
      </c>
      <c r="I462" s="210">
        <v>7</v>
      </c>
    </row>
    <row r="463" spans="1:9" x14ac:dyDescent="0.25">
      <c r="A463" s="74" t="s">
        <v>2611</v>
      </c>
      <c r="B463" s="45">
        <v>439</v>
      </c>
      <c r="C463" s="64" t="s">
        <v>851</v>
      </c>
      <c r="D463" s="74">
        <v>500273</v>
      </c>
      <c r="E463" s="208" t="s">
        <v>173</v>
      </c>
      <c r="F463" s="208" t="s">
        <v>212</v>
      </c>
      <c r="G463" s="208" t="s">
        <v>213</v>
      </c>
      <c r="H463" s="209" t="s">
        <v>191</v>
      </c>
      <c r="I463" s="210">
        <v>7</v>
      </c>
    </row>
    <row r="464" spans="1:9" x14ac:dyDescent="0.25">
      <c r="A464" s="74" t="s">
        <v>2612</v>
      </c>
      <c r="B464" s="45">
        <v>440</v>
      </c>
      <c r="C464" s="64" t="s">
        <v>852</v>
      </c>
      <c r="D464" s="74">
        <v>500273</v>
      </c>
      <c r="E464" s="208" t="s">
        <v>173</v>
      </c>
      <c r="F464" s="208" t="s">
        <v>212</v>
      </c>
      <c r="G464" s="208" t="s">
        <v>213</v>
      </c>
      <c r="H464" s="209" t="s">
        <v>191</v>
      </c>
      <c r="I464" s="210">
        <v>7</v>
      </c>
    </row>
    <row r="465" spans="1:9" x14ac:dyDescent="0.25">
      <c r="A465" s="74" t="s">
        <v>2613</v>
      </c>
      <c r="B465" s="45">
        <v>441</v>
      </c>
      <c r="C465" s="64" t="s">
        <v>853</v>
      </c>
      <c r="D465" s="74">
        <v>500274</v>
      </c>
      <c r="E465" s="208" t="s">
        <v>173</v>
      </c>
      <c r="F465" s="208" t="s">
        <v>212</v>
      </c>
      <c r="G465" s="208" t="s">
        <v>213</v>
      </c>
      <c r="H465" s="209" t="s">
        <v>191</v>
      </c>
      <c r="I465" s="210">
        <v>7</v>
      </c>
    </row>
    <row r="466" spans="1:9" x14ac:dyDescent="0.25">
      <c r="A466" s="74" t="s">
        <v>2614</v>
      </c>
      <c r="B466" s="45">
        <v>442</v>
      </c>
      <c r="C466" s="64" t="s">
        <v>854</v>
      </c>
      <c r="D466" s="74">
        <v>500274</v>
      </c>
      <c r="E466" s="208" t="s">
        <v>173</v>
      </c>
      <c r="F466" s="208" t="s">
        <v>212</v>
      </c>
      <c r="G466" s="208" t="s">
        <v>213</v>
      </c>
      <c r="H466" s="209" t="s">
        <v>191</v>
      </c>
      <c r="I466" s="210">
        <v>7</v>
      </c>
    </row>
    <row r="467" spans="1:9" x14ac:dyDescent="0.25">
      <c r="A467" s="74" t="s">
        <v>2615</v>
      </c>
      <c r="B467" s="45">
        <v>443</v>
      </c>
      <c r="C467" s="64" t="s">
        <v>855</v>
      </c>
      <c r="D467" s="74">
        <v>500274</v>
      </c>
      <c r="E467" s="208" t="s">
        <v>173</v>
      </c>
      <c r="F467" s="208" t="s">
        <v>212</v>
      </c>
      <c r="G467" s="208" t="s">
        <v>213</v>
      </c>
      <c r="H467" s="209" t="s">
        <v>191</v>
      </c>
      <c r="I467" s="210">
        <v>7</v>
      </c>
    </row>
    <row r="468" spans="1:9" x14ac:dyDescent="0.25">
      <c r="A468" s="74" t="s">
        <v>2616</v>
      </c>
      <c r="B468" s="45">
        <v>444</v>
      </c>
      <c r="C468" s="64" t="s">
        <v>856</v>
      </c>
      <c r="D468" s="74">
        <v>500275</v>
      </c>
      <c r="E468" s="208" t="s">
        <v>173</v>
      </c>
      <c r="F468" s="208" t="s">
        <v>212</v>
      </c>
      <c r="G468" s="208" t="s">
        <v>213</v>
      </c>
      <c r="H468" s="209" t="s">
        <v>192</v>
      </c>
      <c r="I468" s="210">
        <v>7</v>
      </c>
    </row>
    <row r="469" spans="1:9" x14ac:dyDescent="0.25">
      <c r="A469" s="74" t="s">
        <v>2617</v>
      </c>
      <c r="B469" s="45" t="s">
        <v>23</v>
      </c>
      <c r="C469" s="64" t="s">
        <v>23</v>
      </c>
      <c r="D469" s="74">
        <v>500276</v>
      </c>
      <c r="E469" s="208" t="s">
        <v>173</v>
      </c>
      <c r="F469" s="208" t="s">
        <v>212</v>
      </c>
      <c r="G469" s="208" t="s">
        <v>213</v>
      </c>
      <c r="H469" s="209" t="s">
        <v>192</v>
      </c>
      <c r="I469" s="210">
        <v>7</v>
      </c>
    </row>
    <row r="470" spans="1:9" x14ac:dyDescent="0.25">
      <c r="A470" s="74" t="s">
        <v>2618</v>
      </c>
      <c r="B470" s="45">
        <v>445</v>
      </c>
      <c r="C470" s="64" t="s">
        <v>857</v>
      </c>
      <c r="D470" s="74">
        <v>500277</v>
      </c>
      <c r="E470" s="208" t="s">
        <v>173</v>
      </c>
      <c r="F470" s="208" t="s">
        <v>212</v>
      </c>
      <c r="G470" s="208" t="s">
        <v>213</v>
      </c>
      <c r="H470" s="209" t="s">
        <v>192</v>
      </c>
      <c r="I470" s="210">
        <v>7</v>
      </c>
    </row>
    <row r="471" spans="1:9" x14ac:dyDescent="0.25">
      <c r="A471" s="74" t="s">
        <v>2619</v>
      </c>
      <c r="B471" s="45">
        <v>446</v>
      </c>
      <c r="C471" s="64" t="s">
        <v>858</v>
      </c>
      <c r="D471" s="74">
        <v>500278</v>
      </c>
      <c r="E471" s="208" t="s">
        <v>173</v>
      </c>
      <c r="F471" s="208" t="s">
        <v>212</v>
      </c>
      <c r="G471" s="208" t="s">
        <v>213</v>
      </c>
      <c r="H471" s="209" t="s">
        <v>192</v>
      </c>
      <c r="I471" s="210">
        <v>7</v>
      </c>
    </row>
    <row r="472" spans="1:9" x14ac:dyDescent="0.25">
      <c r="A472" s="74" t="s">
        <v>2620</v>
      </c>
      <c r="B472" s="45">
        <v>447</v>
      </c>
      <c r="C472" s="64" t="s">
        <v>859</v>
      </c>
      <c r="D472" s="74">
        <v>500279</v>
      </c>
      <c r="E472" s="208" t="s">
        <v>173</v>
      </c>
      <c r="F472" s="208" t="s">
        <v>212</v>
      </c>
      <c r="G472" s="208" t="s">
        <v>213</v>
      </c>
      <c r="H472" s="209" t="s">
        <v>191</v>
      </c>
      <c r="I472" s="210">
        <v>7</v>
      </c>
    </row>
    <row r="473" spans="1:9" x14ac:dyDescent="0.25">
      <c r="A473" s="74" t="s">
        <v>2621</v>
      </c>
      <c r="B473" s="45">
        <v>448</v>
      </c>
      <c r="C473" s="64" t="s">
        <v>860</v>
      </c>
      <c r="D473" s="74">
        <v>500279</v>
      </c>
      <c r="E473" s="208" t="s">
        <v>173</v>
      </c>
      <c r="F473" s="208" t="s">
        <v>212</v>
      </c>
      <c r="G473" s="208" t="s">
        <v>213</v>
      </c>
      <c r="H473" s="209" t="s">
        <v>191</v>
      </c>
      <c r="I473" s="210">
        <v>7</v>
      </c>
    </row>
    <row r="474" spans="1:9" x14ac:dyDescent="0.25">
      <c r="A474" s="74" t="s">
        <v>2622</v>
      </c>
      <c r="B474" s="45">
        <v>449</v>
      </c>
      <c r="C474" s="64" t="s">
        <v>861</v>
      </c>
      <c r="D474" s="74">
        <v>500279</v>
      </c>
      <c r="E474" s="208" t="s">
        <v>173</v>
      </c>
      <c r="F474" s="208" t="s">
        <v>212</v>
      </c>
      <c r="G474" s="208" t="s">
        <v>213</v>
      </c>
      <c r="H474" s="209" t="s">
        <v>191</v>
      </c>
      <c r="I474" s="210">
        <v>7</v>
      </c>
    </row>
    <row r="475" spans="1:9" x14ac:dyDescent="0.25">
      <c r="A475" s="74" t="s">
        <v>2623</v>
      </c>
      <c r="B475" s="45">
        <v>450</v>
      </c>
      <c r="C475" s="64" t="s">
        <v>862</v>
      </c>
      <c r="D475" s="74">
        <v>500551</v>
      </c>
      <c r="E475" s="208" t="s">
        <v>128</v>
      </c>
      <c r="F475" s="208" t="s">
        <v>219</v>
      </c>
      <c r="G475" s="208" t="s">
        <v>21</v>
      </c>
      <c r="H475" s="209" t="s">
        <v>181</v>
      </c>
      <c r="I475" s="210">
        <v>3</v>
      </c>
    </row>
    <row r="476" spans="1:9" x14ac:dyDescent="0.25">
      <c r="A476" s="74" t="s">
        <v>2624</v>
      </c>
      <c r="B476" s="45">
        <v>451</v>
      </c>
      <c r="C476" s="64" t="s">
        <v>863</v>
      </c>
      <c r="D476" s="74">
        <v>500274</v>
      </c>
      <c r="E476" s="208" t="s">
        <v>173</v>
      </c>
      <c r="F476" s="208" t="s">
        <v>212</v>
      </c>
      <c r="G476" s="208" t="s">
        <v>213</v>
      </c>
      <c r="H476" s="209" t="s">
        <v>191</v>
      </c>
      <c r="I476" s="210">
        <v>7</v>
      </c>
    </row>
    <row r="477" spans="1:9" x14ac:dyDescent="0.25">
      <c r="A477" s="74" t="s">
        <v>2625</v>
      </c>
      <c r="B477" s="45">
        <v>452</v>
      </c>
      <c r="C477" s="64" t="s">
        <v>864</v>
      </c>
      <c r="D477" s="74">
        <v>500279</v>
      </c>
      <c r="E477" s="208" t="s">
        <v>173</v>
      </c>
      <c r="F477" s="208" t="s">
        <v>212</v>
      </c>
      <c r="G477" s="208" t="s">
        <v>213</v>
      </c>
      <c r="H477" s="209" t="s">
        <v>191</v>
      </c>
      <c r="I477" s="210">
        <v>7</v>
      </c>
    </row>
    <row r="478" spans="1:9" x14ac:dyDescent="0.25">
      <c r="A478" s="74" t="s">
        <v>2626</v>
      </c>
      <c r="B478" s="45">
        <v>453</v>
      </c>
      <c r="C478" s="64" t="s">
        <v>865</v>
      </c>
      <c r="D478" s="74">
        <v>500581</v>
      </c>
      <c r="E478" s="208" t="s">
        <v>170</v>
      </c>
      <c r="F478" s="208" t="s">
        <v>216</v>
      </c>
      <c r="G478" s="208" t="s">
        <v>21</v>
      </c>
      <c r="H478" s="209" t="s">
        <v>198</v>
      </c>
      <c r="I478" s="210">
        <v>6</v>
      </c>
    </row>
    <row r="479" spans="1:9" x14ac:dyDescent="0.25">
      <c r="A479" s="74" t="s">
        <v>2627</v>
      </c>
      <c r="B479" s="45">
        <v>454</v>
      </c>
      <c r="C479" s="64" t="s">
        <v>866</v>
      </c>
      <c r="D479" s="74">
        <v>500583</v>
      </c>
      <c r="E479" s="208" t="s">
        <v>170</v>
      </c>
      <c r="F479" s="208" t="s">
        <v>216</v>
      </c>
      <c r="G479" s="208" t="s">
        <v>21</v>
      </c>
      <c r="H479" s="209" t="s">
        <v>192</v>
      </c>
      <c r="I479" s="210">
        <v>7</v>
      </c>
    </row>
    <row r="480" spans="1:9" x14ac:dyDescent="0.25">
      <c r="A480" s="74" t="s">
        <v>2628</v>
      </c>
      <c r="B480" s="45">
        <v>455</v>
      </c>
      <c r="C480" s="64" t="s">
        <v>867</v>
      </c>
      <c r="D480" s="74">
        <v>500582</v>
      </c>
      <c r="E480" s="208" t="s">
        <v>170</v>
      </c>
      <c r="F480" s="208" t="s">
        <v>216</v>
      </c>
      <c r="G480" s="208" t="s">
        <v>21</v>
      </c>
      <c r="H480" s="209" t="s">
        <v>192</v>
      </c>
      <c r="I480" s="210">
        <v>7</v>
      </c>
    </row>
    <row r="481" spans="1:9" x14ac:dyDescent="0.25">
      <c r="A481" s="74" t="s">
        <v>2629</v>
      </c>
      <c r="B481" s="45">
        <v>456</v>
      </c>
      <c r="C481" s="64" t="s">
        <v>868</v>
      </c>
      <c r="D481" s="74">
        <v>500614</v>
      </c>
      <c r="E481" s="208" t="s">
        <v>160</v>
      </c>
      <c r="F481" s="208" t="s">
        <v>217</v>
      </c>
      <c r="G481" s="208" t="s">
        <v>218</v>
      </c>
      <c r="H481" s="209" t="s">
        <v>191</v>
      </c>
      <c r="I481" s="210">
        <v>7</v>
      </c>
    </row>
    <row r="482" spans="1:9" x14ac:dyDescent="0.25">
      <c r="A482" s="74" t="s">
        <v>2630</v>
      </c>
      <c r="B482" s="45">
        <v>457</v>
      </c>
      <c r="C482" s="64" t="s">
        <v>869</v>
      </c>
      <c r="D482" s="74">
        <v>500614</v>
      </c>
      <c r="E482" s="208" t="s">
        <v>160</v>
      </c>
      <c r="F482" s="208" t="s">
        <v>217</v>
      </c>
      <c r="G482" s="208" t="s">
        <v>218</v>
      </c>
      <c r="H482" s="209" t="s">
        <v>191</v>
      </c>
      <c r="I482" s="210">
        <v>7</v>
      </c>
    </row>
    <row r="483" spans="1:9" x14ac:dyDescent="0.25">
      <c r="A483" s="74" t="s">
        <v>2631</v>
      </c>
      <c r="B483" s="45">
        <v>458</v>
      </c>
      <c r="C483" s="64" t="s">
        <v>870</v>
      </c>
      <c r="D483" s="74">
        <v>500614</v>
      </c>
      <c r="E483" s="208" t="s">
        <v>160</v>
      </c>
      <c r="F483" s="208" t="s">
        <v>217</v>
      </c>
      <c r="G483" s="208" t="s">
        <v>218</v>
      </c>
      <c r="H483" s="209" t="s">
        <v>191</v>
      </c>
      <c r="I483" s="210">
        <v>7</v>
      </c>
    </row>
    <row r="484" spans="1:9" x14ac:dyDescent="0.25">
      <c r="A484" s="74" t="s">
        <v>2632</v>
      </c>
      <c r="B484" s="45">
        <v>459</v>
      </c>
      <c r="C484" s="64" t="s">
        <v>871</v>
      </c>
      <c r="D484" s="74">
        <v>500614</v>
      </c>
      <c r="E484" s="208" t="s">
        <v>160</v>
      </c>
      <c r="F484" s="208" t="s">
        <v>217</v>
      </c>
      <c r="G484" s="208" t="s">
        <v>218</v>
      </c>
      <c r="H484" s="209" t="s">
        <v>191</v>
      </c>
      <c r="I484" s="210">
        <v>7</v>
      </c>
    </row>
    <row r="485" spans="1:9" x14ac:dyDescent="0.25">
      <c r="A485" s="74" t="s">
        <v>2633</v>
      </c>
      <c r="B485" s="45">
        <v>460</v>
      </c>
      <c r="C485" s="64" t="s">
        <v>872</v>
      </c>
      <c r="D485" s="74">
        <v>500636</v>
      </c>
      <c r="E485" s="208" t="s">
        <v>169</v>
      </c>
      <c r="F485" s="208" t="s">
        <v>220</v>
      </c>
      <c r="G485" s="208" t="s">
        <v>221</v>
      </c>
      <c r="H485" s="209" t="s">
        <v>192</v>
      </c>
      <c r="I485" s="210">
        <v>7</v>
      </c>
    </row>
    <row r="486" spans="1:9" x14ac:dyDescent="0.25">
      <c r="A486" s="74" t="s">
        <v>2634</v>
      </c>
      <c r="B486" s="45">
        <v>461</v>
      </c>
      <c r="C486" s="64" t="s">
        <v>873</v>
      </c>
      <c r="D486" s="74">
        <v>500712</v>
      </c>
      <c r="E486" s="208" t="s">
        <v>169</v>
      </c>
      <c r="F486" s="208" t="s">
        <v>220</v>
      </c>
      <c r="G486" s="208" t="s">
        <v>221</v>
      </c>
      <c r="H486" s="209" t="s">
        <v>192</v>
      </c>
      <c r="I486" s="210">
        <v>7</v>
      </c>
    </row>
    <row r="487" spans="1:9" x14ac:dyDescent="0.25">
      <c r="A487" s="74" t="s">
        <v>2635</v>
      </c>
      <c r="B487" s="45">
        <v>462</v>
      </c>
      <c r="C487" s="45" t="s">
        <v>874</v>
      </c>
      <c r="D487" s="74">
        <v>500713</v>
      </c>
      <c r="E487" s="208" t="s">
        <v>128</v>
      </c>
      <c r="F487" s="208" t="s">
        <v>21</v>
      </c>
      <c r="G487" s="208" t="s">
        <v>21</v>
      </c>
      <c r="H487" s="209" t="s">
        <v>180</v>
      </c>
      <c r="I487" s="210">
        <v>4</v>
      </c>
    </row>
    <row r="488" spans="1:9" x14ac:dyDescent="0.25">
      <c r="A488" s="74" t="s">
        <v>2636</v>
      </c>
      <c r="B488" s="45">
        <v>463</v>
      </c>
      <c r="C488" s="45" t="s">
        <v>875</v>
      </c>
      <c r="D488" s="74">
        <v>500722</v>
      </c>
      <c r="E488" s="208" t="s">
        <v>128</v>
      </c>
      <c r="F488" s="208" t="s">
        <v>21</v>
      </c>
      <c r="G488" s="208" t="s">
        <v>21</v>
      </c>
      <c r="H488" s="209" t="s">
        <v>180</v>
      </c>
      <c r="I488" s="210">
        <v>4</v>
      </c>
    </row>
    <row r="489" spans="1:9" x14ac:dyDescent="0.25">
      <c r="A489" s="74" t="s">
        <v>2637</v>
      </c>
      <c r="B489" s="45">
        <v>464</v>
      </c>
      <c r="C489" s="64" t="s">
        <v>876</v>
      </c>
      <c r="D489" s="74">
        <v>500724</v>
      </c>
      <c r="E489" s="208" t="s">
        <v>161</v>
      </c>
      <c r="F489" s="208" t="s">
        <v>214</v>
      </c>
      <c r="G489" s="208" t="s">
        <v>21</v>
      </c>
      <c r="H489" s="209" t="s">
        <v>187</v>
      </c>
      <c r="I489" s="210">
        <v>5</v>
      </c>
    </row>
    <row r="490" spans="1:9" x14ac:dyDescent="0.25">
      <c r="A490" s="74" t="s">
        <v>2638</v>
      </c>
      <c r="B490" s="45">
        <v>465</v>
      </c>
      <c r="C490" s="64" t="s">
        <v>877</v>
      </c>
      <c r="D490" s="74">
        <v>500725</v>
      </c>
      <c r="E490" s="208" t="s">
        <v>160</v>
      </c>
      <c r="F490" s="208" t="s">
        <v>217</v>
      </c>
      <c r="G490" s="208" t="s">
        <v>21</v>
      </c>
      <c r="H490" s="209" t="s">
        <v>187</v>
      </c>
      <c r="I490" s="210">
        <v>5</v>
      </c>
    </row>
    <row r="491" spans="1:9" x14ac:dyDescent="0.25">
      <c r="A491" s="74" t="s">
        <v>2639</v>
      </c>
      <c r="B491" s="45">
        <v>466</v>
      </c>
      <c r="C491" s="64" t="s">
        <v>878</v>
      </c>
      <c r="D491" s="74">
        <v>500726</v>
      </c>
      <c r="E491" s="208" t="s">
        <v>173</v>
      </c>
      <c r="F491" s="208" t="s">
        <v>212</v>
      </c>
      <c r="G491" s="208" t="s">
        <v>21</v>
      </c>
      <c r="H491" s="209" t="s">
        <v>187</v>
      </c>
      <c r="I491" s="210">
        <v>5</v>
      </c>
    </row>
    <row r="492" spans="1:9" x14ac:dyDescent="0.25">
      <c r="A492" s="74" t="s">
        <v>2640</v>
      </c>
      <c r="B492" s="45">
        <v>467</v>
      </c>
      <c r="C492" s="63" t="s">
        <v>879</v>
      </c>
      <c r="D492" s="74">
        <v>500004</v>
      </c>
      <c r="E492" s="208" t="s">
        <v>177</v>
      </c>
      <c r="F492" s="208" t="s">
        <v>222</v>
      </c>
      <c r="G492" s="208" t="s">
        <v>21</v>
      </c>
      <c r="H492" s="209" t="s">
        <v>183</v>
      </c>
      <c r="I492" s="210">
        <v>5</v>
      </c>
    </row>
    <row r="493" spans="1:9" x14ac:dyDescent="0.25">
      <c r="A493" s="74" t="s">
        <v>2641</v>
      </c>
      <c r="B493" s="45">
        <v>468</v>
      </c>
      <c r="C493" s="63" t="s">
        <v>880</v>
      </c>
      <c r="D493" s="74">
        <v>500122</v>
      </c>
      <c r="E493" s="208" t="s">
        <v>156</v>
      </c>
      <c r="F493" s="208" t="s">
        <v>223</v>
      </c>
      <c r="G493" s="208" t="s">
        <v>21</v>
      </c>
      <c r="H493" s="209" t="s">
        <v>192</v>
      </c>
      <c r="I493" s="210">
        <v>7</v>
      </c>
    </row>
    <row r="494" spans="1:9" x14ac:dyDescent="0.25">
      <c r="A494" s="74" t="s">
        <v>2642</v>
      </c>
      <c r="B494" s="45">
        <v>469</v>
      </c>
      <c r="C494" s="63" t="s">
        <v>881</v>
      </c>
      <c r="D494" s="74">
        <v>500138</v>
      </c>
      <c r="E494" s="208" t="s">
        <v>144</v>
      </c>
      <c r="F494" s="208" t="s">
        <v>224</v>
      </c>
      <c r="G494" s="208" t="s">
        <v>21</v>
      </c>
      <c r="H494" s="209" t="s">
        <v>187</v>
      </c>
      <c r="I494" s="210">
        <v>6</v>
      </c>
    </row>
    <row r="495" spans="1:9" x14ac:dyDescent="0.25">
      <c r="A495" s="74" t="s">
        <v>2643</v>
      </c>
      <c r="B495" s="45">
        <v>470</v>
      </c>
      <c r="C495" s="63" t="s">
        <v>882</v>
      </c>
      <c r="D495" s="74">
        <v>500139</v>
      </c>
      <c r="E495" s="208" t="s">
        <v>144</v>
      </c>
      <c r="F495" s="208" t="s">
        <v>21</v>
      </c>
      <c r="G495" s="208" t="s">
        <v>21</v>
      </c>
      <c r="H495" s="209" t="s">
        <v>189</v>
      </c>
      <c r="I495" s="210">
        <v>6</v>
      </c>
    </row>
    <row r="496" spans="1:9" x14ac:dyDescent="0.25">
      <c r="A496" s="74" t="s">
        <v>2644</v>
      </c>
      <c r="B496" s="45">
        <v>471</v>
      </c>
      <c r="C496" s="63" t="s">
        <v>883</v>
      </c>
      <c r="D496" s="74">
        <v>500140</v>
      </c>
      <c r="E496" s="208" t="s">
        <v>144</v>
      </c>
      <c r="F496" s="208" t="s">
        <v>224</v>
      </c>
      <c r="G496" s="208" t="s">
        <v>21</v>
      </c>
      <c r="H496" s="209" t="s">
        <v>198</v>
      </c>
      <c r="I496" s="210">
        <v>6</v>
      </c>
    </row>
    <row r="497" spans="1:9" x14ac:dyDescent="0.25">
      <c r="A497" s="74" t="s">
        <v>2645</v>
      </c>
      <c r="B497" s="45">
        <v>472</v>
      </c>
      <c r="C497" s="63" t="s">
        <v>884</v>
      </c>
      <c r="D497" s="74">
        <v>500141</v>
      </c>
      <c r="E497" s="208" t="s">
        <v>144</v>
      </c>
      <c r="F497" s="208" t="s">
        <v>224</v>
      </c>
      <c r="G497" s="208" t="s">
        <v>21</v>
      </c>
      <c r="H497" s="209" t="s">
        <v>198</v>
      </c>
      <c r="I497" s="210">
        <v>6</v>
      </c>
    </row>
    <row r="498" spans="1:9" x14ac:dyDescent="0.25">
      <c r="A498" s="74" t="s">
        <v>2646</v>
      </c>
      <c r="B498" s="45">
        <v>473</v>
      </c>
      <c r="C498" s="63" t="s">
        <v>885</v>
      </c>
      <c r="D498" s="74">
        <v>500144</v>
      </c>
      <c r="E498" s="208" t="s">
        <v>144</v>
      </c>
      <c r="F498" s="208" t="s">
        <v>224</v>
      </c>
      <c r="G498" s="208" t="s">
        <v>21</v>
      </c>
      <c r="H498" s="209" t="s">
        <v>191</v>
      </c>
      <c r="I498" s="210">
        <v>7</v>
      </c>
    </row>
    <row r="499" spans="1:9" x14ac:dyDescent="0.25">
      <c r="A499" s="74" t="s">
        <v>2647</v>
      </c>
      <c r="B499" s="45">
        <v>474</v>
      </c>
      <c r="C499" s="45" t="s">
        <v>886</v>
      </c>
      <c r="D499" s="74">
        <v>500144</v>
      </c>
      <c r="E499" s="208" t="s">
        <v>144</v>
      </c>
      <c r="F499" s="208" t="s">
        <v>224</v>
      </c>
      <c r="G499" s="208" t="s">
        <v>21</v>
      </c>
      <c r="H499" s="209" t="s">
        <v>191</v>
      </c>
      <c r="I499" s="210">
        <v>7</v>
      </c>
    </row>
    <row r="500" spans="1:9" x14ac:dyDescent="0.25">
      <c r="A500" s="74" t="s">
        <v>2648</v>
      </c>
      <c r="B500" s="45">
        <v>475</v>
      </c>
      <c r="C500" s="64" t="s">
        <v>887</v>
      </c>
      <c r="D500" s="74">
        <v>500145</v>
      </c>
      <c r="E500" s="208" t="s">
        <v>144</v>
      </c>
      <c r="F500" s="208" t="s">
        <v>224</v>
      </c>
      <c r="G500" s="208" t="s">
        <v>21</v>
      </c>
      <c r="H500" s="209" t="s">
        <v>198</v>
      </c>
      <c r="I500" s="210">
        <v>6</v>
      </c>
    </row>
    <row r="501" spans="1:9" x14ac:dyDescent="0.25">
      <c r="A501" s="74" t="s">
        <v>2649</v>
      </c>
      <c r="B501" s="45">
        <v>476</v>
      </c>
      <c r="C501" s="63" t="s">
        <v>888</v>
      </c>
      <c r="D501" s="74">
        <v>500025</v>
      </c>
      <c r="E501" s="208" t="s">
        <v>146</v>
      </c>
      <c r="F501" s="208" t="s">
        <v>225</v>
      </c>
      <c r="G501" s="208" t="s">
        <v>21</v>
      </c>
      <c r="H501" s="209" t="s">
        <v>183</v>
      </c>
      <c r="I501" s="210">
        <v>4</v>
      </c>
    </row>
    <row r="502" spans="1:9" x14ac:dyDescent="0.25">
      <c r="A502" s="74" t="s">
        <v>2650</v>
      </c>
      <c r="B502" s="45">
        <v>477</v>
      </c>
      <c r="C502" s="63" t="s">
        <v>889</v>
      </c>
      <c r="D502" s="74">
        <v>500026</v>
      </c>
      <c r="E502" s="208" t="s">
        <v>163</v>
      </c>
      <c r="F502" s="208" t="s">
        <v>226</v>
      </c>
      <c r="G502" s="208" t="s">
        <v>21</v>
      </c>
      <c r="H502" s="209" t="s">
        <v>183</v>
      </c>
      <c r="I502" s="210">
        <v>5</v>
      </c>
    </row>
    <row r="503" spans="1:9" x14ac:dyDescent="0.25">
      <c r="A503" s="74" t="s">
        <v>2650</v>
      </c>
      <c r="B503" s="93">
        <v>477</v>
      </c>
      <c r="C503" s="63" t="s">
        <v>889</v>
      </c>
      <c r="D503" s="74">
        <v>500026</v>
      </c>
      <c r="E503" s="208" t="s">
        <v>163</v>
      </c>
      <c r="F503" s="208" t="s">
        <v>226</v>
      </c>
      <c r="G503" s="208" t="s">
        <v>21</v>
      </c>
      <c r="H503" s="209" t="s">
        <v>183</v>
      </c>
      <c r="I503" s="210">
        <v>5</v>
      </c>
    </row>
    <row r="504" spans="1:9" x14ac:dyDescent="0.25">
      <c r="A504" s="74" t="s">
        <v>2651</v>
      </c>
      <c r="B504" s="45">
        <v>479</v>
      </c>
      <c r="C504" s="63" t="s">
        <v>890</v>
      </c>
      <c r="D504" s="74">
        <v>500147</v>
      </c>
      <c r="E504" s="208" t="s">
        <v>146</v>
      </c>
      <c r="F504" s="208" t="s">
        <v>225</v>
      </c>
      <c r="G504" s="208" t="s">
        <v>21</v>
      </c>
      <c r="H504" s="209" t="s">
        <v>186</v>
      </c>
      <c r="I504" s="210">
        <v>5</v>
      </c>
    </row>
    <row r="505" spans="1:9" x14ac:dyDescent="0.25">
      <c r="A505" s="74" t="s">
        <v>2652</v>
      </c>
      <c r="B505" s="45">
        <v>480</v>
      </c>
      <c r="C505" s="63" t="s">
        <v>891</v>
      </c>
      <c r="D505" s="74">
        <v>500029</v>
      </c>
      <c r="E505" s="208" t="s">
        <v>165</v>
      </c>
      <c r="F505" s="208" t="s">
        <v>227</v>
      </c>
      <c r="G505" s="208" t="s">
        <v>21</v>
      </c>
      <c r="H505" s="209" t="s">
        <v>183</v>
      </c>
      <c r="I505" s="210">
        <v>4</v>
      </c>
    </row>
    <row r="506" spans="1:9" x14ac:dyDescent="0.25">
      <c r="A506" s="74" t="s">
        <v>2653</v>
      </c>
      <c r="B506" s="45">
        <v>481</v>
      </c>
      <c r="C506" s="63" t="s">
        <v>892</v>
      </c>
      <c r="D506" s="74">
        <v>500030</v>
      </c>
      <c r="E506" s="208" t="s">
        <v>167</v>
      </c>
      <c r="F506" s="208" t="s">
        <v>228</v>
      </c>
      <c r="G506" s="208" t="s">
        <v>21</v>
      </c>
      <c r="H506" s="209" t="s">
        <v>183</v>
      </c>
      <c r="I506" s="210">
        <v>4</v>
      </c>
    </row>
    <row r="507" spans="1:9" x14ac:dyDescent="0.25">
      <c r="A507" s="74" t="s">
        <v>2654</v>
      </c>
      <c r="B507" s="45">
        <v>482</v>
      </c>
      <c r="C507" s="64" t="s">
        <v>893</v>
      </c>
      <c r="D507" s="74">
        <v>500031</v>
      </c>
      <c r="E507" s="208" t="s">
        <v>166</v>
      </c>
      <c r="F507" s="208" t="s">
        <v>229</v>
      </c>
      <c r="G507" s="208" t="s">
        <v>21</v>
      </c>
      <c r="H507" s="209" t="s">
        <v>183</v>
      </c>
      <c r="I507" s="210">
        <v>4</v>
      </c>
    </row>
    <row r="508" spans="1:9" x14ac:dyDescent="0.25">
      <c r="A508" s="74" t="s">
        <v>2655</v>
      </c>
      <c r="B508" s="45">
        <v>483</v>
      </c>
      <c r="C508" s="63" t="s">
        <v>894</v>
      </c>
      <c r="D508" s="74">
        <v>500032</v>
      </c>
      <c r="E508" s="208" t="s">
        <v>144</v>
      </c>
      <c r="F508" s="208" t="s">
        <v>224</v>
      </c>
      <c r="G508" s="208" t="s">
        <v>21</v>
      </c>
      <c r="H508" s="209" t="s">
        <v>183</v>
      </c>
      <c r="I508" s="210">
        <v>5</v>
      </c>
    </row>
    <row r="509" spans="1:9" x14ac:dyDescent="0.25">
      <c r="A509" s="74" t="s">
        <v>2656</v>
      </c>
      <c r="B509" s="45">
        <v>484</v>
      </c>
      <c r="C509" s="63" t="s">
        <v>895</v>
      </c>
      <c r="D509" s="74">
        <v>500148</v>
      </c>
      <c r="E509" s="208" t="s">
        <v>146</v>
      </c>
      <c r="F509" s="208" t="s">
        <v>225</v>
      </c>
      <c r="G509" s="208" t="s">
        <v>21</v>
      </c>
      <c r="H509" s="209" t="s">
        <v>186</v>
      </c>
      <c r="I509" s="210">
        <v>5</v>
      </c>
    </row>
    <row r="510" spans="1:9" x14ac:dyDescent="0.25">
      <c r="A510" s="74" t="s">
        <v>2657</v>
      </c>
      <c r="B510" s="45">
        <v>485</v>
      </c>
      <c r="C510" s="64" t="s">
        <v>896</v>
      </c>
      <c r="D510" s="74">
        <v>500033</v>
      </c>
      <c r="E510" s="208" t="s">
        <v>141</v>
      </c>
      <c r="F510" s="208" t="s">
        <v>230</v>
      </c>
      <c r="G510" s="208" t="s">
        <v>21</v>
      </c>
      <c r="H510" s="209" t="s">
        <v>183</v>
      </c>
      <c r="I510" s="210">
        <v>5</v>
      </c>
    </row>
    <row r="511" spans="1:9" x14ac:dyDescent="0.25">
      <c r="A511" s="74" t="s">
        <v>2658</v>
      </c>
      <c r="B511" s="45">
        <v>486</v>
      </c>
      <c r="C511" s="64" t="s">
        <v>897</v>
      </c>
      <c r="D511" s="74">
        <v>500034</v>
      </c>
      <c r="E511" s="208" t="s">
        <v>140</v>
      </c>
      <c r="F511" s="208" t="s">
        <v>231</v>
      </c>
      <c r="G511" s="208" t="s">
        <v>21</v>
      </c>
      <c r="H511" s="209" t="s">
        <v>183</v>
      </c>
      <c r="I511" s="210">
        <v>5</v>
      </c>
    </row>
    <row r="512" spans="1:9" x14ac:dyDescent="0.25">
      <c r="A512" s="74" t="s">
        <v>2659</v>
      </c>
      <c r="B512" s="45">
        <v>487</v>
      </c>
      <c r="C512" s="63" t="s">
        <v>898</v>
      </c>
      <c r="D512" s="74">
        <v>500149</v>
      </c>
      <c r="E512" s="208" t="s">
        <v>146</v>
      </c>
      <c r="F512" s="208" t="s">
        <v>225</v>
      </c>
      <c r="G512" s="208" t="s">
        <v>21</v>
      </c>
      <c r="H512" s="209" t="s">
        <v>186</v>
      </c>
      <c r="I512" s="210">
        <v>5</v>
      </c>
    </row>
    <row r="513" spans="1:9" x14ac:dyDescent="0.25">
      <c r="A513" s="74" t="s">
        <v>2660</v>
      </c>
      <c r="B513" s="45">
        <v>488</v>
      </c>
      <c r="C513" s="63" t="s">
        <v>899</v>
      </c>
      <c r="D513" s="74">
        <v>500150</v>
      </c>
      <c r="E513" s="208" t="s">
        <v>156</v>
      </c>
      <c r="F513" s="208" t="s">
        <v>223</v>
      </c>
      <c r="G513" s="208" t="s">
        <v>21</v>
      </c>
      <c r="H513" s="209" t="s">
        <v>189</v>
      </c>
      <c r="I513" s="210">
        <v>6</v>
      </c>
    </row>
    <row r="514" spans="1:9" x14ac:dyDescent="0.25">
      <c r="A514" s="74" t="s">
        <v>2661</v>
      </c>
      <c r="B514" s="45">
        <v>489</v>
      </c>
      <c r="C514" s="63" t="s">
        <v>900</v>
      </c>
      <c r="D514" s="74">
        <v>500546</v>
      </c>
      <c r="E514" s="208" t="s">
        <v>131</v>
      </c>
      <c r="F514" s="208" t="s">
        <v>232</v>
      </c>
      <c r="G514" s="208" t="s">
        <v>21</v>
      </c>
      <c r="H514" s="209" t="s">
        <v>181</v>
      </c>
      <c r="I514" s="210">
        <v>3</v>
      </c>
    </row>
    <row r="515" spans="1:9" x14ac:dyDescent="0.25">
      <c r="A515" s="74" t="s">
        <v>2662</v>
      </c>
      <c r="B515" s="45">
        <v>490</v>
      </c>
      <c r="C515" s="63" t="s">
        <v>901</v>
      </c>
      <c r="D515" s="74">
        <v>500024</v>
      </c>
      <c r="E515" s="208" t="s">
        <v>156</v>
      </c>
      <c r="F515" s="208" t="s">
        <v>223</v>
      </c>
      <c r="G515" s="208" t="s">
        <v>21</v>
      </c>
      <c r="H515" s="209" t="s">
        <v>183</v>
      </c>
      <c r="I515" s="210">
        <v>5</v>
      </c>
    </row>
    <row r="516" spans="1:9" x14ac:dyDescent="0.25">
      <c r="A516" s="74" t="s">
        <v>2663</v>
      </c>
      <c r="B516" s="45">
        <v>491</v>
      </c>
      <c r="C516" s="63" t="s">
        <v>902</v>
      </c>
      <c r="D516" s="74">
        <v>500087</v>
      </c>
      <c r="E516" s="208" t="s">
        <v>145</v>
      </c>
      <c r="F516" s="208" t="s">
        <v>233</v>
      </c>
      <c r="G516" s="208" t="s">
        <v>21</v>
      </c>
      <c r="H516" s="209" t="s">
        <v>187</v>
      </c>
      <c r="I516" s="210">
        <v>5</v>
      </c>
    </row>
    <row r="517" spans="1:9" x14ac:dyDescent="0.25">
      <c r="A517" s="74" t="s">
        <v>2664</v>
      </c>
      <c r="B517" s="45">
        <v>492</v>
      </c>
      <c r="C517" s="63" t="s">
        <v>903</v>
      </c>
      <c r="D517" s="74">
        <v>500735</v>
      </c>
      <c r="E517" s="208" t="s">
        <v>145</v>
      </c>
      <c r="F517" s="208" t="s">
        <v>233</v>
      </c>
      <c r="G517" s="208" t="s">
        <v>21</v>
      </c>
      <c r="H517" s="209" t="s">
        <v>179</v>
      </c>
      <c r="I517" s="210">
        <v>4</v>
      </c>
    </row>
    <row r="518" spans="1:9" x14ac:dyDescent="0.25">
      <c r="A518" s="74" t="s">
        <v>2665</v>
      </c>
      <c r="B518" s="45">
        <v>494</v>
      </c>
      <c r="C518" s="64" t="s">
        <v>904</v>
      </c>
      <c r="D518" s="74">
        <v>500736</v>
      </c>
      <c r="E518" s="208" t="s">
        <v>145</v>
      </c>
      <c r="F518" s="208" t="s">
        <v>21</v>
      </c>
      <c r="G518" s="208" t="s">
        <v>21</v>
      </c>
      <c r="H518" s="209" t="s">
        <v>189</v>
      </c>
      <c r="I518" s="210">
        <v>6</v>
      </c>
    </row>
    <row r="519" spans="1:9" x14ac:dyDescent="0.25">
      <c r="A519" s="74" t="s">
        <v>2666</v>
      </c>
      <c r="B519" s="45">
        <v>495</v>
      </c>
      <c r="C519" s="64" t="s">
        <v>905</v>
      </c>
      <c r="D519" s="74">
        <v>500748</v>
      </c>
      <c r="E519" s="208" t="s">
        <v>145</v>
      </c>
      <c r="F519" s="208" t="s">
        <v>233</v>
      </c>
      <c r="G519" s="208" t="s">
        <v>21</v>
      </c>
      <c r="H519" s="209" t="s">
        <v>189</v>
      </c>
      <c r="I519" s="210">
        <v>6</v>
      </c>
    </row>
    <row r="520" spans="1:9" x14ac:dyDescent="0.25">
      <c r="A520" s="74" t="s">
        <v>2667</v>
      </c>
      <c r="B520" s="45">
        <v>496</v>
      </c>
      <c r="C520" s="64" t="s">
        <v>906</v>
      </c>
      <c r="D520" s="74">
        <v>500749</v>
      </c>
      <c r="E520" s="208" t="s">
        <v>145</v>
      </c>
      <c r="F520" s="208" t="s">
        <v>233</v>
      </c>
      <c r="G520" s="208" t="s">
        <v>21</v>
      </c>
      <c r="H520" s="209" t="s">
        <v>189</v>
      </c>
      <c r="I520" s="210">
        <v>6</v>
      </c>
    </row>
    <row r="521" spans="1:9" x14ac:dyDescent="0.25">
      <c r="A521" s="74" t="s">
        <v>2668</v>
      </c>
      <c r="B521" s="45">
        <v>497</v>
      </c>
      <c r="C521" s="64" t="s">
        <v>907</v>
      </c>
      <c r="D521" s="74">
        <v>500750</v>
      </c>
      <c r="E521" s="208" t="s">
        <v>145</v>
      </c>
      <c r="F521" s="208" t="s">
        <v>233</v>
      </c>
      <c r="G521" s="208" t="s">
        <v>21</v>
      </c>
      <c r="H521" s="209" t="s">
        <v>189</v>
      </c>
      <c r="I521" s="210">
        <v>6</v>
      </c>
    </row>
    <row r="522" spans="1:9" x14ac:dyDescent="0.25">
      <c r="A522" s="74" t="s">
        <v>2669</v>
      </c>
      <c r="B522" s="45">
        <v>498</v>
      </c>
      <c r="C522" s="64" t="s">
        <v>908</v>
      </c>
      <c r="D522" s="74">
        <v>500741</v>
      </c>
      <c r="E522" s="208" t="s">
        <v>145</v>
      </c>
      <c r="F522" s="208" t="s">
        <v>233</v>
      </c>
      <c r="G522" s="208" t="s">
        <v>21</v>
      </c>
      <c r="H522" s="209" t="s">
        <v>189</v>
      </c>
      <c r="I522" s="210">
        <v>6</v>
      </c>
    </row>
    <row r="523" spans="1:9" x14ac:dyDescent="0.25">
      <c r="A523" s="74" t="s">
        <v>2670</v>
      </c>
      <c r="B523" s="45">
        <v>499</v>
      </c>
      <c r="C523" s="63" t="s">
        <v>909</v>
      </c>
      <c r="D523" s="74">
        <v>500751</v>
      </c>
      <c r="E523" s="208" t="s">
        <v>145</v>
      </c>
      <c r="F523" s="208" t="s">
        <v>233</v>
      </c>
      <c r="G523" s="208" t="s">
        <v>21</v>
      </c>
      <c r="H523" s="209" t="s">
        <v>189</v>
      </c>
      <c r="I523" s="210">
        <v>6</v>
      </c>
    </row>
    <row r="524" spans="1:9" x14ac:dyDescent="0.25">
      <c r="A524" s="74" t="s">
        <v>2671</v>
      </c>
      <c r="B524" s="45">
        <v>500</v>
      </c>
      <c r="C524" s="63" t="s">
        <v>910</v>
      </c>
      <c r="D524" s="74">
        <v>500752</v>
      </c>
      <c r="E524" s="208" t="s">
        <v>145</v>
      </c>
      <c r="F524" s="208" t="s">
        <v>233</v>
      </c>
      <c r="G524" s="208" t="s">
        <v>21</v>
      </c>
      <c r="H524" s="209" t="s">
        <v>189</v>
      </c>
      <c r="I524" s="210">
        <v>6</v>
      </c>
    </row>
    <row r="525" spans="1:9" x14ac:dyDescent="0.25">
      <c r="A525" s="74" t="s">
        <v>2672</v>
      </c>
      <c r="B525" s="45">
        <v>501</v>
      </c>
      <c r="C525" s="63" t="s">
        <v>911</v>
      </c>
      <c r="D525" s="74">
        <v>500753</v>
      </c>
      <c r="E525" s="208" t="s">
        <v>145</v>
      </c>
      <c r="F525" s="208" t="s">
        <v>233</v>
      </c>
      <c r="G525" s="208" t="s">
        <v>21</v>
      </c>
      <c r="H525" s="209" t="s">
        <v>189</v>
      </c>
      <c r="I525" s="210">
        <v>6</v>
      </c>
    </row>
    <row r="526" spans="1:9" x14ac:dyDescent="0.25">
      <c r="A526" s="74" t="s">
        <v>2673</v>
      </c>
      <c r="B526" s="45">
        <v>502</v>
      </c>
      <c r="C526" s="63" t="s">
        <v>912</v>
      </c>
      <c r="D526" s="74">
        <v>500754</v>
      </c>
      <c r="E526" s="208" t="s">
        <v>145</v>
      </c>
      <c r="F526" s="208" t="s">
        <v>233</v>
      </c>
      <c r="G526" s="208" t="s">
        <v>21</v>
      </c>
      <c r="H526" s="209" t="s">
        <v>189</v>
      </c>
      <c r="I526" s="210">
        <v>6</v>
      </c>
    </row>
    <row r="527" spans="1:9" x14ac:dyDescent="0.25">
      <c r="A527" s="74" t="s">
        <v>2674</v>
      </c>
      <c r="B527" s="45">
        <v>503</v>
      </c>
      <c r="C527" s="63" t="s">
        <v>913</v>
      </c>
      <c r="D527" s="74">
        <v>500755</v>
      </c>
      <c r="E527" s="208" t="s">
        <v>145</v>
      </c>
      <c r="F527" s="208" t="s">
        <v>233</v>
      </c>
      <c r="G527" s="208" t="s">
        <v>21</v>
      </c>
      <c r="H527" s="209" t="s">
        <v>189</v>
      </c>
      <c r="I527" s="210">
        <v>6</v>
      </c>
    </row>
    <row r="528" spans="1:9" x14ac:dyDescent="0.25">
      <c r="A528" s="74" t="s">
        <v>2675</v>
      </c>
      <c r="B528" s="45">
        <v>504</v>
      </c>
      <c r="C528" s="63" t="s">
        <v>914</v>
      </c>
      <c r="D528" s="74">
        <v>500756</v>
      </c>
      <c r="E528" s="208" t="s">
        <v>145</v>
      </c>
      <c r="F528" s="208" t="s">
        <v>233</v>
      </c>
      <c r="G528" s="208" t="s">
        <v>234</v>
      </c>
      <c r="H528" s="209" t="s">
        <v>193</v>
      </c>
      <c r="I528" s="210">
        <v>6</v>
      </c>
    </row>
    <row r="529" spans="1:9" x14ac:dyDescent="0.25">
      <c r="A529" s="74" t="s">
        <v>2676</v>
      </c>
      <c r="B529" s="45">
        <v>505</v>
      </c>
      <c r="C529" s="64" t="s">
        <v>915</v>
      </c>
      <c r="D529" s="74">
        <v>500742</v>
      </c>
      <c r="E529" s="208" t="s">
        <v>145</v>
      </c>
      <c r="F529" s="208" t="s">
        <v>233</v>
      </c>
      <c r="G529" s="208" t="s">
        <v>21</v>
      </c>
      <c r="H529" s="209" t="s">
        <v>187</v>
      </c>
      <c r="I529" s="210">
        <v>5</v>
      </c>
    </row>
    <row r="530" spans="1:9" x14ac:dyDescent="0.25">
      <c r="A530" s="74" t="s">
        <v>2677</v>
      </c>
      <c r="B530" s="45">
        <v>506</v>
      </c>
      <c r="C530" s="63" t="s">
        <v>916</v>
      </c>
      <c r="D530" s="74">
        <v>500745</v>
      </c>
      <c r="E530" s="208" t="s">
        <v>145</v>
      </c>
      <c r="F530" s="208" t="s">
        <v>233</v>
      </c>
      <c r="G530" s="208" t="s">
        <v>234</v>
      </c>
      <c r="H530" s="209" t="s">
        <v>193</v>
      </c>
      <c r="I530" s="210">
        <v>6</v>
      </c>
    </row>
    <row r="531" spans="1:9" x14ac:dyDescent="0.25">
      <c r="A531" s="74" t="s">
        <v>2678</v>
      </c>
      <c r="B531" s="45">
        <v>507</v>
      </c>
      <c r="C531" s="63" t="s">
        <v>917</v>
      </c>
      <c r="D531" s="74">
        <v>500743</v>
      </c>
      <c r="E531" s="208" t="s">
        <v>145</v>
      </c>
      <c r="F531" s="208" t="s">
        <v>233</v>
      </c>
      <c r="G531" s="208" t="s">
        <v>234</v>
      </c>
      <c r="H531" s="209" t="s">
        <v>193</v>
      </c>
      <c r="I531" s="210">
        <v>6</v>
      </c>
    </row>
    <row r="532" spans="1:9" x14ac:dyDescent="0.25">
      <c r="A532" s="74" t="s">
        <v>2679</v>
      </c>
      <c r="B532" s="45">
        <v>508</v>
      </c>
      <c r="C532" s="63" t="s">
        <v>918</v>
      </c>
      <c r="D532" s="74">
        <v>500737</v>
      </c>
      <c r="E532" s="208" t="s">
        <v>145</v>
      </c>
      <c r="F532" s="208" t="s">
        <v>233</v>
      </c>
      <c r="G532" s="208" t="s">
        <v>234</v>
      </c>
      <c r="H532" s="209" t="s">
        <v>193</v>
      </c>
      <c r="I532" s="210">
        <v>6</v>
      </c>
    </row>
    <row r="533" spans="1:9" x14ac:dyDescent="0.25">
      <c r="A533" s="74" t="s">
        <v>2680</v>
      </c>
      <c r="B533" s="45">
        <v>509</v>
      </c>
      <c r="C533" s="63" t="s">
        <v>919</v>
      </c>
      <c r="D533" s="74">
        <v>500738</v>
      </c>
      <c r="E533" s="208" t="s">
        <v>145</v>
      </c>
      <c r="F533" s="208" t="s">
        <v>233</v>
      </c>
      <c r="G533" s="208" t="s">
        <v>234</v>
      </c>
      <c r="H533" s="209" t="s">
        <v>193</v>
      </c>
      <c r="I533" s="210">
        <v>6</v>
      </c>
    </row>
    <row r="534" spans="1:9" x14ac:dyDescent="0.25">
      <c r="A534" s="74" t="s">
        <v>2681</v>
      </c>
      <c r="B534" s="45">
        <v>510</v>
      </c>
      <c r="C534" s="63" t="s">
        <v>920</v>
      </c>
      <c r="D534" s="74">
        <v>500739</v>
      </c>
      <c r="E534" s="208" t="s">
        <v>145</v>
      </c>
      <c r="F534" s="208" t="s">
        <v>233</v>
      </c>
      <c r="G534" s="208" t="s">
        <v>234</v>
      </c>
      <c r="H534" s="209" t="s">
        <v>193</v>
      </c>
      <c r="I534" s="210">
        <v>6</v>
      </c>
    </row>
    <row r="535" spans="1:9" x14ac:dyDescent="0.25">
      <c r="A535" s="74" t="s">
        <v>2682</v>
      </c>
      <c r="B535" s="45">
        <v>511</v>
      </c>
      <c r="C535" s="63" t="s">
        <v>921</v>
      </c>
      <c r="D535" s="74">
        <v>500757</v>
      </c>
      <c r="E535" s="208" t="s">
        <v>145</v>
      </c>
      <c r="F535" s="208" t="s">
        <v>233</v>
      </c>
      <c r="G535" s="208" t="s">
        <v>21</v>
      </c>
      <c r="H535" s="209" t="s">
        <v>187</v>
      </c>
      <c r="I535" s="210">
        <v>5</v>
      </c>
    </row>
    <row r="536" spans="1:9" x14ac:dyDescent="0.25">
      <c r="A536" s="74" t="s">
        <v>2683</v>
      </c>
      <c r="B536" s="45">
        <v>512</v>
      </c>
      <c r="C536" s="63" t="s">
        <v>922</v>
      </c>
      <c r="D536" s="74">
        <v>500760</v>
      </c>
      <c r="E536" s="208" t="s">
        <v>145</v>
      </c>
      <c r="F536" s="208" t="s">
        <v>233</v>
      </c>
      <c r="G536" s="208" t="s">
        <v>234</v>
      </c>
      <c r="H536" s="209" t="s">
        <v>193</v>
      </c>
      <c r="I536" s="210">
        <v>6</v>
      </c>
    </row>
    <row r="537" spans="1:9" x14ac:dyDescent="0.25">
      <c r="A537" s="74" t="s">
        <v>2684</v>
      </c>
      <c r="B537" s="45">
        <v>513</v>
      </c>
      <c r="C537" s="63" t="s">
        <v>923</v>
      </c>
      <c r="D537" s="74">
        <v>500759</v>
      </c>
      <c r="E537" s="208" t="s">
        <v>145</v>
      </c>
      <c r="F537" s="208" t="s">
        <v>233</v>
      </c>
      <c r="G537" s="208" t="s">
        <v>234</v>
      </c>
      <c r="H537" s="209" t="s">
        <v>193</v>
      </c>
      <c r="I537" s="210">
        <v>6</v>
      </c>
    </row>
    <row r="538" spans="1:9" x14ac:dyDescent="0.25">
      <c r="A538" s="74" t="s">
        <v>2685</v>
      </c>
      <c r="B538" s="45">
        <v>514</v>
      </c>
      <c r="C538" s="63" t="s">
        <v>924</v>
      </c>
      <c r="D538" s="74">
        <v>500761</v>
      </c>
      <c r="E538" s="208" t="s">
        <v>145</v>
      </c>
      <c r="F538" s="208" t="s">
        <v>233</v>
      </c>
      <c r="G538" s="208" t="s">
        <v>234</v>
      </c>
      <c r="H538" s="209" t="s">
        <v>193</v>
      </c>
      <c r="I538" s="210">
        <v>6</v>
      </c>
    </row>
    <row r="539" spans="1:9" x14ac:dyDescent="0.25">
      <c r="A539" s="74" t="s">
        <v>2686</v>
      </c>
      <c r="B539" s="45">
        <v>515</v>
      </c>
      <c r="C539" s="63" t="s">
        <v>925</v>
      </c>
      <c r="D539" s="74">
        <v>500758</v>
      </c>
      <c r="E539" s="208" t="s">
        <v>145</v>
      </c>
      <c r="F539" s="208" t="s">
        <v>233</v>
      </c>
      <c r="G539" s="208" t="s">
        <v>234</v>
      </c>
      <c r="H539" s="209" t="s">
        <v>193</v>
      </c>
      <c r="I539" s="210">
        <v>7</v>
      </c>
    </row>
    <row r="540" spans="1:9" x14ac:dyDescent="0.25">
      <c r="A540" s="74" t="s">
        <v>2687</v>
      </c>
      <c r="B540" s="45">
        <v>516</v>
      </c>
      <c r="C540" s="63" t="s">
        <v>926</v>
      </c>
      <c r="D540" s="74">
        <v>500088</v>
      </c>
      <c r="E540" s="208" t="s">
        <v>163</v>
      </c>
      <c r="F540" s="208" t="s">
        <v>226</v>
      </c>
      <c r="G540" s="208" t="s">
        <v>21</v>
      </c>
      <c r="H540" s="209" t="s">
        <v>189</v>
      </c>
      <c r="I540" s="210">
        <v>6</v>
      </c>
    </row>
    <row r="541" spans="1:9" x14ac:dyDescent="0.25">
      <c r="A541" s="74" t="s">
        <v>2688</v>
      </c>
      <c r="B541" s="45">
        <v>517</v>
      </c>
      <c r="C541" s="63" t="s">
        <v>927</v>
      </c>
      <c r="D541" s="74">
        <v>500089</v>
      </c>
      <c r="E541" s="208" t="s">
        <v>163</v>
      </c>
      <c r="F541" s="208" t="s">
        <v>226</v>
      </c>
      <c r="G541" s="208" t="s">
        <v>21</v>
      </c>
      <c r="H541" s="209" t="s">
        <v>187</v>
      </c>
      <c r="I541" s="210">
        <v>6</v>
      </c>
    </row>
    <row r="542" spans="1:9" x14ac:dyDescent="0.25">
      <c r="A542" s="74" t="s">
        <v>2689</v>
      </c>
      <c r="B542" s="45">
        <v>518</v>
      </c>
      <c r="C542" s="63" t="s">
        <v>928</v>
      </c>
      <c r="D542" s="74">
        <v>500090</v>
      </c>
      <c r="E542" s="208" t="s">
        <v>163</v>
      </c>
      <c r="F542" s="208" t="s">
        <v>226</v>
      </c>
      <c r="G542" s="208" t="s">
        <v>21</v>
      </c>
      <c r="H542" s="209" t="s">
        <v>198</v>
      </c>
      <c r="I542" s="210">
        <v>6</v>
      </c>
    </row>
    <row r="543" spans="1:9" x14ac:dyDescent="0.25">
      <c r="A543" s="74" t="s">
        <v>2690</v>
      </c>
      <c r="B543" s="45">
        <v>519</v>
      </c>
      <c r="C543" s="63" t="s">
        <v>929</v>
      </c>
      <c r="D543" s="74">
        <v>500091</v>
      </c>
      <c r="E543" s="208" t="s">
        <v>163</v>
      </c>
      <c r="F543" s="208" t="s">
        <v>226</v>
      </c>
      <c r="G543" s="208" t="s">
        <v>21</v>
      </c>
      <c r="H543" s="209" t="s">
        <v>192</v>
      </c>
      <c r="I543" s="210">
        <v>7</v>
      </c>
    </row>
    <row r="544" spans="1:9" x14ac:dyDescent="0.25">
      <c r="A544" s="74" t="s">
        <v>2691</v>
      </c>
      <c r="B544" s="45">
        <v>520</v>
      </c>
      <c r="C544" s="63" t="s">
        <v>930</v>
      </c>
      <c r="D544" s="74">
        <v>500092</v>
      </c>
      <c r="E544" s="208" t="s">
        <v>163</v>
      </c>
      <c r="F544" s="208" t="s">
        <v>226</v>
      </c>
      <c r="G544" s="208" t="s">
        <v>21</v>
      </c>
      <c r="H544" s="209" t="s">
        <v>192</v>
      </c>
      <c r="I544" s="210">
        <v>7</v>
      </c>
    </row>
    <row r="545" spans="1:9" x14ac:dyDescent="0.25">
      <c r="A545" s="74" t="s">
        <v>2692</v>
      </c>
      <c r="B545" s="45">
        <v>521</v>
      </c>
      <c r="C545" s="63" t="s">
        <v>931</v>
      </c>
      <c r="D545" s="74">
        <v>500093</v>
      </c>
      <c r="E545" s="208" t="s">
        <v>163</v>
      </c>
      <c r="F545" s="208" t="s">
        <v>226</v>
      </c>
      <c r="G545" s="208" t="s">
        <v>21</v>
      </c>
      <c r="H545" s="209" t="s">
        <v>192</v>
      </c>
      <c r="I545" s="210">
        <v>7</v>
      </c>
    </row>
    <row r="546" spans="1:9" x14ac:dyDescent="0.25">
      <c r="A546" s="74" t="s">
        <v>2693</v>
      </c>
      <c r="B546" s="45">
        <v>522</v>
      </c>
      <c r="C546" s="63" t="s">
        <v>932</v>
      </c>
      <c r="D546" s="74">
        <v>500094</v>
      </c>
      <c r="E546" s="208" t="s">
        <v>163</v>
      </c>
      <c r="F546" s="208" t="s">
        <v>226</v>
      </c>
      <c r="G546" s="208" t="s">
        <v>21</v>
      </c>
      <c r="H546" s="209" t="s">
        <v>198</v>
      </c>
      <c r="I546" s="210">
        <v>6</v>
      </c>
    </row>
    <row r="547" spans="1:9" x14ac:dyDescent="0.25">
      <c r="A547" s="74" t="s">
        <v>2694</v>
      </c>
      <c r="B547" s="45">
        <v>523</v>
      </c>
      <c r="C547" s="63" t="s">
        <v>933</v>
      </c>
      <c r="D547" s="74">
        <v>500095</v>
      </c>
      <c r="E547" s="208" t="s">
        <v>163</v>
      </c>
      <c r="F547" s="208" t="s">
        <v>226</v>
      </c>
      <c r="G547" s="208" t="s">
        <v>21</v>
      </c>
      <c r="H547" s="209" t="s">
        <v>191</v>
      </c>
      <c r="I547" s="210">
        <v>7</v>
      </c>
    </row>
    <row r="548" spans="1:9" x14ac:dyDescent="0.25">
      <c r="A548" s="74" t="s">
        <v>2695</v>
      </c>
      <c r="B548" s="45">
        <v>524</v>
      </c>
      <c r="C548" s="63" t="s">
        <v>934</v>
      </c>
      <c r="D548" s="74">
        <v>500095</v>
      </c>
      <c r="E548" s="208" t="s">
        <v>163</v>
      </c>
      <c r="F548" s="208" t="s">
        <v>226</v>
      </c>
      <c r="G548" s="208" t="s">
        <v>21</v>
      </c>
      <c r="H548" s="209" t="s">
        <v>191</v>
      </c>
      <c r="I548" s="210">
        <v>7</v>
      </c>
    </row>
    <row r="549" spans="1:9" x14ac:dyDescent="0.25">
      <c r="A549" s="74" t="s">
        <v>2696</v>
      </c>
      <c r="B549" s="45">
        <v>525</v>
      </c>
      <c r="C549" s="63" t="s">
        <v>935</v>
      </c>
      <c r="D549" s="74">
        <v>500096</v>
      </c>
      <c r="E549" s="208" t="s">
        <v>163</v>
      </c>
      <c r="F549" s="208" t="s">
        <v>226</v>
      </c>
      <c r="G549" s="208" t="s">
        <v>21</v>
      </c>
      <c r="H549" s="209" t="s">
        <v>191</v>
      </c>
      <c r="I549" s="210">
        <v>7</v>
      </c>
    </row>
    <row r="550" spans="1:9" x14ac:dyDescent="0.25">
      <c r="A550" s="74" t="s">
        <v>2697</v>
      </c>
      <c r="B550" s="45">
        <v>526</v>
      </c>
      <c r="C550" s="63" t="s">
        <v>936</v>
      </c>
      <c r="D550" s="74">
        <v>500096</v>
      </c>
      <c r="E550" s="208" t="s">
        <v>163</v>
      </c>
      <c r="F550" s="208" t="s">
        <v>226</v>
      </c>
      <c r="G550" s="208" t="s">
        <v>21</v>
      </c>
      <c r="H550" s="209" t="s">
        <v>191</v>
      </c>
      <c r="I550" s="210">
        <v>7</v>
      </c>
    </row>
    <row r="551" spans="1:9" x14ac:dyDescent="0.25">
      <c r="A551" s="74" t="s">
        <v>2698</v>
      </c>
      <c r="B551" s="45">
        <v>527</v>
      </c>
      <c r="C551" s="63" t="s">
        <v>937</v>
      </c>
      <c r="D551" s="74">
        <v>500096</v>
      </c>
      <c r="E551" s="208" t="s">
        <v>163</v>
      </c>
      <c r="F551" s="208" t="s">
        <v>226</v>
      </c>
      <c r="G551" s="208" t="s">
        <v>21</v>
      </c>
      <c r="H551" s="209" t="s">
        <v>191</v>
      </c>
      <c r="I551" s="210">
        <v>7</v>
      </c>
    </row>
    <row r="552" spans="1:9" x14ac:dyDescent="0.25">
      <c r="A552" s="74" t="s">
        <v>2699</v>
      </c>
      <c r="B552" s="45">
        <v>528</v>
      </c>
      <c r="C552" s="63" t="s">
        <v>938</v>
      </c>
      <c r="D552" s="74">
        <v>500096</v>
      </c>
      <c r="E552" s="208" t="s">
        <v>163</v>
      </c>
      <c r="F552" s="208" t="s">
        <v>226</v>
      </c>
      <c r="G552" s="208" t="s">
        <v>21</v>
      </c>
      <c r="H552" s="209" t="s">
        <v>191</v>
      </c>
      <c r="I552" s="210">
        <v>7</v>
      </c>
    </row>
    <row r="553" spans="1:9" x14ac:dyDescent="0.25">
      <c r="A553" s="74" t="s">
        <v>2700</v>
      </c>
      <c r="B553" s="45">
        <v>529</v>
      </c>
      <c r="C553" s="63" t="s">
        <v>939</v>
      </c>
      <c r="D553" s="74">
        <v>500097</v>
      </c>
      <c r="E553" s="208" t="s">
        <v>163</v>
      </c>
      <c r="F553" s="208" t="s">
        <v>226</v>
      </c>
      <c r="G553" s="208" t="s">
        <v>21</v>
      </c>
      <c r="H553" s="209" t="s">
        <v>198</v>
      </c>
      <c r="I553" s="210">
        <v>6</v>
      </c>
    </row>
    <row r="554" spans="1:9" x14ac:dyDescent="0.25">
      <c r="A554" s="74" t="s">
        <v>2701</v>
      </c>
      <c r="B554" s="45">
        <v>530</v>
      </c>
      <c r="C554" s="63" t="s">
        <v>940</v>
      </c>
      <c r="D554" s="74">
        <v>500098</v>
      </c>
      <c r="E554" s="208" t="s">
        <v>163</v>
      </c>
      <c r="F554" s="208" t="s">
        <v>226</v>
      </c>
      <c r="G554" s="208" t="s">
        <v>21</v>
      </c>
      <c r="H554" s="209" t="s">
        <v>191</v>
      </c>
      <c r="I554" s="210">
        <v>7</v>
      </c>
    </row>
    <row r="555" spans="1:9" x14ac:dyDescent="0.25">
      <c r="A555" s="74" t="s">
        <v>2702</v>
      </c>
      <c r="B555" s="45">
        <v>531</v>
      </c>
      <c r="C555" s="63" t="s">
        <v>941</v>
      </c>
      <c r="D555" s="74">
        <v>500098</v>
      </c>
      <c r="E555" s="208" t="s">
        <v>163</v>
      </c>
      <c r="F555" s="208" t="s">
        <v>226</v>
      </c>
      <c r="G555" s="208" t="s">
        <v>21</v>
      </c>
      <c r="H555" s="209" t="s">
        <v>191</v>
      </c>
      <c r="I555" s="210">
        <v>7</v>
      </c>
    </row>
    <row r="556" spans="1:9" x14ac:dyDescent="0.25">
      <c r="A556" s="74" t="s">
        <v>2703</v>
      </c>
      <c r="B556" s="45">
        <v>532</v>
      </c>
      <c r="C556" s="63" t="s">
        <v>942</v>
      </c>
      <c r="D556" s="74">
        <v>500099</v>
      </c>
      <c r="E556" s="208" t="s">
        <v>163</v>
      </c>
      <c r="F556" s="208" t="s">
        <v>226</v>
      </c>
      <c r="G556" s="208" t="s">
        <v>21</v>
      </c>
      <c r="H556" s="209" t="s">
        <v>191</v>
      </c>
      <c r="I556" s="210">
        <v>7</v>
      </c>
    </row>
    <row r="557" spans="1:9" x14ac:dyDescent="0.25">
      <c r="A557" s="74" t="s">
        <v>2704</v>
      </c>
      <c r="B557" s="45">
        <v>533</v>
      </c>
      <c r="C557" s="63" t="s">
        <v>943</v>
      </c>
      <c r="D557" s="74">
        <v>500099</v>
      </c>
      <c r="E557" s="208" t="s">
        <v>163</v>
      </c>
      <c r="F557" s="208" t="s">
        <v>226</v>
      </c>
      <c r="G557" s="208" t="s">
        <v>21</v>
      </c>
      <c r="H557" s="209" t="s">
        <v>191</v>
      </c>
      <c r="I557" s="210">
        <v>7</v>
      </c>
    </row>
    <row r="558" spans="1:9" x14ac:dyDescent="0.25">
      <c r="A558" s="74" t="s">
        <v>2705</v>
      </c>
      <c r="B558" s="45">
        <v>534</v>
      </c>
      <c r="C558" s="63" t="s">
        <v>944</v>
      </c>
      <c r="D558" s="74">
        <v>500099</v>
      </c>
      <c r="E558" s="208" t="s">
        <v>163</v>
      </c>
      <c r="F558" s="208" t="s">
        <v>226</v>
      </c>
      <c r="G558" s="208" t="s">
        <v>21</v>
      </c>
      <c r="H558" s="209" t="s">
        <v>191</v>
      </c>
      <c r="I558" s="210">
        <v>7</v>
      </c>
    </row>
    <row r="559" spans="1:9" x14ac:dyDescent="0.25">
      <c r="A559" s="74" t="s">
        <v>2706</v>
      </c>
      <c r="B559" s="45">
        <v>535</v>
      </c>
      <c r="C559" s="63" t="s">
        <v>945</v>
      </c>
      <c r="D559" s="74">
        <v>500099</v>
      </c>
      <c r="E559" s="208" t="s">
        <v>163</v>
      </c>
      <c r="F559" s="208" t="s">
        <v>226</v>
      </c>
      <c r="G559" s="208" t="s">
        <v>21</v>
      </c>
      <c r="H559" s="209" t="s">
        <v>191</v>
      </c>
      <c r="I559" s="210">
        <v>7</v>
      </c>
    </row>
    <row r="560" spans="1:9" x14ac:dyDescent="0.25">
      <c r="A560" s="74" t="s">
        <v>2707</v>
      </c>
      <c r="B560" s="45">
        <v>536</v>
      </c>
      <c r="C560" s="63" t="s">
        <v>946</v>
      </c>
      <c r="D560" s="74">
        <v>500100</v>
      </c>
      <c r="E560" s="208" t="s">
        <v>156</v>
      </c>
      <c r="F560" s="208" t="s">
        <v>223</v>
      </c>
      <c r="G560" s="208" t="s">
        <v>21</v>
      </c>
      <c r="H560" s="209" t="s">
        <v>189</v>
      </c>
      <c r="I560" s="210">
        <v>6</v>
      </c>
    </row>
    <row r="561" spans="1:9" x14ac:dyDescent="0.25">
      <c r="A561" s="74" t="s">
        <v>2708</v>
      </c>
      <c r="B561" s="45">
        <v>537</v>
      </c>
      <c r="C561" s="63" t="s">
        <v>947</v>
      </c>
      <c r="D561" s="74">
        <v>500101</v>
      </c>
      <c r="E561" s="208" t="s">
        <v>156</v>
      </c>
      <c r="F561" s="208" t="s">
        <v>223</v>
      </c>
      <c r="G561" s="208" t="s">
        <v>21</v>
      </c>
      <c r="H561" s="209" t="s">
        <v>187</v>
      </c>
      <c r="I561" s="210">
        <v>6</v>
      </c>
    </row>
    <row r="562" spans="1:9" x14ac:dyDescent="0.25">
      <c r="A562" s="74" t="s">
        <v>2709</v>
      </c>
      <c r="B562" s="45">
        <v>538</v>
      </c>
      <c r="C562" s="63" t="s">
        <v>948</v>
      </c>
      <c r="D562" s="74">
        <v>500102</v>
      </c>
      <c r="E562" s="208" t="s">
        <v>156</v>
      </c>
      <c r="F562" s="208" t="s">
        <v>223</v>
      </c>
      <c r="G562" s="208" t="s">
        <v>21</v>
      </c>
      <c r="H562" s="209" t="s">
        <v>189</v>
      </c>
      <c r="I562" s="210">
        <v>7</v>
      </c>
    </row>
    <row r="563" spans="1:9" x14ac:dyDescent="0.25">
      <c r="A563" s="74" t="s">
        <v>2710</v>
      </c>
      <c r="B563" s="45">
        <v>539</v>
      </c>
      <c r="C563" s="63" t="s">
        <v>949</v>
      </c>
      <c r="D563" s="74">
        <v>500103</v>
      </c>
      <c r="E563" s="208" t="s">
        <v>156</v>
      </c>
      <c r="F563" s="208" t="s">
        <v>223</v>
      </c>
      <c r="G563" s="208" t="s">
        <v>21</v>
      </c>
      <c r="H563" s="209" t="s">
        <v>189</v>
      </c>
      <c r="I563" s="210">
        <v>7</v>
      </c>
    </row>
    <row r="564" spans="1:9" x14ac:dyDescent="0.25">
      <c r="A564" s="74" t="s">
        <v>2711</v>
      </c>
      <c r="B564" s="45">
        <v>540</v>
      </c>
      <c r="C564" s="63" t="s">
        <v>950</v>
      </c>
      <c r="D564" s="74">
        <v>500104</v>
      </c>
      <c r="E564" s="208" t="s">
        <v>156</v>
      </c>
      <c r="F564" s="208" t="s">
        <v>223</v>
      </c>
      <c r="G564" s="208" t="s">
        <v>21</v>
      </c>
      <c r="H564" s="209" t="s">
        <v>198</v>
      </c>
      <c r="I564" s="210">
        <v>6</v>
      </c>
    </row>
    <row r="565" spans="1:9" x14ac:dyDescent="0.25">
      <c r="A565" s="74" t="s">
        <v>2712</v>
      </c>
      <c r="B565" s="45">
        <v>541</v>
      </c>
      <c r="C565" s="63" t="s">
        <v>951</v>
      </c>
      <c r="D565" s="74">
        <v>500105</v>
      </c>
      <c r="E565" s="208" t="s">
        <v>156</v>
      </c>
      <c r="F565" s="208" t="s">
        <v>223</v>
      </c>
      <c r="G565" s="208" t="s">
        <v>21</v>
      </c>
      <c r="H565" s="209" t="s">
        <v>191</v>
      </c>
      <c r="I565" s="210">
        <v>7</v>
      </c>
    </row>
    <row r="566" spans="1:9" x14ac:dyDescent="0.25">
      <c r="A566" s="74" t="s">
        <v>2713</v>
      </c>
      <c r="B566" s="45">
        <v>542</v>
      </c>
      <c r="C566" s="63" t="s">
        <v>952</v>
      </c>
      <c r="D566" s="74">
        <v>500105</v>
      </c>
      <c r="E566" s="208" t="s">
        <v>156</v>
      </c>
      <c r="F566" s="208" t="s">
        <v>223</v>
      </c>
      <c r="G566" s="208" t="s">
        <v>21</v>
      </c>
      <c r="H566" s="209" t="s">
        <v>191</v>
      </c>
      <c r="I566" s="210">
        <v>7</v>
      </c>
    </row>
    <row r="567" spans="1:9" x14ac:dyDescent="0.25">
      <c r="A567" s="74" t="s">
        <v>2714</v>
      </c>
      <c r="B567" s="45">
        <v>543</v>
      </c>
      <c r="C567" s="63" t="s">
        <v>953</v>
      </c>
      <c r="D567" s="74">
        <v>500106</v>
      </c>
      <c r="E567" s="208" t="s">
        <v>156</v>
      </c>
      <c r="F567" s="208" t="s">
        <v>223</v>
      </c>
      <c r="G567" s="208" t="s">
        <v>21</v>
      </c>
      <c r="H567" s="209" t="s">
        <v>192</v>
      </c>
      <c r="I567" s="210">
        <v>7</v>
      </c>
    </row>
    <row r="568" spans="1:9" x14ac:dyDescent="0.25">
      <c r="A568" s="74" t="s">
        <v>2715</v>
      </c>
      <c r="B568" s="45">
        <v>544</v>
      </c>
      <c r="C568" s="63" t="s">
        <v>954</v>
      </c>
      <c r="D568" s="74">
        <v>500107</v>
      </c>
      <c r="E568" s="208" t="s">
        <v>156</v>
      </c>
      <c r="F568" s="208" t="s">
        <v>223</v>
      </c>
      <c r="G568" s="208" t="s">
        <v>21</v>
      </c>
      <c r="H568" s="209" t="s">
        <v>192</v>
      </c>
      <c r="I568" s="210">
        <v>7</v>
      </c>
    </row>
    <row r="569" spans="1:9" x14ac:dyDescent="0.25">
      <c r="A569" s="74" t="s">
        <v>2716</v>
      </c>
      <c r="B569" s="45">
        <v>545</v>
      </c>
      <c r="C569" s="63" t="s">
        <v>955</v>
      </c>
      <c r="D569" s="74">
        <v>500108</v>
      </c>
      <c r="E569" s="208" t="s">
        <v>156</v>
      </c>
      <c r="F569" s="208" t="s">
        <v>223</v>
      </c>
      <c r="G569" s="208" t="s">
        <v>21</v>
      </c>
      <c r="H569" s="209" t="s">
        <v>192</v>
      </c>
      <c r="I569" s="210">
        <v>7</v>
      </c>
    </row>
    <row r="570" spans="1:9" x14ac:dyDescent="0.25">
      <c r="A570" s="74" t="s">
        <v>2717</v>
      </c>
      <c r="B570" s="45">
        <v>546</v>
      </c>
      <c r="C570" s="63" t="s">
        <v>956</v>
      </c>
      <c r="D570" s="74">
        <v>500109</v>
      </c>
      <c r="E570" s="208" t="s">
        <v>156</v>
      </c>
      <c r="F570" s="208" t="s">
        <v>223</v>
      </c>
      <c r="G570" s="208" t="s">
        <v>21</v>
      </c>
      <c r="H570" s="209" t="s">
        <v>198</v>
      </c>
      <c r="I570" s="210">
        <v>6</v>
      </c>
    </row>
    <row r="571" spans="1:9" x14ac:dyDescent="0.25">
      <c r="A571" s="74" t="s">
        <v>2718</v>
      </c>
      <c r="B571" s="45">
        <v>548</v>
      </c>
      <c r="C571" s="63" t="s">
        <v>957</v>
      </c>
      <c r="D571" s="74">
        <v>500110</v>
      </c>
      <c r="E571" s="208" t="s">
        <v>156</v>
      </c>
      <c r="F571" s="208" t="s">
        <v>223</v>
      </c>
      <c r="G571" s="208" t="s">
        <v>21</v>
      </c>
      <c r="H571" s="209" t="s">
        <v>191</v>
      </c>
      <c r="I571" s="210">
        <v>7</v>
      </c>
    </row>
    <row r="572" spans="1:9" x14ac:dyDescent="0.25">
      <c r="A572" s="74" t="s">
        <v>2719</v>
      </c>
      <c r="B572" s="45">
        <v>549</v>
      </c>
      <c r="C572" s="63" t="s">
        <v>958</v>
      </c>
      <c r="D572" s="74">
        <v>500110</v>
      </c>
      <c r="E572" s="208" t="s">
        <v>156</v>
      </c>
      <c r="F572" s="208" t="s">
        <v>223</v>
      </c>
      <c r="G572" s="208" t="s">
        <v>21</v>
      </c>
      <c r="H572" s="209" t="s">
        <v>191</v>
      </c>
      <c r="I572" s="210">
        <v>7</v>
      </c>
    </row>
    <row r="573" spans="1:9" x14ac:dyDescent="0.25">
      <c r="A573" s="74" t="s">
        <v>2720</v>
      </c>
      <c r="B573" s="45">
        <v>550</v>
      </c>
      <c r="C573" s="63" t="s">
        <v>959</v>
      </c>
      <c r="D573" s="74">
        <v>500111</v>
      </c>
      <c r="E573" s="208" t="s">
        <v>156</v>
      </c>
      <c r="F573" s="208" t="s">
        <v>223</v>
      </c>
      <c r="G573" s="208" t="s">
        <v>21</v>
      </c>
      <c r="H573" s="209" t="s">
        <v>192</v>
      </c>
      <c r="I573" s="210">
        <v>7</v>
      </c>
    </row>
    <row r="574" spans="1:9" x14ac:dyDescent="0.25">
      <c r="A574" s="74" t="s">
        <v>2721</v>
      </c>
      <c r="B574" s="45">
        <v>551</v>
      </c>
      <c r="C574" s="63" t="s">
        <v>960</v>
      </c>
      <c r="D574" s="74">
        <v>500112</v>
      </c>
      <c r="E574" s="208" t="s">
        <v>156</v>
      </c>
      <c r="F574" s="208" t="s">
        <v>223</v>
      </c>
      <c r="G574" s="208" t="s">
        <v>21</v>
      </c>
      <c r="H574" s="209" t="s">
        <v>198</v>
      </c>
      <c r="I574" s="210">
        <v>6</v>
      </c>
    </row>
    <row r="575" spans="1:9" x14ac:dyDescent="0.25">
      <c r="A575" s="74" t="s">
        <v>2722</v>
      </c>
      <c r="B575" s="45">
        <v>552</v>
      </c>
      <c r="C575" s="63" t="s">
        <v>961</v>
      </c>
      <c r="D575" s="74">
        <v>500113</v>
      </c>
      <c r="E575" s="208" t="s">
        <v>156</v>
      </c>
      <c r="F575" s="208" t="s">
        <v>223</v>
      </c>
      <c r="G575" s="208" t="s">
        <v>21</v>
      </c>
      <c r="H575" s="209" t="s">
        <v>191</v>
      </c>
      <c r="I575" s="210">
        <v>7</v>
      </c>
    </row>
    <row r="576" spans="1:9" x14ac:dyDescent="0.25">
      <c r="A576" s="74" t="s">
        <v>2723</v>
      </c>
      <c r="B576" s="45">
        <v>553</v>
      </c>
      <c r="C576" s="63" t="s">
        <v>962</v>
      </c>
      <c r="D576" s="74">
        <v>500113</v>
      </c>
      <c r="E576" s="208" t="s">
        <v>156</v>
      </c>
      <c r="F576" s="208" t="s">
        <v>223</v>
      </c>
      <c r="G576" s="208" t="s">
        <v>21</v>
      </c>
      <c r="H576" s="209" t="s">
        <v>191</v>
      </c>
      <c r="I576" s="210">
        <v>7</v>
      </c>
    </row>
    <row r="577" spans="1:9" x14ac:dyDescent="0.25">
      <c r="A577" s="74" t="s">
        <v>2724</v>
      </c>
      <c r="B577" s="45" t="s">
        <v>23</v>
      </c>
      <c r="C577" s="45" t="s">
        <v>23</v>
      </c>
      <c r="D577" s="74">
        <v>500113</v>
      </c>
      <c r="E577" s="208" t="s">
        <v>156</v>
      </c>
      <c r="F577" s="208" t="s">
        <v>223</v>
      </c>
      <c r="G577" s="208" t="s">
        <v>21</v>
      </c>
      <c r="H577" s="209" t="s">
        <v>191</v>
      </c>
      <c r="I577" s="210">
        <v>7</v>
      </c>
    </row>
    <row r="578" spans="1:9" x14ac:dyDescent="0.25">
      <c r="A578" s="74" t="s">
        <v>2725</v>
      </c>
      <c r="B578" s="45">
        <v>554</v>
      </c>
      <c r="C578" s="64" t="s">
        <v>963</v>
      </c>
      <c r="D578" s="74">
        <v>500113</v>
      </c>
      <c r="E578" s="208" t="s">
        <v>156</v>
      </c>
      <c r="F578" s="208" t="s">
        <v>223</v>
      </c>
      <c r="G578" s="208" t="s">
        <v>21</v>
      </c>
      <c r="H578" s="209" t="s">
        <v>191</v>
      </c>
      <c r="I578" s="210">
        <v>7</v>
      </c>
    </row>
    <row r="579" spans="1:9" x14ac:dyDescent="0.25">
      <c r="A579" s="74" t="s">
        <v>2726</v>
      </c>
      <c r="B579" s="45">
        <v>555</v>
      </c>
      <c r="C579" s="63" t="s">
        <v>964</v>
      </c>
      <c r="D579" s="74">
        <v>500114</v>
      </c>
      <c r="E579" s="208" t="s">
        <v>156</v>
      </c>
      <c r="F579" s="208" t="s">
        <v>223</v>
      </c>
      <c r="G579" s="208" t="s">
        <v>21</v>
      </c>
      <c r="H579" s="209" t="s">
        <v>192</v>
      </c>
      <c r="I579" s="210">
        <v>7</v>
      </c>
    </row>
    <row r="580" spans="1:9" x14ac:dyDescent="0.25">
      <c r="A580" s="74" t="s">
        <v>2727</v>
      </c>
      <c r="B580" s="45">
        <v>556</v>
      </c>
      <c r="C580" s="63" t="s">
        <v>965</v>
      </c>
      <c r="D580" s="74">
        <v>500115</v>
      </c>
      <c r="E580" s="208" t="s">
        <v>156</v>
      </c>
      <c r="F580" s="208" t="s">
        <v>223</v>
      </c>
      <c r="G580" s="208" t="s">
        <v>235</v>
      </c>
      <c r="H580" s="209" t="s">
        <v>192</v>
      </c>
      <c r="I580" s="210">
        <v>7</v>
      </c>
    </row>
    <row r="581" spans="1:9" x14ac:dyDescent="0.25">
      <c r="A581" s="74" t="s">
        <v>2728</v>
      </c>
      <c r="B581" s="45">
        <v>557</v>
      </c>
      <c r="C581" s="63" t="s">
        <v>966</v>
      </c>
      <c r="D581" s="74">
        <v>500116</v>
      </c>
      <c r="E581" s="208" t="s">
        <v>156</v>
      </c>
      <c r="F581" s="208" t="s">
        <v>223</v>
      </c>
      <c r="G581" s="208" t="s">
        <v>21</v>
      </c>
      <c r="H581" s="209" t="s">
        <v>198</v>
      </c>
      <c r="I581" s="210">
        <v>6</v>
      </c>
    </row>
    <row r="582" spans="1:9" x14ac:dyDescent="0.25">
      <c r="A582" s="74" t="s">
        <v>2729</v>
      </c>
      <c r="B582" s="45">
        <v>558</v>
      </c>
      <c r="C582" s="63" t="s">
        <v>967</v>
      </c>
      <c r="D582" s="74">
        <v>500117</v>
      </c>
      <c r="E582" s="208" t="s">
        <v>156</v>
      </c>
      <c r="F582" s="208" t="s">
        <v>223</v>
      </c>
      <c r="G582" s="208" t="s">
        <v>21</v>
      </c>
      <c r="H582" s="209" t="s">
        <v>192</v>
      </c>
      <c r="I582" s="210">
        <v>7</v>
      </c>
    </row>
    <row r="583" spans="1:9" x14ac:dyDescent="0.25">
      <c r="A583" s="74" t="s">
        <v>2730</v>
      </c>
      <c r="B583" s="45">
        <v>559</v>
      </c>
      <c r="C583" s="63" t="s">
        <v>968</v>
      </c>
      <c r="D583" s="74">
        <v>500118</v>
      </c>
      <c r="E583" s="208" t="s">
        <v>156</v>
      </c>
      <c r="F583" s="208" t="s">
        <v>223</v>
      </c>
      <c r="G583" s="208" t="s">
        <v>21</v>
      </c>
      <c r="H583" s="209" t="s">
        <v>192</v>
      </c>
      <c r="I583" s="210">
        <v>7</v>
      </c>
    </row>
    <row r="584" spans="1:9" x14ac:dyDescent="0.25">
      <c r="A584" s="74" t="s">
        <v>2731</v>
      </c>
      <c r="B584" s="45">
        <v>560</v>
      </c>
      <c r="C584" s="63" t="s">
        <v>969</v>
      </c>
      <c r="D584" s="74">
        <v>500119</v>
      </c>
      <c r="E584" s="208" t="s">
        <v>156</v>
      </c>
      <c r="F584" s="208" t="s">
        <v>223</v>
      </c>
      <c r="G584" s="208" t="s">
        <v>21</v>
      </c>
      <c r="H584" s="209" t="s">
        <v>198</v>
      </c>
      <c r="I584" s="210">
        <v>6</v>
      </c>
    </row>
    <row r="585" spans="1:9" x14ac:dyDescent="0.25">
      <c r="A585" s="74" t="s">
        <v>2732</v>
      </c>
      <c r="B585" s="45" t="s">
        <v>23</v>
      </c>
      <c r="C585" s="45" t="s">
        <v>23</v>
      </c>
      <c r="D585" s="74">
        <v>500121</v>
      </c>
      <c r="E585" s="208" t="s">
        <v>156</v>
      </c>
      <c r="F585" s="208" t="s">
        <v>223</v>
      </c>
      <c r="G585" s="208" t="s">
        <v>21</v>
      </c>
      <c r="H585" s="209" t="s">
        <v>192</v>
      </c>
      <c r="I585" s="210">
        <v>7</v>
      </c>
    </row>
    <row r="586" spans="1:9" x14ac:dyDescent="0.25">
      <c r="A586" s="74" t="s">
        <v>2733</v>
      </c>
      <c r="B586" s="45">
        <v>561</v>
      </c>
      <c r="C586" s="63" t="s">
        <v>970</v>
      </c>
      <c r="D586" s="74">
        <v>500558</v>
      </c>
      <c r="E586" s="208" t="s">
        <v>144</v>
      </c>
      <c r="F586" s="208" t="s">
        <v>21</v>
      </c>
      <c r="G586" s="208" t="s">
        <v>21</v>
      </c>
      <c r="H586" s="209" t="s">
        <v>189</v>
      </c>
      <c r="I586" s="210">
        <v>6</v>
      </c>
    </row>
    <row r="587" spans="1:9" x14ac:dyDescent="0.25">
      <c r="A587" s="74" t="s">
        <v>2734</v>
      </c>
      <c r="B587" s="45">
        <v>562</v>
      </c>
      <c r="C587" s="63" t="s">
        <v>971</v>
      </c>
      <c r="D587" s="74">
        <v>500552</v>
      </c>
      <c r="E587" s="208" t="s">
        <v>144</v>
      </c>
      <c r="F587" s="208" t="s">
        <v>224</v>
      </c>
      <c r="G587" s="208" t="s">
        <v>21</v>
      </c>
      <c r="H587" s="209" t="s">
        <v>198</v>
      </c>
      <c r="I587" s="210">
        <v>6</v>
      </c>
    </row>
    <row r="588" spans="1:9" x14ac:dyDescent="0.25">
      <c r="A588" s="74" t="s">
        <v>2735</v>
      </c>
      <c r="B588" s="45" t="s">
        <v>23</v>
      </c>
      <c r="C588" s="64" t="s">
        <v>23</v>
      </c>
      <c r="D588" s="74">
        <v>500553</v>
      </c>
      <c r="E588" s="208" t="s">
        <v>144</v>
      </c>
      <c r="F588" s="208" t="s">
        <v>224</v>
      </c>
      <c r="G588" s="208" t="s">
        <v>21</v>
      </c>
      <c r="H588" s="209" t="s">
        <v>191</v>
      </c>
      <c r="I588" s="210">
        <v>7</v>
      </c>
    </row>
    <row r="589" spans="1:9" x14ac:dyDescent="0.25">
      <c r="A589" s="74" t="s">
        <v>2736</v>
      </c>
      <c r="B589" s="45">
        <v>563</v>
      </c>
      <c r="C589" s="63" t="s">
        <v>972</v>
      </c>
      <c r="D589" s="74">
        <v>500553</v>
      </c>
      <c r="E589" s="208" t="s">
        <v>144</v>
      </c>
      <c r="F589" s="208" t="s">
        <v>224</v>
      </c>
      <c r="G589" s="208" t="s">
        <v>21</v>
      </c>
      <c r="H589" s="209" t="s">
        <v>191</v>
      </c>
      <c r="I589" s="210">
        <v>7</v>
      </c>
    </row>
    <row r="590" spans="1:9" x14ac:dyDescent="0.25">
      <c r="A590" s="74" t="s">
        <v>2737</v>
      </c>
      <c r="B590" s="45">
        <v>564</v>
      </c>
      <c r="C590" s="63" t="s">
        <v>973</v>
      </c>
      <c r="D590" s="74">
        <v>500554</v>
      </c>
      <c r="E590" s="208" t="s">
        <v>144</v>
      </c>
      <c r="F590" s="208" t="s">
        <v>224</v>
      </c>
      <c r="G590" s="208" t="s">
        <v>21</v>
      </c>
      <c r="H590" s="209" t="s">
        <v>198</v>
      </c>
      <c r="I590" s="210">
        <v>6</v>
      </c>
    </row>
    <row r="591" spans="1:9" x14ac:dyDescent="0.25">
      <c r="A591" s="74" t="s">
        <v>2738</v>
      </c>
      <c r="B591" s="45">
        <v>565</v>
      </c>
      <c r="C591" s="63" t="s">
        <v>974</v>
      </c>
      <c r="D591" s="74">
        <v>500609</v>
      </c>
      <c r="E591" s="208" t="s">
        <v>144</v>
      </c>
      <c r="F591" s="208" t="s">
        <v>224</v>
      </c>
      <c r="G591" s="208" t="s">
        <v>21</v>
      </c>
      <c r="H591" s="209" t="s">
        <v>198</v>
      </c>
      <c r="I591" s="210">
        <v>6</v>
      </c>
    </row>
    <row r="592" spans="1:9" x14ac:dyDescent="0.25">
      <c r="A592" s="74" t="s">
        <v>2739</v>
      </c>
      <c r="B592" s="45">
        <v>566</v>
      </c>
      <c r="C592" s="63" t="s">
        <v>975</v>
      </c>
      <c r="D592" s="74">
        <v>500556</v>
      </c>
      <c r="E592" s="208" t="s">
        <v>144</v>
      </c>
      <c r="F592" s="208" t="s">
        <v>224</v>
      </c>
      <c r="G592" s="208" t="s">
        <v>236</v>
      </c>
      <c r="H592" s="209" t="s">
        <v>192</v>
      </c>
      <c r="I592" s="210">
        <v>6</v>
      </c>
    </row>
    <row r="593" spans="1:9" x14ac:dyDescent="0.25">
      <c r="A593" s="74" t="s">
        <v>2740</v>
      </c>
      <c r="B593" s="45">
        <v>567</v>
      </c>
      <c r="C593" s="63" t="s">
        <v>976</v>
      </c>
      <c r="D593" s="74">
        <v>500557</v>
      </c>
      <c r="E593" s="208" t="s">
        <v>144</v>
      </c>
      <c r="F593" s="208" t="s">
        <v>224</v>
      </c>
      <c r="G593" s="208" t="s">
        <v>236</v>
      </c>
      <c r="H593" s="209" t="s">
        <v>192</v>
      </c>
      <c r="I593" s="210">
        <v>7</v>
      </c>
    </row>
    <row r="594" spans="1:9" x14ac:dyDescent="0.25">
      <c r="A594" s="74" t="s">
        <v>2741</v>
      </c>
      <c r="B594" s="45">
        <v>568</v>
      </c>
      <c r="C594" s="64" t="s">
        <v>977</v>
      </c>
      <c r="D594" s="74">
        <v>500559</v>
      </c>
      <c r="E594" s="208" t="s">
        <v>166</v>
      </c>
      <c r="F594" s="208" t="s">
        <v>229</v>
      </c>
      <c r="G594" s="208" t="s">
        <v>21</v>
      </c>
      <c r="H594" s="209" t="s">
        <v>186</v>
      </c>
      <c r="I594" s="210">
        <v>5</v>
      </c>
    </row>
    <row r="595" spans="1:9" x14ac:dyDescent="0.25">
      <c r="A595" s="74" t="s">
        <v>2742</v>
      </c>
      <c r="B595" s="45">
        <v>569</v>
      </c>
      <c r="C595" s="63" t="s">
        <v>978</v>
      </c>
      <c r="D595" s="74">
        <v>500561</v>
      </c>
      <c r="E595" s="208" t="s">
        <v>167</v>
      </c>
      <c r="F595" s="208" t="s">
        <v>228</v>
      </c>
      <c r="G595" s="208" t="s">
        <v>21</v>
      </c>
      <c r="H595" s="209" t="s">
        <v>186</v>
      </c>
      <c r="I595" s="210">
        <v>5</v>
      </c>
    </row>
    <row r="596" spans="1:9" x14ac:dyDescent="0.25">
      <c r="A596" s="74" t="s">
        <v>2743</v>
      </c>
      <c r="B596" s="45">
        <v>570</v>
      </c>
      <c r="C596" s="63" t="s">
        <v>979</v>
      </c>
      <c r="D596" s="74">
        <v>500560</v>
      </c>
      <c r="E596" s="208" t="s">
        <v>167</v>
      </c>
      <c r="F596" s="208" t="s">
        <v>228</v>
      </c>
      <c r="G596" s="208" t="s">
        <v>21</v>
      </c>
      <c r="H596" s="209" t="s">
        <v>186</v>
      </c>
      <c r="I596" s="210">
        <v>5</v>
      </c>
    </row>
    <row r="597" spans="1:9" x14ac:dyDescent="0.25">
      <c r="A597" s="74" t="s">
        <v>2744</v>
      </c>
      <c r="B597" s="45">
        <v>571</v>
      </c>
      <c r="C597" s="63" t="s">
        <v>980</v>
      </c>
      <c r="D597" s="74">
        <v>500562</v>
      </c>
      <c r="E597" s="208" t="s">
        <v>165</v>
      </c>
      <c r="F597" s="208" t="s">
        <v>227</v>
      </c>
      <c r="G597" s="208" t="s">
        <v>21</v>
      </c>
      <c r="H597" s="209" t="s">
        <v>186</v>
      </c>
      <c r="I597" s="210">
        <v>5</v>
      </c>
    </row>
    <row r="598" spans="1:9" x14ac:dyDescent="0.25">
      <c r="A598" s="74" t="s">
        <v>2745</v>
      </c>
      <c r="B598" s="45">
        <v>572</v>
      </c>
      <c r="C598" s="64" t="s">
        <v>981</v>
      </c>
      <c r="D598" s="74">
        <v>500571</v>
      </c>
      <c r="E598" s="208" t="s">
        <v>166</v>
      </c>
      <c r="F598" s="208" t="s">
        <v>229</v>
      </c>
      <c r="G598" s="208" t="s">
        <v>21</v>
      </c>
      <c r="H598" s="209" t="s">
        <v>186</v>
      </c>
      <c r="I598" s="210">
        <v>5</v>
      </c>
    </row>
    <row r="599" spans="1:9" x14ac:dyDescent="0.25">
      <c r="A599" s="74" t="s">
        <v>2746</v>
      </c>
      <c r="B599" s="45">
        <v>573</v>
      </c>
      <c r="C599" s="63" t="s">
        <v>982</v>
      </c>
      <c r="D599" s="74">
        <v>500563</v>
      </c>
      <c r="E599" s="208" t="s">
        <v>167</v>
      </c>
      <c r="F599" s="208" t="s">
        <v>228</v>
      </c>
      <c r="G599" s="208" t="s">
        <v>21</v>
      </c>
      <c r="H599" s="209" t="s">
        <v>186</v>
      </c>
      <c r="I599" s="210">
        <v>5</v>
      </c>
    </row>
    <row r="600" spans="1:9" x14ac:dyDescent="0.25">
      <c r="A600" s="74" t="s">
        <v>2747</v>
      </c>
      <c r="B600" s="45">
        <v>574</v>
      </c>
      <c r="C600" s="63" t="s">
        <v>983</v>
      </c>
      <c r="D600" s="74">
        <v>500564</v>
      </c>
      <c r="E600" s="208" t="s">
        <v>167</v>
      </c>
      <c r="F600" s="208" t="s">
        <v>228</v>
      </c>
      <c r="G600" s="208" t="s">
        <v>21</v>
      </c>
      <c r="H600" s="209" t="s">
        <v>186</v>
      </c>
      <c r="I600" s="210">
        <v>5</v>
      </c>
    </row>
    <row r="601" spans="1:9" x14ac:dyDescent="0.25">
      <c r="A601" s="74" t="s">
        <v>2748</v>
      </c>
      <c r="B601" s="45">
        <v>575</v>
      </c>
      <c r="C601" s="64" t="s">
        <v>984</v>
      </c>
      <c r="D601" s="74">
        <v>500565</v>
      </c>
      <c r="E601" s="208" t="s">
        <v>166</v>
      </c>
      <c r="F601" s="208" t="s">
        <v>229</v>
      </c>
      <c r="G601" s="208" t="s">
        <v>21</v>
      </c>
      <c r="H601" s="209" t="s">
        <v>186</v>
      </c>
      <c r="I601" s="210">
        <v>5</v>
      </c>
    </row>
    <row r="602" spans="1:9" x14ac:dyDescent="0.25">
      <c r="A602" s="74" t="s">
        <v>2749</v>
      </c>
      <c r="B602" s="45">
        <v>576</v>
      </c>
      <c r="C602" s="63" t="s">
        <v>985</v>
      </c>
      <c r="D602" s="74">
        <v>500566</v>
      </c>
      <c r="E602" s="208" t="s">
        <v>167</v>
      </c>
      <c r="F602" s="208" t="s">
        <v>228</v>
      </c>
      <c r="G602" s="208" t="s">
        <v>21</v>
      </c>
      <c r="H602" s="209" t="s">
        <v>186</v>
      </c>
      <c r="I602" s="210">
        <v>5</v>
      </c>
    </row>
    <row r="603" spans="1:9" x14ac:dyDescent="0.25">
      <c r="A603" s="74" t="s">
        <v>2750</v>
      </c>
      <c r="B603" s="45">
        <v>577</v>
      </c>
      <c r="C603" s="64" t="s">
        <v>986</v>
      </c>
      <c r="D603" s="74">
        <v>500567</v>
      </c>
      <c r="E603" s="208" t="s">
        <v>166</v>
      </c>
      <c r="F603" s="208" t="s">
        <v>229</v>
      </c>
      <c r="G603" s="208" t="s">
        <v>21</v>
      </c>
      <c r="H603" s="209" t="s">
        <v>186</v>
      </c>
      <c r="I603" s="210">
        <v>5</v>
      </c>
    </row>
    <row r="604" spans="1:9" x14ac:dyDescent="0.25">
      <c r="A604" s="74" t="s">
        <v>2751</v>
      </c>
      <c r="B604" s="45">
        <v>578</v>
      </c>
      <c r="C604" s="63" t="s">
        <v>987</v>
      </c>
      <c r="D604" s="74">
        <v>500568</v>
      </c>
      <c r="E604" s="208" t="s">
        <v>165</v>
      </c>
      <c r="F604" s="208" t="s">
        <v>227</v>
      </c>
      <c r="G604" s="208" t="s">
        <v>21</v>
      </c>
      <c r="H604" s="209" t="s">
        <v>186</v>
      </c>
      <c r="I604" s="210">
        <v>5</v>
      </c>
    </row>
    <row r="605" spans="1:9" x14ac:dyDescent="0.25">
      <c r="A605" s="74" t="s">
        <v>2752</v>
      </c>
      <c r="B605" s="45">
        <v>579</v>
      </c>
      <c r="C605" s="63" t="s">
        <v>988</v>
      </c>
      <c r="D605" s="74">
        <v>500569</v>
      </c>
      <c r="E605" s="208" t="s">
        <v>165</v>
      </c>
      <c r="F605" s="208" t="s">
        <v>227</v>
      </c>
      <c r="G605" s="208" t="s">
        <v>21</v>
      </c>
      <c r="H605" s="209" t="s">
        <v>186</v>
      </c>
      <c r="I605" s="210">
        <v>5</v>
      </c>
    </row>
    <row r="606" spans="1:9" x14ac:dyDescent="0.25">
      <c r="A606" s="74" t="s">
        <v>2753</v>
      </c>
      <c r="B606" s="45">
        <v>580</v>
      </c>
      <c r="C606" s="63" t="s">
        <v>989</v>
      </c>
      <c r="D606" s="74">
        <v>500584</v>
      </c>
      <c r="E606" s="208" t="s">
        <v>144</v>
      </c>
      <c r="F606" s="208" t="s">
        <v>224</v>
      </c>
      <c r="G606" s="208" t="s">
        <v>236</v>
      </c>
      <c r="H606" s="209" t="s">
        <v>191</v>
      </c>
      <c r="I606" s="210">
        <v>7</v>
      </c>
    </row>
    <row r="607" spans="1:9" x14ac:dyDescent="0.25">
      <c r="A607" s="74" t="s">
        <v>2754</v>
      </c>
      <c r="B607" s="45">
        <v>581</v>
      </c>
      <c r="C607" s="63" t="s">
        <v>990</v>
      </c>
      <c r="D607" s="74">
        <v>500584</v>
      </c>
      <c r="E607" s="208" t="s">
        <v>144</v>
      </c>
      <c r="F607" s="208" t="s">
        <v>224</v>
      </c>
      <c r="G607" s="208" t="s">
        <v>236</v>
      </c>
      <c r="H607" s="209" t="s">
        <v>191</v>
      </c>
      <c r="I607" s="210">
        <v>7</v>
      </c>
    </row>
    <row r="608" spans="1:9" x14ac:dyDescent="0.25">
      <c r="A608" s="74" t="s">
        <v>2755</v>
      </c>
      <c r="B608" s="45">
        <v>582</v>
      </c>
      <c r="C608" s="63" t="s">
        <v>991</v>
      </c>
      <c r="D608" s="74">
        <v>500584</v>
      </c>
      <c r="E608" s="208" t="s">
        <v>144</v>
      </c>
      <c r="F608" s="208" t="s">
        <v>224</v>
      </c>
      <c r="G608" s="208" t="s">
        <v>236</v>
      </c>
      <c r="H608" s="209" t="s">
        <v>191</v>
      </c>
      <c r="I608" s="210">
        <v>7</v>
      </c>
    </row>
    <row r="609" spans="1:9" x14ac:dyDescent="0.25">
      <c r="A609" s="74" t="s">
        <v>2756</v>
      </c>
      <c r="B609" s="45">
        <v>583</v>
      </c>
      <c r="C609" s="63" t="s">
        <v>992</v>
      </c>
      <c r="D609" s="74">
        <v>500584</v>
      </c>
      <c r="E609" s="208" t="s">
        <v>144</v>
      </c>
      <c r="F609" s="208" t="s">
        <v>224</v>
      </c>
      <c r="G609" s="208" t="s">
        <v>236</v>
      </c>
      <c r="H609" s="209" t="s">
        <v>191</v>
      </c>
      <c r="I609" s="210">
        <v>7</v>
      </c>
    </row>
    <row r="610" spans="1:9" x14ac:dyDescent="0.25">
      <c r="A610" s="74" t="s">
        <v>2757</v>
      </c>
      <c r="B610" s="45">
        <v>584</v>
      </c>
      <c r="C610" s="63" t="s">
        <v>993</v>
      </c>
      <c r="D610" s="74">
        <v>500585</v>
      </c>
      <c r="E610" s="208" t="s">
        <v>144</v>
      </c>
      <c r="F610" s="208" t="s">
        <v>224</v>
      </c>
      <c r="G610" s="208" t="s">
        <v>236</v>
      </c>
      <c r="H610" s="209" t="s">
        <v>191</v>
      </c>
      <c r="I610" s="210">
        <v>7</v>
      </c>
    </row>
    <row r="611" spans="1:9" x14ac:dyDescent="0.25">
      <c r="A611" s="74" t="s">
        <v>2758</v>
      </c>
      <c r="B611" s="45">
        <v>585</v>
      </c>
      <c r="C611" s="63" t="s">
        <v>994</v>
      </c>
      <c r="D611" s="74">
        <v>500585</v>
      </c>
      <c r="E611" s="208" t="s">
        <v>144</v>
      </c>
      <c r="F611" s="208" t="s">
        <v>224</v>
      </c>
      <c r="G611" s="208" t="s">
        <v>236</v>
      </c>
      <c r="H611" s="209" t="s">
        <v>191</v>
      </c>
      <c r="I611" s="210">
        <v>7</v>
      </c>
    </row>
    <row r="612" spans="1:9" x14ac:dyDescent="0.25">
      <c r="A612" s="74" t="s">
        <v>2759</v>
      </c>
      <c r="B612" s="45">
        <v>586</v>
      </c>
      <c r="C612" s="63" t="s">
        <v>995</v>
      </c>
      <c r="D612" s="74">
        <v>500746</v>
      </c>
      <c r="E612" s="208" t="s">
        <v>145</v>
      </c>
      <c r="F612" s="208" t="s">
        <v>233</v>
      </c>
      <c r="G612" s="208" t="s">
        <v>234</v>
      </c>
      <c r="H612" s="209" t="s">
        <v>192</v>
      </c>
      <c r="I612" s="210">
        <v>6</v>
      </c>
    </row>
    <row r="613" spans="1:9" x14ac:dyDescent="0.25">
      <c r="A613" s="74" t="s">
        <v>2760</v>
      </c>
      <c r="B613" s="45">
        <v>587</v>
      </c>
      <c r="C613" s="63" t="s">
        <v>996</v>
      </c>
      <c r="D613" s="74">
        <v>500587</v>
      </c>
      <c r="E613" s="208" t="s">
        <v>151</v>
      </c>
      <c r="F613" s="208" t="s">
        <v>237</v>
      </c>
      <c r="G613" s="208" t="s">
        <v>21</v>
      </c>
      <c r="H613" s="209" t="s">
        <v>179</v>
      </c>
      <c r="I613" s="210">
        <v>5</v>
      </c>
    </row>
    <row r="614" spans="1:9" x14ac:dyDescent="0.25">
      <c r="A614" s="74" t="s">
        <v>2761</v>
      </c>
      <c r="B614" s="45">
        <v>588</v>
      </c>
      <c r="C614" s="63" t="s">
        <v>997</v>
      </c>
      <c r="D614" s="74">
        <v>500744</v>
      </c>
      <c r="E614" s="208" t="s">
        <v>145</v>
      </c>
      <c r="F614" s="208" t="s">
        <v>233</v>
      </c>
      <c r="G614" s="208" t="s">
        <v>234</v>
      </c>
      <c r="H614" s="209" t="s">
        <v>193</v>
      </c>
      <c r="I614" s="210">
        <v>7</v>
      </c>
    </row>
    <row r="615" spans="1:9" x14ac:dyDescent="0.25">
      <c r="A615" s="74" t="s">
        <v>2762</v>
      </c>
      <c r="B615" s="45">
        <v>589</v>
      </c>
      <c r="C615" s="63" t="s">
        <v>998</v>
      </c>
      <c r="D615" s="74">
        <v>500595</v>
      </c>
      <c r="E615" s="208" t="s">
        <v>152</v>
      </c>
      <c r="F615" s="208" t="s">
        <v>238</v>
      </c>
      <c r="G615" s="208" t="s">
        <v>21</v>
      </c>
      <c r="H615" s="209" t="s">
        <v>179</v>
      </c>
      <c r="I615" s="210">
        <v>4</v>
      </c>
    </row>
    <row r="616" spans="1:9" x14ac:dyDescent="0.25">
      <c r="A616" s="74" t="s">
        <v>2763</v>
      </c>
      <c r="B616" s="45">
        <v>590</v>
      </c>
      <c r="C616" s="63" t="s">
        <v>999</v>
      </c>
      <c r="D616" s="74">
        <v>500596</v>
      </c>
      <c r="E616" s="208" t="s">
        <v>152</v>
      </c>
      <c r="F616" s="208" t="s">
        <v>238</v>
      </c>
      <c r="G616" s="208" t="s">
        <v>21</v>
      </c>
      <c r="H616" s="209" t="s">
        <v>187</v>
      </c>
      <c r="I616" s="210">
        <v>6</v>
      </c>
    </row>
    <row r="617" spans="1:9" x14ac:dyDescent="0.25">
      <c r="A617" s="74" t="s">
        <v>2764</v>
      </c>
      <c r="B617" s="45">
        <v>591</v>
      </c>
      <c r="C617" s="63" t="s">
        <v>1000</v>
      </c>
      <c r="D617" s="74">
        <v>500597</v>
      </c>
      <c r="E617" s="208" t="s">
        <v>152</v>
      </c>
      <c r="F617" s="208" t="s">
        <v>238</v>
      </c>
      <c r="G617" s="208" t="s">
        <v>21</v>
      </c>
      <c r="H617" s="209" t="s">
        <v>187</v>
      </c>
      <c r="I617" s="210">
        <v>6</v>
      </c>
    </row>
    <row r="618" spans="1:9" x14ac:dyDescent="0.25">
      <c r="A618" s="74" t="s">
        <v>2765</v>
      </c>
      <c r="B618" s="45">
        <v>592</v>
      </c>
      <c r="C618" s="63" t="s">
        <v>1001</v>
      </c>
      <c r="D618" s="74">
        <v>500594</v>
      </c>
      <c r="E618" s="208" t="s">
        <v>139</v>
      </c>
      <c r="F618" s="208" t="s">
        <v>239</v>
      </c>
      <c r="G618" s="208" t="s">
        <v>21</v>
      </c>
      <c r="H618" s="209" t="s">
        <v>183</v>
      </c>
      <c r="I618" s="210">
        <v>5</v>
      </c>
    </row>
    <row r="619" spans="1:9" x14ac:dyDescent="0.25">
      <c r="A619" s="74" t="s">
        <v>2766</v>
      </c>
      <c r="B619" s="45">
        <v>593</v>
      </c>
      <c r="C619" s="63" t="s">
        <v>1002</v>
      </c>
      <c r="D619" s="74">
        <v>500553</v>
      </c>
      <c r="E619" s="208" t="s">
        <v>144</v>
      </c>
      <c r="F619" s="208" t="s">
        <v>224</v>
      </c>
      <c r="G619" s="208" t="s">
        <v>21</v>
      </c>
      <c r="H619" s="209" t="s">
        <v>191</v>
      </c>
      <c r="I619" s="210">
        <v>7</v>
      </c>
    </row>
    <row r="620" spans="1:9" x14ac:dyDescent="0.25">
      <c r="A620" s="74" t="s">
        <v>2767</v>
      </c>
      <c r="B620" s="45">
        <v>594</v>
      </c>
      <c r="C620" s="63" t="s">
        <v>1003</v>
      </c>
      <c r="D620" s="74">
        <v>500553</v>
      </c>
      <c r="E620" s="208" t="s">
        <v>144</v>
      </c>
      <c r="F620" s="208" t="s">
        <v>224</v>
      </c>
      <c r="G620" s="208" t="s">
        <v>21</v>
      </c>
      <c r="H620" s="209" t="s">
        <v>191</v>
      </c>
      <c r="I620" s="210">
        <v>7</v>
      </c>
    </row>
    <row r="621" spans="1:9" x14ac:dyDescent="0.25">
      <c r="A621" s="74" t="s">
        <v>2768</v>
      </c>
      <c r="B621" s="45">
        <v>595</v>
      </c>
      <c r="C621" s="63" t="s">
        <v>1004</v>
      </c>
      <c r="D621" s="74">
        <v>500603</v>
      </c>
      <c r="E621" s="208" t="s">
        <v>144</v>
      </c>
      <c r="F621" s="208" t="s">
        <v>224</v>
      </c>
      <c r="G621" s="208" t="s">
        <v>21</v>
      </c>
      <c r="H621" s="209" t="s">
        <v>198</v>
      </c>
      <c r="I621" s="210">
        <v>6</v>
      </c>
    </row>
    <row r="622" spans="1:9" x14ac:dyDescent="0.25">
      <c r="A622" s="74" t="s">
        <v>2769</v>
      </c>
      <c r="B622" s="45">
        <v>596</v>
      </c>
      <c r="C622" s="63" t="s">
        <v>1005</v>
      </c>
      <c r="D622" s="74">
        <v>500604</v>
      </c>
      <c r="E622" s="208" t="s">
        <v>144</v>
      </c>
      <c r="F622" s="208" t="s">
        <v>224</v>
      </c>
      <c r="G622" s="208" t="s">
        <v>236</v>
      </c>
      <c r="H622" s="209" t="s">
        <v>192</v>
      </c>
      <c r="I622" s="210">
        <v>7</v>
      </c>
    </row>
    <row r="623" spans="1:9" x14ac:dyDescent="0.25">
      <c r="A623" s="74" t="s">
        <v>2770</v>
      </c>
      <c r="B623" s="45">
        <v>597</v>
      </c>
      <c r="C623" s="63" t="s">
        <v>1006</v>
      </c>
      <c r="D623" s="74">
        <v>500605</v>
      </c>
      <c r="E623" s="208" t="s">
        <v>144</v>
      </c>
      <c r="F623" s="208" t="s">
        <v>224</v>
      </c>
      <c r="G623" s="208" t="s">
        <v>236</v>
      </c>
      <c r="H623" s="209" t="s">
        <v>191</v>
      </c>
      <c r="I623" s="210">
        <v>7</v>
      </c>
    </row>
    <row r="624" spans="1:9" x14ac:dyDescent="0.25">
      <c r="A624" s="74" t="s">
        <v>2771</v>
      </c>
      <c r="B624" s="45">
        <v>598</v>
      </c>
      <c r="C624" s="63" t="s">
        <v>1007</v>
      </c>
      <c r="D624" s="74">
        <v>500605</v>
      </c>
      <c r="E624" s="208" t="s">
        <v>144</v>
      </c>
      <c r="F624" s="208" t="s">
        <v>224</v>
      </c>
      <c r="G624" s="208" t="s">
        <v>236</v>
      </c>
      <c r="H624" s="209" t="s">
        <v>191</v>
      </c>
      <c r="I624" s="210">
        <v>7</v>
      </c>
    </row>
    <row r="625" spans="1:9" x14ac:dyDescent="0.25">
      <c r="A625" s="74" t="s">
        <v>2772</v>
      </c>
      <c r="B625" s="45" t="s">
        <v>23</v>
      </c>
      <c r="C625" s="45" t="s">
        <v>23</v>
      </c>
      <c r="D625" s="74">
        <v>500599</v>
      </c>
      <c r="E625" s="208" t="s">
        <v>144</v>
      </c>
      <c r="F625" s="208" t="s">
        <v>224</v>
      </c>
      <c r="G625" s="208" t="s">
        <v>236</v>
      </c>
      <c r="H625" s="209" t="s">
        <v>192</v>
      </c>
      <c r="I625" s="210">
        <v>7</v>
      </c>
    </row>
    <row r="626" spans="1:9" x14ac:dyDescent="0.25">
      <c r="A626" s="74" t="s">
        <v>2773</v>
      </c>
      <c r="B626" s="45">
        <v>599</v>
      </c>
      <c r="C626" s="63" t="s">
        <v>1008</v>
      </c>
      <c r="D626" s="74">
        <v>500555</v>
      </c>
      <c r="E626" s="208" t="s">
        <v>144</v>
      </c>
      <c r="F626" s="208" t="s">
        <v>224</v>
      </c>
      <c r="G626" s="208" t="s">
        <v>236</v>
      </c>
      <c r="H626" s="209" t="s">
        <v>191</v>
      </c>
      <c r="I626" s="210">
        <v>7</v>
      </c>
    </row>
    <row r="627" spans="1:9" x14ac:dyDescent="0.25">
      <c r="A627" s="74" t="s">
        <v>2774</v>
      </c>
      <c r="B627" s="45">
        <v>600</v>
      </c>
      <c r="C627" s="63" t="s">
        <v>1009</v>
      </c>
      <c r="D627" s="74">
        <v>500555</v>
      </c>
      <c r="E627" s="208" t="s">
        <v>144</v>
      </c>
      <c r="F627" s="208" t="s">
        <v>224</v>
      </c>
      <c r="G627" s="208" t="s">
        <v>236</v>
      </c>
      <c r="H627" s="209" t="s">
        <v>191</v>
      </c>
      <c r="I627" s="210">
        <v>7</v>
      </c>
    </row>
    <row r="628" spans="1:9" x14ac:dyDescent="0.25">
      <c r="A628" s="74" t="s">
        <v>2775</v>
      </c>
      <c r="B628" s="45">
        <v>601</v>
      </c>
      <c r="C628" s="63" t="s">
        <v>1010</v>
      </c>
      <c r="D628" s="74">
        <v>500606</v>
      </c>
      <c r="E628" s="208" t="s">
        <v>144</v>
      </c>
      <c r="F628" s="208" t="s">
        <v>224</v>
      </c>
      <c r="G628" s="208" t="s">
        <v>236</v>
      </c>
      <c r="H628" s="209" t="s">
        <v>192</v>
      </c>
      <c r="I628" s="210">
        <v>7</v>
      </c>
    </row>
    <row r="629" spans="1:9" x14ac:dyDescent="0.25">
      <c r="A629" s="74" t="s">
        <v>2776</v>
      </c>
      <c r="B629" s="45">
        <v>602</v>
      </c>
      <c r="C629" s="63" t="s">
        <v>1011</v>
      </c>
      <c r="D629" s="74">
        <v>500607</v>
      </c>
      <c r="E629" s="208" t="s">
        <v>144</v>
      </c>
      <c r="F629" s="208" t="s">
        <v>224</v>
      </c>
      <c r="G629" s="208" t="s">
        <v>236</v>
      </c>
      <c r="H629" s="209" t="s">
        <v>192</v>
      </c>
      <c r="I629" s="210">
        <v>7</v>
      </c>
    </row>
    <row r="630" spans="1:9" x14ac:dyDescent="0.25">
      <c r="A630" s="74" t="s">
        <v>2777</v>
      </c>
      <c r="B630" s="45">
        <v>603</v>
      </c>
      <c r="C630" s="63" t="s">
        <v>1012</v>
      </c>
      <c r="D630" s="74">
        <v>500142</v>
      </c>
      <c r="E630" s="208" t="s">
        <v>144</v>
      </c>
      <c r="F630" s="208" t="s">
        <v>224</v>
      </c>
      <c r="G630" s="208" t="s">
        <v>236</v>
      </c>
      <c r="H630" s="209" t="s">
        <v>192</v>
      </c>
      <c r="I630" s="210">
        <v>7</v>
      </c>
    </row>
    <row r="631" spans="1:9" x14ac:dyDescent="0.25">
      <c r="A631" s="74" t="s">
        <v>2778</v>
      </c>
      <c r="B631" s="45">
        <v>604</v>
      </c>
      <c r="C631" s="63" t="s">
        <v>1013</v>
      </c>
      <c r="D631" s="74">
        <v>500608</v>
      </c>
      <c r="E631" s="208" t="s">
        <v>144</v>
      </c>
      <c r="F631" s="208" t="s">
        <v>224</v>
      </c>
      <c r="G631" s="208" t="s">
        <v>236</v>
      </c>
      <c r="H631" s="209" t="s">
        <v>192</v>
      </c>
      <c r="I631" s="210">
        <v>7</v>
      </c>
    </row>
    <row r="632" spans="1:9" x14ac:dyDescent="0.25">
      <c r="A632" s="74" t="s">
        <v>2779</v>
      </c>
      <c r="B632" s="45">
        <v>605</v>
      </c>
      <c r="C632" s="63" t="s">
        <v>1014</v>
      </c>
      <c r="D632" s="74">
        <v>500143</v>
      </c>
      <c r="E632" s="208" t="s">
        <v>144</v>
      </c>
      <c r="F632" s="208" t="s">
        <v>224</v>
      </c>
      <c r="G632" s="208" t="s">
        <v>236</v>
      </c>
      <c r="H632" s="209" t="s">
        <v>192</v>
      </c>
      <c r="I632" s="210">
        <v>7</v>
      </c>
    </row>
    <row r="633" spans="1:9" x14ac:dyDescent="0.25">
      <c r="A633" s="74" t="s">
        <v>2780</v>
      </c>
      <c r="B633" s="45">
        <v>606</v>
      </c>
      <c r="C633" s="63" t="s">
        <v>1015</v>
      </c>
      <c r="D633" s="74">
        <v>500600</v>
      </c>
      <c r="E633" s="208" t="s">
        <v>155</v>
      </c>
      <c r="F633" s="208" t="s">
        <v>240</v>
      </c>
      <c r="G633" s="208" t="s">
        <v>21</v>
      </c>
      <c r="H633" s="209" t="s">
        <v>179</v>
      </c>
      <c r="I633" s="210">
        <v>4</v>
      </c>
    </row>
    <row r="634" spans="1:9" x14ac:dyDescent="0.25">
      <c r="A634" s="74" t="s">
        <v>2781</v>
      </c>
      <c r="B634" s="45">
        <v>607</v>
      </c>
      <c r="C634" s="63" t="s">
        <v>1016</v>
      </c>
      <c r="D634" s="74">
        <v>500598</v>
      </c>
      <c r="E634" s="208" t="s">
        <v>155</v>
      </c>
      <c r="F634" s="208" t="s">
        <v>240</v>
      </c>
      <c r="G634" s="208" t="s">
        <v>21</v>
      </c>
      <c r="H634" s="209" t="s">
        <v>187</v>
      </c>
      <c r="I634" s="210">
        <v>6</v>
      </c>
    </row>
    <row r="635" spans="1:9" x14ac:dyDescent="0.25">
      <c r="A635" s="74" t="s">
        <v>2782</v>
      </c>
      <c r="B635" s="45">
        <v>608</v>
      </c>
      <c r="C635" s="63" t="s">
        <v>1017</v>
      </c>
      <c r="D635" s="74">
        <v>500601</v>
      </c>
      <c r="E635" s="208" t="s">
        <v>155</v>
      </c>
      <c r="F635" s="208" t="s">
        <v>240</v>
      </c>
      <c r="G635" s="208" t="s">
        <v>21</v>
      </c>
      <c r="H635" s="209" t="s">
        <v>187</v>
      </c>
      <c r="I635" s="210">
        <v>6</v>
      </c>
    </row>
    <row r="636" spans="1:9" x14ac:dyDescent="0.25">
      <c r="A636" s="74" t="s">
        <v>2783</v>
      </c>
      <c r="B636" s="45">
        <v>609</v>
      </c>
      <c r="C636" s="63" t="s">
        <v>1018</v>
      </c>
      <c r="D636" s="74">
        <v>500615</v>
      </c>
      <c r="E636" s="208" t="s">
        <v>142</v>
      </c>
      <c r="F636" s="208" t="s">
        <v>241</v>
      </c>
      <c r="G636" s="208" t="s">
        <v>21</v>
      </c>
      <c r="H636" s="209" t="s">
        <v>183</v>
      </c>
      <c r="I636" s="210">
        <v>5</v>
      </c>
    </row>
    <row r="637" spans="1:9" x14ac:dyDescent="0.25">
      <c r="A637" s="74" t="s">
        <v>2784</v>
      </c>
      <c r="B637" s="45">
        <v>610</v>
      </c>
      <c r="C637" s="63" t="s">
        <v>1019</v>
      </c>
      <c r="D637" s="74">
        <v>500628</v>
      </c>
      <c r="E637" s="208" t="s">
        <v>156</v>
      </c>
      <c r="F637" s="208" t="s">
        <v>223</v>
      </c>
      <c r="G637" s="208" t="s">
        <v>21</v>
      </c>
      <c r="H637" s="209" t="s">
        <v>198</v>
      </c>
      <c r="I637" s="210">
        <v>6</v>
      </c>
    </row>
    <row r="638" spans="1:9" x14ac:dyDescent="0.25">
      <c r="A638" s="74" t="s">
        <v>2785</v>
      </c>
      <c r="B638" s="45">
        <v>611</v>
      </c>
      <c r="C638" s="63" t="s">
        <v>1020</v>
      </c>
      <c r="D638" s="74">
        <v>500629</v>
      </c>
      <c r="E638" s="208" t="s">
        <v>156</v>
      </c>
      <c r="F638" s="208" t="s">
        <v>223</v>
      </c>
      <c r="G638" s="208" t="s">
        <v>21</v>
      </c>
      <c r="H638" s="209" t="s">
        <v>191</v>
      </c>
      <c r="I638" s="210">
        <v>7</v>
      </c>
    </row>
    <row r="639" spans="1:9" x14ac:dyDescent="0.25">
      <c r="A639" s="74" t="s">
        <v>2786</v>
      </c>
      <c r="B639" s="45">
        <v>612</v>
      </c>
      <c r="C639" s="63" t="s">
        <v>1021</v>
      </c>
      <c r="D639" s="74">
        <v>500629</v>
      </c>
      <c r="E639" s="208" t="s">
        <v>156</v>
      </c>
      <c r="F639" s="208" t="s">
        <v>223</v>
      </c>
      <c r="G639" s="208" t="s">
        <v>21</v>
      </c>
      <c r="H639" s="209" t="s">
        <v>191</v>
      </c>
      <c r="I639" s="210">
        <v>7</v>
      </c>
    </row>
    <row r="640" spans="1:9" x14ac:dyDescent="0.25">
      <c r="A640" s="74" t="s">
        <v>2787</v>
      </c>
      <c r="B640" s="45">
        <v>613</v>
      </c>
      <c r="C640" s="63" t="s">
        <v>1022</v>
      </c>
      <c r="D640" s="74">
        <v>500681</v>
      </c>
      <c r="E640" s="208" t="s">
        <v>131</v>
      </c>
      <c r="F640" s="208" t="s">
        <v>232</v>
      </c>
      <c r="G640" s="208" t="s">
        <v>21</v>
      </c>
      <c r="H640" s="209" t="s">
        <v>179</v>
      </c>
      <c r="I640" s="210">
        <v>4</v>
      </c>
    </row>
    <row r="641" spans="1:9" x14ac:dyDescent="0.25">
      <c r="A641" s="74" t="s">
        <v>2788</v>
      </c>
      <c r="B641" s="45">
        <v>614</v>
      </c>
      <c r="C641" s="64" t="s">
        <v>1023</v>
      </c>
      <c r="D641" s="74">
        <v>500740</v>
      </c>
      <c r="E641" s="208" t="s">
        <v>145</v>
      </c>
      <c r="F641" s="208" t="s">
        <v>233</v>
      </c>
      <c r="G641" s="208" t="s">
        <v>21</v>
      </c>
      <c r="H641" s="209" t="s">
        <v>187</v>
      </c>
      <c r="I641" s="210">
        <v>6</v>
      </c>
    </row>
    <row r="642" spans="1:9" x14ac:dyDescent="0.25">
      <c r="A642" s="74" t="s">
        <v>2789</v>
      </c>
      <c r="B642" s="45" t="s">
        <v>23</v>
      </c>
      <c r="C642" s="45" t="s">
        <v>23</v>
      </c>
      <c r="D642" s="74">
        <v>500120</v>
      </c>
      <c r="E642" s="208" t="s">
        <v>156</v>
      </c>
      <c r="F642" s="208" t="s">
        <v>223</v>
      </c>
      <c r="G642" s="208" t="s">
        <v>21</v>
      </c>
      <c r="H642" s="209" t="s">
        <v>191</v>
      </c>
      <c r="I642" s="210">
        <v>7</v>
      </c>
    </row>
    <row r="643" spans="1:9" x14ac:dyDescent="0.25">
      <c r="A643" s="74" t="s">
        <v>2790</v>
      </c>
      <c r="B643" s="45">
        <v>615</v>
      </c>
      <c r="C643" s="63" t="s">
        <v>1024</v>
      </c>
      <c r="D643" s="74">
        <v>500120</v>
      </c>
      <c r="E643" s="208" t="s">
        <v>156</v>
      </c>
      <c r="F643" s="208" t="s">
        <v>223</v>
      </c>
      <c r="G643" s="208" t="s">
        <v>21</v>
      </c>
      <c r="H643" s="209" t="s">
        <v>191</v>
      </c>
      <c r="I643" s="210">
        <v>7</v>
      </c>
    </row>
    <row r="644" spans="1:9" x14ac:dyDescent="0.25">
      <c r="A644" s="74" t="s">
        <v>2791</v>
      </c>
      <c r="B644" s="45">
        <v>616</v>
      </c>
      <c r="C644" s="45" t="s">
        <v>1025</v>
      </c>
      <c r="D644" s="74">
        <v>500120</v>
      </c>
      <c r="E644" s="208" t="s">
        <v>156</v>
      </c>
      <c r="F644" s="208" t="s">
        <v>223</v>
      </c>
      <c r="G644" s="208" t="s">
        <v>21</v>
      </c>
      <c r="H644" s="209" t="s">
        <v>191</v>
      </c>
      <c r="I644" s="210">
        <v>7</v>
      </c>
    </row>
    <row r="645" spans="1:9" x14ac:dyDescent="0.25">
      <c r="A645" s="74" t="s">
        <v>2792</v>
      </c>
      <c r="B645" s="45" t="s">
        <v>23</v>
      </c>
      <c r="C645" s="45" t="s">
        <v>23</v>
      </c>
      <c r="D645" s="74">
        <v>500120</v>
      </c>
      <c r="E645" s="208" t="s">
        <v>156</v>
      </c>
      <c r="F645" s="208" t="s">
        <v>223</v>
      </c>
      <c r="G645" s="208" t="s">
        <v>21</v>
      </c>
      <c r="H645" s="209" t="s">
        <v>191</v>
      </c>
      <c r="I645" s="210">
        <v>7</v>
      </c>
    </row>
    <row r="646" spans="1:9" x14ac:dyDescent="0.25">
      <c r="A646" s="74" t="s">
        <v>2793</v>
      </c>
      <c r="B646" s="45">
        <v>617</v>
      </c>
      <c r="C646" s="63" t="s">
        <v>1026</v>
      </c>
      <c r="D646" s="74">
        <v>500711</v>
      </c>
      <c r="E646" s="208" t="s">
        <v>144</v>
      </c>
      <c r="F646" s="208" t="s">
        <v>224</v>
      </c>
      <c r="G646" s="208" t="s">
        <v>21</v>
      </c>
      <c r="H646" s="209" t="s">
        <v>189</v>
      </c>
      <c r="I646" s="210">
        <v>6</v>
      </c>
    </row>
    <row r="647" spans="1:9" x14ac:dyDescent="0.25">
      <c r="A647" s="74" t="s">
        <v>2794</v>
      </c>
      <c r="B647" s="45">
        <v>618</v>
      </c>
      <c r="C647" s="63" t="s">
        <v>1027</v>
      </c>
      <c r="D647" s="74">
        <v>500553</v>
      </c>
      <c r="E647" s="208" t="s">
        <v>144</v>
      </c>
      <c r="F647" s="208" t="s">
        <v>224</v>
      </c>
      <c r="G647" s="208" t="s">
        <v>21</v>
      </c>
      <c r="H647" s="209" t="s">
        <v>191</v>
      </c>
      <c r="I647" s="210">
        <v>7</v>
      </c>
    </row>
    <row r="648" spans="1:9" x14ac:dyDescent="0.25">
      <c r="A648" s="74" t="s">
        <v>2795</v>
      </c>
      <c r="B648" s="45">
        <v>619</v>
      </c>
      <c r="C648" s="63" t="s">
        <v>1028</v>
      </c>
      <c r="D648" s="74">
        <v>500553</v>
      </c>
      <c r="E648" s="208" t="s">
        <v>144</v>
      </c>
      <c r="F648" s="208" t="s">
        <v>224</v>
      </c>
      <c r="G648" s="208" t="s">
        <v>21</v>
      </c>
      <c r="H648" s="209" t="s">
        <v>191</v>
      </c>
      <c r="I648" s="210">
        <v>7</v>
      </c>
    </row>
    <row r="649" spans="1:9" x14ac:dyDescent="0.25">
      <c r="A649" s="74" t="s">
        <v>2796</v>
      </c>
      <c r="B649" s="45">
        <v>620</v>
      </c>
      <c r="C649" s="63" t="s">
        <v>1029</v>
      </c>
      <c r="D649" s="74">
        <v>500553</v>
      </c>
      <c r="E649" s="208" t="s">
        <v>144</v>
      </c>
      <c r="F649" s="208" t="s">
        <v>224</v>
      </c>
      <c r="G649" s="208" t="s">
        <v>21</v>
      </c>
      <c r="H649" s="209" t="s">
        <v>191</v>
      </c>
      <c r="I649" s="210">
        <v>7</v>
      </c>
    </row>
    <row r="650" spans="1:9" x14ac:dyDescent="0.25">
      <c r="A650" s="74" t="s">
        <v>2797</v>
      </c>
      <c r="B650" s="45">
        <v>621</v>
      </c>
      <c r="C650" s="64" t="s">
        <v>1030</v>
      </c>
      <c r="D650" s="74">
        <v>500553</v>
      </c>
      <c r="E650" s="208" t="s">
        <v>144</v>
      </c>
      <c r="F650" s="208" t="s">
        <v>224</v>
      </c>
      <c r="G650" s="208" t="s">
        <v>21</v>
      </c>
      <c r="H650" s="209" t="s">
        <v>191</v>
      </c>
      <c r="I650" s="210">
        <v>7</v>
      </c>
    </row>
    <row r="651" spans="1:9" x14ac:dyDescent="0.25">
      <c r="A651" s="74" t="s">
        <v>2798</v>
      </c>
      <c r="B651" s="45">
        <v>622</v>
      </c>
      <c r="C651" s="63" t="s">
        <v>1031</v>
      </c>
      <c r="D651" s="74">
        <v>500747</v>
      </c>
      <c r="E651" s="208" t="s">
        <v>145</v>
      </c>
      <c r="F651" s="208" t="s">
        <v>233</v>
      </c>
      <c r="G651" s="208" t="s">
        <v>21</v>
      </c>
      <c r="H651" s="209" t="s">
        <v>180</v>
      </c>
      <c r="I651" s="210">
        <v>5</v>
      </c>
    </row>
    <row r="652" spans="1:9" x14ac:dyDescent="0.25">
      <c r="A652" s="74" t="s">
        <v>2799</v>
      </c>
      <c r="B652" s="45">
        <v>623</v>
      </c>
      <c r="C652" s="63" t="s">
        <v>1032</v>
      </c>
      <c r="D652" s="74">
        <v>500717</v>
      </c>
      <c r="E652" s="208" t="s">
        <v>131</v>
      </c>
      <c r="F652" s="208" t="s">
        <v>232</v>
      </c>
      <c r="G652" s="208" t="s">
        <v>21</v>
      </c>
      <c r="H652" s="209" t="s">
        <v>179</v>
      </c>
      <c r="I652" s="210">
        <v>4</v>
      </c>
    </row>
    <row r="653" spans="1:9" x14ac:dyDescent="0.25">
      <c r="A653" s="74" t="s">
        <v>2800</v>
      </c>
      <c r="B653" s="45">
        <v>624</v>
      </c>
      <c r="C653" s="63" t="s">
        <v>1033</v>
      </c>
      <c r="D653" s="74">
        <v>500718</v>
      </c>
      <c r="E653" s="208" t="s">
        <v>131</v>
      </c>
      <c r="F653" s="208" t="s">
        <v>232</v>
      </c>
      <c r="G653" s="208" t="s">
        <v>21</v>
      </c>
      <c r="H653" s="209" t="s">
        <v>179</v>
      </c>
      <c r="I653" s="210">
        <v>4</v>
      </c>
    </row>
    <row r="654" spans="1:9" x14ac:dyDescent="0.25">
      <c r="A654" s="74" t="s">
        <v>2801</v>
      </c>
      <c r="B654" s="45">
        <v>625</v>
      </c>
      <c r="C654" s="63" t="s">
        <v>1034</v>
      </c>
      <c r="D654" s="74">
        <v>500723</v>
      </c>
      <c r="E654" s="208" t="s">
        <v>165</v>
      </c>
      <c r="F654" s="208" t="s">
        <v>227</v>
      </c>
      <c r="G654" s="208" t="s">
        <v>21</v>
      </c>
      <c r="H654" s="209" t="s">
        <v>186</v>
      </c>
      <c r="I654" s="210">
        <v>5</v>
      </c>
    </row>
    <row r="655" spans="1:9" x14ac:dyDescent="0.25">
      <c r="A655" s="74" t="s">
        <v>2802</v>
      </c>
      <c r="B655" s="45">
        <v>626</v>
      </c>
      <c r="C655" s="64" t="s">
        <v>1035</v>
      </c>
      <c r="D655" s="74">
        <v>500629</v>
      </c>
      <c r="E655" s="208" t="s">
        <v>156</v>
      </c>
      <c r="F655" s="208" t="s">
        <v>223</v>
      </c>
      <c r="G655" s="208" t="s">
        <v>21</v>
      </c>
      <c r="H655" s="209" t="s">
        <v>191</v>
      </c>
      <c r="I655" s="210">
        <v>7</v>
      </c>
    </row>
    <row r="656" spans="1:9" x14ac:dyDescent="0.25">
      <c r="A656" s="74" t="s">
        <v>2803</v>
      </c>
      <c r="B656" s="45">
        <v>627</v>
      </c>
      <c r="C656" s="64" t="s">
        <v>1036</v>
      </c>
      <c r="D656" s="74">
        <v>500001</v>
      </c>
      <c r="E656" s="208" t="s">
        <v>143</v>
      </c>
      <c r="F656" s="208" t="s">
        <v>242</v>
      </c>
      <c r="G656" s="208" t="s">
        <v>21</v>
      </c>
      <c r="H656" s="209" t="s">
        <v>183</v>
      </c>
      <c r="I656" s="210">
        <v>5</v>
      </c>
    </row>
    <row r="657" spans="1:9" x14ac:dyDescent="0.25">
      <c r="A657" s="74" t="s">
        <v>2804</v>
      </c>
      <c r="B657" s="45">
        <v>628</v>
      </c>
      <c r="C657" s="63" t="s">
        <v>1037</v>
      </c>
      <c r="D657" s="74">
        <v>500007</v>
      </c>
      <c r="E657" s="208" t="s">
        <v>138</v>
      </c>
      <c r="F657" s="208" t="s">
        <v>243</v>
      </c>
      <c r="G657" s="208" t="s">
        <v>21</v>
      </c>
      <c r="H657" s="209" t="s">
        <v>198</v>
      </c>
      <c r="I657" s="210">
        <v>6</v>
      </c>
    </row>
    <row r="658" spans="1:9" x14ac:dyDescent="0.25">
      <c r="A658" s="74" t="s">
        <v>2805</v>
      </c>
      <c r="B658" s="45">
        <v>629</v>
      </c>
      <c r="C658" s="64" t="s">
        <v>1038</v>
      </c>
      <c r="D658" s="74">
        <v>500009</v>
      </c>
      <c r="E658" s="208" t="s">
        <v>138</v>
      </c>
      <c r="F658" s="208" t="s">
        <v>243</v>
      </c>
      <c r="G658" s="208" t="s">
        <v>21</v>
      </c>
      <c r="H658" s="209" t="s">
        <v>183</v>
      </c>
      <c r="I658" s="210">
        <v>5</v>
      </c>
    </row>
    <row r="659" spans="1:9" x14ac:dyDescent="0.25">
      <c r="A659" s="74" t="s">
        <v>2806</v>
      </c>
      <c r="B659" s="45">
        <v>630</v>
      </c>
      <c r="C659" s="63" t="s">
        <v>1039</v>
      </c>
      <c r="D659" s="74">
        <v>500013</v>
      </c>
      <c r="E659" s="208" t="s">
        <v>143</v>
      </c>
      <c r="F659" s="208" t="s">
        <v>242</v>
      </c>
      <c r="G659" s="208" t="s">
        <v>21</v>
      </c>
      <c r="H659" s="209" t="s">
        <v>198</v>
      </c>
      <c r="I659" s="210">
        <v>6</v>
      </c>
    </row>
    <row r="660" spans="1:9" x14ac:dyDescent="0.25">
      <c r="A660" s="74" t="s">
        <v>2807</v>
      </c>
      <c r="B660" s="45">
        <v>631</v>
      </c>
      <c r="C660" s="64" t="s">
        <v>1040</v>
      </c>
      <c r="D660" s="74">
        <v>500015</v>
      </c>
      <c r="E660" s="208" t="s">
        <v>157</v>
      </c>
      <c r="F660" s="208" t="s">
        <v>244</v>
      </c>
      <c r="G660" s="208" t="s">
        <v>21</v>
      </c>
      <c r="H660" s="209" t="s">
        <v>183</v>
      </c>
      <c r="I660" s="210">
        <v>5</v>
      </c>
    </row>
    <row r="661" spans="1:9" x14ac:dyDescent="0.25">
      <c r="A661" s="74" t="s">
        <v>2808</v>
      </c>
      <c r="B661" s="45">
        <v>632</v>
      </c>
      <c r="C661" s="63" t="s">
        <v>1041</v>
      </c>
      <c r="D661" s="74">
        <v>500123</v>
      </c>
      <c r="E661" s="208" t="s">
        <v>157</v>
      </c>
      <c r="F661" s="208" t="s">
        <v>244</v>
      </c>
      <c r="G661" s="208" t="s">
        <v>21</v>
      </c>
      <c r="H661" s="209" t="s">
        <v>189</v>
      </c>
      <c r="I661" s="210">
        <v>6</v>
      </c>
    </row>
    <row r="662" spans="1:9" x14ac:dyDescent="0.25">
      <c r="A662" s="74" t="s">
        <v>2809</v>
      </c>
      <c r="B662" s="45" t="s">
        <v>23</v>
      </c>
      <c r="C662" s="45" t="s">
        <v>23</v>
      </c>
      <c r="D662" s="74">
        <v>500124</v>
      </c>
      <c r="E662" s="208" t="s">
        <v>143</v>
      </c>
      <c r="F662" s="208" t="s">
        <v>242</v>
      </c>
      <c r="G662" s="208" t="s">
        <v>21</v>
      </c>
      <c r="H662" s="209" t="s">
        <v>189</v>
      </c>
      <c r="I662" s="210">
        <v>6</v>
      </c>
    </row>
    <row r="663" spans="1:9" x14ac:dyDescent="0.25">
      <c r="A663" s="74" t="s">
        <v>2810</v>
      </c>
      <c r="B663" s="45">
        <v>633</v>
      </c>
      <c r="C663" s="63" t="s">
        <v>1042</v>
      </c>
      <c r="D663" s="74">
        <v>500125</v>
      </c>
      <c r="E663" s="208" t="s">
        <v>143</v>
      </c>
      <c r="F663" s="208" t="s">
        <v>242</v>
      </c>
      <c r="G663" s="208" t="s">
        <v>245</v>
      </c>
      <c r="H663" s="209" t="s">
        <v>189</v>
      </c>
      <c r="I663" s="210">
        <v>7</v>
      </c>
    </row>
    <row r="664" spans="1:9" x14ac:dyDescent="0.25">
      <c r="A664" s="74" t="s">
        <v>2811</v>
      </c>
      <c r="B664" s="45">
        <v>634</v>
      </c>
      <c r="C664" s="63" t="s">
        <v>1043</v>
      </c>
      <c r="D664" s="74">
        <v>500126</v>
      </c>
      <c r="E664" s="208" t="s">
        <v>143</v>
      </c>
      <c r="F664" s="208" t="s">
        <v>242</v>
      </c>
      <c r="G664" s="208" t="s">
        <v>245</v>
      </c>
      <c r="H664" s="209" t="s">
        <v>187</v>
      </c>
      <c r="I664" s="210">
        <v>6</v>
      </c>
    </row>
    <row r="665" spans="1:9" x14ac:dyDescent="0.25">
      <c r="A665" s="74" t="s">
        <v>2812</v>
      </c>
      <c r="B665" s="45">
        <v>635</v>
      </c>
      <c r="C665" s="63" t="s">
        <v>1044</v>
      </c>
      <c r="D665" s="74">
        <v>500127</v>
      </c>
      <c r="E665" s="208" t="s">
        <v>157</v>
      </c>
      <c r="F665" s="208" t="s">
        <v>244</v>
      </c>
      <c r="G665" s="208" t="s">
        <v>21</v>
      </c>
      <c r="H665" s="209" t="s">
        <v>189</v>
      </c>
      <c r="I665" s="210">
        <v>6</v>
      </c>
    </row>
    <row r="666" spans="1:9" x14ac:dyDescent="0.25">
      <c r="A666" s="74" t="s">
        <v>2813</v>
      </c>
      <c r="B666" s="45">
        <v>636</v>
      </c>
      <c r="C666" s="64" t="s">
        <v>1045</v>
      </c>
      <c r="D666" s="74">
        <v>500128</v>
      </c>
      <c r="E666" s="208" t="s">
        <v>157</v>
      </c>
      <c r="F666" s="208" t="s">
        <v>244</v>
      </c>
      <c r="G666" s="208" t="s">
        <v>21</v>
      </c>
      <c r="H666" s="209" t="s">
        <v>191</v>
      </c>
      <c r="I666" s="210">
        <v>7</v>
      </c>
    </row>
    <row r="667" spans="1:9" x14ac:dyDescent="0.25">
      <c r="A667" s="74" t="s">
        <v>2814</v>
      </c>
      <c r="B667" s="45">
        <v>637</v>
      </c>
      <c r="C667" s="64" t="s">
        <v>1046</v>
      </c>
      <c r="D667" s="74">
        <v>500128</v>
      </c>
      <c r="E667" s="208" t="s">
        <v>157</v>
      </c>
      <c r="F667" s="208" t="s">
        <v>244</v>
      </c>
      <c r="G667" s="208" t="s">
        <v>21</v>
      </c>
      <c r="H667" s="209" t="s">
        <v>191</v>
      </c>
      <c r="I667" s="210">
        <v>7</v>
      </c>
    </row>
    <row r="668" spans="1:9" x14ac:dyDescent="0.25">
      <c r="A668" s="74" t="s">
        <v>2815</v>
      </c>
      <c r="B668" s="45">
        <v>638</v>
      </c>
      <c r="C668" s="64" t="s">
        <v>1047</v>
      </c>
      <c r="D668" s="74">
        <v>500128</v>
      </c>
      <c r="E668" s="208" t="s">
        <v>157</v>
      </c>
      <c r="F668" s="208" t="s">
        <v>244</v>
      </c>
      <c r="G668" s="208" t="s">
        <v>21</v>
      </c>
      <c r="H668" s="209" t="s">
        <v>191</v>
      </c>
      <c r="I668" s="210">
        <v>7</v>
      </c>
    </row>
    <row r="669" spans="1:9" x14ac:dyDescent="0.25">
      <c r="A669" s="74" t="s">
        <v>2816</v>
      </c>
      <c r="B669" s="45">
        <v>639</v>
      </c>
      <c r="C669" s="64" t="s">
        <v>1048</v>
      </c>
      <c r="D669" s="74">
        <v>500128</v>
      </c>
      <c r="E669" s="208" t="s">
        <v>157</v>
      </c>
      <c r="F669" s="208" t="s">
        <v>244</v>
      </c>
      <c r="G669" s="208" t="s">
        <v>21</v>
      </c>
      <c r="H669" s="209" t="s">
        <v>191</v>
      </c>
      <c r="I669" s="210">
        <v>7</v>
      </c>
    </row>
    <row r="670" spans="1:9" x14ac:dyDescent="0.25">
      <c r="A670" s="74" t="s">
        <v>2817</v>
      </c>
      <c r="B670" s="45">
        <v>640</v>
      </c>
      <c r="C670" s="64" t="s">
        <v>1049</v>
      </c>
      <c r="D670" s="74">
        <v>500129</v>
      </c>
      <c r="E670" s="208" t="s">
        <v>157</v>
      </c>
      <c r="F670" s="208" t="s">
        <v>244</v>
      </c>
      <c r="G670" s="208" t="s">
        <v>21</v>
      </c>
      <c r="H670" s="209" t="s">
        <v>192</v>
      </c>
      <c r="I670" s="210">
        <v>7</v>
      </c>
    </row>
    <row r="671" spans="1:9" x14ac:dyDescent="0.25">
      <c r="A671" s="74" t="s">
        <v>2818</v>
      </c>
      <c r="B671" s="45">
        <v>641</v>
      </c>
      <c r="C671" s="64" t="s">
        <v>1050</v>
      </c>
      <c r="D671" s="74">
        <v>500130</v>
      </c>
      <c r="E671" s="208" t="s">
        <v>157</v>
      </c>
      <c r="F671" s="208" t="s">
        <v>244</v>
      </c>
      <c r="G671" s="208" t="s">
        <v>21</v>
      </c>
      <c r="H671" s="209" t="s">
        <v>191</v>
      </c>
      <c r="I671" s="210">
        <v>7</v>
      </c>
    </row>
    <row r="672" spans="1:9" x14ac:dyDescent="0.25">
      <c r="A672" s="74" t="s">
        <v>2819</v>
      </c>
      <c r="B672" s="45">
        <v>642</v>
      </c>
      <c r="C672" s="63" t="s">
        <v>1051</v>
      </c>
      <c r="D672" s="74">
        <v>500130</v>
      </c>
      <c r="E672" s="208" t="s">
        <v>157</v>
      </c>
      <c r="F672" s="208" t="s">
        <v>244</v>
      </c>
      <c r="G672" s="208" t="s">
        <v>21</v>
      </c>
      <c r="H672" s="209" t="s">
        <v>191</v>
      </c>
      <c r="I672" s="210">
        <v>7</v>
      </c>
    </row>
    <row r="673" spans="1:9" x14ac:dyDescent="0.25">
      <c r="A673" s="74" t="s">
        <v>2820</v>
      </c>
      <c r="B673" s="45">
        <v>643</v>
      </c>
      <c r="C673" s="64" t="s">
        <v>1052</v>
      </c>
      <c r="D673" s="74">
        <v>500130</v>
      </c>
      <c r="E673" s="208" t="s">
        <v>157</v>
      </c>
      <c r="F673" s="208" t="s">
        <v>244</v>
      </c>
      <c r="G673" s="208" t="s">
        <v>21</v>
      </c>
      <c r="H673" s="209" t="s">
        <v>191</v>
      </c>
      <c r="I673" s="210">
        <v>7</v>
      </c>
    </row>
    <row r="674" spans="1:9" x14ac:dyDescent="0.25">
      <c r="A674" s="74" t="s">
        <v>2821</v>
      </c>
      <c r="B674" s="45">
        <v>644</v>
      </c>
      <c r="C674" s="64" t="s">
        <v>1053</v>
      </c>
      <c r="D674" s="74">
        <v>500130</v>
      </c>
      <c r="E674" s="208" t="s">
        <v>157</v>
      </c>
      <c r="F674" s="208" t="s">
        <v>244</v>
      </c>
      <c r="G674" s="208" t="s">
        <v>21</v>
      </c>
      <c r="H674" s="209" t="s">
        <v>191</v>
      </c>
      <c r="I674" s="210">
        <v>7</v>
      </c>
    </row>
    <row r="675" spans="1:9" x14ac:dyDescent="0.25">
      <c r="A675" s="74" t="s">
        <v>2822</v>
      </c>
      <c r="B675" s="45">
        <v>645</v>
      </c>
      <c r="C675" s="64" t="s">
        <v>1054</v>
      </c>
      <c r="D675" s="74">
        <v>500131</v>
      </c>
      <c r="E675" s="208" t="s">
        <v>157</v>
      </c>
      <c r="F675" s="208" t="s">
        <v>244</v>
      </c>
      <c r="G675" s="208" t="s">
        <v>21</v>
      </c>
      <c r="H675" s="209" t="s">
        <v>192</v>
      </c>
      <c r="I675" s="210">
        <v>7</v>
      </c>
    </row>
    <row r="676" spans="1:9" x14ac:dyDescent="0.25">
      <c r="A676" s="74" t="s">
        <v>2823</v>
      </c>
      <c r="B676" s="45">
        <v>646</v>
      </c>
      <c r="C676" s="64" t="s">
        <v>1055</v>
      </c>
      <c r="D676" s="74">
        <v>500132</v>
      </c>
      <c r="E676" s="208" t="s">
        <v>157</v>
      </c>
      <c r="F676" s="208" t="s">
        <v>244</v>
      </c>
      <c r="G676" s="208" t="s">
        <v>21</v>
      </c>
      <c r="H676" s="209" t="s">
        <v>192</v>
      </c>
      <c r="I676" s="210">
        <v>7</v>
      </c>
    </row>
    <row r="677" spans="1:9" x14ac:dyDescent="0.25">
      <c r="A677" s="74" t="s">
        <v>2824</v>
      </c>
      <c r="B677" s="45">
        <v>647</v>
      </c>
      <c r="C677" s="63" t="s">
        <v>1056</v>
      </c>
      <c r="D677" s="74">
        <v>500133</v>
      </c>
      <c r="E677" s="208" t="s">
        <v>143</v>
      </c>
      <c r="F677" s="208" t="s">
        <v>242</v>
      </c>
      <c r="G677" s="208" t="s">
        <v>245</v>
      </c>
      <c r="H677" s="209" t="s">
        <v>192</v>
      </c>
      <c r="I677" s="210">
        <v>7</v>
      </c>
    </row>
    <row r="678" spans="1:9" x14ac:dyDescent="0.25">
      <c r="A678" s="74" t="s">
        <v>2825</v>
      </c>
      <c r="B678" s="45">
        <v>648</v>
      </c>
      <c r="C678" s="45" t="s">
        <v>1057</v>
      </c>
      <c r="D678" s="74">
        <v>500134</v>
      </c>
      <c r="E678" s="208" t="s">
        <v>143</v>
      </c>
      <c r="F678" s="208" t="s">
        <v>242</v>
      </c>
      <c r="G678" s="208" t="s">
        <v>21</v>
      </c>
      <c r="H678" s="209" t="s">
        <v>191</v>
      </c>
      <c r="I678" s="210">
        <v>7</v>
      </c>
    </row>
    <row r="679" spans="1:9" x14ac:dyDescent="0.25">
      <c r="A679" s="74" t="s">
        <v>2826</v>
      </c>
      <c r="B679" s="45">
        <v>649</v>
      </c>
      <c r="C679" s="64" t="s">
        <v>1058</v>
      </c>
      <c r="D679" s="74">
        <v>500134</v>
      </c>
      <c r="E679" s="208" t="s">
        <v>143</v>
      </c>
      <c r="F679" s="208" t="s">
        <v>242</v>
      </c>
      <c r="G679" s="208" t="s">
        <v>21</v>
      </c>
      <c r="H679" s="209" t="s">
        <v>191</v>
      </c>
      <c r="I679" s="210">
        <v>7</v>
      </c>
    </row>
    <row r="680" spans="1:9" x14ac:dyDescent="0.25">
      <c r="A680" s="74" t="s">
        <v>2827</v>
      </c>
      <c r="B680" s="45">
        <v>650</v>
      </c>
      <c r="C680" s="63" t="s">
        <v>1059</v>
      </c>
      <c r="D680" s="74">
        <v>500134</v>
      </c>
      <c r="E680" s="208" t="s">
        <v>143</v>
      </c>
      <c r="F680" s="208" t="s">
        <v>242</v>
      </c>
      <c r="G680" s="208" t="s">
        <v>21</v>
      </c>
      <c r="H680" s="209" t="s">
        <v>191</v>
      </c>
      <c r="I680" s="210">
        <v>7</v>
      </c>
    </row>
    <row r="681" spans="1:9" x14ac:dyDescent="0.25">
      <c r="A681" s="74" t="s">
        <v>2828</v>
      </c>
      <c r="B681" s="45">
        <v>651</v>
      </c>
      <c r="C681" s="64" t="s">
        <v>1060</v>
      </c>
      <c r="D681" s="74">
        <v>500134</v>
      </c>
      <c r="E681" s="208" t="s">
        <v>143</v>
      </c>
      <c r="F681" s="208" t="s">
        <v>242</v>
      </c>
      <c r="G681" s="208" t="s">
        <v>21</v>
      </c>
      <c r="H681" s="209" t="s">
        <v>191</v>
      </c>
      <c r="I681" s="210">
        <v>7</v>
      </c>
    </row>
    <row r="682" spans="1:9" x14ac:dyDescent="0.25">
      <c r="A682" s="74" t="s">
        <v>2829</v>
      </c>
      <c r="B682" s="45">
        <v>652</v>
      </c>
      <c r="C682" s="64" t="s">
        <v>1061</v>
      </c>
      <c r="D682" s="74">
        <v>500017</v>
      </c>
      <c r="E682" s="208" t="s">
        <v>136</v>
      </c>
      <c r="F682" s="208" t="s">
        <v>246</v>
      </c>
      <c r="G682" s="208" t="s">
        <v>21</v>
      </c>
      <c r="H682" s="209" t="s">
        <v>183</v>
      </c>
      <c r="I682" s="210">
        <v>4</v>
      </c>
    </row>
    <row r="683" spans="1:9" x14ac:dyDescent="0.25">
      <c r="A683" s="74" t="s">
        <v>2830</v>
      </c>
      <c r="B683" s="45">
        <v>653</v>
      </c>
      <c r="C683" s="64" t="s">
        <v>1062</v>
      </c>
      <c r="D683" s="74">
        <v>500135</v>
      </c>
      <c r="E683" s="208" t="s">
        <v>143</v>
      </c>
      <c r="F683" s="208" t="s">
        <v>242</v>
      </c>
      <c r="G683" s="208" t="s">
        <v>21</v>
      </c>
      <c r="H683" s="209" t="s">
        <v>191</v>
      </c>
      <c r="I683" s="210">
        <v>7</v>
      </c>
    </row>
    <row r="684" spans="1:9" x14ac:dyDescent="0.25">
      <c r="A684" s="74" t="s">
        <v>2831</v>
      </c>
      <c r="B684" s="45">
        <v>654</v>
      </c>
      <c r="C684" s="64" t="s">
        <v>1063</v>
      </c>
      <c r="D684" s="74">
        <v>500135</v>
      </c>
      <c r="E684" s="208" t="s">
        <v>143</v>
      </c>
      <c r="F684" s="208" t="s">
        <v>242</v>
      </c>
      <c r="G684" s="208" t="s">
        <v>21</v>
      </c>
      <c r="H684" s="209" t="s">
        <v>191</v>
      </c>
      <c r="I684" s="210">
        <v>7</v>
      </c>
    </row>
    <row r="685" spans="1:9" x14ac:dyDescent="0.25">
      <c r="A685" s="74" t="s">
        <v>2832</v>
      </c>
      <c r="B685" s="45">
        <v>655</v>
      </c>
      <c r="C685" s="64" t="s">
        <v>1064</v>
      </c>
      <c r="D685" s="74">
        <v>500135</v>
      </c>
      <c r="E685" s="208" t="s">
        <v>143</v>
      </c>
      <c r="F685" s="208" t="s">
        <v>242</v>
      </c>
      <c r="G685" s="208" t="s">
        <v>21</v>
      </c>
      <c r="H685" s="209" t="s">
        <v>191</v>
      </c>
      <c r="I685" s="210">
        <v>7</v>
      </c>
    </row>
    <row r="686" spans="1:9" x14ac:dyDescent="0.25">
      <c r="A686" s="74" t="s">
        <v>2833</v>
      </c>
      <c r="B686" s="45">
        <v>656</v>
      </c>
      <c r="C686" s="64" t="s">
        <v>1065</v>
      </c>
      <c r="D686" s="74">
        <v>500135</v>
      </c>
      <c r="E686" s="208" t="s">
        <v>143</v>
      </c>
      <c r="F686" s="208" t="s">
        <v>242</v>
      </c>
      <c r="G686" s="208" t="s">
        <v>21</v>
      </c>
      <c r="H686" s="209" t="s">
        <v>191</v>
      </c>
      <c r="I686" s="210">
        <v>7</v>
      </c>
    </row>
    <row r="687" spans="1:9" x14ac:dyDescent="0.25">
      <c r="A687" s="74" t="s">
        <v>2834</v>
      </c>
      <c r="B687" s="45">
        <v>657</v>
      </c>
      <c r="C687" s="64" t="s">
        <v>1066</v>
      </c>
      <c r="D687" s="74">
        <v>500136</v>
      </c>
      <c r="E687" s="208" t="s">
        <v>143</v>
      </c>
      <c r="F687" s="208" t="s">
        <v>242</v>
      </c>
      <c r="G687" s="208" t="s">
        <v>21</v>
      </c>
      <c r="H687" s="209" t="s">
        <v>192</v>
      </c>
      <c r="I687" s="210">
        <v>7</v>
      </c>
    </row>
    <row r="688" spans="1:9" x14ac:dyDescent="0.25">
      <c r="A688" s="74" t="s">
        <v>2835</v>
      </c>
      <c r="B688" s="45">
        <v>658</v>
      </c>
      <c r="C688" s="64" t="s">
        <v>1067</v>
      </c>
      <c r="D688" s="74">
        <v>500137</v>
      </c>
      <c r="E688" s="208" t="s">
        <v>143</v>
      </c>
      <c r="F688" s="208" t="s">
        <v>242</v>
      </c>
      <c r="G688" s="208" t="s">
        <v>245</v>
      </c>
      <c r="H688" s="209" t="s">
        <v>192</v>
      </c>
      <c r="I688" s="210">
        <v>7</v>
      </c>
    </row>
    <row r="689" spans="1:9" x14ac:dyDescent="0.25">
      <c r="A689" s="74" t="s">
        <v>2836</v>
      </c>
      <c r="B689" s="45">
        <v>659</v>
      </c>
      <c r="C689" s="64" t="s">
        <v>1068</v>
      </c>
      <c r="D689" s="74">
        <v>500298</v>
      </c>
      <c r="E689" s="208" t="s">
        <v>136</v>
      </c>
      <c r="F689" s="208" t="s">
        <v>246</v>
      </c>
      <c r="G689" s="208" t="s">
        <v>21</v>
      </c>
      <c r="H689" s="209" t="s">
        <v>187</v>
      </c>
      <c r="I689" s="210">
        <v>5</v>
      </c>
    </row>
    <row r="690" spans="1:9" x14ac:dyDescent="0.25">
      <c r="A690" s="74" t="s">
        <v>2837</v>
      </c>
      <c r="B690" s="45">
        <v>660</v>
      </c>
      <c r="C690" s="64" t="s">
        <v>1069</v>
      </c>
      <c r="D690" s="74">
        <v>500299</v>
      </c>
      <c r="E690" s="208" t="s">
        <v>136</v>
      </c>
      <c r="F690" s="208" t="s">
        <v>246</v>
      </c>
      <c r="G690" s="208" t="s">
        <v>21</v>
      </c>
      <c r="H690" s="209" t="s">
        <v>194</v>
      </c>
      <c r="I690" s="210">
        <v>6</v>
      </c>
    </row>
    <row r="691" spans="1:9" x14ac:dyDescent="0.25">
      <c r="A691" s="74" t="s">
        <v>2838</v>
      </c>
      <c r="B691" s="45">
        <v>661</v>
      </c>
      <c r="C691" s="64" t="s">
        <v>1070</v>
      </c>
      <c r="D691" s="74">
        <v>500299</v>
      </c>
      <c r="E691" s="208" t="s">
        <v>136</v>
      </c>
      <c r="F691" s="208" t="s">
        <v>246</v>
      </c>
      <c r="G691" s="208" t="s">
        <v>21</v>
      </c>
      <c r="H691" s="209" t="s">
        <v>194</v>
      </c>
      <c r="I691" s="210">
        <v>6</v>
      </c>
    </row>
    <row r="692" spans="1:9" x14ac:dyDescent="0.25">
      <c r="A692" s="74" t="s">
        <v>2839</v>
      </c>
      <c r="B692" s="45">
        <v>662</v>
      </c>
      <c r="C692" s="64" t="s">
        <v>1071</v>
      </c>
      <c r="D692" s="74">
        <v>500299</v>
      </c>
      <c r="E692" s="208" t="s">
        <v>136</v>
      </c>
      <c r="F692" s="208" t="s">
        <v>246</v>
      </c>
      <c r="G692" s="208" t="s">
        <v>21</v>
      </c>
      <c r="H692" s="209" t="s">
        <v>194</v>
      </c>
      <c r="I692" s="210">
        <v>6</v>
      </c>
    </row>
    <row r="693" spans="1:9" x14ac:dyDescent="0.25">
      <c r="A693" s="74" t="s">
        <v>2840</v>
      </c>
      <c r="B693" s="45">
        <v>663</v>
      </c>
      <c r="C693" s="64" t="s">
        <v>1072</v>
      </c>
      <c r="D693" s="74">
        <v>500299</v>
      </c>
      <c r="E693" s="208" t="s">
        <v>136</v>
      </c>
      <c r="F693" s="208" t="s">
        <v>246</v>
      </c>
      <c r="G693" s="208" t="s">
        <v>21</v>
      </c>
      <c r="H693" s="209" t="s">
        <v>194</v>
      </c>
      <c r="I693" s="210">
        <v>6</v>
      </c>
    </row>
    <row r="694" spans="1:9" x14ac:dyDescent="0.25">
      <c r="A694" s="74" t="s">
        <v>2841</v>
      </c>
      <c r="B694" s="45">
        <v>664</v>
      </c>
      <c r="C694" s="63" t="s">
        <v>1073</v>
      </c>
      <c r="D694" s="74">
        <v>500301</v>
      </c>
      <c r="E694" s="208" t="s">
        <v>136</v>
      </c>
      <c r="F694" s="208" t="s">
        <v>246</v>
      </c>
      <c r="G694" s="208" t="s">
        <v>21</v>
      </c>
      <c r="H694" s="209" t="s">
        <v>192</v>
      </c>
      <c r="I694" s="210">
        <v>6</v>
      </c>
    </row>
    <row r="695" spans="1:9" x14ac:dyDescent="0.25">
      <c r="A695" s="74" t="s">
        <v>2842</v>
      </c>
      <c r="B695" s="45">
        <v>665</v>
      </c>
      <c r="C695" s="64" t="s">
        <v>1074</v>
      </c>
      <c r="D695" s="74">
        <v>500302</v>
      </c>
      <c r="E695" s="208" t="s">
        <v>136</v>
      </c>
      <c r="F695" s="208" t="s">
        <v>246</v>
      </c>
      <c r="G695" s="208" t="s">
        <v>21</v>
      </c>
      <c r="H695" s="209" t="s">
        <v>189</v>
      </c>
      <c r="I695" s="210">
        <v>6</v>
      </c>
    </row>
    <row r="696" spans="1:9" x14ac:dyDescent="0.25">
      <c r="A696" s="74" t="s">
        <v>2843</v>
      </c>
      <c r="B696" s="45">
        <v>666</v>
      </c>
      <c r="C696" s="64" t="s">
        <v>1075</v>
      </c>
      <c r="D696" s="74">
        <v>500303</v>
      </c>
      <c r="E696" s="208" t="s">
        <v>136</v>
      </c>
      <c r="F696" s="208" t="s">
        <v>246</v>
      </c>
      <c r="G696" s="208" t="s">
        <v>21</v>
      </c>
      <c r="H696" s="209" t="s">
        <v>187</v>
      </c>
      <c r="I696" s="210">
        <v>5</v>
      </c>
    </row>
    <row r="697" spans="1:9" x14ac:dyDescent="0.25">
      <c r="A697" s="74" t="s">
        <v>2844</v>
      </c>
      <c r="B697" s="45">
        <v>667</v>
      </c>
      <c r="C697" s="63" t="s">
        <v>1076</v>
      </c>
      <c r="D697" s="74">
        <v>500304</v>
      </c>
      <c r="E697" s="208" t="s">
        <v>136</v>
      </c>
      <c r="F697" s="208" t="s">
        <v>246</v>
      </c>
      <c r="G697" s="208" t="s">
        <v>21</v>
      </c>
      <c r="H697" s="209" t="s">
        <v>189</v>
      </c>
      <c r="I697" s="210">
        <v>6</v>
      </c>
    </row>
    <row r="698" spans="1:9" x14ac:dyDescent="0.25">
      <c r="A698" s="74" t="s">
        <v>2845</v>
      </c>
      <c r="B698" s="45">
        <v>668</v>
      </c>
      <c r="C698" s="64" t="s">
        <v>1077</v>
      </c>
      <c r="D698" s="74">
        <v>500305</v>
      </c>
      <c r="E698" s="208" t="s">
        <v>136</v>
      </c>
      <c r="F698" s="208" t="s">
        <v>246</v>
      </c>
      <c r="G698" s="208" t="s">
        <v>21</v>
      </c>
      <c r="H698" s="209" t="s">
        <v>189</v>
      </c>
      <c r="I698" s="210">
        <v>6</v>
      </c>
    </row>
    <row r="699" spans="1:9" x14ac:dyDescent="0.25">
      <c r="A699" s="74" t="s">
        <v>2846</v>
      </c>
      <c r="B699" s="45">
        <v>669</v>
      </c>
      <c r="C699" s="64" t="s">
        <v>1078</v>
      </c>
      <c r="D699" s="74">
        <v>500306</v>
      </c>
      <c r="E699" s="208" t="s">
        <v>136</v>
      </c>
      <c r="F699" s="208" t="s">
        <v>246</v>
      </c>
      <c r="G699" s="208" t="s">
        <v>21</v>
      </c>
      <c r="H699" s="209" t="s">
        <v>189</v>
      </c>
      <c r="I699" s="210">
        <v>6</v>
      </c>
    </row>
    <row r="700" spans="1:9" x14ac:dyDescent="0.25">
      <c r="A700" s="74" t="s">
        <v>2847</v>
      </c>
      <c r="B700" s="45">
        <v>670</v>
      </c>
      <c r="C700" s="64" t="s">
        <v>1079</v>
      </c>
      <c r="D700" s="74">
        <v>500307</v>
      </c>
      <c r="E700" s="208" t="s">
        <v>136</v>
      </c>
      <c r="F700" s="208" t="s">
        <v>246</v>
      </c>
      <c r="G700" s="208" t="s">
        <v>247</v>
      </c>
      <c r="H700" s="209" t="s">
        <v>193</v>
      </c>
      <c r="I700" s="210">
        <v>6</v>
      </c>
    </row>
    <row r="701" spans="1:9" x14ac:dyDescent="0.25">
      <c r="A701" s="74" t="s">
        <v>2848</v>
      </c>
      <c r="B701" s="45">
        <v>671</v>
      </c>
      <c r="C701" s="64" t="s">
        <v>1080</v>
      </c>
      <c r="D701" s="74">
        <v>500309</v>
      </c>
      <c r="E701" s="208" t="s">
        <v>136</v>
      </c>
      <c r="F701" s="208" t="s">
        <v>246</v>
      </c>
      <c r="G701" s="208" t="s">
        <v>247</v>
      </c>
      <c r="H701" s="209" t="s">
        <v>193</v>
      </c>
      <c r="I701" s="210">
        <v>6</v>
      </c>
    </row>
    <row r="702" spans="1:9" x14ac:dyDescent="0.25">
      <c r="A702" s="74" t="s">
        <v>2849</v>
      </c>
      <c r="B702" s="45">
        <v>672</v>
      </c>
      <c r="C702" s="64" t="s">
        <v>1081</v>
      </c>
      <c r="D702" s="74">
        <v>500018</v>
      </c>
      <c r="E702" s="208" t="s">
        <v>137</v>
      </c>
      <c r="F702" s="208" t="s">
        <v>248</v>
      </c>
      <c r="G702" s="208" t="s">
        <v>21</v>
      </c>
      <c r="H702" s="209" t="s">
        <v>183</v>
      </c>
      <c r="I702" s="210">
        <v>4</v>
      </c>
    </row>
    <row r="703" spans="1:9" x14ac:dyDescent="0.25">
      <c r="A703" s="74" t="s">
        <v>2850</v>
      </c>
      <c r="B703" s="45">
        <v>673</v>
      </c>
      <c r="C703" s="64" t="s">
        <v>1082</v>
      </c>
      <c r="D703" s="74">
        <v>500019</v>
      </c>
      <c r="E703" s="208" t="s">
        <v>137</v>
      </c>
      <c r="F703" s="208" t="s">
        <v>248</v>
      </c>
      <c r="G703" s="208" t="s">
        <v>249</v>
      </c>
      <c r="H703" s="209" t="s">
        <v>198</v>
      </c>
      <c r="I703" s="210">
        <v>5</v>
      </c>
    </row>
    <row r="704" spans="1:9" x14ac:dyDescent="0.25">
      <c r="A704" s="74" t="s">
        <v>2851</v>
      </c>
      <c r="B704" s="45">
        <v>674</v>
      </c>
      <c r="C704" s="64" t="s">
        <v>1083</v>
      </c>
      <c r="D704" s="74">
        <v>500311</v>
      </c>
      <c r="E704" s="208" t="s">
        <v>136</v>
      </c>
      <c r="F704" s="208" t="s">
        <v>246</v>
      </c>
      <c r="G704" s="208" t="s">
        <v>247</v>
      </c>
      <c r="H704" s="209" t="s">
        <v>191</v>
      </c>
      <c r="I704" s="210">
        <v>6</v>
      </c>
    </row>
    <row r="705" spans="1:9" x14ac:dyDescent="0.25">
      <c r="A705" s="74" t="s">
        <v>2851</v>
      </c>
      <c r="B705" s="45">
        <v>674</v>
      </c>
      <c r="C705" s="64" t="s">
        <v>1083</v>
      </c>
      <c r="D705" s="74">
        <v>500311</v>
      </c>
      <c r="E705" s="208" t="s">
        <v>136</v>
      </c>
      <c r="F705" s="208" t="s">
        <v>246</v>
      </c>
      <c r="G705" s="208" t="s">
        <v>247</v>
      </c>
      <c r="H705" s="209" t="s">
        <v>192</v>
      </c>
      <c r="I705" s="210">
        <v>6</v>
      </c>
    </row>
    <row r="706" spans="1:9" x14ac:dyDescent="0.25">
      <c r="A706" s="74" t="s">
        <v>2852</v>
      </c>
      <c r="B706" s="45">
        <v>675</v>
      </c>
      <c r="C706" s="64" t="s">
        <v>1084</v>
      </c>
      <c r="D706" s="74">
        <v>500311</v>
      </c>
      <c r="E706" s="208" t="s">
        <v>136</v>
      </c>
      <c r="F706" s="208" t="s">
        <v>246</v>
      </c>
      <c r="G706" s="208" t="s">
        <v>247</v>
      </c>
      <c r="H706" s="209" t="s">
        <v>191</v>
      </c>
      <c r="I706" s="210">
        <v>6</v>
      </c>
    </row>
    <row r="707" spans="1:9" x14ac:dyDescent="0.25">
      <c r="A707" s="74" t="s">
        <v>2853</v>
      </c>
      <c r="B707" s="45">
        <v>676</v>
      </c>
      <c r="C707" s="64" t="s">
        <v>1085</v>
      </c>
      <c r="D707" s="74">
        <v>500311</v>
      </c>
      <c r="E707" s="208" t="s">
        <v>136</v>
      </c>
      <c r="F707" s="208" t="s">
        <v>246</v>
      </c>
      <c r="G707" s="208" t="s">
        <v>247</v>
      </c>
      <c r="H707" s="209" t="s">
        <v>191</v>
      </c>
      <c r="I707" s="210">
        <v>6</v>
      </c>
    </row>
    <row r="708" spans="1:9" x14ac:dyDescent="0.25">
      <c r="A708" s="74" t="s">
        <v>2854</v>
      </c>
      <c r="B708" s="45">
        <v>677</v>
      </c>
      <c r="C708" s="64" t="s">
        <v>1086</v>
      </c>
      <c r="D708" s="74">
        <v>500311</v>
      </c>
      <c r="E708" s="208" t="s">
        <v>136</v>
      </c>
      <c r="F708" s="208" t="s">
        <v>246</v>
      </c>
      <c r="G708" s="208" t="s">
        <v>247</v>
      </c>
      <c r="H708" s="209" t="s">
        <v>191</v>
      </c>
      <c r="I708" s="210">
        <v>6</v>
      </c>
    </row>
    <row r="709" spans="1:9" x14ac:dyDescent="0.25">
      <c r="A709" s="74" t="s">
        <v>2855</v>
      </c>
      <c r="B709" s="45">
        <v>678</v>
      </c>
      <c r="C709" s="64" t="s">
        <v>1087</v>
      </c>
      <c r="D709" s="74">
        <v>500312</v>
      </c>
      <c r="E709" s="208" t="s">
        <v>136</v>
      </c>
      <c r="F709" s="208" t="s">
        <v>246</v>
      </c>
      <c r="G709" s="208" t="s">
        <v>247</v>
      </c>
      <c r="H709" s="209" t="s">
        <v>192</v>
      </c>
      <c r="I709" s="210">
        <v>6</v>
      </c>
    </row>
    <row r="710" spans="1:9" x14ac:dyDescent="0.25">
      <c r="A710" s="74" t="s">
        <v>2856</v>
      </c>
      <c r="B710" s="45">
        <v>679</v>
      </c>
      <c r="C710" s="64" t="s">
        <v>1088</v>
      </c>
      <c r="D710" s="74">
        <v>500313</v>
      </c>
      <c r="E710" s="208" t="s">
        <v>136</v>
      </c>
      <c r="F710" s="208" t="s">
        <v>246</v>
      </c>
      <c r="G710" s="208" t="s">
        <v>247</v>
      </c>
      <c r="H710" s="209" t="s">
        <v>192</v>
      </c>
      <c r="I710" s="210">
        <v>6</v>
      </c>
    </row>
    <row r="711" spans="1:9" x14ac:dyDescent="0.25">
      <c r="A711" s="74" t="s">
        <v>2857</v>
      </c>
      <c r="B711" s="45">
        <v>680</v>
      </c>
      <c r="C711" s="63" t="s">
        <v>1089</v>
      </c>
      <c r="D711" s="74">
        <v>500314</v>
      </c>
      <c r="E711" s="208" t="s">
        <v>136</v>
      </c>
      <c r="F711" s="208" t="s">
        <v>246</v>
      </c>
      <c r="G711" s="208" t="s">
        <v>247</v>
      </c>
      <c r="H711" s="209" t="s">
        <v>191</v>
      </c>
      <c r="I711" s="210">
        <v>6</v>
      </c>
    </row>
    <row r="712" spans="1:9" x14ac:dyDescent="0.25">
      <c r="A712" s="74" t="s">
        <v>2858</v>
      </c>
      <c r="B712" s="45">
        <v>681</v>
      </c>
      <c r="C712" s="64" t="s">
        <v>1090</v>
      </c>
      <c r="D712" s="74">
        <v>500314</v>
      </c>
      <c r="E712" s="208" t="s">
        <v>136</v>
      </c>
      <c r="F712" s="208" t="s">
        <v>246</v>
      </c>
      <c r="G712" s="208" t="s">
        <v>247</v>
      </c>
      <c r="H712" s="209" t="s">
        <v>191</v>
      </c>
      <c r="I712" s="210">
        <v>6</v>
      </c>
    </row>
    <row r="713" spans="1:9" x14ac:dyDescent="0.25">
      <c r="A713" s="74" t="s">
        <v>2859</v>
      </c>
      <c r="B713" s="45">
        <v>682</v>
      </c>
      <c r="C713" s="64" t="s">
        <v>1091</v>
      </c>
      <c r="D713" s="74">
        <v>500314</v>
      </c>
      <c r="E713" s="208" t="s">
        <v>136</v>
      </c>
      <c r="F713" s="208" t="s">
        <v>246</v>
      </c>
      <c r="G713" s="208" t="s">
        <v>247</v>
      </c>
      <c r="H713" s="209" t="s">
        <v>191</v>
      </c>
      <c r="I713" s="210">
        <v>6</v>
      </c>
    </row>
    <row r="714" spans="1:9" x14ac:dyDescent="0.25">
      <c r="A714" s="74" t="s">
        <v>2860</v>
      </c>
      <c r="B714" s="45">
        <v>683</v>
      </c>
      <c r="C714" s="64" t="s">
        <v>1092</v>
      </c>
      <c r="D714" s="74">
        <v>500314</v>
      </c>
      <c r="E714" s="208" t="s">
        <v>136</v>
      </c>
      <c r="F714" s="208" t="s">
        <v>246</v>
      </c>
      <c r="G714" s="208" t="s">
        <v>247</v>
      </c>
      <c r="H714" s="209" t="s">
        <v>191</v>
      </c>
      <c r="I714" s="210">
        <v>6</v>
      </c>
    </row>
    <row r="715" spans="1:9" x14ac:dyDescent="0.25">
      <c r="A715" s="74" t="s">
        <v>2861</v>
      </c>
      <c r="B715" s="45">
        <v>684</v>
      </c>
      <c r="C715" s="64" t="s">
        <v>1093</v>
      </c>
      <c r="D715" s="74">
        <v>500315</v>
      </c>
      <c r="E715" s="208" t="s">
        <v>136</v>
      </c>
      <c r="F715" s="208" t="s">
        <v>246</v>
      </c>
      <c r="G715" s="208" t="s">
        <v>247</v>
      </c>
      <c r="H715" s="209" t="s">
        <v>191</v>
      </c>
      <c r="I715" s="210">
        <v>6</v>
      </c>
    </row>
    <row r="716" spans="1:9" x14ac:dyDescent="0.25">
      <c r="A716" s="74" t="s">
        <v>2862</v>
      </c>
      <c r="B716" s="45">
        <v>685</v>
      </c>
      <c r="C716" s="64" t="s">
        <v>1094</v>
      </c>
      <c r="D716" s="74">
        <v>500315</v>
      </c>
      <c r="E716" s="208" t="s">
        <v>136</v>
      </c>
      <c r="F716" s="208" t="s">
        <v>246</v>
      </c>
      <c r="G716" s="208" t="s">
        <v>247</v>
      </c>
      <c r="H716" s="209" t="s">
        <v>191</v>
      </c>
      <c r="I716" s="210">
        <v>6</v>
      </c>
    </row>
    <row r="717" spans="1:9" x14ac:dyDescent="0.25">
      <c r="A717" s="74" t="s">
        <v>2863</v>
      </c>
      <c r="B717" s="45">
        <v>686</v>
      </c>
      <c r="C717" s="64" t="s">
        <v>1095</v>
      </c>
      <c r="D717" s="74">
        <v>500315</v>
      </c>
      <c r="E717" s="208" t="s">
        <v>136</v>
      </c>
      <c r="F717" s="208" t="s">
        <v>246</v>
      </c>
      <c r="G717" s="208" t="s">
        <v>247</v>
      </c>
      <c r="H717" s="209" t="s">
        <v>191</v>
      </c>
      <c r="I717" s="210">
        <v>6</v>
      </c>
    </row>
    <row r="718" spans="1:9" x14ac:dyDescent="0.25">
      <c r="A718" s="74" t="s">
        <v>2864</v>
      </c>
      <c r="B718" s="45">
        <v>687</v>
      </c>
      <c r="C718" s="64" t="s">
        <v>1096</v>
      </c>
      <c r="D718" s="74">
        <v>500315</v>
      </c>
      <c r="E718" s="208" t="s">
        <v>136</v>
      </c>
      <c r="F718" s="208" t="s">
        <v>246</v>
      </c>
      <c r="G718" s="208" t="s">
        <v>247</v>
      </c>
      <c r="H718" s="209" t="s">
        <v>191</v>
      </c>
      <c r="I718" s="210">
        <v>6</v>
      </c>
    </row>
    <row r="719" spans="1:9" x14ac:dyDescent="0.25">
      <c r="A719" s="74" t="s">
        <v>2865</v>
      </c>
      <c r="B719" s="45">
        <v>688</v>
      </c>
      <c r="C719" s="63" t="s">
        <v>1097</v>
      </c>
      <c r="D719" s="74">
        <v>500316</v>
      </c>
      <c r="E719" s="208" t="s">
        <v>136</v>
      </c>
      <c r="F719" s="208" t="s">
        <v>246</v>
      </c>
      <c r="G719" s="208" t="s">
        <v>247</v>
      </c>
      <c r="H719" s="209" t="s">
        <v>192</v>
      </c>
      <c r="I719" s="210">
        <v>6</v>
      </c>
    </row>
    <row r="720" spans="1:9" x14ac:dyDescent="0.25">
      <c r="A720" s="74" t="s">
        <v>2866</v>
      </c>
      <c r="B720" s="45">
        <v>689</v>
      </c>
      <c r="C720" s="63" t="s">
        <v>1098</v>
      </c>
      <c r="D720" s="74">
        <v>500317</v>
      </c>
      <c r="E720" s="208" t="s">
        <v>136</v>
      </c>
      <c r="F720" s="208" t="s">
        <v>246</v>
      </c>
      <c r="G720" s="208" t="s">
        <v>247</v>
      </c>
      <c r="H720" s="209" t="s">
        <v>192</v>
      </c>
      <c r="I720" s="210">
        <v>6</v>
      </c>
    </row>
    <row r="721" spans="1:9" x14ac:dyDescent="0.25">
      <c r="A721" s="74" t="s">
        <v>2867</v>
      </c>
      <c r="B721" s="45">
        <v>690</v>
      </c>
      <c r="C721" s="63" t="s">
        <v>1099</v>
      </c>
      <c r="D721" s="74">
        <v>500318</v>
      </c>
      <c r="E721" s="208" t="s">
        <v>136</v>
      </c>
      <c r="F721" s="208" t="s">
        <v>246</v>
      </c>
      <c r="G721" s="208" t="s">
        <v>247</v>
      </c>
      <c r="H721" s="209" t="s">
        <v>192</v>
      </c>
      <c r="I721" s="210">
        <v>6</v>
      </c>
    </row>
    <row r="722" spans="1:9" x14ac:dyDescent="0.25">
      <c r="A722" s="74" t="s">
        <v>2868</v>
      </c>
      <c r="B722" s="45">
        <v>691</v>
      </c>
      <c r="C722" s="64" t="s">
        <v>1100</v>
      </c>
      <c r="D722" s="74">
        <v>500319</v>
      </c>
      <c r="E722" s="208" t="s">
        <v>136</v>
      </c>
      <c r="F722" s="208" t="s">
        <v>246</v>
      </c>
      <c r="G722" s="208" t="s">
        <v>247</v>
      </c>
      <c r="H722" s="209" t="s">
        <v>191</v>
      </c>
      <c r="I722" s="210">
        <v>6</v>
      </c>
    </row>
    <row r="723" spans="1:9" x14ac:dyDescent="0.25">
      <c r="A723" s="74" t="s">
        <v>2869</v>
      </c>
      <c r="B723" s="45">
        <v>692</v>
      </c>
      <c r="C723" s="64" t="s">
        <v>1101</v>
      </c>
      <c r="D723" s="74">
        <v>500319</v>
      </c>
      <c r="E723" s="208" t="s">
        <v>136</v>
      </c>
      <c r="F723" s="208" t="s">
        <v>246</v>
      </c>
      <c r="G723" s="208" t="s">
        <v>247</v>
      </c>
      <c r="H723" s="209" t="s">
        <v>191</v>
      </c>
      <c r="I723" s="210">
        <v>6</v>
      </c>
    </row>
    <row r="724" spans="1:9" x14ac:dyDescent="0.25">
      <c r="A724" s="74" t="s">
        <v>2870</v>
      </c>
      <c r="B724" s="45">
        <v>693</v>
      </c>
      <c r="C724" s="64" t="s">
        <v>1102</v>
      </c>
      <c r="D724" s="74">
        <v>500319</v>
      </c>
      <c r="E724" s="208" t="s">
        <v>136</v>
      </c>
      <c r="F724" s="208" t="s">
        <v>246</v>
      </c>
      <c r="G724" s="208" t="s">
        <v>247</v>
      </c>
      <c r="H724" s="209" t="s">
        <v>191</v>
      </c>
      <c r="I724" s="210">
        <v>6</v>
      </c>
    </row>
    <row r="725" spans="1:9" x14ac:dyDescent="0.25">
      <c r="A725" s="74" t="s">
        <v>2871</v>
      </c>
      <c r="B725" s="45">
        <v>694</v>
      </c>
      <c r="C725" s="64" t="s">
        <v>1103</v>
      </c>
      <c r="D725" s="74">
        <v>500319</v>
      </c>
      <c r="E725" s="208" t="s">
        <v>136</v>
      </c>
      <c r="F725" s="208" t="s">
        <v>246</v>
      </c>
      <c r="G725" s="208" t="s">
        <v>247</v>
      </c>
      <c r="H725" s="209" t="s">
        <v>191</v>
      </c>
      <c r="I725" s="210">
        <v>6</v>
      </c>
    </row>
    <row r="726" spans="1:9" x14ac:dyDescent="0.25">
      <c r="A726" s="74" t="s">
        <v>2872</v>
      </c>
      <c r="B726" s="45">
        <v>695</v>
      </c>
      <c r="C726" s="64" t="s">
        <v>1104</v>
      </c>
      <c r="D726" s="74">
        <v>500320</v>
      </c>
      <c r="E726" s="208" t="s">
        <v>136</v>
      </c>
      <c r="F726" s="208" t="s">
        <v>246</v>
      </c>
      <c r="G726" s="208" t="s">
        <v>247</v>
      </c>
      <c r="H726" s="209" t="s">
        <v>192</v>
      </c>
      <c r="I726" s="210">
        <v>6</v>
      </c>
    </row>
    <row r="727" spans="1:9" x14ac:dyDescent="0.25">
      <c r="A727" s="74" t="s">
        <v>2873</v>
      </c>
      <c r="B727" s="45">
        <v>696</v>
      </c>
      <c r="C727" s="64" t="s">
        <v>1105</v>
      </c>
      <c r="D727" s="74">
        <v>500321</v>
      </c>
      <c r="E727" s="208" t="s">
        <v>136</v>
      </c>
      <c r="F727" s="208" t="s">
        <v>246</v>
      </c>
      <c r="G727" s="208" t="s">
        <v>247</v>
      </c>
      <c r="H727" s="209" t="s">
        <v>191</v>
      </c>
      <c r="I727" s="210">
        <v>6</v>
      </c>
    </row>
    <row r="728" spans="1:9" x14ac:dyDescent="0.25">
      <c r="A728" s="74" t="s">
        <v>2874</v>
      </c>
      <c r="B728" s="45">
        <v>697</v>
      </c>
      <c r="C728" s="64" t="s">
        <v>1106</v>
      </c>
      <c r="D728" s="74">
        <v>500321</v>
      </c>
      <c r="E728" s="208" t="s">
        <v>136</v>
      </c>
      <c r="F728" s="208" t="s">
        <v>246</v>
      </c>
      <c r="G728" s="208" t="s">
        <v>247</v>
      </c>
      <c r="H728" s="209" t="s">
        <v>191</v>
      </c>
      <c r="I728" s="210">
        <v>6</v>
      </c>
    </row>
    <row r="729" spans="1:9" x14ac:dyDescent="0.25">
      <c r="A729" s="74" t="s">
        <v>2875</v>
      </c>
      <c r="B729" s="45">
        <v>698</v>
      </c>
      <c r="C729" s="64" t="s">
        <v>1107</v>
      </c>
      <c r="D729" s="74">
        <v>500321</v>
      </c>
      <c r="E729" s="208" t="s">
        <v>136</v>
      </c>
      <c r="F729" s="208" t="s">
        <v>246</v>
      </c>
      <c r="G729" s="208" t="s">
        <v>247</v>
      </c>
      <c r="H729" s="209" t="s">
        <v>191</v>
      </c>
      <c r="I729" s="210">
        <v>6</v>
      </c>
    </row>
    <row r="730" spans="1:9" x14ac:dyDescent="0.25">
      <c r="A730" s="74" t="s">
        <v>2876</v>
      </c>
      <c r="B730" s="45">
        <v>699</v>
      </c>
      <c r="C730" s="64" t="s">
        <v>1108</v>
      </c>
      <c r="D730" s="74">
        <v>500321</v>
      </c>
      <c r="E730" s="208" t="s">
        <v>136</v>
      </c>
      <c r="F730" s="208" t="s">
        <v>246</v>
      </c>
      <c r="G730" s="208" t="s">
        <v>247</v>
      </c>
      <c r="H730" s="209" t="s">
        <v>191</v>
      </c>
      <c r="I730" s="210">
        <v>6</v>
      </c>
    </row>
    <row r="731" spans="1:9" x14ac:dyDescent="0.25">
      <c r="A731" s="74" t="s">
        <v>2877</v>
      </c>
      <c r="B731" s="45">
        <v>700</v>
      </c>
      <c r="C731" s="64" t="s">
        <v>1109</v>
      </c>
      <c r="D731" s="74">
        <v>500322</v>
      </c>
      <c r="E731" s="208" t="s">
        <v>136</v>
      </c>
      <c r="F731" s="208" t="s">
        <v>246</v>
      </c>
      <c r="G731" s="208" t="s">
        <v>247</v>
      </c>
      <c r="H731" s="209" t="s">
        <v>192</v>
      </c>
      <c r="I731" s="210">
        <v>6</v>
      </c>
    </row>
    <row r="732" spans="1:9" x14ac:dyDescent="0.25">
      <c r="A732" s="74" t="s">
        <v>2878</v>
      </c>
      <c r="B732" s="45">
        <v>701</v>
      </c>
      <c r="C732" s="64" t="s">
        <v>1110</v>
      </c>
      <c r="D732" s="74">
        <v>500323</v>
      </c>
      <c r="E732" s="208" t="s">
        <v>136</v>
      </c>
      <c r="F732" s="208" t="s">
        <v>246</v>
      </c>
      <c r="G732" s="208" t="s">
        <v>247</v>
      </c>
      <c r="H732" s="209" t="s">
        <v>191</v>
      </c>
      <c r="I732" s="210">
        <v>6</v>
      </c>
    </row>
    <row r="733" spans="1:9" x14ac:dyDescent="0.25">
      <c r="A733" s="74" t="s">
        <v>2879</v>
      </c>
      <c r="B733" s="45">
        <v>702</v>
      </c>
      <c r="C733" s="64" t="s">
        <v>1111</v>
      </c>
      <c r="D733" s="74">
        <v>500323</v>
      </c>
      <c r="E733" s="208" t="s">
        <v>136</v>
      </c>
      <c r="F733" s="208" t="s">
        <v>246</v>
      </c>
      <c r="G733" s="208" t="s">
        <v>247</v>
      </c>
      <c r="H733" s="209" t="s">
        <v>191</v>
      </c>
      <c r="I733" s="210">
        <v>6</v>
      </c>
    </row>
    <row r="734" spans="1:9" x14ac:dyDescent="0.25">
      <c r="A734" s="74" t="s">
        <v>2880</v>
      </c>
      <c r="B734" s="45">
        <v>703</v>
      </c>
      <c r="C734" s="64" t="s">
        <v>1112</v>
      </c>
      <c r="D734" s="74">
        <v>500323</v>
      </c>
      <c r="E734" s="208" t="s">
        <v>136</v>
      </c>
      <c r="F734" s="208" t="s">
        <v>246</v>
      </c>
      <c r="G734" s="208" t="s">
        <v>247</v>
      </c>
      <c r="H734" s="209" t="s">
        <v>191</v>
      </c>
      <c r="I734" s="210">
        <v>6</v>
      </c>
    </row>
    <row r="735" spans="1:9" x14ac:dyDescent="0.25">
      <c r="A735" s="74" t="s">
        <v>2881</v>
      </c>
      <c r="B735" s="45">
        <v>704</v>
      </c>
      <c r="C735" s="64" t="s">
        <v>1113</v>
      </c>
      <c r="D735" s="74">
        <v>500324</v>
      </c>
      <c r="E735" s="208" t="s">
        <v>136</v>
      </c>
      <c r="F735" s="208" t="s">
        <v>246</v>
      </c>
      <c r="G735" s="208" t="s">
        <v>247</v>
      </c>
      <c r="H735" s="209" t="s">
        <v>192</v>
      </c>
      <c r="I735" s="210">
        <v>6</v>
      </c>
    </row>
    <row r="736" spans="1:9" x14ac:dyDescent="0.25">
      <c r="A736" s="74" t="s">
        <v>2882</v>
      </c>
      <c r="B736" s="45">
        <v>705</v>
      </c>
      <c r="C736" s="64" t="s">
        <v>1114</v>
      </c>
      <c r="D736" s="74">
        <v>500020</v>
      </c>
      <c r="E736" s="208" t="s">
        <v>137</v>
      </c>
      <c r="F736" s="208" t="s">
        <v>248</v>
      </c>
      <c r="G736" s="208" t="s">
        <v>249</v>
      </c>
      <c r="H736" s="209" t="s">
        <v>198</v>
      </c>
      <c r="I736" s="210">
        <v>5</v>
      </c>
    </row>
    <row r="737" spans="1:9" x14ac:dyDescent="0.25">
      <c r="A737" s="74" t="s">
        <v>2883</v>
      </c>
      <c r="B737" s="45">
        <v>706</v>
      </c>
      <c r="C737" s="64" t="s">
        <v>1115</v>
      </c>
      <c r="D737" s="74">
        <v>500325</v>
      </c>
      <c r="E737" s="208" t="s">
        <v>136</v>
      </c>
      <c r="F737" s="208" t="s">
        <v>246</v>
      </c>
      <c r="G737" s="208" t="s">
        <v>247</v>
      </c>
      <c r="H737" s="209" t="s">
        <v>191</v>
      </c>
      <c r="I737" s="210">
        <v>6</v>
      </c>
    </row>
    <row r="738" spans="1:9" x14ac:dyDescent="0.25">
      <c r="A738" s="74" t="s">
        <v>2884</v>
      </c>
      <c r="B738" s="45" t="s">
        <v>23</v>
      </c>
      <c r="C738" s="45" t="s">
        <v>23</v>
      </c>
      <c r="D738" s="74">
        <v>500325</v>
      </c>
      <c r="E738" s="208" t="s">
        <v>136</v>
      </c>
      <c r="F738" s="208" t="s">
        <v>246</v>
      </c>
      <c r="G738" s="208" t="s">
        <v>247</v>
      </c>
      <c r="H738" s="209" t="s">
        <v>191</v>
      </c>
      <c r="I738" s="210">
        <v>6</v>
      </c>
    </row>
    <row r="739" spans="1:9" x14ac:dyDescent="0.25">
      <c r="A739" s="74" t="s">
        <v>2885</v>
      </c>
      <c r="B739" s="45">
        <v>707</v>
      </c>
      <c r="C739" s="64" t="s">
        <v>1116</v>
      </c>
      <c r="D739" s="74">
        <v>500325</v>
      </c>
      <c r="E739" s="208" t="s">
        <v>136</v>
      </c>
      <c r="F739" s="208" t="s">
        <v>246</v>
      </c>
      <c r="G739" s="208" t="s">
        <v>247</v>
      </c>
      <c r="H739" s="209" t="s">
        <v>191</v>
      </c>
      <c r="I739" s="210">
        <v>6</v>
      </c>
    </row>
    <row r="740" spans="1:9" x14ac:dyDescent="0.25">
      <c r="A740" s="74" t="s">
        <v>2886</v>
      </c>
      <c r="B740" s="45">
        <v>708</v>
      </c>
      <c r="C740" s="64" t="s">
        <v>1117</v>
      </c>
      <c r="D740" s="74">
        <v>500325</v>
      </c>
      <c r="E740" s="208" t="s">
        <v>136</v>
      </c>
      <c r="F740" s="208" t="s">
        <v>246</v>
      </c>
      <c r="G740" s="208" t="s">
        <v>247</v>
      </c>
      <c r="H740" s="209" t="s">
        <v>191</v>
      </c>
      <c r="I740" s="210">
        <v>6</v>
      </c>
    </row>
    <row r="741" spans="1:9" x14ac:dyDescent="0.25">
      <c r="A741" s="74" t="s">
        <v>2887</v>
      </c>
      <c r="B741" s="45">
        <v>709</v>
      </c>
      <c r="C741" s="64" t="s">
        <v>1118</v>
      </c>
      <c r="D741" s="74">
        <v>500326</v>
      </c>
      <c r="E741" s="208" t="s">
        <v>136</v>
      </c>
      <c r="F741" s="208" t="s">
        <v>246</v>
      </c>
      <c r="G741" s="208" t="s">
        <v>247</v>
      </c>
      <c r="H741" s="209" t="s">
        <v>191</v>
      </c>
      <c r="I741" s="210">
        <v>6</v>
      </c>
    </row>
    <row r="742" spans="1:9" x14ac:dyDescent="0.25">
      <c r="A742" s="74" t="s">
        <v>2888</v>
      </c>
      <c r="B742" s="45">
        <v>710</v>
      </c>
      <c r="C742" s="64" t="s">
        <v>1119</v>
      </c>
      <c r="D742" s="74">
        <v>500326</v>
      </c>
      <c r="E742" s="208" t="s">
        <v>136</v>
      </c>
      <c r="F742" s="208" t="s">
        <v>246</v>
      </c>
      <c r="G742" s="208" t="s">
        <v>247</v>
      </c>
      <c r="H742" s="209" t="s">
        <v>191</v>
      </c>
      <c r="I742" s="210">
        <v>6</v>
      </c>
    </row>
    <row r="743" spans="1:9" x14ac:dyDescent="0.25">
      <c r="A743" s="74" t="s">
        <v>2889</v>
      </c>
      <c r="B743" s="45">
        <v>711</v>
      </c>
      <c r="C743" s="64" t="s">
        <v>1120</v>
      </c>
      <c r="D743" s="74">
        <v>500326</v>
      </c>
      <c r="E743" s="208" t="s">
        <v>136</v>
      </c>
      <c r="F743" s="208" t="s">
        <v>246</v>
      </c>
      <c r="G743" s="208" t="s">
        <v>247</v>
      </c>
      <c r="H743" s="209" t="s">
        <v>191</v>
      </c>
      <c r="I743" s="210">
        <v>6</v>
      </c>
    </row>
    <row r="744" spans="1:9" x14ac:dyDescent="0.25">
      <c r="A744" s="74" t="s">
        <v>2890</v>
      </c>
      <c r="B744" s="45">
        <v>712</v>
      </c>
      <c r="C744" s="64" t="s">
        <v>1121</v>
      </c>
      <c r="D744" s="74">
        <v>500326</v>
      </c>
      <c r="E744" s="208" t="s">
        <v>136</v>
      </c>
      <c r="F744" s="208" t="s">
        <v>246</v>
      </c>
      <c r="G744" s="208" t="s">
        <v>247</v>
      </c>
      <c r="H744" s="209" t="s">
        <v>191</v>
      </c>
      <c r="I744" s="210">
        <v>6</v>
      </c>
    </row>
    <row r="745" spans="1:9" x14ac:dyDescent="0.25">
      <c r="A745" s="74" t="s">
        <v>2891</v>
      </c>
      <c r="B745" s="45">
        <v>713</v>
      </c>
      <c r="C745" s="63" t="s">
        <v>1122</v>
      </c>
      <c r="D745" s="74">
        <v>500021</v>
      </c>
      <c r="E745" s="208" t="s">
        <v>137</v>
      </c>
      <c r="F745" s="208" t="s">
        <v>248</v>
      </c>
      <c r="G745" s="208" t="s">
        <v>249</v>
      </c>
      <c r="H745" s="209" t="s">
        <v>198</v>
      </c>
      <c r="I745" s="210">
        <v>5</v>
      </c>
    </row>
    <row r="746" spans="1:9" x14ac:dyDescent="0.25">
      <c r="A746" s="74" t="s">
        <v>2892</v>
      </c>
      <c r="B746" s="45">
        <v>714</v>
      </c>
      <c r="C746" s="63" t="s">
        <v>1123</v>
      </c>
      <c r="D746" s="74">
        <v>500022</v>
      </c>
      <c r="E746" s="208" t="s">
        <v>138</v>
      </c>
      <c r="F746" s="208" t="s">
        <v>243</v>
      </c>
      <c r="G746" s="208" t="s">
        <v>21</v>
      </c>
      <c r="H746" s="209" t="s">
        <v>189</v>
      </c>
      <c r="I746" s="210">
        <v>6</v>
      </c>
    </row>
    <row r="747" spans="1:9" x14ac:dyDescent="0.25">
      <c r="A747" s="74" t="s">
        <v>2893</v>
      </c>
      <c r="B747" s="45">
        <v>715</v>
      </c>
      <c r="C747" s="63" t="s">
        <v>1124</v>
      </c>
      <c r="D747" s="74">
        <v>500042</v>
      </c>
      <c r="E747" s="208" t="s">
        <v>138</v>
      </c>
      <c r="F747" s="208" t="s">
        <v>243</v>
      </c>
      <c r="G747" s="208" t="s">
        <v>21</v>
      </c>
      <c r="H747" s="209" t="s">
        <v>198</v>
      </c>
      <c r="I747" s="210">
        <v>6</v>
      </c>
    </row>
    <row r="748" spans="1:9" x14ac:dyDescent="0.25">
      <c r="A748" s="74" t="s">
        <v>2894</v>
      </c>
      <c r="B748" s="45">
        <v>716</v>
      </c>
      <c r="C748" s="64" t="s">
        <v>1125</v>
      </c>
      <c r="D748" s="74">
        <v>500043</v>
      </c>
      <c r="E748" s="208" t="s">
        <v>136</v>
      </c>
      <c r="F748" s="208" t="s">
        <v>246</v>
      </c>
      <c r="G748" s="208" t="s">
        <v>247</v>
      </c>
      <c r="H748" s="209" t="s">
        <v>198</v>
      </c>
      <c r="I748" s="210">
        <v>5</v>
      </c>
    </row>
    <row r="749" spans="1:9" x14ac:dyDescent="0.25">
      <c r="A749" s="74" t="s">
        <v>2895</v>
      </c>
      <c r="B749" s="45">
        <v>717</v>
      </c>
      <c r="C749" s="63" t="s">
        <v>1126</v>
      </c>
      <c r="D749" s="74">
        <v>500151</v>
      </c>
      <c r="E749" s="208" t="s">
        <v>138</v>
      </c>
      <c r="F749" s="208" t="s">
        <v>243</v>
      </c>
      <c r="G749" s="208" t="s">
        <v>21</v>
      </c>
      <c r="H749" s="209" t="s">
        <v>191</v>
      </c>
      <c r="I749" s="210">
        <v>7</v>
      </c>
    </row>
    <row r="750" spans="1:9" x14ac:dyDescent="0.25">
      <c r="A750" s="74" t="s">
        <v>2896</v>
      </c>
      <c r="B750" s="45">
        <v>718</v>
      </c>
      <c r="C750" s="63" t="s">
        <v>1127</v>
      </c>
      <c r="D750" s="74">
        <v>500151</v>
      </c>
      <c r="E750" s="208" t="s">
        <v>138</v>
      </c>
      <c r="F750" s="208" t="s">
        <v>243</v>
      </c>
      <c r="G750" s="208" t="s">
        <v>21</v>
      </c>
      <c r="H750" s="209" t="s">
        <v>191</v>
      </c>
      <c r="I750" s="210">
        <v>7</v>
      </c>
    </row>
    <row r="751" spans="1:9" x14ac:dyDescent="0.25">
      <c r="A751" s="74" t="s">
        <v>2897</v>
      </c>
      <c r="B751" s="45">
        <v>719</v>
      </c>
      <c r="C751" s="63" t="s">
        <v>1128</v>
      </c>
      <c r="D751" s="74">
        <v>500151</v>
      </c>
      <c r="E751" s="208" t="s">
        <v>138</v>
      </c>
      <c r="F751" s="208" t="s">
        <v>243</v>
      </c>
      <c r="G751" s="208" t="s">
        <v>21</v>
      </c>
      <c r="H751" s="209" t="s">
        <v>191</v>
      </c>
      <c r="I751" s="210">
        <v>7</v>
      </c>
    </row>
    <row r="752" spans="1:9" x14ac:dyDescent="0.25">
      <c r="A752" s="74" t="s">
        <v>2898</v>
      </c>
      <c r="B752" s="45">
        <v>720</v>
      </c>
      <c r="C752" s="63" t="s">
        <v>1129</v>
      </c>
      <c r="D752" s="74">
        <v>500151</v>
      </c>
      <c r="E752" s="208" t="s">
        <v>138</v>
      </c>
      <c r="F752" s="208" t="s">
        <v>243</v>
      </c>
      <c r="G752" s="208" t="s">
        <v>21</v>
      </c>
      <c r="H752" s="209" t="s">
        <v>191</v>
      </c>
      <c r="I752" s="210">
        <v>7</v>
      </c>
    </row>
    <row r="753" spans="1:9" x14ac:dyDescent="0.25">
      <c r="A753" s="74" t="s">
        <v>2899</v>
      </c>
      <c r="B753" s="45">
        <v>721</v>
      </c>
      <c r="C753" s="64" t="s">
        <v>1130</v>
      </c>
      <c r="D753" s="74">
        <v>500152</v>
      </c>
      <c r="E753" s="208" t="s">
        <v>138</v>
      </c>
      <c r="F753" s="208" t="s">
        <v>243</v>
      </c>
      <c r="G753" s="208" t="s">
        <v>21</v>
      </c>
      <c r="H753" s="209" t="s">
        <v>191</v>
      </c>
      <c r="I753" s="210">
        <v>7</v>
      </c>
    </row>
    <row r="754" spans="1:9" x14ac:dyDescent="0.25">
      <c r="A754" s="74" t="s">
        <v>2900</v>
      </c>
      <c r="B754" s="45">
        <v>722</v>
      </c>
      <c r="C754" s="64" t="s">
        <v>1131</v>
      </c>
      <c r="D754" s="74">
        <v>500152</v>
      </c>
      <c r="E754" s="208" t="s">
        <v>138</v>
      </c>
      <c r="F754" s="208" t="s">
        <v>243</v>
      </c>
      <c r="G754" s="208" t="s">
        <v>21</v>
      </c>
      <c r="H754" s="209" t="s">
        <v>191</v>
      </c>
      <c r="I754" s="210">
        <v>7</v>
      </c>
    </row>
    <row r="755" spans="1:9" x14ac:dyDescent="0.25">
      <c r="A755" s="74" t="s">
        <v>2901</v>
      </c>
      <c r="B755" s="45">
        <v>723</v>
      </c>
      <c r="C755" s="64" t="s">
        <v>1132</v>
      </c>
      <c r="D755" s="74">
        <v>500152</v>
      </c>
      <c r="E755" s="208" t="s">
        <v>138</v>
      </c>
      <c r="F755" s="208" t="s">
        <v>243</v>
      </c>
      <c r="G755" s="208" t="s">
        <v>21</v>
      </c>
      <c r="H755" s="209" t="s">
        <v>191</v>
      </c>
      <c r="I755" s="210">
        <v>7</v>
      </c>
    </row>
    <row r="756" spans="1:9" x14ac:dyDescent="0.25">
      <c r="A756" s="74" t="s">
        <v>2902</v>
      </c>
      <c r="B756" s="45">
        <v>724</v>
      </c>
      <c r="C756" s="64" t="s">
        <v>1133</v>
      </c>
      <c r="D756" s="74">
        <v>500152</v>
      </c>
      <c r="E756" s="208" t="s">
        <v>138</v>
      </c>
      <c r="F756" s="208" t="s">
        <v>243</v>
      </c>
      <c r="G756" s="208" t="s">
        <v>21</v>
      </c>
      <c r="H756" s="209" t="s">
        <v>191</v>
      </c>
      <c r="I756" s="210">
        <v>7</v>
      </c>
    </row>
    <row r="757" spans="1:9" x14ac:dyDescent="0.25">
      <c r="A757" s="74" t="s">
        <v>2903</v>
      </c>
      <c r="B757" s="45">
        <v>725</v>
      </c>
      <c r="C757" s="64" t="s">
        <v>1134</v>
      </c>
      <c r="D757" s="74">
        <v>500153</v>
      </c>
      <c r="E757" s="208" t="s">
        <v>138</v>
      </c>
      <c r="F757" s="208" t="s">
        <v>243</v>
      </c>
      <c r="G757" s="208" t="s">
        <v>21</v>
      </c>
      <c r="H757" s="209" t="s">
        <v>191</v>
      </c>
      <c r="I757" s="210">
        <v>7</v>
      </c>
    </row>
    <row r="758" spans="1:9" x14ac:dyDescent="0.25">
      <c r="A758" s="74" t="s">
        <v>2904</v>
      </c>
      <c r="B758" s="45">
        <v>726</v>
      </c>
      <c r="C758" s="64" t="s">
        <v>1135</v>
      </c>
      <c r="D758" s="74">
        <v>500153</v>
      </c>
      <c r="E758" s="208" t="s">
        <v>138</v>
      </c>
      <c r="F758" s="208" t="s">
        <v>243</v>
      </c>
      <c r="G758" s="208" t="s">
        <v>21</v>
      </c>
      <c r="H758" s="209" t="s">
        <v>191</v>
      </c>
      <c r="I758" s="210">
        <v>7</v>
      </c>
    </row>
    <row r="759" spans="1:9" x14ac:dyDescent="0.25">
      <c r="A759" s="74" t="s">
        <v>2905</v>
      </c>
      <c r="B759" s="45">
        <v>727</v>
      </c>
      <c r="C759" s="64" t="s">
        <v>1136</v>
      </c>
      <c r="D759" s="74">
        <v>500153</v>
      </c>
      <c r="E759" s="208" t="s">
        <v>138</v>
      </c>
      <c r="F759" s="208" t="s">
        <v>243</v>
      </c>
      <c r="G759" s="208" t="s">
        <v>21</v>
      </c>
      <c r="H759" s="209" t="s">
        <v>191</v>
      </c>
      <c r="I759" s="210">
        <v>7</v>
      </c>
    </row>
    <row r="760" spans="1:9" x14ac:dyDescent="0.25">
      <c r="A760" s="74" t="s">
        <v>2906</v>
      </c>
      <c r="B760" s="45">
        <v>728</v>
      </c>
      <c r="C760" s="64" t="s">
        <v>1137</v>
      </c>
      <c r="D760" s="74">
        <v>500153</v>
      </c>
      <c r="E760" s="208" t="s">
        <v>138</v>
      </c>
      <c r="F760" s="208" t="s">
        <v>243</v>
      </c>
      <c r="G760" s="208" t="s">
        <v>21</v>
      </c>
      <c r="H760" s="209" t="s">
        <v>191</v>
      </c>
      <c r="I760" s="210">
        <v>7</v>
      </c>
    </row>
    <row r="761" spans="1:9" x14ac:dyDescent="0.25">
      <c r="A761" s="74" t="s">
        <v>2907</v>
      </c>
      <c r="B761" s="45">
        <v>729</v>
      </c>
      <c r="C761" s="64" t="s">
        <v>1138</v>
      </c>
      <c r="D761" s="74">
        <v>500154</v>
      </c>
      <c r="E761" s="208" t="s">
        <v>138</v>
      </c>
      <c r="F761" s="208" t="s">
        <v>243</v>
      </c>
      <c r="G761" s="208" t="s">
        <v>21</v>
      </c>
      <c r="H761" s="209" t="s">
        <v>191</v>
      </c>
      <c r="I761" s="210">
        <v>7</v>
      </c>
    </row>
    <row r="762" spans="1:9" x14ac:dyDescent="0.25">
      <c r="A762" s="74" t="s">
        <v>2908</v>
      </c>
      <c r="B762" s="45">
        <v>730</v>
      </c>
      <c r="C762" s="64" t="s">
        <v>1139</v>
      </c>
      <c r="D762" s="74">
        <v>500154</v>
      </c>
      <c r="E762" s="208" t="s">
        <v>138</v>
      </c>
      <c r="F762" s="208" t="s">
        <v>243</v>
      </c>
      <c r="G762" s="208" t="s">
        <v>21</v>
      </c>
      <c r="H762" s="209" t="s">
        <v>191</v>
      </c>
      <c r="I762" s="210">
        <v>7</v>
      </c>
    </row>
    <row r="763" spans="1:9" x14ac:dyDescent="0.25">
      <c r="A763" s="74" t="s">
        <v>2909</v>
      </c>
      <c r="B763" s="45">
        <v>731</v>
      </c>
      <c r="C763" s="63" t="s">
        <v>1140</v>
      </c>
      <c r="D763" s="74">
        <v>500155</v>
      </c>
      <c r="E763" s="208" t="s">
        <v>138</v>
      </c>
      <c r="F763" s="208" t="s">
        <v>243</v>
      </c>
      <c r="G763" s="208" t="s">
        <v>21</v>
      </c>
      <c r="H763" s="209" t="s">
        <v>187</v>
      </c>
      <c r="I763" s="210">
        <v>6</v>
      </c>
    </row>
    <row r="764" spans="1:9" x14ac:dyDescent="0.25">
      <c r="A764" s="74" t="s">
        <v>2910</v>
      </c>
      <c r="B764" s="45">
        <v>732</v>
      </c>
      <c r="C764" s="64" t="s">
        <v>1141</v>
      </c>
      <c r="D764" s="74">
        <v>500156</v>
      </c>
      <c r="E764" s="208" t="s">
        <v>138</v>
      </c>
      <c r="F764" s="208" t="s">
        <v>243</v>
      </c>
      <c r="G764" s="208" t="s">
        <v>21</v>
      </c>
      <c r="H764" s="209" t="s">
        <v>192</v>
      </c>
      <c r="I764" s="210">
        <v>7</v>
      </c>
    </row>
    <row r="765" spans="1:9" x14ac:dyDescent="0.25">
      <c r="A765" s="74" t="s">
        <v>2911</v>
      </c>
      <c r="B765" s="45" t="s">
        <v>23</v>
      </c>
      <c r="C765" s="63" t="s">
        <v>23</v>
      </c>
      <c r="D765" s="74">
        <v>500157</v>
      </c>
      <c r="E765" s="208" t="s">
        <v>138</v>
      </c>
      <c r="F765" s="208" t="s">
        <v>243</v>
      </c>
      <c r="G765" s="208" t="s">
        <v>21</v>
      </c>
      <c r="H765" s="209" t="s">
        <v>187</v>
      </c>
      <c r="I765" s="210">
        <v>6</v>
      </c>
    </row>
    <row r="766" spans="1:9" x14ac:dyDescent="0.25">
      <c r="A766" s="74" t="s">
        <v>2912</v>
      </c>
      <c r="B766" s="45">
        <v>733</v>
      </c>
      <c r="C766" s="64" t="s">
        <v>1142</v>
      </c>
      <c r="D766" s="74">
        <v>500158</v>
      </c>
      <c r="E766" s="208" t="s">
        <v>138</v>
      </c>
      <c r="F766" s="208" t="s">
        <v>243</v>
      </c>
      <c r="G766" s="208" t="s">
        <v>21</v>
      </c>
      <c r="H766" s="209" t="s">
        <v>192</v>
      </c>
      <c r="I766" s="210">
        <v>7</v>
      </c>
    </row>
    <row r="767" spans="1:9" x14ac:dyDescent="0.25">
      <c r="A767" s="74" t="s">
        <v>2913</v>
      </c>
      <c r="B767" s="45">
        <v>734</v>
      </c>
      <c r="C767" s="64" t="s">
        <v>1143</v>
      </c>
      <c r="D767" s="74">
        <v>500159</v>
      </c>
      <c r="E767" s="208" t="s">
        <v>137</v>
      </c>
      <c r="F767" s="208" t="s">
        <v>248</v>
      </c>
      <c r="G767" s="208" t="s">
        <v>21</v>
      </c>
      <c r="H767" s="209" t="s">
        <v>187</v>
      </c>
      <c r="I767" s="210">
        <v>5</v>
      </c>
    </row>
    <row r="768" spans="1:9" x14ac:dyDescent="0.25">
      <c r="A768" s="74" t="s">
        <v>2914</v>
      </c>
      <c r="B768" s="45">
        <v>735</v>
      </c>
      <c r="C768" s="45" t="s">
        <v>1144</v>
      </c>
      <c r="D768" s="74">
        <v>500161</v>
      </c>
      <c r="E768" s="208" t="s">
        <v>137</v>
      </c>
      <c r="F768" s="208" t="s">
        <v>248</v>
      </c>
      <c r="G768" s="208" t="s">
        <v>21</v>
      </c>
      <c r="H768" s="209" t="s">
        <v>192</v>
      </c>
      <c r="I768" s="210">
        <v>6</v>
      </c>
    </row>
    <row r="769" spans="1:9" x14ac:dyDescent="0.25">
      <c r="A769" s="74" t="s">
        <v>2915</v>
      </c>
      <c r="B769" s="45">
        <v>736</v>
      </c>
      <c r="C769" s="45" t="s">
        <v>1145</v>
      </c>
      <c r="D769" s="74">
        <v>500162</v>
      </c>
      <c r="E769" s="208" t="s">
        <v>137</v>
      </c>
      <c r="F769" s="208" t="s">
        <v>248</v>
      </c>
      <c r="G769" s="208" t="s">
        <v>21</v>
      </c>
      <c r="H769" s="209" t="s">
        <v>194</v>
      </c>
      <c r="I769" s="210">
        <v>6</v>
      </c>
    </row>
    <row r="770" spans="1:9" x14ac:dyDescent="0.25">
      <c r="A770" s="74" t="s">
        <v>2916</v>
      </c>
      <c r="B770" s="45">
        <v>737</v>
      </c>
      <c r="C770" s="63" t="s">
        <v>1146</v>
      </c>
      <c r="D770" s="74">
        <v>500162</v>
      </c>
      <c r="E770" s="208" t="s">
        <v>137</v>
      </c>
      <c r="F770" s="208" t="s">
        <v>248</v>
      </c>
      <c r="G770" s="208" t="s">
        <v>21</v>
      </c>
      <c r="H770" s="209" t="s">
        <v>194</v>
      </c>
      <c r="I770" s="210">
        <v>6</v>
      </c>
    </row>
    <row r="771" spans="1:9" x14ac:dyDescent="0.25">
      <c r="A771" s="74" t="s">
        <v>2917</v>
      </c>
      <c r="B771" s="45">
        <v>738</v>
      </c>
      <c r="C771" s="45" t="s">
        <v>1147</v>
      </c>
      <c r="D771" s="74">
        <v>500162</v>
      </c>
      <c r="E771" s="208" t="s">
        <v>137</v>
      </c>
      <c r="F771" s="208" t="s">
        <v>248</v>
      </c>
      <c r="G771" s="208" t="s">
        <v>21</v>
      </c>
      <c r="H771" s="209" t="s">
        <v>194</v>
      </c>
      <c r="I771" s="210">
        <v>6</v>
      </c>
    </row>
    <row r="772" spans="1:9" x14ac:dyDescent="0.25">
      <c r="A772" s="74" t="s">
        <v>2918</v>
      </c>
      <c r="B772" s="45">
        <v>739</v>
      </c>
      <c r="C772" s="45" t="s">
        <v>1148</v>
      </c>
      <c r="D772" s="74">
        <v>500162</v>
      </c>
      <c r="E772" s="208" t="s">
        <v>137</v>
      </c>
      <c r="F772" s="208" t="s">
        <v>248</v>
      </c>
      <c r="G772" s="208" t="s">
        <v>21</v>
      </c>
      <c r="H772" s="209" t="s">
        <v>194</v>
      </c>
      <c r="I772" s="210">
        <v>6</v>
      </c>
    </row>
    <row r="773" spans="1:9" x14ac:dyDescent="0.25">
      <c r="A773" s="74" t="s">
        <v>2919</v>
      </c>
      <c r="B773" s="45">
        <v>740</v>
      </c>
      <c r="C773" s="64" t="s">
        <v>1149</v>
      </c>
      <c r="D773" s="74">
        <v>500163</v>
      </c>
      <c r="E773" s="208" t="s">
        <v>137</v>
      </c>
      <c r="F773" s="208" t="s">
        <v>248</v>
      </c>
      <c r="G773" s="208" t="s">
        <v>21</v>
      </c>
      <c r="H773" s="209" t="s">
        <v>187</v>
      </c>
      <c r="I773" s="210">
        <v>5</v>
      </c>
    </row>
    <row r="774" spans="1:9" x14ac:dyDescent="0.25">
      <c r="A774" s="74" t="s">
        <v>2920</v>
      </c>
      <c r="B774" s="45">
        <v>741</v>
      </c>
      <c r="C774" s="64" t="s">
        <v>1150</v>
      </c>
      <c r="D774" s="74">
        <v>500164</v>
      </c>
      <c r="E774" s="208" t="s">
        <v>137</v>
      </c>
      <c r="F774" s="208" t="s">
        <v>248</v>
      </c>
      <c r="G774" s="208" t="s">
        <v>21</v>
      </c>
      <c r="H774" s="209" t="s">
        <v>189</v>
      </c>
      <c r="I774" s="210">
        <v>6</v>
      </c>
    </row>
    <row r="775" spans="1:9" x14ac:dyDescent="0.25">
      <c r="A775" s="74" t="s">
        <v>2921</v>
      </c>
      <c r="B775" s="45" t="s">
        <v>23</v>
      </c>
      <c r="C775" s="45" t="s">
        <v>23</v>
      </c>
      <c r="D775" s="74">
        <v>500165</v>
      </c>
      <c r="E775" s="208" t="s">
        <v>137</v>
      </c>
      <c r="F775" s="208" t="s">
        <v>248</v>
      </c>
      <c r="G775" s="208" t="s">
        <v>21</v>
      </c>
      <c r="H775" s="209" t="s">
        <v>189</v>
      </c>
      <c r="I775" s="210">
        <v>6</v>
      </c>
    </row>
    <row r="776" spans="1:9" x14ac:dyDescent="0.25">
      <c r="A776" s="74" t="s">
        <v>2922</v>
      </c>
      <c r="B776" s="45">
        <v>742</v>
      </c>
      <c r="C776" s="64" t="s">
        <v>1151</v>
      </c>
      <c r="D776" s="74">
        <v>500166</v>
      </c>
      <c r="E776" s="208" t="s">
        <v>137</v>
      </c>
      <c r="F776" s="208" t="s">
        <v>248</v>
      </c>
      <c r="G776" s="208" t="s">
        <v>21</v>
      </c>
      <c r="H776" s="209" t="s">
        <v>189</v>
      </c>
      <c r="I776" s="210">
        <v>6</v>
      </c>
    </row>
    <row r="777" spans="1:9" x14ac:dyDescent="0.25">
      <c r="A777" s="74" t="s">
        <v>2923</v>
      </c>
      <c r="B777" s="45">
        <v>743</v>
      </c>
      <c r="C777" s="45" t="s">
        <v>1152</v>
      </c>
      <c r="D777" s="74">
        <v>500167</v>
      </c>
      <c r="E777" s="208" t="s">
        <v>137</v>
      </c>
      <c r="F777" s="208" t="s">
        <v>248</v>
      </c>
      <c r="G777" s="208" t="s">
        <v>249</v>
      </c>
      <c r="H777" s="209" t="s">
        <v>193</v>
      </c>
      <c r="I777" s="210">
        <v>6</v>
      </c>
    </row>
    <row r="778" spans="1:9" x14ac:dyDescent="0.25">
      <c r="A778" s="74" t="s">
        <v>2924</v>
      </c>
      <c r="B778" s="45">
        <v>744</v>
      </c>
      <c r="C778" s="45" t="s">
        <v>1153</v>
      </c>
      <c r="D778" s="74">
        <v>500168</v>
      </c>
      <c r="E778" s="208" t="s">
        <v>137</v>
      </c>
      <c r="F778" s="208" t="s">
        <v>248</v>
      </c>
      <c r="G778" s="208" t="s">
        <v>249</v>
      </c>
      <c r="H778" s="209" t="s">
        <v>193</v>
      </c>
      <c r="I778" s="210">
        <v>6</v>
      </c>
    </row>
    <row r="779" spans="1:9" x14ac:dyDescent="0.25">
      <c r="A779" s="74" t="s">
        <v>2925</v>
      </c>
      <c r="B779" s="45">
        <v>745</v>
      </c>
      <c r="C779" s="45" t="s">
        <v>1154</v>
      </c>
      <c r="D779" s="74">
        <v>500170</v>
      </c>
      <c r="E779" s="208" t="s">
        <v>137</v>
      </c>
      <c r="F779" s="208" t="s">
        <v>248</v>
      </c>
      <c r="G779" s="208" t="s">
        <v>249</v>
      </c>
      <c r="H779" s="209" t="s">
        <v>191</v>
      </c>
      <c r="I779" s="210">
        <v>6</v>
      </c>
    </row>
    <row r="780" spans="1:9" x14ac:dyDescent="0.25">
      <c r="A780" s="74" t="s">
        <v>2926</v>
      </c>
      <c r="B780" s="45">
        <v>746</v>
      </c>
      <c r="C780" s="45" t="s">
        <v>1155</v>
      </c>
      <c r="D780" s="74">
        <v>500170</v>
      </c>
      <c r="E780" s="208" t="s">
        <v>137</v>
      </c>
      <c r="F780" s="208" t="s">
        <v>248</v>
      </c>
      <c r="G780" s="208" t="s">
        <v>249</v>
      </c>
      <c r="H780" s="209" t="s">
        <v>191</v>
      </c>
      <c r="I780" s="210">
        <v>6</v>
      </c>
    </row>
    <row r="781" spans="1:9" x14ac:dyDescent="0.25">
      <c r="A781" s="74" t="s">
        <v>2927</v>
      </c>
      <c r="B781" s="45">
        <v>747</v>
      </c>
      <c r="C781" s="45" t="s">
        <v>1156</v>
      </c>
      <c r="D781" s="74">
        <v>500170</v>
      </c>
      <c r="E781" s="208" t="s">
        <v>137</v>
      </c>
      <c r="F781" s="208" t="s">
        <v>248</v>
      </c>
      <c r="G781" s="208" t="s">
        <v>249</v>
      </c>
      <c r="H781" s="209" t="s">
        <v>191</v>
      </c>
      <c r="I781" s="210">
        <v>6</v>
      </c>
    </row>
    <row r="782" spans="1:9" x14ac:dyDescent="0.25">
      <c r="A782" s="74" t="s">
        <v>2928</v>
      </c>
      <c r="B782" s="45">
        <v>748</v>
      </c>
      <c r="C782" s="45" t="s">
        <v>1157</v>
      </c>
      <c r="D782" s="74">
        <v>500170</v>
      </c>
      <c r="E782" s="208" t="s">
        <v>137</v>
      </c>
      <c r="F782" s="208" t="s">
        <v>248</v>
      </c>
      <c r="G782" s="208" t="s">
        <v>249</v>
      </c>
      <c r="H782" s="209" t="s">
        <v>191</v>
      </c>
      <c r="I782" s="210">
        <v>6</v>
      </c>
    </row>
    <row r="783" spans="1:9" x14ac:dyDescent="0.25">
      <c r="A783" s="74" t="s">
        <v>2929</v>
      </c>
      <c r="B783" s="45">
        <v>749</v>
      </c>
      <c r="C783" s="64" t="s">
        <v>1158</v>
      </c>
      <c r="D783" s="74">
        <v>500171</v>
      </c>
      <c r="E783" s="208" t="s">
        <v>137</v>
      </c>
      <c r="F783" s="208" t="s">
        <v>248</v>
      </c>
      <c r="G783" s="208" t="s">
        <v>249</v>
      </c>
      <c r="H783" s="209" t="s">
        <v>192</v>
      </c>
      <c r="I783" s="210">
        <v>6</v>
      </c>
    </row>
    <row r="784" spans="1:9" x14ac:dyDescent="0.25">
      <c r="A784" s="74" t="s">
        <v>2930</v>
      </c>
      <c r="B784" s="45">
        <v>750</v>
      </c>
      <c r="C784" s="45" t="s">
        <v>1159</v>
      </c>
      <c r="D784" s="74">
        <v>500172</v>
      </c>
      <c r="E784" s="208" t="s">
        <v>137</v>
      </c>
      <c r="F784" s="208" t="s">
        <v>248</v>
      </c>
      <c r="G784" s="208" t="s">
        <v>249</v>
      </c>
      <c r="H784" s="209" t="s">
        <v>192</v>
      </c>
      <c r="I784" s="210">
        <v>6</v>
      </c>
    </row>
    <row r="785" spans="1:9" x14ac:dyDescent="0.25">
      <c r="A785" s="74" t="s">
        <v>2931</v>
      </c>
      <c r="B785" s="45">
        <v>751</v>
      </c>
      <c r="C785" s="64" t="s">
        <v>1160</v>
      </c>
      <c r="D785" s="74">
        <v>500172</v>
      </c>
      <c r="E785" s="208" t="s">
        <v>137</v>
      </c>
      <c r="F785" s="208" t="s">
        <v>248</v>
      </c>
      <c r="G785" s="208" t="s">
        <v>249</v>
      </c>
      <c r="H785" s="209" t="s">
        <v>192</v>
      </c>
      <c r="I785" s="210">
        <v>6</v>
      </c>
    </row>
    <row r="786" spans="1:9" x14ac:dyDescent="0.25">
      <c r="A786" s="74" t="s">
        <v>2932</v>
      </c>
      <c r="B786" s="45">
        <v>752</v>
      </c>
      <c r="C786" s="45" t="s">
        <v>1161</v>
      </c>
      <c r="D786" s="74">
        <v>500173</v>
      </c>
      <c r="E786" s="208" t="s">
        <v>137</v>
      </c>
      <c r="F786" s="208" t="s">
        <v>248</v>
      </c>
      <c r="G786" s="208" t="s">
        <v>249</v>
      </c>
      <c r="H786" s="209" t="s">
        <v>191</v>
      </c>
      <c r="I786" s="210">
        <v>6</v>
      </c>
    </row>
    <row r="787" spans="1:9" x14ac:dyDescent="0.25">
      <c r="A787" s="74" t="s">
        <v>2933</v>
      </c>
      <c r="B787" s="45">
        <v>753</v>
      </c>
      <c r="C787" s="45" t="s">
        <v>1162</v>
      </c>
      <c r="D787" s="74">
        <v>500173</v>
      </c>
      <c r="E787" s="208" t="s">
        <v>137</v>
      </c>
      <c r="F787" s="208" t="s">
        <v>248</v>
      </c>
      <c r="G787" s="208" t="s">
        <v>249</v>
      </c>
      <c r="H787" s="209" t="s">
        <v>191</v>
      </c>
      <c r="I787" s="210">
        <v>6</v>
      </c>
    </row>
    <row r="788" spans="1:9" x14ac:dyDescent="0.25">
      <c r="A788" s="74" t="s">
        <v>2934</v>
      </c>
      <c r="B788" s="45">
        <v>754</v>
      </c>
      <c r="C788" s="45" t="s">
        <v>1163</v>
      </c>
      <c r="D788" s="74">
        <v>500173</v>
      </c>
      <c r="E788" s="208" t="s">
        <v>137</v>
      </c>
      <c r="F788" s="208" t="s">
        <v>248</v>
      </c>
      <c r="G788" s="208" t="s">
        <v>249</v>
      </c>
      <c r="H788" s="209" t="s">
        <v>191</v>
      </c>
      <c r="I788" s="210">
        <v>6</v>
      </c>
    </row>
    <row r="789" spans="1:9" x14ac:dyDescent="0.25">
      <c r="A789" s="74" t="s">
        <v>2935</v>
      </c>
      <c r="B789" s="45">
        <v>755</v>
      </c>
      <c r="C789" s="45" t="s">
        <v>1164</v>
      </c>
      <c r="D789" s="74">
        <v>500173</v>
      </c>
      <c r="E789" s="208" t="s">
        <v>137</v>
      </c>
      <c r="F789" s="208" t="s">
        <v>248</v>
      </c>
      <c r="G789" s="208" t="s">
        <v>249</v>
      </c>
      <c r="H789" s="209" t="s">
        <v>191</v>
      </c>
      <c r="I789" s="210">
        <v>6</v>
      </c>
    </row>
    <row r="790" spans="1:9" x14ac:dyDescent="0.25">
      <c r="A790" s="74" t="s">
        <v>2936</v>
      </c>
      <c r="B790" s="45">
        <v>756</v>
      </c>
      <c r="C790" s="64" t="s">
        <v>1165</v>
      </c>
      <c r="D790" s="74">
        <v>500174</v>
      </c>
      <c r="E790" s="208" t="s">
        <v>137</v>
      </c>
      <c r="F790" s="208" t="s">
        <v>248</v>
      </c>
      <c r="G790" s="208" t="s">
        <v>249</v>
      </c>
      <c r="H790" s="209" t="s">
        <v>191</v>
      </c>
      <c r="I790" s="210">
        <v>6</v>
      </c>
    </row>
    <row r="791" spans="1:9" x14ac:dyDescent="0.25">
      <c r="A791" s="74" t="s">
        <v>2937</v>
      </c>
      <c r="B791" s="45">
        <v>757</v>
      </c>
      <c r="C791" s="63" t="s">
        <v>1166</v>
      </c>
      <c r="D791" s="74">
        <v>500175</v>
      </c>
      <c r="E791" s="208" t="s">
        <v>137</v>
      </c>
      <c r="F791" s="208" t="s">
        <v>248</v>
      </c>
      <c r="G791" s="208" t="s">
        <v>249</v>
      </c>
      <c r="H791" s="209" t="s">
        <v>191</v>
      </c>
      <c r="I791" s="210">
        <v>6</v>
      </c>
    </row>
    <row r="792" spans="1:9" x14ac:dyDescent="0.25">
      <c r="A792" s="74" t="s">
        <v>2938</v>
      </c>
      <c r="B792" s="45">
        <v>758</v>
      </c>
      <c r="C792" s="63" t="s">
        <v>1167</v>
      </c>
      <c r="D792" s="74">
        <v>500175</v>
      </c>
      <c r="E792" s="208" t="s">
        <v>137</v>
      </c>
      <c r="F792" s="208" t="s">
        <v>248</v>
      </c>
      <c r="G792" s="208" t="s">
        <v>249</v>
      </c>
      <c r="H792" s="209" t="s">
        <v>191</v>
      </c>
      <c r="I792" s="210">
        <v>6</v>
      </c>
    </row>
    <row r="793" spans="1:9" x14ac:dyDescent="0.25">
      <c r="A793" s="74" t="s">
        <v>2939</v>
      </c>
      <c r="B793" s="45">
        <v>759</v>
      </c>
      <c r="C793" s="63" t="s">
        <v>1168</v>
      </c>
      <c r="D793" s="74">
        <v>500175</v>
      </c>
      <c r="E793" s="208" t="s">
        <v>137</v>
      </c>
      <c r="F793" s="208" t="s">
        <v>248</v>
      </c>
      <c r="G793" s="208" t="s">
        <v>249</v>
      </c>
      <c r="H793" s="209" t="s">
        <v>191</v>
      </c>
      <c r="I793" s="210">
        <v>6</v>
      </c>
    </row>
    <row r="794" spans="1:9" x14ac:dyDescent="0.25">
      <c r="A794" s="74" t="s">
        <v>2940</v>
      </c>
      <c r="B794" s="45" t="s">
        <v>23</v>
      </c>
      <c r="C794" s="45" t="s">
        <v>23</v>
      </c>
      <c r="D794" s="74">
        <v>500176</v>
      </c>
      <c r="E794" s="208" t="s">
        <v>137</v>
      </c>
      <c r="F794" s="208" t="s">
        <v>248</v>
      </c>
      <c r="G794" s="208" t="s">
        <v>249</v>
      </c>
      <c r="H794" s="209" t="s">
        <v>191</v>
      </c>
      <c r="I794" s="211">
        <v>6</v>
      </c>
    </row>
    <row r="795" spans="1:9" x14ac:dyDescent="0.25">
      <c r="A795" s="74" t="s">
        <v>2941</v>
      </c>
      <c r="B795" s="45">
        <v>760</v>
      </c>
      <c r="C795" s="63" t="s">
        <v>1169</v>
      </c>
      <c r="D795" s="74">
        <v>500177</v>
      </c>
      <c r="E795" s="208" t="s">
        <v>137</v>
      </c>
      <c r="F795" s="208" t="s">
        <v>248</v>
      </c>
      <c r="G795" s="208" t="s">
        <v>249</v>
      </c>
      <c r="H795" s="209" t="s">
        <v>191</v>
      </c>
      <c r="I795" s="210">
        <v>6</v>
      </c>
    </row>
    <row r="796" spans="1:9" x14ac:dyDescent="0.25">
      <c r="A796" s="74" t="s">
        <v>2942</v>
      </c>
      <c r="B796" s="45">
        <v>761</v>
      </c>
      <c r="C796" s="63" t="s">
        <v>1170</v>
      </c>
      <c r="D796" s="74">
        <v>500177</v>
      </c>
      <c r="E796" s="208" t="s">
        <v>137</v>
      </c>
      <c r="F796" s="208" t="s">
        <v>248</v>
      </c>
      <c r="G796" s="208" t="s">
        <v>249</v>
      </c>
      <c r="H796" s="209" t="s">
        <v>191</v>
      </c>
      <c r="I796" s="210">
        <v>6</v>
      </c>
    </row>
    <row r="797" spans="1:9" x14ac:dyDescent="0.25">
      <c r="A797" s="74" t="s">
        <v>2943</v>
      </c>
      <c r="B797" s="45">
        <v>762</v>
      </c>
      <c r="C797" s="63" t="s">
        <v>1171</v>
      </c>
      <c r="D797" s="74">
        <v>500177</v>
      </c>
      <c r="E797" s="208" t="s">
        <v>137</v>
      </c>
      <c r="F797" s="208" t="s">
        <v>248</v>
      </c>
      <c r="G797" s="208" t="s">
        <v>249</v>
      </c>
      <c r="H797" s="209" t="s">
        <v>191</v>
      </c>
      <c r="I797" s="210">
        <v>6</v>
      </c>
    </row>
    <row r="798" spans="1:9" x14ac:dyDescent="0.25">
      <c r="A798" s="74" t="s">
        <v>2944</v>
      </c>
      <c r="B798" s="45">
        <v>763</v>
      </c>
      <c r="C798" s="63" t="s">
        <v>1172</v>
      </c>
      <c r="D798" s="74">
        <v>500177</v>
      </c>
      <c r="E798" s="208" t="s">
        <v>137</v>
      </c>
      <c r="F798" s="208" t="s">
        <v>248</v>
      </c>
      <c r="G798" s="208" t="s">
        <v>249</v>
      </c>
      <c r="H798" s="209" t="s">
        <v>191</v>
      </c>
      <c r="I798" s="210">
        <v>6</v>
      </c>
    </row>
    <row r="799" spans="1:9" x14ac:dyDescent="0.25">
      <c r="A799" s="74" t="s">
        <v>2945</v>
      </c>
      <c r="B799" s="45">
        <v>764</v>
      </c>
      <c r="C799" s="64" t="s">
        <v>1173</v>
      </c>
      <c r="D799" s="74">
        <v>500178</v>
      </c>
      <c r="E799" s="208" t="s">
        <v>137</v>
      </c>
      <c r="F799" s="208" t="s">
        <v>248</v>
      </c>
      <c r="G799" s="208" t="s">
        <v>249</v>
      </c>
      <c r="H799" s="209" t="s">
        <v>191</v>
      </c>
      <c r="I799" s="210">
        <v>6</v>
      </c>
    </row>
    <row r="800" spans="1:9" x14ac:dyDescent="0.25">
      <c r="A800" s="74" t="s">
        <v>2946</v>
      </c>
      <c r="B800" s="45">
        <v>765</v>
      </c>
      <c r="C800" s="64" t="s">
        <v>1174</v>
      </c>
      <c r="D800" s="74">
        <v>500178</v>
      </c>
      <c r="E800" s="208" t="s">
        <v>137</v>
      </c>
      <c r="F800" s="208" t="s">
        <v>248</v>
      </c>
      <c r="G800" s="208" t="s">
        <v>249</v>
      </c>
      <c r="H800" s="209" t="s">
        <v>191</v>
      </c>
      <c r="I800" s="210">
        <v>6</v>
      </c>
    </row>
    <row r="801" spans="1:9" x14ac:dyDescent="0.25">
      <c r="A801" s="74" t="s">
        <v>2947</v>
      </c>
      <c r="B801" s="45">
        <v>766</v>
      </c>
      <c r="C801" s="64" t="s">
        <v>1175</v>
      </c>
      <c r="D801" s="74">
        <v>500178</v>
      </c>
      <c r="E801" s="208" t="s">
        <v>137</v>
      </c>
      <c r="F801" s="208" t="s">
        <v>248</v>
      </c>
      <c r="G801" s="208" t="s">
        <v>249</v>
      </c>
      <c r="H801" s="209" t="s">
        <v>191</v>
      </c>
      <c r="I801" s="210">
        <v>6</v>
      </c>
    </row>
    <row r="802" spans="1:9" x14ac:dyDescent="0.25">
      <c r="A802" s="74" t="s">
        <v>2948</v>
      </c>
      <c r="B802" s="45">
        <v>767</v>
      </c>
      <c r="C802" s="64" t="s">
        <v>1176</v>
      </c>
      <c r="D802" s="74">
        <v>500178</v>
      </c>
      <c r="E802" s="208" t="s">
        <v>137</v>
      </c>
      <c r="F802" s="208" t="s">
        <v>248</v>
      </c>
      <c r="G802" s="208" t="s">
        <v>249</v>
      </c>
      <c r="H802" s="209" t="s">
        <v>191</v>
      </c>
      <c r="I802" s="210">
        <v>6</v>
      </c>
    </row>
    <row r="803" spans="1:9" x14ac:dyDescent="0.25">
      <c r="A803" s="74" t="s">
        <v>2949</v>
      </c>
      <c r="B803" s="45">
        <v>768</v>
      </c>
      <c r="C803" s="64" t="s">
        <v>1177</v>
      </c>
      <c r="D803" s="74">
        <v>500179</v>
      </c>
      <c r="E803" s="208" t="s">
        <v>137</v>
      </c>
      <c r="F803" s="208" t="s">
        <v>248</v>
      </c>
      <c r="G803" s="208" t="s">
        <v>249</v>
      </c>
      <c r="H803" s="209" t="s">
        <v>192</v>
      </c>
      <c r="I803" s="210">
        <v>6</v>
      </c>
    </row>
    <row r="804" spans="1:9" x14ac:dyDescent="0.25">
      <c r="A804" s="74" t="s">
        <v>2950</v>
      </c>
      <c r="B804" s="45">
        <v>769</v>
      </c>
      <c r="C804" s="64" t="s">
        <v>1178</v>
      </c>
      <c r="D804" s="74">
        <v>500180</v>
      </c>
      <c r="E804" s="208" t="s">
        <v>137</v>
      </c>
      <c r="F804" s="208" t="s">
        <v>248</v>
      </c>
      <c r="G804" s="208" t="s">
        <v>249</v>
      </c>
      <c r="H804" s="209" t="s">
        <v>191</v>
      </c>
      <c r="I804" s="210">
        <v>6</v>
      </c>
    </row>
    <row r="805" spans="1:9" x14ac:dyDescent="0.25">
      <c r="A805" s="74" t="s">
        <v>2951</v>
      </c>
      <c r="B805" s="45">
        <v>770</v>
      </c>
      <c r="C805" s="64" t="s">
        <v>1179</v>
      </c>
      <c r="D805" s="74">
        <v>500180</v>
      </c>
      <c r="E805" s="208" t="s">
        <v>137</v>
      </c>
      <c r="F805" s="208" t="s">
        <v>248</v>
      </c>
      <c r="G805" s="208" t="s">
        <v>249</v>
      </c>
      <c r="H805" s="209" t="s">
        <v>191</v>
      </c>
      <c r="I805" s="210">
        <v>6</v>
      </c>
    </row>
    <row r="806" spans="1:9" x14ac:dyDescent="0.25">
      <c r="A806" s="74" t="s">
        <v>2952</v>
      </c>
      <c r="B806" s="45">
        <v>771</v>
      </c>
      <c r="C806" s="64" t="s">
        <v>1180</v>
      </c>
      <c r="D806" s="74">
        <v>500180</v>
      </c>
      <c r="E806" s="208" t="s">
        <v>137</v>
      </c>
      <c r="F806" s="208" t="s">
        <v>248</v>
      </c>
      <c r="G806" s="208" t="s">
        <v>249</v>
      </c>
      <c r="H806" s="209" t="s">
        <v>191</v>
      </c>
      <c r="I806" s="210">
        <v>6</v>
      </c>
    </row>
    <row r="807" spans="1:9" x14ac:dyDescent="0.25">
      <c r="A807" s="74" t="s">
        <v>2953</v>
      </c>
      <c r="B807" s="45">
        <v>772</v>
      </c>
      <c r="C807" s="64" t="s">
        <v>1181</v>
      </c>
      <c r="D807" s="74">
        <v>500180</v>
      </c>
      <c r="E807" s="208" t="s">
        <v>137</v>
      </c>
      <c r="F807" s="208" t="s">
        <v>248</v>
      </c>
      <c r="G807" s="208" t="s">
        <v>249</v>
      </c>
      <c r="H807" s="209" t="s">
        <v>191</v>
      </c>
      <c r="I807" s="210">
        <v>6</v>
      </c>
    </row>
    <row r="808" spans="1:9" x14ac:dyDescent="0.25">
      <c r="A808" s="74" t="s">
        <v>2954</v>
      </c>
      <c r="B808" s="45">
        <v>773</v>
      </c>
      <c r="C808" s="63" t="s">
        <v>1182</v>
      </c>
      <c r="D808" s="74">
        <v>500181</v>
      </c>
      <c r="E808" s="208" t="s">
        <v>137</v>
      </c>
      <c r="F808" s="208" t="s">
        <v>248</v>
      </c>
      <c r="G808" s="208" t="s">
        <v>249</v>
      </c>
      <c r="H808" s="209" t="s">
        <v>192</v>
      </c>
      <c r="I808" s="210">
        <v>6</v>
      </c>
    </row>
    <row r="809" spans="1:9" x14ac:dyDescent="0.25">
      <c r="A809" s="74" t="s">
        <v>2955</v>
      </c>
      <c r="B809" s="45">
        <v>774</v>
      </c>
      <c r="C809" s="64" t="s">
        <v>1183</v>
      </c>
      <c r="D809" s="74">
        <v>500182</v>
      </c>
      <c r="E809" s="208" t="s">
        <v>137</v>
      </c>
      <c r="F809" s="208" t="s">
        <v>248</v>
      </c>
      <c r="G809" s="208" t="s">
        <v>249</v>
      </c>
      <c r="H809" s="209" t="s">
        <v>191</v>
      </c>
      <c r="I809" s="210">
        <v>6</v>
      </c>
    </row>
    <row r="810" spans="1:9" x14ac:dyDescent="0.25">
      <c r="A810" s="74" t="s">
        <v>2956</v>
      </c>
      <c r="B810" s="45">
        <v>775</v>
      </c>
      <c r="C810" s="64" t="s">
        <v>1184</v>
      </c>
      <c r="D810" s="74">
        <v>500182</v>
      </c>
      <c r="E810" s="208" t="s">
        <v>137</v>
      </c>
      <c r="F810" s="208" t="s">
        <v>248</v>
      </c>
      <c r="G810" s="208" t="s">
        <v>249</v>
      </c>
      <c r="H810" s="209" t="s">
        <v>191</v>
      </c>
      <c r="I810" s="210">
        <v>6</v>
      </c>
    </row>
    <row r="811" spans="1:9" x14ac:dyDescent="0.25">
      <c r="A811" s="74" t="s">
        <v>2957</v>
      </c>
      <c r="B811" s="45">
        <v>776</v>
      </c>
      <c r="C811" s="64" t="s">
        <v>1185</v>
      </c>
      <c r="D811" s="74">
        <v>500182</v>
      </c>
      <c r="E811" s="208" t="s">
        <v>137</v>
      </c>
      <c r="F811" s="208" t="s">
        <v>248</v>
      </c>
      <c r="G811" s="208" t="s">
        <v>249</v>
      </c>
      <c r="H811" s="209" t="s">
        <v>191</v>
      </c>
      <c r="I811" s="210">
        <v>6</v>
      </c>
    </row>
    <row r="812" spans="1:9" x14ac:dyDescent="0.25">
      <c r="A812" s="74" t="s">
        <v>2958</v>
      </c>
      <c r="B812" s="45">
        <v>777</v>
      </c>
      <c r="C812" s="64" t="s">
        <v>1186</v>
      </c>
      <c r="D812" s="74">
        <v>500182</v>
      </c>
      <c r="E812" s="208" t="s">
        <v>137</v>
      </c>
      <c r="F812" s="208" t="s">
        <v>248</v>
      </c>
      <c r="G812" s="208" t="s">
        <v>249</v>
      </c>
      <c r="H812" s="209" t="s">
        <v>191</v>
      </c>
      <c r="I812" s="210">
        <v>6</v>
      </c>
    </row>
    <row r="813" spans="1:9" x14ac:dyDescent="0.25">
      <c r="A813" s="74" t="s">
        <v>2959</v>
      </c>
      <c r="B813" s="45">
        <v>778</v>
      </c>
      <c r="C813" s="64" t="s">
        <v>1187</v>
      </c>
      <c r="D813" s="74">
        <v>500183</v>
      </c>
      <c r="E813" s="208" t="s">
        <v>137</v>
      </c>
      <c r="F813" s="208" t="s">
        <v>248</v>
      </c>
      <c r="G813" s="208" t="s">
        <v>249</v>
      </c>
      <c r="H813" s="209" t="s">
        <v>191</v>
      </c>
      <c r="I813" s="210">
        <v>6</v>
      </c>
    </row>
    <row r="814" spans="1:9" x14ac:dyDescent="0.25">
      <c r="A814" s="74" t="s">
        <v>2960</v>
      </c>
      <c r="B814" s="45">
        <v>779</v>
      </c>
      <c r="C814" s="64" t="s">
        <v>1188</v>
      </c>
      <c r="D814" s="74">
        <v>500183</v>
      </c>
      <c r="E814" s="208" t="s">
        <v>137</v>
      </c>
      <c r="F814" s="208" t="s">
        <v>248</v>
      </c>
      <c r="G814" s="208" t="s">
        <v>249</v>
      </c>
      <c r="H814" s="209" t="s">
        <v>191</v>
      </c>
      <c r="I814" s="210">
        <v>6</v>
      </c>
    </row>
    <row r="815" spans="1:9" x14ac:dyDescent="0.25">
      <c r="A815" s="74" t="s">
        <v>2961</v>
      </c>
      <c r="B815" s="45">
        <v>780</v>
      </c>
      <c r="C815" s="64" t="s">
        <v>1189</v>
      </c>
      <c r="D815" s="74">
        <v>500183</v>
      </c>
      <c r="E815" s="208" t="s">
        <v>137</v>
      </c>
      <c r="F815" s="208" t="s">
        <v>248</v>
      </c>
      <c r="G815" s="208" t="s">
        <v>249</v>
      </c>
      <c r="H815" s="209" t="s">
        <v>191</v>
      </c>
      <c r="I815" s="210">
        <v>6</v>
      </c>
    </row>
    <row r="816" spans="1:9" x14ac:dyDescent="0.25">
      <c r="A816" s="74" t="s">
        <v>2962</v>
      </c>
      <c r="B816" s="45">
        <v>781</v>
      </c>
      <c r="C816" s="64" t="s">
        <v>1190</v>
      </c>
      <c r="D816" s="74">
        <v>500183</v>
      </c>
      <c r="E816" s="208" t="s">
        <v>137</v>
      </c>
      <c r="F816" s="208" t="s">
        <v>248</v>
      </c>
      <c r="G816" s="208" t="s">
        <v>249</v>
      </c>
      <c r="H816" s="209" t="s">
        <v>191</v>
      </c>
      <c r="I816" s="210">
        <v>6</v>
      </c>
    </row>
    <row r="817" spans="1:9" x14ac:dyDescent="0.25">
      <c r="A817" s="74" t="s">
        <v>2963</v>
      </c>
      <c r="B817" s="45">
        <v>782</v>
      </c>
      <c r="C817" s="64" t="s">
        <v>1191</v>
      </c>
      <c r="D817" s="74">
        <v>500184</v>
      </c>
      <c r="E817" s="208" t="s">
        <v>137</v>
      </c>
      <c r="F817" s="208" t="s">
        <v>248</v>
      </c>
      <c r="G817" s="208" t="s">
        <v>249</v>
      </c>
      <c r="H817" s="209" t="s">
        <v>192</v>
      </c>
      <c r="I817" s="210">
        <v>6</v>
      </c>
    </row>
    <row r="818" spans="1:9" x14ac:dyDescent="0.25">
      <c r="A818" s="74" t="s">
        <v>2964</v>
      </c>
      <c r="B818" s="45">
        <v>783</v>
      </c>
      <c r="C818" s="63" t="s">
        <v>1192</v>
      </c>
      <c r="D818" s="74">
        <v>500185</v>
      </c>
      <c r="E818" s="208" t="s">
        <v>137</v>
      </c>
      <c r="F818" s="208" t="s">
        <v>248</v>
      </c>
      <c r="G818" s="208" t="s">
        <v>249</v>
      </c>
      <c r="H818" s="209" t="s">
        <v>192</v>
      </c>
      <c r="I818" s="210">
        <v>6</v>
      </c>
    </row>
    <row r="819" spans="1:9" x14ac:dyDescent="0.25">
      <c r="A819" s="74" t="s">
        <v>2965</v>
      </c>
      <c r="B819" s="45">
        <v>784</v>
      </c>
      <c r="C819" s="64" t="s">
        <v>1193</v>
      </c>
      <c r="D819" s="74">
        <v>500187</v>
      </c>
      <c r="E819" s="208" t="s">
        <v>137</v>
      </c>
      <c r="F819" s="208" t="s">
        <v>248</v>
      </c>
      <c r="G819" s="208" t="s">
        <v>249</v>
      </c>
      <c r="H819" s="209" t="s">
        <v>191</v>
      </c>
      <c r="I819" s="210">
        <v>6</v>
      </c>
    </row>
    <row r="820" spans="1:9" x14ac:dyDescent="0.25">
      <c r="A820" s="74" t="s">
        <v>2966</v>
      </c>
      <c r="B820" s="45">
        <v>785</v>
      </c>
      <c r="C820" s="63" t="s">
        <v>1194</v>
      </c>
      <c r="D820" s="74">
        <v>500188</v>
      </c>
      <c r="E820" s="208" t="s">
        <v>137</v>
      </c>
      <c r="F820" s="208" t="s">
        <v>248</v>
      </c>
      <c r="G820" s="208" t="s">
        <v>249</v>
      </c>
      <c r="H820" s="209" t="s">
        <v>191</v>
      </c>
      <c r="I820" s="210">
        <v>6</v>
      </c>
    </row>
    <row r="821" spans="1:9" x14ac:dyDescent="0.25">
      <c r="A821" s="74" t="s">
        <v>2967</v>
      </c>
      <c r="B821" s="45">
        <v>786</v>
      </c>
      <c r="C821" s="63" t="s">
        <v>1195</v>
      </c>
      <c r="D821" s="74">
        <v>500188</v>
      </c>
      <c r="E821" s="208" t="s">
        <v>137</v>
      </c>
      <c r="F821" s="208" t="s">
        <v>248</v>
      </c>
      <c r="G821" s="208" t="s">
        <v>249</v>
      </c>
      <c r="H821" s="209" t="s">
        <v>191</v>
      </c>
      <c r="I821" s="210">
        <v>6</v>
      </c>
    </row>
    <row r="822" spans="1:9" x14ac:dyDescent="0.25">
      <c r="A822" s="74" t="s">
        <v>2968</v>
      </c>
      <c r="B822" s="45">
        <v>787</v>
      </c>
      <c r="C822" s="63" t="s">
        <v>1196</v>
      </c>
      <c r="D822" s="74">
        <v>500188</v>
      </c>
      <c r="E822" s="208" t="s">
        <v>137</v>
      </c>
      <c r="F822" s="208" t="s">
        <v>248</v>
      </c>
      <c r="G822" s="208" t="s">
        <v>249</v>
      </c>
      <c r="H822" s="209" t="s">
        <v>191</v>
      </c>
      <c r="I822" s="210">
        <v>6</v>
      </c>
    </row>
    <row r="823" spans="1:9" x14ac:dyDescent="0.25">
      <c r="A823" s="74" t="s">
        <v>2969</v>
      </c>
      <c r="B823" s="45">
        <v>788</v>
      </c>
      <c r="C823" s="63" t="s">
        <v>1197</v>
      </c>
      <c r="D823" s="74">
        <v>500188</v>
      </c>
      <c r="E823" s="208" t="s">
        <v>137</v>
      </c>
      <c r="F823" s="208" t="s">
        <v>248</v>
      </c>
      <c r="G823" s="208" t="s">
        <v>249</v>
      </c>
      <c r="H823" s="209" t="s">
        <v>191</v>
      </c>
      <c r="I823" s="210">
        <v>6</v>
      </c>
    </row>
    <row r="824" spans="1:9" x14ac:dyDescent="0.25">
      <c r="A824" s="74" t="s">
        <v>2970</v>
      </c>
      <c r="B824" s="45">
        <v>789</v>
      </c>
      <c r="C824" s="64" t="s">
        <v>1198</v>
      </c>
      <c r="D824" s="74">
        <v>500189</v>
      </c>
      <c r="E824" s="208" t="s">
        <v>137</v>
      </c>
      <c r="F824" s="208" t="s">
        <v>248</v>
      </c>
      <c r="G824" s="208" t="s">
        <v>249</v>
      </c>
      <c r="H824" s="209" t="s">
        <v>192</v>
      </c>
      <c r="I824" s="210">
        <v>6</v>
      </c>
    </row>
    <row r="825" spans="1:9" x14ac:dyDescent="0.25">
      <c r="A825" s="74" t="s">
        <v>2971</v>
      </c>
      <c r="B825" s="45">
        <v>790</v>
      </c>
      <c r="C825" s="64" t="s">
        <v>1199</v>
      </c>
      <c r="D825" s="74">
        <v>500190</v>
      </c>
      <c r="E825" s="208" t="s">
        <v>137</v>
      </c>
      <c r="F825" s="208" t="s">
        <v>248</v>
      </c>
      <c r="G825" s="208" t="s">
        <v>21</v>
      </c>
      <c r="H825" s="209" t="s">
        <v>192</v>
      </c>
      <c r="I825" s="210">
        <v>6</v>
      </c>
    </row>
    <row r="826" spans="1:9" x14ac:dyDescent="0.25">
      <c r="A826" s="74" t="s">
        <v>2972</v>
      </c>
      <c r="B826" s="45">
        <v>791</v>
      </c>
      <c r="C826" s="64" t="s">
        <v>1200</v>
      </c>
      <c r="D826" s="74">
        <v>500191</v>
      </c>
      <c r="E826" s="208" t="s">
        <v>137</v>
      </c>
      <c r="F826" s="208" t="s">
        <v>248</v>
      </c>
      <c r="G826" s="208" t="s">
        <v>21</v>
      </c>
      <c r="H826" s="209" t="s">
        <v>191</v>
      </c>
      <c r="I826" s="210">
        <v>6</v>
      </c>
    </row>
    <row r="827" spans="1:9" x14ac:dyDescent="0.25">
      <c r="A827" s="74" t="s">
        <v>2973</v>
      </c>
      <c r="B827" s="45">
        <v>792</v>
      </c>
      <c r="C827" s="64" t="s">
        <v>1201</v>
      </c>
      <c r="D827" s="74">
        <v>500191</v>
      </c>
      <c r="E827" s="208" t="s">
        <v>137</v>
      </c>
      <c r="F827" s="208" t="s">
        <v>248</v>
      </c>
      <c r="G827" s="208" t="s">
        <v>21</v>
      </c>
      <c r="H827" s="209" t="s">
        <v>191</v>
      </c>
      <c r="I827" s="210">
        <v>6</v>
      </c>
    </row>
    <row r="828" spans="1:9" x14ac:dyDescent="0.25">
      <c r="A828" s="74" t="s">
        <v>2974</v>
      </c>
      <c r="B828" s="45">
        <v>793</v>
      </c>
      <c r="C828" s="64" t="s">
        <v>1202</v>
      </c>
      <c r="D828" s="74">
        <v>500191</v>
      </c>
      <c r="E828" s="208" t="s">
        <v>137</v>
      </c>
      <c r="F828" s="208" t="s">
        <v>248</v>
      </c>
      <c r="G828" s="208" t="s">
        <v>21</v>
      </c>
      <c r="H828" s="209" t="s">
        <v>191</v>
      </c>
      <c r="I828" s="210">
        <v>6</v>
      </c>
    </row>
    <row r="829" spans="1:9" x14ac:dyDescent="0.25">
      <c r="A829" s="74" t="s">
        <v>2975</v>
      </c>
      <c r="B829" s="45">
        <v>794</v>
      </c>
      <c r="C829" s="63" t="s">
        <v>1203</v>
      </c>
      <c r="D829" s="74">
        <v>500191</v>
      </c>
      <c r="E829" s="208" t="s">
        <v>137</v>
      </c>
      <c r="F829" s="208" t="s">
        <v>248</v>
      </c>
      <c r="G829" s="208" t="s">
        <v>21</v>
      </c>
      <c r="H829" s="209" t="s">
        <v>191</v>
      </c>
      <c r="I829" s="210">
        <v>6</v>
      </c>
    </row>
    <row r="830" spans="1:9" x14ac:dyDescent="0.25">
      <c r="A830" s="74" t="s">
        <v>2976</v>
      </c>
      <c r="B830" s="45">
        <v>795</v>
      </c>
      <c r="C830" s="63" t="s">
        <v>1204</v>
      </c>
      <c r="D830" s="74">
        <v>500515</v>
      </c>
      <c r="E830" s="208" t="s">
        <v>136</v>
      </c>
      <c r="F830" s="208" t="s">
        <v>246</v>
      </c>
      <c r="G830" s="208" t="s">
        <v>247</v>
      </c>
      <c r="H830" s="209" t="s">
        <v>192</v>
      </c>
      <c r="I830" s="210">
        <v>6</v>
      </c>
    </row>
    <row r="831" spans="1:9" x14ac:dyDescent="0.25">
      <c r="A831" s="74" t="s">
        <v>2977</v>
      </c>
      <c r="B831" s="45">
        <v>796</v>
      </c>
      <c r="C831" s="45" t="s">
        <v>1205</v>
      </c>
      <c r="D831" s="74">
        <v>500516</v>
      </c>
      <c r="E831" s="208" t="s">
        <v>137</v>
      </c>
      <c r="F831" s="208" t="s">
        <v>248</v>
      </c>
      <c r="G831" s="208" t="s">
        <v>249</v>
      </c>
      <c r="H831" s="209" t="s">
        <v>192</v>
      </c>
      <c r="I831" s="210">
        <v>6</v>
      </c>
    </row>
    <row r="832" spans="1:9" x14ac:dyDescent="0.25">
      <c r="A832" s="74" t="s">
        <v>2978</v>
      </c>
      <c r="B832" s="45">
        <v>797</v>
      </c>
      <c r="C832" s="64" t="s">
        <v>1206</v>
      </c>
      <c r="D832" s="74">
        <v>500049</v>
      </c>
      <c r="E832" s="208" t="s">
        <v>136</v>
      </c>
      <c r="F832" s="208" t="s">
        <v>246</v>
      </c>
      <c r="G832" s="208" t="s">
        <v>21</v>
      </c>
      <c r="H832" s="209" t="s">
        <v>189</v>
      </c>
      <c r="I832" s="210">
        <v>6</v>
      </c>
    </row>
    <row r="833" spans="1:9" x14ac:dyDescent="0.25">
      <c r="A833" s="74" t="s">
        <v>2979</v>
      </c>
      <c r="B833" s="45">
        <v>798</v>
      </c>
      <c r="C833" s="64" t="s">
        <v>1207</v>
      </c>
      <c r="D833" s="74">
        <v>500050</v>
      </c>
      <c r="E833" s="208" t="s">
        <v>137</v>
      </c>
      <c r="F833" s="208" t="s">
        <v>248</v>
      </c>
      <c r="G833" s="208" t="s">
        <v>21</v>
      </c>
      <c r="H833" s="209" t="s">
        <v>189</v>
      </c>
      <c r="I833" s="210">
        <v>6</v>
      </c>
    </row>
    <row r="834" spans="1:9" x14ac:dyDescent="0.25">
      <c r="A834" s="74" t="s">
        <v>2980</v>
      </c>
      <c r="B834" s="45">
        <v>799</v>
      </c>
      <c r="C834" s="64" t="s">
        <v>1208</v>
      </c>
      <c r="D834" s="74">
        <v>500051</v>
      </c>
      <c r="E834" s="208" t="s">
        <v>137</v>
      </c>
      <c r="F834" s="208" t="s">
        <v>248</v>
      </c>
      <c r="G834" s="208" t="s">
        <v>21</v>
      </c>
      <c r="H834" s="209" t="s">
        <v>189</v>
      </c>
      <c r="I834" s="210">
        <v>6</v>
      </c>
    </row>
    <row r="835" spans="1:9" x14ac:dyDescent="0.25">
      <c r="A835" s="74" t="s">
        <v>2981</v>
      </c>
      <c r="B835" s="45">
        <v>800</v>
      </c>
      <c r="C835" s="64" t="s">
        <v>1209</v>
      </c>
      <c r="D835" s="74">
        <v>500535</v>
      </c>
      <c r="E835" s="208" t="s">
        <v>138</v>
      </c>
      <c r="F835" s="208" t="s">
        <v>243</v>
      </c>
      <c r="G835" s="208" t="s">
        <v>21</v>
      </c>
      <c r="H835" s="209" t="s">
        <v>191</v>
      </c>
      <c r="I835" s="210">
        <v>7</v>
      </c>
    </row>
    <row r="836" spans="1:9" x14ac:dyDescent="0.25">
      <c r="A836" s="74" t="s">
        <v>2982</v>
      </c>
      <c r="B836" s="45">
        <v>801</v>
      </c>
      <c r="C836" s="64" t="s">
        <v>1210</v>
      </c>
      <c r="D836" s="74">
        <v>500535</v>
      </c>
      <c r="E836" s="208" t="s">
        <v>138</v>
      </c>
      <c r="F836" s="208" t="s">
        <v>243</v>
      </c>
      <c r="G836" s="208" t="s">
        <v>21</v>
      </c>
      <c r="H836" s="209" t="s">
        <v>191</v>
      </c>
      <c r="I836" s="210">
        <v>7</v>
      </c>
    </row>
    <row r="837" spans="1:9" x14ac:dyDescent="0.25">
      <c r="A837" s="74" t="s">
        <v>2983</v>
      </c>
      <c r="B837" s="45">
        <v>802</v>
      </c>
      <c r="C837" s="63" t="s">
        <v>1211</v>
      </c>
      <c r="D837" s="74">
        <v>500539</v>
      </c>
      <c r="E837" s="208" t="s">
        <v>143</v>
      </c>
      <c r="F837" s="208" t="s">
        <v>242</v>
      </c>
      <c r="G837" s="208" t="s">
        <v>21</v>
      </c>
      <c r="H837" s="209" t="s">
        <v>198</v>
      </c>
      <c r="I837" s="210">
        <v>6</v>
      </c>
    </row>
    <row r="838" spans="1:9" x14ac:dyDescent="0.25">
      <c r="A838" s="74" t="s">
        <v>2984</v>
      </c>
      <c r="B838" s="45">
        <v>803</v>
      </c>
      <c r="C838" s="64" t="s">
        <v>1212</v>
      </c>
      <c r="D838" s="74">
        <v>500540</v>
      </c>
      <c r="E838" s="208" t="s">
        <v>143</v>
      </c>
      <c r="F838" s="208" t="s">
        <v>242</v>
      </c>
      <c r="G838" s="208" t="s">
        <v>21</v>
      </c>
      <c r="H838" s="209" t="s">
        <v>191</v>
      </c>
      <c r="I838" s="210">
        <v>7</v>
      </c>
    </row>
    <row r="839" spans="1:9" x14ac:dyDescent="0.25">
      <c r="A839" s="74" t="s">
        <v>2985</v>
      </c>
      <c r="B839" s="45">
        <v>804</v>
      </c>
      <c r="C839" s="64" t="s">
        <v>1213</v>
      </c>
      <c r="D839" s="74">
        <v>500540</v>
      </c>
      <c r="E839" s="208" t="s">
        <v>143</v>
      </c>
      <c r="F839" s="208" t="s">
        <v>242</v>
      </c>
      <c r="G839" s="208" t="s">
        <v>21</v>
      </c>
      <c r="H839" s="209" t="s">
        <v>191</v>
      </c>
      <c r="I839" s="210">
        <v>7</v>
      </c>
    </row>
    <row r="840" spans="1:9" x14ac:dyDescent="0.25">
      <c r="A840" s="74" t="s">
        <v>2986</v>
      </c>
      <c r="B840" s="45">
        <v>805</v>
      </c>
      <c r="C840" s="64" t="s">
        <v>1214</v>
      </c>
      <c r="D840" s="74">
        <v>500540</v>
      </c>
      <c r="E840" s="208" t="s">
        <v>143</v>
      </c>
      <c r="F840" s="208" t="s">
        <v>242</v>
      </c>
      <c r="G840" s="208" t="s">
        <v>21</v>
      </c>
      <c r="H840" s="209" t="s">
        <v>191</v>
      </c>
      <c r="I840" s="210">
        <v>7</v>
      </c>
    </row>
    <row r="841" spans="1:9" x14ac:dyDescent="0.25">
      <c r="A841" s="74" t="s">
        <v>2987</v>
      </c>
      <c r="B841" s="45" t="s">
        <v>23</v>
      </c>
      <c r="C841" s="45" t="s">
        <v>23</v>
      </c>
      <c r="D841" s="74">
        <v>500540</v>
      </c>
      <c r="E841" s="208" t="s">
        <v>143</v>
      </c>
      <c r="F841" s="208" t="s">
        <v>242</v>
      </c>
      <c r="G841" s="208" t="s">
        <v>21</v>
      </c>
      <c r="H841" s="209" t="s">
        <v>191</v>
      </c>
      <c r="I841" s="210">
        <v>7</v>
      </c>
    </row>
    <row r="842" spans="1:9" x14ac:dyDescent="0.25">
      <c r="A842" s="74" t="s">
        <v>2988</v>
      </c>
      <c r="B842" s="45">
        <v>806</v>
      </c>
      <c r="C842" s="64" t="s">
        <v>1215</v>
      </c>
      <c r="D842" s="74">
        <v>500541</v>
      </c>
      <c r="E842" s="208" t="s">
        <v>143</v>
      </c>
      <c r="F842" s="208" t="s">
        <v>242</v>
      </c>
      <c r="G842" s="208" t="s">
        <v>21</v>
      </c>
      <c r="H842" s="209" t="s">
        <v>191</v>
      </c>
      <c r="I842" s="210">
        <v>7</v>
      </c>
    </row>
    <row r="843" spans="1:9" x14ac:dyDescent="0.25">
      <c r="A843" s="74" t="s">
        <v>2989</v>
      </c>
      <c r="B843" s="45">
        <v>807</v>
      </c>
      <c r="C843" s="64" t="s">
        <v>1216</v>
      </c>
      <c r="D843" s="74">
        <v>500541</v>
      </c>
      <c r="E843" s="208" t="s">
        <v>143</v>
      </c>
      <c r="F843" s="208" t="s">
        <v>242</v>
      </c>
      <c r="G843" s="208" t="s">
        <v>21</v>
      </c>
      <c r="H843" s="209" t="s">
        <v>191</v>
      </c>
      <c r="I843" s="210">
        <v>7</v>
      </c>
    </row>
    <row r="844" spans="1:9" x14ac:dyDescent="0.25">
      <c r="A844" s="74" t="s">
        <v>2990</v>
      </c>
      <c r="B844" s="45">
        <v>808</v>
      </c>
      <c r="C844" s="64" t="s">
        <v>1217</v>
      </c>
      <c r="D844" s="74">
        <v>500541</v>
      </c>
      <c r="E844" s="208" t="s">
        <v>143</v>
      </c>
      <c r="F844" s="208" t="s">
        <v>242</v>
      </c>
      <c r="G844" s="208" t="s">
        <v>21</v>
      </c>
      <c r="H844" s="209" t="s">
        <v>191</v>
      </c>
      <c r="I844" s="210">
        <v>7</v>
      </c>
    </row>
    <row r="845" spans="1:9" x14ac:dyDescent="0.25">
      <c r="A845" s="74" t="s">
        <v>2991</v>
      </c>
      <c r="B845" s="45">
        <v>809</v>
      </c>
      <c r="C845" s="64" t="s">
        <v>1218</v>
      </c>
      <c r="D845" s="74">
        <v>500541</v>
      </c>
      <c r="E845" s="208" t="s">
        <v>143</v>
      </c>
      <c r="F845" s="208" t="s">
        <v>242</v>
      </c>
      <c r="G845" s="208" t="s">
        <v>21</v>
      </c>
      <c r="H845" s="209" t="s">
        <v>191</v>
      </c>
      <c r="I845" s="210">
        <v>7</v>
      </c>
    </row>
    <row r="846" spans="1:9" x14ac:dyDescent="0.25">
      <c r="A846" s="74" t="s">
        <v>2992</v>
      </c>
      <c r="B846" s="45">
        <v>810</v>
      </c>
      <c r="C846" s="64" t="s">
        <v>1219</v>
      </c>
      <c r="D846" s="74">
        <v>500543</v>
      </c>
      <c r="E846" s="208" t="s">
        <v>137</v>
      </c>
      <c r="F846" s="208" t="s">
        <v>248</v>
      </c>
      <c r="G846" s="208" t="s">
        <v>21</v>
      </c>
      <c r="H846" s="209" t="s">
        <v>189</v>
      </c>
      <c r="I846" s="210">
        <v>6</v>
      </c>
    </row>
    <row r="847" spans="1:9" x14ac:dyDescent="0.25">
      <c r="A847" s="74" t="s">
        <v>2993</v>
      </c>
      <c r="B847" s="45">
        <v>811</v>
      </c>
      <c r="C847" s="63" t="s">
        <v>1220</v>
      </c>
      <c r="D847" s="74">
        <v>500062</v>
      </c>
      <c r="E847" s="208" t="s">
        <v>157</v>
      </c>
      <c r="F847" s="208" t="s">
        <v>244</v>
      </c>
      <c r="G847" s="208" t="s">
        <v>21</v>
      </c>
      <c r="H847" s="209" t="s">
        <v>198</v>
      </c>
      <c r="I847" s="210">
        <v>6</v>
      </c>
    </row>
    <row r="848" spans="1:9" x14ac:dyDescent="0.25">
      <c r="A848" s="74" t="s">
        <v>2994</v>
      </c>
      <c r="B848" s="45">
        <v>812</v>
      </c>
      <c r="C848" s="63" t="s">
        <v>1221</v>
      </c>
      <c r="D848" s="74">
        <v>500063</v>
      </c>
      <c r="E848" s="208" t="s">
        <v>157</v>
      </c>
      <c r="F848" s="208" t="s">
        <v>244</v>
      </c>
      <c r="G848" s="208" t="s">
        <v>21</v>
      </c>
      <c r="H848" s="209" t="s">
        <v>198</v>
      </c>
      <c r="I848" s="210">
        <v>6</v>
      </c>
    </row>
    <row r="849" spans="1:9" x14ac:dyDescent="0.25">
      <c r="A849" s="74" t="s">
        <v>2995</v>
      </c>
      <c r="B849" s="45">
        <v>813</v>
      </c>
      <c r="C849" s="64" t="s">
        <v>1222</v>
      </c>
      <c r="D849" s="74">
        <v>500323</v>
      </c>
      <c r="E849" s="208" t="s">
        <v>136</v>
      </c>
      <c r="F849" s="208" t="s">
        <v>246</v>
      </c>
      <c r="G849" s="208" t="s">
        <v>247</v>
      </c>
      <c r="H849" s="209" t="s">
        <v>191</v>
      </c>
      <c r="I849" s="210">
        <v>6</v>
      </c>
    </row>
    <row r="850" spans="1:9" x14ac:dyDescent="0.25">
      <c r="A850" s="74" t="s">
        <v>2996</v>
      </c>
      <c r="B850" s="45">
        <v>814</v>
      </c>
      <c r="C850" s="63" t="s">
        <v>1223</v>
      </c>
      <c r="D850" s="74">
        <v>500175</v>
      </c>
      <c r="E850" s="208" t="s">
        <v>137</v>
      </c>
      <c r="F850" s="208" t="s">
        <v>248</v>
      </c>
      <c r="G850" s="208" t="s">
        <v>249</v>
      </c>
      <c r="H850" s="209" t="s">
        <v>191</v>
      </c>
      <c r="I850" s="210">
        <v>6</v>
      </c>
    </row>
    <row r="851" spans="1:9" x14ac:dyDescent="0.25">
      <c r="A851" s="74" t="s">
        <v>2997</v>
      </c>
      <c r="B851" s="45">
        <v>815</v>
      </c>
      <c r="C851" s="63" t="s">
        <v>1224</v>
      </c>
      <c r="D851" s="74">
        <v>500064</v>
      </c>
      <c r="E851" s="208" t="s">
        <v>136</v>
      </c>
      <c r="F851" s="208" t="s">
        <v>246</v>
      </c>
      <c r="G851" s="208" t="s">
        <v>21</v>
      </c>
      <c r="H851" s="209" t="s">
        <v>189</v>
      </c>
      <c r="I851" s="210">
        <v>6</v>
      </c>
    </row>
    <row r="852" spans="1:9" x14ac:dyDescent="0.25">
      <c r="A852" s="74" t="s">
        <v>2998</v>
      </c>
      <c r="B852" s="45" t="s">
        <v>23</v>
      </c>
      <c r="C852" s="45" t="s">
        <v>23</v>
      </c>
      <c r="D852" s="74">
        <v>500065</v>
      </c>
      <c r="E852" s="208" t="s">
        <v>136</v>
      </c>
      <c r="F852" s="208" t="s">
        <v>246</v>
      </c>
      <c r="G852" s="208" t="s">
        <v>247</v>
      </c>
      <c r="H852" s="209" t="s">
        <v>198</v>
      </c>
      <c r="I852" s="210">
        <v>5</v>
      </c>
    </row>
    <row r="853" spans="1:9" x14ac:dyDescent="0.25">
      <c r="A853" s="74" t="s">
        <v>2999</v>
      </c>
      <c r="B853" s="45">
        <v>816</v>
      </c>
      <c r="C853" s="63" t="s">
        <v>1225</v>
      </c>
      <c r="D853" s="74">
        <v>500066</v>
      </c>
      <c r="E853" s="208" t="s">
        <v>136</v>
      </c>
      <c r="F853" s="208" t="s">
        <v>246</v>
      </c>
      <c r="G853" s="208" t="s">
        <v>247</v>
      </c>
      <c r="H853" s="209" t="s">
        <v>198</v>
      </c>
      <c r="I853" s="210">
        <v>5</v>
      </c>
    </row>
    <row r="854" spans="1:9" x14ac:dyDescent="0.25">
      <c r="A854" s="74" t="s">
        <v>3000</v>
      </c>
      <c r="B854" s="45">
        <v>817</v>
      </c>
      <c r="C854" s="64" t="s">
        <v>1226</v>
      </c>
      <c r="D854" s="74">
        <v>500067</v>
      </c>
      <c r="E854" s="208" t="s">
        <v>136</v>
      </c>
      <c r="F854" s="208" t="s">
        <v>246</v>
      </c>
      <c r="G854" s="208" t="s">
        <v>247</v>
      </c>
      <c r="H854" s="209" t="s">
        <v>198</v>
      </c>
      <c r="I854" s="210">
        <v>5</v>
      </c>
    </row>
    <row r="855" spans="1:9" x14ac:dyDescent="0.25">
      <c r="A855" s="74" t="s">
        <v>3001</v>
      </c>
      <c r="B855" s="45">
        <v>818</v>
      </c>
      <c r="C855" s="64" t="s">
        <v>1227</v>
      </c>
      <c r="D855" s="74">
        <v>500068</v>
      </c>
      <c r="E855" s="208" t="s">
        <v>136</v>
      </c>
      <c r="F855" s="208" t="s">
        <v>246</v>
      </c>
      <c r="G855" s="208" t="s">
        <v>247</v>
      </c>
      <c r="H855" s="209" t="s">
        <v>198</v>
      </c>
      <c r="I855" s="210">
        <v>5</v>
      </c>
    </row>
    <row r="856" spans="1:9" x14ac:dyDescent="0.25">
      <c r="A856" s="74" t="s">
        <v>3002</v>
      </c>
      <c r="B856" s="45">
        <v>819</v>
      </c>
      <c r="C856" s="64" t="s">
        <v>1228</v>
      </c>
      <c r="D856" s="74">
        <v>500069</v>
      </c>
      <c r="E856" s="208" t="s">
        <v>136</v>
      </c>
      <c r="F856" s="208" t="s">
        <v>246</v>
      </c>
      <c r="G856" s="208" t="s">
        <v>247</v>
      </c>
      <c r="H856" s="209" t="s">
        <v>198</v>
      </c>
      <c r="I856" s="210">
        <v>5</v>
      </c>
    </row>
    <row r="857" spans="1:9" x14ac:dyDescent="0.25">
      <c r="A857" s="74" t="s">
        <v>3003</v>
      </c>
      <c r="B857" s="45">
        <v>820</v>
      </c>
      <c r="C857" s="64" t="s">
        <v>1229</v>
      </c>
      <c r="D857" s="74">
        <v>500070</v>
      </c>
      <c r="E857" s="208" t="s">
        <v>136</v>
      </c>
      <c r="F857" s="208" t="s">
        <v>246</v>
      </c>
      <c r="G857" s="208" t="s">
        <v>247</v>
      </c>
      <c r="H857" s="209" t="s">
        <v>198</v>
      </c>
      <c r="I857" s="210">
        <v>5</v>
      </c>
    </row>
    <row r="858" spans="1:9" x14ac:dyDescent="0.25">
      <c r="A858" s="74" t="s">
        <v>3004</v>
      </c>
      <c r="B858" s="45">
        <v>821</v>
      </c>
      <c r="C858" s="64" t="s">
        <v>1230</v>
      </c>
      <c r="D858" s="74">
        <v>500071</v>
      </c>
      <c r="E858" s="208" t="s">
        <v>136</v>
      </c>
      <c r="F858" s="208" t="s">
        <v>246</v>
      </c>
      <c r="G858" s="208" t="s">
        <v>247</v>
      </c>
      <c r="H858" s="209" t="s">
        <v>198</v>
      </c>
      <c r="I858" s="210">
        <v>5</v>
      </c>
    </row>
    <row r="859" spans="1:9" x14ac:dyDescent="0.25">
      <c r="A859" s="74" t="s">
        <v>3005</v>
      </c>
      <c r="B859" s="45">
        <v>822</v>
      </c>
      <c r="C859" s="64" t="s">
        <v>1231</v>
      </c>
      <c r="D859" s="74">
        <v>500072</v>
      </c>
      <c r="E859" s="208" t="s">
        <v>137</v>
      </c>
      <c r="F859" s="208" t="s">
        <v>248</v>
      </c>
      <c r="G859" s="208" t="s">
        <v>249</v>
      </c>
      <c r="H859" s="209" t="s">
        <v>198</v>
      </c>
      <c r="I859" s="210">
        <v>5</v>
      </c>
    </row>
    <row r="860" spans="1:9" x14ac:dyDescent="0.25">
      <c r="A860" s="74" t="s">
        <v>3006</v>
      </c>
      <c r="B860" s="45">
        <v>823</v>
      </c>
      <c r="C860" s="63" t="s">
        <v>1232</v>
      </c>
      <c r="D860" s="74">
        <v>500073</v>
      </c>
      <c r="E860" s="208" t="s">
        <v>137</v>
      </c>
      <c r="F860" s="208" t="s">
        <v>248</v>
      </c>
      <c r="G860" s="208" t="s">
        <v>249</v>
      </c>
      <c r="H860" s="209" t="s">
        <v>198</v>
      </c>
      <c r="I860" s="210">
        <v>5</v>
      </c>
    </row>
    <row r="861" spans="1:9" x14ac:dyDescent="0.25">
      <c r="A861" s="74" t="s">
        <v>3007</v>
      </c>
      <c r="B861" s="45">
        <v>824</v>
      </c>
      <c r="C861" s="64" t="s">
        <v>1233</v>
      </c>
      <c r="D861" s="74">
        <v>500074</v>
      </c>
      <c r="E861" s="208" t="s">
        <v>137</v>
      </c>
      <c r="F861" s="208" t="s">
        <v>248</v>
      </c>
      <c r="G861" s="208" t="s">
        <v>249</v>
      </c>
      <c r="H861" s="209" t="s">
        <v>198</v>
      </c>
      <c r="I861" s="210">
        <v>5</v>
      </c>
    </row>
    <row r="862" spans="1:9" x14ac:dyDescent="0.25">
      <c r="A862" s="74" t="s">
        <v>3008</v>
      </c>
      <c r="B862" s="45">
        <v>825</v>
      </c>
      <c r="C862" s="64" t="s">
        <v>1234</v>
      </c>
      <c r="D862" s="74">
        <v>500075</v>
      </c>
      <c r="E862" s="208" t="s">
        <v>137</v>
      </c>
      <c r="F862" s="208" t="s">
        <v>248</v>
      </c>
      <c r="G862" s="208" t="s">
        <v>249</v>
      </c>
      <c r="H862" s="209" t="s">
        <v>198</v>
      </c>
      <c r="I862" s="210">
        <v>5</v>
      </c>
    </row>
    <row r="863" spans="1:9" x14ac:dyDescent="0.25">
      <c r="A863" s="74" t="s">
        <v>3009</v>
      </c>
      <c r="B863" s="45">
        <v>826</v>
      </c>
      <c r="C863" s="64" t="s">
        <v>1235</v>
      </c>
      <c r="D863" s="74">
        <v>500076</v>
      </c>
      <c r="E863" s="208" t="s">
        <v>137</v>
      </c>
      <c r="F863" s="208" t="s">
        <v>248</v>
      </c>
      <c r="G863" s="208" t="s">
        <v>249</v>
      </c>
      <c r="H863" s="209" t="s">
        <v>198</v>
      </c>
      <c r="I863" s="210">
        <v>5</v>
      </c>
    </row>
    <row r="864" spans="1:9" x14ac:dyDescent="0.25">
      <c r="A864" s="74" t="s">
        <v>3010</v>
      </c>
      <c r="B864" s="45">
        <v>827</v>
      </c>
      <c r="C864" s="64" t="s">
        <v>1236</v>
      </c>
      <c r="D864" s="74">
        <v>500077</v>
      </c>
      <c r="E864" s="208" t="s">
        <v>137</v>
      </c>
      <c r="F864" s="208" t="s">
        <v>248</v>
      </c>
      <c r="G864" s="208" t="s">
        <v>21</v>
      </c>
      <c r="H864" s="209" t="s">
        <v>198</v>
      </c>
      <c r="I864" s="210">
        <v>5</v>
      </c>
    </row>
    <row r="865" spans="1:9" x14ac:dyDescent="0.25">
      <c r="A865" s="74" t="s">
        <v>3011</v>
      </c>
      <c r="B865" s="45">
        <v>828</v>
      </c>
      <c r="C865" s="64" t="s">
        <v>1237</v>
      </c>
      <c r="D865" s="74">
        <v>500549</v>
      </c>
      <c r="E865" s="208" t="s">
        <v>129</v>
      </c>
      <c r="F865" s="208" t="s">
        <v>250</v>
      </c>
      <c r="G865" s="208" t="s">
        <v>21</v>
      </c>
      <c r="H865" s="209" t="s">
        <v>181</v>
      </c>
      <c r="I865" s="210">
        <v>3</v>
      </c>
    </row>
    <row r="866" spans="1:9" x14ac:dyDescent="0.25">
      <c r="A866" s="74" t="s">
        <v>3012</v>
      </c>
      <c r="B866" s="45">
        <v>829</v>
      </c>
      <c r="C866" s="63" t="s">
        <v>1238</v>
      </c>
      <c r="D866" s="74">
        <v>500624</v>
      </c>
      <c r="E866" s="208" t="s">
        <v>129</v>
      </c>
      <c r="F866" s="208" t="s">
        <v>250</v>
      </c>
      <c r="G866" s="208" t="s">
        <v>21</v>
      </c>
      <c r="H866" s="209" t="s">
        <v>200</v>
      </c>
      <c r="I866" s="210">
        <v>6</v>
      </c>
    </row>
    <row r="867" spans="1:9" x14ac:dyDescent="0.25">
      <c r="A867" s="74" t="s">
        <v>3013</v>
      </c>
      <c r="B867" s="45">
        <v>830</v>
      </c>
      <c r="C867" s="64" t="s">
        <v>1239</v>
      </c>
      <c r="D867" s="74">
        <v>500146</v>
      </c>
      <c r="E867" s="208" t="s">
        <v>158</v>
      </c>
      <c r="F867" s="208" t="s">
        <v>21</v>
      </c>
      <c r="G867" s="208" t="s">
        <v>21</v>
      </c>
      <c r="H867" s="209" t="s">
        <v>251</v>
      </c>
      <c r="I867" s="210">
        <v>5</v>
      </c>
    </row>
    <row r="868" spans="1:9" x14ac:dyDescent="0.25">
      <c r="A868" s="74" t="s">
        <v>3014</v>
      </c>
      <c r="B868" s="45">
        <v>831</v>
      </c>
      <c r="C868" s="64" t="s">
        <v>1240</v>
      </c>
      <c r="D868" s="74">
        <v>500086</v>
      </c>
      <c r="E868" s="208" t="s">
        <v>174</v>
      </c>
      <c r="F868" s="208" t="s">
        <v>21</v>
      </c>
      <c r="G868" s="208" t="s">
        <v>21</v>
      </c>
      <c r="H868" s="209" t="s">
        <v>183</v>
      </c>
      <c r="I868" s="210">
        <v>5</v>
      </c>
    </row>
    <row r="869" spans="1:9" x14ac:dyDescent="0.25">
      <c r="A869" s="74" t="s">
        <v>3015</v>
      </c>
      <c r="B869" s="45">
        <v>832</v>
      </c>
      <c r="C869" s="64" t="s">
        <v>1241</v>
      </c>
      <c r="D869" s="74">
        <v>500550</v>
      </c>
      <c r="E869" s="208" t="s">
        <v>148</v>
      </c>
      <c r="F869" s="208" t="s">
        <v>21</v>
      </c>
      <c r="G869" s="208" t="s">
        <v>21</v>
      </c>
      <c r="H869" s="209" t="s">
        <v>181</v>
      </c>
      <c r="I869" s="210">
        <v>3</v>
      </c>
    </row>
    <row r="870" spans="1:9" x14ac:dyDescent="0.25">
      <c r="A870" s="74" t="s">
        <v>3016</v>
      </c>
      <c r="B870" s="45">
        <v>833</v>
      </c>
      <c r="C870" s="64" t="s">
        <v>1242</v>
      </c>
      <c r="D870" s="74">
        <v>500625</v>
      </c>
      <c r="E870" s="208" t="s">
        <v>154</v>
      </c>
      <c r="F870" s="208" t="s">
        <v>21</v>
      </c>
      <c r="G870" s="208" t="s">
        <v>21</v>
      </c>
      <c r="H870" s="209" t="s">
        <v>179</v>
      </c>
      <c r="I870" s="210">
        <v>5</v>
      </c>
    </row>
    <row r="871" spans="1:9" x14ac:dyDescent="0.25">
      <c r="A871" s="74" t="s">
        <v>3017</v>
      </c>
      <c r="B871" s="45">
        <v>834</v>
      </c>
      <c r="C871" s="63" t="s">
        <v>1243</v>
      </c>
      <c r="D871" s="74">
        <v>500627</v>
      </c>
      <c r="E871" s="208" t="s">
        <v>150</v>
      </c>
      <c r="F871" s="208" t="s">
        <v>21</v>
      </c>
      <c r="G871" s="208" t="s">
        <v>21</v>
      </c>
      <c r="H871" s="209" t="s">
        <v>179</v>
      </c>
      <c r="I871" s="210">
        <v>5</v>
      </c>
    </row>
    <row r="872" spans="1:9" x14ac:dyDescent="0.25">
      <c r="A872" s="74" t="s">
        <v>3018</v>
      </c>
      <c r="B872" s="45" t="s">
        <v>23</v>
      </c>
      <c r="C872" s="45" t="s">
        <v>23</v>
      </c>
      <c r="D872" s="74">
        <v>500632</v>
      </c>
      <c r="E872" s="208" t="s">
        <v>153</v>
      </c>
      <c r="F872" s="208" t="s">
        <v>21</v>
      </c>
      <c r="G872" s="208" t="s">
        <v>21</v>
      </c>
      <c r="H872" s="209" t="s">
        <v>179</v>
      </c>
      <c r="I872" s="210">
        <v>5</v>
      </c>
    </row>
    <row r="873" spans="1:9" x14ac:dyDescent="0.25">
      <c r="A873" s="74" t="s">
        <v>3019</v>
      </c>
      <c r="B873" s="45">
        <v>835</v>
      </c>
      <c r="C873" s="63" t="s">
        <v>1244</v>
      </c>
      <c r="D873" s="74">
        <v>500008</v>
      </c>
      <c r="E873" s="208" t="s">
        <v>149</v>
      </c>
      <c r="F873" s="208" t="s">
        <v>252</v>
      </c>
      <c r="G873" s="208" t="s">
        <v>21</v>
      </c>
      <c r="H873" s="209" t="s">
        <v>179</v>
      </c>
      <c r="I873" s="210">
        <v>4</v>
      </c>
    </row>
    <row r="874" spans="1:9" x14ac:dyDescent="0.25">
      <c r="A874" s="74" t="s">
        <v>3020</v>
      </c>
      <c r="B874" s="45">
        <v>836</v>
      </c>
      <c r="C874" s="63" t="s">
        <v>1245</v>
      </c>
      <c r="D874" s="74">
        <v>500292</v>
      </c>
      <c r="E874" s="208" t="s">
        <v>149</v>
      </c>
      <c r="F874" s="208" t="s">
        <v>252</v>
      </c>
      <c r="G874" s="208" t="s">
        <v>253</v>
      </c>
      <c r="H874" s="209" t="s">
        <v>198</v>
      </c>
      <c r="I874" s="210">
        <v>6</v>
      </c>
    </row>
    <row r="875" spans="1:9" x14ac:dyDescent="0.25">
      <c r="A875" s="74" t="s">
        <v>3021</v>
      </c>
      <c r="B875" s="45">
        <v>837</v>
      </c>
      <c r="C875" s="63" t="s">
        <v>1246</v>
      </c>
      <c r="D875" s="74">
        <v>500293</v>
      </c>
      <c r="E875" s="208" t="s">
        <v>149</v>
      </c>
      <c r="F875" s="208" t="s">
        <v>252</v>
      </c>
      <c r="G875" s="208" t="s">
        <v>253</v>
      </c>
      <c r="H875" s="209" t="s">
        <v>198</v>
      </c>
      <c r="I875" s="210">
        <v>6</v>
      </c>
    </row>
    <row r="876" spans="1:9" x14ac:dyDescent="0.25">
      <c r="A876" s="74" t="s">
        <v>3022</v>
      </c>
      <c r="B876" s="45">
        <v>838</v>
      </c>
      <c r="C876" s="63" t="s">
        <v>1247</v>
      </c>
      <c r="D876" s="74">
        <v>500294</v>
      </c>
      <c r="E876" s="208" t="s">
        <v>149</v>
      </c>
      <c r="F876" s="208" t="s">
        <v>252</v>
      </c>
      <c r="G876" s="208" t="s">
        <v>253</v>
      </c>
      <c r="H876" s="209" t="s">
        <v>198</v>
      </c>
      <c r="I876" s="210">
        <v>6</v>
      </c>
    </row>
    <row r="877" spans="1:9" x14ac:dyDescent="0.25">
      <c r="A877" s="74" t="s">
        <v>3023</v>
      </c>
      <c r="B877" s="45">
        <v>839</v>
      </c>
      <c r="C877" s="63" t="s">
        <v>1248</v>
      </c>
      <c r="D877" s="74">
        <v>500295</v>
      </c>
      <c r="E877" s="208" t="s">
        <v>149</v>
      </c>
      <c r="F877" s="208" t="s">
        <v>252</v>
      </c>
      <c r="G877" s="208" t="s">
        <v>253</v>
      </c>
      <c r="H877" s="209" t="s">
        <v>198</v>
      </c>
      <c r="I877" s="210">
        <v>6</v>
      </c>
    </row>
    <row r="878" spans="1:9" x14ac:dyDescent="0.25">
      <c r="A878" s="74" t="s">
        <v>3024</v>
      </c>
      <c r="B878" s="45">
        <v>840</v>
      </c>
      <c r="C878" s="63" t="s">
        <v>1249</v>
      </c>
      <c r="D878" s="74">
        <v>500220</v>
      </c>
      <c r="E878" s="208" t="s">
        <v>149</v>
      </c>
      <c r="F878" s="208" t="s">
        <v>252</v>
      </c>
      <c r="G878" s="208" t="s">
        <v>21</v>
      </c>
      <c r="H878" s="209" t="s">
        <v>189</v>
      </c>
      <c r="I878" s="210">
        <v>6</v>
      </c>
    </row>
    <row r="879" spans="1:9" x14ac:dyDescent="0.25">
      <c r="A879" s="74" t="s">
        <v>3025</v>
      </c>
      <c r="B879" s="45">
        <v>841</v>
      </c>
      <c r="C879" s="63" t="s">
        <v>1250</v>
      </c>
      <c r="D879" s="74">
        <v>500047</v>
      </c>
      <c r="E879" s="208" t="s">
        <v>149</v>
      </c>
      <c r="F879" s="208" t="s">
        <v>252</v>
      </c>
      <c r="G879" s="208" t="s">
        <v>21</v>
      </c>
      <c r="H879" s="209" t="s">
        <v>189</v>
      </c>
      <c r="I879" s="210">
        <v>6</v>
      </c>
    </row>
    <row r="880" spans="1:9" x14ac:dyDescent="0.25">
      <c r="A880" s="74" t="s">
        <v>3026</v>
      </c>
      <c r="B880" s="45">
        <v>842</v>
      </c>
      <c r="C880" s="63" t="s">
        <v>1251</v>
      </c>
      <c r="D880" s="74">
        <v>500048</v>
      </c>
      <c r="E880" s="208" t="s">
        <v>149</v>
      </c>
      <c r="F880" s="208" t="s">
        <v>252</v>
      </c>
      <c r="G880" s="208" t="s">
        <v>21</v>
      </c>
      <c r="H880" s="209" t="s">
        <v>183</v>
      </c>
      <c r="I880" s="210">
        <v>5</v>
      </c>
    </row>
    <row r="881" spans="1:9" x14ac:dyDescent="0.25">
      <c r="A881" s="74" t="s">
        <v>3027</v>
      </c>
      <c r="B881" s="45">
        <v>843</v>
      </c>
      <c r="C881" s="63" t="s">
        <v>1252</v>
      </c>
      <c r="D881" s="74">
        <v>500542</v>
      </c>
      <c r="E881" s="208" t="s">
        <v>149</v>
      </c>
      <c r="F881" s="208" t="s">
        <v>252</v>
      </c>
      <c r="G881" s="208" t="s">
        <v>21</v>
      </c>
      <c r="H881" s="209" t="s">
        <v>189</v>
      </c>
      <c r="I881" s="210">
        <v>5</v>
      </c>
    </row>
    <row r="882" spans="1:9" x14ac:dyDescent="0.25">
      <c r="A882" s="74" t="s">
        <v>3028</v>
      </c>
      <c r="B882" s="45">
        <v>844</v>
      </c>
      <c r="C882" s="63" t="s">
        <v>1253</v>
      </c>
      <c r="D882" s="74">
        <v>500250</v>
      </c>
      <c r="E882" s="208" t="s">
        <v>149</v>
      </c>
      <c r="F882" s="208" t="s">
        <v>252</v>
      </c>
      <c r="G882" s="208" t="s">
        <v>21</v>
      </c>
      <c r="H882" s="209" t="s">
        <v>189</v>
      </c>
      <c r="I882" s="210">
        <v>6</v>
      </c>
    </row>
    <row r="883" spans="1:9" x14ac:dyDescent="0.25">
      <c r="A883" s="74" t="s">
        <v>3029</v>
      </c>
      <c r="B883" s="45">
        <v>845</v>
      </c>
      <c r="C883" s="63" t="s">
        <v>1254</v>
      </c>
      <c r="D883" s="74">
        <v>500251</v>
      </c>
      <c r="E883" s="208" t="s">
        <v>149</v>
      </c>
      <c r="F883" s="208" t="s">
        <v>252</v>
      </c>
      <c r="G883" s="208" t="s">
        <v>253</v>
      </c>
      <c r="H883" s="209" t="s">
        <v>187</v>
      </c>
      <c r="I883" s="210">
        <v>6</v>
      </c>
    </row>
    <row r="884" spans="1:9" x14ac:dyDescent="0.25">
      <c r="A884" s="74" t="s">
        <v>3030</v>
      </c>
      <c r="B884" s="45">
        <v>846</v>
      </c>
      <c r="C884" s="63" t="s">
        <v>1255</v>
      </c>
      <c r="D884" s="74">
        <v>500252</v>
      </c>
      <c r="E884" s="208" t="s">
        <v>149</v>
      </c>
      <c r="F884" s="208" t="s">
        <v>252</v>
      </c>
      <c r="G884" s="208" t="s">
        <v>253</v>
      </c>
      <c r="H884" s="209" t="s">
        <v>198</v>
      </c>
      <c r="I884" s="210">
        <v>6</v>
      </c>
    </row>
    <row r="885" spans="1:9" x14ac:dyDescent="0.25">
      <c r="A885" s="74" t="s">
        <v>3031</v>
      </c>
      <c r="B885" s="45">
        <v>847</v>
      </c>
      <c r="C885" s="63" t="s">
        <v>1256</v>
      </c>
      <c r="D885" s="74">
        <v>500253</v>
      </c>
      <c r="E885" s="208" t="s">
        <v>149</v>
      </c>
      <c r="F885" s="208" t="s">
        <v>252</v>
      </c>
      <c r="G885" s="208" t="s">
        <v>253</v>
      </c>
      <c r="H885" s="209" t="s">
        <v>198</v>
      </c>
      <c r="I885" s="210">
        <v>6</v>
      </c>
    </row>
    <row r="886" spans="1:9" x14ac:dyDescent="0.25">
      <c r="A886" s="74" t="s">
        <v>3032</v>
      </c>
      <c r="B886" s="45">
        <v>848</v>
      </c>
      <c r="C886" s="63" t="s">
        <v>1257</v>
      </c>
      <c r="D886" s="74">
        <v>500254</v>
      </c>
      <c r="E886" s="208" t="s">
        <v>149</v>
      </c>
      <c r="F886" s="208" t="s">
        <v>252</v>
      </c>
      <c r="G886" s="208" t="s">
        <v>253</v>
      </c>
      <c r="H886" s="209" t="s">
        <v>198</v>
      </c>
      <c r="I886" s="210">
        <v>6</v>
      </c>
    </row>
    <row r="887" spans="1:9" x14ac:dyDescent="0.25">
      <c r="A887" s="74" t="s">
        <v>3033</v>
      </c>
      <c r="B887" s="45">
        <v>849</v>
      </c>
      <c r="C887" s="63" t="s">
        <v>1258</v>
      </c>
      <c r="D887" s="74">
        <v>500701</v>
      </c>
      <c r="E887" s="208" t="s">
        <v>149</v>
      </c>
      <c r="F887" s="208" t="s">
        <v>252</v>
      </c>
      <c r="G887" s="208" t="s">
        <v>253</v>
      </c>
      <c r="H887" s="209" t="s">
        <v>187</v>
      </c>
      <c r="I887" s="210">
        <v>6</v>
      </c>
    </row>
    <row r="888" spans="1:9" x14ac:dyDescent="0.25">
      <c r="A888" s="74" t="s">
        <v>3034</v>
      </c>
      <c r="B888" s="45">
        <v>850</v>
      </c>
      <c r="C888" s="63" t="s">
        <v>1259</v>
      </c>
      <c r="D888" s="74">
        <v>500699</v>
      </c>
      <c r="E888" s="208" t="s">
        <v>149</v>
      </c>
      <c r="F888" s="208" t="s">
        <v>252</v>
      </c>
      <c r="G888" s="208" t="s">
        <v>253</v>
      </c>
      <c r="H888" s="209" t="s">
        <v>187</v>
      </c>
      <c r="I888" s="210">
        <v>6</v>
      </c>
    </row>
    <row r="889" spans="1:9" x14ac:dyDescent="0.25">
      <c r="A889" s="74" t="s">
        <v>3035</v>
      </c>
      <c r="B889" s="45">
        <v>851</v>
      </c>
      <c r="C889" s="63" t="s">
        <v>1260</v>
      </c>
      <c r="D889" s="74">
        <v>500703</v>
      </c>
      <c r="E889" s="208" t="s">
        <v>149</v>
      </c>
      <c r="F889" s="208" t="s">
        <v>252</v>
      </c>
      <c r="G889" s="208" t="s">
        <v>21</v>
      </c>
      <c r="H889" s="209" t="s">
        <v>183</v>
      </c>
      <c r="I889" s="210">
        <v>5</v>
      </c>
    </row>
    <row r="890" spans="1:9" x14ac:dyDescent="0.25">
      <c r="A890" s="74" t="s">
        <v>3036</v>
      </c>
      <c r="B890" s="45">
        <v>852</v>
      </c>
      <c r="C890" s="63" t="s">
        <v>1261</v>
      </c>
      <c r="D890" s="74">
        <v>500710</v>
      </c>
      <c r="E890" s="208" t="s">
        <v>149</v>
      </c>
      <c r="F890" s="208" t="s">
        <v>252</v>
      </c>
      <c r="G890" s="208" t="s">
        <v>253</v>
      </c>
      <c r="H890" s="209" t="s">
        <v>187</v>
      </c>
      <c r="I890" s="210">
        <v>6</v>
      </c>
    </row>
    <row r="891" spans="1:9" x14ac:dyDescent="0.25">
      <c r="A891" s="74" t="s">
        <v>3037</v>
      </c>
      <c r="B891" s="45">
        <v>853</v>
      </c>
      <c r="C891" s="63" t="s">
        <v>1262</v>
      </c>
      <c r="D891" s="74">
        <v>500700</v>
      </c>
      <c r="E891" s="208" t="s">
        <v>149</v>
      </c>
      <c r="F891" s="208" t="s">
        <v>252</v>
      </c>
      <c r="G891" s="208" t="s">
        <v>21</v>
      </c>
      <c r="H891" s="209" t="s">
        <v>183</v>
      </c>
      <c r="I891" s="210">
        <v>5</v>
      </c>
    </row>
    <row r="892" spans="1:9" x14ac:dyDescent="0.25">
      <c r="A892" s="74" t="s">
        <v>3038</v>
      </c>
      <c r="B892" s="45">
        <v>854</v>
      </c>
      <c r="C892" s="63" t="s">
        <v>1263</v>
      </c>
      <c r="D892" s="74">
        <v>500702</v>
      </c>
      <c r="E892" s="208" t="s">
        <v>149</v>
      </c>
      <c r="F892" s="208" t="s">
        <v>252</v>
      </c>
      <c r="G892" s="208" t="s">
        <v>253</v>
      </c>
      <c r="H892" s="209" t="s">
        <v>198</v>
      </c>
      <c r="I892" s="210">
        <v>6</v>
      </c>
    </row>
    <row r="893" spans="1:9" x14ac:dyDescent="0.25">
      <c r="A893" s="74" t="s">
        <v>3039</v>
      </c>
      <c r="B893" s="45">
        <v>855</v>
      </c>
      <c r="C893" s="63" t="s">
        <v>1264</v>
      </c>
      <c r="D893" s="74">
        <v>500704</v>
      </c>
      <c r="E893" s="208" t="s">
        <v>149</v>
      </c>
      <c r="F893" s="208" t="s">
        <v>252</v>
      </c>
      <c r="G893" s="208" t="s">
        <v>253</v>
      </c>
      <c r="H893" s="209" t="s">
        <v>198</v>
      </c>
      <c r="I893" s="210">
        <v>6</v>
      </c>
    </row>
    <row r="894" spans="1:9" x14ac:dyDescent="0.25">
      <c r="A894" s="74" t="s">
        <v>3040</v>
      </c>
      <c r="B894" s="45">
        <v>856</v>
      </c>
      <c r="C894" s="63" t="s">
        <v>1265</v>
      </c>
      <c r="D894" s="74">
        <v>500705</v>
      </c>
      <c r="E894" s="208" t="s">
        <v>149</v>
      </c>
      <c r="F894" s="208" t="s">
        <v>252</v>
      </c>
      <c r="G894" s="208" t="s">
        <v>253</v>
      </c>
      <c r="H894" s="209" t="s">
        <v>198</v>
      </c>
      <c r="I894" s="210">
        <v>6</v>
      </c>
    </row>
    <row r="895" spans="1:9" x14ac:dyDescent="0.25">
      <c r="A895" s="74" t="s">
        <v>3041</v>
      </c>
      <c r="B895" s="45">
        <v>857</v>
      </c>
      <c r="C895" s="63" t="s">
        <v>1266</v>
      </c>
      <c r="D895" s="74">
        <v>500706</v>
      </c>
      <c r="E895" s="208" t="s">
        <v>149</v>
      </c>
      <c r="F895" s="208" t="s">
        <v>252</v>
      </c>
      <c r="G895" s="208" t="s">
        <v>253</v>
      </c>
      <c r="H895" s="209" t="s">
        <v>198</v>
      </c>
      <c r="I895" s="210">
        <v>6</v>
      </c>
    </row>
    <row r="896" spans="1:9" x14ac:dyDescent="0.25">
      <c r="A896" s="74" t="s">
        <v>3042</v>
      </c>
      <c r="B896" s="45">
        <v>858</v>
      </c>
      <c r="C896" s="63" t="s">
        <v>1267</v>
      </c>
      <c r="D896" s="74">
        <v>500707</v>
      </c>
      <c r="E896" s="208" t="s">
        <v>149</v>
      </c>
      <c r="F896" s="208" t="s">
        <v>252</v>
      </c>
      <c r="G896" s="208" t="s">
        <v>253</v>
      </c>
      <c r="H896" s="209" t="s">
        <v>198</v>
      </c>
      <c r="I896" s="210">
        <v>6</v>
      </c>
    </row>
    <row r="897" spans="1:9" x14ac:dyDescent="0.25">
      <c r="A897" s="74" t="s">
        <v>3043</v>
      </c>
      <c r="B897" s="45">
        <v>859</v>
      </c>
      <c r="C897" s="63" t="s">
        <v>1268</v>
      </c>
      <c r="D897" s="74">
        <v>500708</v>
      </c>
      <c r="E897" s="208" t="s">
        <v>149</v>
      </c>
      <c r="F897" s="208" t="s">
        <v>252</v>
      </c>
      <c r="G897" s="208" t="s">
        <v>253</v>
      </c>
      <c r="H897" s="209" t="s">
        <v>198</v>
      </c>
      <c r="I897" s="210">
        <v>6</v>
      </c>
    </row>
    <row r="898" spans="1:9" x14ac:dyDescent="0.25">
      <c r="A898" s="74" t="s">
        <v>3044</v>
      </c>
      <c r="B898" s="45">
        <v>860</v>
      </c>
      <c r="C898" s="63" t="s">
        <v>1269</v>
      </c>
      <c r="D898" s="74">
        <v>500709</v>
      </c>
      <c r="E898" s="208" t="s">
        <v>149</v>
      </c>
      <c r="F898" s="208" t="s">
        <v>252</v>
      </c>
      <c r="G898" s="208" t="s">
        <v>253</v>
      </c>
      <c r="H898" s="209" t="s">
        <v>198</v>
      </c>
      <c r="I898" s="210">
        <v>6</v>
      </c>
    </row>
    <row r="899" spans="1:9" x14ac:dyDescent="0.25">
      <c r="A899" s="74" t="s">
        <v>3045</v>
      </c>
      <c r="B899" s="45">
        <v>861</v>
      </c>
      <c r="C899" s="64" t="s">
        <v>1270</v>
      </c>
      <c r="D899" s="74">
        <v>500002</v>
      </c>
      <c r="E899" s="208" t="s">
        <v>123</v>
      </c>
      <c r="F899" s="208" t="s">
        <v>254</v>
      </c>
      <c r="G899" s="208" t="s">
        <v>21</v>
      </c>
      <c r="H899" s="209" t="s">
        <v>183</v>
      </c>
      <c r="I899" s="210">
        <v>4</v>
      </c>
    </row>
    <row r="900" spans="1:9" x14ac:dyDescent="0.25">
      <c r="A900" s="74" t="s">
        <v>3046</v>
      </c>
      <c r="B900" s="45">
        <v>862</v>
      </c>
      <c r="C900" s="64" t="s">
        <v>1271</v>
      </c>
      <c r="D900" s="74">
        <v>500003</v>
      </c>
      <c r="E900" s="208" t="s">
        <v>147</v>
      </c>
      <c r="F900" s="208" t="s">
        <v>21</v>
      </c>
      <c r="G900" s="208" t="s">
        <v>21</v>
      </c>
      <c r="H900" s="209" t="s">
        <v>183</v>
      </c>
      <c r="I900" s="210">
        <v>5</v>
      </c>
    </row>
    <row r="901" spans="1:9" x14ac:dyDescent="0.25">
      <c r="A901" s="74" t="s">
        <v>3047</v>
      </c>
      <c r="B901" s="45">
        <v>863</v>
      </c>
      <c r="C901" s="63" t="s">
        <v>1272</v>
      </c>
      <c r="D901" s="74">
        <v>500005</v>
      </c>
      <c r="E901" s="208" t="s">
        <v>159</v>
      </c>
      <c r="F901" s="208" t="s">
        <v>255</v>
      </c>
      <c r="G901" s="208" t="s">
        <v>21</v>
      </c>
      <c r="H901" s="209" t="s">
        <v>183</v>
      </c>
      <c r="I901" s="210">
        <v>4</v>
      </c>
    </row>
    <row r="902" spans="1:9" x14ac:dyDescent="0.25">
      <c r="A902" s="74" t="s">
        <v>3048</v>
      </c>
      <c r="B902" s="45">
        <v>864</v>
      </c>
      <c r="C902" s="64" t="s">
        <v>1273</v>
      </c>
      <c r="D902" s="74">
        <v>500016</v>
      </c>
      <c r="E902" s="208" t="s">
        <v>147</v>
      </c>
      <c r="F902" s="208" t="s">
        <v>256</v>
      </c>
      <c r="G902" s="208" t="s">
        <v>21</v>
      </c>
      <c r="H902" s="209" t="s">
        <v>198</v>
      </c>
      <c r="I902" s="210">
        <v>6</v>
      </c>
    </row>
    <row r="903" spans="1:9" x14ac:dyDescent="0.25">
      <c r="A903" s="74" t="s">
        <v>3049</v>
      </c>
      <c r="B903" s="45">
        <v>865</v>
      </c>
      <c r="C903" s="64" t="s">
        <v>1274</v>
      </c>
      <c r="D903" s="74">
        <v>500027</v>
      </c>
      <c r="E903" s="208" t="s">
        <v>134</v>
      </c>
      <c r="F903" s="208" t="s">
        <v>257</v>
      </c>
      <c r="G903" s="208" t="s">
        <v>21</v>
      </c>
      <c r="H903" s="209" t="s">
        <v>183</v>
      </c>
      <c r="I903" s="210">
        <v>5</v>
      </c>
    </row>
    <row r="904" spans="1:9" x14ac:dyDescent="0.25">
      <c r="A904" s="74" t="s">
        <v>3050</v>
      </c>
      <c r="B904" s="45">
        <v>866</v>
      </c>
      <c r="C904" s="45" t="s">
        <v>1275</v>
      </c>
      <c r="D904" s="74">
        <v>500028</v>
      </c>
      <c r="E904" s="208" t="s">
        <v>134</v>
      </c>
      <c r="F904" s="208" t="s">
        <v>21</v>
      </c>
      <c r="G904" s="208" t="s">
        <v>21</v>
      </c>
      <c r="H904" s="209" t="s">
        <v>189</v>
      </c>
      <c r="I904" s="210">
        <v>7</v>
      </c>
    </row>
    <row r="905" spans="1:9" x14ac:dyDescent="0.25">
      <c r="A905" s="74" t="s">
        <v>3051</v>
      </c>
      <c r="B905" s="45">
        <v>867</v>
      </c>
      <c r="C905" s="64" t="s">
        <v>1276</v>
      </c>
      <c r="D905" s="74">
        <v>500348</v>
      </c>
      <c r="E905" s="208" t="s">
        <v>147</v>
      </c>
      <c r="F905" s="208" t="s">
        <v>256</v>
      </c>
      <c r="G905" s="208" t="s">
        <v>21</v>
      </c>
      <c r="H905" s="209" t="s">
        <v>186</v>
      </c>
      <c r="I905" s="210">
        <v>5</v>
      </c>
    </row>
    <row r="906" spans="1:9" x14ac:dyDescent="0.25">
      <c r="A906" s="74" t="s">
        <v>3052</v>
      </c>
      <c r="B906" s="45">
        <v>868</v>
      </c>
      <c r="C906" s="45" t="s">
        <v>1277</v>
      </c>
      <c r="D906" s="74">
        <v>500349</v>
      </c>
      <c r="E906" s="208" t="s">
        <v>147</v>
      </c>
      <c r="F906" s="208" t="s">
        <v>256</v>
      </c>
      <c r="G906" s="208" t="s">
        <v>21</v>
      </c>
      <c r="H906" s="209" t="s">
        <v>191</v>
      </c>
      <c r="I906" s="210">
        <v>7</v>
      </c>
    </row>
    <row r="907" spans="1:9" x14ac:dyDescent="0.25">
      <c r="A907" s="74" t="s">
        <v>3053</v>
      </c>
      <c r="B907" s="45">
        <v>869</v>
      </c>
      <c r="C907" s="45" t="s">
        <v>1278</v>
      </c>
      <c r="D907" s="74">
        <v>500349</v>
      </c>
      <c r="E907" s="208" t="s">
        <v>147</v>
      </c>
      <c r="F907" s="208" t="s">
        <v>256</v>
      </c>
      <c r="G907" s="208" t="s">
        <v>21</v>
      </c>
      <c r="H907" s="209" t="s">
        <v>191</v>
      </c>
      <c r="I907" s="210">
        <v>7</v>
      </c>
    </row>
    <row r="908" spans="1:9" x14ac:dyDescent="0.25">
      <c r="A908" s="74" t="s">
        <v>3054</v>
      </c>
      <c r="B908" s="45">
        <v>870</v>
      </c>
      <c r="C908" s="45" t="s">
        <v>1279</v>
      </c>
      <c r="D908" s="74">
        <v>500349</v>
      </c>
      <c r="E908" s="208" t="s">
        <v>147</v>
      </c>
      <c r="F908" s="208" t="s">
        <v>256</v>
      </c>
      <c r="G908" s="208" t="s">
        <v>21</v>
      </c>
      <c r="H908" s="209" t="s">
        <v>191</v>
      </c>
      <c r="I908" s="210">
        <v>7</v>
      </c>
    </row>
    <row r="909" spans="1:9" x14ac:dyDescent="0.25">
      <c r="A909" s="74" t="s">
        <v>3055</v>
      </c>
      <c r="B909" s="45">
        <v>871</v>
      </c>
      <c r="C909" s="45" t="s">
        <v>1280</v>
      </c>
      <c r="D909" s="74">
        <v>500349</v>
      </c>
      <c r="E909" s="208" t="s">
        <v>147</v>
      </c>
      <c r="F909" s="208" t="s">
        <v>256</v>
      </c>
      <c r="G909" s="208" t="s">
        <v>21</v>
      </c>
      <c r="H909" s="209" t="s">
        <v>191</v>
      </c>
      <c r="I909" s="210">
        <v>7</v>
      </c>
    </row>
    <row r="910" spans="1:9" x14ac:dyDescent="0.25">
      <c r="A910" s="74" t="s">
        <v>3056</v>
      </c>
      <c r="B910" s="45">
        <v>872</v>
      </c>
      <c r="C910" s="45" t="s">
        <v>1281</v>
      </c>
      <c r="D910" s="74">
        <v>500350</v>
      </c>
      <c r="E910" s="208" t="s">
        <v>147</v>
      </c>
      <c r="F910" s="208" t="s">
        <v>256</v>
      </c>
      <c r="G910" s="208" t="s">
        <v>258</v>
      </c>
      <c r="H910" s="209" t="s">
        <v>251</v>
      </c>
      <c r="I910" s="210">
        <v>7</v>
      </c>
    </row>
    <row r="911" spans="1:9" x14ac:dyDescent="0.25">
      <c r="A911" s="74" t="s">
        <v>3057</v>
      </c>
      <c r="B911" s="45">
        <v>873</v>
      </c>
      <c r="C911" s="45" t="s">
        <v>1282</v>
      </c>
      <c r="D911" s="74">
        <v>500351</v>
      </c>
      <c r="E911" s="208" t="s">
        <v>147</v>
      </c>
      <c r="F911" s="208" t="s">
        <v>256</v>
      </c>
      <c r="G911" s="208" t="s">
        <v>258</v>
      </c>
      <c r="H911" s="209" t="s">
        <v>187</v>
      </c>
      <c r="I911" s="210">
        <v>7</v>
      </c>
    </row>
    <row r="912" spans="1:9" x14ac:dyDescent="0.25">
      <c r="A912" s="74" t="s">
        <v>3058</v>
      </c>
      <c r="B912" s="45">
        <v>874</v>
      </c>
      <c r="C912" s="64" t="s">
        <v>1283</v>
      </c>
      <c r="D912" s="74">
        <v>500352</v>
      </c>
      <c r="E912" s="208" t="s">
        <v>147</v>
      </c>
      <c r="F912" s="209" t="s">
        <v>256</v>
      </c>
      <c r="G912" s="208" t="s">
        <v>21</v>
      </c>
      <c r="H912" s="209" t="s">
        <v>198</v>
      </c>
      <c r="I912" s="210">
        <v>6</v>
      </c>
    </row>
    <row r="913" spans="1:9" x14ac:dyDescent="0.25">
      <c r="A913" s="74" t="s">
        <v>3059</v>
      </c>
      <c r="B913" s="45">
        <v>875</v>
      </c>
      <c r="C913" s="45" t="s">
        <v>1284</v>
      </c>
      <c r="D913" s="74">
        <v>500353</v>
      </c>
      <c r="E913" s="208" t="s">
        <v>147</v>
      </c>
      <c r="F913" s="208" t="s">
        <v>256</v>
      </c>
      <c r="G913" s="208" t="s">
        <v>21</v>
      </c>
      <c r="H913" s="209" t="s">
        <v>192</v>
      </c>
      <c r="I913" s="210">
        <v>7</v>
      </c>
    </row>
    <row r="914" spans="1:9" x14ac:dyDescent="0.25">
      <c r="A914" s="74" t="s">
        <v>3060</v>
      </c>
      <c r="B914" s="217">
        <v>876</v>
      </c>
      <c r="C914" s="217" t="s">
        <v>1285</v>
      </c>
      <c r="D914" s="74">
        <v>500356</v>
      </c>
      <c r="E914" s="208" t="s">
        <v>147</v>
      </c>
      <c r="F914" s="208" t="s">
        <v>256</v>
      </c>
      <c r="G914" s="208" t="s">
        <v>21</v>
      </c>
      <c r="H914" s="209" t="s">
        <v>198</v>
      </c>
      <c r="I914" s="210">
        <v>6</v>
      </c>
    </row>
    <row r="915" spans="1:9" x14ac:dyDescent="0.25">
      <c r="A915" s="74" t="s">
        <v>3061</v>
      </c>
      <c r="B915" s="45">
        <v>877</v>
      </c>
      <c r="C915" s="45" t="s">
        <v>1286</v>
      </c>
      <c r="D915" s="74">
        <v>500357</v>
      </c>
      <c r="E915" s="208" t="s">
        <v>123</v>
      </c>
      <c r="F915" s="208" t="s">
        <v>254</v>
      </c>
      <c r="G915" s="208" t="s">
        <v>21</v>
      </c>
      <c r="H915" s="209" t="s">
        <v>187</v>
      </c>
      <c r="I915" s="210">
        <v>5</v>
      </c>
    </row>
    <row r="916" spans="1:9" x14ac:dyDescent="0.25">
      <c r="A916" s="74" t="s">
        <v>3062</v>
      </c>
      <c r="B916" s="45">
        <v>878</v>
      </c>
      <c r="C916" s="64" t="s">
        <v>1287</v>
      </c>
      <c r="D916" s="74">
        <v>500358</v>
      </c>
      <c r="E916" s="208" t="s">
        <v>123</v>
      </c>
      <c r="F916" s="208" t="s">
        <v>254</v>
      </c>
      <c r="G916" s="208" t="s">
        <v>21</v>
      </c>
      <c r="H916" s="209" t="s">
        <v>198</v>
      </c>
      <c r="I916" s="210">
        <v>6</v>
      </c>
    </row>
    <row r="917" spans="1:9" x14ac:dyDescent="0.25">
      <c r="A917" s="74" t="s">
        <v>3063</v>
      </c>
      <c r="B917" s="45">
        <v>879</v>
      </c>
      <c r="C917" s="45" t="s">
        <v>1288</v>
      </c>
      <c r="D917" s="74">
        <v>500359</v>
      </c>
      <c r="E917" s="208" t="s">
        <v>123</v>
      </c>
      <c r="F917" s="208" t="s">
        <v>254</v>
      </c>
      <c r="G917" s="208" t="s">
        <v>21</v>
      </c>
      <c r="H917" s="209" t="s">
        <v>192</v>
      </c>
      <c r="I917" s="210">
        <v>7</v>
      </c>
    </row>
    <row r="918" spans="1:9" x14ac:dyDescent="0.25">
      <c r="A918" s="74" t="s">
        <v>3064</v>
      </c>
      <c r="B918" s="45">
        <v>880</v>
      </c>
      <c r="C918" s="45" t="s">
        <v>1289</v>
      </c>
      <c r="D918" s="74">
        <v>500360</v>
      </c>
      <c r="E918" s="208" t="s">
        <v>123</v>
      </c>
      <c r="F918" s="208" t="s">
        <v>254</v>
      </c>
      <c r="G918" s="208" t="s">
        <v>21</v>
      </c>
      <c r="H918" s="209" t="s">
        <v>198</v>
      </c>
      <c r="I918" s="210">
        <v>6</v>
      </c>
    </row>
    <row r="919" spans="1:9" x14ac:dyDescent="0.25">
      <c r="A919" s="74" t="s">
        <v>3065</v>
      </c>
      <c r="B919" s="45">
        <v>881</v>
      </c>
      <c r="C919" s="45" t="s">
        <v>1290</v>
      </c>
      <c r="D919" s="74">
        <v>500361</v>
      </c>
      <c r="E919" s="208" t="s">
        <v>123</v>
      </c>
      <c r="F919" s="208" t="s">
        <v>254</v>
      </c>
      <c r="G919" s="208" t="s">
        <v>21</v>
      </c>
      <c r="H919" s="209" t="s">
        <v>192</v>
      </c>
      <c r="I919" s="210">
        <v>7</v>
      </c>
    </row>
    <row r="920" spans="1:9" x14ac:dyDescent="0.25">
      <c r="A920" s="74" t="s">
        <v>3066</v>
      </c>
      <c r="B920" s="45">
        <v>882</v>
      </c>
      <c r="C920" s="64" t="s">
        <v>1291</v>
      </c>
      <c r="D920" s="74">
        <v>500362</v>
      </c>
      <c r="E920" s="208" t="s">
        <v>123</v>
      </c>
      <c r="F920" s="208" t="s">
        <v>254</v>
      </c>
      <c r="G920" s="208" t="s">
        <v>21</v>
      </c>
      <c r="H920" s="209" t="s">
        <v>186</v>
      </c>
      <c r="I920" s="210">
        <v>6</v>
      </c>
    </row>
    <row r="921" spans="1:9" x14ac:dyDescent="0.25">
      <c r="A921" s="74" t="s">
        <v>3067</v>
      </c>
      <c r="B921" s="45">
        <v>883</v>
      </c>
      <c r="C921" s="45" t="s">
        <v>1292</v>
      </c>
      <c r="D921" s="74">
        <v>500363</v>
      </c>
      <c r="E921" s="208" t="s">
        <v>123</v>
      </c>
      <c r="F921" s="208" t="s">
        <v>254</v>
      </c>
      <c r="G921" s="208" t="s">
        <v>21</v>
      </c>
      <c r="H921" s="209" t="s">
        <v>191</v>
      </c>
      <c r="I921" s="210">
        <v>7</v>
      </c>
    </row>
    <row r="922" spans="1:9" x14ac:dyDescent="0.25">
      <c r="A922" s="74" t="s">
        <v>3068</v>
      </c>
      <c r="B922" s="45">
        <v>884</v>
      </c>
      <c r="C922" s="45" t="s">
        <v>1293</v>
      </c>
      <c r="D922" s="74">
        <v>500363</v>
      </c>
      <c r="E922" s="208" t="s">
        <v>123</v>
      </c>
      <c r="F922" s="208" t="s">
        <v>254</v>
      </c>
      <c r="G922" s="208" t="s">
        <v>21</v>
      </c>
      <c r="H922" s="209" t="s">
        <v>191</v>
      </c>
      <c r="I922" s="210">
        <v>7</v>
      </c>
    </row>
    <row r="923" spans="1:9" x14ac:dyDescent="0.25">
      <c r="A923" s="74" t="s">
        <v>3069</v>
      </c>
      <c r="B923" s="45">
        <v>885</v>
      </c>
      <c r="C923" s="45" t="s">
        <v>1294</v>
      </c>
      <c r="D923" s="74">
        <v>500363</v>
      </c>
      <c r="E923" s="208" t="s">
        <v>123</v>
      </c>
      <c r="F923" s="208" t="s">
        <v>254</v>
      </c>
      <c r="G923" s="208" t="s">
        <v>21</v>
      </c>
      <c r="H923" s="209" t="s">
        <v>191</v>
      </c>
      <c r="I923" s="210">
        <v>7</v>
      </c>
    </row>
    <row r="924" spans="1:9" ht="24" x14ac:dyDescent="0.25">
      <c r="A924" s="74" t="s">
        <v>3070</v>
      </c>
      <c r="B924" s="45">
        <v>886</v>
      </c>
      <c r="C924" s="45" t="s">
        <v>1295</v>
      </c>
      <c r="D924" s="74">
        <v>500364</v>
      </c>
      <c r="E924" s="208" t="s">
        <v>123</v>
      </c>
      <c r="F924" s="212" t="s">
        <v>254</v>
      </c>
      <c r="G924" s="212" t="s">
        <v>259</v>
      </c>
      <c r="H924" s="209" t="s">
        <v>192</v>
      </c>
      <c r="I924" s="210">
        <v>7</v>
      </c>
    </row>
    <row r="925" spans="1:9" x14ac:dyDescent="0.25">
      <c r="A925" s="74" t="s">
        <v>3071</v>
      </c>
      <c r="B925" s="45">
        <v>887</v>
      </c>
      <c r="C925" s="45" t="s">
        <v>1296</v>
      </c>
      <c r="D925" s="74">
        <v>500365</v>
      </c>
      <c r="E925" s="208" t="s">
        <v>123</v>
      </c>
      <c r="F925" s="208" t="s">
        <v>254</v>
      </c>
      <c r="G925" s="208" t="s">
        <v>259</v>
      </c>
      <c r="H925" s="209" t="s">
        <v>192</v>
      </c>
      <c r="I925" s="210">
        <v>7</v>
      </c>
    </row>
    <row r="926" spans="1:9" x14ac:dyDescent="0.25">
      <c r="A926" s="74" t="s">
        <v>3072</v>
      </c>
      <c r="B926" s="45">
        <v>888</v>
      </c>
      <c r="C926" s="45" t="s">
        <v>1297</v>
      </c>
      <c r="D926" s="74">
        <v>500369</v>
      </c>
      <c r="E926" s="208" t="s">
        <v>134</v>
      </c>
      <c r="F926" s="208" t="s">
        <v>257</v>
      </c>
      <c r="G926" s="208" t="s">
        <v>21</v>
      </c>
      <c r="H926" s="209" t="s">
        <v>186</v>
      </c>
      <c r="I926" s="210">
        <v>6</v>
      </c>
    </row>
    <row r="927" spans="1:9" x14ac:dyDescent="0.25">
      <c r="A927" s="74" t="s">
        <v>3073</v>
      </c>
      <c r="B927" s="45">
        <v>889</v>
      </c>
      <c r="C927" s="45" t="s">
        <v>1298</v>
      </c>
      <c r="D927" s="74">
        <v>500370</v>
      </c>
      <c r="E927" s="208" t="s">
        <v>134</v>
      </c>
      <c r="F927" s="208" t="s">
        <v>257</v>
      </c>
      <c r="G927" s="208" t="s">
        <v>21</v>
      </c>
      <c r="H927" s="209" t="s">
        <v>189</v>
      </c>
      <c r="I927" s="210">
        <v>7</v>
      </c>
    </row>
    <row r="928" spans="1:9" x14ac:dyDescent="0.25">
      <c r="A928" s="74" t="s">
        <v>3074</v>
      </c>
      <c r="B928" s="45">
        <v>890</v>
      </c>
      <c r="C928" s="45" t="s">
        <v>1299</v>
      </c>
      <c r="D928" s="74">
        <v>500371</v>
      </c>
      <c r="E928" s="208" t="s">
        <v>134</v>
      </c>
      <c r="F928" s="208" t="s">
        <v>257</v>
      </c>
      <c r="G928" s="208" t="s">
        <v>21</v>
      </c>
      <c r="H928" s="209" t="s">
        <v>194</v>
      </c>
      <c r="I928" s="210">
        <v>6</v>
      </c>
    </row>
    <row r="929" spans="1:9" x14ac:dyDescent="0.25">
      <c r="A929" s="74" t="s">
        <v>3075</v>
      </c>
      <c r="B929" s="45">
        <v>891</v>
      </c>
      <c r="C929" s="45" t="s">
        <v>1300</v>
      </c>
      <c r="D929" s="74">
        <v>500371</v>
      </c>
      <c r="E929" s="208" t="s">
        <v>134</v>
      </c>
      <c r="F929" s="208" t="s">
        <v>257</v>
      </c>
      <c r="G929" s="208" t="s">
        <v>21</v>
      </c>
      <c r="H929" s="209" t="s">
        <v>194</v>
      </c>
      <c r="I929" s="210">
        <v>6</v>
      </c>
    </row>
    <row r="930" spans="1:9" x14ac:dyDescent="0.25">
      <c r="A930" s="74" t="s">
        <v>3076</v>
      </c>
      <c r="B930" s="45">
        <v>892</v>
      </c>
      <c r="C930" s="45" t="s">
        <v>1301</v>
      </c>
      <c r="D930" s="74">
        <v>500371</v>
      </c>
      <c r="E930" s="208" t="s">
        <v>134</v>
      </c>
      <c r="F930" s="208" t="s">
        <v>257</v>
      </c>
      <c r="G930" s="208" t="s">
        <v>21</v>
      </c>
      <c r="H930" s="209" t="s">
        <v>194</v>
      </c>
      <c r="I930" s="210">
        <v>6</v>
      </c>
    </row>
    <row r="931" spans="1:9" x14ac:dyDescent="0.25">
      <c r="A931" s="74" t="s">
        <v>3077</v>
      </c>
      <c r="B931" s="45">
        <v>893</v>
      </c>
      <c r="C931" s="45" t="s">
        <v>1302</v>
      </c>
      <c r="D931" s="74">
        <v>500371</v>
      </c>
      <c r="E931" s="208" t="s">
        <v>134</v>
      </c>
      <c r="F931" s="208" t="s">
        <v>257</v>
      </c>
      <c r="G931" s="208" t="s">
        <v>21</v>
      </c>
      <c r="H931" s="209" t="s">
        <v>194</v>
      </c>
      <c r="I931" s="210">
        <v>6</v>
      </c>
    </row>
    <row r="932" spans="1:9" x14ac:dyDescent="0.25">
      <c r="A932" s="74" t="s">
        <v>3078</v>
      </c>
      <c r="B932" s="45">
        <v>894</v>
      </c>
      <c r="C932" s="45" t="s">
        <v>1303</v>
      </c>
      <c r="D932" s="74">
        <v>500385</v>
      </c>
      <c r="E932" s="208" t="s">
        <v>134</v>
      </c>
      <c r="F932" s="208" t="s">
        <v>257</v>
      </c>
      <c r="G932" s="208" t="s">
        <v>21</v>
      </c>
      <c r="H932" s="209" t="s">
        <v>191</v>
      </c>
      <c r="I932" s="210">
        <v>7</v>
      </c>
    </row>
    <row r="933" spans="1:9" x14ac:dyDescent="0.25">
      <c r="A933" s="74" t="s">
        <v>3079</v>
      </c>
      <c r="B933" s="45">
        <v>895</v>
      </c>
      <c r="C933" s="45" t="s">
        <v>1304</v>
      </c>
      <c r="D933" s="74">
        <v>500385</v>
      </c>
      <c r="E933" s="208" t="s">
        <v>134</v>
      </c>
      <c r="F933" s="208" t="s">
        <v>257</v>
      </c>
      <c r="G933" s="208" t="s">
        <v>21</v>
      </c>
      <c r="H933" s="209" t="s">
        <v>191</v>
      </c>
      <c r="I933" s="210">
        <v>7</v>
      </c>
    </row>
    <row r="934" spans="1:9" x14ac:dyDescent="0.25">
      <c r="A934" s="74" t="s">
        <v>3080</v>
      </c>
      <c r="B934" s="45">
        <v>896</v>
      </c>
      <c r="C934" s="45" t="s">
        <v>1305</v>
      </c>
      <c r="D934" s="74">
        <v>500385</v>
      </c>
      <c r="E934" s="208" t="s">
        <v>134</v>
      </c>
      <c r="F934" s="208" t="s">
        <v>257</v>
      </c>
      <c r="G934" s="208" t="s">
        <v>21</v>
      </c>
      <c r="H934" s="209" t="s">
        <v>191</v>
      </c>
      <c r="I934" s="210">
        <v>7</v>
      </c>
    </row>
    <row r="935" spans="1:9" x14ac:dyDescent="0.25">
      <c r="A935" s="74" t="s">
        <v>3081</v>
      </c>
      <c r="B935" s="45">
        <v>897</v>
      </c>
      <c r="C935" s="45" t="s">
        <v>1306</v>
      </c>
      <c r="D935" s="74">
        <v>500385</v>
      </c>
      <c r="E935" s="208" t="s">
        <v>134</v>
      </c>
      <c r="F935" s="208" t="s">
        <v>257</v>
      </c>
      <c r="G935" s="208" t="s">
        <v>21</v>
      </c>
      <c r="H935" s="209" t="s">
        <v>191</v>
      </c>
      <c r="I935" s="210">
        <v>7</v>
      </c>
    </row>
    <row r="936" spans="1:9" x14ac:dyDescent="0.25">
      <c r="A936" s="74" t="s">
        <v>3082</v>
      </c>
      <c r="B936" s="45">
        <v>898</v>
      </c>
      <c r="C936" s="45" t="s">
        <v>1307</v>
      </c>
      <c r="D936" s="74">
        <v>500386</v>
      </c>
      <c r="E936" s="208" t="s">
        <v>134</v>
      </c>
      <c r="F936" s="208" t="s">
        <v>257</v>
      </c>
      <c r="G936" s="208" t="s">
        <v>21</v>
      </c>
      <c r="H936" s="209" t="s">
        <v>186</v>
      </c>
      <c r="I936" s="210">
        <v>6</v>
      </c>
    </row>
    <row r="937" spans="1:9" x14ac:dyDescent="0.25">
      <c r="A937" s="74" t="s">
        <v>3083</v>
      </c>
      <c r="B937" s="45">
        <v>899</v>
      </c>
      <c r="C937" s="45" t="s">
        <v>1308</v>
      </c>
      <c r="D937" s="74">
        <v>500387</v>
      </c>
      <c r="E937" s="208" t="s">
        <v>134</v>
      </c>
      <c r="F937" s="208" t="s">
        <v>257</v>
      </c>
      <c r="G937" s="208" t="s">
        <v>260</v>
      </c>
      <c r="H937" s="209" t="s">
        <v>198</v>
      </c>
      <c r="I937" s="210">
        <v>7</v>
      </c>
    </row>
    <row r="938" spans="1:9" x14ac:dyDescent="0.25">
      <c r="A938" s="74" t="s">
        <v>3084</v>
      </c>
      <c r="B938" s="45">
        <v>900</v>
      </c>
      <c r="C938" s="45" t="s">
        <v>1309</v>
      </c>
      <c r="D938" s="74">
        <v>500388</v>
      </c>
      <c r="E938" s="208" t="s">
        <v>134</v>
      </c>
      <c r="F938" s="208" t="s">
        <v>257</v>
      </c>
      <c r="G938" s="208" t="s">
        <v>260</v>
      </c>
      <c r="H938" s="209" t="s">
        <v>192</v>
      </c>
      <c r="I938" s="210">
        <v>7</v>
      </c>
    </row>
    <row r="939" spans="1:9" x14ac:dyDescent="0.25">
      <c r="A939" s="74" t="s">
        <v>3085</v>
      </c>
      <c r="B939" s="45">
        <v>901</v>
      </c>
      <c r="C939" s="45" t="s">
        <v>1310</v>
      </c>
      <c r="D939" s="74">
        <v>500389</v>
      </c>
      <c r="E939" s="208" t="s">
        <v>134</v>
      </c>
      <c r="F939" s="208" t="s">
        <v>257</v>
      </c>
      <c r="G939" s="208" t="s">
        <v>260</v>
      </c>
      <c r="H939" s="209" t="s">
        <v>192</v>
      </c>
      <c r="I939" s="210">
        <v>7</v>
      </c>
    </row>
    <row r="940" spans="1:9" x14ac:dyDescent="0.25">
      <c r="A940" s="74" t="s">
        <v>3086</v>
      </c>
      <c r="B940" s="45">
        <v>902</v>
      </c>
      <c r="C940" s="45" t="s">
        <v>1311</v>
      </c>
      <c r="D940" s="74">
        <v>500390</v>
      </c>
      <c r="E940" s="208" t="s">
        <v>134</v>
      </c>
      <c r="F940" s="208" t="s">
        <v>257</v>
      </c>
      <c r="G940" s="208" t="s">
        <v>260</v>
      </c>
      <c r="H940" s="209" t="s">
        <v>198</v>
      </c>
      <c r="I940" s="210">
        <v>7</v>
      </c>
    </row>
    <row r="941" spans="1:9" x14ac:dyDescent="0.25">
      <c r="A941" s="74" t="s">
        <v>3087</v>
      </c>
      <c r="B941" s="45">
        <v>903</v>
      </c>
      <c r="C941" s="45" t="s">
        <v>1312</v>
      </c>
      <c r="D941" s="74">
        <v>500391</v>
      </c>
      <c r="E941" s="208" t="s">
        <v>134</v>
      </c>
      <c r="F941" s="208" t="s">
        <v>257</v>
      </c>
      <c r="G941" s="208" t="s">
        <v>260</v>
      </c>
      <c r="H941" s="209" t="s">
        <v>192</v>
      </c>
      <c r="I941" s="210">
        <v>7</v>
      </c>
    </row>
    <row r="942" spans="1:9" x14ac:dyDescent="0.25">
      <c r="A942" s="74" t="s">
        <v>3088</v>
      </c>
      <c r="B942" s="45">
        <v>904</v>
      </c>
      <c r="C942" s="45" t="s">
        <v>1313</v>
      </c>
      <c r="D942" s="74">
        <v>500392</v>
      </c>
      <c r="E942" s="208" t="s">
        <v>134</v>
      </c>
      <c r="F942" s="208" t="s">
        <v>257</v>
      </c>
      <c r="G942" s="208" t="s">
        <v>21</v>
      </c>
      <c r="H942" s="209" t="s">
        <v>186</v>
      </c>
      <c r="I942" s="210">
        <v>6</v>
      </c>
    </row>
    <row r="943" spans="1:9" x14ac:dyDescent="0.25">
      <c r="A943" s="74" t="s">
        <v>3089</v>
      </c>
      <c r="B943" s="45">
        <v>905</v>
      </c>
      <c r="C943" s="45" t="s">
        <v>1314</v>
      </c>
      <c r="D943" s="74">
        <v>500393</v>
      </c>
      <c r="E943" s="208" t="s">
        <v>134</v>
      </c>
      <c r="F943" s="208" t="s">
        <v>257</v>
      </c>
      <c r="G943" s="208" t="s">
        <v>260</v>
      </c>
      <c r="H943" s="209" t="s">
        <v>198</v>
      </c>
      <c r="I943" s="210">
        <v>7</v>
      </c>
    </row>
    <row r="944" spans="1:9" x14ac:dyDescent="0.25">
      <c r="A944" s="74" t="s">
        <v>3090</v>
      </c>
      <c r="B944" s="45">
        <v>906</v>
      </c>
      <c r="C944" s="45" t="s">
        <v>1315</v>
      </c>
      <c r="D944" s="74">
        <v>500394</v>
      </c>
      <c r="E944" s="208" t="s">
        <v>134</v>
      </c>
      <c r="F944" s="208" t="s">
        <v>257</v>
      </c>
      <c r="G944" s="208" t="s">
        <v>260</v>
      </c>
      <c r="H944" s="209" t="s">
        <v>192</v>
      </c>
      <c r="I944" s="210">
        <v>7</v>
      </c>
    </row>
    <row r="945" spans="1:9" x14ac:dyDescent="0.25">
      <c r="A945" s="74" t="s">
        <v>3091</v>
      </c>
      <c r="B945" s="45">
        <v>907</v>
      </c>
      <c r="C945" s="45" t="s">
        <v>1316</v>
      </c>
      <c r="D945" s="74">
        <v>500395</v>
      </c>
      <c r="E945" s="208" t="s">
        <v>134</v>
      </c>
      <c r="F945" s="208" t="s">
        <v>257</v>
      </c>
      <c r="G945" s="208" t="s">
        <v>260</v>
      </c>
      <c r="H945" s="209" t="s">
        <v>192</v>
      </c>
      <c r="I945" s="210">
        <v>7</v>
      </c>
    </row>
    <row r="946" spans="1:9" x14ac:dyDescent="0.25">
      <c r="A946" s="74" t="s">
        <v>3092</v>
      </c>
      <c r="B946" s="45">
        <v>908</v>
      </c>
      <c r="C946" s="45" t="s">
        <v>1317</v>
      </c>
      <c r="D946" s="74">
        <v>500396</v>
      </c>
      <c r="E946" s="208" t="s">
        <v>134</v>
      </c>
      <c r="F946" s="208" t="s">
        <v>257</v>
      </c>
      <c r="G946" s="208" t="s">
        <v>260</v>
      </c>
      <c r="H946" s="209" t="s">
        <v>198</v>
      </c>
      <c r="I946" s="210">
        <v>7</v>
      </c>
    </row>
    <row r="947" spans="1:9" x14ac:dyDescent="0.25">
      <c r="A947" s="74" t="s">
        <v>3093</v>
      </c>
      <c r="B947" s="45">
        <v>909</v>
      </c>
      <c r="C947" s="45" t="s">
        <v>1318</v>
      </c>
      <c r="D947" s="74">
        <v>500397</v>
      </c>
      <c r="E947" s="208" t="s">
        <v>134</v>
      </c>
      <c r="F947" s="208" t="s">
        <v>257</v>
      </c>
      <c r="G947" s="208" t="s">
        <v>260</v>
      </c>
      <c r="H947" s="209" t="s">
        <v>192</v>
      </c>
      <c r="I947" s="210">
        <v>7</v>
      </c>
    </row>
    <row r="948" spans="1:9" x14ac:dyDescent="0.25">
      <c r="A948" s="74" t="s">
        <v>3094</v>
      </c>
      <c r="B948" s="45">
        <v>910</v>
      </c>
      <c r="C948" s="45" t="s">
        <v>1319</v>
      </c>
      <c r="D948" s="74">
        <v>500398</v>
      </c>
      <c r="E948" s="208" t="s">
        <v>134</v>
      </c>
      <c r="F948" s="208" t="s">
        <v>257</v>
      </c>
      <c r="G948" s="208" t="s">
        <v>21</v>
      </c>
      <c r="H948" s="209" t="s">
        <v>186</v>
      </c>
      <c r="I948" s="210">
        <v>6</v>
      </c>
    </row>
    <row r="949" spans="1:9" x14ac:dyDescent="0.25">
      <c r="A949" s="74" t="s">
        <v>3095</v>
      </c>
      <c r="B949" s="45">
        <v>911</v>
      </c>
      <c r="C949" s="45" t="s">
        <v>1320</v>
      </c>
      <c r="D949" s="74">
        <v>500399</v>
      </c>
      <c r="E949" s="208" t="s">
        <v>134</v>
      </c>
      <c r="F949" s="208" t="s">
        <v>257</v>
      </c>
      <c r="G949" s="208" t="s">
        <v>21</v>
      </c>
      <c r="H949" s="209" t="s">
        <v>192</v>
      </c>
      <c r="I949" s="210">
        <v>7</v>
      </c>
    </row>
    <row r="950" spans="1:9" x14ac:dyDescent="0.25">
      <c r="A950" s="74" t="s">
        <v>3096</v>
      </c>
      <c r="B950" s="45">
        <v>912</v>
      </c>
      <c r="C950" s="45" t="s">
        <v>1321</v>
      </c>
      <c r="D950" s="74">
        <v>500400</v>
      </c>
      <c r="E950" s="208" t="s">
        <v>134</v>
      </c>
      <c r="F950" s="208" t="s">
        <v>257</v>
      </c>
      <c r="G950" s="208" t="s">
        <v>260</v>
      </c>
      <c r="H950" s="209" t="s">
        <v>198</v>
      </c>
      <c r="I950" s="210">
        <v>7</v>
      </c>
    </row>
    <row r="951" spans="1:9" x14ac:dyDescent="0.25">
      <c r="A951" s="74" t="s">
        <v>3097</v>
      </c>
      <c r="B951" s="45">
        <v>913</v>
      </c>
      <c r="C951" s="45" t="s">
        <v>1322</v>
      </c>
      <c r="D951" s="74">
        <v>500401</v>
      </c>
      <c r="E951" s="208" t="s">
        <v>134</v>
      </c>
      <c r="F951" s="208" t="s">
        <v>257</v>
      </c>
      <c r="G951" s="208" t="s">
        <v>260</v>
      </c>
      <c r="H951" s="209" t="s">
        <v>192</v>
      </c>
      <c r="I951" s="210">
        <v>7</v>
      </c>
    </row>
    <row r="952" spans="1:9" x14ac:dyDescent="0.25">
      <c r="A952" s="74" t="s">
        <v>3098</v>
      </c>
      <c r="B952" s="45">
        <v>914</v>
      </c>
      <c r="C952" s="45" t="s">
        <v>1323</v>
      </c>
      <c r="D952" s="74">
        <v>500402</v>
      </c>
      <c r="E952" s="208" t="s">
        <v>134</v>
      </c>
      <c r="F952" s="208" t="s">
        <v>257</v>
      </c>
      <c r="G952" s="208" t="s">
        <v>260</v>
      </c>
      <c r="H952" s="209" t="s">
        <v>198</v>
      </c>
      <c r="I952" s="210">
        <v>7</v>
      </c>
    </row>
    <row r="953" spans="1:9" x14ac:dyDescent="0.25">
      <c r="A953" s="74" t="s">
        <v>3099</v>
      </c>
      <c r="B953" s="45">
        <v>915</v>
      </c>
      <c r="C953" s="45" t="s">
        <v>1324</v>
      </c>
      <c r="D953" s="74">
        <v>500403</v>
      </c>
      <c r="E953" s="208" t="s">
        <v>134</v>
      </c>
      <c r="F953" s="208" t="s">
        <v>257</v>
      </c>
      <c r="G953" s="208" t="s">
        <v>260</v>
      </c>
      <c r="H953" s="209" t="s">
        <v>192</v>
      </c>
      <c r="I953" s="210">
        <v>7</v>
      </c>
    </row>
    <row r="954" spans="1:9" x14ac:dyDescent="0.25">
      <c r="A954" s="74" t="s">
        <v>3100</v>
      </c>
      <c r="B954" s="45">
        <v>916</v>
      </c>
      <c r="C954" s="45" t="s">
        <v>1325</v>
      </c>
      <c r="D954" s="74">
        <v>500404</v>
      </c>
      <c r="E954" s="208" t="s">
        <v>134</v>
      </c>
      <c r="F954" s="208" t="s">
        <v>257</v>
      </c>
      <c r="G954" s="208" t="s">
        <v>21</v>
      </c>
      <c r="H954" s="209" t="s">
        <v>186</v>
      </c>
      <c r="I954" s="210">
        <v>6</v>
      </c>
    </row>
    <row r="955" spans="1:9" x14ac:dyDescent="0.25">
      <c r="A955" s="74" t="s">
        <v>3101</v>
      </c>
      <c r="B955" s="45">
        <v>917</v>
      </c>
      <c r="C955" s="45" t="s">
        <v>1326</v>
      </c>
      <c r="D955" s="74">
        <v>500405</v>
      </c>
      <c r="E955" s="208" t="s">
        <v>134</v>
      </c>
      <c r="F955" s="208" t="s">
        <v>257</v>
      </c>
      <c r="G955" s="208" t="s">
        <v>21</v>
      </c>
      <c r="H955" s="209" t="s">
        <v>192</v>
      </c>
      <c r="I955" s="210">
        <v>7</v>
      </c>
    </row>
    <row r="956" spans="1:9" x14ac:dyDescent="0.25">
      <c r="A956" s="74" t="s">
        <v>3102</v>
      </c>
      <c r="B956" s="45">
        <v>918</v>
      </c>
      <c r="C956" s="45" t="s">
        <v>1327</v>
      </c>
      <c r="D956" s="74">
        <v>500406</v>
      </c>
      <c r="E956" s="208" t="s">
        <v>134</v>
      </c>
      <c r="F956" s="208" t="s">
        <v>257</v>
      </c>
      <c r="G956" s="208" t="s">
        <v>260</v>
      </c>
      <c r="H956" s="209" t="s">
        <v>192</v>
      </c>
      <c r="I956" s="210">
        <v>7</v>
      </c>
    </row>
    <row r="957" spans="1:9" x14ac:dyDescent="0.25">
      <c r="A957" s="74" t="s">
        <v>3103</v>
      </c>
      <c r="B957" s="45">
        <v>919</v>
      </c>
      <c r="C957" s="63" t="s">
        <v>1328</v>
      </c>
      <c r="D957" s="74">
        <v>500407</v>
      </c>
      <c r="E957" s="208" t="s">
        <v>175</v>
      </c>
      <c r="F957" s="208" t="s">
        <v>261</v>
      </c>
      <c r="G957" s="208" t="s">
        <v>21</v>
      </c>
      <c r="H957" s="209" t="s">
        <v>183</v>
      </c>
      <c r="I957" s="210">
        <v>5</v>
      </c>
    </row>
    <row r="958" spans="1:9" x14ac:dyDescent="0.25">
      <c r="A958" s="74" t="s">
        <v>3104</v>
      </c>
      <c r="B958" s="45">
        <v>920</v>
      </c>
      <c r="C958" s="63" t="s">
        <v>1329</v>
      </c>
      <c r="D958" s="74">
        <v>500408</v>
      </c>
      <c r="E958" s="208" t="s">
        <v>175</v>
      </c>
      <c r="F958" s="208" t="s">
        <v>261</v>
      </c>
      <c r="G958" s="208" t="s">
        <v>21</v>
      </c>
      <c r="H958" s="209" t="s">
        <v>187</v>
      </c>
      <c r="I958" s="210">
        <v>6</v>
      </c>
    </row>
    <row r="959" spans="1:9" x14ac:dyDescent="0.25">
      <c r="A959" s="74" t="s">
        <v>3105</v>
      </c>
      <c r="B959" s="45">
        <v>921</v>
      </c>
      <c r="C959" s="63" t="s">
        <v>1330</v>
      </c>
      <c r="D959" s="74">
        <v>500409</v>
      </c>
      <c r="E959" s="208" t="s">
        <v>175</v>
      </c>
      <c r="F959" s="208" t="s">
        <v>261</v>
      </c>
      <c r="G959" s="208" t="s">
        <v>262</v>
      </c>
      <c r="H959" s="209" t="s">
        <v>191</v>
      </c>
      <c r="I959" s="210">
        <v>7</v>
      </c>
    </row>
    <row r="960" spans="1:9" x14ac:dyDescent="0.25">
      <c r="A960" s="74" t="s">
        <v>3106</v>
      </c>
      <c r="B960" s="45">
        <v>922</v>
      </c>
      <c r="C960" s="63" t="s">
        <v>1331</v>
      </c>
      <c r="D960" s="74">
        <v>500409</v>
      </c>
      <c r="E960" s="208" t="s">
        <v>175</v>
      </c>
      <c r="F960" s="208" t="s">
        <v>261</v>
      </c>
      <c r="G960" s="208" t="s">
        <v>262</v>
      </c>
      <c r="H960" s="209" t="s">
        <v>191</v>
      </c>
      <c r="I960" s="210">
        <v>7</v>
      </c>
    </row>
    <row r="961" spans="1:9" x14ac:dyDescent="0.25">
      <c r="A961" s="74" t="s">
        <v>3107</v>
      </c>
      <c r="B961" s="45">
        <v>923</v>
      </c>
      <c r="C961" s="63" t="s">
        <v>1332</v>
      </c>
      <c r="D961" s="74">
        <v>500409</v>
      </c>
      <c r="E961" s="208" t="s">
        <v>175</v>
      </c>
      <c r="F961" s="208" t="s">
        <v>261</v>
      </c>
      <c r="G961" s="208" t="s">
        <v>262</v>
      </c>
      <c r="H961" s="209" t="s">
        <v>191</v>
      </c>
      <c r="I961" s="210">
        <v>7</v>
      </c>
    </row>
    <row r="962" spans="1:9" x14ac:dyDescent="0.25">
      <c r="A962" s="74" t="s">
        <v>3108</v>
      </c>
      <c r="B962" s="45">
        <v>924</v>
      </c>
      <c r="C962" s="63" t="s">
        <v>1333</v>
      </c>
      <c r="D962" s="74">
        <v>500409</v>
      </c>
      <c r="E962" s="208" t="s">
        <v>175</v>
      </c>
      <c r="F962" s="208" t="s">
        <v>261</v>
      </c>
      <c r="G962" s="208" t="s">
        <v>262</v>
      </c>
      <c r="H962" s="209" t="s">
        <v>191</v>
      </c>
      <c r="I962" s="210">
        <v>7</v>
      </c>
    </row>
    <row r="963" spans="1:9" x14ac:dyDescent="0.25">
      <c r="A963" s="74" t="s">
        <v>3109</v>
      </c>
      <c r="B963" s="45">
        <v>925</v>
      </c>
      <c r="C963" s="63" t="s">
        <v>1334</v>
      </c>
      <c r="D963" s="74">
        <v>500410</v>
      </c>
      <c r="E963" s="208" t="s">
        <v>175</v>
      </c>
      <c r="F963" s="208" t="s">
        <v>261</v>
      </c>
      <c r="G963" s="208" t="s">
        <v>262</v>
      </c>
      <c r="H963" s="209" t="s">
        <v>191</v>
      </c>
      <c r="I963" s="210">
        <v>7</v>
      </c>
    </row>
    <row r="964" spans="1:9" x14ac:dyDescent="0.25">
      <c r="A964" s="74" t="s">
        <v>3110</v>
      </c>
      <c r="B964" s="45">
        <v>926</v>
      </c>
      <c r="C964" s="63" t="s">
        <v>1335</v>
      </c>
      <c r="D964" s="74">
        <v>500410</v>
      </c>
      <c r="E964" s="208" t="s">
        <v>175</v>
      </c>
      <c r="F964" s="208" t="s">
        <v>261</v>
      </c>
      <c r="G964" s="208" t="s">
        <v>262</v>
      </c>
      <c r="H964" s="209" t="s">
        <v>191</v>
      </c>
      <c r="I964" s="210">
        <v>7</v>
      </c>
    </row>
    <row r="965" spans="1:9" x14ac:dyDescent="0.25">
      <c r="A965" s="74" t="s">
        <v>3111</v>
      </c>
      <c r="B965" s="45">
        <v>927</v>
      </c>
      <c r="C965" s="63" t="s">
        <v>1336</v>
      </c>
      <c r="D965" s="74">
        <v>500410</v>
      </c>
      <c r="E965" s="208" t="s">
        <v>175</v>
      </c>
      <c r="F965" s="208" t="s">
        <v>261</v>
      </c>
      <c r="G965" s="208" t="s">
        <v>262</v>
      </c>
      <c r="H965" s="209" t="s">
        <v>191</v>
      </c>
      <c r="I965" s="210">
        <v>7</v>
      </c>
    </row>
    <row r="966" spans="1:9" x14ac:dyDescent="0.25">
      <c r="A966" s="74" t="s">
        <v>3112</v>
      </c>
      <c r="B966" s="45">
        <v>928</v>
      </c>
      <c r="C966" s="63" t="s">
        <v>1337</v>
      </c>
      <c r="D966" s="74">
        <v>500411</v>
      </c>
      <c r="E966" s="208" t="s">
        <v>175</v>
      </c>
      <c r="F966" s="208" t="s">
        <v>261</v>
      </c>
      <c r="G966" s="208" t="s">
        <v>262</v>
      </c>
      <c r="H966" s="209" t="s">
        <v>198</v>
      </c>
      <c r="I966" s="210">
        <v>6</v>
      </c>
    </row>
    <row r="967" spans="1:9" x14ac:dyDescent="0.25">
      <c r="A967" s="74" t="s">
        <v>3113</v>
      </c>
      <c r="B967" s="45">
        <v>929</v>
      </c>
      <c r="C967" s="63" t="s">
        <v>1338</v>
      </c>
      <c r="D967" s="74">
        <v>500412</v>
      </c>
      <c r="E967" s="208" t="s">
        <v>175</v>
      </c>
      <c r="F967" s="208" t="s">
        <v>261</v>
      </c>
      <c r="G967" s="208" t="s">
        <v>262</v>
      </c>
      <c r="H967" s="209" t="s">
        <v>191</v>
      </c>
      <c r="I967" s="210">
        <v>7</v>
      </c>
    </row>
    <row r="968" spans="1:9" x14ac:dyDescent="0.25">
      <c r="A968" s="74" t="s">
        <v>3114</v>
      </c>
      <c r="B968" s="45">
        <v>930</v>
      </c>
      <c r="C968" s="63" t="s">
        <v>1339</v>
      </c>
      <c r="D968" s="74">
        <v>500412</v>
      </c>
      <c r="E968" s="208" t="s">
        <v>175</v>
      </c>
      <c r="F968" s="208" t="s">
        <v>261</v>
      </c>
      <c r="G968" s="208" t="s">
        <v>262</v>
      </c>
      <c r="H968" s="209" t="s">
        <v>191</v>
      </c>
      <c r="I968" s="210">
        <v>7</v>
      </c>
    </row>
    <row r="969" spans="1:9" x14ac:dyDescent="0.25">
      <c r="A969" s="74" t="s">
        <v>3115</v>
      </c>
      <c r="B969" s="45">
        <v>931</v>
      </c>
      <c r="C969" s="63" t="s">
        <v>1340</v>
      </c>
      <c r="D969" s="74">
        <v>500413</v>
      </c>
      <c r="E969" s="208" t="s">
        <v>175</v>
      </c>
      <c r="F969" s="208" t="s">
        <v>261</v>
      </c>
      <c r="G969" s="208" t="s">
        <v>262</v>
      </c>
      <c r="H969" s="209" t="s">
        <v>198</v>
      </c>
      <c r="I969" s="210">
        <v>6</v>
      </c>
    </row>
    <row r="970" spans="1:9" x14ac:dyDescent="0.25">
      <c r="A970" s="74" t="s">
        <v>3116</v>
      </c>
      <c r="B970" s="45">
        <v>932</v>
      </c>
      <c r="C970" s="63" t="s">
        <v>1341</v>
      </c>
      <c r="D970" s="74">
        <v>500414</v>
      </c>
      <c r="E970" s="208" t="s">
        <v>175</v>
      </c>
      <c r="F970" s="208" t="s">
        <v>261</v>
      </c>
      <c r="G970" s="208" t="s">
        <v>262</v>
      </c>
      <c r="H970" s="209" t="s">
        <v>191</v>
      </c>
      <c r="I970" s="210">
        <v>7</v>
      </c>
    </row>
    <row r="971" spans="1:9" x14ac:dyDescent="0.25">
      <c r="A971" s="74" t="s">
        <v>3117</v>
      </c>
      <c r="B971" s="45">
        <v>933</v>
      </c>
      <c r="C971" s="63" t="s">
        <v>1342</v>
      </c>
      <c r="D971" s="74">
        <v>500414</v>
      </c>
      <c r="E971" s="208" t="s">
        <v>175</v>
      </c>
      <c r="F971" s="208" t="s">
        <v>261</v>
      </c>
      <c r="G971" s="208" t="s">
        <v>262</v>
      </c>
      <c r="H971" s="209" t="s">
        <v>191</v>
      </c>
      <c r="I971" s="210">
        <v>7</v>
      </c>
    </row>
    <row r="972" spans="1:9" x14ac:dyDescent="0.25">
      <c r="A972" s="74" t="s">
        <v>3118</v>
      </c>
      <c r="B972" s="45">
        <v>934</v>
      </c>
      <c r="C972" s="63" t="s">
        <v>1343</v>
      </c>
      <c r="D972" s="74">
        <v>500415</v>
      </c>
      <c r="E972" s="208" t="s">
        <v>175</v>
      </c>
      <c r="F972" s="208" t="s">
        <v>261</v>
      </c>
      <c r="G972" s="208" t="s">
        <v>21</v>
      </c>
      <c r="H972" s="209" t="s">
        <v>198</v>
      </c>
      <c r="I972" s="210">
        <v>6</v>
      </c>
    </row>
    <row r="973" spans="1:9" x14ac:dyDescent="0.25">
      <c r="A973" s="74" t="s">
        <v>3119</v>
      </c>
      <c r="B973" s="45">
        <v>935</v>
      </c>
      <c r="C973" s="63" t="s">
        <v>1344</v>
      </c>
      <c r="D973" s="74">
        <v>500416</v>
      </c>
      <c r="E973" s="208" t="s">
        <v>175</v>
      </c>
      <c r="F973" s="208" t="s">
        <v>261</v>
      </c>
      <c r="G973" s="208" t="s">
        <v>262</v>
      </c>
      <c r="H973" s="209" t="s">
        <v>192</v>
      </c>
      <c r="I973" s="210">
        <v>7</v>
      </c>
    </row>
    <row r="974" spans="1:9" x14ac:dyDescent="0.25">
      <c r="A974" s="74" t="s">
        <v>3120</v>
      </c>
      <c r="B974" s="45">
        <v>936</v>
      </c>
      <c r="C974" s="63" t="s">
        <v>1345</v>
      </c>
      <c r="D974" s="74">
        <v>500417</v>
      </c>
      <c r="E974" s="208" t="s">
        <v>175</v>
      </c>
      <c r="F974" s="208" t="s">
        <v>261</v>
      </c>
      <c r="G974" s="208" t="s">
        <v>262</v>
      </c>
      <c r="H974" s="209" t="s">
        <v>192</v>
      </c>
      <c r="I974" s="210">
        <v>7</v>
      </c>
    </row>
    <row r="975" spans="1:9" x14ac:dyDescent="0.25">
      <c r="A975" s="74" t="s">
        <v>3121</v>
      </c>
      <c r="B975" s="45">
        <v>937</v>
      </c>
      <c r="C975" s="63" t="s">
        <v>1346</v>
      </c>
      <c r="D975" s="74">
        <v>500417</v>
      </c>
      <c r="E975" s="208" t="s">
        <v>175</v>
      </c>
      <c r="F975" s="208" t="s">
        <v>261</v>
      </c>
      <c r="G975" s="208" t="s">
        <v>262</v>
      </c>
      <c r="H975" s="209" t="s">
        <v>192</v>
      </c>
      <c r="I975" s="210">
        <v>7</v>
      </c>
    </row>
    <row r="976" spans="1:9" x14ac:dyDescent="0.25">
      <c r="A976" s="74" t="s">
        <v>3122</v>
      </c>
      <c r="B976" s="45">
        <v>938</v>
      </c>
      <c r="C976" s="63" t="s">
        <v>1347</v>
      </c>
      <c r="D976" s="74">
        <v>500417</v>
      </c>
      <c r="E976" s="208" t="s">
        <v>175</v>
      </c>
      <c r="F976" s="208" t="s">
        <v>261</v>
      </c>
      <c r="G976" s="208" t="s">
        <v>262</v>
      </c>
      <c r="H976" s="209" t="s">
        <v>192</v>
      </c>
      <c r="I976" s="210">
        <v>7</v>
      </c>
    </row>
    <row r="977" spans="1:9" x14ac:dyDescent="0.25">
      <c r="A977" s="74" t="s">
        <v>3123</v>
      </c>
      <c r="B977" s="45">
        <v>939</v>
      </c>
      <c r="C977" s="63" t="s">
        <v>1348</v>
      </c>
      <c r="D977" s="74">
        <v>500418</v>
      </c>
      <c r="E977" s="208" t="s">
        <v>175</v>
      </c>
      <c r="F977" s="208" t="s">
        <v>261</v>
      </c>
      <c r="G977" s="208" t="s">
        <v>262</v>
      </c>
      <c r="H977" s="209" t="s">
        <v>251</v>
      </c>
      <c r="I977" s="210">
        <v>6</v>
      </c>
    </row>
    <row r="978" spans="1:9" x14ac:dyDescent="0.25">
      <c r="A978" s="74" t="s">
        <v>3124</v>
      </c>
      <c r="B978" s="45">
        <v>940</v>
      </c>
      <c r="C978" s="63" t="s">
        <v>1349</v>
      </c>
      <c r="D978" s="74">
        <v>500419</v>
      </c>
      <c r="E978" s="208" t="s">
        <v>175</v>
      </c>
      <c r="F978" s="208" t="s">
        <v>261</v>
      </c>
      <c r="G978" s="208" t="s">
        <v>262</v>
      </c>
      <c r="H978" s="209" t="s">
        <v>251</v>
      </c>
      <c r="I978" s="210">
        <v>6</v>
      </c>
    </row>
    <row r="979" spans="1:9" x14ac:dyDescent="0.25">
      <c r="A979" s="74" t="s">
        <v>3125</v>
      </c>
      <c r="B979" s="45">
        <v>941</v>
      </c>
      <c r="C979" s="63" t="s">
        <v>1350</v>
      </c>
      <c r="D979" s="74">
        <v>500420</v>
      </c>
      <c r="E979" s="208" t="s">
        <v>175</v>
      </c>
      <c r="F979" s="208" t="s">
        <v>261</v>
      </c>
      <c r="G979" s="208" t="s">
        <v>262</v>
      </c>
      <c r="H979" s="209" t="s">
        <v>251</v>
      </c>
      <c r="I979" s="210">
        <v>6</v>
      </c>
    </row>
    <row r="980" spans="1:9" x14ac:dyDescent="0.25">
      <c r="A980" s="74" t="s">
        <v>3126</v>
      </c>
      <c r="B980" s="45">
        <v>942</v>
      </c>
      <c r="C980" s="63" t="s">
        <v>1351</v>
      </c>
      <c r="D980" s="74">
        <v>500421</v>
      </c>
      <c r="E980" s="208" t="s">
        <v>175</v>
      </c>
      <c r="F980" s="208" t="s">
        <v>261</v>
      </c>
      <c r="G980" s="208" t="s">
        <v>262</v>
      </c>
      <c r="H980" s="209" t="s">
        <v>251</v>
      </c>
      <c r="I980" s="210">
        <v>6</v>
      </c>
    </row>
    <row r="981" spans="1:9" x14ac:dyDescent="0.25">
      <c r="A981" s="74" t="s">
        <v>3127</v>
      </c>
      <c r="B981" s="45">
        <v>943</v>
      </c>
      <c r="C981" s="63" t="s">
        <v>1352</v>
      </c>
      <c r="D981" s="74">
        <v>500422</v>
      </c>
      <c r="E981" s="208" t="s">
        <v>175</v>
      </c>
      <c r="F981" s="208" t="s">
        <v>261</v>
      </c>
      <c r="G981" s="208" t="s">
        <v>21</v>
      </c>
      <c r="H981" s="209" t="s">
        <v>186</v>
      </c>
      <c r="I981" s="210">
        <v>6</v>
      </c>
    </row>
    <row r="982" spans="1:9" x14ac:dyDescent="0.25">
      <c r="A982" s="74" t="s">
        <v>3128</v>
      </c>
      <c r="B982" s="45">
        <v>944</v>
      </c>
      <c r="C982" s="63" t="s">
        <v>1353</v>
      </c>
      <c r="D982" s="74">
        <v>500423</v>
      </c>
      <c r="E982" s="208" t="s">
        <v>175</v>
      </c>
      <c r="F982" s="208" t="s">
        <v>261</v>
      </c>
      <c r="G982" s="208" t="s">
        <v>262</v>
      </c>
      <c r="H982" s="209" t="s">
        <v>192</v>
      </c>
      <c r="I982" s="210">
        <v>7</v>
      </c>
    </row>
    <row r="983" spans="1:9" x14ac:dyDescent="0.25">
      <c r="A983" s="74" t="s">
        <v>3129</v>
      </c>
      <c r="B983" s="45">
        <v>945</v>
      </c>
      <c r="C983" s="63" t="s">
        <v>1354</v>
      </c>
      <c r="D983" s="74">
        <v>500424</v>
      </c>
      <c r="E983" s="208" t="s">
        <v>175</v>
      </c>
      <c r="F983" s="208" t="s">
        <v>261</v>
      </c>
      <c r="G983" s="208" t="s">
        <v>262</v>
      </c>
      <c r="H983" s="209" t="s">
        <v>187</v>
      </c>
      <c r="I983" s="210">
        <v>6</v>
      </c>
    </row>
    <row r="984" spans="1:9" x14ac:dyDescent="0.25">
      <c r="A984" s="74" t="s">
        <v>3130</v>
      </c>
      <c r="B984" s="45">
        <v>946</v>
      </c>
      <c r="C984" s="63" t="s">
        <v>1355</v>
      </c>
      <c r="D984" s="74">
        <v>500425</v>
      </c>
      <c r="E984" s="208" t="s">
        <v>175</v>
      </c>
      <c r="F984" s="208" t="s">
        <v>261</v>
      </c>
      <c r="G984" s="208" t="s">
        <v>21</v>
      </c>
      <c r="H984" s="209" t="s">
        <v>186</v>
      </c>
      <c r="I984" s="210">
        <v>6</v>
      </c>
    </row>
    <row r="985" spans="1:9" x14ac:dyDescent="0.25">
      <c r="A985" s="74" t="s">
        <v>3131</v>
      </c>
      <c r="B985" s="45">
        <v>947</v>
      </c>
      <c r="C985" s="63" t="s">
        <v>1356</v>
      </c>
      <c r="D985" s="74">
        <v>500426</v>
      </c>
      <c r="E985" s="208" t="s">
        <v>175</v>
      </c>
      <c r="F985" s="208" t="s">
        <v>261</v>
      </c>
      <c r="G985" s="208" t="s">
        <v>21</v>
      </c>
      <c r="H985" s="209" t="s">
        <v>194</v>
      </c>
      <c r="I985" s="210">
        <v>6</v>
      </c>
    </row>
    <row r="986" spans="1:9" x14ac:dyDescent="0.25">
      <c r="A986" s="74" t="s">
        <v>3132</v>
      </c>
      <c r="B986" s="45">
        <v>948</v>
      </c>
      <c r="C986" s="63" t="s">
        <v>1357</v>
      </c>
      <c r="D986" s="74">
        <v>500426</v>
      </c>
      <c r="E986" s="208" t="s">
        <v>175</v>
      </c>
      <c r="F986" s="208" t="s">
        <v>261</v>
      </c>
      <c r="G986" s="208" t="s">
        <v>21</v>
      </c>
      <c r="H986" s="209" t="s">
        <v>194</v>
      </c>
      <c r="I986" s="210">
        <v>6</v>
      </c>
    </row>
    <row r="987" spans="1:9" x14ac:dyDescent="0.25">
      <c r="A987" s="74" t="s">
        <v>3133</v>
      </c>
      <c r="B987" s="45">
        <v>949</v>
      </c>
      <c r="C987" s="63" t="s">
        <v>1358</v>
      </c>
      <c r="D987" s="74">
        <v>500426</v>
      </c>
      <c r="E987" s="208" t="s">
        <v>175</v>
      </c>
      <c r="F987" s="208" t="s">
        <v>261</v>
      </c>
      <c r="G987" s="208" t="s">
        <v>21</v>
      </c>
      <c r="H987" s="209" t="s">
        <v>194</v>
      </c>
      <c r="I987" s="210">
        <v>6</v>
      </c>
    </row>
    <row r="988" spans="1:9" x14ac:dyDescent="0.25">
      <c r="A988" s="74" t="s">
        <v>3134</v>
      </c>
      <c r="B988" s="45">
        <v>950</v>
      </c>
      <c r="C988" s="63" t="s">
        <v>1359</v>
      </c>
      <c r="D988" s="74">
        <v>500426</v>
      </c>
      <c r="E988" s="208" t="s">
        <v>175</v>
      </c>
      <c r="F988" s="208" t="s">
        <v>261</v>
      </c>
      <c r="G988" s="208" t="s">
        <v>21</v>
      </c>
      <c r="H988" s="209" t="s">
        <v>194</v>
      </c>
      <c r="I988" s="210">
        <v>6</v>
      </c>
    </row>
    <row r="989" spans="1:9" x14ac:dyDescent="0.25">
      <c r="A989" s="74" t="s">
        <v>3135</v>
      </c>
      <c r="B989" s="45">
        <v>951</v>
      </c>
      <c r="C989" s="63" t="s">
        <v>1360</v>
      </c>
      <c r="D989" s="74">
        <v>500426</v>
      </c>
      <c r="E989" s="208" t="s">
        <v>175</v>
      </c>
      <c r="F989" s="208" t="s">
        <v>261</v>
      </c>
      <c r="G989" s="208" t="s">
        <v>21</v>
      </c>
      <c r="H989" s="209" t="s">
        <v>194</v>
      </c>
      <c r="I989" s="210">
        <v>6</v>
      </c>
    </row>
    <row r="990" spans="1:9" x14ac:dyDescent="0.25">
      <c r="A990" s="74" t="s">
        <v>3136</v>
      </c>
      <c r="B990" s="45">
        <v>952</v>
      </c>
      <c r="C990" s="63" t="s">
        <v>1361</v>
      </c>
      <c r="D990" s="74">
        <v>500427</v>
      </c>
      <c r="E990" s="208" t="s">
        <v>175</v>
      </c>
      <c r="F990" s="208" t="s">
        <v>261</v>
      </c>
      <c r="G990" s="208" t="s">
        <v>21</v>
      </c>
      <c r="H990" s="209" t="s">
        <v>186</v>
      </c>
      <c r="I990" s="210">
        <v>5</v>
      </c>
    </row>
    <row r="991" spans="1:9" x14ac:dyDescent="0.25">
      <c r="A991" s="74" t="s">
        <v>3137</v>
      </c>
      <c r="B991" s="45">
        <v>953</v>
      </c>
      <c r="C991" s="63" t="s">
        <v>1362</v>
      </c>
      <c r="D991" s="74">
        <v>500428</v>
      </c>
      <c r="E991" s="208" t="s">
        <v>175</v>
      </c>
      <c r="F991" s="208" t="s">
        <v>261</v>
      </c>
      <c r="G991" s="208" t="s">
        <v>262</v>
      </c>
      <c r="H991" s="209" t="s">
        <v>198</v>
      </c>
      <c r="I991" s="210">
        <v>6</v>
      </c>
    </row>
    <row r="992" spans="1:9" x14ac:dyDescent="0.25">
      <c r="A992" s="74" t="s">
        <v>3138</v>
      </c>
      <c r="B992" s="45">
        <v>954</v>
      </c>
      <c r="C992" s="63" t="s">
        <v>1363</v>
      </c>
      <c r="D992" s="74">
        <v>500429</v>
      </c>
      <c r="E992" s="208" t="s">
        <v>175</v>
      </c>
      <c r="F992" s="208" t="s">
        <v>261</v>
      </c>
      <c r="G992" s="208" t="s">
        <v>262</v>
      </c>
      <c r="H992" s="209" t="s">
        <v>198</v>
      </c>
      <c r="I992" s="210">
        <v>6</v>
      </c>
    </row>
    <row r="993" spans="1:9" x14ac:dyDescent="0.25">
      <c r="A993" s="74" t="s">
        <v>3139</v>
      </c>
      <c r="B993" s="45">
        <v>955</v>
      </c>
      <c r="C993" s="63" t="s">
        <v>1364</v>
      </c>
      <c r="D993" s="74">
        <v>500430</v>
      </c>
      <c r="E993" s="208" t="s">
        <v>175</v>
      </c>
      <c r="F993" s="208" t="s">
        <v>261</v>
      </c>
      <c r="G993" s="208" t="s">
        <v>21</v>
      </c>
      <c r="H993" s="209" t="s">
        <v>186</v>
      </c>
      <c r="I993" s="210">
        <v>6</v>
      </c>
    </row>
    <row r="994" spans="1:9" x14ac:dyDescent="0.25">
      <c r="A994" s="74" t="s">
        <v>3140</v>
      </c>
      <c r="B994" s="45">
        <v>956</v>
      </c>
      <c r="C994" s="63" t="s">
        <v>1365</v>
      </c>
      <c r="D994" s="74">
        <v>500431</v>
      </c>
      <c r="E994" s="208" t="s">
        <v>175</v>
      </c>
      <c r="F994" s="208" t="s">
        <v>261</v>
      </c>
      <c r="G994" s="208" t="s">
        <v>262</v>
      </c>
      <c r="H994" s="209" t="s">
        <v>198</v>
      </c>
      <c r="I994" s="210">
        <v>6</v>
      </c>
    </row>
    <row r="995" spans="1:9" x14ac:dyDescent="0.25">
      <c r="A995" s="74" t="s">
        <v>3141</v>
      </c>
      <c r="B995" s="45">
        <v>957</v>
      </c>
      <c r="C995" s="63" t="s">
        <v>1366</v>
      </c>
      <c r="D995" s="74">
        <v>500432</v>
      </c>
      <c r="E995" s="208" t="s">
        <v>175</v>
      </c>
      <c r="F995" s="208" t="s">
        <v>261</v>
      </c>
      <c r="G995" s="208" t="s">
        <v>21</v>
      </c>
      <c r="H995" s="209" t="s">
        <v>186</v>
      </c>
      <c r="I995" s="210">
        <v>6</v>
      </c>
    </row>
    <row r="996" spans="1:9" x14ac:dyDescent="0.25">
      <c r="A996" s="74" t="s">
        <v>3142</v>
      </c>
      <c r="B996" s="45">
        <v>958</v>
      </c>
      <c r="C996" s="63" t="s">
        <v>1367</v>
      </c>
      <c r="D996" s="74">
        <v>500433</v>
      </c>
      <c r="E996" s="208" t="s">
        <v>175</v>
      </c>
      <c r="F996" s="208" t="s">
        <v>261</v>
      </c>
      <c r="G996" s="208" t="s">
        <v>21</v>
      </c>
      <c r="H996" s="209" t="s">
        <v>192</v>
      </c>
      <c r="I996" s="210">
        <v>6</v>
      </c>
    </row>
    <row r="997" spans="1:9" x14ac:dyDescent="0.25">
      <c r="A997" s="74" t="s">
        <v>3143</v>
      </c>
      <c r="B997" s="45">
        <v>959</v>
      </c>
      <c r="C997" s="63" t="s">
        <v>1368</v>
      </c>
      <c r="D997" s="74">
        <v>500434</v>
      </c>
      <c r="E997" s="208" t="s">
        <v>159</v>
      </c>
      <c r="F997" s="208" t="s">
        <v>255</v>
      </c>
      <c r="G997" s="208" t="s">
        <v>21</v>
      </c>
      <c r="H997" s="209" t="s">
        <v>187</v>
      </c>
      <c r="I997" s="210">
        <v>5</v>
      </c>
    </row>
    <row r="998" spans="1:9" x14ac:dyDescent="0.25">
      <c r="A998" s="74" t="s">
        <v>3144</v>
      </c>
      <c r="B998" s="45">
        <v>960</v>
      </c>
      <c r="C998" s="63" t="s">
        <v>1369</v>
      </c>
      <c r="D998" s="74">
        <v>500435</v>
      </c>
      <c r="E998" s="208" t="s">
        <v>159</v>
      </c>
      <c r="F998" s="208" t="s">
        <v>255</v>
      </c>
      <c r="G998" s="208" t="s">
        <v>21</v>
      </c>
      <c r="H998" s="209" t="s">
        <v>186</v>
      </c>
      <c r="I998" s="210">
        <v>5</v>
      </c>
    </row>
    <row r="999" spans="1:9" x14ac:dyDescent="0.25">
      <c r="A999" s="74" t="s">
        <v>3145</v>
      </c>
      <c r="B999" s="45">
        <v>961</v>
      </c>
      <c r="C999" s="63" t="s">
        <v>1370</v>
      </c>
      <c r="D999" s="74">
        <v>500436</v>
      </c>
      <c r="E999" s="208" t="s">
        <v>159</v>
      </c>
      <c r="F999" s="208" t="s">
        <v>255</v>
      </c>
      <c r="G999" s="208" t="s">
        <v>263</v>
      </c>
      <c r="H999" s="209" t="s">
        <v>198</v>
      </c>
      <c r="I999" s="210">
        <v>6</v>
      </c>
    </row>
    <row r="1000" spans="1:9" x14ac:dyDescent="0.25">
      <c r="A1000" s="74" t="s">
        <v>3146</v>
      </c>
      <c r="B1000" s="45">
        <v>962</v>
      </c>
      <c r="C1000" s="63" t="s">
        <v>1371</v>
      </c>
      <c r="D1000" s="74">
        <v>500437</v>
      </c>
      <c r="E1000" s="208" t="s">
        <v>159</v>
      </c>
      <c r="F1000" s="208" t="s">
        <v>255</v>
      </c>
      <c r="G1000" s="208" t="s">
        <v>263</v>
      </c>
      <c r="H1000" s="209" t="s">
        <v>194</v>
      </c>
      <c r="I1000" s="210">
        <v>6</v>
      </c>
    </row>
    <row r="1001" spans="1:9" x14ac:dyDescent="0.25">
      <c r="A1001" s="74" t="s">
        <v>3147</v>
      </c>
      <c r="B1001" s="45">
        <v>963</v>
      </c>
      <c r="C1001" s="63" t="s">
        <v>1372</v>
      </c>
      <c r="D1001" s="74">
        <v>500437</v>
      </c>
      <c r="E1001" s="208" t="s">
        <v>159</v>
      </c>
      <c r="F1001" s="208" t="s">
        <v>255</v>
      </c>
      <c r="G1001" s="208" t="s">
        <v>263</v>
      </c>
      <c r="H1001" s="209" t="s">
        <v>194</v>
      </c>
      <c r="I1001" s="210">
        <v>6</v>
      </c>
    </row>
    <row r="1002" spans="1:9" x14ac:dyDescent="0.25">
      <c r="A1002" s="74" t="s">
        <v>3148</v>
      </c>
      <c r="B1002" s="45">
        <v>964</v>
      </c>
      <c r="C1002" s="63" t="s">
        <v>1373</v>
      </c>
      <c r="D1002" s="74">
        <v>500437</v>
      </c>
      <c r="E1002" s="208" t="s">
        <v>159</v>
      </c>
      <c r="F1002" s="208" t="s">
        <v>255</v>
      </c>
      <c r="G1002" s="208" t="s">
        <v>263</v>
      </c>
      <c r="H1002" s="209" t="s">
        <v>194</v>
      </c>
      <c r="I1002" s="210">
        <v>6</v>
      </c>
    </row>
    <row r="1003" spans="1:9" x14ac:dyDescent="0.25">
      <c r="A1003" s="74" t="s">
        <v>3149</v>
      </c>
      <c r="B1003" s="45">
        <v>965</v>
      </c>
      <c r="C1003" s="63" t="s">
        <v>1374</v>
      </c>
      <c r="D1003" s="74">
        <v>500437</v>
      </c>
      <c r="E1003" s="208" t="s">
        <v>159</v>
      </c>
      <c r="F1003" s="208" t="s">
        <v>255</v>
      </c>
      <c r="G1003" s="208" t="s">
        <v>263</v>
      </c>
      <c r="H1003" s="209" t="s">
        <v>194</v>
      </c>
      <c r="I1003" s="210">
        <v>6</v>
      </c>
    </row>
    <row r="1004" spans="1:9" x14ac:dyDescent="0.25">
      <c r="A1004" s="74" t="s">
        <v>3150</v>
      </c>
      <c r="B1004" s="45">
        <v>966</v>
      </c>
      <c r="C1004" s="63" t="s">
        <v>1375</v>
      </c>
      <c r="D1004" s="74">
        <v>500438</v>
      </c>
      <c r="E1004" s="208" t="s">
        <v>159</v>
      </c>
      <c r="F1004" s="208" t="s">
        <v>255</v>
      </c>
      <c r="G1004" s="208" t="s">
        <v>263</v>
      </c>
      <c r="H1004" s="209" t="s">
        <v>191</v>
      </c>
      <c r="I1004" s="210">
        <v>6</v>
      </c>
    </row>
    <row r="1005" spans="1:9" x14ac:dyDescent="0.25">
      <c r="A1005" s="74" t="s">
        <v>3150</v>
      </c>
      <c r="B1005" s="45">
        <v>966</v>
      </c>
      <c r="C1005" s="63" t="s">
        <v>1375</v>
      </c>
      <c r="D1005" s="74">
        <v>500438</v>
      </c>
      <c r="E1005" s="208" t="s">
        <v>159</v>
      </c>
      <c r="F1005" s="208" t="s">
        <v>255</v>
      </c>
      <c r="G1005" s="208" t="s">
        <v>263</v>
      </c>
      <c r="H1005" s="209" t="s">
        <v>191</v>
      </c>
      <c r="I1005" s="210">
        <v>7</v>
      </c>
    </row>
    <row r="1006" spans="1:9" x14ac:dyDescent="0.25">
      <c r="A1006" s="74" t="s">
        <v>3151</v>
      </c>
      <c r="B1006" s="45">
        <v>967</v>
      </c>
      <c r="C1006" s="63" t="s">
        <v>1376</v>
      </c>
      <c r="D1006" s="74">
        <v>500438</v>
      </c>
      <c r="E1006" s="208" t="s">
        <v>159</v>
      </c>
      <c r="F1006" s="208" t="s">
        <v>255</v>
      </c>
      <c r="G1006" s="208" t="s">
        <v>263</v>
      </c>
      <c r="H1006" s="209" t="s">
        <v>191</v>
      </c>
      <c r="I1006" s="210">
        <v>6</v>
      </c>
    </row>
    <row r="1007" spans="1:9" x14ac:dyDescent="0.25">
      <c r="A1007" s="74" t="s">
        <v>3151</v>
      </c>
      <c r="B1007" s="45">
        <v>967</v>
      </c>
      <c r="C1007" s="63" t="s">
        <v>1376</v>
      </c>
      <c r="D1007" s="74">
        <v>500438</v>
      </c>
      <c r="E1007" s="208" t="s">
        <v>159</v>
      </c>
      <c r="F1007" s="208" t="s">
        <v>255</v>
      </c>
      <c r="G1007" s="208" t="s">
        <v>263</v>
      </c>
      <c r="H1007" s="209" t="s">
        <v>191</v>
      </c>
      <c r="I1007" s="210">
        <v>7</v>
      </c>
    </row>
    <row r="1008" spans="1:9" x14ac:dyDescent="0.25">
      <c r="A1008" s="74" t="s">
        <v>3152</v>
      </c>
      <c r="B1008" s="45">
        <v>968</v>
      </c>
      <c r="C1008" s="63" t="s">
        <v>1377</v>
      </c>
      <c r="D1008" s="74">
        <v>500438</v>
      </c>
      <c r="E1008" s="208" t="s">
        <v>159</v>
      </c>
      <c r="F1008" s="208" t="s">
        <v>255</v>
      </c>
      <c r="G1008" s="208" t="s">
        <v>263</v>
      </c>
      <c r="H1008" s="209" t="s">
        <v>191</v>
      </c>
      <c r="I1008" s="210">
        <v>6</v>
      </c>
    </row>
    <row r="1009" spans="1:9" x14ac:dyDescent="0.25">
      <c r="A1009" s="74" t="s">
        <v>3152</v>
      </c>
      <c r="B1009" s="45">
        <v>968</v>
      </c>
      <c r="C1009" s="63" t="s">
        <v>1377</v>
      </c>
      <c r="D1009" s="74">
        <v>500438</v>
      </c>
      <c r="E1009" s="208" t="s">
        <v>159</v>
      </c>
      <c r="F1009" s="208" t="s">
        <v>255</v>
      </c>
      <c r="G1009" s="208" t="s">
        <v>263</v>
      </c>
      <c r="H1009" s="209" t="s">
        <v>191</v>
      </c>
      <c r="I1009" s="210">
        <v>7</v>
      </c>
    </row>
    <row r="1010" spans="1:9" x14ac:dyDescent="0.25">
      <c r="A1010" s="74" t="s">
        <v>3153</v>
      </c>
      <c r="B1010" s="45">
        <v>969</v>
      </c>
      <c r="C1010" s="63" t="s">
        <v>1378</v>
      </c>
      <c r="D1010" s="74">
        <v>500438</v>
      </c>
      <c r="E1010" s="208" t="s">
        <v>159</v>
      </c>
      <c r="F1010" s="208" t="s">
        <v>255</v>
      </c>
      <c r="G1010" s="208" t="s">
        <v>263</v>
      </c>
      <c r="H1010" s="209" t="s">
        <v>191</v>
      </c>
      <c r="I1010" s="210">
        <v>6</v>
      </c>
    </row>
    <row r="1011" spans="1:9" x14ac:dyDescent="0.25">
      <c r="A1011" s="74" t="s">
        <v>3153</v>
      </c>
      <c r="B1011" s="45">
        <v>969</v>
      </c>
      <c r="C1011" s="63" t="s">
        <v>1378</v>
      </c>
      <c r="D1011" s="74">
        <v>500438</v>
      </c>
      <c r="E1011" s="208" t="s">
        <v>159</v>
      </c>
      <c r="F1011" s="208" t="s">
        <v>255</v>
      </c>
      <c r="G1011" s="208" t="s">
        <v>263</v>
      </c>
      <c r="H1011" s="209" t="s">
        <v>191</v>
      </c>
      <c r="I1011" s="210">
        <v>7</v>
      </c>
    </row>
    <row r="1012" spans="1:9" x14ac:dyDescent="0.25">
      <c r="A1012" s="74" t="s">
        <v>3154</v>
      </c>
      <c r="B1012" s="45">
        <v>970</v>
      </c>
      <c r="C1012" s="63" t="s">
        <v>1379</v>
      </c>
      <c r="D1012" s="74">
        <v>500438</v>
      </c>
      <c r="E1012" s="208" t="s">
        <v>159</v>
      </c>
      <c r="F1012" s="208" t="s">
        <v>255</v>
      </c>
      <c r="G1012" s="208" t="s">
        <v>263</v>
      </c>
      <c r="H1012" s="209" t="s">
        <v>191</v>
      </c>
      <c r="I1012" s="210">
        <v>6</v>
      </c>
    </row>
    <row r="1013" spans="1:9" x14ac:dyDescent="0.25">
      <c r="A1013" s="74" t="s">
        <v>3154</v>
      </c>
      <c r="B1013" s="45">
        <v>970</v>
      </c>
      <c r="C1013" s="63" t="s">
        <v>1379</v>
      </c>
      <c r="D1013" s="74">
        <v>500438</v>
      </c>
      <c r="E1013" s="208" t="s">
        <v>159</v>
      </c>
      <c r="F1013" s="208" t="s">
        <v>255</v>
      </c>
      <c r="G1013" s="208" t="s">
        <v>263</v>
      </c>
      <c r="H1013" s="209" t="s">
        <v>191</v>
      </c>
      <c r="I1013" s="210">
        <v>7</v>
      </c>
    </row>
    <row r="1014" spans="1:9" x14ac:dyDescent="0.25">
      <c r="A1014" s="74" t="s">
        <v>3155</v>
      </c>
      <c r="B1014" s="45">
        <v>971</v>
      </c>
      <c r="C1014" s="63" t="s">
        <v>1380</v>
      </c>
      <c r="D1014" s="74">
        <v>500468</v>
      </c>
      <c r="E1014" s="208" t="s">
        <v>159</v>
      </c>
      <c r="F1014" s="208" t="s">
        <v>255</v>
      </c>
      <c r="G1014" s="208" t="s">
        <v>263</v>
      </c>
      <c r="H1014" s="209" t="s">
        <v>198</v>
      </c>
      <c r="I1014" s="210">
        <v>6</v>
      </c>
    </row>
    <row r="1015" spans="1:9" x14ac:dyDescent="0.25">
      <c r="A1015" s="74" t="s">
        <v>3156</v>
      </c>
      <c r="B1015" s="45">
        <v>972</v>
      </c>
      <c r="C1015" s="63" t="s">
        <v>1381</v>
      </c>
      <c r="D1015" s="74">
        <v>500469</v>
      </c>
      <c r="E1015" s="208" t="s">
        <v>159</v>
      </c>
      <c r="F1015" s="208" t="s">
        <v>255</v>
      </c>
      <c r="G1015" s="208" t="s">
        <v>263</v>
      </c>
      <c r="H1015" s="209" t="s">
        <v>192</v>
      </c>
      <c r="I1015" s="210">
        <v>7</v>
      </c>
    </row>
    <row r="1016" spans="1:9" x14ac:dyDescent="0.25">
      <c r="A1016" s="74" t="s">
        <v>3157</v>
      </c>
      <c r="B1016" s="45">
        <v>973</v>
      </c>
      <c r="C1016" s="63" t="s">
        <v>1382</v>
      </c>
      <c r="D1016" s="74">
        <v>500470</v>
      </c>
      <c r="E1016" s="208" t="s">
        <v>159</v>
      </c>
      <c r="F1016" s="208" t="s">
        <v>255</v>
      </c>
      <c r="G1016" s="208" t="s">
        <v>263</v>
      </c>
      <c r="H1016" s="209" t="s">
        <v>198</v>
      </c>
      <c r="I1016" s="210">
        <v>6</v>
      </c>
    </row>
    <row r="1017" spans="1:9" x14ac:dyDescent="0.25">
      <c r="A1017" s="74" t="s">
        <v>3158</v>
      </c>
      <c r="B1017" s="45">
        <v>974</v>
      </c>
      <c r="C1017" s="63" t="s">
        <v>1383</v>
      </c>
      <c r="D1017" s="74">
        <v>500471</v>
      </c>
      <c r="E1017" s="208" t="s">
        <v>159</v>
      </c>
      <c r="F1017" s="208" t="s">
        <v>255</v>
      </c>
      <c r="G1017" s="208" t="s">
        <v>263</v>
      </c>
      <c r="H1017" s="209" t="s">
        <v>192</v>
      </c>
      <c r="I1017" s="210">
        <v>7</v>
      </c>
    </row>
    <row r="1018" spans="1:9" x14ac:dyDescent="0.25">
      <c r="A1018" s="74" t="s">
        <v>3159</v>
      </c>
      <c r="B1018" s="45">
        <v>975</v>
      </c>
      <c r="C1018" s="63" t="s">
        <v>1384</v>
      </c>
      <c r="D1018" s="74">
        <v>500471</v>
      </c>
      <c r="E1018" s="208" t="s">
        <v>159</v>
      </c>
      <c r="F1018" s="208" t="s">
        <v>255</v>
      </c>
      <c r="G1018" s="208" t="s">
        <v>263</v>
      </c>
      <c r="H1018" s="209" t="s">
        <v>192</v>
      </c>
      <c r="I1018" s="210">
        <v>7</v>
      </c>
    </row>
    <row r="1019" spans="1:9" x14ac:dyDescent="0.25">
      <c r="A1019" s="74" t="s">
        <v>3160</v>
      </c>
      <c r="B1019" s="45">
        <v>976</v>
      </c>
      <c r="C1019" s="63" t="s">
        <v>1385</v>
      </c>
      <c r="D1019" s="74">
        <v>500471</v>
      </c>
      <c r="E1019" s="208" t="s">
        <v>159</v>
      </c>
      <c r="F1019" s="208" t="s">
        <v>255</v>
      </c>
      <c r="G1019" s="208" t="s">
        <v>263</v>
      </c>
      <c r="H1019" s="209" t="s">
        <v>192</v>
      </c>
      <c r="I1019" s="210">
        <v>7</v>
      </c>
    </row>
    <row r="1020" spans="1:9" x14ac:dyDescent="0.25">
      <c r="A1020" s="74" t="s">
        <v>3161</v>
      </c>
      <c r="B1020" s="45">
        <v>977</v>
      </c>
      <c r="C1020" s="63" t="s">
        <v>1386</v>
      </c>
      <c r="D1020" s="74">
        <v>500472</v>
      </c>
      <c r="E1020" s="208" t="s">
        <v>159</v>
      </c>
      <c r="F1020" s="208" t="s">
        <v>255</v>
      </c>
      <c r="G1020" s="208" t="s">
        <v>263</v>
      </c>
      <c r="H1020" s="209" t="s">
        <v>198</v>
      </c>
      <c r="I1020" s="210">
        <v>6</v>
      </c>
    </row>
    <row r="1021" spans="1:9" x14ac:dyDescent="0.25">
      <c r="A1021" s="74" t="s">
        <v>3162</v>
      </c>
      <c r="B1021" s="45">
        <v>978</v>
      </c>
      <c r="C1021" s="63" t="s">
        <v>1387</v>
      </c>
      <c r="D1021" s="74">
        <v>500473</v>
      </c>
      <c r="E1021" s="208" t="s">
        <v>159</v>
      </c>
      <c r="F1021" s="208" t="s">
        <v>255</v>
      </c>
      <c r="G1021" s="208" t="s">
        <v>263</v>
      </c>
      <c r="H1021" s="209" t="s">
        <v>192</v>
      </c>
      <c r="I1021" s="210">
        <v>7</v>
      </c>
    </row>
    <row r="1022" spans="1:9" x14ac:dyDescent="0.25">
      <c r="A1022" s="74" t="s">
        <v>3163</v>
      </c>
      <c r="B1022" s="45">
        <v>979</v>
      </c>
      <c r="C1022" s="63" t="s">
        <v>1388</v>
      </c>
      <c r="D1022" s="74">
        <v>500474</v>
      </c>
      <c r="E1022" s="208" t="s">
        <v>159</v>
      </c>
      <c r="F1022" s="208" t="s">
        <v>255</v>
      </c>
      <c r="G1022" s="208" t="s">
        <v>21</v>
      </c>
      <c r="H1022" s="209" t="s">
        <v>186</v>
      </c>
      <c r="I1022" s="210">
        <v>5</v>
      </c>
    </row>
    <row r="1023" spans="1:9" x14ac:dyDescent="0.25">
      <c r="A1023" s="74" t="s">
        <v>3164</v>
      </c>
      <c r="B1023" s="45">
        <v>980</v>
      </c>
      <c r="C1023" s="63" t="s">
        <v>1389</v>
      </c>
      <c r="D1023" s="74">
        <v>500475</v>
      </c>
      <c r="E1023" s="208" t="s">
        <v>159</v>
      </c>
      <c r="F1023" s="208" t="s">
        <v>255</v>
      </c>
      <c r="G1023" s="208" t="s">
        <v>263</v>
      </c>
      <c r="H1023" s="209" t="s">
        <v>198</v>
      </c>
      <c r="I1023" s="210">
        <v>6</v>
      </c>
    </row>
    <row r="1024" spans="1:9" x14ac:dyDescent="0.25">
      <c r="A1024" s="74" t="s">
        <v>3165</v>
      </c>
      <c r="B1024" s="45">
        <v>981</v>
      </c>
      <c r="C1024" s="63" t="s">
        <v>1390</v>
      </c>
      <c r="D1024" s="74">
        <v>500476</v>
      </c>
      <c r="E1024" s="208" t="s">
        <v>159</v>
      </c>
      <c r="F1024" s="208" t="s">
        <v>255</v>
      </c>
      <c r="G1024" s="208" t="s">
        <v>263</v>
      </c>
      <c r="H1024" s="209" t="s">
        <v>192</v>
      </c>
      <c r="I1024" s="210">
        <v>7</v>
      </c>
    </row>
    <row r="1025" spans="1:9" x14ac:dyDescent="0.25">
      <c r="A1025" s="74" t="s">
        <v>3166</v>
      </c>
      <c r="B1025" s="45">
        <v>982</v>
      </c>
      <c r="C1025" s="45" t="s">
        <v>1391</v>
      </c>
      <c r="D1025" s="74">
        <v>500476</v>
      </c>
      <c r="E1025" s="208" t="s">
        <v>159</v>
      </c>
      <c r="F1025" s="208" t="s">
        <v>255</v>
      </c>
      <c r="G1025" s="208" t="s">
        <v>263</v>
      </c>
      <c r="H1025" s="209" t="s">
        <v>192</v>
      </c>
      <c r="I1025" s="210">
        <v>7</v>
      </c>
    </row>
    <row r="1026" spans="1:9" x14ac:dyDescent="0.25">
      <c r="A1026" s="74" t="s">
        <v>3167</v>
      </c>
      <c r="B1026" s="45">
        <v>983</v>
      </c>
      <c r="C1026" s="63" t="s">
        <v>1392</v>
      </c>
      <c r="D1026" s="74">
        <v>500477</v>
      </c>
      <c r="E1026" s="208" t="s">
        <v>159</v>
      </c>
      <c r="F1026" s="208" t="s">
        <v>255</v>
      </c>
      <c r="G1026" s="208" t="s">
        <v>21</v>
      </c>
      <c r="H1026" s="209" t="s">
        <v>186</v>
      </c>
      <c r="I1026" s="210">
        <v>5</v>
      </c>
    </row>
    <row r="1027" spans="1:9" x14ac:dyDescent="0.25">
      <c r="A1027" s="74" t="s">
        <v>3168</v>
      </c>
      <c r="B1027" s="45">
        <v>984</v>
      </c>
      <c r="C1027" s="63" t="s">
        <v>1393</v>
      </c>
      <c r="D1027" s="74">
        <v>500478</v>
      </c>
      <c r="E1027" s="208" t="s">
        <v>159</v>
      </c>
      <c r="F1027" s="208" t="s">
        <v>255</v>
      </c>
      <c r="G1027" s="208" t="s">
        <v>263</v>
      </c>
      <c r="H1027" s="209" t="s">
        <v>198</v>
      </c>
      <c r="I1027" s="210">
        <v>6</v>
      </c>
    </row>
    <row r="1028" spans="1:9" x14ac:dyDescent="0.25">
      <c r="A1028" s="74" t="s">
        <v>3169</v>
      </c>
      <c r="B1028" s="45">
        <v>985</v>
      </c>
      <c r="C1028" s="63" t="s">
        <v>1394</v>
      </c>
      <c r="D1028" s="74">
        <v>500479</v>
      </c>
      <c r="E1028" s="208" t="s">
        <v>159</v>
      </c>
      <c r="F1028" s="208" t="s">
        <v>255</v>
      </c>
      <c r="G1028" s="208" t="s">
        <v>263</v>
      </c>
      <c r="H1028" s="209" t="s">
        <v>191</v>
      </c>
      <c r="I1028" s="210">
        <v>7</v>
      </c>
    </row>
    <row r="1029" spans="1:9" x14ac:dyDescent="0.25">
      <c r="A1029" s="74" t="s">
        <v>3170</v>
      </c>
      <c r="B1029" s="45">
        <v>986</v>
      </c>
      <c r="C1029" s="63" t="s">
        <v>1395</v>
      </c>
      <c r="D1029" s="74">
        <v>500479</v>
      </c>
      <c r="E1029" s="208" t="s">
        <v>159</v>
      </c>
      <c r="F1029" s="208" t="s">
        <v>255</v>
      </c>
      <c r="G1029" s="208" t="s">
        <v>263</v>
      </c>
      <c r="H1029" s="209" t="s">
        <v>191</v>
      </c>
      <c r="I1029" s="210">
        <v>7</v>
      </c>
    </row>
    <row r="1030" spans="1:9" x14ac:dyDescent="0.25">
      <c r="A1030" s="74" t="s">
        <v>3171</v>
      </c>
      <c r="B1030" s="45">
        <v>987</v>
      </c>
      <c r="C1030" s="63" t="s">
        <v>1396</v>
      </c>
      <c r="D1030" s="74">
        <v>500479</v>
      </c>
      <c r="E1030" s="208" t="s">
        <v>159</v>
      </c>
      <c r="F1030" s="208" t="s">
        <v>255</v>
      </c>
      <c r="G1030" s="208" t="s">
        <v>263</v>
      </c>
      <c r="H1030" s="209" t="s">
        <v>191</v>
      </c>
      <c r="I1030" s="210">
        <v>7</v>
      </c>
    </row>
    <row r="1031" spans="1:9" x14ac:dyDescent="0.25">
      <c r="A1031" s="74" t="s">
        <v>3172</v>
      </c>
      <c r="B1031" s="45">
        <v>988</v>
      </c>
      <c r="C1031" s="63" t="s">
        <v>1397</v>
      </c>
      <c r="D1031" s="74">
        <v>500479</v>
      </c>
      <c r="E1031" s="208" t="s">
        <v>159</v>
      </c>
      <c r="F1031" s="208" t="s">
        <v>255</v>
      </c>
      <c r="G1031" s="208" t="s">
        <v>263</v>
      </c>
      <c r="H1031" s="209" t="s">
        <v>191</v>
      </c>
      <c r="I1031" s="210">
        <v>7</v>
      </c>
    </row>
    <row r="1032" spans="1:9" x14ac:dyDescent="0.25">
      <c r="A1032" s="74" t="s">
        <v>3173</v>
      </c>
      <c r="B1032" s="45">
        <v>989</v>
      </c>
      <c r="C1032" s="63" t="s">
        <v>1398</v>
      </c>
      <c r="D1032" s="74">
        <v>500479</v>
      </c>
      <c r="E1032" s="208" t="s">
        <v>159</v>
      </c>
      <c r="F1032" s="208" t="s">
        <v>255</v>
      </c>
      <c r="G1032" s="208" t="s">
        <v>263</v>
      </c>
      <c r="H1032" s="209" t="s">
        <v>191</v>
      </c>
      <c r="I1032" s="210">
        <v>7</v>
      </c>
    </row>
    <row r="1033" spans="1:9" x14ac:dyDescent="0.25">
      <c r="A1033" s="74" t="s">
        <v>3174</v>
      </c>
      <c r="B1033" s="45">
        <v>990</v>
      </c>
      <c r="C1033" s="63" t="s">
        <v>1399</v>
      </c>
      <c r="D1033" s="74">
        <v>500479</v>
      </c>
      <c r="E1033" s="208" t="s">
        <v>159</v>
      </c>
      <c r="F1033" s="208" t="s">
        <v>255</v>
      </c>
      <c r="G1033" s="208" t="s">
        <v>263</v>
      </c>
      <c r="H1033" s="209" t="s">
        <v>191</v>
      </c>
      <c r="I1033" s="210">
        <v>7</v>
      </c>
    </row>
    <row r="1034" spans="1:9" x14ac:dyDescent="0.25">
      <c r="A1034" s="74" t="s">
        <v>3175</v>
      </c>
      <c r="B1034" s="45">
        <v>991</v>
      </c>
      <c r="C1034" s="63" t="s">
        <v>1400</v>
      </c>
      <c r="D1034" s="74">
        <v>500479</v>
      </c>
      <c r="E1034" s="208" t="s">
        <v>159</v>
      </c>
      <c r="F1034" s="208" t="s">
        <v>255</v>
      </c>
      <c r="G1034" s="208" t="s">
        <v>263</v>
      </c>
      <c r="H1034" s="209" t="s">
        <v>191</v>
      </c>
      <c r="I1034" s="210">
        <v>7</v>
      </c>
    </row>
    <row r="1035" spans="1:9" x14ac:dyDescent="0.25">
      <c r="A1035" s="74" t="s">
        <v>3176</v>
      </c>
      <c r="B1035" s="45">
        <v>992</v>
      </c>
      <c r="C1035" s="63" t="s">
        <v>1401</v>
      </c>
      <c r="D1035" s="74">
        <v>500480</v>
      </c>
      <c r="E1035" s="208" t="s">
        <v>159</v>
      </c>
      <c r="F1035" s="208" t="s">
        <v>255</v>
      </c>
      <c r="G1035" s="208" t="s">
        <v>263</v>
      </c>
      <c r="H1035" s="209" t="s">
        <v>198</v>
      </c>
      <c r="I1035" s="210">
        <v>6</v>
      </c>
    </row>
    <row r="1036" spans="1:9" x14ac:dyDescent="0.25">
      <c r="A1036" s="74" t="s">
        <v>3177</v>
      </c>
      <c r="B1036" s="45">
        <v>993</v>
      </c>
      <c r="C1036" s="63" t="s">
        <v>1402</v>
      </c>
      <c r="D1036" s="74">
        <v>500481</v>
      </c>
      <c r="E1036" s="208" t="s">
        <v>159</v>
      </c>
      <c r="F1036" s="208" t="s">
        <v>255</v>
      </c>
      <c r="G1036" s="208" t="s">
        <v>263</v>
      </c>
      <c r="H1036" s="209" t="s">
        <v>191</v>
      </c>
      <c r="I1036" s="210">
        <v>7</v>
      </c>
    </row>
    <row r="1037" spans="1:9" x14ac:dyDescent="0.25">
      <c r="A1037" s="74" t="s">
        <v>3178</v>
      </c>
      <c r="B1037" s="45">
        <v>994</v>
      </c>
      <c r="C1037" s="63" t="s">
        <v>1403</v>
      </c>
      <c r="D1037" s="74">
        <v>500481</v>
      </c>
      <c r="E1037" s="208" t="s">
        <v>159</v>
      </c>
      <c r="F1037" s="208" t="s">
        <v>255</v>
      </c>
      <c r="G1037" s="208" t="s">
        <v>263</v>
      </c>
      <c r="H1037" s="209" t="s">
        <v>191</v>
      </c>
      <c r="I1037" s="210">
        <v>7</v>
      </c>
    </row>
    <row r="1038" spans="1:9" x14ac:dyDescent="0.25">
      <c r="A1038" s="74" t="s">
        <v>3179</v>
      </c>
      <c r="B1038" s="45">
        <v>995</v>
      </c>
      <c r="C1038" s="63" t="s">
        <v>1404</v>
      </c>
      <c r="D1038" s="74">
        <v>500481</v>
      </c>
      <c r="E1038" s="208" t="s">
        <v>159</v>
      </c>
      <c r="F1038" s="208" t="s">
        <v>255</v>
      </c>
      <c r="G1038" s="208" t="s">
        <v>263</v>
      </c>
      <c r="H1038" s="209" t="s">
        <v>191</v>
      </c>
      <c r="I1038" s="210">
        <v>7</v>
      </c>
    </row>
    <row r="1039" spans="1:9" x14ac:dyDescent="0.25">
      <c r="A1039" s="74" t="s">
        <v>3180</v>
      </c>
      <c r="B1039" s="45">
        <v>996</v>
      </c>
      <c r="C1039" s="63" t="s">
        <v>1405</v>
      </c>
      <c r="D1039" s="74">
        <v>500481</v>
      </c>
      <c r="E1039" s="208" t="s">
        <v>159</v>
      </c>
      <c r="F1039" s="208" t="s">
        <v>255</v>
      </c>
      <c r="G1039" s="208" t="s">
        <v>263</v>
      </c>
      <c r="H1039" s="209" t="s">
        <v>191</v>
      </c>
      <c r="I1039" s="210">
        <v>7</v>
      </c>
    </row>
    <row r="1040" spans="1:9" x14ac:dyDescent="0.25">
      <c r="A1040" s="74" t="s">
        <v>3181</v>
      </c>
      <c r="B1040" s="45">
        <v>997</v>
      </c>
      <c r="C1040" s="63" t="s">
        <v>1406</v>
      </c>
      <c r="D1040" s="74">
        <v>500482</v>
      </c>
      <c r="E1040" s="208" t="s">
        <v>159</v>
      </c>
      <c r="F1040" s="208" t="s">
        <v>255</v>
      </c>
      <c r="G1040" s="208" t="s">
        <v>263</v>
      </c>
      <c r="H1040" s="209" t="s">
        <v>198</v>
      </c>
      <c r="I1040" s="210">
        <v>6</v>
      </c>
    </row>
    <row r="1041" spans="1:9" x14ac:dyDescent="0.25">
      <c r="A1041" s="74" t="s">
        <v>3182</v>
      </c>
      <c r="B1041" s="45">
        <v>998</v>
      </c>
      <c r="C1041" s="63" t="s">
        <v>1407</v>
      </c>
      <c r="D1041" s="74">
        <v>500483</v>
      </c>
      <c r="E1041" s="208" t="s">
        <v>159</v>
      </c>
      <c r="F1041" s="208" t="s">
        <v>255</v>
      </c>
      <c r="G1041" s="208" t="s">
        <v>263</v>
      </c>
      <c r="H1041" s="209" t="s">
        <v>192</v>
      </c>
      <c r="I1041" s="210">
        <v>7</v>
      </c>
    </row>
    <row r="1042" spans="1:9" x14ac:dyDescent="0.25">
      <c r="A1042" s="74" t="s">
        <v>3183</v>
      </c>
      <c r="B1042" s="45">
        <v>999</v>
      </c>
      <c r="C1042" s="63" t="s">
        <v>1408</v>
      </c>
      <c r="D1042" s="74">
        <v>500484</v>
      </c>
      <c r="E1042" s="208" t="s">
        <v>159</v>
      </c>
      <c r="F1042" s="208" t="s">
        <v>255</v>
      </c>
      <c r="G1042" s="208" t="s">
        <v>263</v>
      </c>
      <c r="H1042" s="209" t="s">
        <v>192</v>
      </c>
      <c r="I1042" s="210">
        <v>7</v>
      </c>
    </row>
    <row r="1043" spans="1:9" x14ac:dyDescent="0.25">
      <c r="A1043" s="74" t="s">
        <v>3184</v>
      </c>
      <c r="B1043" s="45">
        <v>1000</v>
      </c>
      <c r="C1043" s="63" t="s">
        <v>1409</v>
      </c>
      <c r="D1043" s="74">
        <v>500485</v>
      </c>
      <c r="E1043" s="208" t="s">
        <v>159</v>
      </c>
      <c r="F1043" s="208" t="s">
        <v>255</v>
      </c>
      <c r="G1043" s="208" t="s">
        <v>263</v>
      </c>
      <c r="H1043" s="209" t="s">
        <v>192</v>
      </c>
      <c r="I1043" s="210">
        <v>7</v>
      </c>
    </row>
    <row r="1044" spans="1:9" x14ac:dyDescent="0.25">
      <c r="A1044" s="74" t="s">
        <v>3185</v>
      </c>
      <c r="B1044" s="45">
        <v>1001</v>
      </c>
      <c r="C1044" s="63" t="s">
        <v>1410</v>
      </c>
      <c r="D1044" s="74">
        <v>500486</v>
      </c>
      <c r="E1044" s="208" t="s">
        <v>168</v>
      </c>
      <c r="F1044" s="208" t="s">
        <v>264</v>
      </c>
      <c r="G1044" s="208" t="s">
        <v>265</v>
      </c>
      <c r="H1044" s="209" t="s">
        <v>187</v>
      </c>
      <c r="I1044" s="210">
        <v>6</v>
      </c>
    </row>
    <row r="1045" spans="1:9" x14ac:dyDescent="0.25">
      <c r="A1045" s="74" t="s">
        <v>3186</v>
      </c>
      <c r="B1045" s="45">
        <v>1002</v>
      </c>
      <c r="C1045" s="63" t="s">
        <v>1411</v>
      </c>
      <c r="D1045" s="74">
        <v>500487</v>
      </c>
      <c r="E1045" s="208" t="s">
        <v>168</v>
      </c>
      <c r="F1045" s="208" t="s">
        <v>264</v>
      </c>
      <c r="G1045" s="208" t="s">
        <v>21</v>
      </c>
      <c r="H1045" s="209" t="s">
        <v>183</v>
      </c>
      <c r="I1045" s="210">
        <v>4</v>
      </c>
    </row>
    <row r="1046" spans="1:9" x14ac:dyDescent="0.25">
      <c r="A1046" s="74" t="s">
        <v>3187</v>
      </c>
      <c r="B1046" s="45">
        <v>1003</v>
      </c>
      <c r="C1046" s="63" t="s">
        <v>1412</v>
      </c>
      <c r="D1046" s="74">
        <v>500488</v>
      </c>
      <c r="E1046" s="208" t="s">
        <v>168</v>
      </c>
      <c r="F1046" s="208" t="s">
        <v>264</v>
      </c>
      <c r="G1046" s="208" t="s">
        <v>21</v>
      </c>
      <c r="H1046" s="209" t="s">
        <v>194</v>
      </c>
      <c r="I1046" s="210">
        <v>6</v>
      </c>
    </row>
    <row r="1047" spans="1:9" x14ac:dyDescent="0.25">
      <c r="A1047" s="74" t="s">
        <v>3188</v>
      </c>
      <c r="B1047" s="45">
        <v>1004</v>
      </c>
      <c r="C1047" s="63" t="s">
        <v>1413</v>
      </c>
      <c r="D1047" s="74">
        <v>500488</v>
      </c>
      <c r="E1047" s="208" t="s">
        <v>168</v>
      </c>
      <c r="F1047" s="208" t="s">
        <v>264</v>
      </c>
      <c r="G1047" s="208" t="s">
        <v>21</v>
      </c>
      <c r="H1047" s="209" t="s">
        <v>194</v>
      </c>
      <c r="I1047" s="210">
        <v>6</v>
      </c>
    </row>
    <row r="1048" spans="1:9" x14ac:dyDescent="0.25">
      <c r="A1048" s="74" t="s">
        <v>3189</v>
      </c>
      <c r="B1048" s="45">
        <v>1005</v>
      </c>
      <c r="C1048" s="63" t="s">
        <v>1414</v>
      </c>
      <c r="D1048" s="74">
        <v>500488</v>
      </c>
      <c r="E1048" s="208" t="s">
        <v>168</v>
      </c>
      <c r="F1048" s="208" t="s">
        <v>264</v>
      </c>
      <c r="G1048" s="208" t="s">
        <v>21</v>
      </c>
      <c r="H1048" s="209" t="s">
        <v>194</v>
      </c>
      <c r="I1048" s="210">
        <v>6</v>
      </c>
    </row>
    <row r="1049" spans="1:9" x14ac:dyDescent="0.25">
      <c r="A1049" s="74" t="s">
        <v>3190</v>
      </c>
      <c r="B1049" s="45">
        <v>1006</v>
      </c>
      <c r="C1049" s="63" t="s">
        <v>1415</v>
      </c>
      <c r="D1049" s="74">
        <v>500488</v>
      </c>
      <c r="E1049" s="208" t="s">
        <v>168</v>
      </c>
      <c r="F1049" s="208" t="s">
        <v>264</v>
      </c>
      <c r="G1049" s="208" t="s">
        <v>21</v>
      </c>
      <c r="H1049" s="209" t="s">
        <v>194</v>
      </c>
      <c r="I1049" s="210">
        <v>6</v>
      </c>
    </row>
    <row r="1050" spans="1:9" x14ac:dyDescent="0.25">
      <c r="A1050" s="74" t="s">
        <v>3191</v>
      </c>
      <c r="B1050" s="45">
        <v>1007</v>
      </c>
      <c r="C1050" s="63" t="s">
        <v>1416</v>
      </c>
      <c r="D1050" s="74">
        <v>500488</v>
      </c>
      <c r="E1050" s="208" t="s">
        <v>168</v>
      </c>
      <c r="F1050" s="208" t="s">
        <v>264</v>
      </c>
      <c r="G1050" s="208" t="s">
        <v>21</v>
      </c>
      <c r="H1050" s="209" t="s">
        <v>194</v>
      </c>
      <c r="I1050" s="210">
        <v>6</v>
      </c>
    </row>
    <row r="1051" spans="1:9" x14ac:dyDescent="0.25">
      <c r="A1051" s="74" t="s">
        <v>3192</v>
      </c>
      <c r="B1051" s="45">
        <v>1008</v>
      </c>
      <c r="C1051" s="63" t="s">
        <v>1417</v>
      </c>
      <c r="D1051" s="74">
        <v>500489</v>
      </c>
      <c r="E1051" s="208" t="s">
        <v>168</v>
      </c>
      <c r="F1051" s="208" t="s">
        <v>264</v>
      </c>
      <c r="G1051" s="208" t="s">
        <v>21</v>
      </c>
      <c r="H1051" s="209" t="s">
        <v>186</v>
      </c>
      <c r="I1051" s="210">
        <v>5</v>
      </c>
    </row>
    <row r="1052" spans="1:9" x14ac:dyDescent="0.25">
      <c r="A1052" s="74" t="s">
        <v>3193</v>
      </c>
      <c r="B1052" s="45">
        <v>1009</v>
      </c>
      <c r="C1052" s="63" t="s">
        <v>1418</v>
      </c>
      <c r="D1052" s="74">
        <v>500490</v>
      </c>
      <c r="E1052" s="208" t="s">
        <v>168</v>
      </c>
      <c r="F1052" s="208" t="s">
        <v>264</v>
      </c>
      <c r="G1052" s="208" t="s">
        <v>21</v>
      </c>
      <c r="H1052" s="209" t="s">
        <v>192</v>
      </c>
      <c r="I1052" s="210">
        <v>7</v>
      </c>
    </row>
    <row r="1053" spans="1:9" x14ac:dyDescent="0.25">
      <c r="A1053" s="74" t="s">
        <v>3194</v>
      </c>
      <c r="B1053" s="45">
        <v>1010</v>
      </c>
      <c r="C1053" s="63" t="s">
        <v>1419</v>
      </c>
      <c r="D1053" s="74">
        <v>500491</v>
      </c>
      <c r="E1053" s="208" t="s">
        <v>168</v>
      </c>
      <c r="F1053" s="208" t="s">
        <v>264</v>
      </c>
      <c r="G1053" s="208" t="s">
        <v>265</v>
      </c>
      <c r="H1053" s="209" t="s">
        <v>198</v>
      </c>
      <c r="I1053" s="210">
        <v>6</v>
      </c>
    </row>
    <row r="1054" spans="1:9" x14ac:dyDescent="0.25">
      <c r="A1054" s="74" t="s">
        <v>3195</v>
      </c>
      <c r="B1054" s="45">
        <v>1011</v>
      </c>
      <c r="C1054" s="63" t="s">
        <v>1420</v>
      </c>
      <c r="D1054" s="74">
        <v>500492</v>
      </c>
      <c r="E1054" s="208" t="s">
        <v>168</v>
      </c>
      <c r="F1054" s="208" t="s">
        <v>264</v>
      </c>
      <c r="G1054" s="208" t="s">
        <v>265</v>
      </c>
      <c r="H1054" s="209" t="s">
        <v>191</v>
      </c>
      <c r="I1054" s="210">
        <v>7</v>
      </c>
    </row>
    <row r="1055" spans="1:9" x14ac:dyDescent="0.25">
      <c r="A1055" s="74" t="s">
        <v>3196</v>
      </c>
      <c r="B1055" s="45">
        <v>1012</v>
      </c>
      <c r="C1055" s="63" t="s">
        <v>1421</v>
      </c>
      <c r="D1055" s="74">
        <v>500492</v>
      </c>
      <c r="E1055" s="208" t="s">
        <v>168</v>
      </c>
      <c r="F1055" s="208" t="s">
        <v>264</v>
      </c>
      <c r="G1055" s="208" t="s">
        <v>265</v>
      </c>
      <c r="H1055" s="209" t="s">
        <v>191</v>
      </c>
      <c r="I1055" s="210">
        <v>7</v>
      </c>
    </row>
    <row r="1056" spans="1:9" x14ac:dyDescent="0.25">
      <c r="A1056" s="74" t="s">
        <v>3197</v>
      </c>
      <c r="B1056" s="45">
        <v>1013</v>
      </c>
      <c r="C1056" s="63" t="s">
        <v>1422</v>
      </c>
      <c r="D1056" s="74">
        <v>500492</v>
      </c>
      <c r="E1056" s="208" t="s">
        <v>168</v>
      </c>
      <c r="F1056" s="208" t="s">
        <v>264</v>
      </c>
      <c r="G1056" s="208" t="s">
        <v>265</v>
      </c>
      <c r="H1056" s="209" t="s">
        <v>191</v>
      </c>
      <c r="I1056" s="210">
        <v>7</v>
      </c>
    </row>
    <row r="1057" spans="1:9" x14ac:dyDescent="0.25">
      <c r="A1057" s="74" t="s">
        <v>3198</v>
      </c>
      <c r="B1057" s="45">
        <v>1014</v>
      </c>
      <c r="C1057" s="63" t="s">
        <v>1423</v>
      </c>
      <c r="D1057" s="74">
        <v>500492</v>
      </c>
      <c r="E1057" s="208" t="s">
        <v>168</v>
      </c>
      <c r="F1057" s="208" t="s">
        <v>264</v>
      </c>
      <c r="G1057" s="208" t="s">
        <v>265</v>
      </c>
      <c r="H1057" s="209" t="s">
        <v>191</v>
      </c>
      <c r="I1057" s="210">
        <v>7</v>
      </c>
    </row>
    <row r="1058" spans="1:9" x14ac:dyDescent="0.25">
      <c r="A1058" s="74" t="s">
        <v>3199</v>
      </c>
      <c r="B1058" s="45">
        <v>1015</v>
      </c>
      <c r="C1058" s="63" t="s">
        <v>1424</v>
      </c>
      <c r="D1058" s="74">
        <v>500493</v>
      </c>
      <c r="E1058" s="208" t="s">
        <v>168</v>
      </c>
      <c r="F1058" s="208" t="s">
        <v>264</v>
      </c>
      <c r="G1058" s="208" t="s">
        <v>265</v>
      </c>
      <c r="H1058" s="209" t="s">
        <v>198</v>
      </c>
      <c r="I1058" s="210">
        <v>6</v>
      </c>
    </row>
    <row r="1059" spans="1:9" x14ac:dyDescent="0.25">
      <c r="A1059" s="74" t="s">
        <v>3200</v>
      </c>
      <c r="B1059" s="45">
        <v>1016</v>
      </c>
      <c r="C1059" s="63" t="s">
        <v>1425</v>
      </c>
      <c r="D1059" s="74">
        <v>500494</v>
      </c>
      <c r="E1059" s="208" t="s">
        <v>168</v>
      </c>
      <c r="F1059" s="208" t="s">
        <v>264</v>
      </c>
      <c r="G1059" s="208" t="s">
        <v>21</v>
      </c>
      <c r="H1059" s="209" t="s">
        <v>186</v>
      </c>
      <c r="I1059" s="210">
        <v>5</v>
      </c>
    </row>
    <row r="1060" spans="1:9" x14ac:dyDescent="0.25">
      <c r="A1060" s="74" t="s">
        <v>3201</v>
      </c>
      <c r="B1060" s="45">
        <v>1017</v>
      </c>
      <c r="C1060" s="63" t="s">
        <v>1426</v>
      </c>
      <c r="D1060" s="74">
        <v>500495</v>
      </c>
      <c r="E1060" s="208" t="s">
        <v>168</v>
      </c>
      <c r="F1060" s="208" t="s">
        <v>264</v>
      </c>
      <c r="G1060" s="208" t="s">
        <v>21</v>
      </c>
      <c r="H1060" s="209" t="s">
        <v>192</v>
      </c>
      <c r="I1060" s="210">
        <v>7</v>
      </c>
    </row>
    <row r="1061" spans="1:9" x14ac:dyDescent="0.25">
      <c r="A1061" s="74" t="s">
        <v>3202</v>
      </c>
      <c r="B1061" s="45">
        <v>1018</v>
      </c>
      <c r="C1061" s="63" t="s">
        <v>1427</v>
      </c>
      <c r="D1061" s="74">
        <v>500496</v>
      </c>
      <c r="E1061" s="208" t="s">
        <v>168</v>
      </c>
      <c r="F1061" s="208" t="s">
        <v>264</v>
      </c>
      <c r="G1061" s="208" t="s">
        <v>265</v>
      </c>
      <c r="H1061" s="209" t="s">
        <v>191</v>
      </c>
      <c r="I1061" s="210">
        <v>7</v>
      </c>
    </row>
    <row r="1062" spans="1:9" x14ac:dyDescent="0.25">
      <c r="A1062" s="74" t="s">
        <v>3203</v>
      </c>
      <c r="B1062" s="45">
        <v>1019</v>
      </c>
      <c r="C1062" s="63" t="s">
        <v>1428</v>
      </c>
      <c r="D1062" s="74">
        <v>500496</v>
      </c>
      <c r="E1062" s="208" t="s">
        <v>168</v>
      </c>
      <c r="F1062" s="208" t="s">
        <v>264</v>
      </c>
      <c r="G1062" s="208" t="s">
        <v>265</v>
      </c>
      <c r="H1062" s="209" t="s">
        <v>191</v>
      </c>
      <c r="I1062" s="210">
        <v>7</v>
      </c>
    </row>
    <row r="1063" spans="1:9" x14ac:dyDescent="0.25">
      <c r="A1063" s="74" t="s">
        <v>3204</v>
      </c>
      <c r="B1063" s="45">
        <v>1020</v>
      </c>
      <c r="C1063" s="63" t="s">
        <v>1429</v>
      </c>
      <c r="D1063" s="74">
        <v>500496</v>
      </c>
      <c r="E1063" s="208" t="s">
        <v>168</v>
      </c>
      <c r="F1063" s="208" t="s">
        <v>264</v>
      </c>
      <c r="G1063" s="208" t="s">
        <v>265</v>
      </c>
      <c r="H1063" s="209" t="s">
        <v>191</v>
      </c>
      <c r="I1063" s="210">
        <v>7</v>
      </c>
    </row>
    <row r="1064" spans="1:9" x14ac:dyDescent="0.25">
      <c r="A1064" s="74" t="s">
        <v>3205</v>
      </c>
      <c r="B1064" s="45">
        <v>1021</v>
      </c>
      <c r="C1064" s="63" t="s">
        <v>1430</v>
      </c>
      <c r="D1064" s="74">
        <v>500496</v>
      </c>
      <c r="E1064" s="208" t="s">
        <v>168</v>
      </c>
      <c r="F1064" s="208" t="s">
        <v>264</v>
      </c>
      <c r="G1064" s="208" t="s">
        <v>265</v>
      </c>
      <c r="H1064" s="209" t="s">
        <v>191</v>
      </c>
      <c r="I1064" s="210">
        <v>7</v>
      </c>
    </row>
    <row r="1065" spans="1:9" x14ac:dyDescent="0.25">
      <c r="A1065" s="74" t="s">
        <v>3206</v>
      </c>
      <c r="B1065" s="45">
        <v>1022</v>
      </c>
      <c r="C1065" s="63" t="s">
        <v>1431</v>
      </c>
      <c r="D1065" s="74">
        <v>500497</v>
      </c>
      <c r="E1065" s="208" t="s">
        <v>168</v>
      </c>
      <c r="F1065" s="208" t="s">
        <v>264</v>
      </c>
      <c r="G1065" s="208" t="s">
        <v>265</v>
      </c>
      <c r="H1065" s="209" t="s">
        <v>198</v>
      </c>
      <c r="I1065" s="210">
        <v>6</v>
      </c>
    </row>
    <row r="1066" spans="1:9" x14ac:dyDescent="0.25">
      <c r="A1066" s="74" t="s">
        <v>3207</v>
      </c>
      <c r="B1066" s="45">
        <v>1023</v>
      </c>
      <c r="C1066" s="63" t="s">
        <v>1432</v>
      </c>
      <c r="D1066" s="74">
        <v>500498</v>
      </c>
      <c r="E1066" s="208" t="s">
        <v>168</v>
      </c>
      <c r="F1066" s="208" t="s">
        <v>264</v>
      </c>
      <c r="G1066" s="208" t="s">
        <v>265</v>
      </c>
      <c r="H1066" s="209" t="s">
        <v>198</v>
      </c>
      <c r="I1066" s="210">
        <v>6</v>
      </c>
    </row>
    <row r="1067" spans="1:9" x14ac:dyDescent="0.25">
      <c r="A1067" s="74" t="s">
        <v>3208</v>
      </c>
      <c r="B1067" s="45">
        <v>1024</v>
      </c>
      <c r="C1067" s="63" t="s">
        <v>1433</v>
      </c>
      <c r="D1067" s="74">
        <v>500499</v>
      </c>
      <c r="E1067" s="208" t="s">
        <v>168</v>
      </c>
      <c r="F1067" s="208" t="s">
        <v>264</v>
      </c>
      <c r="G1067" s="208" t="s">
        <v>265</v>
      </c>
      <c r="H1067" s="209" t="s">
        <v>191</v>
      </c>
      <c r="I1067" s="210">
        <v>7</v>
      </c>
    </row>
    <row r="1068" spans="1:9" x14ac:dyDescent="0.25">
      <c r="A1068" s="74" t="s">
        <v>3209</v>
      </c>
      <c r="B1068" s="45">
        <v>1025</v>
      </c>
      <c r="C1068" s="63" t="s">
        <v>1434</v>
      </c>
      <c r="D1068" s="74">
        <v>500499</v>
      </c>
      <c r="E1068" s="208" t="s">
        <v>168</v>
      </c>
      <c r="F1068" s="208" t="s">
        <v>264</v>
      </c>
      <c r="G1068" s="208" t="s">
        <v>265</v>
      </c>
      <c r="H1068" s="209" t="s">
        <v>191</v>
      </c>
      <c r="I1068" s="210">
        <v>7</v>
      </c>
    </row>
    <row r="1069" spans="1:9" x14ac:dyDescent="0.25">
      <c r="A1069" s="74" t="s">
        <v>3210</v>
      </c>
      <c r="B1069" s="45">
        <v>1026</v>
      </c>
      <c r="C1069" s="63" t="s">
        <v>1435</v>
      </c>
      <c r="D1069" s="74">
        <v>500499</v>
      </c>
      <c r="E1069" s="208" t="s">
        <v>168</v>
      </c>
      <c r="F1069" s="208" t="s">
        <v>264</v>
      </c>
      <c r="G1069" s="208" t="s">
        <v>265</v>
      </c>
      <c r="H1069" s="209" t="s">
        <v>191</v>
      </c>
      <c r="I1069" s="210">
        <v>7</v>
      </c>
    </row>
    <row r="1070" spans="1:9" x14ac:dyDescent="0.25">
      <c r="A1070" s="74" t="s">
        <v>3211</v>
      </c>
      <c r="B1070" s="45">
        <v>1027</v>
      </c>
      <c r="C1070" s="63" t="s">
        <v>1436</v>
      </c>
      <c r="D1070" s="74">
        <v>500499</v>
      </c>
      <c r="E1070" s="208" t="s">
        <v>168</v>
      </c>
      <c r="F1070" s="208" t="s">
        <v>264</v>
      </c>
      <c r="G1070" s="208" t="s">
        <v>265</v>
      </c>
      <c r="H1070" s="209" t="s">
        <v>191</v>
      </c>
      <c r="I1070" s="210">
        <v>7</v>
      </c>
    </row>
    <row r="1071" spans="1:9" x14ac:dyDescent="0.25">
      <c r="A1071" s="74" t="s">
        <v>3212</v>
      </c>
      <c r="B1071" s="45">
        <v>1028</v>
      </c>
      <c r="C1071" s="64" t="s">
        <v>1437</v>
      </c>
      <c r="D1071" s="74">
        <v>500500</v>
      </c>
      <c r="E1071" s="208" t="s">
        <v>168</v>
      </c>
      <c r="F1071" s="208" t="s">
        <v>264</v>
      </c>
      <c r="G1071" s="208" t="s">
        <v>21</v>
      </c>
      <c r="H1071" s="209" t="s">
        <v>186</v>
      </c>
      <c r="I1071" s="210">
        <v>5</v>
      </c>
    </row>
    <row r="1072" spans="1:9" x14ac:dyDescent="0.25">
      <c r="A1072" s="74" t="s">
        <v>3213</v>
      </c>
      <c r="B1072" s="45">
        <v>1029</v>
      </c>
      <c r="C1072" s="45" t="s">
        <v>1438</v>
      </c>
      <c r="D1072" s="74">
        <v>500501</v>
      </c>
      <c r="E1072" s="208" t="s">
        <v>168</v>
      </c>
      <c r="F1072" s="208" t="s">
        <v>264</v>
      </c>
      <c r="G1072" s="208" t="s">
        <v>265</v>
      </c>
      <c r="H1072" s="209" t="s">
        <v>198</v>
      </c>
      <c r="I1072" s="210">
        <v>6</v>
      </c>
    </row>
    <row r="1073" spans="1:9" x14ac:dyDescent="0.25">
      <c r="A1073" s="74" t="s">
        <v>3214</v>
      </c>
      <c r="B1073" s="45">
        <v>1030</v>
      </c>
      <c r="C1073" s="63" t="s">
        <v>1439</v>
      </c>
      <c r="D1073" s="74">
        <v>500502</v>
      </c>
      <c r="E1073" s="208" t="s">
        <v>168</v>
      </c>
      <c r="F1073" s="208" t="s">
        <v>264</v>
      </c>
      <c r="G1073" s="208" t="s">
        <v>265</v>
      </c>
      <c r="H1073" s="209" t="s">
        <v>191</v>
      </c>
      <c r="I1073" s="210">
        <v>7</v>
      </c>
    </row>
    <row r="1074" spans="1:9" x14ac:dyDescent="0.25">
      <c r="A1074" s="74" t="s">
        <v>3215</v>
      </c>
      <c r="B1074" s="45">
        <v>1031</v>
      </c>
      <c r="C1074" s="63" t="s">
        <v>1440</v>
      </c>
      <c r="D1074" s="74">
        <v>500502</v>
      </c>
      <c r="E1074" s="208" t="s">
        <v>168</v>
      </c>
      <c r="F1074" s="208" t="s">
        <v>264</v>
      </c>
      <c r="G1074" s="208" t="s">
        <v>265</v>
      </c>
      <c r="H1074" s="209" t="s">
        <v>191</v>
      </c>
      <c r="I1074" s="210">
        <v>7</v>
      </c>
    </row>
    <row r="1075" spans="1:9" x14ac:dyDescent="0.25">
      <c r="A1075" s="74" t="s">
        <v>3216</v>
      </c>
      <c r="B1075" s="45">
        <v>1032</v>
      </c>
      <c r="C1075" s="63" t="s">
        <v>1441</v>
      </c>
      <c r="D1075" s="74">
        <v>500502</v>
      </c>
      <c r="E1075" s="208" t="s">
        <v>168</v>
      </c>
      <c r="F1075" s="208" t="s">
        <v>264</v>
      </c>
      <c r="G1075" s="208" t="s">
        <v>265</v>
      </c>
      <c r="H1075" s="209" t="s">
        <v>191</v>
      </c>
      <c r="I1075" s="210">
        <v>7</v>
      </c>
    </row>
    <row r="1076" spans="1:9" x14ac:dyDescent="0.25">
      <c r="A1076" s="74" t="s">
        <v>3217</v>
      </c>
      <c r="B1076" s="45">
        <v>1033</v>
      </c>
      <c r="C1076" s="63" t="s">
        <v>1442</v>
      </c>
      <c r="D1076" s="74">
        <v>500502</v>
      </c>
      <c r="E1076" s="208" t="s">
        <v>168</v>
      </c>
      <c r="F1076" s="208" t="s">
        <v>264</v>
      </c>
      <c r="G1076" s="208" t="s">
        <v>265</v>
      </c>
      <c r="H1076" s="209" t="s">
        <v>191</v>
      </c>
      <c r="I1076" s="210">
        <v>7</v>
      </c>
    </row>
    <row r="1077" spans="1:9" x14ac:dyDescent="0.25">
      <c r="A1077" s="74" t="s">
        <v>3218</v>
      </c>
      <c r="B1077" s="45" t="s">
        <v>23</v>
      </c>
      <c r="C1077" s="63" t="s">
        <v>23</v>
      </c>
      <c r="D1077" s="74">
        <v>500503</v>
      </c>
      <c r="E1077" s="208" t="s">
        <v>168</v>
      </c>
      <c r="F1077" s="208" t="s">
        <v>264</v>
      </c>
      <c r="G1077" s="208" t="s">
        <v>265</v>
      </c>
      <c r="H1077" s="209" t="s">
        <v>192</v>
      </c>
      <c r="I1077" s="210">
        <v>7</v>
      </c>
    </row>
    <row r="1078" spans="1:9" x14ac:dyDescent="0.25">
      <c r="A1078" s="74" t="s">
        <v>3219</v>
      </c>
      <c r="B1078" s="45">
        <v>1034</v>
      </c>
      <c r="C1078" s="63" t="s">
        <v>1443</v>
      </c>
      <c r="D1078" s="74">
        <v>500504</v>
      </c>
      <c r="E1078" s="208" t="s">
        <v>168</v>
      </c>
      <c r="F1078" s="208" t="s">
        <v>264</v>
      </c>
      <c r="G1078" s="208" t="s">
        <v>265</v>
      </c>
      <c r="H1078" s="209" t="s">
        <v>251</v>
      </c>
      <c r="I1078" s="210">
        <v>6</v>
      </c>
    </row>
    <row r="1079" spans="1:9" x14ac:dyDescent="0.25">
      <c r="A1079" s="74" t="s">
        <v>3220</v>
      </c>
      <c r="B1079" s="45">
        <v>1035</v>
      </c>
      <c r="C1079" s="45" t="s">
        <v>1444</v>
      </c>
      <c r="D1079" s="74">
        <v>500505</v>
      </c>
      <c r="E1079" s="208" t="s">
        <v>168</v>
      </c>
      <c r="F1079" s="208" t="s">
        <v>264</v>
      </c>
      <c r="G1079" s="208" t="s">
        <v>265</v>
      </c>
      <c r="H1079" s="209" t="s">
        <v>192</v>
      </c>
      <c r="I1079" s="210">
        <v>7</v>
      </c>
    </row>
    <row r="1080" spans="1:9" x14ac:dyDescent="0.25">
      <c r="A1080" s="74" t="s">
        <v>3221</v>
      </c>
      <c r="B1080" s="45">
        <v>1036</v>
      </c>
      <c r="C1080" s="63" t="s">
        <v>1445</v>
      </c>
      <c r="D1080" s="74">
        <v>500506</v>
      </c>
      <c r="E1080" s="208" t="s">
        <v>168</v>
      </c>
      <c r="F1080" s="208" t="s">
        <v>264</v>
      </c>
      <c r="G1080" s="208" t="s">
        <v>265</v>
      </c>
      <c r="H1080" s="209" t="s">
        <v>192</v>
      </c>
      <c r="I1080" s="210">
        <v>7</v>
      </c>
    </row>
    <row r="1081" spans="1:9" x14ac:dyDescent="0.25">
      <c r="A1081" s="74" t="s">
        <v>3222</v>
      </c>
      <c r="B1081" s="45">
        <v>1037</v>
      </c>
      <c r="C1081" s="63" t="s">
        <v>1446</v>
      </c>
      <c r="D1081" s="74">
        <v>500507</v>
      </c>
      <c r="E1081" s="208" t="s">
        <v>168</v>
      </c>
      <c r="F1081" s="208" t="s">
        <v>264</v>
      </c>
      <c r="G1081" s="208" t="s">
        <v>21</v>
      </c>
      <c r="H1081" s="209" t="s">
        <v>186</v>
      </c>
      <c r="I1081" s="210">
        <v>5</v>
      </c>
    </row>
    <row r="1082" spans="1:9" x14ac:dyDescent="0.25">
      <c r="A1082" s="74" t="s">
        <v>3223</v>
      </c>
      <c r="B1082" s="45">
        <v>1038</v>
      </c>
      <c r="C1082" s="63" t="s">
        <v>1447</v>
      </c>
      <c r="D1082" s="74">
        <v>500508</v>
      </c>
      <c r="E1082" s="208" t="s">
        <v>168</v>
      </c>
      <c r="F1082" s="208" t="s">
        <v>264</v>
      </c>
      <c r="G1082" s="208" t="s">
        <v>265</v>
      </c>
      <c r="H1082" s="209" t="s">
        <v>198</v>
      </c>
      <c r="I1082" s="210">
        <v>6</v>
      </c>
    </row>
    <row r="1083" spans="1:9" x14ac:dyDescent="0.25">
      <c r="A1083" s="74" t="s">
        <v>3224</v>
      </c>
      <c r="B1083" s="45">
        <v>1039</v>
      </c>
      <c r="C1083" s="63" t="s">
        <v>1448</v>
      </c>
      <c r="D1083" s="74">
        <v>500509</v>
      </c>
      <c r="E1083" s="208" t="s">
        <v>168</v>
      </c>
      <c r="F1083" s="208" t="s">
        <v>264</v>
      </c>
      <c r="G1083" s="208" t="s">
        <v>265</v>
      </c>
      <c r="H1083" s="209" t="s">
        <v>251</v>
      </c>
      <c r="I1083" s="210">
        <v>6</v>
      </c>
    </row>
    <row r="1084" spans="1:9" x14ac:dyDescent="0.25">
      <c r="A1084" s="74" t="s">
        <v>3225</v>
      </c>
      <c r="B1084" s="45">
        <v>1040</v>
      </c>
      <c r="C1084" s="63" t="s">
        <v>1449</v>
      </c>
      <c r="D1084" s="74">
        <v>500510</v>
      </c>
      <c r="E1084" s="208" t="s">
        <v>168</v>
      </c>
      <c r="F1084" s="208" t="s">
        <v>264</v>
      </c>
      <c r="G1084" s="208" t="s">
        <v>21</v>
      </c>
      <c r="H1084" s="209" t="s">
        <v>186</v>
      </c>
      <c r="I1084" s="210">
        <v>5</v>
      </c>
    </row>
    <row r="1085" spans="1:9" x14ac:dyDescent="0.25">
      <c r="A1085" s="74" t="s">
        <v>3226</v>
      </c>
      <c r="B1085" s="45">
        <v>1041</v>
      </c>
      <c r="C1085" s="63" t="s">
        <v>1450</v>
      </c>
      <c r="D1085" s="74">
        <v>500511</v>
      </c>
      <c r="E1085" s="208" t="s">
        <v>168</v>
      </c>
      <c r="F1085" s="208" t="s">
        <v>264</v>
      </c>
      <c r="G1085" s="208" t="s">
        <v>265</v>
      </c>
      <c r="H1085" s="209" t="s">
        <v>198</v>
      </c>
      <c r="I1085" s="210">
        <v>6</v>
      </c>
    </row>
    <row r="1086" spans="1:9" x14ac:dyDescent="0.25">
      <c r="A1086" s="74" t="s">
        <v>3227</v>
      </c>
      <c r="B1086" s="45">
        <v>1042</v>
      </c>
      <c r="C1086" s="63" t="s">
        <v>1451</v>
      </c>
      <c r="D1086" s="74">
        <v>500512</v>
      </c>
      <c r="E1086" s="208" t="s">
        <v>168</v>
      </c>
      <c r="F1086" s="208" t="s">
        <v>264</v>
      </c>
      <c r="G1086" s="208" t="s">
        <v>265</v>
      </c>
      <c r="H1086" s="209" t="s">
        <v>191</v>
      </c>
      <c r="I1086" s="210">
        <v>7</v>
      </c>
    </row>
    <row r="1087" spans="1:9" x14ac:dyDescent="0.25">
      <c r="A1087" s="74" t="s">
        <v>3228</v>
      </c>
      <c r="B1087" s="45">
        <v>1043</v>
      </c>
      <c r="C1087" s="63" t="s">
        <v>1452</v>
      </c>
      <c r="D1087" s="74">
        <v>500512</v>
      </c>
      <c r="E1087" s="208" t="s">
        <v>168</v>
      </c>
      <c r="F1087" s="208" t="s">
        <v>264</v>
      </c>
      <c r="G1087" s="208" t="s">
        <v>265</v>
      </c>
      <c r="H1087" s="209" t="s">
        <v>191</v>
      </c>
      <c r="I1087" s="210">
        <v>7</v>
      </c>
    </row>
    <row r="1088" spans="1:9" x14ac:dyDescent="0.25">
      <c r="A1088" s="74" t="s">
        <v>3229</v>
      </c>
      <c r="B1088" s="45">
        <v>1044</v>
      </c>
      <c r="C1088" s="63" t="s">
        <v>1453</v>
      </c>
      <c r="D1088" s="74">
        <v>500512</v>
      </c>
      <c r="E1088" s="208" t="s">
        <v>168</v>
      </c>
      <c r="F1088" s="208" t="s">
        <v>264</v>
      </c>
      <c r="G1088" s="208" t="s">
        <v>265</v>
      </c>
      <c r="H1088" s="209" t="s">
        <v>191</v>
      </c>
      <c r="I1088" s="210">
        <v>7</v>
      </c>
    </row>
    <row r="1089" spans="1:9" x14ac:dyDescent="0.25">
      <c r="A1089" s="74" t="s">
        <v>3230</v>
      </c>
      <c r="B1089" s="45">
        <v>1045</v>
      </c>
      <c r="C1089" s="45" t="s">
        <v>1454</v>
      </c>
      <c r="D1089" s="74">
        <v>500513</v>
      </c>
      <c r="E1089" s="208" t="s">
        <v>168</v>
      </c>
      <c r="F1089" s="208" t="s">
        <v>264</v>
      </c>
      <c r="G1089" s="208" t="s">
        <v>21</v>
      </c>
      <c r="H1089" s="209" t="s">
        <v>186</v>
      </c>
      <c r="I1089" s="210">
        <v>5</v>
      </c>
    </row>
    <row r="1090" spans="1:9" x14ac:dyDescent="0.25">
      <c r="A1090" s="74" t="s">
        <v>3230</v>
      </c>
      <c r="B1090" s="45" t="s">
        <v>23</v>
      </c>
      <c r="C1090" s="45" t="s">
        <v>23</v>
      </c>
      <c r="D1090" s="74">
        <v>500513</v>
      </c>
      <c r="E1090" s="208" t="s">
        <v>168</v>
      </c>
      <c r="F1090" s="208" t="s">
        <v>264</v>
      </c>
      <c r="G1090" s="208" t="s">
        <v>21</v>
      </c>
      <c r="H1090" s="209" t="s">
        <v>186</v>
      </c>
      <c r="I1090" s="210">
        <v>5</v>
      </c>
    </row>
    <row r="1091" spans="1:9" x14ac:dyDescent="0.25">
      <c r="A1091" s="74" t="s">
        <v>3231</v>
      </c>
      <c r="B1091" s="45">
        <v>1046</v>
      </c>
      <c r="C1091" s="63" t="s">
        <v>1455</v>
      </c>
      <c r="D1091" s="74">
        <v>500514</v>
      </c>
      <c r="E1091" s="208" t="s">
        <v>168</v>
      </c>
      <c r="F1091" s="208" t="s">
        <v>264</v>
      </c>
      <c r="G1091" s="208" t="s">
        <v>265</v>
      </c>
      <c r="H1091" s="209" t="s">
        <v>198</v>
      </c>
      <c r="I1091" s="210">
        <v>6</v>
      </c>
    </row>
    <row r="1092" spans="1:9" x14ac:dyDescent="0.25">
      <c r="A1092" s="74" t="s">
        <v>3232</v>
      </c>
      <c r="B1092" s="45">
        <v>1047</v>
      </c>
      <c r="C1092" s="63" t="s">
        <v>1456</v>
      </c>
      <c r="D1092" s="74">
        <v>500518</v>
      </c>
      <c r="E1092" s="208" t="s">
        <v>171</v>
      </c>
      <c r="F1092" s="208" t="s">
        <v>266</v>
      </c>
      <c r="G1092" s="208" t="s">
        <v>21</v>
      </c>
      <c r="H1092" s="209" t="s">
        <v>186</v>
      </c>
      <c r="I1092" s="210">
        <v>6</v>
      </c>
    </row>
    <row r="1093" spans="1:9" x14ac:dyDescent="0.25">
      <c r="A1093" s="74" t="s">
        <v>3233</v>
      </c>
      <c r="B1093" s="45">
        <v>1048</v>
      </c>
      <c r="C1093" s="63" t="s">
        <v>1457</v>
      </c>
      <c r="D1093" s="74">
        <v>500519</v>
      </c>
      <c r="E1093" s="208" t="s">
        <v>171</v>
      </c>
      <c r="F1093" s="208" t="s">
        <v>266</v>
      </c>
      <c r="G1093" s="208" t="s">
        <v>21</v>
      </c>
      <c r="H1093" s="209" t="s">
        <v>191</v>
      </c>
      <c r="I1093" s="210">
        <v>7</v>
      </c>
    </row>
    <row r="1094" spans="1:9" x14ac:dyDescent="0.25">
      <c r="A1094" s="74" t="s">
        <v>3234</v>
      </c>
      <c r="B1094" s="45">
        <v>1049</v>
      </c>
      <c r="C1094" s="63" t="s">
        <v>1458</v>
      </c>
      <c r="D1094" s="74">
        <v>500519</v>
      </c>
      <c r="E1094" s="208" t="s">
        <v>171</v>
      </c>
      <c r="F1094" s="208" t="s">
        <v>266</v>
      </c>
      <c r="G1094" s="208" t="s">
        <v>21</v>
      </c>
      <c r="H1094" s="209" t="s">
        <v>191</v>
      </c>
      <c r="I1094" s="210">
        <v>7</v>
      </c>
    </row>
    <row r="1095" spans="1:9" x14ac:dyDescent="0.25">
      <c r="A1095" s="74" t="s">
        <v>3235</v>
      </c>
      <c r="B1095" s="45">
        <v>1050</v>
      </c>
      <c r="C1095" s="63" t="s">
        <v>1459</v>
      </c>
      <c r="D1095" s="74">
        <v>500519</v>
      </c>
      <c r="E1095" s="208" t="s">
        <v>171</v>
      </c>
      <c r="F1095" s="208" t="s">
        <v>266</v>
      </c>
      <c r="G1095" s="208" t="s">
        <v>21</v>
      </c>
      <c r="H1095" s="209" t="s">
        <v>191</v>
      </c>
      <c r="I1095" s="210">
        <v>7</v>
      </c>
    </row>
    <row r="1096" spans="1:9" x14ac:dyDescent="0.25">
      <c r="A1096" s="74" t="s">
        <v>3236</v>
      </c>
      <c r="B1096" s="45">
        <v>1051</v>
      </c>
      <c r="C1096" s="63" t="s">
        <v>1460</v>
      </c>
      <c r="D1096" s="74">
        <v>500519</v>
      </c>
      <c r="E1096" s="208" t="s">
        <v>171</v>
      </c>
      <c r="F1096" s="208" t="s">
        <v>266</v>
      </c>
      <c r="G1096" s="208" t="s">
        <v>21</v>
      </c>
      <c r="H1096" s="209" t="s">
        <v>191</v>
      </c>
      <c r="I1096" s="210">
        <v>7</v>
      </c>
    </row>
    <row r="1097" spans="1:9" x14ac:dyDescent="0.25">
      <c r="A1097" s="74" t="s">
        <v>3237</v>
      </c>
      <c r="B1097" s="45">
        <v>1052</v>
      </c>
      <c r="C1097" s="63" t="s">
        <v>1461</v>
      </c>
      <c r="D1097" s="74">
        <v>500520</v>
      </c>
      <c r="E1097" s="208" t="s">
        <v>171</v>
      </c>
      <c r="F1097" s="208" t="s">
        <v>266</v>
      </c>
      <c r="G1097" s="208" t="s">
        <v>267</v>
      </c>
      <c r="H1097" s="209" t="s">
        <v>198</v>
      </c>
      <c r="I1097" s="210">
        <v>7</v>
      </c>
    </row>
    <row r="1098" spans="1:9" x14ac:dyDescent="0.25">
      <c r="A1098" s="74" t="s">
        <v>3238</v>
      </c>
      <c r="B1098" s="45">
        <v>1053</v>
      </c>
      <c r="C1098" s="45" t="s">
        <v>1462</v>
      </c>
      <c r="D1098" s="74">
        <v>500521</v>
      </c>
      <c r="E1098" s="208" t="s">
        <v>171</v>
      </c>
      <c r="F1098" s="208" t="s">
        <v>266</v>
      </c>
      <c r="G1098" s="208" t="s">
        <v>267</v>
      </c>
      <c r="H1098" s="209" t="s">
        <v>198</v>
      </c>
      <c r="I1098" s="210">
        <v>7</v>
      </c>
    </row>
    <row r="1099" spans="1:9" x14ac:dyDescent="0.25">
      <c r="A1099" s="74" t="s">
        <v>3239</v>
      </c>
      <c r="B1099" s="45">
        <v>1054</v>
      </c>
      <c r="C1099" s="63" t="s">
        <v>1463</v>
      </c>
      <c r="D1099" s="74">
        <v>500522</v>
      </c>
      <c r="E1099" s="208" t="s">
        <v>171</v>
      </c>
      <c r="F1099" s="208" t="s">
        <v>266</v>
      </c>
      <c r="G1099" s="208" t="s">
        <v>267</v>
      </c>
      <c r="H1099" s="209" t="s">
        <v>198</v>
      </c>
      <c r="I1099" s="210">
        <v>7</v>
      </c>
    </row>
    <row r="1100" spans="1:9" x14ac:dyDescent="0.25">
      <c r="A1100" s="74" t="s">
        <v>3240</v>
      </c>
      <c r="B1100" s="45">
        <v>1055</v>
      </c>
      <c r="C1100" s="63" t="s">
        <v>1464</v>
      </c>
      <c r="D1100" s="74">
        <v>500523</v>
      </c>
      <c r="E1100" s="208" t="s">
        <v>171</v>
      </c>
      <c r="F1100" s="208" t="s">
        <v>266</v>
      </c>
      <c r="G1100" s="208" t="s">
        <v>21</v>
      </c>
      <c r="H1100" s="209" t="s">
        <v>186</v>
      </c>
      <c r="I1100" s="210">
        <v>6</v>
      </c>
    </row>
    <row r="1101" spans="1:9" x14ac:dyDescent="0.25">
      <c r="A1101" s="74" t="s">
        <v>3241</v>
      </c>
      <c r="B1101" s="45">
        <v>1056</v>
      </c>
      <c r="C1101" s="45" t="s">
        <v>1465</v>
      </c>
      <c r="D1101" s="74">
        <v>500524</v>
      </c>
      <c r="E1101" s="208" t="s">
        <v>171</v>
      </c>
      <c r="F1101" s="208" t="s">
        <v>266</v>
      </c>
      <c r="G1101" s="208" t="s">
        <v>21</v>
      </c>
      <c r="H1101" s="209" t="s">
        <v>191</v>
      </c>
      <c r="I1101" s="210">
        <v>7</v>
      </c>
    </row>
    <row r="1102" spans="1:9" x14ac:dyDescent="0.25">
      <c r="A1102" s="74" t="s">
        <v>3242</v>
      </c>
      <c r="B1102" s="45">
        <v>1057</v>
      </c>
      <c r="C1102" s="63" t="s">
        <v>1466</v>
      </c>
      <c r="D1102" s="74">
        <v>500524</v>
      </c>
      <c r="E1102" s="208" t="s">
        <v>171</v>
      </c>
      <c r="F1102" s="208" t="s">
        <v>266</v>
      </c>
      <c r="G1102" s="208" t="s">
        <v>21</v>
      </c>
      <c r="H1102" s="209" t="s">
        <v>191</v>
      </c>
      <c r="I1102" s="210">
        <v>7</v>
      </c>
    </row>
    <row r="1103" spans="1:9" x14ac:dyDescent="0.25">
      <c r="A1103" s="74" t="s">
        <v>3243</v>
      </c>
      <c r="B1103" s="45">
        <v>1058</v>
      </c>
      <c r="C1103" s="63" t="s">
        <v>1467</v>
      </c>
      <c r="D1103" s="74">
        <v>500524</v>
      </c>
      <c r="E1103" s="208" t="s">
        <v>171</v>
      </c>
      <c r="F1103" s="208" t="s">
        <v>266</v>
      </c>
      <c r="G1103" s="208" t="s">
        <v>21</v>
      </c>
      <c r="H1103" s="209" t="s">
        <v>191</v>
      </c>
      <c r="I1103" s="210">
        <v>7</v>
      </c>
    </row>
    <row r="1104" spans="1:9" x14ac:dyDescent="0.25">
      <c r="A1104" s="74" t="s">
        <v>3244</v>
      </c>
      <c r="B1104" s="45">
        <v>1059</v>
      </c>
      <c r="C1104" s="63" t="s">
        <v>1468</v>
      </c>
      <c r="D1104" s="74">
        <v>500524</v>
      </c>
      <c r="E1104" s="208" t="s">
        <v>171</v>
      </c>
      <c r="F1104" s="208" t="s">
        <v>266</v>
      </c>
      <c r="G1104" s="208" t="s">
        <v>21</v>
      </c>
      <c r="H1104" s="209" t="s">
        <v>191</v>
      </c>
      <c r="I1104" s="210">
        <v>7</v>
      </c>
    </row>
    <row r="1105" spans="1:9" x14ac:dyDescent="0.25">
      <c r="A1105" s="74" t="s">
        <v>3245</v>
      </c>
      <c r="B1105" s="45">
        <v>1060</v>
      </c>
      <c r="C1105" s="63" t="s">
        <v>1469</v>
      </c>
      <c r="D1105" s="74">
        <v>500525</v>
      </c>
      <c r="E1105" s="208" t="s">
        <v>171</v>
      </c>
      <c r="F1105" s="208" t="s">
        <v>266</v>
      </c>
      <c r="G1105" s="208" t="s">
        <v>21</v>
      </c>
      <c r="H1105" s="209" t="s">
        <v>186</v>
      </c>
      <c r="I1105" s="210">
        <v>6</v>
      </c>
    </row>
    <row r="1106" spans="1:9" x14ac:dyDescent="0.25">
      <c r="A1106" s="74" t="s">
        <v>3246</v>
      </c>
      <c r="B1106" s="45">
        <v>1061</v>
      </c>
      <c r="C1106" s="63" t="s">
        <v>1470</v>
      </c>
      <c r="D1106" s="74">
        <v>500526</v>
      </c>
      <c r="E1106" s="208" t="s">
        <v>171</v>
      </c>
      <c r="F1106" s="208" t="s">
        <v>266</v>
      </c>
      <c r="G1106" s="208" t="s">
        <v>21</v>
      </c>
      <c r="H1106" s="209" t="s">
        <v>194</v>
      </c>
      <c r="I1106" s="210">
        <v>7</v>
      </c>
    </row>
    <row r="1107" spans="1:9" x14ac:dyDescent="0.25">
      <c r="A1107" s="74" t="s">
        <v>3247</v>
      </c>
      <c r="B1107" s="45">
        <v>1062</v>
      </c>
      <c r="C1107" s="63" t="s">
        <v>1471</v>
      </c>
      <c r="D1107" s="74">
        <v>500526</v>
      </c>
      <c r="E1107" s="208" t="s">
        <v>171</v>
      </c>
      <c r="F1107" s="208" t="s">
        <v>266</v>
      </c>
      <c r="G1107" s="208" t="s">
        <v>21</v>
      </c>
      <c r="H1107" s="209" t="s">
        <v>194</v>
      </c>
      <c r="I1107" s="210">
        <v>7</v>
      </c>
    </row>
    <row r="1108" spans="1:9" x14ac:dyDescent="0.25">
      <c r="A1108" s="74" t="s">
        <v>3248</v>
      </c>
      <c r="B1108" s="45">
        <v>1063</v>
      </c>
      <c r="C1108" s="63" t="s">
        <v>1472</v>
      </c>
      <c r="D1108" s="74">
        <v>500526</v>
      </c>
      <c r="E1108" s="208" t="s">
        <v>171</v>
      </c>
      <c r="F1108" s="208" t="s">
        <v>266</v>
      </c>
      <c r="G1108" s="208" t="s">
        <v>21</v>
      </c>
      <c r="H1108" s="209" t="s">
        <v>194</v>
      </c>
      <c r="I1108" s="210">
        <v>7</v>
      </c>
    </row>
    <row r="1109" spans="1:9" x14ac:dyDescent="0.25">
      <c r="A1109" s="74" t="s">
        <v>3249</v>
      </c>
      <c r="B1109" s="45">
        <v>1064</v>
      </c>
      <c r="C1109" s="45" t="s">
        <v>1473</v>
      </c>
      <c r="D1109" s="74">
        <v>500526</v>
      </c>
      <c r="E1109" s="208" t="s">
        <v>171</v>
      </c>
      <c r="F1109" s="208" t="s">
        <v>266</v>
      </c>
      <c r="G1109" s="208" t="s">
        <v>21</v>
      </c>
      <c r="H1109" s="209" t="s">
        <v>194</v>
      </c>
      <c r="I1109" s="210">
        <v>7</v>
      </c>
    </row>
    <row r="1110" spans="1:9" x14ac:dyDescent="0.25">
      <c r="A1110" s="74" t="s">
        <v>3250</v>
      </c>
      <c r="B1110" s="45">
        <v>1065</v>
      </c>
      <c r="C1110" s="63" t="s">
        <v>1474</v>
      </c>
      <c r="D1110" s="74">
        <v>500526</v>
      </c>
      <c r="E1110" s="208" t="s">
        <v>171</v>
      </c>
      <c r="F1110" s="208" t="s">
        <v>266</v>
      </c>
      <c r="G1110" s="208" t="s">
        <v>21</v>
      </c>
      <c r="H1110" s="209" t="s">
        <v>194</v>
      </c>
      <c r="I1110" s="210">
        <v>7</v>
      </c>
    </row>
    <row r="1111" spans="1:9" x14ac:dyDescent="0.25">
      <c r="A1111" s="74" t="s">
        <v>3251</v>
      </c>
      <c r="B1111" s="45">
        <v>1066</v>
      </c>
      <c r="C1111" s="63" t="s">
        <v>1475</v>
      </c>
      <c r="D1111" s="74">
        <v>500209</v>
      </c>
      <c r="E1111" s="208" t="s">
        <v>171</v>
      </c>
      <c r="F1111" s="208" t="s">
        <v>266</v>
      </c>
      <c r="G1111" s="208" t="s">
        <v>21</v>
      </c>
      <c r="H1111" s="209" t="s">
        <v>183</v>
      </c>
      <c r="I1111" s="210">
        <v>5</v>
      </c>
    </row>
    <row r="1112" spans="1:9" x14ac:dyDescent="0.25">
      <c r="A1112" s="74" t="s">
        <v>3252</v>
      </c>
      <c r="B1112" s="45">
        <v>1067</v>
      </c>
      <c r="C1112" s="63" t="s">
        <v>1476</v>
      </c>
      <c r="D1112" s="74">
        <v>500210</v>
      </c>
      <c r="E1112" s="208" t="s">
        <v>171</v>
      </c>
      <c r="F1112" s="208" t="s">
        <v>266</v>
      </c>
      <c r="G1112" s="208" t="s">
        <v>21</v>
      </c>
      <c r="H1112" s="209" t="s">
        <v>186</v>
      </c>
      <c r="I1112" s="210">
        <v>6</v>
      </c>
    </row>
    <row r="1113" spans="1:9" x14ac:dyDescent="0.25">
      <c r="A1113" s="74" t="s">
        <v>3253</v>
      </c>
      <c r="B1113" s="45">
        <v>1068</v>
      </c>
      <c r="C1113" s="63" t="s">
        <v>1477</v>
      </c>
      <c r="D1113" s="74">
        <v>500211</v>
      </c>
      <c r="E1113" s="208" t="s">
        <v>171</v>
      </c>
      <c r="F1113" s="208" t="s">
        <v>266</v>
      </c>
      <c r="G1113" s="208" t="s">
        <v>21</v>
      </c>
      <c r="H1113" s="209" t="s">
        <v>191</v>
      </c>
      <c r="I1113" s="210">
        <v>7</v>
      </c>
    </row>
    <row r="1114" spans="1:9" x14ac:dyDescent="0.25">
      <c r="A1114" s="74" t="s">
        <v>3254</v>
      </c>
      <c r="B1114" s="45">
        <v>1069</v>
      </c>
      <c r="C1114" s="63" t="s">
        <v>1478</v>
      </c>
      <c r="D1114" s="74">
        <v>500211</v>
      </c>
      <c r="E1114" s="208" t="s">
        <v>171</v>
      </c>
      <c r="F1114" s="208" t="s">
        <v>266</v>
      </c>
      <c r="G1114" s="208" t="s">
        <v>21</v>
      </c>
      <c r="H1114" s="209" t="s">
        <v>191</v>
      </c>
      <c r="I1114" s="210">
        <v>7</v>
      </c>
    </row>
    <row r="1115" spans="1:9" x14ac:dyDescent="0.25">
      <c r="A1115" s="74" t="s">
        <v>3255</v>
      </c>
      <c r="B1115" s="45">
        <v>1070</v>
      </c>
      <c r="C1115" s="63" t="s">
        <v>1479</v>
      </c>
      <c r="D1115" s="74">
        <v>500211</v>
      </c>
      <c r="E1115" s="208" t="s">
        <v>171</v>
      </c>
      <c r="F1115" s="208" t="s">
        <v>266</v>
      </c>
      <c r="G1115" s="208" t="s">
        <v>21</v>
      </c>
      <c r="H1115" s="209" t="s">
        <v>191</v>
      </c>
      <c r="I1115" s="210">
        <v>7</v>
      </c>
    </row>
    <row r="1116" spans="1:9" x14ac:dyDescent="0.25">
      <c r="A1116" s="74" t="s">
        <v>3256</v>
      </c>
      <c r="B1116" s="45">
        <v>1071</v>
      </c>
      <c r="C1116" s="63" t="s">
        <v>1480</v>
      </c>
      <c r="D1116" s="74">
        <v>500211</v>
      </c>
      <c r="E1116" s="208" t="s">
        <v>171</v>
      </c>
      <c r="F1116" s="208" t="s">
        <v>266</v>
      </c>
      <c r="G1116" s="208" t="s">
        <v>21</v>
      </c>
      <c r="H1116" s="209" t="s">
        <v>191</v>
      </c>
      <c r="I1116" s="210">
        <v>7</v>
      </c>
    </row>
    <row r="1117" spans="1:9" x14ac:dyDescent="0.25">
      <c r="A1117" s="74" t="s">
        <v>3257</v>
      </c>
      <c r="B1117" s="45">
        <v>1072</v>
      </c>
      <c r="C1117" s="63" t="s">
        <v>1481</v>
      </c>
      <c r="D1117" s="74">
        <v>500211</v>
      </c>
      <c r="E1117" s="208" t="s">
        <v>171</v>
      </c>
      <c r="F1117" s="208" t="s">
        <v>266</v>
      </c>
      <c r="G1117" s="208" t="s">
        <v>21</v>
      </c>
      <c r="H1117" s="209" t="s">
        <v>191</v>
      </c>
      <c r="I1117" s="210">
        <v>7</v>
      </c>
    </row>
    <row r="1118" spans="1:9" x14ac:dyDescent="0.25">
      <c r="A1118" s="74" t="s">
        <v>3258</v>
      </c>
      <c r="B1118" s="45">
        <v>1073</v>
      </c>
      <c r="C1118" s="63" t="s">
        <v>1482</v>
      </c>
      <c r="D1118" s="74">
        <v>500212</v>
      </c>
      <c r="E1118" s="208" t="s">
        <v>171</v>
      </c>
      <c r="F1118" s="208" t="s">
        <v>266</v>
      </c>
      <c r="G1118" s="208" t="s">
        <v>21</v>
      </c>
      <c r="H1118" s="209" t="s">
        <v>192</v>
      </c>
      <c r="I1118" s="210">
        <v>7</v>
      </c>
    </row>
    <row r="1119" spans="1:9" x14ac:dyDescent="0.25">
      <c r="A1119" s="74" t="s">
        <v>3259</v>
      </c>
      <c r="B1119" s="45">
        <v>1074</v>
      </c>
      <c r="C1119" s="45" t="s">
        <v>1483</v>
      </c>
      <c r="D1119" s="74">
        <v>500214</v>
      </c>
      <c r="E1119" s="208" t="s">
        <v>171</v>
      </c>
      <c r="F1119" s="208" t="s">
        <v>266</v>
      </c>
      <c r="G1119" s="208" t="s">
        <v>21</v>
      </c>
      <c r="H1119" s="209" t="s">
        <v>186</v>
      </c>
      <c r="I1119" s="210">
        <v>6</v>
      </c>
    </row>
    <row r="1120" spans="1:9" x14ac:dyDescent="0.25">
      <c r="A1120" s="74" t="s">
        <v>3260</v>
      </c>
      <c r="B1120" s="45">
        <v>1075</v>
      </c>
      <c r="C1120" s="63" t="s">
        <v>1484</v>
      </c>
      <c r="D1120" s="74">
        <v>500215</v>
      </c>
      <c r="E1120" s="208" t="s">
        <v>171</v>
      </c>
      <c r="F1120" s="208" t="s">
        <v>266</v>
      </c>
      <c r="G1120" s="208" t="s">
        <v>21</v>
      </c>
      <c r="H1120" s="209" t="s">
        <v>191</v>
      </c>
      <c r="I1120" s="210">
        <v>7</v>
      </c>
    </row>
    <row r="1121" spans="1:9" x14ac:dyDescent="0.25">
      <c r="A1121" s="74" t="s">
        <v>3261</v>
      </c>
      <c r="B1121" s="45">
        <v>1076</v>
      </c>
      <c r="C1121" s="63" t="s">
        <v>1485</v>
      </c>
      <c r="D1121" s="74">
        <v>500215</v>
      </c>
      <c r="E1121" s="208" t="s">
        <v>171</v>
      </c>
      <c r="F1121" s="208" t="s">
        <v>266</v>
      </c>
      <c r="G1121" s="208" t="s">
        <v>21</v>
      </c>
      <c r="H1121" s="209" t="s">
        <v>191</v>
      </c>
      <c r="I1121" s="210">
        <v>7</v>
      </c>
    </row>
    <row r="1122" spans="1:9" x14ac:dyDescent="0.25">
      <c r="A1122" s="74" t="s">
        <v>3262</v>
      </c>
      <c r="B1122" s="45">
        <v>1077</v>
      </c>
      <c r="C1122" s="63" t="s">
        <v>1486</v>
      </c>
      <c r="D1122" s="74">
        <v>500215</v>
      </c>
      <c r="E1122" s="208" t="s">
        <v>171</v>
      </c>
      <c r="F1122" s="208" t="s">
        <v>266</v>
      </c>
      <c r="G1122" s="208" t="s">
        <v>21</v>
      </c>
      <c r="H1122" s="209" t="s">
        <v>191</v>
      </c>
      <c r="I1122" s="210">
        <v>7</v>
      </c>
    </row>
    <row r="1123" spans="1:9" x14ac:dyDescent="0.25">
      <c r="A1123" s="74" t="s">
        <v>3263</v>
      </c>
      <c r="B1123" s="45">
        <v>1078</v>
      </c>
      <c r="C1123" s="63" t="s">
        <v>1487</v>
      </c>
      <c r="D1123" s="74">
        <v>500215</v>
      </c>
      <c r="E1123" s="208" t="s">
        <v>171</v>
      </c>
      <c r="F1123" s="208" t="s">
        <v>266</v>
      </c>
      <c r="G1123" s="208" t="s">
        <v>21</v>
      </c>
      <c r="H1123" s="209" t="s">
        <v>191</v>
      </c>
      <c r="I1123" s="210">
        <v>7</v>
      </c>
    </row>
    <row r="1124" spans="1:9" x14ac:dyDescent="0.25">
      <c r="A1124" s="74" t="s">
        <v>3264</v>
      </c>
      <c r="B1124" s="45">
        <v>1079</v>
      </c>
      <c r="C1124" s="63" t="s">
        <v>1488</v>
      </c>
      <c r="D1124" s="74">
        <v>500533</v>
      </c>
      <c r="E1124" s="208" t="s">
        <v>159</v>
      </c>
      <c r="F1124" s="208" t="s">
        <v>255</v>
      </c>
      <c r="G1124" s="208" t="s">
        <v>21</v>
      </c>
      <c r="H1124" s="209" t="s">
        <v>192</v>
      </c>
      <c r="I1124" s="210">
        <v>7</v>
      </c>
    </row>
    <row r="1125" spans="1:9" x14ac:dyDescent="0.25">
      <c r="A1125" s="74" t="s">
        <v>3265</v>
      </c>
      <c r="B1125" s="45">
        <v>1080</v>
      </c>
      <c r="C1125" s="63" t="s">
        <v>1489</v>
      </c>
      <c r="D1125" s="74">
        <v>500534</v>
      </c>
      <c r="E1125" s="208" t="s">
        <v>159</v>
      </c>
      <c r="F1125" s="208" t="s">
        <v>255</v>
      </c>
      <c r="G1125" s="208" t="s">
        <v>263</v>
      </c>
      <c r="H1125" s="209" t="s">
        <v>192</v>
      </c>
      <c r="I1125" s="210">
        <v>7</v>
      </c>
    </row>
    <row r="1126" spans="1:9" x14ac:dyDescent="0.25">
      <c r="A1126" s="74" t="s">
        <v>3266</v>
      </c>
      <c r="B1126" s="45">
        <v>1081</v>
      </c>
      <c r="C1126" s="63" t="s">
        <v>1490</v>
      </c>
      <c r="D1126" s="74">
        <v>500536</v>
      </c>
      <c r="E1126" s="208" t="s">
        <v>159</v>
      </c>
      <c r="F1126" s="208" t="s">
        <v>255</v>
      </c>
      <c r="G1126" s="208" t="s">
        <v>263</v>
      </c>
      <c r="H1126" s="209" t="s">
        <v>192</v>
      </c>
      <c r="I1126" s="210">
        <v>7</v>
      </c>
    </row>
    <row r="1127" spans="1:9" x14ac:dyDescent="0.25">
      <c r="A1127" s="74" t="s">
        <v>3267</v>
      </c>
      <c r="B1127" s="45">
        <v>1082</v>
      </c>
      <c r="C1127" s="45" t="s">
        <v>1491</v>
      </c>
      <c r="D1127" s="74">
        <v>500537</v>
      </c>
      <c r="E1127" s="208" t="s">
        <v>147</v>
      </c>
      <c r="F1127" s="208" t="s">
        <v>256</v>
      </c>
      <c r="G1127" s="208" t="s">
        <v>21</v>
      </c>
      <c r="H1127" s="209" t="s">
        <v>192</v>
      </c>
      <c r="I1127" s="210">
        <v>7</v>
      </c>
    </row>
    <row r="1128" spans="1:9" x14ac:dyDescent="0.25">
      <c r="A1128" s="74" t="s">
        <v>3268</v>
      </c>
      <c r="B1128" s="45">
        <v>1083</v>
      </c>
      <c r="C1128" s="45" t="s">
        <v>1492</v>
      </c>
      <c r="D1128" s="74">
        <v>500538</v>
      </c>
      <c r="E1128" s="208" t="s">
        <v>147</v>
      </c>
      <c r="F1128" s="208" t="s">
        <v>256</v>
      </c>
      <c r="G1128" s="208" t="s">
        <v>21</v>
      </c>
      <c r="H1128" s="209" t="s">
        <v>192</v>
      </c>
      <c r="I1128" s="210">
        <v>7</v>
      </c>
    </row>
    <row r="1129" spans="1:9" x14ac:dyDescent="0.25">
      <c r="A1129" s="74" t="s">
        <v>3269</v>
      </c>
      <c r="B1129" s="45">
        <v>1084</v>
      </c>
      <c r="C1129" s="64" t="s">
        <v>1493</v>
      </c>
      <c r="D1129" s="74">
        <v>500545</v>
      </c>
      <c r="E1129" s="208" t="s">
        <v>130</v>
      </c>
      <c r="F1129" s="208" t="s">
        <v>268</v>
      </c>
      <c r="G1129" s="208" t="s">
        <v>21</v>
      </c>
      <c r="H1129" s="209" t="s">
        <v>181</v>
      </c>
      <c r="I1129" s="210">
        <v>3</v>
      </c>
    </row>
    <row r="1130" spans="1:9" x14ac:dyDescent="0.25">
      <c r="A1130" s="74" t="s">
        <v>3270</v>
      </c>
      <c r="B1130" s="45">
        <v>1085</v>
      </c>
      <c r="C1130" s="63" t="s">
        <v>1494</v>
      </c>
      <c r="D1130" s="74">
        <v>500469</v>
      </c>
      <c r="E1130" s="208" t="s">
        <v>159</v>
      </c>
      <c r="F1130" s="208" t="s">
        <v>255</v>
      </c>
      <c r="G1130" s="208" t="s">
        <v>263</v>
      </c>
      <c r="H1130" s="209" t="s">
        <v>192</v>
      </c>
      <c r="I1130" s="210">
        <v>7</v>
      </c>
    </row>
    <row r="1131" spans="1:9" x14ac:dyDescent="0.25">
      <c r="A1131" s="74" t="s">
        <v>3271</v>
      </c>
      <c r="B1131" s="45">
        <v>1086</v>
      </c>
      <c r="C1131" s="45" t="s">
        <v>1495</v>
      </c>
      <c r="D1131" s="74">
        <v>500363</v>
      </c>
      <c r="E1131" s="208" t="s">
        <v>123</v>
      </c>
      <c r="F1131" s="208" t="s">
        <v>254</v>
      </c>
      <c r="G1131" s="208" t="s">
        <v>21</v>
      </c>
      <c r="H1131" s="209" t="s">
        <v>191</v>
      </c>
      <c r="I1131" s="210">
        <v>7</v>
      </c>
    </row>
    <row r="1132" spans="1:9" x14ac:dyDescent="0.25">
      <c r="A1132" s="74" t="s">
        <v>3272</v>
      </c>
      <c r="B1132" s="45">
        <v>1087</v>
      </c>
      <c r="C1132" s="64" t="s">
        <v>1496</v>
      </c>
      <c r="D1132" s="74">
        <v>500080</v>
      </c>
      <c r="E1132" s="208" t="s">
        <v>130</v>
      </c>
      <c r="F1132" s="208" t="s">
        <v>268</v>
      </c>
      <c r="G1132" s="208" t="s">
        <v>21</v>
      </c>
      <c r="H1132" s="209" t="s">
        <v>179</v>
      </c>
      <c r="I1132" s="210">
        <v>5</v>
      </c>
    </row>
    <row r="1133" spans="1:9" x14ac:dyDescent="0.25">
      <c r="A1133" s="74" t="s">
        <v>3273</v>
      </c>
      <c r="B1133" s="45">
        <v>1088</v>
      </c>
      <c r="C1133" s="64" t="s">
        <v>1497</v>
      </c>
      <c r="D1133" s="74">
        <v>500081</v>
      </c>
      <c r="E1133" s="208" t="s">
        <v>130</v>
      </c>
      <c r="F1133" s="208" t="s">
        <v>268</v>
      </c>
      <c r="G1133" s="208" t="s">
        <v>21</v>
      </c>
      <c r="H1133" s="209" t="s">
        <v>179</v>
      </c>
      <c r="I1133" s="210">
        <v>5</v>
      </c>
    </row>
    <row r="1134" spans="1:9" x14ac:dyDescent="0.25">
      <c r="A1134" s="74" t="s">
        <v>3274</v>
      </c>
      <c r="B1134" s="45">
        <v>1089</v>
      </c>
      <c r="C1134" s="64" t="s">
        <v>1498</v>
      </c>
      <c r="D1134" s="74">
        <v>500082</v>
      </c>
      <c r="E1134" s="208" t="s">
        <v>130</v>
      </c>
      <c r="F1134" s="208" t="s">
        <v>268</v>
      </c>
      <c r="G1134" s="208" t="s">
        <v>269</v>
      </c>
      <c r="H1134" s="209" t="s">
        <v>187</v>
      </c>
      <c r="I1134" s="210">
        <v>6</v>
      </c>
    </row>
    <row r="1135" spans="1:9" x14ac:dyDescent="0.25">
      <c r="A1135" s="74" t="s">
        <v>3275</v>
      </c>
      <c r="B1135" s="45">
        <v>1090</v>
      </c>
      <c r="C1135" s="64" t="s">
        <v>1499</v>
      </c>
      <c r="D1135" s="74">
        <v>500083</v>
      </c>
      <c r="E1135" s="208" t="s">
        <v>130</v>
      </c>
      <c r="F1135" s="208" t="s">
        <v>268</v>
      </c>
      <c r="G1135" s="208" t="s">
        <v>21</v>
      </c>
      <c r="H1135" s="209" t="s">
        <v>179</v>
      </c>
      <c r="I1135" s="210">
        <v>5</v>
      </c>
    </row>
    <row r="1136" spans="1:9" x14ac:dyDescent="0.25">
      <c r="A1136" s="74" t="s">
        <v>3276</v>
      </c>
      <c r="B1136" s="45">
        <v>1091</v>
      </c>
      <c r="C1136" s="64" t="s">
        <v>1500</v>
      </c>
      <c r="D1136" s="74">
        <v>500084</v>
      </c>
      <c r="E1136" s="208" t="s">
        <v>130</v>
      </c>
      <c r="F1136" s="208" t="s">
        <v>268</v>
      </c>
      <c r="G1136" s="208" t="s">
        <v>269</v>
      </c>
      <c r="H1136" s="209" t="s">
        <v>187</v>
      </c>
      <c r="I1136" s="210">
        <v>6</v>
      </c>
    </row>
    <row r="1137" spans="1:9" x14ac:dyDescent="0.25">
      <c r="A1137" s="74" t="s">
        <v>3277</v>
      </c>
      <c r="B1137" s="45">
        <v>1092</v>
      </c>
      <c r="C1137" s="64" t="s">
        <v>1501</v>
      </c>
      <c r="D1137" s="74">
        <v>500085</v>
      </c>
      <c r="E1137" s="208" t="s">
        <v>130</v>
      </c>
      <c r="F1137" s="208" t="s">
        <v>268</v>
      </c>
      <c r="G1137" s="208" t="s">
        <v>269</v>
      </c>
      <c r="H1137" s="209" t="s">
        <v>187</v>
      </c>
      <c r="I1137" s="210">
        <v>6</v>
      </c>
    </row>
    <row r="1138" spans="1:9" x14ac:dyDescent="0.25">
      <c r="A1138" s="74" t="s">
        <v>3278</v>
      </c>
      <c r="B1138" s="45">
        <v>1093</v>
      </c>
      <c r="C1138" s="45" t="s">
        <v>1502</v>
      </c>
      <c r="D1138" s="74">
        <v>500576</v>
      </c>
      <c r="E1138" s="208" t="s">
        <v>134</v>
      </c>
      <c r="F1138" s="208" t="s">
        <v>21</v>
      </c>
      <c r="G1138" s="208" t="s">
        <v>21</v>
      </c>
      <c r="H1138" s="209" t="s">
        <v>189</v>
      </c>
      <c r="I1138" s="210">
        <v>7</v>
      </c>
    </row>
    <row r="1139" spans="1:9" x14ac:dyDescent="0.25">
      <c r="A1139" s="74" t="s">
        <v>3279</v>
      </c>
      <c r="B1139" s="45">
        <v>1094</v>
      </c>
      <c r="C1139" s="64" t="s">
        <v>1503</v>
      </c>
      <c r="D1139" s="74">
        <v>500577</v>
      </c>
      <c r="E1139" s="208" t="s">
        <v>147</v>
      </c>
      <c r="F1139" s="209" t="s">
        <v>256</v>
      </c>
      <c r="G1139" s="208" t="s">
        <v>21</v>
      </c>
      <c r="H1139" s="209" t="s">
        <v>189</v>
      </c>
      <c r="I1139" s="210">
        <v>6</v>
      </c>
    </row>
    <row r="1140" spans="1:9" x14ac:dyDescent="0.25">
      <c r="A1140" s="74" t="s">
        <v>3280</v>
      </c>
      <c r="B1140" s="45">
        <v>1095</v>
      </c>
      <c r="C1140" s="64" t="s">
        <v>1504</v>
      </c>
      <c r="D1140" s="74">
        <v>500591</v>
      </c>
      <c r="E1140" s="208" t="s">
        <v>130</v>
      </c>
      <c r="F1140" s="208" t="s">
        <v>268</v>
      </c>
      <c r="G1140" s="208" t="s">
        <v>21</v>
      </c>
      <c r="H1140" s="209" t="s">
        <v>179</v>
      </c>
      <c r="I1140" s="210">
        <v>5</v>
      </c>
    </row>
    <row r="1141" spans="1:9" x14ac:dyDescent="0.25">
      <c r="A1141" s="74" t="s">
        <v>3281</v>
      </c>
      <c r="B1141" s="45">
        <v>1096</v>
      </c>
      <c r="C1141" s="64" t="s">
        <v>1505</v>
      </c>
      <c r="D1141" s="74">
        <v>500592</v>
      </c>
      <c r="E1141" s="208" t="s">
        <v>130</v>
      </c>
      <c r="F1141" s="208" t="s">
        <v>268</v>
      </c>
      <c r="G1141" s="208" t="s">
        <v>269</v>
      </c>
      <c r="H1141" s="209" t="s">
        <v>187</v>
      </c>
      <c r="I1141" s="210">
        <v>6</v>
      </c>
    </row>
    <row r="1142" spans="1:9" x14ac:dyDescent="0.25">
      <c r="A1142" s="74" t="s">
        <v>3282</v>
      </c>
      <c r="B1142" s="45">
        <v>1097</v>
      </c>
      <c r="C1142" s="64" t="s">
        <v>1506</v>
      </c>
      <c r="D1142" s="74">
        <v>500593</v>
      </c>
      <c r="E1142" s="208" t="s">
        <v>130</v>
      </c>
      <c r="F1142" s="208" t="s">
        <v>268</v>
      </c>
      <c r="G1142" s="208" t="s">
        <v>269</v>
      </c>
      <c r="H1142" s="209" t="s">
        <v>187</v>
      </c>
      <c r="I1142" s="210">
        <v>6</v>
      </c>
    </row>
    <row r="1143" spans="1:9" x14ac:dyDescent="0.25">
      <c r="A1143" s="74" t="s">
        <v>3283</v>
      </c>
      <c r="B1143" s="45">
        <v>1098</v>
      </c>
      <c r="C1143" s="63" t="s">
        <v>1507</v>
      </c>
      <c r="D1143" s="74">
        <v>500610</v>
      </c>
      <c r="E1143" s="208" t="s">
        <v>172</v>
      </c>
      <c r="F1143" s="208" t="s">
        <v>270</v>
      </c>
      <c r="G1143" s="208" t="s">
        <v>21</v>
      </c>
      <c r="H1143" s="209" t="s">
        <v>183</v>
      </c>
      <c r="I1143" s="210">
        <v>5</v>
      </c>
    </row>
    <row r="1144" spans="1:9" x14ac:dyDescent="0.25">
      <c r="A1144" s="74" t="s">
        <v>3284</v>
      </c>
      <c r="B1144" s="45">
        <v>1099</v>
      </c>
      <c r="C1144" s="63" t="s">
        <v>1508</v>
      </c>
      <c r="D1144" s="74">
        <v>500611</v>
      </c>
      <c r="E1144" s="208" t="s">
        <v>171</v>
      </c>
      <c r="F1144" s="208" t="s">
        <v>266</v>
      </c>
      <c r="G1144" s="208" t="s">
        <v>267</v>
      </c>
      <c r="H1144" s="209" t="s">
        <v>192</v>
      </c>
      <c r="I1144" s="210">
        <v>7</v>
      </c>
    </row>
    <row r="1145" spans="1:9" x14ac:dyDescent="0.25">
      <c r="A1145" s="74" t="s">
        <v>3285</v>
      </c>
      <c r="B1145" s="45">
        <v>1100</v>
      </c>
      <c r="C1145" s="63" t="s">
        <v>1509</v>
      </c>
      <c r="D1145" s="74">
        <v>500616</v>
      </c>
      <c r="E1145" s="208" t="s">
        <v>159</v>
      </c>
      <c r="F1145" s="208" t="s">
        <v>255</v>
      </c>
      <c r="G1145" s="208" t="s">
        <v>263</v>
      </c>
      <c r="H1145" s="209" t="s">
        <v>192</v>
      </c>
      <c r="I1145" s="210">
        <v>7</v>
      </c>
    </row>
    <row r="1146" spans="1:9" x14ac:dyDescent="0.25">
      <c r="A1146" s="74" t="s">
        <v>3286</v>
      </c>
      <c r="B1146" s="45">
        <v>1101</v>
      </c>
      <c r="C1146" s="45" t="s">
        <v>1510</v>
      </c>
      <c r="D1146" s="74">
        <v>500621</v>
      </c>
      <c r="E1146" s="208" t="s">
        <v>134</v>
      </c>
      <c r="F1146" s="208" t="s">
        <v>257</v>
      </c>
      <c r="G1146" s="208" t="s">
        <v>21</v>
      </c>
      <c r="H1146" s="209" t="s">
        <v>189</v>
      </c>
      <c r="I1146" s="210">
        <v>7</v>
      </c>
    </row>
    <row r="1147" spans="1:9" x14ac:dyDescent="0.25">
      <c r="A1147" s="74" t="s">
        <v>3287</v>
      </c>
      <c r="B1147" s="45">
        <v>1102</v>
      </c>
      <c r="C1147" s="63" t="s">
        <v>1511</v>
      </c>
      <c r="D1147" s="74">
        <v>500622</v>
      </c>
      <c r="E1147" s="208" t="s">
        <v>171</v>
      </c>
      <c r="F1147" s="208" t="s">
        <v>266</v>
      </c>
      <c r="G1147" s="208" t="s">
        <v>267</v>
      </c>
      <c r="H1147" s="209" t="s">
        <v>192</v>
      </c>
      <c r="I1147" s="210">
        <v>7</v>
      </c>
    </row>
    <row r="1148" spans="1:9" ht="24" x14ac:dyDescent="0.25">
      <c r="A1148" s="74" t="s">
        <v>3288</v>
      </c>
      <c r="B1148" s="45">
        <v>1103</v>
      </c>
      <c r="C1148" s="64" t="s">
        <v>1512</v>
      </c>
      <c r="D1148" s="74">
        <v>500641</v>
      </c>
      <c r="E1148" s="208" t="s">
        <v>134</v>
      </c>
      <c r="F1148" s="212" t="s">
        <v>257</v>
      </c>
      <c r="G1148" s="208" t="s">
        <v>21</v>
      </c>
      <c r="H1148" s="209" t="s">
        <v>186</v>
      </c>
      <c r="I1148" s="210">
        <v>6</v>
      </c>
    </row>
    <row r="1149" spans="1:9" ht="24" x14ac:dyDescent="0.25">
      <c r="A1149" s="74" t="s">
        <v>3289</v>
      </c>
      <c r="B1149" s="45">
        <v>1104</v>
      </c>
      <c r="C1149" s="45" t="s">
        <v>1513</v>
      </c>
      <c r="D1149" s="74">
        <v>500639</v>
      </c>
      <c r="E1149" s="208" t="s">
        <v>134</v>
      </c>
      <c r="F1149" s="212" t="s">
        <v>257</v>
      </c>
      <c r="G1149" s="209" t="s">
        <v>260</v>
      </c>
      <c r="H1149" s="209" t="s">
        <v>192</v>
      </c>
      <c r="I1149" s="210">
        <v>7</v>
      </c>
    </row>
    <row r="1150" spans="1:9" x14ac:dyDescent="0.25">
      <c r="A1150" s="74" t="s">
        <v>3290</v>
      </c>
      <c r="B1150" s="45">
        <v>1105</v>
      </c>
      <c r="C1150" s="45" t="s">
        <v>1514</v>
      </c>
      <c r="D1150" s="74">
        <v>500640</v>
      </c>
      <c r="E1150" s="208" t="s">
        <v>134</v>
      </c>
      <c r="F1150" s="208" t="s">
        <v>257</v>
      </c>
      <c r="G1150" s="208" t="s">
        <v>260</v>
      </c>
      <c r="H1150" s="209" t="s">
        <v>198</v>
      </c>
      <c r="I1150" s="210">
        <v>7</v>
      </c>
    </row>
    <row r="1151" spans="1:9" x14ac:dyDescent="0.25">
      <c r="A1151" s="74" t="s">
        <v>3291</v>
      </c>
      <c r="B1151" s="45">
        <v>1106</v>
      </c>
      <c r="C1151" s="45" t="s">
        <v>1515</v>
      </c>
      <c r="D1151" s="74">
        <v>500642</v>
      </c>
      <c r="E1151" s="208" t="s">
        <v>134</v>
      </c>
      <c r="F1151" s="208" t="s">
        <v>257</v>
      </c>
      <c r="G1151" s="208" t="s">
        <v>260</v>
      </c>
      <c r="H1151" s="209" t="s">
        <v>192</v>
      </c>
      <c r="I1151" s="210">
        <v>7</v>
      </c>
    </row>
    <row r="1152" spans="1:9" x14ac:dyDescent="0.25">
      <c r="A1152" s="74" t="s">
        <v>3292</v>
      </c>
      <c r="B1152" s="45">
        <v>1107</v>
      </c>
      <c r="C1152" s="64" t="s">
        <v>1516</v>
      </c>
      <c r="D1152" s="74">
        <v>500644</v>
      </c>
      <c r="E1152" s="208" t="s">
        <v>130</v>
      </c>
      <c r="F1152" s="208" t="s">
        <v>268</v>
      </c>
      <c r="G1152" s="208" t="s">
        <v>269</v>
      </c>
      <c r="H1152" s="209" t="s">
        <v>187</v>
      </c>
      <c r="I1152" s="210">
        <v>6</v>
      </c>
    </row>
    <row r="1153" spans="1:9" x14ac:dyDescent="0.25">
      <c r="A1153" s="74" t="s">
        <v>3293</v>
      </c>
      <c r="B1153" s="45">
        <v>1108</v>
      </c>
      <c r="C1153" s="64" t="s">
        <v>1517</v>
      </c>
      <c r="D1153" s="74">
        <v>500719</v>
      </c>
      <c r="E1153" s="208" t="s">
        <v>147</v>
      </c>
      <c r="F1153" s="208" t="s">
        <v>256</v>
      </c>
      <c r="G1153" s="208" t="s">
        <v>21</v>
      </c>
      <c r="H1153" s="209" t="s">
        <v>198</v>
      </c>
      <c r="I1153" s="210">
        <v>6</v>
      </c>
    </row>
    <row r="1154" spans="1:9" x14ac:dyDescent="0.25">
      <c r="A1154" s="74" t="s">
        <v>3294</v>
      </c>
      <c r="B1154" s="45">
        <v>1109</v>
      </c>
      <c r="C1154" s="45" t="s">
        <v>1518</v>
      </c>
      <c r="D1154" s="74">
        <v>500720</v>
      </c>
      <c r="E1154" s="208" t="s">
        <v>147</v>
      </c>
      <c r="F1154" s="208" t="s">
        <v>256</v>
      </c>
      <c r="G1154" s="208" t="s">
        <v>21</v>
      </c>
      <c r="H1154" s="209" t="s">
        <v>192</v>
      </c>
      <c r="I1154" s="210">
        <v>7</v>
      </c>
    </row>
    <row r="1155" spans="1:9" x14ac:dyDescent="0.25">
      <c r="A1155" s="74" t="s">
        <v>3295</v>
      </c>
      <c r="B1155" s="45">
        <v>1110</v>
      </c>
      <c r="C1155" s="45" t="s">
        <v>1519</v>
      </c>
      <c r="D1155" s="74">
        <v>500721</v>
      </c>
      <c r="E1155" s="208" t="s">
        <v>147</v>
      </c>
      <c r="F1155" s="208" t="s">
        <v>256</v>
      </c>
      <c r="G1155" s="208" t="s">
        <v>21</v>
      </c>
      <c r="H1155" s="209" t="s">
        <v>192</v>
      </c>
      <c r="I1155" s="210">
        <v>7</v>
      </c>
    </row>
    <row r="1156" spans="1:9" x14ac:dyDescent="0.25">
      <c r="A1156" s="74" t="s">
        <v>2805</v>
      </c>
      <c r="B1156" s="45">
        <v>629</v>
      </c>
      <c r="C1156" s="64" t="s">
        <v>1038</v>
      </c>
      <c r="D1156" s="74">
        <v>500009</v>
      </c>
      <c r="E1156" s="208" t="s">
        <v>138</v>
      </c>
      <c r="F1156" s="209" t="s">
        <v>21</v>
      </c>
      <c r="G1156" s="209" t="s">
        <v>21</v>
      </c>
      <c r="H1156" s="209" t="s">
        <v>183</v>
      </c>
      <c r="I1156" s="210">
        <v>5</v>
      </c>
    </row>
    <row r="1157" spans="1:9" x14ac:dyDescent="0.25">
      <c r="A1157" s="74"/>
      <c r="B1157" s="45">
        <v>1111</v>
      </c>
      <c r="C1157" s="64" t="s">
        <v>1520</v>
      </c>
      <c r="D1157" s="74"/>
      <c r="E1157" s="208" t="s">
        <v>124</v>
      </c>
      <c r="F1157" s="209" t="s">
        <v>21</v>
      </c>
      <c r="G1157" s="209" t="s">
        <v>21</v>
      </c>
      <c r="H1157" s="209" t="s">
        <v>189</v>
      </c>
      <c r="I1157" s="210"/>
    </row>
    <row r="1158" spans="1:9" x14ac:dyDescent="0.25">
      <c r="A1158" s="74"/>
      <c r="B1158" s="45">
        <v>1112</v>
      </c>
      <c r="C1158" s="64" t="s">
        <v>1521</v>
      </c>
      <c r="D1158" s="74"/>
      <c r="E1158" s="208" t="s">
        <v>124</v>
      </c>
      <c r="F1158" s="209" t="s">
        <v>21</v>
      </c>
      <c r="G1158" s="209" t="s">
        <v>21</v>
      </c>
      <c r="H1158" s="209" t="s">
        <v>189</v>
      </c>
      <c r="I1158" s="210"/>
    </row>
    <row r="1159" spans="1:9" x14ac:dyDescent="0.25">
      <c r="A1159" s="74"/>
      <c r="B1159" s="45">
        <v>1</v>
      </c>
      <c r="C1159" s="64" t="s">
        <v>415</v>
      </c>
      <c r="D1159" s="74"/>
      <c r="E1159" s="208" t="s">
        <v>124</v>
      </c>
      <c r="F1159" s="209" t="s">
        <v>21</v>
      </c>
      <c r="G1159" s="209" t="s">
        <v>21</v>
      </c>
      <c r="H1159" s="209" t="s">
        <v>189</v>
      </c>
      <c r="I1159" s="210"/>
    </row>
    <row r="1160" spans="1:9" x14ac:dyDescent="0.25">
      <c r="A1160" s="74"/>
      <c r="B1160" s="45">
        <v>1113</v>
      </c>
      <c r="C1160" s="64" t="s">
        <v>1522</v>
      </c>
      <c r="D1160" s="74"/>
      <c r="E1160" s="208" t="s">
        <v>124</v>
      </c>
      <c r="F1160" s="209" t="s">
        <v>21</v>
      </c>
      <c r="G1160" s="209" t="s">
        <v>21</v>
      </c>
      <c r="H1160" s="209" t="s">
        <v>187</v>
      </c>
      <c r="I1160" s="210"/>
    </row>
    <row r="1161" spans="1:9" x14ac:dyDescent="0.25">
      <c r="A1161" s="74"/>
      <c r="B1161" s="45">
        <v>1114</v>
      </c>
      <c r="C1161" s="64" t="s">
        <v>1523</v>
      </c>
      <c r="D1161" s="74"/>
      <c r="E1161" s="208" t="s">
        <v>124</v>
      </c>
      <c r="F1161" s="209" t="s">
        <v>21</v>
      </c>
      <c r="G1161" s="209" t="s">
        <v>21</v>
      </c>
      <c r="H1161" s="209" t="s">
        <v>189</v>
      </c>
      <c r="I1161" s="210"/>
    </row>
    <row r="1162" spans="1:9" x14ac:dyDescent="0.25">
      <c r="A1162" s="74"/>
      <c r="B1162" s="45">
        <v>1115</v>
      </c>
      <c r="C1162" s="64" t="s">
        <v>1524</v>
      </c>
      <c r="D1162" s="74"/>
      <c r="E1162" s="208" t="s">
        <v>124</v>
      </c>
      <c r="F1162" s="209" t="s">
        <v>21</v>
      </c>
      <c r="G1162" s="209" t="s">
        <v>21</v>
      </c>
      <c r="H1162" s="209" t="s">
        <v>187</v>
      </c>
      <c r="I1162" s="210"/>
    </row>
    <row r="1163" spans="1:9" x14ac:dyDescent="0.25">
      <c r="A1163" s="74"/>
      <c r="B1163" s="45">
        <v>1116</v>
      </c>
      <c r="C1163" s="64" t="s">
        <v>1525</v>
      </c>
      <c r="D1163" s="74"/>
      <c r="E1163" s="208" t="s">
        <v>124</v>
      </c>
      <c r="F1163" s="209" t="s">
        <v>21</v>
      </c>
      <c r="G1163" s="209" t="s">
        <v>21</v>
      </c>
      <c r="H1163" s="209" t="s">
        <v>187</v>
      </c>
      <c r="I1163" s="210"/>
    </row>
    <row r="1164" spans="1:9" x14ac:dyDescent="0.25">
      <c r="A1164" s="74"/>
      <c r="B1164" s="45">
        <v>9</v>
      </c>
      <c r="C1164" s="64" t="s">
        <v>423</v>
      </c>
      <c r="D1164" s="74"/>
      <c r="E1164" s="208" t="s">
        <v>124</v>
      </c>
      <c r="F1164" s="209" t="s">
        <v>21</v>
      </c>
      <c r="G1164" s="209" t="s">
        <v>21</v>
      </c>
      <c r="H1164" s="209" t="s">
        <v>180</v>
      </c>
      <c r="I1164" s="210"/>
    </row>
    <row r="1165" spans="1:9" x14ac:dyDescent="0.25">
      <c r="A1165" s="74"/>
      <c r="B1165" s="45">
        <v>1117</v>
      </c>
      <c r="C1165" s="64" t="s">
        <v>1526</v>
      </c>
      <c r="D1165" s="74"/>
      <c r="E1165" s="208" t="s">
        <v>124</v>
      </c>
      <c r="F1165" s="209" t="s">
        <v>21</v>
      </c>
      <c r="G1165" s="209" t="s">
        <v>21</v>
      </c>
      <c r="H1165" s="209" t="s">
        <v>187</v>
      </c>
      <c r="I1165" s="210"/>
    </row>
    <row r="1166" spans="1:9" x14ac:dyDescent="0.25">
      <c r="A1166" s="74"/>
      <c r="B1166" s="45">
        <v>1113</v>
      </c>
      <c r="C1166" s="64" t="s">
        <v>1522</v>
      </c>
      <c r="D1166" s="74"/>
      <c r="E1166" s="208" t="s">
        <v>124</v>
      </c>
      <c r="F1166" s="209" t="s">
        <v>21</v>
      </c>
      <c r="G1166" s="209" t="s">
        <v>21</v>
      </c>
      <c r="H1166" s="209" t="s">
        <v>187</v>
      </c>
      <c r="I1166" s="210"/>
    </row>
    <row r="1167" spans="1:9" x14ac:dyDescent="0.25">
      <c r="A1167" s="74"/>
      <c r="B1167" s="45">
        <v>1118</v>
      </c>
      <c r="C1167" s="64" t="s">
        <v>1527</v>
      </c>
      <c r="D1167" s="74"/>
      <c r="E1167" s="208" t="s">
        <v>124</v>
      </c>
      <c r="F1167" s="209" t="s">
        <v>21</v>
      </c>
      <c r="G1167" s="209" t="s">
        <v>21</v>
      </c>
      <c r="H1167" s="209" t="s">
        <v>187</v>
      </c>
      <c r="I1167" s="210"/>
    </row>
    <row r="1168" spans="1:9" x14ac:dyDescent="0.25">
      <c r="A1168" s="74"/>
      <c r="B1168" s="45">
        <v>1119</v>
      </c>
      <c r="C1168" s="64" t="s">
        <v>1528</v>
      </c>
      <c r="D1168" s="74"/>
      <c r="E1168" s="208" t="s">
        <v>124</v>
      </c>
      <c r="F1168" s="209" t="s">
        <v>21</v>
      </c>
      <c r="G1168" s="209" t="s">
        <v>21</v>
      </c>
      <c r="H1168" s="209" t="s">
        <v>16</v>
      </c>
      <c r="I1168" s="210"/>
    </row>
    <row r="1169" spans="1:9" x14ac:dyDescent="0.25">
      <c r="A1169" s="74"/>
      <c r="B1169" s="45">
        <v>1120</v>
      </c>
      <c r="C1169" s="64" t="s">
        <v>1529</v>
      </c>
      <c r="D1169" s="74"/>
      <c r="E1169" s="208" t="s">
        <v>273</v>
      </c>
      <c r="F1169" s="209" t="s">
        <v>21</v>
      </c>
      <c r="G1169" s="209" t="s">
        <v>21</v>
      </c>
      <c r="H1169" s="209" t="s">
        <v>187</v>
      </c>
      <c r="I1169" s="210"/>
    </row>
    <row r="1170" spans="1:9" x14ac:dyDescent="0.25">
      <c r="A1170" s="74"/>
      <c r="B1170" s="45">
        <v>3</v>
      </c>
      <c r="C1170" s="64" t="s">
        <v>417</v>
      </c>
      <c r="D1170" s="74"/>
      <c r="E1170" s="208" t="s">
        <v>124</v>
      </c>
      <c r="F1170" s="209" t="s">
        <v>21</v>
      </c>
      <c r="G1170" s="209" t="s">
        <v>21</v>
      </c>
      <c r="H1170" s="209" t="s">
        <v>179</v>
      </c>
      <c r="I1170" s="210"/>
    </row>
    <row r="1171" spans="1:9" x14ac:dyDescent="0.25">
      <c r="A1171" s="74"/>
      <c r="B1171" s="45">
        <v>9</v>
      </c>
      <c r="C1171" s="64" t="s">
        <v>423</v>
      </c>
      <c r="D1171" s="74"/>
      <c r="E1171" s="208" t="s">
        <v>124</v>
      </c>
      <c r="F1171" s="209" t="s">
        <v>21</v>
      </c>
      <c r="G1171" s="209" t="s">
        <v>21</v>
      </c>
      <c r="H1171" s="209" t="s">
        <v>180</v>
      </c>
      <c r="I1171" s="210"/>
    </row>
    <row r="1172" spans="1:9" x14ac:dyDescent="0.25">
      <c r="A1172" s="74"/>
      <c r="B1172" s="45">
        <v>6</v>
      </c>
      <c r="C1172" s="64" t="s">
        <v>420</v>
      </c>
      <c r="D1172" s="74"/>
      <c r="E1172" s="208" t="s">
        <v>124</v>
      </c>
      <c r="F1172" s="209" t="s">
        <v>21</v>
      </c>
      <c r="G1172" s="209" t="s">
        <v>21</v>
      </c>
      <c r="H1172" s="209" t="s">
        <v>179</v>
      </c>
      <c r="I1172" s="210"/>
    </row>
    <row r="1173" spans="1:9" x14ac:dyDescent="0.25">
      <c r="A1173" s="74"/>
      <c r="B1173" s="45">
        <v>1121</v>
      </c>
      <c r="C1173" s="64" t="s">
        <v>1530</v>
      </c>
      <c r="D1173" s="74"/>
      <c r="E1173" s="208" t="s">
        <v>274</v>
      </c>
      <c r="F1173" s="209" t="s">
        <v>21</v>
      </c>
      <c r="G1173" s="209" t="s">
        <v>21</v>
      </c>
      <c r="H1173" s="209" t="s">
        <v>180</v>
      </c>
      <c r="I1173" s="210"/>
    </row>
    <row r="1174" spans="1:9" x14ac:dyDescent="0.25">
      <c r="A1174" s="74"/>
      <c r="B1174" s="45">
        <v>1</v>
      </c>
      <c r="C1174" s="64" t="s">
        <v>415</v>
      </c>
      <c r="D1174" s="74"/>
      <c r="E1174" s="208" t="s">
        <v>124</v>
      </c>
      <c r="F1174" s="209" t="s">
        <v>21</v>
      </c>
      <c r="G1174" s="209" t="s">
        <v>21</v>
      </c>
      <c r="H1174" s="209" t="s">
        <v>179</v>
      </c>
      <c r="I1174" s="210"/>
    </row>
    <row r="1175" spans="1:9" x14ac:dyDescent="0.25">
      <c r="A1175" s="74"/>
      <c r="B1175" s="45">
        <v>1120</v>
      </c>
      <c r="C1175" s="64" t="s">
        <v>1529</v>
      </c>
      <c r="D1175" s="74"/>
      <c r="E1175" s="208" t="s">
        <v>273</v>
      </c>
      <c r="F1175" s="209" t="s">
        <v>21</v>
      </c>
      <c r="G1175" s="209" t="s">
        <v>21</v>
      </c>
      <c r="H1175" s="209" t="s">
        <v>187</v>
      </c>
      <c r="I1175" s="210"/>
    </row>
    <row r="1176" spans="1:9" x14ac:dyDescent="0.25">
      <c r="A1176" s="74"/>
      <c r="B1176" s="45">
        <v>1122</v>
      </c>
      <c r="C1176" s="64" t="s">
        <v>1531</v>
      </c>
      <c r="D1176" s="74"/>
      <c r="E1176" s="208" t="s">
        <v>273</v>
      </c>
      <c r="F1176" s="209" t="s">
        <v>21</v>
      </c>
      <c r="G1176" s="209" t="s">
        <v>21</v>
      </c>
      <c r="H1176" s="209" t="s">
        <v>187</v>
      </c>
      <c r="I1176" s="210"/>
    </row>
    <row r="1177" spans="1:9" x14ac:dyDescent="0.25">
      <c r="A1177" s="74"/>
      <c r="B1177" s="45">
        <v>1123</v>
      </c>
      <c r="C1177" s="64" t="s">
        <v>1532</v>
      </c>
      <c r="D1177" s="74"/>
      <c r="E1177" s="208" t="s">
        <v>273</v>
      </c>
      <c r="F1177" s="209" t="s">
        <v>21</v>
      </c>
      <c r="G1177" s="209" t="s">
        <v>21</v>
      </c>
      <c r="H1177" s="209" t="s">
        <v>187</v>
      </c>
      <c r="I1177" s="210"/>
    </row>
    <row r="1178" spans="1:9" x14ac:dyDescent="0.25">
      <c r="A1178" s="74"/>
      <c r="B1178" s="45">
        <v>1124</v>
      </c>
      <c r="C1178" s="64" t="s">
        <v>1533</v>
      </c>
      <c r="D1178" s="74"/>
      <c r="E1178" s="208" t="s">
        <v>125</v>
      </c>
      <c r="F1178" s="209" t="s">
        <v>21</v>
      </c>
      <c r="G1178" s="209" t="s">
        <v>21</v>
      </c>
      <c r="H1178" s="209" t="s">
        <v>180</v>
      </c>
      <c r="I1178" s="210"/>
    </row>
    <row r="1179" spans="1:9" x14ac:dyDescent="0.25">
      <c r="A1179" s="74"/>
      <c r="B1179" s="45">
        <v>1125</v>
      </c>
      <c r="C1179" s="64" t="s">
        <v>1534</v>
      </c>
      <c r="D1179" s="74"/>
      <c r="E1179" s="208" t="s">
        <v>273</v>
      </c>
      <c r="F1179" s="209" t="s">
        <v>21</v>
      </c>
      <c r="G1179" s="209" t="s">
        <v>21</v>
      </c>
      <c r="H1179" s="209" t="s">
        <v>187</v>
      </c>
      <c r="I1179" s="210"/>
    </row>
    <row r="1180" spans="1:9" x14ac:dyDescent="0.25">
      <c r="A1180" s="74"/>
      <c r="B1180" s="45">
        <v>8</v>
      </c>
      <c r="C1180" s="64" t="s">
        <v>422</v>
      </c>
      <c r="D1180" s="74"/>
      <c r="E1180" s="208" t="s">
        <v>124</v>
      </c>
      <c r="F1180" s="209" t="s">
        <v>21</v>
      </c>
      <c r="G1180" s="209" t="s">
        <v>21</v>
      </c>
      <c r="H1180" s="209" t="s">
        <v>187</v>
      </c>
      <c r="I1180" s="210"/>
    </row>
    <row r="1181" spans="1:9" x14ac:dyDescent="0.25">
      <c r="A1181" s="74"/>
      <c r="B1181" s="45">
        <v>1126</v>
      </c>
      <c r="C1181" s="64" t="s">
        <v>1535</v>
      </c>
      <c r="D1181" s="74"/>
      <c r="E1181" s="208" t="s">
        <v>124</v>
      </c>
      <c r="F1181" s="209" t="s">
        <v>21</v>
      </c>
      <c r="G1181" s="209" t="s">
        <v>21</v>
      </c>
      <c r="H1181" s="209" t="s">
        <v>187</v>
      </c>
      <c r="I1181" s="210"/>
    </row>
    <row r="1182" spans="1:9" x14ac:dyDescent="0.25">
      <c r="A1182" s="74"/>
      <c r="B1182" s="45">
        <v>1127</v>
      </c>
      <c r="C1182" s="64" t="s">
        <v>1536</v>
      </c>
      <c r="D1182" s="74"/>
      <c r="E1182" s="208" t="s">
        <v>124</v>
      </c>
      <c r="F1182" s="209" t="s">
        <v>21</v>
      </c>
      <c r="G1182" s="209" t="s">
        <v>21</v>
      </c>
      <c r="H1182" s="209" t="s">
        <v>200</v>
      </c>
      <c r="I1182" s="210"/>
    </row>
    <row r="1183" spans="1:9" x14ac:dyDescent="0.25">
      <c r="A1183" s="74"/>
      <c r="B1183" s="45">
        <v>1128</v>
      </c>
      <c r="C1183" s="64" t="s">
        <v>1537</v>
      </c>
      <c r="D1183" s="74"/>
      <c r="E1183" s="208" t="s">
        <v>124</v>
      </c>
      <c r="F1183" s="209" t="s">
        <v>21</v>
      </c>
      <c r="G1183" s="209" t="s">
        <v>21</v>
      </c>
      <c r="H1183" s="209" t="s">
        <v>189</v>
      </c>
      <c r="I1183" s="210"/>
    </row>
    <row r="1184" spans="1:9" x14ac:dyDescent="0.25">
      <c r="A1184" s="74"/>
      <c r="B1184" s="45">
        <v>1129</v>
      </c>
      <c r="C1184" s="64" t="s">
        <v>1538</v>
      </c>
      <c r="D1184" s="74"/>
      <c r="E1184" s="208" t="s">
        <v>124</v>
      </c>
      <c r="F1184" s="209" t="s">
        <v>21</v>
      </c>
      <c r="G1184" s="209" t="s">
        <v>21</v>
      </c>
      <c r="H1184" s="209" t="s">
        <v>187</v>
      </c>
      <c r="I1184" s="210"/>
    </row>
    <row r="1185" spans="1:9" x14ac:dyDescent="0.25">
      <c r="A1185" s="74"/>
      <c r="B1185" s="45">
        <v>1123</v>
      </c>
      <c r="C1185" s="64" t="s">
        <v>1532</v>
      </c>
      <c r="D1185" s="74"/>
      <c r="E1185" s="208" t="s">
        <v>273</v>
      </c>
      <c r="F1185" s="209" t="s">
        <v>21</v>
      </c>
      <c r="G1185" s="209" t="s">
        <v>21</v>
      </c>
      <c r="H1185" s="209" t="s">
        <v>187</v>
      </c>
      <c r="I1185" s="210"/>
    </row>
    <row r="1186" spans="1:9" x14ac:dyDescent="0.25">
      <c r="A1186" s="74"/>
      <c r="B1186" s="45">
        <v>1130</v>
      </c>
      <c r="C1186" s="64" t="s">
        <v>1539</v>
      </c>
      <c r="D1186" s="74"/>
      <c r="E1186" s="208" t="s">
        <v>124</v>
      </c>
      <c r="F1186" s="209" t="s">
        <v>21</v>
      </c>
      <c r="G1186" s="209" t="s">
        <v>21</v>
      </c>
      <c r="H1186" s="209" t="s">
        <v>16</v>
      </c>
      <c r="I1186" s="210"/>
    </row>
    <row r="1187" spans="1:9" x14ac:dyDescent="0.25">
      <c r="A1187" s="74"/>
      <c r="B1187" s="45">
        <v>17</v>
      </c>
      <c r="C1187" s="64" t="s">
        <v>431</v>
      </c>
      <c r="D1187" s="74"/>
      <c r="E1187" s="208" t="s">
        <v>121</v>
      </c>
      <c r="F1187" s="209" t="s">
        <v>21</v>
      </c>
      <c r="G1187" s="209" t="s">
        <v>21</v>
      </c>
      <c r="H1187" s="209" t="s">
        <v>186</v>
      </c>
      <c r="I1187" s="210"/>
    </row>
    <row r="1188" spans="1:9" x14ac:dyDescent="0.25">
      <c r="A1188" s="74"/>
      <c r="B1188" s="45">
        <v>12</v>
      </c>
      <c r="C1188" s="64" t="s">
        <v>426</v>
      </c>
      <c r="D1188" s="74"/>
      <c r="E1188" s="208" t="s">
        <v>121</v>
      </c>
      <c r="F1188" s="209" t="s">
        <v>21</v>
      </c>
      <c r="G1188" s="209" t="s">
        <v>21</v>
      </c>
      <c r="H1188" s="209" t="s">
        <v>185</v>
      </c>
      <c r="I1188" s="210"/>
    </row>
    <row r="1189" spans="1:9" x14ac:dyDescent="0.25">
      <c r="A1189" s="74"/>
      <c r="B1189" s="45">
        <v>1131</v>
      </c>
      <c r="C1189" s="64" t="s">
        <v>1540</v>
      </c>
      <c r="D1189" s="74"/>
      <c r="E1189" s="208" t="s">
        <v>121</v>
      </c>
      <c r="F1189" s="209" t="s">
        <v>21</v>
      </c>
      <c r="G1189" s="209" t="s">
        <v>21</v>
      </c>
      <c r="H1189" s="209" t="s">
        <v>189</v>
      </c>
      <c r="I1189" s="210"/>
    </row>
    <row r="1190" spans="1:9" x14ac:dyDescent="0.25">
      <c r="A1190" s="74"/>
      <c r="B1190" s="45">
        <v>1132</v>
      </c>
      <c r="C1190" s="64" t="s">
        <v>1541</v>
      </c>
      <c r="D1190" s="74"/>
      <c r="E1190" s="208" t="s">
        <v>121</v>
      </c>
      <c r="F1190" s="209" t="s">
        <v>21</v>
      </c>
      <c r="G1190" s="209" t="s">
        <v>21</v>
      </c>
      <c r="H1190" s="209" t="s">
        <v>192</v>
      </c>
      <c r="I1190" s="210"/>
    </row>
    <row r="1191" spans="1:9" x14ac:dyDescent="0.25">
      <c r="A1191" s="74"/>
      <c r="B1191" s="45">
        <v>1133</v>
      </c>
      <c r="C1191" s="64" t="s">
        <v>1542</v>
      </c>
      <c r="D1191" s="74"/>
      <c r="E1191" s="208" t="s">
        <v>121</v>
      </c>
      <c r="F1191" s="209" t="s">
        <v>21</v>
      </c>
      <c r="G1191" s="209" t="s">
        <v>21</v>
      </c>
      <c r="H1191" s="209" t="s">
        <v>194</v>
      </c>
      <c r="I1191" s="210"/>
    </row>
    <row r="1192" spans="1:9" x14ac:dyDescent="0.25">
      <c r="A1192" s="74"/>
      <c r="B1192" s="45">
        <v>1134</v>
      </c>
      <c r="C1192" s="64" t="s">
        <v>1543</v>
      </c>
      <c r="D1192" s="74"/>
      <c r="E1192" s="208" t="s">
        <v>121</v>
      </c>
      <c r="F1192" s="209" t="s">
        <v>21</v>
      </c>
      <c r="G1192" s="209" t="s">
        <v>21</v>
      </c>
      <c r="H1192" s="209" t="s">
        <v>272</v>
      </c>
      <c r="I1192" s="210"/>
    </row>
    <row r="1193" spans="1:9" x14ac:dyDescent="0.25">
      <c r="A1193" s="74"/>
      <c r="B1193" s="45">
        <v>1135</v>
      </c>
      <c r="C1193" s="64" t="s">
        <v>1544</v>
      </c>
      <c r="D1193" s="74"/>
      <c r="E1193" s="208" t="s">
        <v>121</v>
      </c>
      <c r="F1193" s="209" t="s">
        <v>21</v>
      </c>
      <c r="G1193" s="209" t="s">
        <v>21</v>
      </c>
      <c r="H1193" s="209" t="s">
        <v>16</v>
      </c>
      <c r="I1193" s="210"/>
    </row>
    <row r="1194" spans="1:9" x14ac:dyDescent="0.25">
      <c r="A1194" s="74"/>
      <c r="B1194" s="45">
        <v>1136</v>
      </c>
      <c r="C1194" s="64" t="s">
        <v>1545</v>
      </c>
      <c r="D1194" s="74"/>
      <c r="E1194" s="208" t="s">
        <v>121</v>
      </c>
      <c r="F1194" s="209" t="s">
        <v>21</v>
      </c>
      <c r="G1194" s="209" t="s">
        <v>21</v>
      </c>
      <c r="H1194" s="209" t="s">
        <v>272</v>
      </c>
      <c r="I1194" s="210"/>
    </row>
    <row r="1195" spans="1:9" x14ac:dyDescent="0.25">
      <c r="A1195" s="74"/>
      <c r="B1195" s="45">
        <v>1137</v>
      </c>
      <c r="C1195" s="64" t="s">
        <v>1546</v>
      </c>
      <c r="D1195" s="74"/>
      <c r="E1195" s="208" t="s">
        <v>121</v>
      </c>
      <c r="F1195" s="209" t="s">
        <v>21</v>
      </c>
      <c r="G1195" s="209" t="s">
        <v>21</v>
      </c>
      <c r="H1195" s="209" t="s">
        <v>16</v>
      </c>
      <c r="I1195" s="210"/>
    </row>
    <row r="1196" spans="1:9" x14ac:dyDescent="0.25">
      <c r="A1196" s="74"/>
      <c r="B1196" s="45">
        <v>1138</v>
      </c>
      <c r="C1196" s="64" t="s">
        <v>1547</v>
      </c>
      <c r="D1196" s="74"/>
      <c r="E1196" s="208" t="s">
        <v>121</v>
      </c>
      <c r="F1196" s="209" t="s">
        <v>21</v>
      </c>
      <c r="G1196" s="209" t="s">
        <v>21</v>
      </c>
      <c r="H1196" s="209" t="s">
        <v>16</v>
      </c>
      <c r="I1196" s="210"/>
    </row>
    <row r="1197" spans="1:9" x14ac:dyDescent="0.25">
      <c r="A1197" s="74"/>
      <c r="B1197" s="45">
        <v>1139</v>
      </c>
      <c r="C1197" s="64" t="s">
        <v>1548</v>
      </c>
      <c r="D1197" s="74"/>
      <c r="E1197" s="208" t="s">
        <v>121</v>
      </c>
      <c r="F1197" s="209" t="s">
        <v>21</v>
      </c>
      <c r="G1197" s="209" t="s">
        <v>21</v>
      </c>
      <c r="H1197" s="209" t="s">
        <v>16</v>
      </c>
      <c r="I1197" s="210"/>
    </row>
    <row r="1198" spans="1:9" x14ac:dyDescent="0.25">
      <c r="A1198" s="74"/>
      <c r="B1198" s="45">
        <v>1140</v>
      </c>
      <c r="C1198" s="64" t="s">
        <v>1549</v>
      </c>
      <c r="D1198" s="74"/>
      <c r="E1198" s="208" t="s">
        <v>121</v>
      </c>
      <c r="F1198" s="209" t="s">
        <v>21</v>
      </c>
      <c r="G1198" s="209" t="s">
        <v>21</v>
      </c>
      <c r="H1198" s="209" t="s">
        <v>192</v>
      </c>
      <c r="I1198" s="210"/>
    </row>
    <row r="1199" spans="1:9" x14ac:dyDescent="0.25">
      <c r="A1199" s="74"/>
      <c r="B1199" s="45">
        <v>1141</v>
      </c>
      <c r="C1199" s="64" t="s">
        <v>1550</v>
      </c>
      <c r="D1199" s="74"/>
      <c r="E1199" s="208" t="s">
        <v>121</v>
      </c>
      <c r="F1199" s="209" t="s">
        <v>21</v>
      </c>
      <c r="G1199" s="209" t="s">
        <v>21</v>
      </c>
      <c r="H1199" s="209" t="s">
        <v>192</v>
      </c>
      <c r="I1199" s="210"/>
    </row>
    <row r="1200" spans="1:9" x14ac:dyDescent="0.25">
      <c r="A1200" s="74"/>
      <c r="B1200" s="45">
        <v>1142</v>
      </c>
      <c r="C1200" s="64" t="s">
        <v>1551</v>
      </c>
      <c r="D1200" s="74"/>
      <c r="E1200" s="208" t="s">
        <v>121</v>
      </c>
      <c r="F1200" s="209" t="s">
        <v>21</v>
      </c>
      <c r="G1200" s="209" t="s">
        <v>21</v>
      </c>
      <c r="H1200" s="209" t="s">
        <v>16</v>
      </c>
      <c r="I1200" s="210"/>
    </row>
    <row r="1201" spans="1:9" x14ac:dyDescent="0.25">
      <c r="A1201" s="74"/>
      <c r="B1201" s="45">
        <v>1143</v>
      </c>
      <c r="C1201" s="64" t="s">
        <v>1552</v>
      </c>
      <c r="D1201" s="74"/>
      <c r="E1201" s="208" t="s">
        <v>121</v>
      </c>
      <c r="F1201" s="209" t="s">
        <v>21</v>
      </c>
      <c r="G1201" s="209" t="s">
        <v>21</v>
      </c>
      <c r="H1201" s="209" t="s">
        <v>16</v>
      </c>
      <c r="I1201" s="210"/>
    </row>
    <row r="1202" spans="1:9" x14ac:dyDescent="0.25">
      <c r="A1202" s="74"/>
      <c r="B1202" s="45">
        <v>1144</v>
      </c>
      <c r="C1202" s="64" t="s">
        <v>1553</v>
      </c>
      <c r="D1202" s="74"/>
      <c r="E1202" s="208" t="s">
        <v>121</v>
      </c>
      <c r="F1202" s="209" t="s">
        <v>21</v>
      </c>
      <c r="G1202" s="209" t="s">
        <v>21</v>
      </c>
      <c r="H1202" s="209" t="s">
        <v>16</v>
      </c>
      <c r="I1202" s="210"/>
    </row>
    <row r="1203" spans="1:9" x14ac:dyDescent="0.25">
      <c r="A1203" s="74"/>
      <c r="B1203" s="45">
        <v>20</v>
      </c>
      <c r="C1203" s="64" t="s">
        <v>434</v>
      </c>
      <c r="D1203" s="74"/>
      <c r="E1203" s="208" t="s">
        <v>121</v>
      </c>
      <c r="F1203" s="209" t="s">
        <v>21</v>
      </c>
      <c r="G1203" s="209" t="s">
        <v>21</v>
      </c>
      <c r="H1203" s="209" t="s">
        <v>16</v>
      </c>
      <c r="I1203" s="210"/>
    </row>
    <row r="1204" spans="1:9" x14ac:dyDescent="0.25">
      <c r="A1204" s="74"/>
      <c r="B1204" s="45">
        <v>1145</v>
      </c>
      <c r="C1204" s="64" t="s">
        <v>1554</v>
      </c>
      <c r="D1204" s="74"/>
      <c r="E1204" s="208" t="s">
        <v>121</v>
      </c>
      <c r="F1204" s="209" t="s">
        <v>21</v>
      </c>
      <c r="G1204" s="209" t="s">
        <v>21</v>
      </c>
      <c r="H1204" s="209" t="s">
        <v>16</v>
      </c>
      <c r="I1204" s="210"/>
    </row>
    <row r="1205" spans="1:9" x14ac:dyDescent="0.25">
      <c r="A1205" s="74"/>
      <c r="B1205" s="45">
        <v>1146</v>
      </c>
      <c r="C1205" s="64" t="s">
        <v>1555</v>
      </c>
      <c r="D1205" s="74"/>
      <c r="E1205" s="208" t="s">
        <v>121</v>
      </c>
      <c r="F1205" s="209" t="s">
        <v>21</v>
      </c>
      <c r="G1205" s="209" t="s">
        <v>21</v>
      </c>
      <c r="H1205" s="209" t="s">
        <v>16</v>
      </c>
      <c r="I1205" s="210"/>
    </row>
    <row r="1206" spans="1:9" x14ac:dyDescent="0.25">
      <c r="A1206" s="74"/>
      <c r="B1206" s="45">
        <v>1147</v>
      </c>
      <c r="C1206" s="64" t="s">
        <v>1556</v>
      </c>
      <c r="D1206" s="74"/>
      <c r="E1206" s="208" t="s">
        <v>121</v>
      </c>
      <c r="F1206" s="209" t="s">
        <v>21</v>
      </c>
      <c r="G1206" s="209" t="s">
        <v>21</v>
      </c>
      <c r="H1206" s="209" t="s">
        <v>16</v>
      </c>
      <c r="I1206" s="210"/>
    </row>
    <row r="1207" spans="1:9" x14ac:dyDescent="0.25">
      <c r="A1207" s="74"/>
      <c r="B1207" s="45">
        <v>1148</v>
      </c>
      <c r="C1207" s="64" t="s">
        <v>1557</v>
      </c>
      <c r="D1207" s="74"/>
      <c r="E1207" s="208" t="s">
        <v>121</v>
      </c>
      <c r="F1207" s="209" t="s">
        <v>21</v>
      </c>
      <c r="G1207" s="209" t="s">
        <v>21</v>
      </c>
      <c r="H1207" s="209" t="s">
        <v>16</v>
      </c>
      <c r="I1207" s="210"/>
    </row>
    <row r="1208" spans="1:9" x14ac:dyDescent="0.25">
      <c r="A1208" s="74"/>
      <c r="B1208" s="45">
        <v>202</v>
      </c>
      <c r="C1208" s="64" t="s">
        <v>614</v>
      </c>
      <c r="D1208" s="74"/>
      <c r="E1208" s="208" t="s">
        <v>133</v>
      </c>
      <c r="F1208" s="209" t="s">
        <v>21</v>
      </c>
      <c r="G1208" s="209" t="s">
        <v>21</v>
      </c>
      <c r="H1208" s="209" t="s">
        <v>187</v>
      </c>
      <c r="I1208" s="210"/>
    </row>
    <row r="1209" spans="1:9" x14ac:dyDescent="0.25">
      <c r="A1209" s="74"/>
      <c r="B1209" s="45">
        <v>23</v>
      </c>
      <c r="C1209" s="64" t="s">
        <v>437</v>
      </c>
      <c r="D1209" s="74"/>
      <c r="E1209" s="208" t="s">
        <v>133</v>
      </c>
      <c r="F1209" s="209" t="s">
        <v>21</v>
      </c>
      <c r="G1209" s="209" t="s">
        <v>21</v>
      </c>
      <c r="H1209" s="209" t="s">
        <v>194</v>
      </c>
      <c r="I1209" s="210"/>
    </row>
    <row r="1210" spans="1:9" x14ac:dyDescent="0.25">
      <c r="A1210" s="74"/>
      <c r="B1210" s="45">
        <v>110</v>
      </c>
      <c r="C1210" s="64" t="s">
        <v>522</v>
      </c>
      <c r="D1210" s="74"/>
      <c r="E1210" s="208" t="s">
        <v>133</v>
      </c>
      <c r="F1210" s="209" t="s">
        <v>21</v>
      </c>
      <c r="G1210" s="209" t="s">
        <v>21</v>
      </c>
      <c r="H1210" s="209" t="s">
        <v>187</v>
      </c>
      <c r="I1210" s="210"/>
    </row>
    <row r="1211" spans="1:9" x14ac:dyDescent="0.25">
      <c r="A1211" s="74"/>
      <c r="B1211" s="45">
        <v>100</v>
      </c>
      <c r="C1211" s="64" t="s">
        <v>512</v>
      </c>
      <c r="D1211" s="74"/>
      <c r="E1211" s="208" t="s">
        <v>133</v>
      </c>
      <c r="F1211" s="209" t="s">
        <v>21</v>
      </c>
      <c r="G1211" s="209" t="s">
        <v>21</v>
      </c>
      <c r="H1211" s="209" t="s">
        <v>198</v>
      </c>
      <c r="I1211" s="210"/>
    </row>
    <row r="1212" spans="1:9" x14ac:dyDescent="0.25">
      <c r="A1212" s="74"/>
      <c r="B1212" s="45">
        <v>132</v>
      </c>
      <c r="C1212" s="64" t="s">
        <v>544</v>
      </c>
      <c r="D1212" s="74"/>
      <c r="E1212" s="208" t="s">
        <v>132</v>
      </c>
      <c r="F1212" s="209" t="s">
        <v>21</v>
      </c>
      <c r="G1212" s="209" t="s">
        <v>21</v>
      </c>
      <c r="H1212" s="209" t="s">
        <v>198</v>
      </c>
      <c r="I1212" s="210"/>
    </row>
    <row r="1213" spans="1:9" x14ac:dyDescent="0.25">
      <c r="A1213" s="74"/>
      <c r="B1213" s="45">
        <v>60</v>
      </c>
      <c r="C1213" s="64" t="s">
        <v>472</v>
      </c>
      <c r="D1213" s="74"/>
      <c r="E1213" s="208" t="s">
        <v>132</v>
      </c>
      <c r="F1213" s="209" t="s">
        <v>21</v>
      </c>
      <c r="G1213" s="209" t="s">
        <v>21</v>
      </c>
      <c r="H1213" s="209" t="s">
        <v>187</v>
      </c>
      <c r="I1213" s="210"/>
    </row>
    <row r="1214" spans="1:9" x14ac:dyDescent="0.25">
      <c r="A1214" s="74"/>
      <c r="B1214" s="45">
        <v>201</v>
      </c>
      <c r="C1214" s="64" t="s">
        <v>613</v>
      </c>
      <c r="D1214" s="74"/>
      <c r="E1214" s="208" t="s">
        <v>132</v>
      </c>
      <c r="F1214" s="209" t="s">
        <v>21</v>
      </c>
      <c r="G1214" s="209" t="s">
        <v>21</v>
      </c>
      <c r="H1214" s="209" t="s">
        <v>187</v>
      </c>
      <c r="I1214" s="210"/>
    </row>
    <row r="1215" spans="1:9" x14ac:dyDescent="0.25">
      <c r="A1215" s="74"/>
      <c r="B1215" s="45">
        <v>1149</v>
      </c>
      <c r="C1215" s="64" t="s">
        <v>1558</v>
      </c>
      <c r="D1215" s="74"/>
      <c r="E1215" s="208" t="s">
        <v>132</v>
      </c>
      <c r="F1215" s="209" t="s">
        <v>21</v>
      </c>
      <c r="G1215" s="209" t="s">
        <v>21</v>
      </c>
      <c r="H1215" s="209" t="s">
        <v>194</v>
      </c>
      <c r="I1215" s="210"/>
    </row>
    <row r="1216" spans="1:9" x14ac:dyDescent="0.25">
      <c r="A1216" s="74"/>
      <c r="B1216" s="45">
        <v>59</v>
      </c>
      <c r="C1216" s="64" t="s">
        <v>471</v>
      </c>
      <c r="D1216" s="74"/>
      <c r="E1216" s="208" t="s">
        <v>122</v>
      </c>
      <c r="F1216" s="209" t="s">
        <v>21</v>
      </c>
      <c r="G1216" s="209" t="s">
        <v>21</v>
      </c>
      <c r="H1216" s="209" t="s">
        <v>189</v>
      </c>
      <c r="I1216" s="210"/>
    </row>
    <row r="1217" spans="1:9" x14ac:dyDescent="0.25">
      <c r="A1217" s="74"/>
      <c r="B1217" s="45">
        <v>1150</v>
      </c>
      <c r="C1217" s="64" t="s">
        <v>1559</v>
      </c>
      <c r="D1217" s="74"/>
      <c r="E1217" s="208" t="s">
        <v>127</v>
      </c>
      <c r="F1217" s="209" t="s">
        <v>21</v>
      </c>
      <c r="G1217" s="209" t="s">
        <v>21</v>
      </c>
      <c r="H1217" s="209" t="s">
        <v>200</v>
      </c>
      <c r="I1217" s="210"/>
    </row>
    <row r="1218" spans="1:9" x14ac:dyDescent="0.25">
      <c r="A1218" s="74"/>
      <c r="B1218" s="45">
        <v>33</v>
      </c>
      <c r="C1218" s="64" t="s">
        <v>447</v>
      </c>
      <c r="D1218" s="74"/>
      <c r="E1218" s="208" t="s">
        <v>122</v>
      </c>
      <c r="F1218" s="209" t="s">
        <v>21</v>
      </c>
      <c r="G1218" s="209" t="s">
        <v>21</v>
      </c>
      <c r="H1218" s="209" t="s">
        <v>189</v>
      </c>
      <c r="I1218" s="210"/>
    </row>
    <row r="1219" spans="1:9" x14ac:dyDescent="0.25">
      <c r="A1219" s="74"/>
      <c r="B1219" s="45">
        <v>114</v>
      </c>
      <c r="C1219" s="64" t="s">
        <v>526</v>
      </c>
      <c r="D1219" s="74"/>
      <c r="E1219" s="208" t="s">
        <v>122</v>
      </c>
      <c r="F1219" s="209" t="s">
        <v>21</v>
      </c>
      <c r="G1219" s="209" t="s">
        <v>21</v>
      </c>
      <c r="H1219" s="209" t="s">
        <v>192</v>
      </c>
      <c r="I1219" s="210"/>
    </row>
    <row r="1220" spans="1:9" x14ac:dyDescent="0.25">
      <c r="A1220" s="74"/>
      <c r="B1220" s="45">
        <v>58</v>
      </c>
      <c r="C1220" s="64" t="s">
        <v>470</v>
      </c>
      <c r="D1220" s="74"/>
      <c r="E1220" s="208" t="s">
        <v>122</v>
      </c>
      <c r="F1220" s="209" t="s">
        <v>21</v>
      </c>
      <c r="G1220" s="209" t="s">
        <v>21</v>
      </c>
      <c r="H1220" s="209" t="s">
        <v>189</v>
      </c>
      <c r="I1220" s="210"/>
    </row>
    <row r="1221" spans="1:9" x14ac:dyDescent="0.25">
      <c r="A1221" s="74"/>
      <c r="B1221" s="45">
        <v>48</v>
      </c>
      <c r="C1221" s="64" t="s">
        <v>462</v>
      </c>
      <c r="D1221" s="74"/>
      <c r="E1221" s="208" t="s">
        <v>122</v>
      </c>
      <c r="F1221" s="209" t="s">
        <v>21</v>
      </c>
      <c r="G1221" s="209" t="s">
        <v>21</v>
      </c>
      <c r="H1221" s="209" t="s">
        <v>192</v>
      </c>
      <c r="I1221" s="210"/>
    </row>
    <row r="1222" spans="1:9" x14ac:dyDescent="0.25">
      <c r="A1222" s="74"/>
      <c r="B1222" s="45">
        <v>27</v>
      </c>
      <c r="C1222" s="64" t="s">
        <v>441</v>
      </c>
      <c r="D1222" s="74"/>
      <c r="E1222" s="208" t="s">
        <v>122</v>
      </c>
      <c r="F1222" s="209" t="s">
        <v>21</v>
      </c>
      <c r="G1222" s="209" t="s">
        <v>21</v>
      </c>
      <c r="H1222" s="209" t="s">
        <v>192</v>
      </c>
      <c r="I1222" s="210"/>
    </row>
    <row r="1223" spans="1:9" x14ac:dyDescent="0.25">
      <c r="A1223" s="74"/>
      <c r="B1223" s="45">
        <v>1151</v>
      </c>
      <c r="C1223" s="64" t="s">
        <v>1560</v>
      </c>
      <c r="D1223" s="74"/>
      <c r="E1223" s="208" t="s">
        <v>125</v>
      </c>
      <c r="F1223" s="209" t="s">
        <v>21</v>
      </c>
      <c r="G1223" s="209" t="s">
        <v>21</v>
      </c>
      <c r="H1223" s="209" t="s">
        <v>192</v>
      </c>
      <c r="I1223" s="210"/>
    </row>
    <row r="1224" spans="1:9" x14ac:dyDescent="0.25">
      <c r="A1224" s="74"/>
      <c r="B1224" s="45">
        <v>1150</v>
      </c>
      <c r="C1224" s="64" t="s">
        <v>1559</v>
      </c>
      <c r="D1224" s="74"/>
      <c r="E1224" s="208" t="s">
        <v>127</v>
      </c>
      <c r="F1224" s="209" t="s">
        <v>21</v>
      </c>
      <c r="G1224" s="209" t="s">
        <v>21</v>
      </c>
      <c r="H1224" s="209" t="s">
        <v>200</v>
      </c>
      <c r="I1224" s="210"/>
    </row>
    <row r="1225" spans="1:9" x14ac:dyDescent="0.25">
      <c r="A1225" s="74"/>
      <c r="B1225" s="45">
        <v>203</v>
      </c>
      <c r="C1225" s="64" t="s">
        <v>615</v>
      </c>
      <c r="D1225" s="74"/>
      <c r="E1225" s="208" t="s">
        <v>122</v>
      </c>
      <c r="F1225" s="209" t="s">
        <v>21</v>
      </c>
      <c r="G1225" s="209" t="s">
        <v>21</v>
      </c>
      <c r="H1225" s="209" t="s">
        <v>187</v>
      </c>
      <c r="I1225" s="210"/>
    </row>
    <row r="1226" spans="1:9" x14ac:dyDescent="0.25">
      <c r="A1226" s="74"/>
      <c r="B1226" s="45">
        <v>42</v>
      </c>
      <c r="C1226" s="64" t="s">
        <v>456</v>
      </c>
      <c r="D1226" s="74"/>
      <c r="E1226" s="208" t="s">
        <v>122</v>
      </c>
      <c r="F1226" s="209" t="s">
        <v>21</v>
      </c>
      <c r="G1226" s="209" t="s">
        <v>21</v>
      </c>
      <c r="H1226" s="209" t="s">
        <v>186</v>
      </c>
      <c r="I1226" s="210"/>
    </row>
    <row r="1227" spans="1:9" x14ac:dyDescent="0.25">
      <c r="A1227" s="74"/>
      <c r="B1227" s="45">
        <v>1150</v>
      </c>
      <c r="C1227" s="64" t="s">
        <v>1559</v>
      </c>
      <c r="D1227" s="74"/>
      <c r="E1227" s="208" t="s">
        <v>127</v>
      </c>
      <c r="F1227" s="209" t="s">
        <v>21</v>
      </c>
      <c r="G1227" s="209" t="s">
        <v>21</v>
      </c>
      <c r="H1227" s="209" t="s">
        <v>200</v>
      </c>
      <c r="I1227" s="210"/>
    </row>
    <row r="1228" spans="1:9" x14ac:dyDescent="0.25">
      <c r="A1228" s="74"/>
      <c r="B1228" s="45">
        <v>39</v>
      </c>
      <c r="C1228" s="64" t="s">
        <v>453</v>
      </c>
      <c r="D1228" s="74"/>
      <c r="E1228" s="208" t="s">
        <v>122</v>
      </c>
      <c r="F1228" s="209" t="s">
        <v>21</v>
      </c>
      <c r="G1228" s="209" t="s">
        <v>21</v>
      </c>
      <c r="H1228" s="209" t="s">
        <v>192</v>
      </c>
      <c r="I1228" s="210"/>
    </row>
    <row r="1229" spans="1:9" x14ac:dyDescent="0.25">
      <c r="A1229" s="74"/>
      <c r="B1229" s="45">
        <v>1152</v>
      </c>
      <c r="C1229" s="64" t="s">
        <v>1561</v>
      </c>
      <c r="D1229" s="74"/>
      <c r="E1229" s="208" t="s">
        <v>122</v>
      </c>
      <c r="F1229" s="209" t="s">
        <v>21</v>
      </c>
      <c r="G1229" s="209" t="s">
        <v>21</v>
      </c>
      <c r="H1229" s="209" t="s">
        <v>189</v>
      </c>
      <c r="I1229" s="210"/>
    </row>
    <row r="1230" spans="1:9" x14ac:dyDescent="0.25">
      <c r="A1230" s="74"/>
      <c r="B1230" s="45">
        <v>1153</v>
      </c>
      <c r="C1230" s="64" t="s">
        <v>1562</v>
      </c>
      <c r="D1230" s="74"/>
      <c r="E1230" s="208" t="s">
        <v>122</v>
      </c>
      <c r="F1230" s="209" t="s">
        <v>21</v>
      </c>
      <c r="G1230" s="209" t="s">
        <v>21</v>
      </c>
      <c r="H1230" s="209" t="s">
        <v>272</v>
      </c>
      <c r="I1230" s="210"/>
    </row>
    <row r="1231" spans="1:9" x14ac:dyDescent="0.25">
      <c r="A1231" s="74"/>
      <c r="B1231" s="45">
        <v>1154</v>
      </c>
      <c r="C1231" s="64" t="s">
        <v>1563</v>
      </c>
      <c r="D1231" s="74"/>
      <c r="E1231" s="208" t="s">
        <v>122</v>
      </c>
      <c r="F1231" s="209" t="s">
        <v>21</v>
      </c>
      <c r="G1231" s="209" t="s">
        <v>21</v>
      </c>
      <c r="H1231" s="209" t="s">
        <v>272</v>
      </c>
      <c r="I1231" s="210"/>
    </row>
    <row r="1232" spans="1:9" x14ac:dyDescent="0.25">
      <c r="A1232" s="74"/>
      <c r="B1232" s="45">
        <v>1155</v>
      </c>
      <c r="C1232" s="64" t="s">
        <v>1564</v>
      </c>
      <c r="D1232" s="74"/>
      <c r="E1232" s="208" t="s">
        <v>122</v>
      </c>
      <c r="F1232" s="209" t="s">
        <v>21</v>
      </c>
      <c r="G1232" s="209" t="s">
        <v>21</v>
      </c>
      <c r="H1232" s="209" t="s">
        <v>272</v>
      </c>
      <c r="I1232" s="210"/>
    </row>
    <row r="1233" spans="1:9" x14ac:dyDescent="0.25">
      <c r="A1233" s="74"/>
      <c r="B1233" s="45">
        <v>1156</v>
      </c>
      <c r="C1233" s="64" t="s">
        <v>1565</v>
      </c>
      <c r="D1233" s="74"/>
      <c r="E1233" s="208" t="s">
        <v>122</v>
      </c>
      <c r="F1233" s="209" t="s">
        <v>21</v>
      </c>
      <c r="G1233" s="209" t="s">
        <v>21</v>
      </c>
      <c r="H1233" s="209" t="s">
        <v>272</v>
      </c>
      <c r="I1233" s="210"/>
    </row>
    <row r="1234" spans="1:9" x14ac:dyDescent="0.25">
      <c r="A1234" s="74"/>
      <c r="B1234" s="45">
        <v>1154</v>
      </c>
      <c r="C1234" s="64" t="s">
        <v>1563</v>
      </c>
      <c r="D1234" s="74"/>
      <c r="E1234" s="208" t="s">
        <v>122</v>
      </c>
      <c r="F1234" s="209" t="s">
        <v>21</v>
      </c>
      <c r="G1234" s="209" t="s">
        <v>21</v>
      </c>
      <c r="H1234" s="209" t="s">
        <v>272</v>
      </c>
      <c r="I1234" s="210"/>
    </row>
    <row r="1235" spans="1:9" x14ac:dyDescent="0.25">
      <c r="A1235" s="74"/>
      <c r="B1235" s="45">
        <v>1153</v>
      </c>
      <c r="C1235" s="64" t="s">
        <v>1562</v>
      </c>
      <c r="D1235" s="74"/>
      <c r="E1235" s="208" t="s">
        <v>122</v>
      </c>
      <c r="F1235" s="209" t="s">
        <v>21</v>
      </c>
      <c r="G1235" s="209" t="s">
        <v>21</v>
      </c>
      <c r="H1235" s="209" t="s">
        <v>272</v>
      </c>
      <c r="I1235" s="210"/>
    </row>
    <row r="1236" spans="1:9" x14ac:dyDescent="0.25">
      <c r="A1236" s="74"/>
      <c r="B1236" s="45">
        <v>1155</v>
      </c>
      <c r="C1236" s="64" t="s">
        <v>1564</v>
      </c>
      <c r="D1236" s="74"/>
      <c r="E1236" s="208" t="s">
        <v>122</v>
      </c>
      <c r="F1236" s="209" t="s">
        <v>21</v>
      </c>
      <c r="G1236" s="209" t="s">
        <v>21</v>
      </c>
      <c r="H1236" s="209" t="s">
        <v>272</v>
      </c>
      <c r="I1236" s="210"/>
    </row>
    <row r="1237" spans="1:9" x14ac:dyDescent="0.25">
      <c r="A1237" s="74"/>
      <c r="B1237" s="45">
        <v>1156</v>
      </c>
      <c r="C1237" s="64" t="s">
        <v>1565</v>
      </c>
      <c r="D1237" s="74"/>
      <c r="E1237" s="208" t="s">
        <v>122</v>
      </c>
      <c r="F1237" s="209" t="s">
        <v>21</v>
      </c>
      <c r="G1237" s="209" t="s">
        <v>21</v>
      </c>
      <c r="H1237" s="209" t="s">
        <v>272</v>
      </c>
      <c r="I1237" s="210"/>
    </row>
    <row r="1238" spans="1:9" x14ac:dyDescent="0.25">
      <c r="A1238" s="74"/>
      <c r="B1238" s="45">
        <v>31</v>
      </c>
      <c r="C1238" s="64" t="s">
        <v>445</v>
      </c>
      <c r="D1238" s="74"/>
      <c r="E1238" s="208" t="s">
        <v>122</v>
      </c>
      <c r="F1238" s="209" t="s">
        <v>21</v>
      </c>
      <c r="G1238" s="209" t="s">
        <v>21</v>
      </c>
      <c r="H1238" s="209" t="s">
        <v>192</v>
      </c>
      <c r="I1238" s="210"/>
    </row>
    <row r="1239" spans="1:9" x14ac:dyDescent="0.25">
      <c r="A1239" s="74"/>
      <c r="B1239" s="45">
        <v>1154</v>
      </c>
      <c r="C1239" s="64" t="s">
        <v>1563</v>
      </c>
      <c r="D1239" s="74"/>
      <c r="E1239" s="208" t="s">
        <v>122</v>
      </c>
      <c r="F1239" s="209" t="s">
        <v>21</v>
      </c>
      <c r="G1239" s="209" t="s">
        <v>21</v>
      </c>
      <c r="H1239" s="209" t="s">
        <v>272</v>
      </c>
      <c r="I1239" s="210"/>
    </row>
    <row r="1240" spans="1:9" x14ac:dyDescent="0.25">
      <c r="A1240" s="74"/>
      <c r="B1240" s="45">
        <v>1153</v>
      </c>
      <c r="C1240" s="64" t="s">
        <v>1562</v>
      </c>
      <c r="D1240" s="74"/>
      <c r="E1240" s="208" t="s">
        <v>122</v>
      </c>
      <c r="F1240" s="209" t="s">
        <v>21</v>
      </c>
      <c r="G1240" s="209" t="s">
        <v>21</v>
      </c>
      <c r="H1240" s="209" t="s">
        <v>272</v>
      </c>
      <c r="I1240" s="210"/>
    </row>
    <row r="1241" spans="1:9" x14ac:dyDescent="0.25">
      <c r="A1241" s="74"/>
      <c r="B1241" s="45">
        <v>1155</v>
      </c>
      <c r="C1241" s="64" t="s">
        <v>1564</v>
      </c>
      <c r="D1241" s="74"/>
      <c r="E1241" s="208" t="s">
        <v>122</v>
      </c>
      <c r="F1241" s="209" t="s">
        <v>21</v>
      </c>
      <c r="G1241" s="209" t="s">
        <v>21</v>
      </c>
      <c r="H1241" s="209" t="s">
        <v>272</v>
      </c>
      <c r="I1241" s="210"/>
    </row>
    <row r="1242" spans="1:9" x14ac:dyDescent="0.25">
      <c r="A1242" s="74"/>
      <c r="B1242" s="45">
        <v>1156</v>
      </c>
      <c r="C1242" s="64" t="s">
        <v>1565</v>
      </c>
      <c r="D1242" s="74"/>
      <c r="E1242" s="208" t="s">
        <v>122</v>
      </c>
      <c r="F1242" s="209" t="s">
        <v>21</v>
      </c>
      <c r="G1242" s="209" t="s">
        <v>21</v>
      </c>
      <c r="H1242" s="209" t="s">
        <v>272</v>
      </c>
      <c r="I1242" s="210"/>
    </row>
    <row r="1243" spans="1:9" x14ac:dyDescent="0.25">
      <c r="A1243" s="74"/>
      <c r="B1243" s="45">
        <v>36</v>
      </c>
      <c r="C1243" s="64" t="s">
        <v>450</v>
      </c>
      <c r="D1243" s="74"/>
      <c r="E1243" s="208" t="s">
        <v>122</v>
      </c>
      <c r="F1243" s="209" t="s">
        <v>21</v>
      </c>
      <c r="G1243" s="209" t="s">
        <v>21</v>
      </c>
      <c r="H1243" s="209" t="s">
        <v>192</v>
      </c>
      <c r="I1243" s="210"/>
    </row>
    <row r="1244" spans="1:9" x14ac:dyDescent="0.25">
      <c r="A1244" s="74"/>
      <c r="B1244" s="45">
        <v>114</v>
      </c>
      <c r="C1244" s="64" t="s">
        <v>526</v>
      </c>
      <c r="D1244" s="74"/>
      <c r="E1244" s="208" t="s">
        <v>122</v>
      </c>
      <c r="F1244" s="209" t="s">
        <v>21</v>
      </c>
      <c r="G1244" s="209" t="s">
        <v>21</v>
      </c>
      <c r="H1244" s="209" t="s">
        <v>192</v>
      </c>
      <c r="I1244" s="210"/>
    </row>
    <row r="1245" spans="1:9" x14ac:dyDescent="0.25">
      <c r="A1245" s="74"/>
      <c r="B1245" s="45">
        <v>1152</v>
      </c>
      <c r="C1245" s="64" t="s">
        <v>1561</v>
      </c>
      <c r="D1245" s="74"/>
      <c r="E1245" s="208" t="s">
        <v>122</v>
      </c>
      <c r="F1245" s="209" t="s">
        <v>21</v>
      </c>
      <c r="G1245" s="209" t="s">
        <v>21</v>
      </c>
      <c r="H1245" s="209" t="s">
        <v>189</v>
      </c>
      <c r="I1245" s="210"/>
    </row>
    <row r="1246" spans="1:9" x14ac:dyDescent="0.25">
      <c r="A1246" s="74"/>
      <c r="B1246" s="45">
        <v>1157</v>
      </c>
      <c r="C1246" s="64" t="s">
        <v>1566</v>
      </c>
      <c r="D1246" s="74"/>
      <c r="E1246" s="208" t="s">
        <v>122</v>
      </c>
      <c r="F1246" s="209" t="s">
        <v>21</v>
      </c>
      <c r="G1246" s="209" t="s">
        <v>21</v>
      </c>
      <c r="H1246" s="209" t="s">
        <v>272</v>
      </c>
      <c r="I1246" s="210"/>
    </row>
    <row r="1247" spans="1:9" x14ac:dyDescent="0.25">
      <c r="A1247" s="74"/>
      <c r="B1247" s="45">
        <v>1158</v>
      </c>
      <c r="C1247" s="64" t="s">
        <v>1567</v>
      </c>
      <c r="D1247" s="74"/>
      <c r="E1247" s="208" t="s">
        <v>122</v>
      </c>
      <c r="F1247" s="209" t="s">
        <v>21</v>
      </c>
      <c r="G1247" s="209" t="s">
        <v>21</v>
      </c>
      <c r="H1247" s="209" t="s">
        <v>272</v>
      </c>
      <c r="I1247" s="210"/>
    </row>
    <row r="1248" spans="1:9" x14ac:dyDescent="0.25">
      <c r="A1248" s="74"/>
      <c r="B1248" s="45">
        <v>1159</v>
      </c>
      <c r="C1248" s="64" t="s">
        <v>1568</v>
      </c>
      <c r="D1248" s="74"/>
      <c r="E1248" s="208" t="s">
        <v>122</v>
      </c>
      <c r="F1248" s="209" t="s">
        <v>21</v>
      </c>
      <c r="G1248" s="209" t="s">
        <v>21</v>
      </c>
      <c r="H1248" s="209" t="s">
        <v>272</v>
      </c>
      <c r="I1248" s="210"/>
    </row>
    <row r="1249" spans="1:9" x14ac:dyDescent="0.25">
      <c r="A1249" s="74"/>
      <c r="B1249" s="45">
        <v>1160</v>
      </c>
      <c r="C1249" s="64" t="s">
        <v>1569</v>
      </c>
      <c r="D1249" s="74"/>
      <c r="E1249" s="208" t="s">
        <v>122</v>
      </c>
      <c r="F1249" s="209" t="s">
        <v>21</v>
      </c>
      <c r="G1249" s="209" t="s">
        <v>21</v>
      </c>
      <c r="H1249" s="209" t="s">
        <v>272</v>
      </c>
      <c r="I1249" s="210"/>
    </row>
    <row r="1250" spans="1:9" x14ac:dyDescent="0.25">
      <c r="A1250" s="74"/>
      <c r="B1250" s="45">
        <v>1161</v>
      </c>
      <c r="C1250" s="64" t="s">
        <v>1570</v>
      </c>
      <c r="D1250" s="74"/>
      <c r="E1250" s="208" t="s">
        <v>122</v>
      </c>
      <c r="F1250" s="209" t="s">
        <v>21</v>
      </c>
      <c r="G1250" s="209" t="s">
        <v>21</v>
      </c>
      <c r="H1250" s="209" t="s">
        <v>272</v>
      </c>
      <c r="I1250" s="210"/>
    </row>
    <row r="1251" spans="1:9" x14ac:dyDescent="0.25">
      <c r="A1251" s="74"/>
      <c r="B1251" s="45">
        <v>1157</v>
      </c>
      <c r="C1251" s="64" t="s">
        <v>1566</v>
      </c>
      <c r="D1251" s="74"/>
      <c r="E1251" s="208" t="s">
        <v>122</v>
      </c>
      <c r="F1251" s="209" t="s">
        <v>21</v>
      </c>
      <c r="G1251" s="209" t="s">
        <v>21</v>
      </c>
      <c r="H1251" s="209" t="s">
        <v>272</v>
      </c>
      <c r="I1251" s="210"/>
    </row>
    <row r="1252" spans="1:9" x14ac:dyDescent="0.25">
      <c r="A1252" s="74"/>
      <c r="B1252" s="45">
        <v>1158</v>
      </c>
      <c r="C1252" s="64" t="s">
        <v>1567</v>
      </c>
      <c r="D1252" s="74"/>
      <c r="E1252" s="208" t="s">
        <v>122</v>
      </c>
      <c r="F1252" s="209" t="s">
        <v>21</v>
      </c>
      <c r="G1252" s="209" t="s">
        <v>21</v>
      </c>
      <c r="H1252" s="209" t="s">
        <v>272</v>
      </c>
      <c r="I1252" s="210"/>
    </row>
    <row r="1253" spans="1:9" x14ac:dyDescent="0.25">
      <c r="A1253" s="74"/>
      <c r="B1253" s="45">
        <v>1159</v>
      </c>
      <c r="C1253" s="64" t="s">
        <v>1568</v>
      </c>
      <c r="D1253" s="74"/>
      <c r="E1253" s="208" t="s">
        <v>122</v>
      </c>
      <c r="F1253" s="209" t="s">
        <v>21</v>
      </c>
      <c r="G1253" s="209" t="s">
        <v>21</v>
      </c>
      <c r="H1253" s="209" t="s">
        <v>272</v>
      </c>
      <c r="I1253" s="210"/>
    </row>
    <row r="1254" spans="1:9" x14ac:dyDescent="0.25">
      <c r="A1254" s="74"/>
      <c r="B1254" s="45">
        <v>1160</v>
      </c>
      <c r="C1254" s="64" t="s">
        <v>1569</v>
      </c>
      <c r="D1254" s="74"/>
      <c r="E1254" s="208" t="s">
        <v>122</v>
      </c>
      <c r="F1254" s="209" t="s">
        <v>21</v>
      </c>
      <c r="G1254" s="209" t="s">
        <v>21</v>
      </c>
      <c r="H1254" s="209" t="s">
        <v>272</v>
      </c>
      <c r="I1254" s="210"/>
    </row>
    <row r="1255" spans="1:9" x14ac:dyDescent="0.25">
      <c r="A1255" s="74"/>
      <c r="B1255" s="45">
        <v>1161</v>
      </c>
      <c r="C1255" s="64" t="s">
        <v>1570</v>
      </c>
      <c r="D1255" s="74"/>
      <c r="E1255" s="208" t="s">
        <v>122</v>
      </c>
      <c r="F1255" s="209" t="s">
        <v>21</v>
      </c>
      <c r="G1255" s="209" t="s">
        <v>21</v>
      </c>
      <c r="H1255" s="209" t="s">
        <v>272</v>
      </c>
      <c r="I1255" s="210"/>
    </row>
    <row r="1256" spans="1:9" x14ac:dyDescent="0.25">
      <c r="A1256" s="74"/>
      <c r="B1256" s="45">
        <v>1157</v>
      </c>
      <c r="C1256" s="64" t="s">
        <v>1566</v>
      </c>
      <c r="D1256" s="74"/>
      <c r="E1256" s="208" t="s">
        <v>122</v>
      </c>
      <c r="F1256" s="209" t="s">
        <v>21</v>
      </c>
      <c r="G1256" s="209" t="s">
        <v>21</v>
      </c>
      <c r="H1256" s="209" t="s">
        <v>272</v>
      </c>
      <c r="I1256" s="210"/>
    </row>
    <row r="1257" spans="1:9" x14ac:dyDescent="0.25">
      <c r="A1257" s="74"/>
      <c r="B1257" s="45">
        <v>1158</v>
      </c>
      <c r="C1257" s="64" t="s">
        <v>1567</v>
      </c>
      <c r="D1257" s="74"/>
      <c r="E1257" s="208" t="s">
        <v>122</v>
      </c>
      <c r="F1257" s="209" t="s">
        <v>21</v>
      </c>
      <c r="G1257" s="209" t="s">
        <v>21</v>
      </c>
      <c r="H1257" s="209" t="s">
        <v>272</v>
      </c>
      <c r="I1257" s="210"/>
    </row>
    <row r="1258" spans="1:9" x14ac:dyDescent="0.25">
      <c r="A1258" s="74"/>
      <c r="B1258" s="45">
        <v>1159</v>
      </c>
      <c r="C1258" s="64" t="s">
        <v>1568</v>
      </c>
      <c r="D1258" s="74"/>
      <c r="E1258" s="208" t="s">
        <v>122</v>
      </c>
      <c r="F1258" s="209" t="s">
        <v>21</v>
      </c>
      <c r="G1258" s="209" t="s">
        <v>21</v>
      </c>
      <c r="H1258" s="209" t="s">
        <v>272</v>
      </c>
      <c r="I1258" s="210"/>
    </row>
    <row r="1259" spans="1:9" x14ac:dyDescent="0.25">
      <c r="A1259" s="74"/>
      <c r="B1259" s="45">
        <v>1160</v>
      </c>
      <c r="C1259" s="64" t="s">
        <v>1569</v>
      </c>
      <c r="D1259" s="74"/>
      <c r="E1259" s="208" t="s">
        <v>122</v>
      </c>
      <c r="F1259" s="209" t="s">
        <v>21</v>
      </c>
      <c r="G1259" s="209" t="s">
        <v>21</v>
      </c>
      <c r="H1259" s="209" t="s">
        <v>272</v>
      </c>
      <c r="I1259" s="210"/>
    </row>
    <row r="1260" spans="1:9" x14ac:dyDescent="0.25">
      <c r="A1260" s="74"/>
      <c r="B1260" s="45">
        <v>1161</v>
      </c>
      <c r="C1260" s="64" t="s">
        <v>1570</v>
      </c>
      <c r="D1260" s="74"/>
      <c r="E1260" s="208" t="s">
        <v>122</v>
      </c>
      <c r="F1260" s="209" t="s">
        <v>21</v>
      </c>
      <c r="G1260" s="209" t="s">
        <v>21</v>
      </c>
      <c r="H1260" s="209" t="s">
        <v>272</v>
      </c>
      <c r="I1260" s="210"/>
    </row>
    <row r="1261" spans="1:9" x14ac:dyDescent="0.25">
      <c r="A1261" s="74"/>
      <c r="B1261" s="45">
        <v>1157</v>
      </c>
      <c r="C1261" s="64" t="s">
        <v>1566</v>
      </c>
      <c r="D1261" s="74"/>
      <c r="E1261" s="208" t="s">
        <v>122</v>
      </c>
      <c r="F1261" s="209" t="s">
        <v>21</v>
      </c>
      <c r="G1261" s="209" t="s">
        <v>21</v>
      </c>
      <c r="H1261" s="209" t="s">
        <v>272</v>
      </c>
      <c r="I1261" s="210"/>
    </row>
    <row r="1262" spans="1:9" x14ac:dyDescent="0.25">
      <c r="A1262" s="74"/>
      <c r="B1262" s="45">
        <v>1158</v>
      </c>
      <c r="C1262" s="64" t="s">
        <v>1567</v>
      </c>
      <c r="D1262" s="74"/>
      <c r="E1262" s="208" t="s">
        <v>122</v>
      </c>
      <c r="F1262" s="209" t="s">
        <v>21</v>
      </c>
      <c r="G1262" s="209" t="s">
        <v>21</v>
      </c>
      <c r="H1262" s="209" t="s">
        <v>272</v>
      </c>
      <c r="I1262" s="210"/>
    </row>
    <row r="1263" spans="1:9" x14ac:dyDescent="0.25">
      <c r="A1263" s="74"/>
      <c r="B1263" s="45">
        <v>1159</v>
      </c>
      <c r="C1263" s="64" t="s">
        <v>1568</v>
      </c>
      <c r="D1263" s="74"/>
      <c r="E1263" s="208" t="s">
        <v>122</v>
      </c>
      <c r="F1263" s="209" t="s">
        <v>21</v>
      </c>
      <c r="G1263" s="209" t="s">
        <v>21</v>
      </c>
      <c r="H1263" s="209" t="s">
        <v>272</v>
      </c>
      <c r="I1263" s="210"/>
    </row>
    <row r="1264" spans="1:9" x14ac:dyDescent="0.25">
      <c r="A1264" s="74"/>
      <c r="B1264" s="45">
        <v>1160</v>
      </c>
      <c r="C1264" s="64" t="s">
        <v>1569</v>
      </c>
      <c r="D1264" s="74"/>
      <c r="E1264" s="208" t="s">
        <v>122</v>
      </c>
      <c r="F1264" s="209" t="s">
        <v>21</v>
      </c>
      <c r="G1264" s="209" t="s">
        <v>21</v>
      </c>
      <c r="H1264" s="209" t="s">
        <v>272</v>
      </c>
      <c r="I1264" s="210"/>
    </row>
    <row r="1265" spans="1:9" x14ac:dyDescent="0.25">
      <c r="A1265" s="74"/>
      <c r="B1265" s="45">
        <v>1161</v>
      </c>
      <c r="C1265" s="64" t="s">
        <v>1570</v>
      </c>
      <c r="D1265" s="74"/>
      <c r="E1265" s="208" t="s">
        <v>122</v>
      </c>
      <c r="F1265" s="209" t="s">
        <v>21</v>
      </c>
      <c r="G1265" s="209" t="s">
        <v>21</v>
      </c>
      <c r="H1265" s="209" t="s">
        <v>272</v>
      </c>
      <c r="I1265" s="210"/>
    </row>
    <row r="1266" spans="1:9" x14ac:dyDescent="0.25">
      <c r="A1266" s="74"/>
      <c r="B1266" s="45">
        <v>1162</v>
      </c>
      <c r="C1266" s="64" t="s">
        <v>1571</v>
      </c>
      <c r="D1266" s="74"/>
      <c r="E1266" s="208" t="s">
        <v>122</v>
      </c>
      <c r="F1266" s="209" t="s">
        <v>21</v>
      </c>
      <c r="G1266" s="209" t="s">
        <v>21</v>
      </c>
      <c r="H1266" s="209" t="s">
        <v>272</v>
      </c>
      <c r="I1266" s="210"/>
    </row>
    <row r="1267" spans="1:9" x14ac:dyDescent="0.25">
      <c r="A1267" s="74"/>
      <c r="B1267" s="45">
        <v>1163</v>
      </c>
      <c r="C1267" s="64" t="s">
        <v>1572</v>
      </c>
      <c r="D1267" s="74"/>
      <c r="E1267" s="208" t="s">
        <v>122</v>
      </c>
      <c r="F1267" s="209" t="s">
        <v>21</v>
      </c>
      <c r="G1267" s="209" t="s">
        <v>21</v>
      </c>
      <c r="H1267" s="209" t="s">
        <v>272</v>
      </c>
      <c r="I1267" s="210"/>
    </row>
    <row r="1268" spans="1:9" x14ac:dyDescent="0.25">
      <c r="A1268" s="74"/>
      <c r="B1268" s="45">
        <v>1164</v>
      </c>
      <c r="C1268" s="64" t="s">
        <v>1573</v>
      </c>
      <c r="D1268" s="74"/>
      <c r="E1268" s="208" t="s">
        <v>122</v>
      </c>
      <c r="F1268" s="209" t="s">
        <v>21</v>
      </c>
      <c r="G1268" s="209" t="s">
        <v>21</v>
      </c>
      <c r="H1268" s="209" t="s">
        <v>272</v>
      </c>
      <c r="I1268" s="210"/>
    </row>
    <row r="1269" spans="1:9" x14ac:dyDescent="0.25">
      <c r="A1269" s="74"/>
      <c r="B1269" s="45">
        <v>1165</v>
      </c>
      <c r="C1269" s="64" t="s">
        <v>1574</v>
      </c>
      <c r="D1269" s="74"/>
      <c r="E1269" s="208" t="s">
        <v>122</v>
      </c>
      <c r="F1269" s="209" t="s">
        <v>21</v>
      </c>
      <c r="G1269" s="209" t="s">
        <v>21</v>
      </c>
      <c r="H1269" s="209" t="s">
        <v>192</v>
      </c>
      <c r="I1269" s="210"/>
    </row>
    <row r="1270" spans="1:9" x14ac:dyDescent="0.25">
      <c r="A1270" s="74"/>
      <c r="B1270" s="45">
        <v>1166</v>
      </c>
      <c r="C1270" s="64" t="s">
        <v>1575</v>
      </c>
      <c r="D1270" s="74"/>
      <c r="E1270" s="208" t="s">
        <v>122</v>
      </c>
      <c r="F1270" s="209" t="s">
        <v>21</v>
      </c>
      <c r="G1270" s="209" t="s">
        <v>21</v>
      </c>
      <c r="H1270" s="209" t="s">
        <v>272</v>
      </c>
      <c r="I1270" s="210"/>
    </row>
    <row r="1271" spans="1:9" x14ac:dyDescent="0.25">
      <c r="A1271" s="74"/>
      <c r="B1271" s="45">
        <v>1162</v>
      </c>
      <c r="C1271" s="64" t="s">
        <v>1571</v>
      </c>
      <c r="D1271" s="74"/>
      <c r="E1271" s="208" t="s">
        <v>122</v>
      </c>
      <c r="F1271" s="209" t="s">
        <v>21</v>
      </c>
      <c r="G1271" s="209" t="s">
        <v>21</v>
      </c>
      <c r="H1271" s="209" t="s">
        <v>272</v>
      </c>
      <c r="I1271" s="210"/>
    </row>
    <row r="1272" spans="1:9" x14ac:dyDescent="0.25">
      <c r="A1272" s="74"/>
      <c r="B1272" s="45">
        <v>1163</v>
      </c>
      <c r="C1272" s="64" t="s">
        <v>1572</v>
      </c>
      <c r="D1272" s="74"/>
      <c r="E1272" s="208" t="s">
        <v>122</v>
      </c>
      <c r="F1272" s="209" t="s">
        <v>21</v>
      </c>
      <c r="G1272" s="209" t="s">
        <v>21</v>
      </c>
      <c r="H1272" s="209" t="s">
        <v>272</v>
      </c>
      <c r="I1272" s="210"/>
    </row>
    <row r="1273" spans="1:9" x14ac:dyDescent="0.25">
      <c r="A1273" s="74"/>
      <c r="B1273" s="45">
        <v>1164</v>
      </c>
      <c r="C1273" s="64" t="s">
        <v>1573</v>
      </c>
      <c r="D1273" s="74"/>
      <c r="E1273" s="208" t="s">
        <v>122</v>
      </c>
      <c r="F1273" s="209" t="s">
        <v>21</v>
      </c>
      <c r="G1273" s="209" t="s">
        <v>21</v>
      </c>
      <c r="H1273" s="209" t="s">
        <v>272</v>
      </c>
      <c r="I1273" s="210"/>
    </row>
    <row r="1274" spans="1:9" x14ac:dyDescent="0.25">
      <c r="A1274" s="74"/>
      <c r="B1274" s="45">
        <v>1165</v>
      </c>
      <c r="C1274" s="64" t="s">
        <v>1574</v>
      </c>
      <c r="D1274" s="74"/>
      <c r="E1274" s="208" t="s">
        <v>122</v>
      </c>
      <c r="F1274" s="209" t="s">
        <v>21</v>
      </c>
      <c r="G1274" s="209" t="s">
        <v>21</v>
      </c>
      <c r="H1274" s="209" t="s">
        <v>192</v>
      </c>
      <c r="I1274" s="210"/>
    </row>
    <row r="1275" spans="1:9" x14ac:dyDescent="0.25">
      <c r="A1275" s="74"/>
      <c r="B1275" s="45">
        <v>1166</v>
      </c>
      <c r="C1275" s="64" t="s">
        <v>1575</v>
      </c>
      <c r="D1275" s="74"/>
      <c r="E1275" s="208" t="s">
        <v>122</v>
      </c>
      <c r="F1275" s="209" t="s">
        <v>21</v>
      </c>
      <c r="G1275" s="209" t="s">
        <v>21</v>
      </c>
      <c r="H1275" s="209" t="s">
        <v>272</v>
      </c>
      <c r="I1275" s="210"/>
    </row>
    <row r="1276" spans="1:9" x14ac:dyDescent="0.25">
      <c r="A1276" s="74"/>
      <c r="B1276" s="45">
        <v>1162</v>
      </c>
      <c r="C1276" s="64" t="s">
        <v>1571</v>
      </c>
      <c r="D1276" s="74"/>
      <c r="E1276" s="208" t="s">
        <v>122</v>
      </c>
      <c r="F1276" s="209" t="s">
        <v>21</v>
      </c>
      <c r="G1276" s="209" t="s">
        <v>21</v>
      </c>
      <c r="H1276" s="209" t="s">
        <v>272</v>
      </c>
      <c r="I1276" s="210"/>
    </row>
    <row r="1277" spans="1:9" x14ac:dyDescent="0.25">
      <c r="A1277" s="74"/>
      <c r="B1277" s="45">
        <v>1163</v>
      </c>
      <c r="C1277" s="64" t="s">
        <v>1572</v>
      </c>
      <c r="D1277" s="74"/>
      <c r="E1277" s="208" t="s">
        <v>122</v>
      </c>
      <c r="F1277" s="209" t="s">
        <v>21</v>
      </c>
      <c r="G1277" s="209" t="s">
        <v>21</v>
      </c>
      <c r="H1277" s="209" t="s">
        <v>272</v>
      </c>
      <c r="I1277" s="210"/>
    </row>
    <row r="1278" spans="1:9" x14ac:dyDescent="0.25">
      <c r="A1278" s="74"/>
      <c r="B1278" s="45">
        <v>1164</v>
      </c>
      <c r="C1278" s="64" t="s">
        <v>1573</v>
      </c>
      <c r="D1278" s="74"/>
      <c r="E1278" s="208" t="s">
        <v>122</v>
      </c>
      <c r="F1278" s="209" t="s">
        <v>21</v>
      </c>
      <c r="G1278" s="209" t="s">
        <v>21</v>
      </c>
      <c r="H1278" s="209" t="s">
        <v>272</v>
      </c>
      <c r="I1278" s="210"/>
    </row>
    <row r="1279" spans="1:9" x14ac:dyDescent="0.25">
      <c r="A1279" s="74"/>
      <c r="B1279" s="45">
        <v>1165</v>
      </c>
      <c r="C1279" s="64" t="s">
        <v>1574</v>
      </c>
      <c r="D1279" s="74"/>
      <c r="E1279" s="208" t="s">
        <v>122</v>
      </c>
      <c r="F1279" s="209" t="s">
        <v>21</v>
      </c>
      <c r="G1279" s="209" t="s">
        <v>21</v>
      </c>
      <c r="H1279" s="209" t="s">
        <v>192</v>
      </c>
      <c r="I1279" s="210"/>
    </row>
    <row r="1280" spans="1:9" x14ac:dyDescent="0.25">
      <c r="A1280" s="74"/>
      <c r="B1280" s="45">
        <v>1166</v>
      </c>
      <c r="C1280" s="64" t="s">
        <v>1575</v>
      </c>
      <c r="D1280" s="74"/>
      <c r="E1280" s="208" t="s">
        <v>122</v>
      </c>
      <c r="F1280" s="209" t="s">
        <v>21</v>
      </c>
      <c r="G1280" s="209" t="s">
        <v>21</v>
      </c>
      <c r="H1280" s="209" t="s">
        <v>272</v>
      </c>
      <c r="I1280" s="210"/>
    </row>
    <row r="1281" spans="1:9" x14ac:dyDescent="0.25">
      <c r="A1281" s="74"/>
      <c r="B1281" s="45">
        <v>1162</v>
      </c>
      <c r="C1281" s="64" t="s">
        <v>1571</v>
      </c>
      <c r="D1281" s="74"/>
      <c r="E1281" s="208" t="s">
        <v>122</v>
      </c>
      <c r="F1281" s="209" t="s">
        <v>21</v>
      </c>
      <c r="G1281" s="209" t="s">
        <v>21</v>
      </c>
      <c r="H1281" s="209" t="s">
        <v>272</v>
      </c>
      <c r="I1281" s="210"/>
    </row>
    <row r="1282" spans="1:9" x14ac:dyDescent="0.25">
      <c r="A1282" s="74"/>
      <c r="B1282" s="45">
        <v>1163</v>
      </c>
      <c r="C1282" s="64" t="s">
        <v>1572</v>
      </c>
      <c r="D1282" s="74"/>
      <c r="E1282" s="208" t="s">
        <v>122</v>
      </c>
      <c r="F1282" s="209" t="s">
        <v>21</v>
      </c>
      <c r="G1282" s="209" t="s">
        <v>21</v>
      </c>
      <c r="H1282" s="209" t="s">
        <v>272</v>
      </c>
      <c r="I1282" s="210"/>
    </row>
    <row r="1283" spans="1:9" x14ac:dyDescent="0.25">
      <c r="A1283" s="74"/>
      <c r="B1283" s="45">
        <v>1164</v>
      </c>
      <c r="C1283" s="64" t="s">
        <v>1573</v>
      </c>
      <c r="D1283" s="74"/>
      <c r="E1283" s="208" t="s">
        <v>122</v>
      </c>
      <c r="F1283" s="209" t="s">
        <v>21</v>
      </c>
      <c r="G1283" s="209" t="s">
        <v>21</v>
      </c>
      <c r="H1283" s="209" t="s">
        <v>272</v>
      </c>
      <c r="I1283" s="210"/>
    </row>
    <row r="1284" spans="1:9" x14ac:dyDescent="0.25">
      <c r="A1284" s="74"/>
      <c r="B1284" s="45">
        <v>1165</v>
      </c>
      <c r="C1284" s="64" t="s">
        <v>1574</v>
      </c>
      <c r="D1284" s="74"/>
      <c r="E1284" s="208" t="s">
        <v>122</v>
      </c>
      <c r="F1284" s="209" t="s">
        <v>21</v>
      </c>
      <c r="G1284" s="209" t="s">
        <v>21</v>
      </c>
      <c r="H1284" s="209" t="s">
        <v>192</v>
      </c>
      <c r="I1284" s="210"/>
    </row>
    <row r="1285" spans="1:9" x14ac:dyDescent="0.25">
      <c r="A1285" s="74"/>
      <c r="B1285" s="45">
        <v>1166</v>
      </c>
      <c r="C1285" s="64" t="s">
        <v>1575</v>
      </c>
      <c r="D1285" s="74"/>
      <c r="E1285" s="208" t="s">
        <v>122</v>
      </c>
      <c r="F1285" s="209" t="s">
        <v>21</v>
      </c>
      <c r="G1285" s="209" t="s">
        <v>21</v>
      </c>
      <c r="H1285" s="209" t="s">
        <v>272</v>
      </c>
      <c r="I1285" s="210"/>
    </row>
    <row r="1286" spans="1:9" x14ac:dyDescent="0.25">
      <c r="A1286" s="74"/>
      <c r="B1286" s="45">
        <v>58</v>
      </c>
      <c r="C1286" s="64" t="s">
        <v>470</v>
      </c>
      <c r="D1286" s="74"/>
      <c r="E1286" s="208" t="s">
        <v>122</v>
      </c>
      <c r="F1286" s="209" t="s">
        <v>21</v>
      </c>
      <c r="G1286" s="209" t="s">
        <v>21</v>
      </c>
      <c r="H1286" s="209" t="s">
        <v>189</v>
      </c>
      <c r="I1286" s="210"/>
    </row>
    <row r="1287" spans="1:9" x14ac:dyDescent="0.25">
      <c r="A1287" s="74"/>
      <c r="B1287" s="45">
        <v>39</v>
      </c>
      <c r="C1287" s="64" t="s">
        <v>453</v>
      </c>
      <c r="D1287" s="74"/>
      <c r="E1287" s="208" t="s">
        <v>122</v>
      </c>
      <c r="F1287" s="209" t="s">
        <v>21</v>
      </c>
      <c r="G1287" s="209" t="s">
        <v>21</v>
      </c>
      <c r="H1287" s="209" t="s">
        <v>192</v>
      </c>
      <c r="I1287" s="210"/>
    </row>
    <row r="1288" spans="1:9" x14ac:dyDescent="0.25">
      <c r="A1288" s="74"/>
      <c r="B1288" s="45">
        <v>1162</v>
      </c>
      <c r="C1288" s="64" t="s">
        <v>1571</v>
      </c>
      <c r="D1288" s="74"/>
      <c r="E1288" s="208" t="s">
        <v>122</v>
      </c>
      <c r="F1288" s="209" t="s">
        <v>21</v>
      </c>
      <c r="G1288" s="209" t="s">
        <v>21</v>
      </c>
      <c r="H1288" s="209" t="s">
        <v>272</v>
      </c>
      <c r="I1288" s="210"/>
    </row>
    <row r="1289" spans="1:9" x14ac:dyDescent="0.25">
      <c r="A1289" s="74"/>
      <c r="B1289" s="45">
        <v>1163</v>
      </c>
      <c r="C1289" s="64" t="s">
        <v>1572</v>
      </c>
      <c r="D1289" s="74"/>
      <c r="E1289" s="208" t="s">
        <v>122</v>
      </c>
      <c r="F1289" s="209" t="s">
        <v>21</v>
      </c>
      <c r="G1289" s="209" t="s">
        <v>21</v>
      </c>
      <c r="H1289" s="209" t="s">
        <v>272</v>
      </c>
      <c r="I1289" s="210"/>
    </row>
    <row r="1290" spans="1:9" x14ac:dyDescent="0.25">
      <c r="A1290" s="74"/>
      <c r="B1290" s="45">
        <v>1164</v>
      </c>
      <c r="C1290" s="64" t="s">
        <v>1573</v>
      </c>
      <c r="D1290" s="74"/>
      <c r="E1290" s="208" t="s">
        <v>122</v>
      </c>
      <c r="F1290" s="209" t="s">
        <v>21</v>
      </c>
      <c r="G1290" s="209" t="s">
        <v>21</v>
      </c>
      <c r="H1290" s="209" t="s">
        <v>272</v>
      </c>
      <c r="I1290" s="210"/>
    </row>
    <row r="1291" spans="1:9" x14ac:dyDescent="0.25">
      <c r="A1291" s="74"/>
      <c r="B1291" s="45">
        <v>1165</v>
      </c>
      <c r="C1291" s="64" t="s">
        <v>1574</v>
      </c>
      <c r="D1291" s="74"/>
      <c r="E1291" s="208" t="s">
        <v>122</v>
      </c>
      <c r="F1291" s="209" t="s">
        <v>21</v>
      </c>
      <c r="G1291" s="209" t="s">
        <v>21</v>
      </c>
      <c r="H1291" s="209" t="s">
        <v>192</v>
      </c>
      <c r="I1291" s="210"/>
    </row>
    <row r="1292" spans="1:9" x14ac:dyDescent="0.25">
      <c r="A1292" s="74"/>
      <c r="B1292" s="45">
        <v>1166</v>
      </c>
      <c r="C1292" s="64" t="s">
        <v>1575</v>
      </c>
      <c r="D1292" s="74"/>
      <c r="E1292" s="208" t="s">
        <v>122</v>
      </c>
      <c r="F1292" s="209" t="s">
        <v>21</v>
      </c>
      <c r="G1292" s="209" t="s">
        <v>21</v>
      </c>
      <c r="H1292" s="209" t="s">
        <v>272</v>
      </c>
      <c r="I1292" s="210"/>
    </row>
    <row r="1293" spans="1:9" x14ac:dyDescent="0.25">
      <c r="A1293" s="74"/>
      <c r="B1293" s="45">
        <v>1160</v>
      </c>
      <c r="C1293" s="64" t="s">
        <v>1569</v>
      </c>
      <c r="D1293" s="74"/>
      <c r="E1293" s="208" t="s">
        <v>122</v>
      </c>
      <c r="F1293" s="209" t="s">
        <v>21</v>
      </c>
      <c r="G1293" s="209" t="s">
        <v>21</v>
      </c>
      <c r="H1293" s="209" t="s">
        <v>272</v>
      </c>
      <c r="I1293" s="210"/>
    </row>
    <row r="1294" spans="1:9" x14ac:dyDescent="0.25">
      <c r="A1294" s="74"/>
      <c r="B1294" s="45">
        <v>1167</v>
      </c>
      <c r="C1294" s="64" t="s">
        <v>1576</v>
      </c>
      <c r="D1294" s="74"/>
      <c r="E1294" s="208" t="s">
        <v>122</v>
      </c>
      <c r="F1294" s="209" t="s">
        <v>21</v>
      </c>
      <c r="G1294" s="209" t="s">
        <v>21</v>
      </c>
      <c r="H1294" s="209" t="s">
        <v>272</v>
      </c>
      <c r="I1294" s="210"/>
    </row>
    <row r="1295" spans="1:9" x14ac:dyDescent="0.25">
      <c r="A1295" s="74"/>
      <c r="B1295" s="45">
        <v>1168</v>
      </c>
      <c r="C1295" s="64" t="s">
        <v>1577</v>
      </c>
      <c r="D1295" s="74"/>
      <c r="E1295" s="208" t="s">
        <v>122</v>
      </c>
      <c r="F1295" s="209" t="s">
        <v>21</v>
      </c>
      <c r="G1295" s="209" t="s">
        <v>21</v>
      </c>
      <c r="H1295" s="209" t="s">
        <v>272</v>
      </c>
      <c r="I1295" s="210"/>
    </row>
    <row r="1296" spans="1:9" x14ac:dyDescent="0.25">
      <c r="A1296" s="74"/>
      <c r="B1296" s="45">
        <v>46</v>
      </c>
      <c r="C1296" s="64" t="s">
        <v>460</v>
      </c>
      <c r="D1296" s="74"/>
      <c r="E1296" s="208" t="s">
        <v>122</v>
      </c>
      <c r="F1296" s="209" t="s">
        <v>21</v>
      </c>
      <c r="G1296" s="209" t="s">
        <v>21</v>
      </c>
      <c r="H1296" s="209" t="s">
        <v>272</v>
      </c>
      <c r="I1296" s="210"/>
    </row>
    <row r="1297" spans="1:9" x14ac:dyDescent="0.25">
      <c r="A1297" s="74"/>
      <c r="B1297" s="45">
        <v>115</v>
      </c>
      <c r="C1297" s="64" t="s">
        <v>527</v>
      </c>
      <c r="D1297" s="74"/>
      <c r="E1297" s="208" t="s">
        <v>122</v>
      </c>
      <c r="F1297" s="209" t="s">
        <v>21</v>
      </c>
      <c r="G1297" s="209" t="s">
        <v>21</v>
      </c>
      <c r="H1297" s="209" t="s">
        <v>272</v>
      </c>
      <c r="I1297" s="210"/>
    </row>
    <row r="1298" spans="1:9" x14ac:dyDescent="0.25">
      <c r="A1298" s="74"/>
      <c r="B1298" s="45">
        <v>1169</v>
      </c>
      <c r="C1298" s="64" t="s">
        <v>1578</v>
      </c>
      <c r="D1298" s="74"/>
      <c r="E1298" s="208" t="s">
        <v>122</v>
      </c>
      <c r="F1298" s="209" t="s">
        <v>21</v>
      </c>
      <c r="G1298" s="209" t="s">
        <v>21</v>
      </c>
      <c r="H1298" s="209" t="s">
        <v>272</v>
      </c>
      <c r="I1298" s="210"/>
    </row>
    <row r="1299" spans="1:9" x14ac:dyDescent="0.25">
      <c r="A1299" s="74"/>
      <c r="B1299" s="45">
        <v>27</v>
      </c>
      <c r="C1299" s="64" t="s">
        <v>441</v>
      </c>
      <c r="D1299" s="74"/>
      <c r="E1299" s="208" t="s">
        <v>122</v>
      </c>
      <c r="F1299" s="209" t="s">
        <v>21</v>
      </c>
      <c r="G1299" s="209" t="s">
        <v>21</v>
      </c>
      <c r="H1299" s="209" t="s">
        <v>272</v>
      </c>
      <c r="I1299" s="210"/>
    </row>
    <row r="1300" spans="1:9" x14ac:dyDescent="0.25">
      <c r="A1300" s="74"/>
      <c r="B1300" s="45">
        <v>1168</v>
      </c>
      <c r="C1300" s="64" t="s">
        <v>1577</v>
      </c>
      <c r="D1300" s="74"/>
      <c r="E1300" s="208" t="s">
        <v>122</v>
      </c>
      <c r="F1300" s="209" t="s">
        <v>21</v>
      </c>
      <c r="G1300" s="209" t="s">
        <v>21</v>
      </c>
      <c r="H1300" s="209" t="s">
        <v>272</v>
      </c>
      <c r="I1300" s="210"/>
    </row>
    <row r="1301" spans="1:9" x14ac:dyDescent="0.25">
      <c r="A1301" s="74"/>
      <c r="B1301" s="45">
        <v>115</v>
      </c>
      <c r="C1301" s="64" t="s">
        <v>527</v>
      </c>
      <c r="D1301" s="74"/>
      <c r="E1301" s="208" t="s">
        <v>122</v>
      </c>
      <c r="F1301" s="209" t="s">
        <v>21</v>
      </c>
      <c r="G1301" s="209" t="s">
        <v>21</v>
      </c>
      <c r="H1301" s="209" t="s">
        <v>272</v>
      </c>
      <c r="I1301" s="210"/>
    </row>
    <row r="1302" spans="1:9" x14ac:dyDescent="0.25">
      <c r="A1302" s="74"/>
      <c r="B1302" s="45">
        <v>46</v>
      </c>
      <c r="C1302" s="64" t="s">
        <v>460</v>
      </c>
      <c r="D1302" s="74"/>
      <c r="E1302" s="208" t="s">
        <v>122</v>
      </c>
      <c r="F1302" s="209" t="s">
        <v>21</v>
      </c>
      <c r="G1302" s="209" t="s">
        <v>21</v>
      </c>
      <c r="H1302" s="209" t="s">
        <v>272</v>
      </c>
      <c r="I1302" s="210"/>
    </row>
    <row r="1303" spans="1:9" x14ac:dyDescent="0.25">
      <c r="A1303" s="74"/>
      <c r="B1303" s="45">
        <v>1169</v>
      </c>
      <c r="C1303" s="64" t="s">
        <v>1578</v>
      </c>
      <c r="D1303" s="74"/>
      <c r="E1303" s="208" t="s">
        <v>122</v>
      </c>
      <c r="F1303" s="209" t="s">
        <v>21</v>
      </c>
      <c r="G1303" s="209" t="s">
        <v>21</v>
      </c>
      <c r="H1303" s="209" t="s">
        <v>272</v>
      </c>
      <c r="I1303" s="210"/>
    </row>
    <row r="1304" spans="1:9" x14ac:dyDescent="0.25">
      <c r="A1304" s="74"/>
      <c r="B1304" s="45">
        <v>27</v>
      </c>
      <c r="C1304" s="64" t="s">
        <v>441</v>
      </c>
      <c r="D1304" s="74"/>
      <c r="E1304" s="208" t="s">
        <v>122</v>
      </c>
      <c r="F1304" s="209" t="s">
        <v>21</v>
      </c>
      <c r="G1304" s="209" t="s">
        <v>21</v>
      </c>
      <c r="H1304" s="209" t="s">
        <v>272</v>
      </c>
      <c r="I1304" s="210"/>
    </row>
    <row r="1305" spans="1:9" x14ac:dyDescent="0.25">
      <c r="A1305" s="74"/>
      <c r="B1305" s="45">
        <v>1168</v>
      </c>
      <c r="C1305" s="64" t="s">
        <v>1577</v>
      </c>
      <c r="D1305" s="74"/>
      <c r="E1305" s="208" t="s">
        <v>122</v>
      </c>
      <c r="F1305" s="209" t="s">
        <v>21</v>
      </c>
      <c r="G1305" s="209" t="s">
        <v>21</v>
      </c>
      <c r="H1305" s="209" t="s">
        <v>272</v>
      </c>
      <c r="I1305" s="210"/>
    </row>
    <row r="1306" spans="1:9" x14ac:dyDescent="0.25">
      <c r="A1306" s="74"/>
      <c r="B1306" s="45">
        <v>115</v>
      </c>
      <c r="C1306" s="64" t="s">
        <v>527</v>
      </c>
      <c r="D1306" s="74"/>
      <c r="E1306" s="208" t="s">
        <v>122</v>
      </c>
      <c r="F1306" s="209" t="s">
        <v>21</v>
      </c>
      <c r="G1306" s="209" t="s">
        <v>21</v>
      </c>
      <c r="H1306" s="209" t="s">
        <v>272</v>
      </c>
      <c r="I1306" s="210"/>
    </row>
    <row r="1307" spans="1:9" x14ac:dyDescent="0.25">
      <c r="A1307" s="74"/>
      <c r="B1307" s="45">
        <v>46</v>
      </c>
      <c r="C1307" s="64" t="s">
        <v>460</v>
      </c>
      <c r="D1307" s="74"/>
      <c r="E1307" s="208" t="s">
        <v>122</v>
      </c>
      <c r="F1307" s="209" t="s">
        <v>21</v>
      </c>
      <c r="G1307" s="209" t="s">
        <v>21</v>
      </c>
      <c r="H1307" s="209" t="s">
        <v>272</v>
      </c>
      <c r="I1307" s="210"/>
    </row>
    <row r="1308" spans="1:9" x14ac:dyDescent="0.25">
      <c r="A1308" s="74"/>
      <c r="B1308" s="45">
        <v>1169</v>
      </c>
      <c r="C1308" s="64" t="s">
        <v>1578</v>
      </c>
      <c r="D1308" s="74"/>
      <c r="E1308" s="208" t="s">
        <v>122</v>
      </c>
      <c r="F1308" s="209" t="s">
        <v>21</v>
      </c>
      <c r="G1308" s="209" t="s">
        <v>21</v>
      </c>
      <c r="H1308" s="209" t="s">
        <v>272</v>
      </c>
      <c r="I1308" s="210"/>
    </row>
    <row r="1309" spans="1:9" x14ac:dyDescent="0.25">
      <c r="A1309" s="74"/>
      <c r="B1309" s="45">
        <v>27</v>
      </c>
      <c r="C1309" s="64" t="s">
        <v>441</v>
      </c>
      <c r="D1309" s="74"/>
      <c r="E1309" s="208" t="s">
        <v>122</v>
      </c>
      <c r="F1309" s="209" t="s">
        <v>21</v>
      </c>
      <c r="G1309" s="209" t="s">
        <v>21</v>
      </c>
      <c r="H1309" s="209" t="s">
        <v>272</v>
      </c>
      <c r="I1309" s="210"/>
    </row>
    <row r="1310" spans="1:9" x14ac:dyDescent="0.25">
      <c r="A1310" s="74"/>
      <c r="B1310" s="45">
        <v>1168</v>
      </c>
      <c r="C1310" s="64" t="s">
        <v>1577</v>
      </c>
      <c r="D1310" s="74"/>
      <c r="E1310" s="208" t="s">
        <v>122</v>
      </c>
      <c r="F1310" s="209" t="s">
        <v>21</v>
      </c>
      <c r="G1310" s="209" t="s">
        <v>21</v>
      </c>
      <c r="H1310" s="209" t="s">
        <v>272</v>
      </c>
      <c r="I1310" s="210"/>
    </row>
    <row r="1311" spans="1:9" x14ac:dyDescent="0.25">
      <c r="A1311" s="74"/>
      <c r="B1311" s="45">
        <v>115</v>
      </c>
      <c r="C1311" s="64" t="s">
        <v>527</v>
      </c>
      <c r="D1311" s="74"/>
      <c r="E1311" s="208" t="s">
        <v>122</v>
      </c>
      <c r="F1311" s="209" t="s">
        <v>21</v>
      </c>
      <c r="G1311" s="209" t="s">
        <v>21</v>
      </c>
      <c r="H1311" s="209" t="s">
        <v>272</v>
      </c>
      <c r="I1311" s="210"/>
    </row>
    <row r="1312" spans="1:9" x14ac:dyDescent="0.25">
      <c r="A1312" s="74"/>
      <c r="B1312" s="45">
        <v>46</v>
      </c>
      <c r="C1312" s="64" t="s">
        <v>460</v>
      </c>
      <c r="D1312" s="74"/>
      <c r="E1312" s="208" t="s">
        <v>122</v>
      </c>
      <c r="F1312" s="209" t="s">
        <v>21</v>
      </c>
      <c r="G1312" s="209" t="s">
        <v>21</v>
      </c>
      <c r="H1312" s="209" t="s">
        <v>272</v>
      </c>
      <c r="I1312" s="210"/>
    </row>
    <row r="1313" spans="1:9" x14ac:dyDescent="0.25">
      <c r="A1313" s="74"/>
      <c r="B1313" s="45">
        <v>1169</v>
      </c>
      <c r="C1313" s="64" t="s">
        <v>1578</v>
      </c>
      <c r="D1313" s="74"/>
      <c r="E1313" s="208" t="s">
        <v>122</v>
      </c>
      <c r="F1313" s="209" t="s">
        <v>21</v>
      </c>
      <c r="G1313" s="209" t="s">
        <v>21</v>
      </c>
      <c r="H1313" s="209" t="s">
        <v>272</v>
      </c>
      <c r="I1313" s="210"/>
    </row>
    <row r="1314" spans="1:9" x14ac:dyDescent="0.25">
      <c r="A1314" s="74"/>
      <c r="B1314" s="45">
        <v>27</v>
      </c>
      <c r="C1314" s="64" t="s">
        <v>441</v>
      </c>
      <c r="D1314" s="74"/>
      <c r="E1314" s="208" t="s">
        <v>122</v>
      </c>
      <c r="F1314" s="209" t="s">
        <v>21</v>
      </c>
      <c r="G1314" s="209" t="s">
        <v>21</v>
      </c>
      <c r="H1314" s="209" t="s">
        <v>272</v>
      </c>
      <c r="I1314" s="210"/>
    </row>
    <row r="1315" spans="1:9" x14ac:dyDescent="0.25">
      <c r="A1315" s="74"/>
      <c r="B1315" s="45">
        <v>1168</v>
      </c>
      <c r="C1315" s="64" t="s">
        <v>1577</v>
      </c>
      <c r="D1315" s="74"/>
      <c r="E1315" s="208" t="s">
        <v>122</v>
      </c>
      <c r="F1315" s="209" t="s">
        <v>21</v>
      </c>
      <c r="G1315" s="209" t="s">
        <v>21</v>
      </c>
      <c r="H1315" s="209" t="s">
        <v>272</v>
      </c>
      <c r="I1315" s="210"/>
    </row>
    <row r="1316" spans="1:9" x14ac:dyDescent="0.25">
      <c r="A1316" s="74"/>
      <c r="B1316" s="45">
        <v>115</v>
      </c>
      <c r="C1316" s="64" t="s">
        <v>527</v>
      </c>
      <c r="D1316" s="74"/>
      <c r="E1316" s="208" t="s">
        <v>122</v>
      </c>
      <c r="F1316" s="209" t="s">
        <v>21</v>
      </c>
      <c r="G1316" s="209" t="s">
        <v>21</v>
      </c>
      <c r="H1316" s="209" t="s">
        <v>272</v>
      </c>
      <c r="I1316" s="210"/>
    </row>
    <row r="1317" spans="1:9" x14ac:dyDescent="0.25">
      <c r="A1317" s="74"/>
      <c r="B1317" s="45">
        <v>46</v>
      </c>
      <c r="C1317" s="64" t="s">
        <v>460</v>
      </c>
      <c r="D1317" s="74"/>
      <c r="E1317" s="208" t="s">
        <v>122</v>
      </c>
      <c r="F1317" s="209" t="s">
        <v>21</v>
      </c>
      <c r="G1317" s="209" t="s">
        <v>21</v>
      </c>
      <c r="H1317" s="209" t="s">
        <v>272</v>
      </c>
      <c r="I1317" s="210"/>
    </row>
    <row r="1318" spans="1:9" x14ac:dyDescent="0.25">
      <c r="A1318" s="74"/>
      <c r="B1318" s="45">
        <v>1169</v>
      </c>
      <c r="C1318" s="64" t="s">
        <v>1578</v>
      </c>
      <c r="D1318" s="74"/>
      <c r="E1318" s="208" t="s">
        <v>122</v>
      </c>
      <c r="F1318" s="209" t="s">
        <v>21</v>
      </c>
      <c r="G1318" s="209" t="s">
        <v>21</v>
      </c>
      <c r="H1318" s="209" t="s">
        <v>272</v>
      </c>
      <c r="I1318" s="210"/>
    </row>
    <row r="1319" spans="1:9" x14ac:dyDescent="0.25">
      <c r="A1319" s="74"/>
      <c r="B1319" s="45">
        <v>27</v>
      </c>
      <c r="C1319" s="64" t="s">
        <v>441</v>
      </c>
      <c r="D1319" s="74"/>
      <c r="E1319" s="208" t="s">
        <v>122</v>
      </c>
      <c r="F1319" s="209" t="s">
        <v>21</v>
      </c>
      <c r="G1319" s="209" t="s">
        <v>21</v>
      </c>
      <c r="H1319" s="209" t="s">
        <v>272</v>
      </c>
      <c r="I1319" s="210"/>
    </row>
    <row r="1320" spans="1:9" x14ac:dyDescent="0.25">
      <c r="A1320" s="74"/>
      <c r="B1320" s="45">
        <v>1170</v>
      </c>
      <c r="C1320" s="64" t="s">
        <v>1579</v>
      </c>
      <c r="D1320" s="74"/>
      <c r="E1320" s="208" t="s">
        <v>122</v>
      </c>
      <c r="F1320" s="209" t="s">
        <v>21</v>
      </c>
      <c r="G1320" s="209" t="s">
        <v>21</v>
      </c>
      <c r="H1320" s="209" t="s">
        <v>272</v>
      </c>
      <c r="I1320" s="210"/>
    </row>
    <row r="1321" spans="1:9" x14ac:dyDescent="0.25">
      <c r="A1321" s="74"/>
      <c r="B1321" s="45">
        <v>1171</v>
      </c>
      <c r="C1321" s="64" t="s">
        <v>1580</v>
      </c>
      <c r="D1321" s="74"/>
      <c r="E1321" s="208" t="s">
        <v>122</v>
      </c>
      <c r="F1321" s="209" t="s">
        <v>21</v>
      </c>
      <c r="G1321" s="209" t="s">
        <v>21</v>
      </c>
      <c r="H1321" s="209" t="s">
        <v>16</v>
      </c>
      <c r="I1321" s="210"/>
    </row>
    <row r="1322" spans="1:9" x14ac:dyDescent="0.25">
      <c r="A1322" s="74"/>
      <c r="B1322" s="45">
        <v>1171</v>
      </c>
      <c r="C1322" s="64" t="s">
        <v>1580</v>
      </c>
      <c r="D1322" s="74"/>
      <c r="E1322" s="208" t="s">
        <v>122</v>
      </c>
      <c r="F1322" s="209" t="s">
        <v>21</v>
      </c>
      <c r="G1322" s="209" t="s">
        <v>21</v>
      </c>
      <c r="H1322" s="209" t="s">
        <v>16</v>
      </c>
      <c r="I1322" s="210"/>
    </row>
    <row r="1323" spans="1:9" x14ac:dyDescent="0.25">
      <c r="A1323" s="74"/>
      <c r="B1323" s="45">
        <v>41</v>
      </c>
      <c r="C1323" s="64" t="s">
        <v>455</v>
      </c>
      <c r="D1323" s="74"/>
      <c r="E1323" s="208" t="s">
        <v>122</v>
      </c>
      <c r="F1323" s="209" t="s">
        <v>21</v>
      </c>
      <c r="G1323" s="209" t="s">
        <v>21</v>
      </c>
      <c r="H1323" s="209" t="s">
        <v>192</v>
      </c>
      <c r="I1323" s="210"/>
    </row>
    <row r="1324" spans="1:9" x14ac:dyDescent="0.25">
      <c r="A1324" s="74"/>
      <c r="B1324" s="45">
        <v>36</v>
      </c>
      <c r="C1324" s="64" t="s">
        <v>450</v>
      </c>
      <c r="D1324" s="74"/>
      <c r="E1324" s="208" t="s">
        <v>122</v>
      </c>
      <c r="F1324" s="209" t="s">
        <v>21</v>
      </c>
      <c r="G1324" s="209" t="s">
        <v>21</v>
      </c>
      <c r="H1324" s="209" t="s">
        <v>192</v>
      </c>
      <c r="I1324" s="210"/>
    </row>
    <row r="1325" spans="1:9" x14ac:dyDescent="0.25">
      <c r="A1325" s="74"/>
      <c r="B1325" s="45">
        <v>35</v>
      </c>
      <c r="C1325" s="64" t="s">
        <v>449</v>
      </c>
      <c r="D1325" s="74"/>
      <c r="E1325" s="208" t="s">
        <v>122</v>
      </c>
      <c r="F1325" s="209" t="s">
        <v>21</v>
      </c>
      <c r="G1325" s="209" t="s">
        <v>21</v>
      </c>
      <c r="H1325" s="209" t="s">
        <v>192</v>
      </c>
      <c r="I1325" s="210"/>
    </row>
    <row r="1326" spans="1:9" x14ac:dyDescent="0.25">
      <c r="A1326" s="74"/>
      <c r="B1326" s="45">
        <v>39</v>
      </c>
      <c r="C1326" s="64" t="s">
        <v>453</v>
      </c>
      <c r="D1326" s="74"/>
      <c r="E1326" s="208" t="s">
        <v>122</v>
      </c>
      <c r="F1326" s="209" t="s">
        <v>21</v>
      </c>
      <c r="G1326" s="209" t="s">
        <v>21</v>
      </c>
      <c r="H1326" s="209" t="s">
        <v>192</v>
      </c>
      <c r="I1326" s="210"/>
    </row>
    <row r="1327" spans="1:9" x14ac:dyDescent="0.25">
      <c r="A1327" s="74"/>
      <c r="B1327" s="45">
        <v>31</v>
      </c>
      <c r="C1327" s="64" t="s">
        <v>445</v>
      </c>
      <c r="D1327" s="74"/>
      <c r="E1327" s="208" t="s">
        <v>122</v>
      </c>
      <c r="F1327" s="209" t="s">
        <v>21</v>
      </c>
      <c r="G1327" s="209" t="s">
        <v>21</v>
      </c>
      <c r="H1327" s="209" t="s">
        <v>192</v>
      </c>
      <c r="I1327" s="210"/>
    </row>
    <row r="1328" spans="1:9" x14ac:dyDescent="0.25">
      <c r="A1328" s="74"/>
      <c r="B1328" s="45">
        <v>114</v>
      </c>
      <c r="C1328" s="64" t="s">
        <v>526</v>
      </c>
      <c r="D1328" s="74"/>
      <c r="E1328" s="208" t="s">
        <v>122</v>
      </c>
      <c r="F1328" s="209" t="s">
        <v>21</v>
      </c>
      <c r="G1328" s="209" t="s">
        <v>21</v>
      </c>
      <c r="H1328" s="209" t="s">
        <v>192</v>
      </c>
      <c r="I1328" s="210"/>
    </row>
    <row r="1329" spans="1:9" x14ac:dyDescent="0.25">
      <c r="A1329" s="74"/>
      <c r="B1329" s="45">
        <v>41</v>
      </c>
      <c r="C1329" s="64" t="s">
        <v>455</v>
      </c>
      <c r="D1329" s="74"/>
      <c r="E1329" s="208" t="s">
        <v>122</v>
      </c>
      <c r="F1329" s="209" t="s">
        <v>21</v>
      </c>
      <c r="G1329" s="209" t="s">
        <v>21</v>
      </c>
      <c r="H1329" s="209" t="s">
        <v>192</v>
      </c>
      <c r="I1329" s="210"/>
    </row>
    <row r="1330" spans="1:9" x14ac:dyDescent="0.25">
      <c r="A1330" s="74"/>
      <c r="B1330" s="45">
        <v>36</v>
      </c>
      <c r="C1330" s="64" t="s">
        <v>450</v>
      </c>
      <c r="D1330" s="74"/>
      <c r="E1330" s="208" t="s">
        <v>122</v>
      </c>
      <c r="F1330" s="209" t="s">
        <v>21</v>
      </c>
      <c r="G1330" s="209" t="s">
        <v>21</v>
      </c>
      <c r="H1330" s="209" t="s">
        <v>192</v>
      </c>
      <c r="I1330" s="210"/>
    </row>
    <row r="1331" spans="1:9" x14ac:dyDescent="0.25">
      <c r="A1331" s="74"/>
      <c r="B1331" s="45">
        <v>35</v>
      </c>
      <c r="C1331" s="64" t="s">
        <v>449</v>
      </c>
      <c r="D1331" s="74"/>
      <c r="E1331" s="208" t="s">
        <v>122</v>
      </c>
      <c r="F1331" s="209" t="s">
        <v>21</v>
      </c>
      <c r="G1331" s="209" t="s">
        <v>21</v>
      </c>
      <c r="H1331" s="209" t="s">
        <v>192</v>
      </c>
      <c r="I1331" s="210"/>
    </row>
    <row r="1332" spans="1:9" x14ac:dyDescent="0.25">
      <c r="A1332" s="74"/>
      <c r="B1332" s="45">
        <v>39</v>
      </c>
      <c r="C1332" s="64" t="s">
        <v>453</v>
      </c>
      <c r="D1332" s="74"/>
      <c r="E1332" s="208" t="s">
        <v>122</v>
      </c>
      <c r="F1332" s="209" t="s">
        <v>21</v>
      </c>
      <c r="G1332" s="209" t="s">
        <v>21</v>
      </c>
      <c r="H1332" s="209" t="s">
        <v>192</v>
      </c>
      <c r="I1332" s="210"/>
    </row>
    <row r="1333" spans="1:9" x14ac:dyDescent="0.25">
      <c r="A1333" s="74"/>
      <c r="B1333" s="45">
        <v>31</v>
      </c>
      <c r="C1333" s="64" t="s">
        <v>445</v>
      </c>
      <c r="D1333" s="74"/>
      <c r="E1333" s="208" t="s">
        <v>122</v>
      </c>
      <c r="F1333" s="209" t="s">
        <v>21</v>
      </c>
      <c r="G1333" s="209" t="s">
        <v>21</v>
      </c>
      <c r="H1333" s="209" t="s">
        <v>192</v>
      </c>
      <c r="I1333" s="210"/>
    </row>
    <row r="1334" spans="1:9" x14ac:dyDescent="0.25">
      <c r="A1334" s="74"/>
      <c r="B1334" s="45">
        <v>114</v>
      </c>
      <c r="C1334" s="64" t="s">
        <v>526</v>
      </c>
      <c r="D1334" s="74"/>
      <c r="E1334" s="208" t="s">
        <v>122</v>
      </c>
      <c r="F1334" s="209" t="s">
        <v>21</v>
      </c>
      <c r="G1334" s="209" t="s">
        <v>21</v>
      </c>
      <c r="H1334" s="209" t="s">
        <v>192</v>
      </c>
      <c r="I1334" s="210"/>
    </row>
    <row r="1335" spans="1:9" x14ac:dyDescent="0.25">
      <c r="A1335" s="74"/>
      <c r="B1335" s="45">
        <v>41</v>
      </c>
      <c r="C1335" s="64" t="s">
        <v>455</v>
      </c>
      <c r="D1335" s="74"/>
      <c r="E1335" s="208" t="s">
        <v>122</v>
      </c>
      <c r="F1335" s="209" t="s">
        <v>21</v>
      </c>
      <c r="G1335" s="209" t="s">
        <v>21</v>
      </c>
      <c r="H1335" s="209" t="s">
        <v>192</v>
      </c>
      <c r="I1335" s="210"/>
    </row>
    <row r="1336" spans="1:9" x14ac:dyDescent="0.25">
      <c r="A1336" s="74"/>
      <c r="B1336" s="45">
        <v>36</v>
      </c>
      <c r="C1336" s="64" t="s">
        <v>450</v>
      </c>
      <c r="D1336" s="74"/>
      <c r="E1336" s="208" t="s">
        <v>122</v>
      </c>
      <c r="F1336" s="209" t="s">
        <v>21</v>
      </c>
      <c r="G1336" s="209" t="s">
        <v>21</v>
      </c>
      <c r="H1336" s="209" t="s">
        <v>192</v>
      </c>
      <c r="I1336" s="210"/>
    </row>
    <row r="1337" spans="1:9" x14ac:dyDescent="0.25">
      <c r="A1337" s="74"/>
      <c r="B1337" s="45">
        <v>35</v>
      </c>
      <c r="C1337" s="64" t="s">
        <v>449</v>
      </c>
      <c r="D1337" s="74"/>
      <c r="E1337" s="208" t="s">
        <v>122</v>
      </c>
      <c r="F1337" s="209" t="s">
        <v>21</v>
      </c>
      <c r="G1337" s="209" t="s">
        <v>21</v>
      </c>
      <c r="H1337" s="209" t="s">
        <v>192</v>
      </c>
      <c r="I1337" s="210"/>
    </row>
    <row r="1338" spans="1:9" x14ac:dyDescent="0.25">
      <c r="A1338" s="74"/>
      <c r="B1338" s="45">
        <v>39</v>
      </c>
      <c r="C1338" s="64" t="s">
        <v>453</v>
      </c>
      <c r="D1338" s="74"/>
      <c r="E1338" s="208" t="s">
        <v>122</v>
      </c>
      <c r="F1338" s="209" t="s">
        <v>21</v>
      </c>
      <c r="G1338" s="209" t="s">
        <v>21</v>
      </c>
      <c r="H1338" s="209" t="s">
        <v>192</v>
      </c>
      <c r="I1338" s="210"/>
    </row>
    <row r="1339" spans="1:9" x14ac:dyDescent="0.25">
      <c r="A1339" s="74"/>
      <c r="B1339" s="45">
        <v>31</v>
      </c>
      <c r="C1339" s="64" t="s">
        <v>445</v>
      </c>
      <c r="D1339" s="74"/>
      <c r="E1339" s="208" t="s">
        <v>122</v>
      </c>
      <c r="F1339" s="209" t="s">
        <v>21</v>
      </c>
      <c r="G1339" s="209" t="s">
        <v>21</v>
      </c>
      <c r="H1339" s="209" t="s">
        <v>192</v>
      </c>
      <c r="I1339" s="210"/>
    </row>
    <row r="1340" spans="1:9" x14ac:dyDescent="0.25">
      <c r="A1340" s="74"/>
      <c r="B1340" s="45">
        <v>114</v>
      </c>
      <c r="C1340" s="64" t="s">
        <v>526</v>
      </c>
      <c r="D1340" s="74"/>
      <c r="E1340" s="208" t="s">
        <v>122</v>
      </c>
      <c r="F1340" s="209" t="s">
        <v>21</v>
      </c>
      <c r="G1340" s="209" t="s">
        <v>21</v>
      </c>
      <c r="H1340" s="209" t="s">
        <v>192</v>
      </c>
      <c r="I1340" s="210"/>
    </row>
    <row r="1341" spans="1:9" x14ac:dyDescent="0.25">
      <c r="A1341" s="74"/>
      <c r="B1341" s="45">
        <v>41</v>
      </c>
      <c r="C1341" s="64" t="s">
        <v>455</v>
      </c>
      <c r="D1341" s="74"/>
      <c r="E1341" s="208" t="s">
        <v>122</v>
      </c>
      <c r="F1341" s="209" t="s">
        <v>21</v>
      </c>
      <c r="G1341" s="209" t="s">
        <v>21</v>
      </c>
      <c r="H1341" s="209" t="s">
        <v>192</v>
      </c>
      <c r="I1341" s="210"/>
    </row>
    <row r="1342" spans="1:9" x14ac:dyDescent="0.25">
      <c r="A1342" s="74"/>
      <c r="B1342" s="45">
        <v>36</v>
      </c>
      <c r="C1342" s="64" t="s">
        <v>450</v>
      </c>
      <c r="D1342" s="74"/>
      <c r="E1342" s="208" t="s">
        <v>122</v>
      </c>
      <c r="F1342" s="209" t="s">
        <v>21</v>
      </c>
      <c r="G1342" s="209" t="s">
        <v>21</v>
      </c>
      <c r="H1342" s="209" t="s">
        <v>192</v>
      </c>
      <c r="I1342" s="210"/>
    </row>
    <row r="1343" spans="1:9" x14ac:dyDescent="0.25">
      <c r="A1343" s="74"/>
      <c r="B1343" s="45">
        <v>35</v>
      </c>
      <c r="C1343" s="64" t="s">
        <v>449</v>
      </c>
      <c r="D1343" s="74"/>
      <c r="E1343" s="208" t="s">
        <v>122</v>
      </c>
      <c r="F1343" s="209" t="s">
        <v>21</v>
      </c>
      <c r="G1343" s="209" t="s">
        <v>21</v>
      </c>
      <c r="H1343" s="209" t="s">
        <v>192</v>
      </c>
      <c r="I1343" s="210"/>
    </row>
    <row r="1344" spans="1:9" x14ac:dyDescent="0.25">
      <c r="A1344" s="74"/>
      <c r="B1344" s="45">
        <v>39</v>
      </c>
      <c r="C1344" s="64" t="s">
        <v>453</v>
      </c>
      <c r="D1344" s="74"/>
      <c r="E1344" s="208" t="s">
        <v>122</v>
      </c>
      <c r="F1344" s="209" t="s">
        <v>21</v>
      </c>
      <c r="G1344" s="209" t="s">
        <v>21</v>
      </c>
      <c r="H1344" s="209" t="s">
        <v>192</v>
      </c>
      <c r="I1344" s="210"/>
    </row>
    <row r="1345" spans="1:9" x14ac:dyDescent="0.25">
      <c r="A1345" s="74"/>
      <c r="B1345" s="45">
        <v>31</v>
      </c>
      <c r="C1345" s="64" t="s">
        <v>445</v>
      </c>
      <c r="D1345" s="74"/>
      <c r="E1345" s="208" t="s">
        <v>122</v>
      </c>
      <c r="F1345" s="209" t="s">
        <v>21</v>
      </c>
      <c r="G1345" s="209" t="s">
        <v>21</v>
      </c>
      <c r="H1345" s="209" t="s">
        <v>192</v>
      </c>
      <c r="I1345" s="210"/>
    </row>
    <row r="1346" spans="1:9" x14ac:dyDescent="0.25">
      <c r="A1346" s="74"/>
      <c r="B1346" s="45">
        <v>114</v>
      </c>
      <c r="C1346" s="64" t="s">
        <v>526</v>
      </c>
      <c r="D1346" s="74"/>
      <c r="E1346" s="208" t="s">
        <v>122</v>
      </c>
      <c r="F1346" s="209" t="s">
        <v>21</v>
      </c>
      <c r="G1346" s="209" t="s">
        <v>21</v>
      </c>
      <c r="H1346" s="209" t="s">
        <v>192</v>
      </c>
      <c r="I1346" s="210"/>
    </row>
    <row r="1347" spans="1:9" x14ac:dyDescent="0.25">
      <c r="A1347" s="74"/>
      <c r="B1347" s="45">
        <v>41</v>
      </c>
      <c r="C1347" s="64" t="s">
        <v>455</v>
      </c>
      <c r="D1347" s="74"/>
      <c r="E1347" s="208" t="s">
        <v>122</v>
      </c>
      <c r="F1347" s="209" t="s">
        <v>21</v>
      </c>
      <c r="G1347" s="209" t="s">
        <v>21</v>
      </c>
      <c r="H1347" s="209" t="s">
        <v>192</v>
      </c>
      <c r="I1347" s="210"/>
    </row>
    <row r="1348" spans="1:9" x14ac:dyDescent="0.25">
      <c r="A1348" s="74"/>
      <c r="B1348" s="45">
        <v>39</v>
      </c>
      <c r="C1348" s="64" t="s">
        <v>453</v>
      </c>
      <c r="D1348" s="74"/>
      <c r="E1348" s="208" t="s">
        <v>122</v>
      </c>
      <c r="F1348" s="209" t="s">
        <v>21</v>
      </c>
      <c r="G1348" s="209" t="s">
        <v>21</v>
      </c>
      <c r="H1348" s="209" t="s">
        <v>192</v>
      </c>
      <c r="I1348" s="210"/>
    </row>
    <row r="1349" spans="1:9" x14ac:dyDescent="0.25">
      <c r="A1349" s="74"/>
      <c r="B1349" s="45">
        <v>1162</v>
      </c>
      <c r="C1349" s="64" t="s">
        <v>1571</v>
      </c>
      <c r="D1349" s="74"/>
      <c r="E1349" s="208" t="s">
        <v>122</v>
      </c>
      <c r="F1349" s="209" t="s">
        <v>21</v>
      </c>
      <c r="G1349" s="209" t="s">
        <v>21</v>
      </c>
      <c r="H1349" s="209" t="s">
        <v>272</v>
      </c>
      <c r="I1349" s="210"/>
    </row>
    <row r="1350" spans="1:9" x14ac:dyDescent="0.25">
      <c r="A1350" s="74"/>
      <c r="B1350" s="45">
        <v>36</v>
      </c>
      <c r="C1350" s="64" t="s">
        <v>450</v>
      </c>
      <c r="D1350" s="74"/>
      <c r="E1350" s="208" t="s">
        <v>122</v>
      </c>
      <c r="F1350" s="209" t="s">
        <v>21</v>
      </c>
      <c r="G1350" s="209" t="s">
        <v>21</v>
      </c>
      <c r="H1350" s="209" t="s">
        <v>192</v>
      </c>
      <c r="I1350" s="210"/>
    </row>
    <row r="1351" spans="1:9" x14ac:dyDescent="0.25">
      <c r="A1351" s="74"/>
      <c r="B1351" s="45">
        <v>114</v>
      </c>
      <c r="C1351" s="64" t="s">
        <v>526</v>
      </c>
      <c r="D1351" s="74"/>
      <c r="E1351" s="208" t="s">
        <v>122</v>
      </c>
      <c r="F1351" s="209" t="s">
        <v>21</v>
      </c>
      <c r="G1351" s="209" t="s">
        <v>21</v>
      </c>
      <c r="H1351" s="209" t="s">
        <v>192</v>
      </c>
      <c r="I1351" s="210"/>
    </row>
    <row r="1352" spans="1:9" x14ac:dyDescent="0.25">
      <c r="A1352" s="74"/>
      <c r="B1352" s="45">
        <v>1152</v>
      </c>
      <c r="C1352" s="64" t="s">
        <v>1561</v>
      </c>
      <c r="D1352" s="74"/>
      <c r="E1352" s="208" t="s">
        <v>122</v>
      </c>
      <c r="F1352" s="209" t="s">
        <v>21</v>
      </c>
      <c r="G1352" s="209" t="s">
        <v>21</v>
      </c>
      <c r="H1352" s="209" t="s">
        <v>189</v>
      </c>
      <c r="I1352" s="210"/>
    </row>
    <row r="1353" spans="1:9" x14ac:dyDescent="0.25">
      <c r="A1353" s="74"/>
      <c r="B1353" s="45">
        <v>105</v>
      </c>
      <c r="C1353" s="64" t="s">
        <v>517</v>
      </c>
      <c r="D1353" s="74"/>
      <c r="E1353" s="208" t="s">
        <v>132</v>
      </c>
      <c r="F1353" s="209" t="s">
        <v>21</v>
      </c>
      <c r="G1353" s="209" t="s">
        <v>21</v>
      </c>
      <c r="H1353" s="209" t="s">
        <v>194</v>
      </c>
      <c r="I1353" s="210"/>
    </row>
    <row r="1354" spans="1:9" x14ac:dyDescent="0.25">
      <c r="A1354" s="74"/>
      <c r="B1354" s="45">
        <v>1172</v>
      </c>
      <c r="C1354" s="64" t="s">
        <v>1581</v>
      </c>
      <c r="D1354" s="74"/>
      <c r="E1354" s="208" t="s">
        <v>275</v>
      </c>
      <c r="F1354" s="209" t="s">
        <v>21</v>
      </c>
      <c r="G1354" s="209" t="s">
        <v>21</v>
      </c>
      <c r="H1354" s="209" t="s">
        <v>189</v>
      </c>
      <c r="I1354" s="210"/>
    </row>
    <row r="1355" spans="1:9" x14ac:dyDescent="0.25">
      <c r="A1355" s="74"/>
      <c r="B1355" s="45">
        <v>106</v>
      </c>
      <c r="C1355" s="64" t="s">
        <v>518</v>
      </c>
      <c r="D1355" s="74"/>
      <c r="E1355" s="208" t="s">
        <v>132</v>
      </c>
      <c r="F1355" s="209" t="s">
        <v>21</v>
      </c>
      <c r="G1355" s="209" t="s">
        <v>21</v>
      </c>
      <c r="H1355" s="209" t="s">
        <v>192</v>
      </c>
      <c r="I1355" s="210"/>
    </row>
    <row r="1356" spans="1:9" x14ac:dyDescent="0.25">
      <c r="A1356" s="74"/>
      <c r="B1356" s="45">
        <v>69</v>
      </c>
      <c r="C1356" s="64" t="s">
        <v>481</v>
      </c>
      <c r="D1356" s="74"/>
      <c r="E1356" s="208" t="s">
        <v>132</v>
      </c>
      <c r="F1356" s="209" t="s">
        <v>21</v>
      </c>
      <c r="G1356" s="209" t="s">
        <v>21</v>
      </c>
      <c r="H1356" s="209" t="s">
        <v>192</v>
      </c>
      <c r="I1356" s="210"/>
    </row>
    <row r="1357" spans="1:9" x14ac:dyDescent="0.25">
      <c r="A1357" s="74"/>
      <c r="B1357" s="45">
        <v>131</v>
      </c>
      <c r="C1357" s="64" t="s">
        <v>543</v>
      </c>
      <c r="D1357" s="74"/>
      <c r="E1357" s="208" t="s">
        <v>132</v>
      </c>
      <c r="F1357" s="209" t="s">
        <v>21</v>
      </c>
      <c r="G1357" s="209" t="s">
        <v>21</v>
      </c>
      <c r="H1357" s="209" t="s">
        <v>192</v>
      </c>
      <c r="I1357" s="210"/>
    </row>
    <row r="1358" spans="1:9" x14ac:dyDescent="0.25">
      <c r="A1358" s="74"/>
      <c r="B1358" s="45">
        <v>61</v>
      </c>
      <c r="C1358" s="64" t="s">
        <v>473</v>
      </c>
      <c r="D1358" s="74"/>
      <c r="E1358" s="208" t="s">
        <v>132</v>
      </c>
      <c r="F1358" s="209" t="s">
        <v>21</v>
      </c>
      <c r="G1358" s="209" t="s">
        <v>21</v>
      </c>
      <c r="H1358" s="209" t="s">
        <v>194</v>
      </c>
      <c r="I1358" s="210"/>
    </row>
    <row r="1359" spans="1:9" x14ac:dyDescent="0.25">
      <c r="A1359" s="74"/>
      <c r="B1359" s="45">
        <v>129</v>
      </c>
      <c r="C1359" s="64" t="s">
        <v>541</v>
      </c>
      <c r="D1359" s="74"/>
      <c r="E1359" s="208" t="s">
        <v>132</v>
      </c>
      <c r="F1359" s="209" t="s">
        <v>21</v>
      </c>
      <c r="G1359" s="209" t="s">
        <v>21</v>
      </c>
      <c r="H1359" s="209" t="s">
        <v>191</v>
      </c>
      <c r="I1359" s="210"/>
    </row>
    <row r="1360" spans="1:9" x14ac:dyDescent="0.25">
      <c r="A1360" s="74"/>
      <c r="B1360" s="45">
        <v>106</v>
      </c>
      <c r="C1360" s="64" t="s">
        <v>518</v>
      </c>
      <c r="D1360" s="74"/>
      <c r="E1360" s="208" t="s">
        <v>132</v>
      </c>
      <c r="F1360" s="209" t="s">
        <v>21</v>
      </c>
      <c r="G1360" s="209" t="s">
        <v>21</v>
      </c>
      <c r="H1360" s="209" t="s">
        <v>192</v>
      </c>
      <c r="I1360" s="210"/>
    </row>
    <row r="1361" spans="1:9" x14ac:dyDescent="0.25">
      <c r="A1361" s="74"/>
      <c r="B1361" s="45">
        <v>69</v>
      </c>
      <c r="C1361" s="64" t="s">
        <v>481</v>
      </c>
      <c r="D1361" s="74"/>
      <c r="E1361" s="208" t="s">
        <v>132</v>
      </c>
      <c r="F1361" s="209" t="s">
        <v>21</v>
      </c>
      <c r="G1361" s="209" t="s">
        <v>21</v>
      </c>
      <c r="H1361" s="209" t="s">
        <v>192</v>
      </c>
      <c r="I1361" s="210"/>
    </row>
    <row r="1362" spans="1:9" x14ac:dyDescent="0.25">
      <c r="A1362" s="74"/>
      <c r="B1362" s="45">
        <v>131</v>
      </c>
      <c r="C1362" s="64" t="s">
        <v>543</v>
      </c>
      <c r="D1362" s="74"/>
      <c r="E1362" s="208" t="s">
        <v>132</v>
      </c>
      <c r="F1362" s="209" t="s">
        <v>21</v>
      </c>
      <c r="G1362" s="209" t="s">
        <v>21</v>
      </c>
      <c r="H1362" s="209" t="s">
        <v>192</v>
      </c>
      <c r="I1362" s="210"/>
    </row>
    <row r="1363" spans="1:9" x14ac:dyDescent="0.25">
      <c r="A1363" s="74"/>
      <c r="B1363" s="45">
        <v>62</v>
      </c>
      <c r="C1363" s="64" t="s">
        <v>474</v>
      </c>
      <c r="D1363" s="74"/>
      <c r="E1363" s="208" t="s">
        <v>132</v>
      </c>
      <c r="F1363" s="209" t="s">
        <v>21</v>
      </c>
      <c r="G1363" s="209" t="s">
        <v>21</v>
      </c>
      <c r="H1363" s="209" t="s">
        <v>194</v>
      </c>
      <c r="I1363" s="210"/>
    </row>
    <row r="1364" spans="1:9" x14ac:dyDescent="0.25">
      <c r="A1364" s="74"/>
      <c r="B1364" s="45">
        <v>129</v>
      </c>
      <c r="C1364" s="64" t="s">
        <v>541</v>
      </c>
      <c r="D1364" s="74"/>
      <c r="E1364" s="208" t="s">
        <v>132</v>
      </c>
      <c r="F1364" s="209" t="s">
        <v>21</v>
      </c>
      <c r="G1364" s="209" t="s">
        <v>21</v>
      </c>
      <c r="H1364" s="209" t="s">
        <v>191</v>
      </c>
      <c r="I1364" s="210"/>
    </row>
    <row r="1365" spans="1:9" x14ac:dyDescent="0.25">
      <c r="A1365" s="74"/>
      <c r="B1365" s="45">
        <v>106</v>
      </c>
      <c r="C1365" s="64" t="s">
        <v>518</v>
      </c>
      <c r="D1365" s="74"/>
      <c r="E1365" s="208" t="s">
        <v>132</v>
      </c>
      <c r="F1365" s="209" t="s">
        <v>21</v>
      </c>
      <c r="G1365" s="209" t="s">
        <v>21</v>
      </c>
      <c r="H1365" s="209" t="s">
        <v>192</v>
      </c>
      <c r="I1365" s="210"/>
    </row>
    <row r="1366" spans="1:9" x14ac:dyDescent="0.25">
      <c r="A1366" s="74"/>
      <c r="B1366" s="45">
        <v>69</v>
      </c>
      <c r="C1366" s="64" t="s">
        <v>481</v>
      </c>
      <c r="D1366" s="74"/>
      <c r="E1366" s="208" t="s">
        <v>132</v>
      </c>
      <c r="F1366" s="209" t="s">
        <v>21</v>
      </c>
      <c r="G1366" s="209" t="s">
        <v>21</v>
      </c>
      <c r="H1366" s="209" t="s">
        <v>192</v>
      </c>
      <c r="I1366" s="210"/>
    </row>
    <row r="1367" spans="1:9" x14ac:dyDescent="0.25">
      <c r="A1367" s="74"/>
      <c r="B1367" s="45">
        <v>131</v>
      </c>
      <c r="C1367" s="64" t="s">
        <v>543</v>
      </c>
      <c r="D1367" s="74"/>
      <c r="E1367" s="208" t="s">
        <v>132</v>
      </c>
      <c r="F1367" s="209" t="s">
        <v>21</v>
      </c>
      <c r="G1367" s="209" t="s">
        <v>21</v>
      </c>
      <c r="H1367" s="209" t="s">
        <v>192</v>
      </c>
      <c r="I1367" s="210"/>
    </row>
    <row r="1368" spans="1:9" x14ac:dyDescent="0.25">
      <c r="A1368" s="74"/>
      <c r="B1368" s="45">
        <v>129</v>
      </c>
      <c r="C1368" s="64" t="s">
        <v>541</v>
      </c>
      <c r="D1368" s="74"/>
      <c r="E1368" s="208" t="s">
        <v>132</v>
      </c>
      <c r="F1368" s="209" t="s">
        <v>21</v>
      </c>
      <c r="G1368" s="209" t="s">
        <v>21</v>
      </c>
      <c r="H1368" s="209" t="s">
        <v>191</v>
      </c>
      <c r="I1368" s="210"/>
    </row>
    <row r="1369" spans="1:9" x14ac:dyDescent="0.25">
      <c r="A1369" s="74"/>
      <c r="B1369" s="45">
        <v>1173</v>
      </c>
      <c r="C1369" s="64" t="s">
        <v>1582</v>
      </c>
      <c r="D1369" s="74"/>
      <c r="E1369" s="208" t="s">
        <v>132</v>
      </c>
      <c r="F1369" s="209" t="s">
        <v>21</v>
      </c>
      <c r="G1369" s="209" t="s">
        <v>21</v>
      </c>
      <c r="H1369" s="209" t="s">
        <v>16</v>
      </c>
      <c r="I1369" s="210"/>
    </row>
    <row r="1370" spans="1:9" x14ac:dyDescent="0.25">
      <c r="A1370" s="74"/>
      <c r="B1370" s="45">
        <v>136</v>
      </c>
      <c r="C1370" s="64" t="s">
        <v>548</v>
      </c>
      <c r="D1370" s="74"/>
      <c r="E1370" s="208" t="s">
        <v>125</v>
      </c>
      <c r="F1370" s="209" t="s">
        <v>21</v>
      </c>
      <c r="G1370" s="209" t="s">
        <v>21</v>
      </c>
      <c r="H1370" s="209" t="s">
        <v>272</v>
      </c>
      <c r="I1370" s="210"/>
    </row>
    <row r="1371" spans="1:9" x14ac:dyDescent="0.25">
      <c r="A1371" s="74"/>
      <c r="B1371" s="45">
        <v>1174</v>
      </c>
      <c r="C1371" s="64" t="s">
        <v>1545</v>
      </c>
      <c r="D1371" s="74"/>
      <c r="E1371" s="208" t="s">
        <v>132</v>
      </c>
      <c r="F1371" s="209" t="s">
        <v>21</v>
      </c>
      <c r="G1371" s="209" t="s">
        <v>21</v>
      </c>
      <c r="H1371" s="209" t="s">
        <v>272</v>
      </c>
      <c r="I1371" s="210"/>
    </row>
    <row r="1372" spans="1:9" x14ac:dyDescent="0.25">
      <c r="A1372" s="74"/>
      <c r="B1372" s="45">
        <v>1175</v>
      </c>
      <c r="C1372" s="64" t="s">
        <v>1583</v>
      </c>
      <c r="D1372" s="74"/>
      <c r="E1372" s="208" t="s">
        <v>132</v>
      </c>
      <c r="F1372" s="209" t="s">
        <v>21</v>
      </c>
      <c r="G1372" s="209" t="s">
        <v>21</v>
      </c>
      <c r="H1372" s="209" t="s">
        <v>272</v>
      </c>
      <c r="I1372" s="210"/>
    </row>
    <row r="1373" spans="1:9" x14ac:dyDescent="0.25">
      <c r="A1373" s="74"/>
      <c r="B1373" s="45">
        <v>65</v>
      </c>
      <c r="C1373" s="64" t="s">
        <v>477</v>
      </c>
      <c r="D1373" s="74"/>
      <c r="E1373" s="208" t="s">
        <v>132</v>
      </c>
      <c r="F1373" s="209" t="s">
        <v>21</v>
      </c>
      <c r="G1373" s="209" t="s">
        <v>21</v>
      </c>
      <c r="H1373" s="209" t="s">
        <v>272</v>
      </c>
      <c r="I1373" s="210"/>
    </row>
    <row r="1374" spans="1:9" x14ac:dyDescent="0.25">
      <c r="A1374" s="74"/>
      <c r="B1374" s="45">
        <v>1176</v>
      </c>
      <c r="C1374" s="64" t="s">
        <v>1584</v>
      </c>
      <c r="D1374" s="74"/>
      <c r="E1374" s="208" t="s">
        <v>132</v>
      </c>
      <c r="F1374" s="209" t="s">
        <v>21</v>
      </c>
      <c r="G1374" s="209" t="s">
        <v>21</v>
      </c>
      <c r="H1374" s="209" t="s">
        <v>272</v>
      </c>
      <c r="I1374" s="210"/>
    </row>
    <row r="1375" spans="1:9" x14ac:dyDescent="0.25">
      <c r="A1375" s="74"/>
      <c r="B1375" s="45">
        <v>1177</v>
      </c>
      <c r="C1375" s="64" t="s">
        <v>1585</v>
      </c>
      <c r="D1375" s="74"/>
      <c r="E1375" s="208" t="s">
        <v>132</v>
      </c>
      <c r="F1375" s="209" t="s">
        <v>21</v>
      </c>
      <c r="G1375" s="209" t="s">
        <v>21</v>
      </c>
      <c r="H1375" s="209" t="s">
        <v>272</v>
      </c>
      <c r="I1375" s="210"/>
    </row>
    <row r="1376" spans="1:9" x14ac:dyDescent="0.25">
      <c r="A1376" s="74"/>
      <c r="B1376" s="45">
        <v>1178</v>
      </c>
      <c r="C1376" s="64" t="s">
        <v>1586</v>
      </c>
      <c r="D1376" s="74"/>
      <c r="E1376" s="208" t="s">
        <v>132</v>
      </c>
      <c r="F1376" s="209" t="s">
        <v>21</v>
      </c>
      <c r="G1376" s="209" t="s">
        <v>21</v>
      </c>
      <c r="H1376" s="209" t="s">
        <v>272</v>
      </c>
      <c r="I1376" s="210"/>
    </row>
    <row r="1377" spans="1:9" x14ac:dyDescent="0.25">
      <c r="A1377" s="74"/>
      <c r="B1377" s="45">
        <v>1179</v>
      </c>
      <c r="C1377" s="64" t="s">
        <v>1587</v>
      </c>
      <c r="D1377" s="74"/>
      <c r="E1377" s="208" t="s">
        <v>132</v>
      </c>
      <c r="F1377" s="209" t="s">
        <v>21</v>
      </c>
      <c r="G1377" s="209" t="s">
        <v>21</v>
      </c>
      <c r="H1377" s="209" t="s">
        <v>272</v>
      </c>
      <c r="I1377" s="210"/>
    </row>
    <row r="1378" spans="1:9" x14ac:dyDescent="0.25">
      <c r="A1378" s="74"/>
      <c r="B1378" s="45">
        <v>1180</v>
      </c>
      <c r="C1378" s="64" t="s">
        <v>1588</v>
      </c>
      <c r="D1378" s="74"/>
      <c r="E1378" s="208" t="s">
        <v>132</v>
      </c>
      <c r="F1378" s="209" t="s">
        <v>21</v>
      </c>
      <c r="G1378" s="209" t="s">
        <v>21</v>
      </c>
      <c r="H1378" s="209" t="s">
        <v>272</v>
      </c>
      <c r="I1378" s="210"/>
    </row>
    <row r="1379" spans="1:9" x14ac:dyDescent="0.25">
      <c r="A1379" s="74"/>
      <c r="B1379" s="45">
        <v>1181</v>
      </c>
      <c r="C1379" s="64" t="s">
        <v>1589</v>
      </c>
      <c r="D1379" s="74"/>
      <c r="E1379" s="208" t="s">
        <v>132</v>
      </c>
      <c r="F1379" s="209" t="s">
        <v>21</v>
      </c>
      <c r="G1379" s="209" t="s">
        <v>21</v>
      </c>
      <c r="H1379" s="209" t="s">
        <v>272</v>
      </c>
      <c r="I1379" s="210"/>
    </row>
    <row r="1380" spans="1:9" x14ac:dyDescent="0.25">
      <c r="A1380" s="74"/>
      <c r="B1380" s="45">
        <v>1182</v>
      </c>
      <c r="C1380" s="64" t="s">
        <v>1590</v>
      </c>
      <c r="D1380" s="74"/>
      <c r="E1380" s="208" t="s">
        <v>132</v>
      </c>
      <c r="F1380" s="209" t="s">
        <v>21</v>
      </c>
      <c r="G1380" s="209" t="s">
        <v>21</v>
      </c>
      <c r="H1380" s="209" t="s">
        <v>272</v>
      </c>
      <c r="I1380" s="210"/>
    </row>
    <row r="1381" spans="1:9" x14ac:dyDescent="0.25">
      <c r="A1381" s="74"/>
      <c r="B1381" s="45">
        <v>1183</v>
      </c>
      <c r="C1381" s="64" t="s">
        <v>1591</v>
      </c>
      <c r="D1381" s="74"/>
      <c r="E1381" s="208" t="s">
        <v>132</v>
      </c>
      <c r="F1381" s="209" t="s">
        <v>21</v>
      </c>
      <c r="G1381" s="209" t="s">
        <v>21</v>
      </c>
      <c r="H1381" s="209" t="s">
        <v>272</v>
      </c>
      <c r="I1381" s="210"/>
    </row>
    <row r="1382" spans="1:9" x14ac:dyDescent="0.25">
      <c r="A1382" s="74"/>
      <c r="B1382" s="45">
        <v>1184</v>
      </c>
      <c r="C1382" s="64" t="s">
        <v>1592</v>
      </c>
      <c r="D1382" s="74"/>
      <c r="E1382" s="208" t="s">
        <v>132</v>
      </c>
      <c r="F1382" s="209" t="s">
        <v>21</v>
      </c>
      <c r="G1382" s="209" t="s">
        <v>21</v>
      </c>
      <c r="H1382" s="209" t="s">
        <v>272</v>
      </c>
      <c r="I1382" s="210"/>
    </row>
    <row r="1383" spans="1:9" x14ac:dyDescent="0.25">
      <c r="A1383" s="74"/>
      <c r="B1383" s="45">
        <v>1185</v>
      </c>
      <c r="C1383" s="64" t="s">
        <v>1593</v>
      </c>
      <c r="D1383" s="74"/>
      <c r="E1383" s="208" t="s">
        <v>132</v>
      </c>
      <c r="F1383" s="209" t="s">
        <v>21</v>
      </c>
      <c r="G1383" s="209" t="s">
        <v>21</v>
      </c>
      <c r="H1383" s="209" t="s">
        <v>272</v>
      </c>
      <c r="I1383" s="210"/>
    </row>
    <row r="1384" spans="1:9" x14ac:dyDescent="0.25">
      <c r="A1384" s="74"/>
      <c r="B1384" s="45">
        <v>66</v>
      </c>
      <c r="C1384" s="64" t="s">
        <v>478</v>
      </c>
      <c r="D1384" s="74"/>
      <c r="E1384" s="208" t="s">
        <v>132</v>
      </c>
      <c r="F1384" s="209" t="s">
        <v>21</v>
      </c>
      <c r="G1384" s="209" t="s">
        <v>21</v>
      </c>
      <c r="H1384" s="209" t="s">
        <v>272</v>
      </c>
      <c r="I1384" s="210"/>
    </row>
    <row r="1385" spans="1:9" x14ac:dyDescent="0.25">
      <c r="A1385" s="74"/>
      <c r="B1385" s="45">
        <v>70</v>
      </c>
      <c r="C1385" s="64" t="s">
        <v>482</v>
      </c>
      <c r="D1385" s="74"/>
      <c r="E1385" s="208" t="s">
        <v>132</v>
      </c>
      <c r="F1385" s="209" t="s">
        <v>21</v>
      </c>
      <c r="G1385" s="209" t="s">
        <v>21</v>
      </c>
      <c r="H1385" s="209" t="s">
        <v>192</v>
      </c>
      <c r="I1385" s="210"/>
    </row>
    <row r="1386" spans="1:9" x14ac:dyDescent="0.25">
      <c r="A1386" s="74"/>
      <c r="B1386" s="45">
        <v>1176</v>
      </c>
      <c r="C1386" s="64" t="s">
        <v>1584</v>
      </c>
      <c r="D1386" s="74"/>
      <c r="E1386" s="208" t="s">
        <v>132</v>
      </c>
      <c r="F1386" s="209" t="s">
        <v>21</v>
      </c>
      <c r="G1386" s="209" t="s">
        <v>21</v>
      </c>
      <c r="H1386" s="209" t="s">
        <v>272</v>
      </c>
      <c r="I1386" s="210"/>
    </row>
    <row r="1387" spans="1:9" x14ac:dyDescent="0.25">
      <c r="A1387" s="74"/>
      <c r="B1387" s="45">
        <v>1177</v>
      </c>
      <c r="C1387" s="64" t="s">
        <v>1585</v>
      </c>
      <c r="D1387" s="74"/>
      <c r="E1387" s="208" t="s">
        <v>132</v>
      </c>
      <c r="F1387" s="209" t="s">
        <v>21</v>
      </c>
      <c r="G1387" s="209" t="s">
        <v>21</v>
      </c>
      <c r="H1387" s="209" t="s">
        <v>272</v>
      </c>
      <c r="I1387" s="210"/>
    </row>
    <row r="1388" spans="1:9" x14ac:dyDescent="0.25">
      <c r="A1388" s="74"/>
      <c r="B1388" s="45">
        <v>1178</v>
      </c>
      <c r="C1388" s="64" t="s">
        <v>1586</v>
      </c>
      <c r="D1388" s="74"/>
      <c r="E1388" s="208" t="s">
        <v>132</v>
      </c>
      <c r="F1388" s="209" t="s">
        <v>21</v>
      </c>
      <c r="G1388" s="209" t="s">
        <v>21</v>
      </c>
      <c r="H1388" s="209" t="s">
        <v>272</v>
      </c>
      <c r="I1388" s="210"/>
    </row>
    <row r="1389" spans="1:9" x14ac:dyDescent="0.25">
      <c r="A1389" s="74"/>
      <c r="B1389" s="45">
        <v>1179</v>
      </c>
      <c r="C1389" s="64" t="s">
        <v>1587</v>
      </c>
      <c r="D1389" s="74"/>
      <c r="E1389" s="208" t="s">
        <v>132</v>
      </c>
      <c r="F1389" s="209" t="s">
        <v>21</v>
      </c>
      <c r="G1389" s="209" t="s">
        <v>21</v>
      </c>
      <c r="H1389" s="209" t="s">
        <v>272</v>
      </c>
      <c r="I1389" s="210"/>
    </row>
    <row r="1390" spans="1:9" x14ac:dyDescent="0.25">
      <c r="A1390" s="74"/>
      <c r="B1390" s="45">
        <v>1180</v>
      </c>
      <c r="C1390" s="64" t="s">
        <v>1588</v>
      </c>
      <c r="D1390" s="74"/>
      <c r="E1390" s="208" t="s">
        <v>132</v>
      </c>
      <c r="F1390" s="209" t="s">
        <v>21</v>
      </c>
      <c r="G1390" s="209" t="s">
        <v>21</v>
      </c>
      <c r="H1390" s="209" t="s">
        <v>272</v>
      </c>
      <c r="I1390" s="210"/>
    </row>
    <row r="1391" spans="1:9" x14ac:dyDescent="0.25">
      <c r="A1391" s="74"/>
      <c r="B1391" s="45">
        <v>1181</v>
      </c>
      <c r="C1391" s="64" t="s">
        <v>1589</v>
      </c>
      <c r="D1391" s="74"/>
      <c r="E1391" s="208" t="s">
        <v>132</v>
      </c>
      <c r="F1391" s="209" t="s">
        <v>21</v>
      </c>
      <c r="G1391" s="209" t="s">
        <v>21</v>
      </c>
      <c r="H1391" s="209" t="s">
        <v>272</v>
      </c>
      <c r="I1391" s="210"/>
    </row>
    <row r="1392" spans="1:9" x14ac:dyDescent="0.25">
      <c r="A1392" s="74"/>
      <c r="B1392" s="45">
        <v>1182</v>
      </c>
      <c r="C1392" s="64" t="s">
        <v>1590</v>
      </c>
      <c r="D1392" s="74"/>
      <c r="E1392" s="208" t="s">
        <v>132</v>
      </c>
      <c r="F1392" s="209" t="s">
        <v>21</v>
      </c>
      <c r="G1392" s="209" t="s">
        <v>21</v>
      </c>
      <c r="H1392" s="209" t="s">
        <v>272</v>
      </c>
      <c r="I1392" s="210"/>
    </row>
    <row r="1393" spans="1:9" x14ac:dyDescent="0.25">
      <c r="A1393" s="74"/>
      <c r="B1393" s="45">
        <v>1183</v>
      </c>
      <c r="C1393" s="64" t="s">
        <v>1591</v>
      </c>
      <c r="D1393" s="74"/>
      <c r="E1393" s="208" t="s">
        <v>132</v>
      </c>
      <c r="F1393" s="209" t="s">
        <v>21</v>
      </c>
      <c r="G1393" s="209" t="s">
        <v>21</v>
      </c>
      <c r="H1393" s="209" t="s">
        <v>272</v>
      </c>
      <c r="I1393" s="210"/>
    </row>
    <row r="1394" spans="1:9" x14ac:dyDescent="0.25">
      <c r="A1394" s="74"/>
      <c r="B1394" s="45">
        <v>1184</v>
      </c>
      <c r="C1394" s="64" t="s">
        <v>1592</v>
      </c>
      <c r="D1394" s="74"/>
      <c r="E1394" s="208" t="s">
        <v>132</v>
      </c>
      <c r="F1394" s="209" t="s">
        <v>21</v>
      </c>
      <c r="G1394" s="209" t="s">
        <v>21</v>
      </c>
      <c r="H1394" s="209" t="s">
        <v>272</v>
      </c>
      <c r="I1394" s="210"/>
    </row>
    <row r="1395" spans="1:9" x14ac:dyDescent="0.25">
      <c r="A1395" s="74"/>
      <c r="B1395" s="45">
        <v>1185</v>
      </c>
      <c r="C1395" s="64" t="s">
        <v>1593</v>
      </c>
      <c r="D1395" s="74"/>
      <c r="E1395" s="208" t="s">
        <v>132</v>
      </c>
      <c r="F1395" s="209" t="s">
        <v>21</v>
      </c>
      <c r="G1395" s="209" t="s">
        <v>21</v>
      </c>
      <c r="H1395" s="209" t="s">
        <v>272</v>
      </c>
      <c r="I1395" s="210"/>
    </row>
    <row r="1396" spans="1:9" x14ac:dyDescent="0.25">
      <c r="A1396" s="74"/>
      <c r="B1396" s="45">
        <v>68</v>
      </c>
      <c r="C1396" s="64" t="s">
        <v>480</v>
      </c>
      <c r="D1396" s="74"/>
      <c r="E1396" s="208" t="s">
        <v>132</v>
      </c>
      <c r="F1396" s="209" t="s">
        <v>21</v>
      </c>
      <c r="G1396" s="209" t="s">
        <v>21</v>
      </c>
      <c r="H1396" s="209" t="s">
        <v>192</v>
      </c>
      <c r="I1396" s="210"/>
    </row>
    <row r="1397" spans="1:9" x14ac:dyDescent="0.25">
      <c r="A1397" s="74"/>
      <c r="B1397" s="45">
        <v>70</v>
      </c>
      <c r="C1397" s="64" t="s">
        <v>482</v>
      </c>
      <c r="D1397" s="74"/>
      <c r="E1397" s="208" t="s">
        <v>132</v>
      </c>
      <c r="F1397" s="209" t="s">
        <v>21</v>
      </c>
      <c r="G1397" s="209" t="s">
        <v>21</v>
      </c>
      <c r="H1397" s="209" t="s">
        <v>192</v>
      </c>
      <c r="I1397" s="210"/>
    </row>
    <row r="1398" spans="1:9" x14ac:dyDescent="0.25">
      <c r="A1398" s="74"/>
      <c r="B1398" s="45">
        <v>1177</v>
      </c>
      <c r="C1398" s="64" t="s">
        <v>1585</v>
      </c>
      <c r="D1398" s="74"/>
      <c r="E1398" s="208" t="s">
        <v>132</v>
      </c>
      <c r="F1398" s="209" t="s">
        <v>21</v>
      </c>
      <c r="G1398" s="209" t="s">
        <v>21</v>
      </c>
      <c r="H1398" s="209" t="s">
        <v>272</v>
      </c>
      <c r="I1398" s="210"/>
    </row>
    <row r="1399" spans="1:9" x14ac:dyDescent="0.25">
      <c r="A1399" s="74"/>
      <c r="B1399" s="45">
        <v>1178</v>
      </c>
      <c r="C1399" s="64" t="s">
        <v>1586</v>
      </c>
      <c r="D1399" s="74"/>
      <c r="E1399" s="208" t="s">
        <v>132</v>
      </c>
      <c r="F1399" s="209" t="s">
        <v>21</v>
      </c>
      <c r="G1399" s="209" t="s">
        <v>21</v>
      </c>
      <c r="H1399" s="209" t="s">
        <v>272</v>
      </c>
      <c r="I1399" s="210"/>
    </row>
    <row r="1400" spans="1:9" x14ac:dyDescent="0.25">
      <c r="A1400" s="74"/>
      <c r="B1400" s="45">
        <v>1179</v>
      </c>
      <c r="C1400" s="64" t="s">
        <v>1587</v>
      </c>
      <c r="D1400" s="74"/>
      <c r="E1400" s="208" t="s">
        <v>132</v>
      </c>
      <c r="F1400" s="209" t="s">
        <v>21</v>
      </c>
      <c r="G1400" s="209" t="s">
        <v>21</v>
      </c>
      <c r="H1400" s="209" t="s">
        <v>272</v>
      </c>
      <c r="I1400" s="210"/>
    </row>
    <row r="1401" spans="1:9" x14ac:dyDescent="0.25">
      <c r="A1401" s="74"/>
      <c r="B1401" s="45">
        <v>1176</v>
      </c>
      <c r="C1401" s="64" t="s">
        <v>1584</v>
      </c>
      <c r="D1401" s="74"/>
      <c r="E1401" s="208" t="s">
        <v>132</v>
      </c>
      <c r="F1401" s="209" t="s">
        <v>21</v>
      </c>
      <c r="G1401" s="209" t="s">
        <v>21</v>
      </c>
      <c r="H1401" s="209" t="s">
        <v>272</v>
      </c>
      <c r="I1401" s="210"/>
    </row>
    <row r="1402" spans="1:9" x14ac:dyDescent="0.25">
      <c r="A1402" s="74"/>
      <c r="B1402" s="45">
        <v>1180</v>
      </c>
      <c r="C1402" s="64" t="s">
        <v>1588</v>
      </c>
      <c r="D1402" s="74"/>
      <c r="E1402" s="208" t="s">
        <v>132</v>
      </c>
      <c r="F1402" s="209" t="s">
        <v>21</v>
      </c>
      <c r="G1402" s="209" t="s">
        <v>21</v>
      </c>
      <c r="H1402" s="209" t="s">
        <v>272</v>
      </c>
      <c r="I1402" s="210"/>
    </row>
    <row r="1403" spans="1:9" x14ac:dyDescent="0.25">
      <c r="A1403" s="74"/>
      <c r="B1403" s="45">
        <v>1181</v>
      </c>
      <c r="C1403" s="64" t="s">
        <v>1589</v>
      </c>
      <c r="D1403" s="74"/>
      <c r="E1403" s="208" t="s">
        <v>132</v>
      </c>
      <c r="F1403" s="209" t="s">
        <v>21</v>
      </c>
      <c r="G1403" s="209" t="s">
        <v>21</v>
      </c>
      <c r="H1403" s="209" t="s">
        <v>272</v>
      </c>
      <c r="I1403" s="210"/>
    </row>
    <row r="1404" spans="1:9" x14ac:dyDescent="0.25">
      <c r="A1404" s="74"/>
      <c r="B1404" s="45">
        <v>1183</v>
      </c>
      <c r="C1404" s="64" t="s">
        <v>1591</v>
      </c>
      <c r="D1404" s="74"/>
      <c r="E1404" s="208" t="s">
        <v>132</v>
      </c>
      <c r="F1404" s="209" t="s">
        <v>21</v>
      </c>
      <c r="G1404" s="209" t="s">
        <v>21</v>
      </c>
      <c r="H1404" s="209" t="s">
        <v>272</v>
      </c>
      <c r="I1404" s="210"/>
    </row>
    <row r="1405" spans="1:9" x14ac:dyDescent="0.25">
      <c r="A1405" s="74"/>
      <c r="B1405" s="45">
        <v>1184</v>
      </c>
      <c r="C1405" s="64" t="s">
        <v>1592</v>
      </c>
      <c r="D1405" s="74"/>
      <c r="E1405" s="208" t="s">
        <v>132</v>
      </c>
      <c r="F1405" s="209" t="s">
        <v>21</v>
      </c>
      <c r="G1405" s="209" t="s">
        <v>21</v>
      </c>
      <c r="H1405" s="209" t="s">
        <v>272</v>
      </c>
      <c r="I1405" s="210"/>
    </row>
    <row r="1406" spans="1:9" x14ac:dyDescent="0.25">
      <c r="A1406" s="74"/>
      <c r="B1406" s="45">
        <v>1185</v>
      </c>
      <c r="C1406" s="64" t="s">
        <v>1593</v>
      </c>
      <c r="D1406" s="74"/>
      <c r="E1406" s="208" t="s">
        <v>132</v>
      </c>
      <c r="F1406" s="209" t="s">
        <v>21</v>
      </c>
      <c r="G1406" s="209" t="s">
        <v>21</v>
      </c>
      <c r="H1406" s="209" t="s">
        <v>272</v>
      </c>
      <c r="I1406" s="210"/>
    </row>
    <row r="1407" spans="1:9" x14ac:dyDescent="0.25">
      <c r="A1407" s="74"/>
      <c r="B1407" s="45">
        <v>70</v>
      </c>
      <c r="C1407" s="64" t="s">
        <v>482</v>
      </c>
      <c r="D1407" s="74"/>
      <c r="E1407" s="208" t="s">
        <v>132</v>
      </c>
      <c r="F1407" s="209" t="s">
        <v>21</v>
      </c>
      <c r="G1407" s="209" t="s">
        <v>21</v>
      </c>
      <c r="H1407" s="209" t="s">
        <v>192</v>
      </c>
      <c r="I1407" s="210"/>
    </row>
    <row r="1408" spans="1:9" x14ac:dyDescent="0.25">
      <c r="A1408" s="74"/>
      <c r="B1408" s="45">
        <v>1177</v>
      </c>
      <c r="C1408" s="64" t="s">
        <v>1585</v>
      </c>
      <c r="D1408" s="74"/>
      <c r="E1408" s="208" t="s">
        <v>132</v>
      </c>
      <c r="F1408" s="209" t="s">
        <v>21</v>
      </c>
      <c r="G1408" s="209" t="s">
        <v>21</v>
      </c>
      <c r="H1408" s="209" t="s">
        <v>272</v>
      </c>
      <c r="I1408" s="210"/>
    </row>
    <row r="1409" spans="1:9" x14ac:dyDescent="0.25">
      <c r="A1409" s="74"/>
      <c r="B1409" s="45">
        <v>1178</v>
      </c>
      <c r="C1409" s="64" t="s">
        <v>1586</v>
      </c>
      <c r="D1409" s="74"/>
      <c r="E1409" s="208" t="s">
        <v>132</v>
      </c>
      <c r="F1409" s="209" t="s">
        <v>21</v>
      </c>
      <c r="G1409" s="209" t="s">
        <v>21</v>
      </c>
      <c r="H1409" s="209" t="s">
        <v>272</v>
      </c>
      <c r="I1409" s="210"/>
    </row>
    <row r="1410" spans="1:9" x14ac:dyDescent="0.25">
      <c r="A1410" s="74"/>
      <c r="B1410" s="45">
        <v>1179</v>
      </c>
      <c r="C1410" s="64" t="s">
        <v>1587</v>
      </c>
      <c r="D1410" s="74"/>
      <c r="E1410" s="208" t="s">
        <v>132</v>
      </c>
      <c r="F1410" s="209" t="s">
        <v>21</v>
      </c>
      <c r="G1410" s="209" t="s">
        <v>21</v>
      </c>
      <c r="H1410" s="209" t="s">
        <v>272</v>
      </c>
      <c r="I1410" s="210"/>
    </row>
    <row r="1411" spans="1:9" x14ac:dyDescent="0.25">
      <c r="A1411" s="74"/>
      <c r="B1411" s="45">
        <v>1176</v>
      </c>
      <c r="C1411" s="64" t="s">
        <v>1584</v>
      </c>
      <c r="D1411" s="74"/>
      <c r="E1411" s="208" t="s">
        <v>132</v>
      </c>
      <c r="F1411" s="209" t="s">
        <v>21</v>
      </c>
      <c r="G1411" s="209" t="s">
        <v>21</v>
      </c>
      <c r="H1411" s="209" t="s">
        <v>272</v>
      </c>
      <c r="I1411" s="210"/>
    </row>
    <row r="1412" spans="1:9" x14ac:dyDescent="0.25">
      <c r="A1412" s="74"/>
      <c r="B1412" s="45">
        <v>1180</v>
      </c>
      <c r="C1412" s="64" t="s">
        <v>1588</v>
      </c>
      <c r="D1412" s="74"/>
      <c r="E1412" s="208" t="s">
        <v>132</v>
      </c>
      <c r="F1412" s="209" t="s">
        <v>21</v>
      </c>
      <c r="G1412" s="209" t="s">
        <v>21</v>
      </c>
      <c r="H1412" s="209" t="s">
        <v>272</v>
      </c>
      <c r="I1412" s="210"/>
    </row>
    <row r="1413" spans="1:9" x14ac:dyDescent="0.25">
      <c r="A1413" s="74"/>
      <c r="B1413" s="45">
        <v>1181</v>
      </c>
      <c r="C1413" s="64" t="s">
        <v>1589</v>
      </c>
      <c r="D1413" s="74"/>
      <c r="E1413" s="208" t="s">
        <v>132</v>
      </c>
      <c r="F1413" s="209" t="s">
        <v>21</v>
      </c>
      <c r="G1413" s="209" t="s">
        <v>21</v>
      </c>
      <c r="H1413" s="209" t="s">
        <v>272</v>
      </c>
      <c r="I1413" s="210"/>
    </row>
    <row r="1414" spans="1:9" x14ac:dyDescent="0.25">
      <c r="A1414" s="74"/>
      <c r="B1414" s="45">
        <v>1182</v>
      </c>
      <c r="C1414" s="64" t="s">
        <v>1590</v>
      </c>
      <c r="D1414" s="74"/>
      <c r="E1414" s="208" t="s">
        <v>132</v>
      </c>
      <c r="F1414" s="209" t="s">
        <v>21</v>
      </c>
      <c r="G1414" s="209" t="s">
        <v>21</v>
      </c>
      <c r="H1414" s="209" t="s">
        <v>272</v>
      </c>
      <c r="I1414" s="210"/>
    </row>
    <row r="1415" spans="1:9" x14ac:dyDescent="0.25">
      <c r="A1415" s="74"/>
      <c r="B1415" s="45">
        <v>1183</v>
      </c>
      <c r="C1415" s="64" t="s">
        <v>1591</v>
      </c>
      <c r="D1415" s="74"/>
      <c r="E1415" s="208" t="s">
        <v>132</v>
      </c>
      <c r="F1415" s="209" t="s">
        <v>21</v>
      </c>
      <c r="G1415" s="209" t="s">
        <v>21</v>
      </c>
      <c r="H1415" s="209" t="s">
        <v>272</v>
      </c>
      <c r="I1415" s="210"/>
    </row>
    <row r="1416" spans="1:9" x14ac:dyDescent="0.25">
      <c r="A1416" s="74"/>
      <c r="B1416" s="45">
        <v>1184</v>
      </c>
      <c r="C1416" s="64" t="s">
        <v>1592</v>
      </c>
      <c r="D1416" s="74"/>
      <c r="E1416" s="208" t="s">
        <v>132</v>
      </c>
      <c r="F1416" s="209" t="s">
        <v>21</v>
      </c>
      <c r="G1416" s="209" t="s">
        <v>21</v>
      </c>
      <c r="H1416" s="209" t="s">
        <v>272</v>
      </c>
      <c r="I1416" s="210"/>
    </row>
    <row r="1417" spans="1:9" x14ac:dyDescent="0.25">
      <c r="A1417" s="74"/>
      <c r="B1417" s="45">
        <v>1185</v>
      </c>
      <c r="C1417" s="64" t="s">
        <v>1593</v>
      </c>
      <c r="D1417" s="74"/>
      <c r="E1417" s="208" t="s">
        <v>132</v>
      </c>
      <c r="F1417" s="209" t="s">
        <v>21</v>
      </c>
      <c r="G1417" s="209" t="s">
        <v>21</v>
      </c>
      <c r="H1417" s="209" t="s">
        <v>272</v>
      </c>
      <c r="I1417" s="210"/>
    </row>
    <row r="1418" spans="1:9" x14ac:dyDescent="0.25">
      <c r="A1418" s="74"/>
      <c r="B1418" s="45">
        <v>70</v>
      </c>
      <c r="C1418" s="64" t="s">
        <v>482</v>
      </c>
      <c r="D1418" s="74"/>
      <c r="E1418" s="208" t="s">
        <v>132</v>
      </c>
      <c r="F1418" s="209" t="s">
        <v>21</v>
      </c>
      <c r="G1418" s="209" t="s">
        <v>21</v>
      </c>
      <c r="H1418" s="209" t="s">
        <v>192</v>
      </c>
      <c r="I1418" s="210"/>
    </row>
    <row r="1419" spans="1:9" x14ac:dyDescent="0.25">
      <c r="A1419" s="74"/>
      <c r="B1419" s="45">
        <v>1177</v>
      </c>
      <c r="C1419" s="64" t="s">
        <v>1585</v>
      </c>
      <c r="D1419" s="74"/>
      <c r="E1419" s="208" t="s">
        <v>132</v>
      </c>
      <c r="F1419" s="209" t="s">
        <v>21</v>
      </c>
      <c r="G1419" s="209" t="s">
        <v>21</v>
      </c>
      <c r="H1419" s="209" t="s">
        <v>272</v>
      </c>
      <c r="I1419" s="210"/>
    </row>
    <row r="1420" spans="1:9" x14ac:dyDescent="0.25">
      <c r="A1420" s="74"/>
      <c r="B1420" s="45">
        <v>1178</v>
      </c>
      <c r="C1420" s="64" t="s">
        <v>1586</v>
      </c>
      <c r="D1420" s="74"/>
      <c r="E1420" s="208" t="s">
        <v>132</v>
      </c>
      <c r="F1420" s="209" t="s">
        <v>21</v>
      </c>
      <c r="G1420" s="209" t="s">
        <v>21</v>
      </c>
      <c r="H1420" s="209" t="s">
        <v>272</v>
      </c>
      <c r="I1420" s="210"/>
    </row>
    <row r="1421" spans="1:9" x14ac:dyDescent="0.25">
      <c r="A1421" s="74"/>
      <c r="B1421" s="45">
        <v>1179</v>
      </c>
      <c r="C1421" s="64" t="s">
        <v>1587</v>
      </c>
      <c r="D1421" s="74"/>
      <c r="E1421" s="208" t="s">
        <v>132</v>
      </c>
      <c r="F1421" s="209" t="s">
        <v>21</v>
      </c>
      <c r="G1421" s="209" t="s">
        <v>21</v>
      </c>
      <c r="H1421" s="209" t="s">
        <v>272</v>
      </c>
      <c r="I1421" s="210"/>
    </row>
    <row r="1422" spans="1:9" x14ac:dyDescent="0.25">
      <c r="A1422" s="74"/>
      <c r="B1422" s="45">
        <v>1176</v>
      </c>
      <c r="C1422" s="64" t="s">
        <v>1584</v>
      </c>
      <c r="D1422" s="74"/>
      <c r="E1422" s="208" t="s">
        <v>132</v>
      </c>
      <c r="F1422" s="209" t="s">
        <v>21</v>
      </c>
      <c r="G1422" s="209" t="s">
        <v>21</v>
      </c>
      <c r="H1422" s="209" t="s">
        <v>272</v>
      </c>
      <c r="I1422" s="210"/>
    </row>
    <row r="1423" spans="1:9" x14ac:dyDescent="0.25">
      <c r="A1423" s="74"/>
      <c r="B1423" s="45">
        <v>1180</v>
      </c>
      <c r="C1423" s="64" t="s">
        <v>1588</v>
      </c>
      <c r="D1423" s="74"/>
      <c r="E1423" s="208" t="s">
        <v>132</v>
      </c>
      <c r="F1423" s="209" t="s">
        <v>21</v>
      </c>
      <c r="G1423" s="209" t="s">
        <v>21</v>
      </c>
      <c r="H1423" s="209" t="s">
        <v>272</v>
      </c>
      <c r="I1423" s="210"/>
    </row>
    <row r="1424" spans="1:9" x14ac:dyDescent="0.25">
      <c r="A1424" s="74"/>
      <c r="B1424" s="45">
        <v>1181</v>
      </c>
      <c r="C1424" s="64" t="s">
        <v>1589</v>
      </c>
      <c r="D1424" s="74"/>
      <c r="E1424" s="208" t="s">
        <v>132</v>
      </c>
      <c r="F1424" s="209" t="s">
        <v>21</v>
      </c>
      <c r="G1424" s="209" t="s">
        <v>21</v>
      </c>
      <c r="H1424" s="209" t="s">
        <v>272</v>
      </c>
      <c r="I1424" s="210"/>
    </row>
    <row r="1425" spans="1:9" x14ac:dyDescent="0.25">
      <c r="A1425" s="74"/>
      <c r="B1425" s="45">
        <v>1182</v>
      </c>
      <c r="C1425" s="64" t="s">
        <v>1590</v>
      </c>
      <c r="D1425" s="74"/>
      <c r="E1425" s="208" t="s">
        <v>132</v>
      </c>
      <c r="F1425" s="209" t="s">
        <v>21</v>
      </c>
      <c r="G1425" s="209" t="s">
        <v>21</v>
      </c>
      <c r="H1425" s="209" t="s">
        <v>272</v>
      </c>
      <c r="I1425" s="210"/>
    </row>
    <row r="1426" spans="1:9" x14ac:dyDescent="0.25">
      <c r="A1426" s="74"/>
      <c r="B1426" s="45">
        <v>1183</v>
      </c>
      <c r="C1426" s="64" t="s">
        <v>1591</v>
      </c>
      <c r="D1426" s="74"/>
      <c r="E1426" s="208" t="s">
        <v>132</v>
      </c>
      <c r="F1426" s="209" t="s">
        <v>21</v>
      </c>
      <c r="G1426" s="209" t="s">
        <v>21</v>
      </c>
      <c r="H1426" s="209" t="s">
        <v>272</v>
      </c>
      <c r="I1426" s="210"/>
    </row>
    <row r="1427" spans="1:9" x14ac:dyDescent="0.25">
      <c r="A1427" s="74"/>
      <c r="B1427" s="45">
        <v>1184</v>
      </c>
      <c r="C1427" s="64" t="s">
        <v>1592</v>
      </c>
      <c r="D1427" s="74"/>
      <c r="E1427" s="208" t="s">
        <v>132</v>
      </c>
      <c r="F1427" s="209" t="s">
        <v>21</v>
      </c>
      <c r="G1427" s="209" t="s">
        <v>21</v>
      </c>
      <c r="H1427" s="209" t="s">
        <v>272</v>
      </c>
      <c r="I1427" s="210"/>
    </row>
    <row r="1428" spans="1:9" x14ac:dyDescent="0.25">
      <c r="A1428" s="74"/>
      <c r="B1428" s="45">
        <v>1185</v>
      </c>
      <c r="C1428" s="64" t="s">
        <v>1593</v>
      </c>
      <c r="D1428" s="74"/>
      <c r="E1428" s="208" t="s">
        <v>132</v>
      </c>
      <c r="F1428" s="209" t="s">
        <v>21</v>
      </c>
      <c r="G1428" s="209" t="s">
        <v>21</v>
      </c>
      <c r="H1428" s="209" t="s">
        <v>272</v>
      </c>
      <c r="I1428" s="210"/>
    </row>
    <row r="1429" spans="1:9" x14ac:dyDescent="0.25">
      <c r="A1429" s="74"/>
      <c r="B1429" s="45">
        <v>70</v>
      </c>
      <c r="C1429" s="64" t="s">
        <v>482</v>
      </c>
      <c r="D1429" s="74"/>
      <c r="E1429" s="208" t="s">
        <v>132</v>
      </c>
      <c r="F1429" s="209" t="s">
        <v>21</v>
      </c>
      <c r="G1429" s="209" t="s">
        <v>21</v>
      </c>
      <c r="H1429" s="209" t="s">
        <v>192</v>
      </c>
      <c r="I1429" s="210"/>
    </row>
    <row r="1430" spans="1:9" x14ac:dyDescent="0.25">
      <c r="A1430" s="74"/>
      <c r="B1430" s="45">
        <v>1177</v>
      </c>
      <c r="C1430" s="64" t="s">
        <v>1585</v>
      </c>
      <c r="D1430" s="74"/>
      <c r="E1430" s="208" t="s">
        <v>132</v>
      </c>
      <c r="F1430" s="209" t="s">
        <v>21</v>
      </c>
      <c r="G1430" s="209" t="s">
        <v>21</v>
      </c>
      <c r="H1430" s="209" t="s">
        <v>272</v>
      </c>
      <c r="I1430" s="210"/>
    </row>
    <row r="1431" spans="1:9" x14ac:dyDescent="0.25">
      <c r="A1431" s="74"/>
      <c r="B1431" s="45">
        <v>1178</v>
      </c>
      <c r="C1431" s="64" t="s">
        <v>1586</v>
      </c>
      <c r="D1431" s="74"/>
      <c r="E1431" s="208" t="s">
        <v>132</v>
      </c>
      <c r="F1431" s="209" t="s">
        <v>21</v>
      </c>
      <c r="G1431" s="209" t="s">
        <v>21</v>
      </c>
      <c r="H1431" s="209" t="s">
        <v>272</v>
      </c>
      <c r="I1431" s="210"/>
    </row>
    <row r="1432" spans="1:9" x14ac:dyDescent="0.25">
      <c r="A1432" s="74"/>
      <c r="B1432" s="45">
        <v>1179</v>
      </c>
      <c r="C1432" s="64" t="s">
        <v>1587</v>
      </c>
      <c r="D1432" s="74"/>
      <c r="E1432" s="208" t="s">
        <v>132</v>
      </c>
      <c r="F1432" s="209" t="s">
        <v>21</v>
      </c>
      <c r="G1432" s="209" t="s">
        <v>21</v>
      </c>
      <c r="H1432" s="209" t="s">
        <v>272</v>
      </c>
      <c r="I1432" s="210"/>
    </row>
    <row r="1433" spans="1:9" x14ac:dyDescent="0.25">
      <c r="A1433" s="74"/>
      <c r="B1433" s="45">
        <v>1176</v>
      </c>
      <c r="C1433" s="64" t="s">
        <v>1584</v>
      </c>
      <c r="D1433" s="74"/>
      <c r="E1433" s="208" t="s">
        <v>132</v>
      </c>
      <c r="F1433" s="209" t="s">
        <v>21</v>
      </c>
      <c r="G1433" s="209" t="s">
        <v>21</v>
      </c>
      <c r="H1433" s="209" t="s">
        <v>272</v>
      </c>
      <c r="I1433" s="210"/>
    </row>
    <row r="1434" spans="1:9" x14ac:dyDescent="0.25">
      <c r="A1434" s="74"/>
      <c r="B1434" s="45">
        <v>1180</v>
      </c>
      <c r="C1434" s="64" t="s">
        <v>1588</v>
      </c>
      <c r="D1434" s="74"/>
      <c r="E1434" s="208" t="s">
        <v>132</v>
      </c>
      <c r="F1434" s="209" t="s">
        <v>21</v>
      </c>
      <c r="G1434" s="209" t="s">
        <v>21</v>
      </c>
      <c r="H1434" s="209" t="s">
        <v>272</v>
      </c>
      <c r="I1434" s="210"/>
    </row>
    <row r="1435" spans="1:9" x14ac:dyDescent="0.25">
      <c r="A1435" s="74"/>
      <c r="B1435" s="45">
        <v>1181</v>
      </c>
      <c r="C1435" s="64" t="s">
        <v>1589</v>
      </c>
      <c r="D1435" s="74"/>
      <c r="E1435" s="208" t="s">
        <v>132</v>
      </c>
      <c r="F1435" s="209" t="s">
        <v>21</v>
      </c>
      <c r="G1435" s="209" t="s">
        <v>21</v>
      </c>
      <c r="H1435" s="209" t="s">
        <v>272</v>
      </c>
      <c r="I1435" s="210"/>
    </row>
    <row r="1436" spans="1:9" x14ac:dyDescent="0.25">
      <c r="A1436" s="74"/>
      <c r="B1436" s="45">
        <v>1182</v>
      </c>
      <c r="C1436" s="64" t="s">
        <v>1590</v>
      </c>
      <c r="D1436" s="74"/>
      <c r="E1436" s="208" t="s">
        <v>132</v>
      </c>
      <c r="F1436" s="209" t="s">
        <v>21</v>
      </c>
      <c r="G1436" s="209" t="s">
        <v>21</v>
      </c>
      <c r="H1436" s="209" t="s">
        <v>272</v>
      </c>
      <c r="I1436" s="210"/>
    </row>
    <row r="1437" spans="1:9" x14ac:dyDescent="0.25">
      <c r="A1437" s="74"/>
      <c r="B1437" s="45">
        <v>1183</v>
      </c>
      <c r="C1437" s="64" t="s">
        <v>1591</v>
      </c>
      <c r="D1437" s="74"/>
      <c r="E1437" s="208" t="s">
        <v>132</v>
      </c>
      <c r="F1437" s="209" t="s">
        <v>21</v>
      </c>
      <c r="G1437" s="209" t="s">
        <v>21</v>
      </c>
      <c r="H1437" s="209" t="s">
        <v>272</v>
      </c>
      <c r="I1437" s="210"/>
    </row>
    <row r="1438" spans="1:9" x14ac:dyDescent="0.25">
      <c r="A1438" s="74"/>
      <c r="B1438" s="45">
        <v>1184</v>
      </c>
      <c r="C1438" s="64" t="s">
        <v>1592</v>
      </c>
      <c r="D1438" s="74"/>
      <c r="E1438" s="208" t="s">
        <v>132</v>
      </c>
      <c r="F1438" s="209" t="s">
        <v>21</v>
      </c>
      <c r="G1438" s="209" t="s">
        <v>21</v>
      </c>
      <c r="H1438" s="209" t="s">
        <v>272</v>
      </c>
      <c r="I1438" s="210"/>
    </row>
    <row r="1439" spans="1:9" x14ac:dyDescent="0.25">
      <c r="A1439" s="74"/>
      <c r="B1439" s="45">
        <v>1185</v>
      </c>
      <c r="C1439" s="64" t="s">
        <v>1593</v>
      </c>
      <c r="D1439" s="74"/>
      <c r="E1439" s="208" t="s">
        <v>132</v>
      </c>
      <c r="F1439" s="209" t="s">
        <v>21</v>
      </c>
      <c r="G1439" s="209" t="s">
        <v>21</v>
      </c>
      <c r="H1439" s="209" t="s">
        <v>272</v>
      </c>
      <c r="I1439" s="210"/>
    </row>
    <row r="1440" spans="1:9" x14ac:dyDescent="0.25">
      <c r="A1440" s="74"/>
      <c r="B1440" s="45">
        <v>70</v>
      </c>
      <c r="C1440" s="64" t="s">
        <v>482</v>
      </c>
      <c r="D1440" s="74"/>
      <c r="E1440" s="208" t="s">
        <v>132</v>
      </c>
      <c r="F1440" s="209" t="s">
        <v>21</v>
      </c>
      <c r="G1440" s="209" t="s">
        <v>21</v>
      </c>
      <c r="H1440" s="209" t="s">
        <v>192</v>
      </c>
      <c r="I1440" s="210"/>
    </row>
    <row r="1441" spans="1:9" x14ac:dyDescent="0.25">
      <c r="A1441" s="74"/>
      <c r="B1441" s="45">
        <v>1177</v>
      </c>
      <c r="C1441" s="64" t="s">
        <v>1585</v>
      </c>
      <c r="D1441" s="74"/>
      <c r="E1441" s="208" t="s">
        <v>132</v>
      </c>
      <c r="F1441" s="209" t="s">
        <v>21</v>
      </c>
      <c r="G1441" s="209" t="s">
        <v>21</v>
      </c>
      <c r="H1441" s="209" t="s">
        <v>272</v>
      </c>
      <c r="I1441" s="210"/>
    </row>
    <row r="1442" spans="1:9" x14ac:dyDescent="0.25">
      <c r="A1442" s="74"/>
      <c r="B1442" s="45">
        <v>1178</v>
      </c>
      <c r="C1442" s="64" t="s">
        <v>1586</v>
      </c>
      <c r="D1442" s="74"/>
      <c r="E1442" s="208" t="s">
        <v>132</v>
      </c>
      <c r="F1442" s="209" t="s">
        <v>21</v>
      </c>
      <c r="G1442" s="209" t="s">
        <v>21</v>
      </c>
      <c r="H1442" s="209" t="s">
        <v>272</v>
      </c>
      <c r="I1442" s="210"/>
    </row>
    <row r="1443" spans="1:9" x14ac:dyDescent="0.25">
      <c r="A1443" s="74"/>
      <c r="B1443" s="45">
        <v>1179</v>
      </c>
      <c r="C1443" s="64" t="s">
        <v>1587</v>
      </c>
      <c r="D1443" s="74"/>
      <c r="E1443" s="208" t="s">
        <v>132</v>
      </c>
      <c r="F1443" s="209" t="s">
        <v>21</v>
      </c>
      <c r="G1443" s="209" t="s">
        <v>21</v>
      </c>
      <c r="H1443" s="209" t="s">
        <v>272</v>
      </c>
      <c r="I1443" s="210"/>
    </row>
    <row r="1444" spans="1:9" x14ac:dyDescent="0.25">
      <c r="A1444" s="74"/>
      <c r="B1444" s="45">
        <v>1176</v>
      </c>
      <c r="C1444" s="64" t="s">
        <v>1584</v>
      </c>
      <c r="D1444" s="74"/>
      <c r="E1444" s="208" t="s">
        <v>132</v>
      </c>
      <c r="F1444" s="209" t="s">
        <v>21</v>
      </c>
      <c r="G1444" s="209" t="s">
        <v>21</v>
      </c>
      <c r="H1444" s="209" t="s">
        <v>272</v>
      </c>
      <c r="I1444" s="210"/>
    </row>
    <row r="1445" spans="1:9" x14ac:dyDescent="0.25">
      <c r="A1445" s="74"/>
      <c r="B1445" s="45">
        <v>1180</v>
      </c>
      <c r="C1445" s="64" t="s">
        <v>1588</v>
      </c>
      <c r="D1445" s="74"/>
      <c r="E1445" s="208" t="s">
        <v>132</v>
      </c>
      <c r="F1445" s="209" t="s">
        <v>21</v>
      </c>
      <c r="G1445" s="209" t="s">
        <v>21</v>
      </c>
      <c r="H1445" s="209" t="s">
        <v>272</v>
      </c>
      <c r="I1445" s="210"/>
    </row>
    <row r="1446" spans="1:9" x14ac:dyDescent="0.25">
      <c r="A1446" s="74"/>
      <c r="B1446" s="45">
        <v>1181</v>
      </c>
      <c r="C1446" s="64" t="s">
        <v>1589</v>
      </c>
      <c r="D1446" s="74"/>
      <c r="E1446" s="208" t="s">
        <v>132</v>
      </c>
      <c r="F1446" s="209" t="s">
        <v>21</v>
      </c>
      <c r="G1446" s="209" t="s">
        <v>21</v>
      </c>
      <c r="H1446" s="209" t="s">
        <v>272</v>
      </c>
      <c r="I1446" s="210"/>
    </row>
    <row r="1447" spans="1:9" x14ac:dyDescent="0.25">
      <c r="A1447" s="74"/>
      <c r="B1447" s="45">
        <v>1182</v>
      </c>
      <c r="C1447" s="64" t="s">
        <v>1590</v>
      </c>
      <c r="D1447" s="74"/>
      <c r="E1447" s="208" t="s">
        <v>132</v>
      </c>
      <c r="F1447" s="209" t="s">
        <v>21</v>
      </c>
      <c r="G1447" s="209" t="s">
        <v>21</v>
      </c>
      <c r="H1447" s="209" t="s">
        <v>272</v>
      </c>
      <c r="I1447" s="210"/>
    </row>
    <row r="1448" spans="1:9" x14ac:dyDescent="0.25">
      <c r="A1448" s="74"/>
      <c r="B1448" s="45">
        <v>1183</v>
      </c>
      <c r="C1448" s="64" t="s">
        <v>1591</v>
      </c>
      <c r="D1448" s="74"/>
      <c r="E1448" s="208" t="s">
        <v>132</v>
      </c>
      <c r="F1448" s="209" t="s">
        <v>21</v>
      </c>
      <c r="G1448" s="209" t="s">
        <v>21</v>
      </c>
      <c r="H1448" s="209" t="s">
        <v>272</v>
      </c>
      <c r="I1448" s="210"/>
    </row>
    <row r="1449" spans="1:9" x14ac:dyDescent="0.25">
      <c r="A1449" s="74"/>
      <c r="B1449" s="45">
        <v>1184</v>
      </c>
      <c r="C1449" s="64" t="s">
        <v>1592</v>
      </c>
      <c r="D1449" s="74"/>
      <c r="E1449" s="208" t="s">
        <v>132</v>
      </c>
      <c r="F1449" s="209" t="s">
        <v>21</v>
      </c>
      <c r="G1449" s="209" t="s">
        <v>21</v>
      </c>
      <c r="H1449" s="209" t="s">
        <v>272</v>
      </c>
      <c r="I1449" s="210"/>
    </row>
    <row r="1450" spans="1:9" x14ac:dyDescent="0.25">
      <c r="A1450" s="74"/>
      <c r="B1450" s="45">
        <v>1185</v>
      </c>
      <c r="C1450" s="64" t="s">
        <v>1593</v>
      </c>
      <c r="D1450" s="74"/>
      <c r="E1450" s="208" t="s">
        <v>132</v>
      </c>
      <c r="F1450" s="209" t="s">
        <v>21</v>
      </c>
      <c r="G1450" s="209" t="s">
        <v>21</v>
      </c>
      <c r="H1450" s="209" t="s">
        <v>272</v>
      </c>
      <c r="I1450" s="210"/>
    </row>
    <row r="1451" spans="1:9" x14ac:dyDescent="0.25">
      <c r="A1451" s="74"/>
      <c r="B1451" s="45">
        <v>72</v>
      </c>
      <c r="C1451" s="64" t="s">
        <v>484</v>
      </c>
      <c r="D1451" s="74"/>
      <c r="E1451" s="208" t="s">
        <v>132</v>
      </c>
      <c r="F1451" s="209" t="s">
        <v>21</v>
      </c>
      <c r="G1451" s="209" t="s">
        <v>21</v>
      </c>
      <c r="H1451" s="209" t="s">
        <v>192</v>
      </c>
      <c r="I1451" s="210"/>
    </row>
    <row r="1452" spans="1:9" x14ac:dyDescent="0.25">
      <c r="A1452" s="74"/>
      <c r="B1452" s="45">
        <v>70</v>
      </c>
      <c r="C1452" s="64" t="s">
        <v>482</v>
      </c>
      <c r="D1452" s="74"/>
      <c r="E1452" s="208" t="s">
        <v>132</v>
      </c>
      <c r="F1452" s="209" t="s">
        <v>21</v>
      </c>
      <c r="G1452" s="209" t="s">
        <v>21</v>
      </c>
      <c r="H1452" s="209" t="s">
        <v>192</v>
      </c>
      <c r="I1452" s="210"/>
    </row>
    <row r="1453" spans="1:9" x14ac:dyDescent="0.25">
      <c r="A1453" s="74"/>
      <c r="B1453" s="45">
        <v>1177</v>
      </c>
      <c r="C1453" s="64" t="s">
        <v>1585</v>
      </c>
      <c r="D1453" s="74"/>
      <c r="E1453" s="208" t="s">
        <v>132</v>
      </c>
      <c r="F1453" s="209" t="s">
        <v>21</v>
      </c>
      <c r="G1453" s="209" t="s">
        <v>21</v>
      </c>
      <c r="H1453" s="209" t="s">
        <v>272</v>
      </c>
      <c r="I1453" s="210"/>
    </row>
    <row r="1454" spans="1:9" x14ac:dyDescent="0.25">
      <c r="A1454" s="74"/>
      <c r="B1454" s="45">
        <v>1178</v>
      </c>
      <c r="C1454" s="64" t="s">
        <v>1586</v>
      </c>
      <c r="D1454" s="74"/>
      <c r="E1454" s="208" t="s">
        <v>132</v>
      </c>
      <c r="F1454" s="209" t="s">
        <v>21</v>
      </c>
      <c r="G1454" s="209" t="s">
        <v>21</v>
      </c>
      <c r="H1454" s="209" t="s">
        <v>272</v>
      </c>
      <c r="I1454" s="210"/>
    </row>
    <row r="1455" spans="1:9" x14ac:dyDescent="0.25">
      <c r="A1455" s="74"/>
      <c r="B1455" s="45">
        <v>1179</v>
      </c>
      <c r="C1455" s="64" t="s">
        <v>1587</v>
      </c>
      <c r="D1455" s="74"/>
      <c r="E1455" s="208" t="s">
        <v>132</v>
      </c>
      <c r="F1455" s="209" t="s">
        <v>21</v>
      </c>
      <c r="G1455" s="209" t="s">
        <v>21</v>
      </c>
      <c r="H1455" s="209" t="s">
        <v>272</v>
      </c>
      <c r="I1455" s="210"/>
    </row>
    <row r="1456" spans="1:9" x14ac:dyDescent="0.25">
      <c r="A1456" s="74"/>
      <c r="B1456" s="45">
        <v>1176</v>
      </c>
      <c r="C1456" s="64" t="s">
        <v>1584</v>
      </c>
      <c r="D1456" s="74"/>
      <c r="E1456" s="208" t="s">
        <v>132</v>
      </c>
      <c r="F1456" s="209" t="s">
        <v>21</v>
      </c>
      <c r="G1456" s="209" t="s">
        <v>21</v>
      </c>
      <c r="H1456" s="209" t="s">
        <v>272</v>
      </c>
      <c r="I1456" s="210"/>
    </row>
    <row r="1457" spans="1:9" x14ac:dyDescent="0.25">
      <c r="A1457" s="74"/>
      <c r="B1457" s="45">
        <v>1180</v>
      </c>
      <c r="C1457" s="64" t="s">
        <v>1588</v>
      </c>
      <c r="D1457" s="74"/>
      <c r="E1457" s="208" t="s">
        <v>132</v>
      </c>
      <c r="F1457" s="209" t="s">
        <v>21</v>
      </c>
      <c r="G1457" s="209" t="s">
        <v>21</v>
      </c>
      <c r="H1457" s="209" t="s">
        <v>272</v>
      </c>
      <c r="I1457" s="210"/>
    </row>
    <row r="1458" spans="1:9" x14ac:dyDescent="0.25">
      <c r="A1458" s="74"/>
      <c r="B1458" s="45">
        <v>1181</v>
      </c>
      <c r="C1458" s="64" t="s">
        <v>1589</v>
      </c>
      <c r="D1458" s="74"/>
      <c r="E1458" s="208" t="s">
        <v>132</v>
      </c>
      <c r="F1458" s="209" t="s">
        <v>21</v>
      </c>
      <c r="G1458" s="209" t="s">
        <v>21</v>
      </c>
      <c r="H1458" s="209" t="s">
        <v>272</v>
      </c>
      <c r="I1458" s="210"/>
    </row>
    <row r="1459" spans="1:9" x14ac:dyDescent="0.25">
      <c r="A1459" s="74"/>
      <c r="B1459" s="45">
        <v>1182</v>
      </c>
      <c r="C1459" s="64" t="s">
        <v>1590</v>
      </c>
      <c r="D1459" s="74"/>
      <c r="E1459" s="208" t="s">
        <v>132</v>
      </c>
      <c r="F1459" s="209" t="s">
        <v>21</v>
      </c>
      <c r="G1459" s="209" t="s">
        <v>21</v>
      </c>
      <c r="H1459" s="209" t="s">
        <v>272</v>
      </c>
      <c r="I1459" s="210"/>
    </row>
    <row r="1460" spans="1:9" x14ac:dyDescent="0.25">
      <c r="A1460" s="74"/>
      <c r="B1460" s="45">
        <v>1183</v>
      </c>
      <c r="C1460" s="64" t="s">
        <v>1591</v>
      </c>
      <c r="D1460" s="74"/>
      <c r="E1460" s="208" t="s">
        <v>132</v>
      </c>
      <c r="F1460" s="209" t="s">
        <v>21</v>
      </c>
      <c r="G1460" s="209" t="s">
        <v>21</v>
      </c>
      <c r="H1460" s="209" t="s">
        <v>272</v>
      </c>
      <c r="I1460" s="210"/>
    </row>
    <row r="1461" spans="1:9" x14ac:dyDescent="0.25">
      <c r="A1461" s="74"/>
      <c r="B1461" s="45">
        <v>1184</v>
      </c>
      <c r="C1461" s="64" t="s">
        <v>1592</v>
      </c>
      <c r="D1461" s="74"/>
      <c r="E1461" s="208" t="s">
        <v>132</v>
      </c>
      <c r="F1461" s="209" t="s">
        <v>21</v>
      </c>
      <c r="G1461" s="209" t="s">
        <v>21</v>
      </c>
      <c r="H1461" s="209" t="s">
        <v>272</v>
      </c>
      <c r="I1461" s="210"/>
    </row>
    <row r="1462" spans="1:9" x14ac:dyDescent="0.25">
      <c r="A1462" s="74"/>
      <c r="B1462" s="45">
        <v>1185</v>
      </c>
      <c r="C1462" s="64" t="s">
        <v>1593</v>
      </c>
      <c r="D1462" s="74"/>
      <c r="E1462" s="208" t="s">
        <v>132</v>
      </c>
      <c r="F1462" s="209" t="s">
        <v>21</v>
      </c>
      <c r="G1462" s="209" t="s">
        <v>21</v>
      </c>
      <c r="H1462" s="209" t="s">
        <v>272</v>
      </c>
      <c r="I1462" s="210"/>
    </row>
    <row r="1463" spans="1:9" x14ac:dyDescent="0.25">
      <c r="A1463" s="74"/>
      <c r="B1463" s="45">
        <v>70</v>
      </c>
      <c r="C1463" s="64" t="s">
        <v>482</v>
      </c>
      <c r="D1463" s="74"/>
      <c r="E1463" s="208" t="s">
        <v>132</v>
      </c>
      <c r="F1463" s="209" t="s">
        <v>21</v>
      </c>
      <c r="G1463" s="209" t="s">
        <v>21</v>
      </c>
      <c r="H1463" s="209" t="s">
        <v>192</v>
      </c>
      <c r="I1463" s="210"/>
    </row>
    <row r="1464" spans="1:9" x14ac:dyDescent="0.25">
      <c r="A1464" s="74"/>
      <c r="B1464" s="45">
        <v>1186</v>
      </c>
      <c r="C1464" s="64" t="s">
        <v>1594</v>
      </c>
      <c r="D1464" s="74"/>
      <c r="E1464" s="208" t="s">
        <v>132</v>
      </c>
      <c r="F1464" s="209" t="s">
        <v>21</v>
      </c>
      <c r="G1464" s="209" t="s">
        <v>21</v>
      </c>
      <c r="H1464" s="209" t="s">
        <v>272</v>
      </c>
      <c r="I1464" s="210"/>
    </row>
    <row r="1465" spans="1:9" x14ac:dyDescent="0.25">
      <c r="A1465" s="74"/>
      <c r="B1465" s="45">
        <v>1187</v>
      </c>
      <c r="C1465" s="64" t="s">
        <v>1493</v>
      </c>
      <c r="D1465" s="74"/>
      <c r="E1465" s="208" t="s">
        <v>132</v>
      </c>
      <c r="F1465" s="209" t="s">
        <v>21</v>
      </c>
      <c r="G1465" s="209" t="s">
        <v>21</v>
      </c>
      <c r="H1465" s="209" t="s">
        <v>272</v>
      </c>
      <c r="I1465" s="210"/>
    </row>
    <row r="1466" spans="1:9" x14ac:dyDescent="0.25">
      <c r="A1466" s="74"/>
      <c r="B1466" s="45">
        <v>1188</v>
      </c>
      <c r="C1466" s="64" t="s">
        <v>1595</v>
      </c>
      <c r="D1466" s="74"/>
      <c r="E1466" s="208" t="s">
        <v>132</v>
      </c>
      <c r="F1466" s="209" t="s">
        <v>21</v>
      </c>
      <c r="G1466" s="209" t="s">
        <v>21</v>
      </c>
      <c r="H1466" s="209" t="s">
        <v>272</v>
      </c>
      <c r="I1466" s="210"/>
    </row>
    <row r="1467" spans="1:9" x14ac:dyDescent="0.25">
      <c r="A1467" s="74"/>
      <c r="B1467" s="45">
        <v>1189</v>
      </c>
      <c r="C1467" s="64" t="s">
        <v>1596</v>
      </c>
      <c r="D1467" s="74"/>
      <c r="E1467" s="208" t="s">
        <v>132</v>
      </c>
      <c r="F1467" s="209" t="s">
        <v>21</v>
      </c>
      <c r="G1467" s="209" t="s">
        <v>21</v>
      </c>
      <c r="H1467" s="209" t="s">
        <v>272</v>
      </c>
      <c r="I1467" s="210"/>
    </row>
    <row r="1468" spans="1:9" x14ac:dyDescent="0.25">
      <c r="A1468" s="74"/>
      <c r="B1468" s="45">
        <v>79</v>
      </c>
      <c r="C1468" s="64" t="s">
        <v>491</v>
      </c>
      <c r="D1468" s="74"/>
      <c r="E1468" s="208" t="s">
        <v>132</v>
      </c>
      <c r="F1468" s="209" t="s">
        <v>21</v>
      </c>
      <c r="G1468" s="209" t="s">
        <v>21</v>
      </c>
      <c r="H1468" s="209" t="s">
        <v>272</v>
      </c>
      <c r="I1468" s="210"/>
    </row>
    <row r="1469" spans="1:9" x14ac:dyDescent="0.25">
      <c r="A1469" s="74"/>
      <c r="B1469" s="45">
        <v>1188</v>
      </c>
      <c r="C1469" s="64" t="s">
        <v>1595</v>
      </c>
      <c r="D1469" s="74"/>
      <c r="E1469" s="208" t="s">
        <v>132</v>
      </c>
      <c r="F1469" s="209" t="s">
        <v>21</v>
      </c>
      <c r="G1469" s="209" t="s">
        <v>21</v>
      </c>
      <c r="H1469" s="209" t="s">
        <v>272</v>
      </c>
      <c r="I1469" s="210"/>
    </row>
    <row r="1470" spans="1:9" x14ac:dyDescent="0.25">
      <c r="A1470" s="74"/>
      <c r="B1470" s="45">
        <v>1189</v>
      </c>
      <c r="C1470" s="64" t="s">
        <v>1596</v>
      </c>
      <c r="D1470" s="74"/>
      <c r="E1470" s="208" t="s">
        <v>132</v>
      </c>
      <c r="F1470" s="209" t="s">
        <v>21</v>
      </c>
      <c r="G1470" s="209" t="s">
        <v>21</v>
      </c>
      <c r="H1470" s="209" t="s">
        <v>272</v>
      </c>
      <c r="I1470" s="210"/>
    </row>
    <row r="1471" spans="1:9" x14ac:dyDescent="0.25">
      <c r="A1471" s="74"/>
      <c r="B1471" s="45">
        <v>79</v>
      </c>
      <c r="C1471" s="64" t="s">
        <v>491</v>
      </c>
      <c r="D1471" s="74"/>
      <c r="E1471" s="208" t="s">
        <v>132</v>
      </c>
      <c r="F1471" s="209" t="s">
        <v>21</v>
      </c>
      <c r="G1471" s="209" t="s">
        <v>21</v>
      </c>
      <c r="H1471" s="209" t="s">
        <v>272</v>
      </c>
      <c r="I1471" s="210"/>
    </row>
    <row r="1472" spans="1:9" x14ac:dyDescent="0.25">
      <c r="A1472" s="74"/>
      <c r="B1472" s="45">
        <v>1188</v>
      </c>
      <c r="C1472" s="64" t="s">
        <v>1595</v>
      </c>
      <c r="D1472" s="74"/>
      <c r="E1472" s="208" t="s">
        <v>132</v>
      </c>
      <c r="F1472" s="209" t="s">
        <v>21</v>
      </c>
      <c r="G1472" s="209" t="s">
        <v>21</v>
      </c>
      <c r="H1472" s="209" t="s">
        <v>272</v>
      </c>
      <c r="I1472" s="210"/>
    </row>
    <row r="1473" spans="1:9" x14ac:dyDescent="0.25">
      <c r="A1473" s="74"/>
      <c r="B1473" s="45">
        <v>1189</v>
      </c>
      <c r="C1473" s="64" t="s">
        <v>1596</v>
      </c>
      <c r="D1473" s="74"/>
      <c r="E1473" s="208" t="s">
        <v>132</v>
      </c>
      <c r="F1473" s="209" t="s">
        <v>21</v>
      </c>
      <c r="G1473" s="209" t="s">
        <v>21</v>
      </c>
      <c r="H1473" s="209" t="s">
        <v>272</v>
      </c>
      <c r="I1473" s="210"/>
    </row>
    <row r="1474" spans="1:9" x14ac:dyDescent="0.25">
      <c r="A1474" s="74"/>
      <c r="B1474" s="45">
        <v>79</v>
      </c>
      <c r="C1474" s="64" t="s">
        <v>491</v>
      </c>
      <c r="D1474" s="74"/>
      <c r="E1474" s="208" t="s">
        <v>132</v>
      </c>
      <c r="F1474" s="209" t="s">
        <v>21</v>
      </c>
      <c r="G1474" s="209" t="s">
        <v>21</v>
      </c>
      <c r="H1474" s="209" t="s">
        <v>272</v>
      </c>
      <c r="I1474" s="210"/>
    </row>
    <row r="1475" spans="1:9" x14ac:dyDescent="0.25">
      <c r="A1475" s="74"/>
      <c r="B1475" s="45">
        <v>1188</v>
      </c>
      <c r="C1475" s="64" t="s">
        <v>1595</v>
      </c>
      <c r="D1475" s="74"/>
      <c r="E1475" s="208" t="s">
        <v>132</v>
      </c>
      <c r="F1475" s="209" t="s">
        <v>21</v>
      </c>
      <c r="G1475" s="209" t="s">
        <v>21</v>
      </c>
      <c r="H1475" s="209" t="s">
        <v>272</v>
      </c>
      <c r="I1475" s="210"/>
    </row>
    <row r="1476" spans="1:9" x14ac:dyDescent="0.25">
      <c r="A1476" s="74"/>
      <c r="B1476" s="45">
        <v>1189</v>
      </c>
      <c r="C1476" s="64" t="s">
        <v>1596</v>
      </c>
      <c r="D1476" s="74"/>
      <c r="E1476" s="208" t="s">
        <v>132</v>
      </c>
      <c r="F1476" s="209" t="s">
        <v>21</v>
      </c>
      <c r="G1476" s="209" t="s">
        <v>21</v>
      </c>
      <c r="H1476" s="209" t="s">
        <v>272</v>
      </c>
      <c r="I1476" s="210"/>
    </row>
    <row r="1477" spans="1:9" x14ac:dyDescent="0.25">
      <c r="A1477" s="74"/>
      <c r="B1477" s="45">
        <v>79</v>
      </c>
      <c r="C1477" s="64" t="s">
        <v>491</v>
      </c>
      <c r="D1477" s="74"/>
      <c r="E1477" s="208" t="s">
        <v>132</v>
      </c>
      <c r="F1477" s="209" t="s">
        <v>21</v>
      </c>
      <c r="G1477" s="209" t="s">
        <v>21</v>
      </c>
      <c r="H1477" s="209" t="s">
        <v>272</v>
      </c>
      <c r="I1477" s="210"/>
    </row>
    <row r="1478" spans="1:9" x14ac:dyDescent="0.25">
      <c r="A1478" s="74"/>
      <c r="B1478" s="45">
        <v>1188</v>
      </c>
      <c r="C1478" s="64" t="s">
        <v>1595</v>
      </c>
      <c r="D1478" s="74"/>
      <c r="E1478" s="208" t="s">
        <v>132</v>
      </c>
      <c r="F1478" s="209" t="s">
        <v>21</v>
      </c>
      <c r="G1478" s="209" t="s">
        <v>21</v>
      </c>
      <c r="H1478" s="209" t="s">
        <v>272</v>
      </c>
      <c r="I1478" s="210"/>
    </row>
    <row r="1479" spans="1:9" x14ac:dyDescent="0.25">
      <c r="A1479" s="74"/>
      <c r="B1479" s="45">
        <v>1189</v>
      </c>
      <c r="C1479" s="64" t="s">
        <v>1596</v>
      </c>
      <c r="D1479" s="74"/>
      <c r="E1479" s="208" t="s">
        <v>132</v>
      </c>
      <c r="F1479" s="209" t="s">
        <v>21</v>
      </c>
      <c r="G1479" s="209" t="s">
        <v>21</v>
      </c>
      <c r="H1479" s="209" t="s">
        <v>272</v>
      </c>
      <c r="I1479" s="210"/>
    </row>
    <row r="1480" spans="1:9" x14ac:dyDescent="0.25">
      <c r="A1480" s="74"/>
      <c r="B1480" s="45">
        <v>79</v>
      </c>
      <c r="C1480" s="64" t="s">
        <v>491</v>
      </c>
      <c r="D1480" s="74"/>
      <c r="E1480" s="208" t="s">
        <v>132</v>
      </c>
      <c r="F1480" s="209" t="s">
        <v>21</v>
      </c>
      <c r="G1480" s="209" t="s">
        <v>21</v>
      </c>
      <c r="H1480" s="209" t="s">
        <v>272</v>
      </c>
      <c r="I1480" s="210"/>
    </row>
    <row r="1481" spans="1:9" x14ac:dyDescent="0.25">
      <c r="A1481" s="74"/>
      <c r="B1481" s="45">
        <v>1190</v>
      </c>
      <c r="C1481" s="64" t="s">
        <v>1597</v>
      </c>
      <c r="D1481" s="74"/>
      <c r="E1481" s="208" t="s">
        <v>132</v>
      </c>
      <c r="F1481" s="209" t="s">
        <v>21</v>
      </c>
      <c r="G1481" s="209" t="s">
        <v>21</v>
      </c>
      <c r="H1481" s="209" t="s">
        <v>272</v>
      </c>
      <c r="I1481" s="210"/>
    </row>
    <row r="1482" spans="1:9" x14ac:dyDescent="0.25">
      <c r="A1482" s="74"/>
      <c r="B1482" s="45">
        <v>1191</v>
      </c>
      <c r="C1482" s="64" t="s">
        <v>1436</v>
      </c>
      <c r="D1482" s="74"/>
      <c r="E1482" s="208" t="s">
        <v>132</v>
      </c>
      <c r="F1482" s="209" t="s">
        <v>21</v>
      </c>
      <c r="G1482" s="209" t="s">
        <v>21</v>
      </c>
      <c r="H1482" s="209" t="s">
        <v>272</v>
      </c>
      <c r="I1482" s="210"/>
    </row>
    <row r="1483" spans="1:9" x14ac:dyDescent="0.25">
      <c r="A1483" s="74"/>
      <c r="B1483" s="45">
        <v>1192</v>
      </c>
      <c r="C1483" s="64" t="s">
        <v>1598</v>
      </c>
      <c r="D1483" s="74"/>
      <c r="E1483" s="208" t="s">
        <v>132</v>
      </c>
      <c r="F1483" s="209" t="s">
        <v>21</v>
      </c>
      <c r="G1483" s="209" t="s">
        <v>21</v>
      </c>
      <c r="H1483" s="209" t="s">
        <v>272</v>
      </c>
      <c r="I1483" s="210"/>
    </row>
    <row r="1484" spans="1:9" x14ac:dyDescent="0.25">
      <c r="A1484" s="74"/>
      <c r="B1484" s="45">
        <v>1193</v>
      </c>
      <c r="C1484" s="64" t="s">
        <v>1599</v>
      </c>
      <c r="D1484" s="74"/>
      <c r="E1484" s="208" t="s">
        <v>132</v>
      </c>
      <c r="F1484" s="209" t="s">
        <v>21</v>
      </c>
      <c r="G1484" s="209" t="s">
        <v>21</v>
      </c>
      <c r="H1484" s="209" t="s">
        <v>272</v>
      </c>
      <c r="I1484" s="210"/>
    </row>
    <row r="1485" spans="1:9" x14ac:dyDescent="0.25">
      <c r="A1485" s="74"/>
      <c r="B1485" s="45">
        <v>1190</v>
      </c>
      <c r="C1485" s="64" t="s">
        <v>1597</v>
      </c>
      <c r="D1485" s="74"/>
      <c r="E1485" s="208" t="s">
        <v>132</v>
      </c>
      <c r="F1485" s="209" t="s">
        <v>21</v>
      </c>
      <c r="G1485" s="209" t="s">
        <v>21</v>
      </c>
      <c r="H1485" s="209" t="s">
        <v>272</v>
      </c>
      <c r="I1485" s="210"/>
    </row>
    <row r="1486" spans="1:9" x14ac:dyDescent="0.25">
      <c r="A1486" s="74"/>
      <c r="B1486" s="45">
        <v>1191</v>
      </c>
      <c r="C1486" s="64" t="s">
        <v>1436</v>
      </c>
      <c r="D1486" s="74"/>
      <c r="E1486" s="208" t="s">
        <v>132</v>
      </c>
      <c r="F1486" s="209" t="s">
        <v>21</v>
      </c>
      <c r="G1486" s="209" t="s">
        <v>21</v>
      </c>
      <c r="H1486" s="209" t="s">
        <v>272</v>
      </c>
      <c r="I1486" s="210"/>
    </row>
    <row r="1487" spans="1:9" x14ac:dyDescent="0.25">
      <c r="A1487" s="74"/>
      <c r="B1487" s="45">
        <v>1192</v>
      </c>
      <c r="C1487" s="64" t="s">
        <v>1598</v>
      </c>
      <c r="D1487" s="74"/>
      <c r="E1487" s="208" t="s">
        <v>132</v>
      </c>
      <c r="F1487" s="209" t="s">
        <v>21</v>
      </c>
      <c r="G1487" s="209" t="s">
        <v>21</v>
      </c>
      <c r="H1487" s="209" t="s">
        <v>272</v>
      </c>
      <c r="I1487" s="210"/>
    </row>
    <row r="1488" spans="1:9" x14ac:dyDescent="0.25">
      <c r="A1488" s="74"/>
      <c r="B1488" s="45">
        <v>1193</v>
      </c>
      <c r="C1488" s="64" t="s">
        <v>1599</v>
      </c>
      <c r="D1488" s="74"/>
      <c r="E1488" s="208" t="s">
        <v>132</v>
      </c>
      <c r="F1488" s="209" t="s">
        <v>21</v>
      </c>
      <c r="G1488" s="209" t="s">
        <v>21</v>
      </c>
      <c r="H1488" s="209" t="s">
        <v>272</v>
      </c>
      <c r="I1488" s="210"/>
    </row>
    <row r="1489" spans="1:9" x14ac:dyDescent="0.25">
      <c r="A1489" s="74"/>
      <c r="B1489" s="45">
        <v>1190</v>
      </c>
      <c r="C1489" s="64" t="s">
        <v>1597</v>
      </c>
      <c r="D1489" s="74"/>
      <c r="E1489" s="208" t="s">
        <v>132</v>
      </c>
      <c r="F1489" s="209" t="s">
        <v>21</v>
      </c>
      <c r="G1489" s="209" t="s">
        <v>21</v>
      </c>
      <c r="H1489" s="209" t="s">
        <v>272</v>
      </c>
      <c r="I1489" s="210"/>
    </row>
    <row r="1490" spans="1:9" x14ac:dyDescent="0.25">
      <c r="A1490" s="74"/>
      <c r="B1490" s="45">
        <v>1191</v>
      </c>
      <c r="C1490" s="64" t="s">
        <v>1436</v>
      </c>
      <c r="D1490" s="74"/>
      <c r="E1490" s="208" t="s">
        <v>132</v>
      </c>
      <c r="F1490" s="209" t="s">
        <v>21</v>
      </c>
      <c r="G1490" s="209" t="s">
        <v>21</v>
      </c>
      <c r="H1490" s="209" t="s">
        <v>272</v>
      </c>
      <c r="I1490" s="210"/>
    </row>
    <row r="1491" spans="1:9" x14ac:dyDescent="0.25">
      <c r="A1491" s="74"/>
      <c r="B1491" s="45">
        <v>1192</v>
      </c>
      <c r="C1491" s="64" t="s">
        <v>1598</v>
      </c>
      <c r="D1491" s="74"/>
      <c r="E1491" s="208" t="s">
        <v>132</v>
      </c>
      <c r="F1491" s="209" t="s">
        <v>21</v>
      </c>
      <c r="G1491" s="209" t="s">
        <v>21</v>
      </c>
      <c r="H1491" s="209" t="s">
        <v>272</v>
      </c>
      <c r="I1491" s="210"/>
    </row>
    <row r="1492" spans="1:9" x14ac:dyDescent="0.25">
      <c r="A1492" s="74"/>
      <c r="B1492" s="45">
        <v>1193</v>
      </c>
      <c r="C1492" s="64" t="s">
        <v>1599</v>
      </c>
      <c r="D1492" s="74"/>
      <c r="E1492" s="208" t="s">
        <v>132</v>
      </c>
      <c r="F1492" s="209" t="s">
        <v>21</v>
      </c>
      <c r="G1492" s="209" t="s">
        <v>21</v>
      </c>
      <c r="H1492" s="209" t="s">
        <v>272</v>
      </c>
      <c r="I1492" s="210"/>
    </row>
    <row r="1493" spans="1:9" x14ac:dyDescent="0.25">
      <c r="A1493" s="74"/>
      <c r="B1493" s="45">
        <v>1190</v>
      </c>
      <c r="C1493" s="64" t="s">
        <v>1597</v>
      </c>
      <c r="D1493" s="74"/>
      <c r="E1493" s="208" t="s">
        <v>132</v>
      </c>
      <c r="F1493" s="209" t="s">
        <v>21</v>
      </c>
      <c r="G1493" s="209" t="s">
        <v>21</v>
      </c>
      <c r="H1493" s="209" t="s">
        <v>272</v>
      </c>
      <c r="I1493" s="210"/>
    </row>
    <row r="1494" spans="1:9" x14ac:dyDescent="0.25">
      <c r="A1494" s="74"/>
      <c r="B1494" s="45">
        <v>1191</v>
      </c>
      <c r="C1494" s="64" t="s">
        <v>1436</v>
      </c>
      <c r="D1494" s="74"/>
      <c r="E1494" s="208" t="s">
        <v>132</v>
      </c>
      <c r="F1494" s="209" t="s">
        <v>21</v>
      </c>
      <c r="G1494" s="209" t="s">
        <v>21</v>
      </c>
      <c r="H1494" s="209" t="s">
        <v>272</v>
      </c>
      <c r="I1494" s="210"/>
    </row>
    <row r="1495" spans="1:9" x14ac:dyDescent="0.25">
      <c r="A1495" s="74"/>
      <c r="B1495" s="45">
        <v>1192</v>
      </c>
      <c r="C1495" s="64" t="s">
        <v>1598</v>
      </c>
      <c r="D1495" s="74"/>
      <c r="E1495" s="208" t="s">
        <v>132</v>
      </c>
      <c r="F1495" s="209" t="s">
        <v>21</v>
      </c>
      <c r="G1495" s="209" t="s">
        <v>21</v>
      </c>
      <c r="H1495" s="209" t="s">
        <v>272</v>
      </c>
      <c r="I1495" s="210"/>
    </row>
    <row r="1496" spans="1:9" x14ac:dyDescent="0.25">
      <c r="A1496" s="74"/>
      <c r="B1496" s="45">
        <v>1193</v>
      </c>
      <c r="C1496" s="64" t="s">
        <v>1599</v>
      </c>
      <c r="D1496" s="74"/>
      <c r="E1496" s="208" t="s">
        <v>132</v>
      </c>
      <c r="F1496" s="209" t="s">
        <v>21</v>
      </c>
      <c r="G1496" s="209" t="s">
        <v>21</v>
      </c>
      <c r="H1496" s="209" t="s">
        <v>272</v>
      </c>
      <c r="I1496" s="210"/>
    </row>
    <row r="1497" spans="1:9" x14ac:dyDescent="0.25">
      <c r="A1497" s="74"/>
      <c r="B1497" s="45">
        <v>83</v>
      </c>
      <c r="C1497" s="64" t="s">
        <v>495</v>
      </c>
      <c r="D1497" s="74"/>
      <c r="E1497" s="208" t="s">
        <v>132</v>
      </c>
      <c r="F1497" s="209" t="s">
        <v>21</v>
      </c>
      <c r="G1497" s="209" t="s">
        <v>21</v>
      </c>
      <c r="H1497" s="209" t="s">
        <v>192</v>
      </c>
      <c r="I1497" s="210"/>
    </row>
    <row r="1498" spans="1:9" x14ac:dyDescent="0.25">
      <c r="A1498" s="74"/>
      <c r="B1498" s="45">
        <v>1194</v>
      </c>
      <c r="C1498" s="64" t="s">
        <v>1600</v>
      </c>
      <c r="D1498" s="74"/>
      <c r="E1498" s="208" t="s">
        <v>132</v>
      </c>
      <c r="F1498" s="209" t="s">
        <v>21</v>
      </c>
      <c r="G1498" s="209" t="s">
        <v>21</v>
      </c>
      <c r="H1498" s="209" t="s">
        <v>272</v>
      </c>
      <c r="I1498" s="210"/>
    </row>
    <row r="1499" spans="1:9" x14ac:dyDescent="0.25">
      <c r="A1499" s="74"/>
      <c r="B1499" s="45">
        <v>1194</v>
      </c>
      <c r="C1499" s="64" t="s">
        <v>1600</v>
      </c>
      <c r="D1499" s="74"/>
      <c r="E1499" s="208" t="s">
        <v>132</v>
      </c>
      <c r="F1499" s="209" t="s">
        <v>21</v>
      </c>
      <c r="G1499" s="209" t="s">
        <v>21</v>
      </c>
      <c r="H1499" s="209" t="s">
        <v>272</v>
      </c>
      <c r="I1499" s="210"/>
    </row>
    <row r="1500" spans="1:9" x14ac:dyDescent="0.25">
      <c r="A1500" s="74"/>
      <c r="B1500" s="45">
        <v>1195</v>
      </c>
      <c r="C1500" s="64" t="s">
        <v>1601</v>
      </c>
      <c r="D1500" s="74"/>
      <c r="E1500" s="208" t="s">
        <v>132</v>
      </c>
      <c r="F1500" s="209" t="s">
        <v>21</v>
      </c>
      <c r="G1500" s="209" t="s">
        <v>21</v>
      </c>
      <c r="H1500" s="209" t="s">
        <v>272</v>
      </c>
      <c r="I1500" s="210"/>
    </row>
    <row r="1501" spans="1:9" x14ac:dyDescent="0.25">
      <c r="A1501" s="74"/>
      <c r="B1501" s="45">
        <v>1196</v>
      </c>
      <c r="C1501" s="64" t="s">
        <v>1602</v>
      </c>
      <c r="D1501" s="74"/>
      <c r="E1501" s="208" t="s">
        <v>132</v>
      </c>
      <c r="F1501" s="209" t="s">
        <v>21</v>
      </c>
      <c r="G1501" s="209" t="s">
        <v>21</v>
      </c>
      <c r="H1501" s="209" t="s">
        <v>16</v>
      </c>
      <c r="I1501" s="210"/>
    </row>
    <row r="1502" spans="1:9" x14ac:dyDescent="0.25">
      <c r="A1502" s="74"/>
      <c r="B1502" s="45">
        <v>1197</v>
      </c>
      <c r="C1502" s="64" t="s">
        <v>1603</v>
      </c>
      <c r="D1502" s="74"/>
      <c r="E1502" s="208" t="s">
        <v>132</v>
      </c>
      <c r="F1502" s="209" t="s">
        <v>21</v>
      </c>
      <c r="G1502" s="209" t="s">
        <v>21</v>
      </c>
      <c r="H1502" s="209" t="s">
        <v>272</v>
      </c>
      <c r="I1502" s="210"/>
    </row>
    <row r="1503" spans="1:9" x14ac:dyDescent="0.25">
      <c r="A1503" s="74"/>
      <c r="B1503" s="45">
        <v>1198</v>
      </c>
      <c r="C1503" s="64" t="s">
        <v>1604</v>
      </c>
      <c r="D1503" s="74"/>
      <c r="E1503" s="208" t="s">
        <v>133</v>
      </c>
      <c r="F1503" s="209" t="s">
        <v>21</v>
      </c>
      <c r="G1503" s="209" t="s">
        <v>21</v>
      </c>
      <c r="H1503" s="209" t="s">
        <v>189</v>
      </c>
      <c r="I1503" s="210"/>
    </row>
    <row r="1504" spans="1:9" x14ac:dyDescent="0.25">
      <c r="A1504" s="74"/>
      <c r="B1504" s="45">
        <v>1199</v>
      </c>
      <c r="C1504" s="64" t="s">
        <v>1605</v>
      </c>
      <c r="D1504" s="74"/>
      <c r="E1504" s="208" t="s">
        <v>133</v>
      </c>
      <c r="F1504" s="209" t="s">
        <v>21</v>
      </c>
      <c r="G1504" s="209" t="s">
        <v>21</v>
      </c>
      <c r="H1504" s="209" t="s">
        <v>272</v>
      </c>
      <c r="I1504" s="210"/>
    </row>
    <row r="1505" spans="1:9" x14ac:dyDescent="0.25">
      <c r="A1505" s="74"/>
      <c r="B1505" s="45">
        <v>88</v>
      </c>
      <c r="C1505" s="64" t="s">
        <v>500</v>
      </c>
      <c r="D1505" s="74"/>
      <c r="E1505" s="208" t="s">
        <v>133</v>
      </c>
      <c r="F1505" s="209" t="s">
        <v>21</v>
      </c>
      <c r="G1505" s="209" t="s">
        <v>21</v>
      </c>
      <c r="H1505" s="209" t="s">
        <v>272</v>
      </c>
      <c r="I1505" s="210"/>
    </row>
    <row r="1506" spans="1:9" x14ac:dyDescent="0.25">
      <c r="A1506" s="74"/>
      <c r="B1506" s="45">
        <v>1200</v>
      </c>
      <c r="C1506" s="64" t="s">
        <v>1606</v>
      </c>
      <c r="D1506" s="74"/>
      <c r="E1506" s="208" t="s">
        <v>133</v>
      </c>
      <c r="F1506" s="209" t="s">
        <v>21</v>
      </c>
      <c r="G1506" s="209" t="s">
        <v>21</v>
      </c>
      <c r="H1506" s="209" t="s">
        <v>272</v>
      </c>
      <c r="I1506" s="210"/>
    </row>
    <row r="1507" spans="1:9" x14ac:dyDescent="0.25">
      <c r="A1507" s="74"/>
      <c r="B1507" s="45">
        <v>1201</v>
      </c>
      <c r="C1507" s="64" t="s">
        <v>1607</v>
      </c>
      <c r="D1507" s="74"/>
      <c r="E1507" s="208" t="s">
        <v>133</v>
      </c>
      <c r="F1507" s="209" t="s">
        <v>21</v>
      </c>
      <c r="G1507" s="209" t="s">
        <v>21</v>
      </c>
      <c r="H1507" s="209" t="s">
        <v>272</v>
      </c>
      <c r="I1507" s="210"/>
    </row>
    <row r="1508" spans="1:9" x14ac:dyDescent="0.25">
      <c r="A1508" s="74"/>
      <c r="B1508" s="45">
        <v>1202</v>
      </c>
      <c r="C1508" s="64" t="s">
        <v>1591</v>
      </c>
      <c r="D1508" s="74"/>
      <c r="E1508" s="208" t="s">
        <v>133</v>
      </c>
      <c r="F1508" s="209" t="s">
        <v>21</v>
      </c>
      <c r="G1508" s="209" t="s">
        <v>21</v>
      </c>
      <c r="H1508" s="209" t="s">
        <v>272</v>
      </c>
      <c r="I1508" s="210"/>
    </row>
    <row r="1509" spans="1:9" x14ac:dyDescent="0.25">
      <c r="A1509" s="74"/>
      <c r="B1509" s="45">
        <v>119</v>
      </c>
      <c r="C1509" s="64" t="s">
        <v>531</v>
      </c>
      <c r="D1509" s="74"/>
      <c r="E1509" s="208" t="s">
        <v>133</v>
      </c>
      <c r="F1509" s="209" t="s">
        <v>21</v>
      </c>
      <c r="G1509" s="209" t="s">
        <v>21</v>
      </c>
      <c r="H1509" s="209" t="s">
        <v>272</v>
      </c>
      <c r="I1509" s="210"/>
    </row>
    <row r="1510" spans="1:9" x14ac:dyDescent="0.25">
      <c r="A1510" s="74"/>
      <c r="B1510" s="45">
        <v>1203</v>
      </c>
      <c r="C1510" s="64" t="s">
        <v>1608</v>
      </c>
      <c r="D1510" s="74"/>
      <c r="E1510" s="208" t="s">
        <v>133</v>
      </c>
      <c r="F1510" s="209" t="s">
        <v>21</v>
      </c>
      <c r="G1510" s="209" t="s">
        <v>21</v>
      </c>
      <c r="H1510" s="209" t="s">
        <v>272</v>
      </c>
      <c r="I1510" s="210"/>
    </row>
    <row r="1511" spans="1:9" x14ac:dyDescent="0.25">
      <c r="A1511" s="74"/>
      <c r="B1511" s="45">
        <v>1204</v>
      </c>
      <c r="C1511" s="64" t="s">
        <v>1609</v>
      </c>
      <c r="D1511" s="74"/>
      <c r="E1511" s="208" t="s">
        <v>133</v>
      </c>
      <c r="F1511" s="209" t="s">
        <v>21</v>
      </c>
      <c r="G1511" s="209" t="s">
        <v>21</v>
      </c>
      <c r="H1511" s="209" t="s">
        <v>272</v>
      </c>
      <c r="I1511" s="210"/>
    </row>
    <row r="1512" spans="1:9" x14ac:dyDescent="0.25">
      <c r="A1512" s="74"/>
      <c r="B1512" s="45">
        <v>1205</v>
      </c>
      <c r="C1512" s="64" t="s">
        <v>1610</v>
      </c>
      <c r="D1512" s="74"/>
      <c r="E1512" s="208" t="s">
        <v>133</v>
      </c>
      <c r="F1512" s="209" t="s">
        <v>21</v>
      </c>
      <c r="G1512" s="209" t="s">
        <v>21</v>
      </c>
      <c r="H1512" s="209" t="s">
        <v>272</v>
      </c>
      <c r="I1512" s="210"/>
    </row>
    <row r="1513" spans="1:9" x14ac:dyDescent="0.25">
      <c r="A1513" s="74"/>
      <c r="B1513" s="45">
        <v>1206</v>
      </c>
      <c r="C1513" s="64" t="s">
        <v>1611</v>
      </c>
      <c r="D1513" s="74"/>
      <c r="E1513" s="208" t="s">
        <v>133</v>
      </c>
      <c r="F1513" s="209" t="s">
        <v>21</v>
      </c>
      <c r="G1513" s="209" t="s">
        <v>21</v>
      </c>
      <c r="H1513" s="209" t="s">
        <v>272</v>
      </c>
      <c r="I1513" s="210"/>
    </row>
    <row r="1514" spans="1:9" x14ac:dyDescent="0.25">
      <c r="A1514" s="74"/>
      <c r="B1514" s="45">
        <v>1207</v>
      </c>
      <c r="C1514" s="64" t="s">
        <v>1612</v>
      </c>
      <c r="D1514" s="74"/>
      <c r="E1514" s="208" t="s">
        <v>133</v>
      </c>
      <c r="F1514" s="209" t="s">
        <v>21</v>
      </c>
      <c r="G1514" s="209" t="s">
        <v>21</v>
      </c>
      <c r="H1514" s="209" t="s">
        <v>272</v>
      </c>
      <c r="I1514" s="210"/>
    </row>
    <row r="1515" spans="1:9" x14ac:dyDescent="0.25">
      <c r="A1515" s="74"/>
      <c r="B1515" s="45">
        <v>110</v>
      </c>
      <c r="C1515" s="64" t="s">
        <v>522</v>
      </c>
      <c r="D1515" s="74"/>
      <c r="E1515" s="208" t="s">
        <v>133</v>
      </c>
      <c r="F1515" s="209" t="s">
        <v>21</v>
      </c>
      <c r="G1515" s="209" t="s">
        <v>21</v>
      </c>
      <c r="H1515" s="209" t="s">
        <v>194</v>
      </c>
      <c r="I1515" s="210"/>
    </row>
    <row r="1516" spans="1:9" x14ac:dyDescent="0.25">
      <c r="A1516" s="74"/>
      <c r="B1516" s="45">
        <v>92</v>
      </c>
      <c r="C1516" s="64" t="s">
        <v>504</v>
      </c>
      <c r="D1516" s="74"/>
      <c r="E1516" s="208" t="s">
        <v>133</v>
      </c>
      <c r="F1516" s="209" t="s">
        <v>21</v>
      </c>
      <c r="G1516" s="209" t="s">
        <v>21</v>
      </c>
      <c r="H1516" s="209" t="s">
        <v>192</v>
      </c>
      <c r="I1516" s="210"/>
    </row>
    <row r="1517" spans="1:9" x14ac:dyDescent="0.25">
      <c r="A1517" s="74"/>
      <c r="B1517" s="45">
        <v>89</v>
      </c>
      <c r="C1517" s="64" t="s">
        <v>501</v>
      </c>
      <c r="D1517" s="74"/>
      <c r="E1517" s="208" t="s">
        <v>133</v>
      </c>
      <c r="F1517" s="209" t="s">
        <v>21</v>
      </c>
      <c r="G1517" s="209" t="s">
        <v>21</v>
      </c>
      <c r="H1517" s="209" t="s">
        <v>272</v>
      </c>
      <c r="I1517" s="210"/>
    </row>
    <row r="1518" spans="1:9" x14ac:dyDescent="0.25">
      <c r="A1518" s="74"/>
      <c r="B1518" s="45">
        <v>1208</v>
      </c>
      <c r="C1518" s="64" t="s">
        <v>1613</v>
      </c>
      <c r="D1518" s="74"/>
      <c r="E1518" s="208" t="s">
        <v>133</v>
      </c>
      <c r="F1518" s="209" t="s">
        <v>21</v>
      </c>
      <c r="G1518" s="209" t="s">
        <v>21</v>
      </c>
      <c r="H1518" s="209" t="s">
        <v>192</v>
      </c>
      <c r="I1518" s="210"/>
    </row>
    <row r="1519" spans="1:9" x14ac:dyDescent="0.25">
      <c r="A1519" s="74"/>
      <c r="B1519" s="45">
        <v>1209</v>
      </c>
      <c r="C1519" s="64" t="s">
        <v>1614</v>
      </c>
      <c r="D1519" s="74"/>
      <c r="E1519" s="208" t="s">
        <v>133</v>
      </c>
      <c r="F1519" s="209" t="s">
        <v>21</v>
      </c>
      <c r="G1519" s="209" t="s">
        <v>21</v>
      </c>
      <c r="H1519" s="209" t="s">
        <v>192</v>
      </c>
      <c r="I1519" s="210"/>
    </row>
    <row r="1520" spans="1:9" x14ac:dyDescent="0.25">
      <c r="A1520" s="74"/>
      <c r="B1520" s="45">
        <v>1210</v>
      </c>
      <c r="C1520" s="64" t="s">
        <v>1615</v>
      </c>
      <c r="D1520" s="74"/>
      <c r="E1520" s="208" t="s">
        <v>133</v>
      </c>
      <c r="F1520" s="209" t="s">
        <v>21</v>
      </c>
      <c r="G1520" s="209" t="s">
        <v>21</v>
      </c>
      <c r="H1520" s="209" t="s">
        <v>192</v>
      </c>
      <c r="I1520" s="210"/>
    </row>
    <row r="1521" spans="1:9" x14ac:dyDescent="0.25">
      <c r="A1521" s="74"/>
      <c r="B1521" s="45">
        <v>1200</v>
      </c>
      <c r="C1521" s="64" t="s">
        <v>1606</v>
      </c>
      <c r="D1521" s="74"/>
      <c r="E1521" s="208" t="s">
        <v>133</v>
      </c>
      <c r="F1521" s="209" t="s">
        <v>21</v>
      </c>
      <c r="G1521" s="209" t="s">
        <v>21</v>
      </c>
      <c r="H1521" s="209" t="s">
        <v>272</v>
      </c>
      <c r="I1521" s="210"/>
    </row>
    <row r="1522" spans="1:9" x14ac:dyDescent="0.25">
      <c r="A1522" s="74"/>
      <c r="B1522" s="45">
        <v>1201</v>
      </c>
      <c r="C1522" s="64" t="s">
        <v>1607</v>
      </c>
      <c r="D1522" s="74"/>
      <c r="E1522" s="208" t="s">
        <v>133</v>
      </c>
      <c r="F1522" s="209" t="s">
        <v>21</v>
      </c>
      <c r="G1522" s="209" t="s">
        <v>21</v>
      </c>
      <c r="H1522" s="209" t="s">
        <v>272</v>
      </c>
      <c r="I1522" s="210"/>
    </row>
    <row r="1523" spans="1:9" x14ac:dyDescent="0.25">
      <c r="A1523" s="74"/>
      <c r="B1523" s="45">
        <v>1202</v>
      </c>
      <c r="C1523" s="64" t="s">
        <v>1591</v>
      </c>
      <c r="D1523" s="74"/>
      <c r="E1523" s="208" t="s">
        <v>133</v>
      </c>
      <c r="F1523" s="209" t="s">
        <v>21</v>
      </c>
      <c r="G1523" s="209" t="s">
        <v>21</v>
      </c>
      <c r="H1523" s="209" t="s">
        <v>272</v>
      </c>
      <c r="I1523" s="210"/>
    </row>
    <row r="1524" spans="1:9" x14ac:dyDescent="0.25">
      <c r="A1524" s="74"/>
      <c r="B1524" s="45">
        <v>119</v>
      </c>
      <c r="C1524" s="64" t="s">
        <v>531</v>
      </c>
      <c r="D1524" s="74"/>
      <c r="E1524" s="208" t="s">
        <v>133</v>
      </c>
      <c r="F1524" s="209" t="s">
        <v>21</v>
      </c>
      <c r="G1524" s="209" t="s">
        <v>21</v>
      </c>
      <c r="H1524" s="209" t="s">
        <v>272</v>
      </c>
      <c r="I1524" s="210"/>
    </row>
    <row r="1525" spans="1:9" x14ac:dyDescent="0.25">
      <c r="A1525" s="74"/>
      <c r="B1525" s="45">
        <v>1203</v>
      </c>
      <c r="C1525" s="64" t="s">
        <v>1608</v>
      </c>
      <c r="D1525" s="74"/>
      <c r="E1525" s="208" t="s">
        <v>133</v>
      </c>
      <c r="F1525" s="209" t="s">
        <v>21</v>
      </c>
      <c r="G1525" s="209" t="s">
        <v>21</v>
      </c>
      <c r="H1525" s="209" t="s">
        <v>272</v>
      </c>
      <c r="I1525" s="210"/>
    </row>
    <row r="1526" spans="1:9" x14ac:dyDescent="0.25">
      <c r="A1526" s="74"/>
      <c r="B1526" s="45">
        <v>1204</v>
      </c>
      <c r="C1526" s="64" t="s">
        <v>1609</v>
      </c>
      <c r="D1526" s="74"/>
      <c r="E1526" s="208" t="s">
        <v>133</v>
      </c>
      <c r="F1526" s="209" t="s">
        <v>21</v>
      </c>
      <c r="G1526" s="209" t="s">
        <v>21</v>
      </c>
      <c r="H1526" s="209" t="s">
        <v>272</v>
      </c>
      <c r="I1526" s="210"/>
    </row>
    <row r="1527" spans="1:9" x14ac:dyDescent="0.25">
      <c r="A1527" s="74"/>
      <c r="B1527" s="45">
        <v>1205</v>
      </c>
      <c r="C1527" s="64" t="s">
        <v>1610</v>
      </c>
      <c r="D1527" s="74"/>
      <c r="E1527" s="208" t="s">
        <v>133</v>
      </c>
      <c r="F1527" s="209" t="s">
        <v>21</v>
      </c>
      <c r="G1527" s="209" t="s">
        <v>21</v>
      </c>
      <c r="H1527" s="209" t="s">
        <v>272</v>
      </c>
      <c r="I1527" s="210"/>
    </row>
    <row r="1528" spans="1:9" x14ac:dyDescent="0.25">
      <c r="A1528" s="74"/>
      <c r="B1528" s="45">
        <v>1206</v>
      </c>
      <c r="C1528" s="64" t="s">
        <v>1611</v>
      </c>
      <c r="D1528" s="74"/>
      <c r="E1528" s="208" t="s">
        <v>133</v>
      </c>
      <c r="F1528" s="209" t="s">
        <v>21</v>
      </c>
      <c r="G1528" s="209" t="s">
        <v>21</v>
      </c>
      <c r="H1528" s="209" t="s">
        <v>272</v>
      </c>
      <c r="I1528" s="210"/>
    </row>
    <row r="1529" spans="1:9" x14ac:dyDescent="0.25">
      <c r="A1529" s="74"/>
      <c r="B1529" s="45">
        <v>1207</v>
      </c>
      <c r="C1529" s="64" t="s">
        <v>1612</v>
      </c>
      <c r="D1529" s="74"/>
      <c r="E1529" s="208" t="s">
        <v>133</v>
      </c>
      <c r="F1529" s="209" t="s">
        <v>21</v>
      </c>
      <c r="G1529" s="209" t="s">
        <v>21</v>
      </c>
      <c r="H1529" s="209" t="s">
        <v>272</v>
      </c>
      <c r="I1529" s="210"/>
    </row>
    <row r="1530" spans="1:9" x14ac:dyDescent="0.25">
      <c r="A1530" s="74"/>
      <c r="B1530" s="45">
        <v>92</v>
      </c>
      <c r="C1530" s="64" t="s">
        <v>504</v>
      </c>
      <c r="D1530" s="74"/>
      <c r="E1530" s="208" t="s">
        <v>133</v>
      </c>
      <c r="F1530" s="209" t="s">
        <v>21</v>
      </c>
      <c r="G1530" s="209" t="s">
        <v>21</v>
      </c>
      <c r="H1530" s="209" t="s">
        <v>192</v>
      </c>
      <c r="I1530" s="210"/>
    </row>
    <row r="1531" spans="1:9" x14ac:dyDescent="0.25">
      <c r="A1531" s="74"/>
      <c r="B1531" s="45">
        <v>1208</v>
      </c>
      <c r="C1531" s="64" t="s">
        <v>1613</v>
      </c>
      <c r="D1531" s="74"/>
      <c r="E1531" s="208" t="s">
        <v>133</v>
      </c>
      <c r="F1531" s="209" t="s">
        <v>21</v>
      </c>
      <c r="G1531" s="209" t="s">
        <v>21</v>
      </c>
      <c r="H1531" s="209" t="s">
        <v>192</v>
      </c>
      <c r="I1531" s="210"/>
    </row>
    <row r="1532" spans="1:9" x14ac:dyDescent="0.25">
      <c r="A1532" s="74"/>
      <c r="B1532" s="45">
        <v>89</v>
      </c>
      <c r="C1532" s="64" t="s">
        <v>501</v>
      </c>
      <c r="D1532" s="74"/>
      <c r="E1532" s="208" t="s">
        <v>133</v>
      </c>
      <c r="F1532" s="209" t="s">
        <v>21</v>
      </c>
      <c r="G1532" s="209" t="s">
        <v>21</v>
      </c>
      <c r="H1532" s="209" t="s">
        <v>272</v>
      </c>
      <c r="I1532" s="210"/>
    </row>
    <row r="1533" spans="1:9" x14ac:dyDescent="0.25">
      <c r="A1533" s="74"/>
      <c r="B1533" s="45">
        <v>1209</v>
      </c>
      <c r="C1533" s="64" t="s">
        <v>1614</v>
      </c>
      <c r="D1533" s="74"/>
      <c r="E1533" s="208" t="s">
        <v>133</v>
      </c>
      <c r="F1533" s="209" t="s">
        <v>21</v>
      </c>
      <c r="G1533" s="209" t="s">
        <v>21</v>
      </c>
      <c r="H1533" s="209" t="s">
        <v>192</v>
      </c>
      <c r="I1533" s="210"/>
    </row>
    <row r="1534" spans="1:9" x14ac:dyDescent="0.25">
      <c r="A1534" s="74"/>
      <c r="B1534" s="45">
        <v>1210</v>
      </c>
      <c r="C1534" s="64" t="s">
        <v>1615</v>
      </c>
      <c r="D1534" s="74"/>
      <c r="E1534" s="208" t="s">
        <v>133</v>
      </c>
      <c r="F1534" s="209" t="s">
        <v>21</v>
      </c>
      <c r="G1534" s="209" t="s">
        <v>21</v>
      </c>
      <c r="H1534" s="209" t="s">
        <v>192</v>
      </c>
      <c r="I1534" s="210"/>
    </row>
    <row r="1535" spans="1:9" x14ac:dyDescent="0.25">
      <c r="A1535" s="74"/>
      <c r="B1535" s="45">
        <v>1200</v>
      </c>
      <c r="C1535" s="64" t="s">
        <v>1606</v>
      </c>
      <c r="D1535" s="74"/>
      <c r="E1535" s="208" t="s">
        <v>133</v>
      </c>
      <c r="F1535" s="209" t="s">
        <v>21</v>
      </c>
      <c r="G1535" s="209" t="s">
        <v>21</v>
      </c>
      <c r="H1535" s="209" t="s">
        <v>272</v>
      </c>
      <c r="I1535" s="210"/>
    </row>
    <row r="1536" spans="1:9" x14ac:dyDescent="0.25">
      <c r="A1536" s="74"/>
      <c r="B1536" s="45">
        <v>1201</v>
      </c>
      <c r="C1536" s="64" t="s">
        <v>1607</v>
      </c>
      <c r="D1536" s="74"/>
      <c r="E1536" s="208" t="s">
        <v>133</v>
      </c>
      <c r="F1536" s="209" t="s">
        <v>21</v>
      </c>
      <c r="G1536" s="209" t="s">
        <v>21</v>
      </c>
      <c r="H1536" s="209" t="s">
        <v>272</v>
      </c>
      <c r="I1536" s="210"/>
    </row>
    <row r="1537" spans="1:9" x14ac:dyDescent="0.25">
      <c r="A1537" s="74"/>
      <c r="B1537" s="45">
        <v>1202</v>
      </c>
      <c r="C1537" s="64" t="s">
        <v>1591</v>
      </c>
      <c r="D1537" s="74"/>
      <c r="E1537" s="208" t="s">
        <v>133</v>
      </c>
      <c r="F1537" s="209" t="s">
        <v>21</v>
      </c>
      <c r="G1537" s="209" t="s">
        <v>21</v>
      </c>
      <c r="H1537" s="209" t="s">
        <v>272</v>
      </c>
      <c r="I1537" s="210"/>
    </row>
    <row r="1538" spans="1:9" x14ac:dyDescent="0.25">
      <c r="A1538" s="74"/>
      <c r="B1538" s="45">
        <v>119</v>
      </c>
      <c r="C1538" s="64" t="s">
        <v>531</v>
      </c>
      <c r="D1538" s="74"/>
      <c r="E1538" s="208" t="s">
        <v>133</v>
      </c>
      <c r="F1538" s="209" t="s">
        <v>21</v>
      </c>
      <c r="G1538" s="209" t="s">
        <v>21</v>
      </c>
      <c r="H1538" s="209" t="s">
        <v>272</v>
      </c>
      <c r="I1538" s="210"/>
    </row>
    <row r="1539" spans="1:9" x14ac:dyDescent="0.25">
      <c r="A1539" s="74"/>
      <c r="B1539" s="45">
        <v>1203</v>
      </c>
      <c r="C1539" s="64" t="s">
        <v>1608</v>
      </c>
      <c r="D1539" s="74"/>
      <c r="E1539" s="208" t="s">
        <v>133</v>
      </c>
      <c r="F1539" s="209" t="s">
        <v>21</v>
      </c>
      <c r="G1539" s="209" t="s">
        <v>21</v>
      </c>
      <c r="H1539" s="209" t="s">
        <v>272</v>
      </c>
      <c r="I1539" s="210"/>
    </row>
    <row r="1540" spans="1:9" x14ac:dyDescent="0.25">
      <c r="A1540" s="74"/>
      <c r="B1540" s="45">
        <v>1204</v>
      </c>
      <c r="C1540" s="64" t="s">
        <v>1609</v>
      </c>
      <c r="D1540" s="74"/>
      <c r="E1540" s="208" t="s">
        <v>133</v>
      </c>
      <c r="F1540" s="209" t="s">
        <v>21</v>
      </c>
      <c r="G1540" s="209" t="s">
        <v>21</v>
      </c>
      <c r="H1540" s="209" t="s">
        <v>272</v>
      </c>
      <c r="I1540" s="210"/>
    </row>
    <row r="1541" spans="1:9" x14ac:dyDescent="0.25">
      <c r="A1541" s="74"/>
      <c r="B1541" s="45">
        <v>1205</v>
      </c>
      <c r="C1541" s="64" t="s">
        <v>1610</v>
      </c>
      <c r="D1541" s="74"/>
      <c r="E1541" s="208" t="s">
        <v>133</v>
      </c>
      <c r="F1541" s="209" t="s">
        <v>21</v>
      </c>
      <c r="G1541" s="209" t="s">
        <v>21</v>
      </c>
      <c r="H1541" s="209" t="s">
        <v>272</v>
      </c>
      <c r="I1541" s="210"/>
    </row>
    <row r="1542" spans="1:9" x14ac:dyDescent="0.25">
      <c r="A1542" s="74"/>
      <c r="B1542" s="45">
        <v>1206</v>
      </c>
      <c r="C1542" s="64" t="s">
        <v>1611</v>
      </c>
      <c r="D1542" s="74"/>
      <c r="E1542" s="208" t="s">
        <v>133</v>
      </c>
      <c r="F1542" s="209" t="s">
        <v>21</v>
      </c>
      <c r="G1542" s="209" t="s">
        <v>21</v>
      </c>
      <c r="H1542" s="209" t="s">
        <v>272</v>
      </c>
      <c r="I1542" s="210"/>
    </row>
    <row r="1543" spans="1:9" x14ac:dyDescent="0.25">
      <c r="A1543" s="74"/>
      <c r="B1543" s="45">
        <v>1207</v>
      </c>
      <c r="C1543" s="64" t="s">
        <v>1612</v>
      </c>
      <c r="D1543" s="74"/>
      <c r="E1543" s="208" t="s">
        <v>133</v>
      </c>
      <c r="F1543" s="209" t="s">
        <v>21</v>
      </c>
      <c r="G1543" s="209" t="s">
        <v>21</v>
      </c>
      <c r="H1543" s="209" t="s">
        <v>272</v>
      </c>
      <c r="I1543" s="210"/>
    </row>
    <row r="1544" spans="1:9" x14ac:dyDescent="0.25">
      <c r="A1544" s="74"/>
      <c r="B1544" s="45">
        <v>92</v>
      </c>
      <c r="C1544" s="64" t="s">
        <v>504</v>
      </c>
      <c r="D1544" s="74"/>
      <c r="E1544" s="208" t="s">
        <v>133</v>
      </c>
      <c r="F1544" s="209" t="s">
        <v>21</v>
      </c>
      <c r="G1544" s="209" t="s">
        <v>21</v>
      </c>
      <c r="H1544" s="209" t="s">
        <v>192</v>
      </c>
      <c r="I1544" s="210"/>
    </row>
    <row r="1545" spans="1:9" x14ac:dyDescent="0.25">
      <c r="A1545" s="74"/>
      <c r="B1545" s="45">
        <v>1208</v>
      </c>
      <c r="C1545" s="64" t="s">
        <v>1613</v>
      </c>
      <c r="D1545" s="74"/>
      <c r="E1545" s="208" t="s">
        <v>133</v>
      </c>
      <c r="F1545" s="209" t="s">
        <v>21</v>
      </c>
      <c r="G1545" s="209" t="s">
        <v>21</v>
      </c>
      <c r="H1545" s="209" t="s">
        <v>192</v>
      </c>
      <c r="I1545" s="210"/>
    </row>
    <row r="1546" spans="1:9" x14ac:dyDescent="0.25">
      <c r="A1546" s="74"/>
      <c r="B1546" s="45">
        <v>89</v>
      </c>
      <c r="C1546" s="64" t="s">
        <v>501</v>
      </c>
      <c r="D1546" s="74"/>
      <c r="E1546" s="208" t="s">
        <v>133</v>
      </c>
      <c r="F1546" s="209" t="s">
        <v>21</v>
      </c>
      <c r="G1546" s="209" t="s">
        <v>21</v>
      </c>
      <c r="H1546" s="209" t="s">
        <v>272</v>
      </c>
      <c r="I1546" s="210"/>
    </row>
    <row r="1547" spans="1:9" x14ac:dyDescent="0.25">
      <c r="A1547" s="74"/>
      <c r="B1547" s="45">
        <v>1209</v>
      </c>
      <c r="C1547" s="64" t="s">
        <v>1614</v>
      </c>
      <c r="D1547" s="74"/>
      <c r="E1547" s="208" t="s">
        <v>133</v>
      </c>
      <c r="F1547" s="209" t="s">
        <v>21</v>
      </c>
      <c r="G1547" s="209" t="s">
        <v>21</v>
      </c>
      <c r="H1547" s="209" t="s">
        <v>192</v>
      </c>
      <c r="I1547" s="210"/>
    </row>
    <row r="1548" spans="1:9" x14ac:dyDescent="0.25">
      <c r="A1548" s="74"/>
      <c r="B1548" s="45">
        <v>1210</v>
      </c>
      <c r="C1548" s="64" t="s">
        <v>1615</v>
      </c>
      <c r="D1548" s="74"/>
      <c r="E1548" s="208" t="s">
        <v>133</v>
      </c>
      <c r="F1548" s="209" t="s">
        <v>21</v>
      </c>
      <c r="G1548" s="209" t="s">
        <v>21</v>
      </c>
      <c r="H1548" s="209" t="s">
        <v>192</v>
      </c>
      <c r="I1548" s="210"/>
    </row>
    <row r="1549" spans="1:9" x14ac:dyDescent="0.25">
      <c r="A1549" s="74"/>
      <c r="B1549" s="45">
        <v>1200</v>
      </c>
      <c r="C1549" s="64" t="s">
        <v>1606</v>
      </c>
      <c r="D1549" s="74"/>
      <c r="E1549" s="208" t="s">
        <v>133</v>
      </c>
      <c r="F1549" s="209" t="s">
        <v>21</v>
      </c>
      <c r="G1549" s="209" t="s">
        <v>21</v>
      </c>
      <c r="H1549" s="209" t="s">
        <v>272</v>
      </c>
      <c r="I1549" s="210"/>
    </row>
    <row r="1550" spans="1:9" x14ac:dyDescent="0.25">
      <c r="A1550" s="74"/>
      <c r="B1550" s="45">
        <v>1201</v>
      </c>
      <c r="C1550" s="64" t="s">
        <v>1607</v>
      </c>
      <c r="D1550" s="74"/>
      <c r="E1550" s="208" t="s">
        <v>133</v>
      </c>
      <c r="F1550" s="209" t="s">
        <v>21</v>
      </c>
      <c r="G1550" s="209" t="s">
        <v>21</v>
      </c>
      <c r="H1550" s="209" t="s">
        <v>272</v>
      </c>
      <c r="I1550" s="210"/>
    </row>
    <row r="1551" spans="1:9" x14ac:dyDescent="0.25">
      <c r="A1551" s="74"/>
      <c r="B1551" s="45">
        <v>1202</v>
      </c>
      <c r="C1551" s="64" t="s">
        <v>1591</v>
      </c>
      <c r="D1551" s="74"/>
      <c r="E1551" s="208" t="s">
        <v>133</v>
      </c>
      <c r="F1551" s="209" t="s">
        <v>21</v>
      </c>
      <c r="G1551" s="209" t="s">
        <v>21</v>
      </c>
      <c r="H1551" s="209" t="s">
        <v>272</v>
      </c>
      <c r="I1551" s="210"/>
    </row>
    <row r="1552" spans="1:9" x14ac:dyDescent="0.25">
      <c r="A1552" s="74"/>
      <c r="B1552" s="45">
        <v>119</v>
      </c>
      <c r="C1552" s="64" t="s">
        <v>531</v>
      </c>
      <c r="D1552" s="74"/>
      <c r="E1552" s="208" t="s">
        <v>133</v>
      </c>
      <c r="F1552" s="209" t="s">
        <v>21</v>
      </c>
      <c r="G1552" s="209" t="s">
        <v>21</v>
      </c>
      <c r="H1552" s="209" t="s">
        <v>272</v>
      </c>
      <c r="I1552" s="210"/>
    </row>
    <row r="1553" spans="1:9" x14ac:dyDescent="0.25">
      <c r="A1553" s="74"/>
      <c r="B1553" s="45">
        <v>1203</v>
      </c>
      <c r="C1553" s="64" t="s">
        <v>1608</v>
      </c>
      <c r="D1553" s="74"/>
      <c r="E1553" s="208" t="s">
        <v>133</v>
      </c>
      <c r="F1553" s="209" t="s">
        <v>21</v>
      </c>
      <c r="G1553" s="209" t="s">
        <v>21</v>
      </c>
      <c r="H1553" s="209" t="s">
        <v>272</v>
      </c>
      <c r="I1553" s="210"/>
    </row>
    <row r="1554" spans="1:9" x14ac:dyDescent="0.25">
      <c r="A1554" s="74"/>
      <c r="B1554" s="45">
        <v>1204</v>
      </c>
      <c r="C1554" s="64" t="s">
        <v>1609</v>
      </c>
      <c r="D1554" s="74"/>
      <c r="E1554" s="208" t="s">
        <v>133</v>
      </c>
      <c r="F1554" s="209" t="s">
        <v>21</v>
      </c>
      <c r="G1554" s="209" t="s">
        <v>21</v>
      </c>
      <c r="H1554" s="209" t="s">
        <v>272</v>
      </c>
      <c r="I1554" s="210"/>
    </row>
    <row r="1555" spans="1:9" x14ac:dyDescent="0.25">
      <c r="A1555" s="74"/>
      <c r="B1555" s="45">
        <v>1205</v>
      </c>
      <c r="C1555" s="64" t="s">
        <v>1610</v>
      </c>
      <c r="D1555" s="74"/>
      <c r="E1555" s="208" t="s">
        <v>133</v>
      </c>
      <c r="F1555" s="209" t="s">
        <v>21</v>
      </c>
      <c r="G1555" s="209" t="s">
        <v>21</v>
      </c>
      <c r="H1555" s="209" t="s">
        <v>272</v>
      </c>
      <c r="I1555" s="210"/>
    </row>
    <row r="1556" spans="1:9" x14ac:dyDescent="0.25">
      <c r="A1556" s="74"/>
      <c r="B1556" s="45">
        <v>1206</v>
      </c>
      <c r="C1556" s="64" t="s">
        <v>1611</v>
      </c>
      <c r="D1556" s="74"/>
      <c r="E1556" s="208" t="s">
        <v>133</v>
      </c>
      <c r="F1556" s="209" t="s">
        <v>21</v>
      </c>
      <c r="G1556" s="209" t="s">
        <v>21</v>
      </c>
      <c r="H1556" s="209" t="s">
        <v>272</v>
      </c>
      <c r="I1556" s="210"/>
    </row>
    <row r="1557" spans="1:9" x14ac:dyDescent="0.25">
      <c r="A1557" s="74"/>
      <c r="B1557" s="45">
        <v>1207</v>
      </c>
      <c r="C1557" s="64" t="s">
        <v>1612</v>
      </c>
      <c r="D1557" s="74"/>
      <c r="E1557" s="208" t="s">
        <v>133</v>
      </c>
      <c r="F1557" s="209" t="s">
        <v>21</v>
      </c>
      <c r="G1557" s="209" t="s">
        <v>21</v>
      </c>
      <c r="H1557" s="209" t="s">
        <v>272</v>
      </c>
      <c r="I1557" s="210"/>
    </row>
    <row r="1558" spans="1:9" x14ac:dyDescent="0.25">
      <c r="A1558" s="74"/>
      <c r="B1558" s="45">
        <v>92</v>
      </c>
      <c r="C1558" s="64" t="s">
        <v>504</v>
      </c>
      <c r="D1558" s="74"/>
      <c r="E1558" s="208" t="s">
        <v>133</v>
      </c>
      <c r="F1558" s="209" t="s">
        <v>21</v>
      </c>
      <c r="G1558" s="209" t="s">
        <v>21</v>
      </c>
      <c r="H1558" s="209" t="s">
        <v>192</v>
      </c>
      <c r="I1558" s="210"/>
    </row>
    <row r="1559" spans="1:9" x14ac:dyDescent="0.25">
      <c r="A1559" s="74"/>
      <c r="B1559" s="45">
        <v>1208</v>
      </c>
      <c r="C1559" s="64" t="s">
        <v>1613</v>
      </c>
      <c r="D1559" s="74"/>
      <c r="E1559" s="208" t="s">
        <v>133</v>
      </c>
      <c r="F1559" s="209" t="s">
        <v>21</v>
      </c>
      <c r="G1559" s="209" t="s">
        <v>21</v>
      </c>
      <c r="H1559" s="209" t="s">
        <v>192</v>
      </c>
      <c r="I1559" s="210"/>
    </row>
    <row r="1560" spans="1:9" x14ac:dyDescent="0.25">
      <c r="A1560" s="74"/>
      <c r="B1560" s="45">
        <v>89</v>
      </c>
      <c r="C1560" s="64" t="s">
        <v>501</v>
      </c>
      <c r="D1560" s="74"/>
      <c r="E1560" s="208" t="s">
        <v>133</v>
      </c>
      <c r="F1560" s="209" t="s">
        <v>21</v>
      </c>
      <c r="G1560" s="209" t="s">
        <v>21</v>
      </c>
      <c r="H1560" s="209" t="s">
        <v>272</v>
      </c>
      <c r="I1560" s="210"/>
    </row>
    <row r="1561" spans="1:9" x14ac:dyDescent="0.25">
      <c r="A1561" s="74"/>
      <c r="B1561" s="45">
        <v>1209</v>
      </c>
      <c r="C1561" s="64" t="s">
        <v>1614</v>
      </c>
      <c r="D1561" s="74"/>
      <c r="E1561" s="208" t="s">
        <v>133</v>
      </c>
      <c r="F1561" s="209" t="s">
        <v>21</v>
      </c>
      <c r="G1561" s="209" t="s">
        <v>21</v>
      </c>
      <c r="H1561" s="209" t="s">
        <v>192</v>
      </c>
      <c r="I1561" s="210"/>
    </row>
    <row r="1562" spans="1:9" x14ac:dyDescent="0.25">
      <c r="A1562" s="74"/>
      <c r="B1562" s="45">
        <v>1210</v>
      </c>
      <c r="C1562" s="64" t="s">
        <v>1615</v>
      </c>
      <c r="D1562" s="74"/>
      <c r="E1562" s="208" t="s">
        <v>133</v>
      </c>
      <c r="F1562" s="209" t="s">
        <v>21</v>
      </c>
      <c r="G1562" s="209" t="s">
        <v>21</v>
      </c>
      <c r="H1562" s="209" t="s">
        <v>192</v>
      </c>
      <c r="I1562" s="210"/>
    </row>
    <row r="1563" spans="1:9" x14ac:dyDescent="0.25">
      <c r="A1563" s="74"/>
      <c r="B1563" s="45">
        <v>108</v>
      </c>
      <c r="C1563" s="64" t="s">
        <v>520</v>
      </c>
      <c r="D1563" s="74"/>
      <c r="E1563" s="208" t="s">
        <v>132</v>
      </c>
      <c r="F1563" s="209" t="s">
        <v>21</v>
      </c>
      <c r="G1563" s="209" t="s">
        <v>21</v>
      </c>
      <c r="H1563" s="209" t="s">
        <v>192</v>
      </c>
      <c r="I1563" s="210"/>
    </row>
    <row r="1564" spans="1:9" x14ac:dyDescent="0.25">
      <c r="A1564" s="74"/>
      <c r="B1564" s="45">
        <v>83</v>
      </c>
      <c r="C1564" s="64" t="s">
        <v>495</v>
      </c>
      <c r="D1564" s="74"/>
      <c r="E1564" s="208" t="s">
        <v>132</v>
      </c>
      <c r="F1564" s="209" t="s">
        <v>21</v>
      </c>
      <c r="G1564" s="209" t="s">
        <v>21</v>
      </c>
      <c r="H1564" s="209" t="s">
        <v>192</v>
      </c>
      <c r="I1564" s="210"/>
    </row>
    <row r="1565" spans="1:9" x14ac:dyDescent="0.25">
      <c r="A1565" s="74"/>
      <c r="B1565" s="45">
        <v>82</v>
      </c>
      <c r="C1565" s="64" t="s">
        <v>494</v>
      </c>
      <c r="D1565" s="74"/>
      <c r="E1565" s="208" t="s">
        <v>132</v>
      </c>
      <c r="F1565" s="209" t="s">
        <v>21</v>
      </c>
      <c r="G1565" s="209" t="s">
        <v>21</v>
      </c>
      <c r="H1565" s="209" t="s">
        <v>192</v>
      </c>
      <c r="I1565" s="210"/>
    </row>
    <row r="1566" spans="1:9" x14ac:dyDescent="0.25">
      <c r="A1566" s="74"/>
      <c r="B1566" s="45">
        <v>64</v>
      </c>
      <c r="C1566" s="64" t="s">
        <v>476</v>
      </c>
      <c r="D1566" s="74"/>
      <c r="E1566" s="208" t="s">
        <v>132</v>
      </c>
      <c r="F1566" s="209" t="s">
        <v>21</v>
      </c>
      <c r="G1566" s="209" t="s">
        <v>21</v>
      </c>
      <c r="H1566" s="209" t="s">
        <v>189</v>
      </c>
      <c r="I1566" s="210"/>
    </row>
    <row r="1567" spans="1:9" x14ac:dyDescent="0.25">
      <c r="A1567" s="74"/>
      <c r="B1567" s="45">
        <v>81</v>
      </c>
      <c r="C1567" s="64" t="s">
        <v>493</v>
      </c>
      <c r="D1567" s="74"/>
      <c r="E1567" s="208" t="s">
        <v>132</v>
      </c>
      <c r="F1567" s="209" t="s">
        <v>21</v>
      </c>
      <c r="G1567" s="209" t="s">
        <v>21</v>
      </c>
      <c r="H1567" s="209" t="s">
        <v>192</v>
      </c>
      <c r="I1567" s="210"/>
    </row>
    <row r="1568" spans="1:9" x14ac:dyDescent="0.25">
      <c r="A1568" s="74"/>
      <c r="B1568" s="45">
        <v>84</v>
      </c>
      <c r="C1568" s="64" t="s">
        <v>496</v>
      </c>
      <c r="D1568" s="74"/>
      <c r="E1568" s="208" t="s">
        <v>132</v>
      </c>
      <c r="F1568" s="209" t="s">
        <v>21</v>
      </c>
      <c r="G1568" s="209" t="s">
        <v>21</v>
      </c>
      <c r="H1568" s="209" t="s">
        <v>192</v>
      </c>
      <c r="I1568" s="210"/>
    </row>
    <row r="1569" spans="1:9" x14ac:dyDescent="0.25">
      <c r="A1569" s="74"/>
      <c r="B1569" s="45">
        <v>87</v>
      </c>
      <c r="C1569" s="64" t="s">
        <v>499</v>
      </c>
      <c r="D1569" s="74"/>
      <c r="E1569" s="208" t="s">
        <v>132</v>
      </c>
      <c r="F1569" s="209" t="s">
        <v>21</v>
      </c>
      <c r="G1569" s="209" t="s">
        <v>21</v>
      </c>
      <c r="H1569" s="209" t="s">
        <v>192</v>
      </c>
      <c r="I1569" s="210"/>
    </row>
    <row r="1570" spans="1:9" x14ac:dyDescent="0.25">
      <c r="A1570" s="74"/>
      <c r="B1570" s="45">
        <v>1196</v>
      </c>
      <c r="C1570" s="64" t="s">
        <v>1602</v>
      </c>
      <c r="D1570" s="74"/>
      <c r="E1570" s="208" t="s">
        <v>132</v>
      </c>
      <c r="F1570" s="209" t="s">
        <v>21</v>
      </c>
      <c r="G1570" s="209" t="s">
        <v>21</v>
      </c>
      <c r="H1570" s="209" t="s">
        <v>16</v>
      </c>
      <c r="I1570" s="210"/>
    </row>
    <row r="1571" spans="1:9" x14ac:dyDescent="0.25">
      <c r="A1571" s="74"/>
      <c r="B1571" s="45">
        <v>96</v>
      </c>
      <c r="C1571" s="64" t="s">
        <v>508</v>
      </c>
      <c r="D1571" s="74"/>
      <c r="E1571" s="208" t="s">
        <v>132</v>
      </c>
      <c r="F1571" s="209" t="s">
        <v>21</v>
      </c>
      <c r="G1571" s="209" t="s">
        <v>21</v>
      </c>
      <c r="H1571" s="209" t="s">
        <v>198</v>
      </c>
      <c r="I1571" s="210"/>
    </row>
    <row r="1572" spans="1:9" x14ac:dyDescent="0.25">
      <c r="A1572" s="74"/>
      <c r="B1572" s="45">
        <v>61</v>
      </c>
      <c r="C1572" s="64" t="s">
        <v>473</v>
      </c>
      <c r="D1572" s="74"/>
      <c r="E1572" s="208" t="s">
        <v>132</v>
      </c>
      <c r="F1572" s="209" t="s">
        <v>21</v>
      </c>
      <c r="G1572" s="209" t="s">
        <v>21</v>
      </c>
      <c r="H1572" s="209" t="s">
        <v>194</v>
      </c>
      <c r="I1572" s="210"/>
    </row>
    <row r="1573" spans="1:9" x14ac:dyDescent="0.25">
      <c r="A1573" s="74"/>
      <c r="B1573" s="45">
        <v>107</v>
      </c>
      <c r="C1573" s="64" t="s">
        <v>519</v>
      </c>
      <c r="D1573" s="74"/>
      <c r="E1573" s="208" t="s">
        <v>132</v>
      </c>
      <c r="F1573" s="209" t="s">
        <v>21</v>
      </c>
      <c r="G1573" s="209" t="s">
        <v>21</v>
      </c>
      <c r="H1573" s="209" t="s">
        <v>192</v>
      </c>
      <c r="I1573" s="210"/>
    </row>
    <row r="1574" spans="1:9" x14ac:dyDescent="0.25">
      <c r="A1574" s="74"/>
      <c r="B1574" s="45">
        <v>71</v>
      </c>
      <c r="C1574" s="64" t="s">
        <v>483</v>
      </c>
      <c r="D1574" s="74"/>
      <c r="E1574" s="208" t="s">
        <v>132</v>
      </c>
      <c r="F1574" s="209" t="s">
        <v>21</v>
      </c>
      <c r="G1574" s="209" t="s">
        <v>21</v>
      </c>
      <c r="H1574" s="209" t="s">
        <v>192</v>
      </c>
      <c r="I1574" s="210"/>
    </row>
    <row r="1575" spans="1:9" x14ac:dyDescent="0.25">
      <c r="A1575" s="74"/>
      <c r="B1575" s="45">
        <v>124</v>
      </c>
      <c r="C1575" s="64" t="s">
        <v>536</v>
      </c>
      <c r="D1575" s="74"/>
      <c r="E1575" s="208" t="s">
        <v>133</v>
      </c>
      <c r="F1575" s="209" t="s">
        <v>21</v>
      </c>
      <c r="G1575" s="209" t="s">
        <v>21</v>
      </c>
      <c r="H1575" s="209" t="s">
        <v>192</v>
      </c>
      <c r="I1575" s="210"/>
    </row>
    <row r="1576" spans="1:9" x14ac:dyDescent="0.25">
      <c r="A1576" s="74"/>
      <c r="B1576" s="45">
        <v>127</v>
      </c>
      <c r="C1576" s="64" t="s">
        <v>539</v>
      </c>
      <c r="D1576" s="74"/>
      <c r="E1576" s="208" t="s">
        <v>133</v>
      </c>
      <c r="F1576" s="209" t="s">
        <v>21</v>
      </c>
      <c r="G1576" s="209" t="s">
        <v>21</v>
      </c>
      <c r="H1576" s="209" t="s">
        <v>192</v>
      </c>
      <c r="I1576" s="210"/>
    </row>
    <row r="1577" spans="1:9" x14ac:dyDescent="0.25">
      <c r="A1577" s="74"/>
      <c r="B1577" s="45">
        <v>133</v>
      </c>
      <c r="C1577" s="64" t="s">
        <v>545</v>
      </c>
      <c r="D1577" s="74"/>
      <c r="E1577" s="208" t="s">
        <v>133</v>
      </c>
      <c r="F1577" s="209" t="s">
        <v>21</v>
      </c>
      <c r="G1577" s="209" t="s">
        <v>21</v>
      </c>
      <c r="H1577" s="209" t="s">
        <v>272</v>
      </c>
      <c r="I1577" s="210"/>
    </row>
    <row r="1578" spans="1:9" x14ac:dyDescent="0.25">
      <c r="A1578" s="74"/>
      <c r="B1578" s="45">
        <v>92</v>
      </c>
      <c r="C1578" s="64" t="s">
        <v>504</v>
      </c>
      <c r="D1578" s="74"/>
      <c r="E1578" s="208" t="s">
        <v>133</v>
      </c>
      <c r="F1578" s="209" t="s">
        <v>21</v>
      </c>
      <c r="G1578" s="209" t="s">
        <v>21</v>
      </c>
      <c r="H1578" s="209" t="s">
        <v>192</v>
      </c>
      <c r="I1578" s="210"/>
    </row>
    <row r="1579" spans="1:9" x14ac:dyDescent="0.25">
      <c r="A1579" s="74"/>
      <c r="B1579" s="45">
        <v>116</v>
      </c>
      <c r="C1579" s="64" t="s">
        <v>528</v>
      </c>
      <c r="D1579" s="74"/>
      <c r="E1579" s="208" t="s">
        <v>133</v>
      </c>
      <c r="F1579" s="209" t="s">
        <v>21</v>
      </c>
      <c r="G1579" s="209" t="s">
        <v>21</v>
      </c>
      <c r="H1579" s="209" t="s">
        <v>192</v>
      </c>
      <c r="I1579" s="210"/>
    </row>
    <row r="1580" spans="1:9" x14ac:dyDescent="0.25">
      <c r="A1580" s="74"/>
      <c r="B1580" s="45">
        <v>91</v>
      </c>
      <c r="C1580" s="64" t="s">
        <v>503</v>
      </c>
      <c r="D1580" s="74"/>
      <c r="E1580" s="208" t="s">
        <v>133</v>
      </c>
      <c r="F1580" s="209" t="s">
        <v>21</v>
      </c>
      <c r="G1580" s="209" t="s">
        <v>21</v>
      </c>
      <c r="H1580" s="209" t="s">
        <v>192</v>
      </c>
      <c r="I1580" s="210"/>
    </row>
    <row r="1581" spans="1:9" x14ac:dyDescent="0.25">
      <c r="A1581" s="74"/>
      <c r="B1581" s="45">
        <v>121</v>
      </c>
      <c r="C1581" s="64" t="s">
        <v>533</v>
      </c>
      <c r="D1581" s="74"/>
      <c r="E1581" s="208" t="s">
        <v>133</v>
      </c>
      <c r="F1581" s="209" t="s">
        <v>21</v>
      </c>
      <c r="G1581" s="209" t="s">
        <v>21</v>
      </c>
      <c r="H1581" s="209" t="s">
        <v>192</v>
      </c>
      <c r="I1581" s="210"/>
    </row>
    <row r="1582" spans="1:9" x14ac:dyDescent="0.25">
      <c r="A1582" s="74"/>
      <c r="B1582" s="45">
        <v>1211</v>
      </c>
      <c r="C1582" s="64" t="s">
        <v>1616</v>
      </c>
      <c r="D1582" s="74"/>
      <c r="E1582" s="208" t="s">
        <v>133</v>
      </c>
      <c r="F1582" s="209" t="s">
        <v>21</v>
      </c>
      <c r="G1582" s="209" t="s">
        <v>21</v>
      </c>
      <c r="H1582" s="209" t="s">
        <v>189</v>
      </c>
      <c r="I1582" s="210"/>
    </row>
    <row r="1583" spans="1:9" x14ac:dyDescent="0.25">
      <c r="A1583" s="74"/>
      <c r="B1583" s="45">
        <v>111</v>
      </c>
      <c r="C1583" s="64" t="s">
        <v>523</v>
      </c>
      <c r="D1583" s="74"/>
      <c r="E1583" s="208" t="s">
        <v>133</v>
      </c>
      <c r="F1583" s="209" t="s">
        <v>21</v>
      </c>
      <c r="G1583" s="209" t="s">
        <v>21</v>
      </c>
      <c r="H1583" s="209" t="s">
        <v>194</v>
      </c>
      <c r="I1583" s="210"/>
    </row>
    <row r="1584" spans="1:9" x14ac:dyDescent="0.25">
      <c r="A1584" s="74"/>
      <c r="B1584" s="45">
        <v>90</v>
      </c>
      <c r="C1584" s="64" t="s">
        <v>502</v>
      </c>
      <c r="D1584" s="74"/>
      <c r="E1584" s="208" t="s">
        <v>133</v>
      </c>
      <c r="F1584" s="209" t="s">
        <v>21</v>
      </c>
      <c r="G1584" s="209" t="s">
        <v>21</v>
      </c>
      <c r="H1584" s="209" t="s">
        <v>192</v>
      </c>
      <c r="I1584" s="210"/>
    </row>
    <row r="1585" spans="1:9" x14ac:dyDescent="0.25">
      <c r="A1585" s="74"/>
      <c r="B1585" s="45">
        <v>23</v>
      </c>
      <c r="C1585" s="64" t="s">
        <v>437</v>
      </c>
      <c r="D1585" s="74"/>
      <c r="E1585" s="208" t="s">
        <v>133</v>
      </c>
      <c r="F1585" s="209" t="s">
        <v>21</v>
      </c>
      <c r="G1585" s="209" t="s">
        <v>21</v>
      </c>
      <c r="H1585" s="209" t="s">
        <v>194</v>
      </c>
      <c r="I1585" s="210"/>
    </row>
    <row r="1586" spans="1:9" x14ac:dyDescent="0.25">
      <c r="A1586" s="74"/>
      <c r="B1586" s="45">
        <v>1212</v>
      </c>
      <c r="C1586" s="64" t="s">
        <v>1617</v>
      </c>
      <c r="D1586" s="74"/>
      <c r="E1586" s="208" t="s">
        <v>125</v>
      </c>
      <c r="F1586" s="209" t="s">
        <v>21</v>
      </c>
      <c r="G1586" s="209" t="s">
        <v>21</v>
      </c>
      <c r="H1586" s="209" t="s">
        <v>187</v>
      </c>
      <c r="I1586" s="210"/>
    </row>
    <row r="1587" spans="1:9" x14ac:dyDescent="0.25">
      <c r="A1587" s="74"/>
      <c r="B1587" s="45">
        <v>1213</v>
      </c>
      <c r="C1587" s="64" t="s">
        <v>1618</v>
      </c>
      <c r="D1587" s="74"/>
      <c r="E1587" s="208" t="s">
        <v>133</v>
      </c>
      <c r="F1587" s="209" t="s">
        <v>21</v>
      </c>
      <c r="G1587" s="209" t="s">
        <v>21</v>
      </c>
      <c r="H1587" s="209" t="s">
        <v>272</v>
      </c>
      <c r="I1587" s="210"/>
    </row>
    <row r="1588" spans="1:9" x14ac:dyDescent="0.25">
      <c r="A1588" s="74"/>
      <c r="B1588" s="45">
        <v>134</v>
      </c>
      <c r="C1588" s="64" t="s">
        <v>546</v>
      </c>
      <c r="D1588" s="74"/>
      <c r="E1588" s="208" t="s">
        <v>133</v>
      </c>
      <c r="F1588" s="209" t="s">
        <v>21</v>
      </c>
      <c r="G1588" s="209" t="s">
        <v>21</v>
      </c>
      <c r="H1588" s="209" t="s">
        <v>192</v>
      </c>
      <c r="I1588" s="210"/>
    </row>
    <row r="1589" spans="1:9" x14ac:dyDescent="0.25">
      <c r="A1589" s="74"/>
      <c r="B1589" s="45">
        <v>102</v>
      </c>
      <c r="C1589" s="64" t="s">
        <v>514</v>
      </c>
      <c r="D1589" s="74"/>
      <c r="E1589" s="208" t="s">
        <v>132</v>
      </c>
      <c r="F1589" s="209" t="s">
        <v>21</v>
      </c>
      <c r="G1589" s="209" t="s">
        <v>21</v>
      </c>
      <c r="H1589" s="209" t="s">
        <v>192</v>
      </c>
      <c r="I1589" s="210"/>
    </row>
    <row r="1590" spans="1:9" x14ac:dyDescent="0.25">
      <c r="A1590" s="74"/>
      <c r="B1590" s="45">
        <v>1214</v>
      </c>
      <c r="C1590" s="64" t="s">
        <v>1619</v>
      </c>
      <c r="D1590" s="74"/>
      <c r="E1590" s="208" t="s">
        <v>133</v>
      </c>
      <c r="F1590" s="209" t="s">
        <v>21</v>
      </c>
      <c r="G1590" s="209" t="s">
        <v>21</v>
      </c>
      <c r="H1590" s="209" t="s">
        <v>272</v>
      </c>
      <c r="I1590" s="210"/>
    </row>
    <row r="1591" spans="1:9" x14ac:dyDescent="0.25">
      <c r="A1591" s="74"/>
      <c r="B1591" s="45">
        <v>1215</v>
      </c>
      <c r="C1591" s="64" t="s">
        <v>1620</v>
      </c>
      <c r="D1591" s="74"/>
      <c r="E1591" s="208" t="s">
        <v>133</v>
      </c>
      <c r="F1591" s="209" t="s">
        <v>21</v>
      </c>
      <c r="G1591" s="209" t="s">
        <v>21</v>
      </c>
      <c r="H1591" s="209" t="s">
        <v>272</v>
      </c>
      <c r="I1591" s="210"/>
    </row>
    <row r="1592" spans="1:9" x14ac:dyDescent="0.25">
      <c r="A1592" s="74"/>
      <c r="B1592" s="45">
        <v>1216</v>
      </c>
      <c r="C1592" s="64" t="s">
        <v>1621</v>
      </c>
      <c r="D1592" s="74"/>
      <c r="E1592" s="208" t="s">
        <v>133</v>
      </c>
      <c r="F1592" s="209" t="s">
        <v>21</v>
      </c>
      <c r="G1592" s="209" t="s">
        <v>21</v>
      </c>
      <c r="H1592" s="209" t="s">
        <v>272</v>
      </c>
      <c r="I1592" s="210"/>
    </row>
    <row r="1593" spans="1:9" x14ac:dyDescent="0.25">
      <c r="A1593" s="74"/>
      <c r="B1593" s="45">
        <v>1217</v>
      </c>
      <c r="C1593" s="64" t="s">
        <v>1622</v>
      </c>
      <c r="D1593" s="74"/>
      <c r="E1593" s="208" t="s">
        <v>276</v>
      </c>
      <c r="F1593" s="209" t="s">
        <v>21</v>
      </c>
      <c r="G1593" s="209" t="s">
        <v>21</v>
      </c>
      <c r="H1593" s="209" t="s">
        <v>16</v>
      </c>
      <c r="I1593" s="210"/>
    </row>
    <row r="1594" spans="1:9" x14ac:dyDescent="0.25">
      <c r="A1594" s="74"/>
      <c r="B1594" s="45">
        <v>1206</v>
      </c>
      <c r="C1594" s="64" t="s">
        <v>1611</v>
      </c>
      <c r="D1594" s="74"/>
      <c r="E1594" s="208" t="s">
        <v>133</v>
      </c>
      <c r="F1594" s="209" t="s">
        <v>21</v>
      </c>
      <c r="G1594" s="209" t="s">
        <v>21</v>
      </c>
      <c r="H1594" s="209" t="s">
        <v>272</v>
      </c>
      <c r="I1594" s="210"/>
    </row>
    <row r="1595" spans="1:9" x14ac:dyDescent="0.25">
      <c r="A1595" s="74"/>
      <c r="B1595" s="45">
        <v>24</v>
      </c>
      <c r="C1595" s="64" t="s">
        <v>438</v>
      </c>
      <c r="D1595" s="74"/>
      <c r="E1595" s="208" t="s">
        <v>132</v>
      </c>
      <c r="F1595" s="209" t="s">
        <v>21</v>
      </c>
      <c r="G1595" s="209" t="s">
        <v>21</v>
      </c>
      <c r="H1595" s="209" t="s">
        <v>183</v>
      </c>
      <c r="I1595" s="210"/>
    </row>
    <row r="1596" spans="1:9" x14ac:dyDescent="0.25">
      <c r="A1596" s="74"/>
      <c r="B1596" s="45">
        <v>104</v>
      </c>
      <c r="C1596" s="64" t="s">
        <v>516</v>
      </c>
      <c r="D1596" s="74"/>
      <c r="E1596" s="208" t="s">
        <v>125</v>
      </c>
      <c r="F1596" s="209" t="s">
        <v>21</v>
      </c>
      <c r="G1596" s="209" t="s">
        <v>21</v>
      </c>
      <c r="H1596" s="209" t="s">
        <v>183</v>
      </c>
      <c r="I1596" s="210"/>
    </row>
    <row r="1597" spans="1:9" x14ac:dyDescent="0.25">
      <c r="A1597" s="74"/>
      <c r="B1597" s="45">
        <v>106</v>
      </c>
      <c r="C1597" s="64" t="s">
        <v>518</v>
      </c>
      <c r="D1597" s="74"/>
      <c r="E1597" s="208" t="s">
        <v>132</v>
      </c>
      <c r="F1597" s="209" t="s">
        <v>21</v>
      </c>
      <c r="G1597" s="209" t="s">
        <v>21</v>
      </c>
      <c r="H1597" s="209" t="s">
        <v>192</v>
      </c>
      <c r="I1597" s="210"/>
    </row>
    <row r="1598" spans="1:9" x14ac:dyDescent="0.25">
      <c r="A1598" s="74"/>
      <c r="B1598" s="45">
        <v>69</v>
      </c>
      <c r="C1598" s="64" t="s">
        <v>481</v>
      </c>
      <c r="D1598" s="74"/>
      <c r="E1598" s="208" t="s">
        <v>132</v>
      </c>
      <c r="F1598" s="209" t="s">
        <v>21</v>
      </c>
      <c r="G1598" s="209" t="s">
        <v>21</v>
      </c>
      <c r="H1598" s="209" t="s">
        <v>192</v>
      </c>
      <c r="I1598" s="210"/>
    </row>
    <row r="1599" spans="1:9" x14ac:dyDescent="0.25">
      <c r="A1599" s="74"/>
      <c r="B1599" s="45">
        <v>131</v>
      </c>
      <c r="C1599" s="64" t="s">
        <v>543</v>
      </c>
      <c r="D1599" s="74"/>
      <c r="E1599" s="208" t="s">
        <v>132</v>
      </c>
      <c r="F1599" s="209" t="s">
        <v>21</v>
      </c>
      <c r="G1599" s="209" t="s">
        <v>21</v>
      </c>
      <c r="H1599" s="209" t="s">
        <v>192</v>
      </c>
      <c r="I1599" s="210"/>
    </row>
    <row r="1600" spans="1:9" x14ac:dyDescent="0.25">
      <c r="A1600" s="74"/>
      <c r="B1600" s="45">
        <v>129</v>
      </c>
      <c r="C1600" s="64" t="s">
        <v>541</v>
      </c>
      <c r="D1600" s="74"/>
      <c r="E1600" s="208" t="s">
        <v>132</v>
      </c>
      <c r="F1600" s="209" t="s">
        <v>21</v>
      </c>
      <c r="G1600" s="209" t="s">
        <v>21</v>
      </c>
      <c r="H1600" s="209" t="s">
        <v>191</v>
      </c>
      <c r="I1600" s="210"/>
    </row>
    <row r="1601" spans="1:9" x14ac:dyDescent="0.25">
      <c r="A1601" s="74"/>
      <c r="B1601" s="45">
        <v>1177</v>
      </c>
      <c r="C1601" s="64" t="s">
        <v>1585</v>
      </c>
      <c r="D1601" s="74"/>
      <c r="E1601" s="208" t="s">
        <v>132</v>
      </c>
      <c r="F1601" s="209" t="s">
        <v>21</v>
      </c>
      <c r="G1601" s="209" t="s">
        <v>21</v>
      </c>
      <c r="H1601" s="209" t="s">
        <v>272</v>
      </c>
      <c r="I1601" s="210"/>
    </row>
    <row r="1602" spans="1:9" x14ac:dyDescent="0.25">
      <c r="A1602" s="74"/>
      <c r="B1602" s="45">
        <v>1178</v>
      </c>
      <c r="C1602" s="64" t="s">
        <v>1586</v>
      </c>
      <c r="D1602" s="74"/>
      <c r="E1602" s="208" t="s">
        <v>132</v>
      </c>
      <c r="F1602" s="209" t="s">
        <v>21</v>
      </c>
      <c r="G1602" s="209" t="s">
        <v>21</v>
      </c>
      <c r="H1602" s="209" t="s">
        <v>272</v>
      </c>
      <c r="I1602" s="210"/>
    </row>
    <row r="1603" spans="1:9" x14ac:dyDescent="0.25">
      <c r="A1603" s="74"/>
      <c r="B1603" s="45">
        <v>1179</v>
      </c>
      <c r="C1603" s="64" t="s">
        <v>1587</v>
      </c>
      <c r="D1603" s="74"/>
      <c r="E1603" s="208" t="s">
        <v>132</v>
      </c>
      <c r="F1603" s="209" t="s">
        <v>21</v>
      </c>
      <c r="G1603" s="209" t="s">
        <v>21</v>
      </c>
      <c r="H1603" s="209" t="s">
        <v>272</v>
      </c>
      <c r="I1603" s="210"/>
    </row>
    <row r="1604" spans="1:9" x14ac:dyDescent="0.25">
      <c r="A1604" s="74"/>
      <c r="B1604" s="45">
        <v>1176</v>
      </c>
      <c r="C1604" s="64" t="s">
        <v>1584</v>
      </c>
      <c r="D1604" s="74"/>
      <c r="E1604" s="208" t="s">
        <v>132</v>
      </c>
      <c r="F1604" s="209" t="s">
        <v>21</v>
      </c>
      <c r="G1604" s="209" t="s">
        <v>21</v>
      </c>
      <c r="H1604" s="209" t="s">
        <v>272</v>
      </c>
      <c r="I1604" s="210"/>
    </row>
    <row r="1605" spans="1:9" x14ac:dyDescent="0.25">
      <c r="A1605" s="74"/>
      <c r="B1605" s="45">
        <v>1180</v>
      </c>
      <c r="C1605" s="64" t="s">
        <v>1588</v>
      </c>
      <c r="D1605" s="74"/>
      <c r="E1605" s="208" t="s">
        <v>132</v>
      </c>
      <c r="F1605" s="209" t="s">
        <v>21</v>
      </c>
      <c r="G1605" s="209" t="s">
        <v>21</v>
      </c>
      <c r="H1605" s="209" t="s">
        <v>272</v>
      </c>
      <c r="I1605" s="210"/>
    </row>
    <row r="1606" spans="1:9" x14ac:dyDescent="0.25">
      <c r="A1606" s="74"/>
      <c r="B1606" s="45">
        <v>1181</v>
      </c>
      <c r="C1606" s="64" t="s">
        <v>1589</v>
      </c>
      <c r="D1606" s="74"/>
      <c r="E1606" s="208" t="s">
        <v>132</v>
      </c>
      <c r="F1606" s="209" t="s">
        <v>21</v>
      </c>
      <c r="G1606" s="209" t="s">
        <v>21</v>
      </c>
      <c r="H1606" s="209" t="s">
        <v>272</v>
      </c>
      <c r="I1606" s="210"/>
    </row>
    <row r="1607" spans="1:9" x14ac:dyDescent="0.25">
      <c r="A1607" s="74"/>
      <c r="B1607" s="45">
        <v>1182</v>
      </c>
      <c r="C1607" s="64" t="s">
        <v>1590</v>
      </c>
      <c r="D1607" s="74"/>
      <c r="E1607" s="208" t="s">
        <v>132</v>
      </c>
      <c r="F1607" s="209" t="s">
        <v>21</v>
      </c>
      <c r="G1607" s="209" t="s">
        <v>21</v>
      </c>
      <c r="H1607" s="209" t="s">
        <v>272</v>
      </c>
      <c r="I1607" s="210"/>
    </row>
    <row r="1608" spans="1:9" x14ac:dyDescent="0.25">
      <c r="A1608" s="74"/>
      <c r="B1608" s="45">
        <v>1183</v>
      </c>
      <c r="C1608" s="64" t="s">
        <v>1591</v>
      </c>
      <c r="D1608" s="74"/>
      <c r="E1608" s="208" t="s">
        <v>132</v>
      </c>
      <c r="F1608" s="209" t="s">
        <v>21</v>
      </c>
      <c r="G1608" s="209" t="s">
        <v>21</v>
      </c>
      <c r="H1608" s="209" t="s">
        <v>272</v>
      </c>
      <c r="I1608" s="210"/>
    </row>
    <row r="1609" spans="1:9" x14ac:dyDescent="0.25">
      <c r="A1609" s="74"/>
      <c r="B1609" s="45">
        <v>1184</v>
      </c>
      <c r="C1609" s="64" t="s">
        <v>1592</v>
      </c>
      <c r="D1609" s="74"/>
      <c r="E1609" s="208" t="s">
        <v>132</v>
      </c>
      <c r="F1609" s="209" t="s">
        <v>21</v>
      </c>
      <c r="G1609" s="209" t="s">
        <v>21</v>
      </c>
      <c r="H1609" s="209" t="s">
        <v>272</v>
      </c>
      <c r="I1609" s="210"/>
    </row>
    <row r="1610" spans="1:9" x14ac:dyDescent="0.25">
      <c r="A1610" s="74"/>
      <c r="B1610" s="45">
        <v>1185</v>
      </c>
      <c r="C1610" s="64" t="s">
        <v>1593</v>
      </c>
      <c r="D1610" s="74"/>
      <c r="E1610" s="208" t="s">
        <v>132</v>
      </c>
      <c r="F1610" s="209" t="s">
        <v>21</v>
      </c>
      <c r="G1610" s="209" t="s">
        <v>21</v>
      </c>
      <c r="H1610" s="209" t="s">
        <v>272</v>
      </c>
      <c r="I1610" s="210"/>
    </row>
    <row r="1611" spans="1:9" x14ac:dyDescent="0.25">
      <c r="A1611" s="74"/>
      <c r="B1611" s="45">
        <v>70</v>
      </c>
      <c r="C1611" s="64" t="s">
        <v>482</v>
      </c>
      <c r="D1611" s="74"/>
      <c r="E1611" s="208" t="s">
        <v>132</v>
      </c>
      <c r="F1611" s="209" t="s">
        <v>21</v>
      </c>
      <c r="G1611" s="209" t="s">
        <v>21</v>
      </c>
      <c r="H1611" s="209" t="s">
        <v>192</v>
      </c>
      <c r="I1611" s="210"/>
    </row>
    <row r="1612" spans="1:9" x14ac:dyDescent="0.25">
      <c r="A1612" s="74"/>
      <c r="B1612" s="45">
        <v>1177</v>
      </c>
      <c r="C1612" s="64" t="s">
        <v>1585</v>
      </c>
      <c r="D1612" s="74"/>
      <c r="E1612" s="208" t="s">
        <v>132</v>
      </c>
      <c r="F1612" s="209" t="s">
        <v>21</v>
      </c>
      <c r="G1612" s="209" t="s">
        <v>21</v>
      </c>
      <c r="H1612" s="209" t="s">
        <v>272</v>
      </c>
      <c r="I1612" s="210"/>
    </row>
    <row r="1613" spans="1:9" x14ac:dyDescent="0.25">
      <c r="A1613" s="74"/>
      <c r="B1613" s="45">
        <v>1178</v>
      </c>
      <c r="C1613" s="64" t="s">
        <v>1586</v>
      </c>
      <c r="D1613" s="74"/>
      <c r="E1613" s="208" t="s">
        <v>132</v>
      </c>
      <c r="F1613" s="209" t="s">
        <v>21</v>
      </c>
      <c r="G1613" s="209" t="s">
        <v>21</v>
      </c>
      <c r="H1613" s="209" t="s">
        <v>272</v>
      </c>
      <c r="I1613" s="210"/>
    </row>
    <row r="1614" spans="1:9" x14ac:dyDescent="0.25">
      <c r="A1614" s="74"/>
      <c r="B1614" s="45">
        <v>1179</v>
      </c>
      <c r="C1614" s="64" t="s">
        <v>1587</v>
      </c>
      <c r="D1614" s="74"/>
      <c r="E1614" s="208" t="s">
        <v>132</v>
      </c>
      <c r="F1614" s="209" t="s">
        <v>21</v>
      </c>
      <c r="G1614" s="209" t="s">
        <v>21</v>
      </c>
      <c r="H1614" s="209" t="s">
        <v>272</v>
      </c>
      <c r="I1614" s="210"/>
    </row>
    <row r="1615" spans="1:9" x14ac:dyDescent="0.25">
      <c r="A1615" s="74"/>
      <c r="B1615" s="45">
        <v>1176</v>
      </c>
      <c r="C1615" s="64" t="s">
        <v>1584</v>
      </c>
      <c r="D1615" s="74"/>
      <c r="E1615" s="208" t="s">
        <v>132</v>
      </c>
      <c r="F1615" s="209" t="s">
        <v>21</v>
      </c>
      <c r="G1615" s="209" t="s">
        <v>21</v>
      </c>
      <c r="H1615" s="209" t="s">
        <v>272</v>
      </c>
      <c r="I1615" s="210"/>
    </row>
    <row r="1616" spans="1:9" x14ac:dyDescent="0.25">
      <c r="A1616" s="74"/>
      <c r="B1616" s="45">
        <v>1180</v>
      </c>
      <c r="C1616" s="64" t="s">
        <v>1588</v>
      </c>
      <c r="D1616" s="74"/>
      <c r="E1616" s="208" t="s">
        <v>132</v>
      </c>
      <c r="F1616" s="209" t="s">
        <v>21</v>
      </c>
      <c r="G1616" s="209" t="s">
        <v>21</v>
      </c>
      <c r="H1616" s="209" t="s">
        <v>272</v>
      </c>
      <c r="I1616" s="210"/>
    </row>
    <row r="1617" spans="1:9" x14ac:dyDescent="0.25">
      <c r="A1617" s="74"/>
      <c r="B1617" s="45">
        <v>1181</v>
      </c>
      <c r="C1617" s="64" t="s">
        <v>1589</v>
      </c>
      <c r="D1617" s="74"/>
      <c r="E1617" s="208" t="s">
        <v>132</v>
      </c>
      <c r="F1617" s="209" t="s">
        <v>21</v>
      </c>
      <c r="G1617" s="209" t="s">
        <v>21</v>
      </c>
      <c r="H1617" s="209" t="s">
        <v>272</v>
      </c>
      <c r="I1617" s="210"/>
    </row>
    <row r="1618" spans="1:9" x14ac:dyDescent="0.25">
      <c r="A1618" s="74"/>
      <c r="B1618" s="45">
        <v>1182</v>
      </c>
      <c r="C1618" s="64" t="s">
        <v>1590</v>
      </c>
      <c r="D1618" s="74"/>
      <c r="E1618" s="208" t="s">
        <v>132</v>
      </c>
      <c r="F1618" s="209" t="s">
        <v>21</v>
      </c>
      <c r="G1618" s="209" t="s">
        <v>21</v>
      </c>
      <c r="H1618" s="209" t="s">
        <v>272</v>
      </c>
      <c r="I1618" s="210"/>
    </row>
    <row r="1619" spans="1:9" x14ac:dyDescent="0.25">
      <c r="A1619" s="74"/>
      <c r="B1619" s="45">
        <v>1183</v>
      </c>
      <c r="C1619" s="64" t="s">
        <v>1591</v>
      </c>
      <c r="D1619" s="74"/>
      <c r="E1619" s="208" t="s">
        <v>132</v>
      </c>
      <c r="F1619" s="209" t="s">
        <v>21</v>
      </c>
      <c r="G1619" s="209" t="s">
        <v>21</v>
      </c>
      <c r="H1619" s="209" t="s">
        <v>272</v>
      </c>
      <c r="I1619" s="210"/>
    </row>
    <row r="1620" spans="1:9" x14ac:dyDescent="0.25">
      <c r="A1620" s="74"/>
      <c r="B1620" s="45">
        <v>1184</v>
      </c>
      <c r="C1620" s="64" t="s">
        <v>1592</v>
      </c>
      <c r="D1620" s="74"/>
      <c r="E1620" s="208" t="s">
        <v>132</v>
      </c>
      <c r="F1620" s="209" t="s">
        <v>21</v>
      </c>
      <c r="G1620" s="209" t="s">
        <v>21</v>
      </c>
      <c r="H1620" s="209" t="s">
        <v>272</v>
      </c>
      <c r="I1620" s="210"/>
    </row>
    <row r="1621" spans="1:9" x14ac:dyDescent="0.25">
      <c r="A1621" s="74"/>
      <c r="B1621" s="45">
        <v>1185</v>
      </c>
      <c r="C1621" s="64" t="s">
        <v>1593</v>
      </c>
      <c r="D1621" s="74"/>
      <c r="E1621" s="208" t="s">
        <v>132</v>
      </c>
      <c r="F1621" s="209" t="s">
        <v>21</v>
      </c>
      <c r="G1621" s="209" t="s">
        <v>21</v>
      </c>
      <c r="H1621" s="209" t="s">
        <v>272</v>
      </c>
      <c r="I1621" s="210"/>
    </row>
    <row r="1622" spans="1:9" x14ac:dyDescent="0.25">
      <c r="A1622" s="74"/>
      <c r="B1622" s="45">
        <v>70</v>
      </c>
      <c r="C1622" s="64" t="s">
        <v>482</v>
      </c>
      <c r="D1622" s="74"/>
      <c r="E1622" s="208" t="s">
        <v>132</v>
      </c>
      <c r="F1622" s="209" t="s">
        <v>21</v>
      </c>
      <c r="G1622" s="209" t="s">
        <v>21</v>
      </c>
      <c r="H1622" s="209" t="s">
        <v>192</v>
      </c>
      <c r="I1622" s="210"/>
    </row>
    <row r="1623" spans="1:9" x14ac:dyDescent="0.25">
      <c r="A1623" s="74"/>
      <c r="B1623" s="45">
        <v>1188</v>
      </c>
      <c r="C1623" s="64" t="s">
        <v>1595</v>
      </c>
      <c r="D1623" s="74"/>
      <c r="E1623" s="208" t="s">
        <v>132</v>
      </c>
      <c r="F1623" s="209" t="s">
        <v>21</v>
      </c>
      <c r="G1623" s="209" t="s">
        <v>21</v>
      </c>
      <c r="H1623" s="209" t="s">
        <v>272</v>
      </c>
      <c r="I1623" s="210"/>
    </row>
    <row r="1624" spans="1:9" x14ac:dyDescent="0.25">
      <c r="A1624" s="74"/>
      <c r="B1624" s="45">
        <v>1189</v>
      </c>
      <c r="C1624" s="64" t="s">
        <v>1596</v>
      </c>
      <c r="D1624" s="74"/>
      <c r="E1624" s="208" t="s">
        <v>132</v>
      </c>
      <c r="F1624" s="209" t="s">
        <v>21</v>
      </c>
      <c r="G1624" s="209" t="s">
        <v>21</v>
      </c>
      <c r="H1624" s="209" t="s">
        <v>272</v>
      </c>
      <c r="I1624" s="210"/>
    </row>
    <row r="1625" spans="1:9" x14ac:dyDescent="0.25">
      <c r="A1625" s="74"/>
      <c r="B1625" s="45">
        <v>79</v>
      </c>
      <c r="C1625" s="64" t="s">
        <v>491</v>
      </c>
      <c r="D1625" s="74"/>
      <c r="E1625" s="208" t="s">
        <v>132</v>
      </c>
      <c r="F1625" s="209" t="s">
        <v>21</v>
      </c>
      <c r="G1625" s="209" t="s">
        <v>21</v>
      </c>
      <c r="H1625" s="209" t="s">
        <v>272</v>
      </c>
      <c r="I1625" s="210"/>
    </row>
    <row r="1626" spans="1:9" x14ac:dyDescent="0.25">
      <c r="A1626" s="74"/>
      <c r="B1626" s="45">
        <v>109</v>
      </c>
      <c r="C1626" s="64" t="s">
        <v>521</v>
      </c>
      <c r="D1626" s="74"/>
      <c r="E1626" s="208" t="s">
        <v>133</v>
      </c>
      <c r="F1626" s="209" t="s">
        <v>21</v>
      </c>
      <c r="G1626" s="209" t="s">
        <v>21</v>
      </c>
      <c r="H1626" s="209" t="s">
        <v>272</v>
      </c>
      <c r="I1626" s="210"/>
    </row>
    <row r="1627" spans="1:9" x14ac:dyDescent="0.25">
      <c r="A1627" s="74"/>
      <c r="B1627" s="45">
        <v>1205</v>
      </c>
      <c r="C1627" s="64" t="s">
        <v>1610</v>
      </c>
      <c r="D1627" s="74"/>
      <c r="E1627" s="208" t="s">
        <v>133</v>
      </c>
      <c r="F1627" s="209" t="s">
        <v>21</v>
      </c>
      <c r="G1627" s="209" t="s">
        <v>21</v>
      </c>
      <c r="H1627" s="209" t="s">
        <v>272</v>
      </c>
      <c r="I1627" s="210"/>
    </row>
    <row r="1628" spans="1:9" x14ac:dyDescent="0.25">
      <c r="A1628" s="74"/>
      <c r="B1628" s="45">
        <v>111</v>
      </c>
      <c r="C1628" s="64" t="s">
        <v>523</v>
      </c>
      <c r="D1628" s="74"/>
      <c r="E1628" s="208" t="s">
        <v>133</v>
      </c>
      <c r="F1628" s="209" t="s">
        <v>21</v>
      </c>
      <c r="G1628" s="209" t="s">
        <v>21</v>
      </c>
      <c r="H1628" s="209" t="s">
        <v>192</v>
      </c>
      <c r="I1628" s="210"/>
    </row>
    <row r="1629" spans="1:9" x14ac:dyDescent="0.25">
      <c r="A1629" s="74"/>
      <c r="B1629" s="45">
        <v>110</v>
      </c>
      <c r="C1629" s="64" t="s">
        <v>522</v>
      </c>
      <c r="D1629" s="74"/>
      <c r="E1629" s="208" t="s">
        <v>133</v>
      </c>
      <c r="F1629" s="209" t="s">
        <v>21</v>
      </c>
      <c r="G1629" s="209" t="s">
        <v>21</v>
      </c>
      <c r="H1629" s="209" t="s">
        <v>194</v>
      </c>
      <c r="I1629" s="210"/>
    </row>
    <row r="1630" spans="1:9" x14ac:dyDescent="0.25">
      <c r="A1630" s="74"/>
      <c r="B1630" s="45">
        <v>23</v>
      </c>
      <c r="C1630" s="64" t="s">
        <v>437</v>
      </c>
      <c r="D1630" s="74"/>
      <c r="E1630" s="208" t="s">
        <v>133</v>
      </c>
      <c r="F1630" s="209" t="s">
        <v>21</v>
      </c>
      <c r="G1630" s="209" t="s">
        <v>21</v>
      </c>
      <c r="H1630" s="209" t="s">
        <v>194</v>
      </c>
      <c r="I1630" s="210"/>
    </row>
    <row r="1631" spans="1:9" x14ac:dyDescent="0.25">
      <c r="A1631" s="74"/>
      <c r="B1631" s="45">
        <v>125</v>
      </c>
      <c r="C1631" s="64" t="s">
        <v>537</v>
      </c>
      <c r="D1631" s="74"/>
      <c r="E1631" s="208" t="s">
        <v>133</v>
      </c>
      <c r="F1631" s="209" t="s">
        <v>21</v>
      </c>
      <c r="G1631" s="209" t="s">
        <v>21</v>
      </c>
      <c r="H1631" s="209" t="s">
        <v>192</v>
      </c>
      <c r="I1631" s="210"/>
    </row>
    <row r="1632" spans="1:9" x14ac:dyDescent="0.25">
      <c r="A1632" s="74"/>
      <c r="B1632" s="45">
        <v>110</v>
      </c>
      <c r="C1632" s="64" t="s">
        <v>522</v>
      </c>
      <c r="D1632" s="74"/>
      <c r="E1632" s="208" t="s">
        <v>133</v>
      </c>
      <c r="F1632" s="209" t="s">
        <v>21</v>
      </c>
      <c r="G1632" s="209" t="s">
        <v>21</v>
      </c>
      <c r="H1632" s="209" t="s">
        <v>194</v>
      </c>
      <c r="I1632" s="210"/>
    </row>
    <row r="1633" spans="1:9" x14ac:dyDescent="0.25">
      <c r="A1633" s="74"/>
      <c r="B1633" s="45">
        <v>1212</v>
      </c>
      <c r="C1633" s="64" t="s">
        <v>1617</v>
      </c>
      <c r="D1633" s="74"/>
      <c r="E1633" s="208" t="s">
        <v>125</v>
      </c>
      <c r="F1633" s="209" t="s">
        <v>21</v>
      </c>
      <c r="G1633" s="209" t="s">
        <v>21</v>
      </c>
      <c r="H1633" s="209" t="s">
        <v>187</v>
      </c>
      <c r="I1633" s="210"/>
    </row>
    <row r="1634" spans="1:9" x14ac:dyDescent="0.25">
      <c r="A1634" s="74"/>
      <c r="B1634" s="45">
        <v>109</v>
      </c>
      <c r="C1634" s="64" t="s">
        <v>521</v>
      </c>
      <c r="D1634" s="74"/>
      <c r="E1634" s="208" t="s">
        <v>133</v>
      </c>
      <c r="F1634" s="209" t="s">
        <v>21</v>
      </c>
      <c r="G1634" s="209" t="s">
        <v>21</v>
      </c>
      <c r="H1634" s="209" t="s">
        <v>272</v>
      </c>
      <c r="I1634" s="210"/>
    </row>
    <row r="1635" spans="1:9" x14ac:dyDescent="0.25">
      <c r="A1635" s="74"/>
      <c r="B1635" s="45">
        <v>1205</v>
      </c>
      <c r="C1635" s="64" t="s">
        <v>1610</v>
      </c>
      <c r="D1635" s="74"/>
      <c r="E1635" s="208" t="s">
        <v>133</v>
      </c>
      <c r="F1635" s="209" t="s">
        <v>21</v>
      </c>
      <c r="G1635" s="209" t="s">
        <v>21</v>
      </c>
      <c r="H1635" s="209" t="s">
        <v>272</v>
      </c>
      <c r="I1635" s="210"/>
    </row>
    <row r="1636" spans="1:9" x14ac:dyDescent="0.25">
      <c r="A1636" s="74"/>
      <c r="B1636" s="45">
        <v>111</v>
      </c>
      <c r="C1636" s="64" t="s">
        <v>523</v>
      </c>
      <c r="D1636" s="74"/>
      <c r="E1636" s="208" t="s">
        <v>133</v>
      </c>
      <c r="F1636" s="209" t="s">
        <v>21</v>
      </c>
      <c r="G1636" s="209" t="s">
        <v>21</v>
      </c>
      <c r="H1636" s="209" t="s">
        <v>192</v>
      </c>
      <c r="I1636" s="210"/>
    </row>
    <row r="1637" spans="1:9" x14ac:dyDescent="0.25">
      <c r="A1637" s="74"/>
      <c r="B1637" s="45">
        <v>110</v>
      </c>
      <c r="C1637" s="64" t="s">
        <v>522</v>
      </c>
      <c r="D1637" s="74"/>
      <c r="E1637" s="208" t="s">
        <v>133</v>
      </c>
      <c r="F1637" s="209" t="s">
        <v>21</v>
      </c>
      <c r="G1637" s="209" t="s">
        <v>21</v>
      </c>
      <c r="H1637" s="209" t="s">
        <v>194</v>
      </c>
      <c r="I1637" s="210"/>
    </row>
    <row r="1638" spans="1:9" x14ac:dyDescent="0.25">
      <c r="A1638" s="74"/>
      <c r="B1638" s="45">
        <v>109</v>
      </c>
      <c r="C1638" s="64" t="s">
        <v>521</v>
      </c>
      <c r="D1638" s="74"/>
      <c r="E1638" s="208" t="s">
        <v>133</v>
      </c>
      <c r="F1638" s="209" t="s">
        <v>21</v>
      </c>
      <c r="G1638" s="209" t="s">
        <v>21</v>
      </c>
      <c r="H1638" s="209" t="s">
        <v>272</v>
      </c>
      <c r="I1638" s="210"/>
    </row>
    <row r="1639" spans="1:9" x14ac:dyDescent="0.25">
      <c r="A1639" s="74"/>
      <c r="B1639" s="45">
        <v>1205</v>
      </c>
      <c r="C1639" s="64" t="s">
        <v>1610</v>
      </c>
      <c r="D1639" s="74"/>
      <c r="E1639" s="208" t="s">
        <v>133</v>
      </c>
      <c r="F1639" s="209" t="s">
        <v>21</v>
      </c>
      <c r="G1639" s="209" t="s">
        <v>21</v>
      </c>
      <c r="H1639" s="209" t="s">
        <v>272</v>
      </c>
      <c r="I1639" s="210"/>
    </row>
    <row r="1640" spans="1:9" x14ac:dyDescent="0.25">
      <c r="A1640" s="74"/>
      <c r="B1640" s="45">
        <v>111</v>
      </c>
      <c r="C1640" s="64" t="s">
        <v>523</v>
      </c>
      <c r="D1640" s="74"/>
      <c r="E1640" s="208" t="s">
        <v>133</v>
      </c>
      <c r="F1640" s="209" t="s">
        <v>21</v>
      </c>
      <c r="G1640" s="209" t="s">
        <v>21</v>
      </c>
      <c r="H1640" s="209" t="s">
        <v>192</v>
      </c>
      <c r="I1640" s="210"/>
    </row>
    <row r="1641" spans="1:9" x14ac:dyDescent="0.25">
      <c r="A1641" s="74"/>
      <c r="B1641" s="45">
        <v>110</v>
      </c>
      <c r="C1641" s="64" t="s">
        <v>522</v>
      </c>
      <c r="D1641" s="74"/>
      <c r="E1641" s="208" t="s">
        <v>133</v>
      </c>
      <c r="F1641" s="209" t="s">
        <v>21</v>
      </c>
      <c r="G1641" s="209" t="s">
        <v>21</v>
      </c>
      <c r="H1641" s="209" t="s">
        <v>194</v>
      </c>
      <c r="I1641" s="210"/>
    </row>
    <row r="1642" spans="1:9" x14ac:dyDescent="0.25">
      <c r="A1642" s="74"/>
      <c r="B1642" s="45">
        <v>109</v>
      </c>
      <c r="C1642" s="64" t="s">
        <v>521</v>
      </c>
      <c r="D1642" s="74"/>
      <c r="E1642" s="208" t="s">
        <v>133</v>
      </c>
      <c r="F1642" s="209" t="s">
        <v>21</v>
      </c>
      <c r="G1642" s="209" t="s">
        <v>21</v>
      </c>
      <c r="H1642" s="209" t="s">
        <v>272</v>
      </c>
      <c r="I1642" s="210"/>
    </row>
    <row r="1643" spans="1:9" x14ac:dyDescent="0.25">
      <c r="A1643" s="74"/>
      <c r="B1643" s="45">
        <v>1205</v>
      </c>
      <c r="C1643" s="64" t="s">
        <v>1610</v>
      </c>
      <c r="D1643" s="74"/>
      <c r="E1643" s="208" t="s">
        <v>133</v>
      </c>
      <c r="F1643" s="209" t="s">
        <v>21</v>
      </c>
      <c r="G1643" s="209" t="s">
        <v>21</v>
      </c>
      <c r="H1643" s="209" t="s">
        <v>272</v>
      </c>
      <c r="I1643" s="210"/>
    </row>
    <row r="1644" spans="1:9" x14ac:dyDescent="0.25">
      <c r="A1644" s="74"/>
      <c r="B1644" s="45">
        <v>111</v>
      </c>
      <c r="C1644" s="64" t="s">
        <v>523</v>
      </c>
      <c r="D1644" s="74"/>
      <c r="E1644" s="208" t="s">
        <v>133</v>
      </c>
      <c r="F1644" s="209" t="s">
        <v>21</v>
      </c>
      <c r="G1644" s="209" t="s">
        <v>21</v>
      </c>
      <c r="H1644" s="209" t="s">
        <v>192</v>
      </c>
      <c r="I1644" s="210"/>
    </row>
    <row r="1645" spans="1:9" x14ac:dyDescent="0.25">
      <c r="A1645" s="74"/>
      <c r="B1645" s="45">
        <v>110</v>
      </c>
      <c r="C1645" s="64" t="s">
        <v>522</v>
      </c>
      <c r="D1645" s="74"/>
      <c r="E1645" s="208" t="s">
        <v>133</v>
      </c>
      <c r="F1645" s="209" t="s">
        <v>21</v>
      </c>
      <c r="G1645" s="209" t="s">
        <v>21</v>
      </c>
      <c r="H1645" s="209" t="s">
        <v>194</v>
      </c>
      <c r="I1645" s="210"/>
    </row>
    <row r="1646" spans="1:9" x14ac:dyDescent="0.25">
      <c r="A1646" s="74"/>
      <c r="B1646" s="45">
        <v>1154</v>
      </c>
      <c r="C1646" s="64" t="s">
        <v>1563</v>
      </c>
      <c r="D1646" s="74"/>
      <c r="E1646" s="208" t="s">
        <v>122</v>
      </c>
      <c r="F1646" s="209" t="s">
        <v>21</v>
      </c>
      <c r="G1646" s="209" t="s">
        <v>21</v>
      </c>
      <c r="H1646" s="209" t="s">
        <v>272</v>
      </c>
      <c r="I1646" s="210"/>
    </row>
    <row r="1647" spans="1:9" x14ac:dyDescent="0.25">
      <c r="A1647" s="74"/>
      <c r="B1647" s="45">
        <v>1153</v>
      </c>
      <c r="C1647" s="64" t="s">
        <v>1562</v>
      </c>
      <c r="D1647" s="74"/>
      <c r="E1647" s="208" t="s">
        <v>122</v>
      </c>
      <c r="F1647" s="209" t="s">
        <v>21</v>
      </c>
      <c r="G1647" s="209" t="s">
        <v>21</v>
      </c>
      <c r="H1647" s="209" t="s">
        <v>272</v>
      </c>
      <c r="I1647" s="210"/>
    </row>
    <row r="1648" spans="1:9" x14ac:dyDescent="0.25">
      <c r="A1648" s="74"/>
      <c r="B1648" s="45">
        <v>1155</v>
      </c>
      <c r="C1648" s="64" t="s">
        <v>1564</v>
      </c>
      <c r="D1648" s="74"/>
      <c r="E1648" s="208" t="s">
        <v>122</v>
      </c>
      <c r="F1648" s="209" t="s">
        <v>21</v>
      </c>
      <c r="G1648" s="209" t="s">
        <v>21</v>
      </c>
      <c r="H1648" s="209" t="s">
        <v>272</v>
      </c>
      <c r="I1648" s="210"/>
    </row>
    <row r="1649" spans="1:9" x14ac:dyDescent="0.25">
      <c r="A1649" s="74"/>
      <c r="B1649" s="45">
        <v>1156</v>
      </c>
      <c r="C1649" s="64" t="s">
        <v>1565</v>
      </c>
      <c r="D1649" s="74"/>
      <c r="E1649" s="208" t="s">
        <v>122</v>
      </c>
      <c r="F1649" s="209" t="s">
        <v>21</v>
      </c>
      <c r="G1649" s="209" t="s">
        <v>21</v>
      </c>
      <c r="H1649" s="209" t="s">
        <v>272</v>
      </c>
      <c r="I1649" s="210"/>
    </row>
    <row r="1650" spans="1:9" x14ac:dyDescent="0.25">
      <c r="A1650" s="74"/>
      <c r="B1650" s="45">
        <v>1168</v>
      </c>
      <c r="C1650" s="64" t="s">
        <v>1577</v>
      </c>
      <c r="D1650" s="74"/>
      <c r="E1650" s="208" t="s">
        <v>122</v>
      </c>
      <c r="F1650" s="209" t="s">
        <v>21</v>
      </c>
      <c r="G1650" s="209" t="s">
        <v>21</v>
      </c>
      <c r="H1650" s="209" t="s">
        <v>272</v>
      </c>
      <c r="I1650" s="210"/>
    </row>
    <row r="1651" spans="1:9" x14ac:dyDescent="0.25">
      <c r="A1651" s="74"/>
      <c r="B1651" s="45">
        <v>115</v>
      </c>
      <c r="C1651" s="64" t="s">
        <v>527</v>
      </c>
      <c r="D1651" s="74"/>
      <c r="E1651" s="208" t="s">
        <v>122</v>
      </c>
      <c r="F1651" s="209" t="s">
        <v>21</v>
      </c>
      <c r="G1651" s="209" t="s">
        <v>21</v>
      </c>
      <c r="H1651" s="209" t="s">
        <v>272</v>
      </c>
      <c r="I1651" s="210"/>
    </row>
    <row r="1652" spans="1:9" x14ac:dyDescent="0.25">
      <c r="A1652" s="74"/>
      <c r="B1652" s="45">
        <v>46</v>
      </c>
      <c r="C1652" s="64" t="s">
        <v>460</v>
      </c>
      <c r="D1652" s="74"/>
      <c r="E1652" s="208" t="s">
        <v>122</v>
      </c>
      <c r="F1652" s="209" t="s">
        <v>21</v>
      </c>
      <c r="G1652" s="209" t="s">
        <v>21</v>
      </c>
      <c r="H1652" s="209" t="s">
        <v>272</v>
      </c>
      <c r="I1652" s="210"/>
    </row>
    <row r="1653" spans="1:9" x14ac:dyDescent="0.25">
      <c r="A1653" s="74"/>
      <c r="B1653" s="45">
        <v>27</v>
      </c>
      <c r="C1653" s="64" t="s">
        <v>441</v>
      </c>
      <c r="D1653" s="74"/>
      <c r="E1653" s="208" t="s">
        <v>122</v>
      </c>
      <c r="F1653" s="209" t="s">
        <v>21</v>
      </c>
      <c r="G1653" s="209" t="s">
        <v>21</v>
      </c>
      <c r="H1653" s="209" t="s">
        <v>272</v>
      </c>
      <c r="I1653" s="210"/>
    </row>
    <row r="1654" spans="1:9" x14ac:dyDescent="0.25">
      <c r="A1654" s="74"/>
      <c r="B1654" s="45">
        <v>1169</v>
      </c>
      <c r="C1654" s="64" t="s">
        <v>1578</v>
      </c>
      <c r="D1654" s="74"/>
      <c r="E1654" s="208" t="s">
        <v>122</v>
      </c>
      <c r="F1654" s="209" t="s">
        <v>21</v>
      </c>
      <c r="G1654" s="209" t="s">
        <v>21</v>
      </c>
      <c r="H1654" s="209" t="s">
        <v>272</v>
      </c>
      <c r="I1654" s="210"/>
    </row>
    <row r="1655" spans="1:9" x14ac:dyDescent="0.25">
      <c r="A1655" s="74"/>
      <c r="B1655" s="45">
        <v>1200</v>
      </c>
      <c r="C1655" s="64" t="s">
        <v>1606</v>
      </c>
      <c r="D1655" s="74"/>
      <c r="E1655" s="208" t="s">
        <v>133</v>
      </c>
      <c r="F1655" s="209" t="s">
        <v>21</v>
      </c>
      <c r="G1655" s="209" t="s">
        <v>21</v>
      </c>
      <c r="H1655" s="209" t="s">
        <v>272</v>
      </c>
      <c r="I1655" s="210"/>
    </row>
    <row r="1656" spans="1:9" x14ac:dyDescent="0.25">
      <c r="A1656" s="74"/>
      <c r="B1656" s="45">
        <v>1201</v>
      </c>
      <c r="C1656" s="64" t="s">
        <v>1607</v>
      </c>
      <c r="D1656" s="74"/>
      <c r="E1656" s="208" t="s">
        <v>133</v>
      </c>
      <c r="F1656" s="209" t="s">
        <v>21</v>
      </c>
      <c r="G1656" s="209" t="s">
        <v>21</v>
      </c>
      <c r="H1656" s="209" t="s">
        <v>272</v>
      </c>
      <c r="I1656" s="210"/>
    </row>
    <row r="1657" spans="1:9" x14ac:dyDescent="0.25">
      <c r="A1657" s="74"/>
      <c r="B1657" s="45">
        <v>119</v>
      </c>
      <c r="C1657" s="64" t="s">
        <v>531</v>
      </c>
      <c r="D1657" s="74"/>
      <c r="E1657" s="208" t="s">
        <v>133</v>
      </c>
      <c r="F1657" s="209" t="s">
        <v>21</v>
      </c>
      <c r="G1657" s="209" t="s">
        <v>21</v>
      </c>
      <c r="H1657" s="209" t="s">
        <v>191</v>
      </c>
      <c r="I1657" s="210"/>
    </row>
    <row r="1658" spans="1:9" x14ac:dyDescent="0.25">
      <c r="A1658" s="74"/>
      <c r="B1658" s="45">
        <v>1203</v>
      </c>
      <c r="C1658" s="64" t="s">
        <v>1608</v>
      </c>
      <c r="D1658" s="74"/>
      <c r="E1658" s="208" t="s">
        <v>133</v>
      </c>
      <c r="F1658" s="209" t="s">
        <v>21</v>
      </c>
      <c r="G1658" s="209" t="s">
        <v>21</v>
      </c>
      <c r="H1658" s="209" t="s">
        <v>272</v>
      </c>
      <c r="I1658" s="210"/>
    </row>
    <row r="1659" spans="1:9" x14ac:dyDescent="0.25">
      <c r="A1659" s="74"/>
      <c r="B1659" s="45">
        <v>1204</v>
      </c>
      <c r="C1659" s="64" t="s">
        <v>1609</v>
      </c>
      <c r="D1659" s="74"/>
      <c r="E1659" s="208" t="s">
        <v>133</v>
      </c>
      <c r="F1659" s="209" t="s">
        <v>21</v>
      </c>
      <c r="G1659" s="209" t="s">
        <v>21</v>
      </c>
      <c r="H1659" s="209" t="s">
        <v>272</v>
      </c>
      <c r="I1659" s="210"/>
    </row>
    <row r="1660" spans="1:9" x14ac:dyDescent="0.25">
      <c r="A1660" s="74"/>
      <c r="B1660" s="45">
        <v>1205</v>
      </c>
      <c r="C1660" s="64" t="s">
        <v>1610</v>
      </c>
      <c r="D1660" s="74"/>
      <c r="E1660" s="208" t="s">
        <v>133</v>
      </c>
      <c r="F1660" s="209" t="s">
        <v>21</v>
      </c>
      <c r="G1660" s="209" t="s">
        <v>21</v>
      </c>
      <c r="H1660" s="209" t="s">
        <v>272</v>
      </c>
      <c r="I1660" s="210"/>
    </row>
    <row r="1661" spans="1:9" x14ac:dyDescent="0.25">
      <c r="A1661" s="74"/>
      <c r="B1661" s="45">
        <v>1206</v>
      </c>
      <c r="C1661" s="64" t="s">
        <v>1611</v>
      </c>
      <c r="D1661" s="74"/>
      <c r="E1661" s="208" t="s">
        <v>133</v>
      </c>
      <c r="F1661" s="209" t="s">
        <v>21</v>
      </c>
      <c r="G1661" s="209" t="s">
        <v>21</v>
      </c>
      <c r="H1661" s="209" t="s">
        <v>272</v>
      </c>
      <c r="I1661" s="210"/>
    </row>
    <row r="1662" spans="1:9" x14ac:dyDescent="0.25">
      <c r="A1662" s="74"/>
      <c r="B1662" s="45">
        <v>1207</v>
      </c>
      <c r="C1662" s="64" t="s">
        <v>1612</v>
      </c>
      <c r="D1662" s="74"/>
      <c r="E1662" s="208" t="s">
        <v>133</v>
      </c>
      <c r="F1662" s="209" t="s">
        <v>21</v>
      </c>
      <c r="G1662" s="209" t="s">
        <v>21</v>
      </c>
      <c r="H1662" s="209" t="s">
        <v>272</v>
      </c>
      <c r="I1662" s="210"/>
    </row>
    <row r="1663" spans="1:9" x14ac:dyDescent="0.25">
      <c r="A1663" s="74"/>
      <c r="B1663" s="45">
        <v>92</v>
      </c>
      <c r="C1663" s="64" t="s">
        <v>504</v>
      </c>
      <c r="D1663" s="74"/>
      <c r="E1663" s="208" t="s">
        <v>133</v>
      </c>
      <c r="F1663" s="209" t="s">
        <v>21</v>
      </c>
      <c r="G1663" s="209" t="s">
        <v>21</v>
      </c>
      <c r="H1663" s="209" t="s">
        <v>192</v>
      </c>
      <c r="I1663" s="210"/>
    </row>
    <row r="1664" spans="1:9" x14ac:dyDescent="0.25">
      <c r="A1664" s="74"/>
      <c r="B1664" s="45">
        <v>1208</v>
      </c>
      <c r="C1664" s="64" t="s">
        <v>1613</v>
      </c>
      <c r="D1664" s="74"/>
      <c r="E1664" s="208" t="s">
        <v>133</v>
      </c>
      <c r="F1664" s="209" t="s">
        <v>21</v>
      </c>
      <c r="G1664" s="209" t="s">
        <v>21</v>
      </c>
      <c r="H1664" s="209" t="s">
        <v>272</v>
      </c>
      <c r="I1664" s="210"/>
    </row>
    <row r="1665" spans="1:9" x14ac:dyDescent="0.25">
      <c r="A1665" s="74"/>
      <c r="B1665" s="45">
        <v>89</v>
      </c>
      <c r="C1665" s="64" t="s">
        <v>501</v>
      </c>
      <c r="D1665" s="74"/>
      <c r="E1665" s="208" t="s">
        <v>133</v>
      </c>
      <c r="F1665" s="209" t="s">
        <v>21</v>
      </c>
      <c r="G1665" s="209" t="s">
        <v>21</v>
      </c>
      <c r="H1665" s="209" t="s">
        <v>272</v>
      </c>
      <c r="I1665" s="210"/>
    </row>
    <row r="1666" spans="1:9" x14ac:dyDescent="0.25">
      <c r="A1666" s="74"/>
      <c r="B1666" s="45">
        <v>1209</v>
      </c>
      <c r="C1666" s="64" t="s">
        <v>1614</v>
      </c>
      <c r="D1666" s="74"/>
      <c r="E1666" s="208" t="s">
        <v>133</v>
      </c>
      <c r="F1666" s="209" t="s">
        <v>21</v>
      </c>
      <c r="G1666" s="209" t="s">
        <v>21</v>
      </c>
      <c r="H1666" s="209" t="s">
        <v>192</v>
      </c>
      <c r="I1666" s="210"/>
    </row>
    <row r="1667" spans="1:9" x14ac:dyDescent="0.25">
      <c r="A1667" s="74"/>
      <c r="B1667" s="45">
        <v>1210</v>
      </c>
      <c r="C1667" s="64" t="s">
        <v>1615</v>
      </c>
      <c r="D1667" s="74"/>
      <c r="E1667" s="208" t="s">
        <v>133</v>
      </c>
      <c r="F1667" s="209" t="s">
        <v>21</v>
      </c>
      <c r="G1667" s="209" t="s">
        <v>21</v>
      </c>
      <c r="H1667" s="209" t="s">
        <v>192</v>
      </c>
      <c r="I1667" s="210"/>
    </row>
    <row r="1668" spans="1:9" x14ac:dyDescent="0.25">
      <c r="A1668" s="74"/>
      <c r="B1668" s="45">
        <v>1218</v>
      </c>
      <c r="C1668" s="64" t="s">
        <v>1623</v>
      </c>
      <c r="D1668" s="74"/>
      <c r="E1668" s="208" t="s">
        <v>133</v>
      </c>
      <c r="F1668" s="209" t="s">
        <v>21</v>
      </c>
      <c r="G1668" s="209" t="s">
        <v>21</v>
      </c>
      <c r="H1668" s="209" t="s">
        <v>272</v>
      </c>
      <c r="I1668" s="210"/>
    </row>
    <row r="1669" spans="1:9" x14ac:dyDescent="0.25">
      <c r="A1669" s="74"/>
      <c r="B1669" s="45">
        <v>1219</v>
      </c>
      <c r="C1669" s="64" t="s">
        <v>1624</v>
      </c>
      <c r="D1669" s="74"/>
      <c r="E1669" s="208" t="s">
        <v>133</v>
      </c>
      <c r="F1669" s="209" t="s">
        <v>21</v>
      </c>
      <c r="G1669" s="209" t="s">
        <v>21</v>
      </c>
      <c r="H1669" s="209" t="s">
        <v>272</v>
      </c>
      <c r="I1669" s="210"/>
    </row>
    <row r="1670" spans="1:9" x14ac:dyDescent="0.25">
      <c r="A1670" s="74"/>
      <c r="B1670" s="45">
        <v>1220</v>
      </c>
      <c r="C1670" s="64" t="s">
        <v>1625</v>
      </c>
      <c r="D1670" s="74"/>
      <c r="E1670" s="208" t="s">
        <v>133</v>
      </c>
      <c r="F1670" s="209" t="s">
        <v>21</v>
      </c>
      <c r="G1670" s="209" t="s">
        <v>21</v>
      </c>
      <c r="H1670" s="209" t="s">
        <v>272</v>
      </c>
      <c r="I1670" s="210"/>
    </row>
    <row r="1671" spans="1:9" x14ac:dyDescent="0.25">
      <c r="A1671" s="74"/>
      <c r="B1671" s="45">
        <v>1221</v>
      </c>
      <c r="C1671" s="64" t="s">
        <v>1626</v>
      </c>
      <c r="D1671" s="74"/>
      <c r="E1671" s="208" t="s">
        <v>133</v>
      </c>
      <c r="F1671" s="209" t="s">
        <v>21</v>
      </c>
      <c r="G1671" s="209" t="s">
        <v>21</v>
      </c>
      <c r="H1671" s="209" t="s">
        <v>272</v>
      </c>
      <c r="I1671" s="210"/>
    </row>
    <row r="1672" spans="1:9" x14ac:dyDescent="0.25">
      <c r="A1672" s="74"/>
      <c r="B1672" s="45">
        <v>1222</v>
      </c>
      <c r="C1672" s="64" t="s">
        <v>1627</v>
      </c>
      <c r="D1672" s="74"/>
      <c r="E1672" s="208" t="s">
        <v>133</v>
      </c>
      <c r="F1672" s="209" t="s">
        <v>21</v>
      </c>
      <c r="G1672" s="209" t="s">
        <v>21</v>
      </c>
      <c r="H1672" s="209" t="s">
        <v>272</v>
      </c>
      <c r="I1672" s="210"/>
    </row>
    <row r="1673" spans="1:9" x14ac:dyDescent="0.25">
      <c r="A1673" s="74"/>
      <c r="B1673" s="45">
        <v>1206</v>
      </c>
      <c r="C1673" s="64" t="s">
        <v>1611</v>
      </c>
      <c r="D1673" s="74"/>
      <c r="E1673" s="208" t="s">
        <v>133</v>
      </c>
      <c r="F1673" s="209" t="s">
        <v>21</v>
      </c>
      <c r="G1673" s="209" t="s">
        <v>21</v>
      </c>
      <c r="H1673" s="209" t="s">
        <v>272</v>
      </c>
      <c r="I1673" s="210"/>
    </row>
    <row r="1674" spans="1:9" x14ac:dyDescent="0.25">
      <c r="A1674" s="74"/>
      <c r="B1674" s="45">
        <v>1200</v>
      </c>
      <c r="C1674" s="64" t="s">
        <v>1606</v>
      </c>
      <c r="D1674" s="74"/>
      <c r="E1674" s="208" t="s">
        <v>133</v>
      </c>
      <c r="F1674" s="209" t="s">
        <v>21</v>
      </c>
      <c r="G1674" s="209" t="s">
        <v>21</v>
      </c>
      <c r="H1674" s="209" t="s">
        <v>272</v>
      </c>
      <c r="I1674" s="210"/>
    </row>
    <row r="1675" spans="1:9" x14ac:dyDescent="0.25">
      <c r="A1675" s="74"/>
      <c r="B1675" s="45">
        <v>1201</v>
      </c>
      <c r="C1675" s="64" t="s">
        <v>1607</v>
      </c>
      <c r="D1675" s="74"/>
      <c r="E1675" s="208" t="s">
        <v>133</v>
      </c>
      <c r="F1675" s="209" t="s">
        <v>21</v>
      </c>
      <c r="G1675" s="209" t="s">
        <v>21</v>
      </c>
      <c r="H1675" s="209" t="s">
        <v>272</v>
      </c>
      <c r="I1675" s="210"/>
    </row>
    <row r="1676" spans="1:9" x14ac:dyDescent="0.25">
      <c r="A1676" s="74"/>
      <c r="B1676" s="45">
        <v>1202</v>
      </c>
      <c r="C1676" s="64" t="s">
        <v>1591</v>
      </c>
      <c r="D1676" s="74"/>
      <c r="E1676" s="208" t="s">
        <v>133</v>
      </c>
      <c r="F1676" s="209" t="s">
        <v>21</v>
      </c>
      <c r="G1676" s="209" t="s">
        <v>21</v>
      </c>
      <c r="H1676" s="209" t="s">
        <v>272</v>
      </c>
      <c r="I1676" s="210"/>
    </row>
    <row r="1677" spans="1:9" x14ac:dyDescent="0.25">
      <c r="A1677" s="74"/>
      <c r="B1677" s="45">
        <v>119</v>
      </c>
      <c r="C1677" s="64" t="s">
        <v>531</v>
      </c>
      <c r="D1677" s="74"/>
      <c r="E1677" s="208" t="s">
        <v>133</v>
      </c>
      <c r="F1677" s="209" t="s">
        <v>21</v>
      </c>
      <c r="G1677" s="209" t="s">
        <v>21</v>
      </c>
      <c r="H1677" s="209" t="s">
        <v>272</v>
      </c>
      <c r="I1677" s="210"/>
    </row>
    <row r="1678" spans="1:9" x14ac:dyDescent="0.25">
      <c r="A1678" s="74"/>
      <c r="B1678" s="45">
        <v>1203</v>
      </c>
      <c r="C1678" s="64" t="s">
        <v>1608</v>
      </c>
      <c r="D1678" s="74"/>
      <c r="E1678" s="208" t="s">
        <v>133</v>
      </c>
      <c r="F1678" s="209" t="s">
        <v>21</v>
      </c>
      <c r="G1678" s="209" t="s">
        <v>21</v>
      </c>
      <c r="H1678" s="209" t="s">
        <v>272</v>
      </c>
      <c r="I1678" s="210"/>
    </row>
    <row r="1679" spans="1:9" x14ac:dyDescent="0.25">
      <c r="A1679" s="74"/>
      <c r="B1679" s="45">
        <v>1204</v>
      </c>
      <c r="C1679" s="64" t="s">
        <v>1609</v>
      </c>
      <c r="D1679" s="74"/>
      <c r="E1679" s="208" t="s">
        <v>133</v>
      </c>
      <c r="F1679" s="209" t="s">
        <v>21</v>
      </c>
      <c r="G1679" s="209" t="s">
        <v>21</v>
      </c>
      <c r="H1679" s="209" t="s">
        <v>272</v>
      </c>
      <c r="I1679" s="210"/>
    </row>
    <row r="1680" spans="1:9" x14ac:dyDescent="0.25">
      <c r="A1680" s="74"/>
      <c r="B1680" s="45">
        <v>1205</v>
      </c>
      <c r="C1680" s="64" t="s">
        <v>1610</v>
      </c>
      <c r="D1680" s="74"/>
      <c r="E1680" s="208" t="s">
        <v>133</v>
      </c>
      <c r="F1680" s="209" t="s">
        <v>21</v>
      </c>
      <c r="G1680" s="209" t="s">
        <v>21</v>
      </c>
      <c r="H1680" s="209" t="s">
        <v>272</v>
      </c>
      <c r="I1680" s="210"/>
    </row>
    <row r="1681" spans="1:9" x14ac:dyDescent="0.25">
      <c r="A1681" s="74"/>
      <c r="B1681" s="45">
        <v>1206</v>
      </c>
      <c r="C1681" s="64" t="s">
        <v>1611</v>
      </c>
      <c r="D1681" s="74"/>
      <c r="E1681" s="208" t="s">
        <v>133</v>
      </c>
      <c r="F1681" s="209" t="s">
        <v>21</v>
      </c>
      <c r="G1681" s="209" t="s">
        <v>21</v>
      </c>
      <c r="H1681" s="209" t="s">
        <v>272</v>
      </c>
      <c r="I1681" s="210"/>
    </row>
    <row r="1682" spans="1:9" x14ac:dyDescent="0.25">
      <c r="A1682" s="74"/>
      <c r="B1682" s="45">
        <v>1207</v>
      </c>
      <c r="C1682" s="64" t="s">
        <v>1612</v>
      </c>
      <c r="D1682" s="74"/>
      <c r="E1682" s="208" t="s">
        <v>133</v>
      </c>
      <c r="F1682" s="209" t="s">
        <v>21</v>
      </c>
      <c r="G1682" s="209" t="s">
        <v>21</v>
      </c>
      <c r="H1682" s="209" t="s">
        <v>272</v>
      </c>
      <c r="I1682" s="210"/>
    </row>
    <row r="1683" spans="1:9" x14ac:dyDescent="0.25">
      <c r="A1683" s="74"/>
      <c r="B1683" s="45">
        <v>92</v>
      </c>
      <c r="C1683" s="64" t="s">
        <v>504</v>
      </c>
      <c r="D1683" s="74"/>
      <c r="E1683" s="208" t="s">
        <v>133</v>
      </c>
      <c r="F1683" s="209" t="s">
        <v>21</v>
      </c>
      <c r="G1683" s="209" t="s">
        <v>21</v>
      </c>
      <c r="H1683" s="209" t="s">
        <v>192</v>
      </c>
      <c r="I1683" s="210"/>
    </row>
    <row r="1684" spans="1:9" x14ac:dyDescent="0.25">
      <c r="A1684" s="74"/>
      <c r="B1684" s="45">
        <v>1208</v>
      </c>
      <c r="C1684" s="64" t="s">
        <v>1613</v>
      </c>
      <c r="D1684" s="74"/>
      <c r="E1684" s="208" t="s">
        <v>133</v>
      </c>
      <c r="F1684" s="209" t="s">
        <v>21</v>
      </c>
      <c r="G1684" s="209" t="s">
        <v>21</v>
      </c>
      <c r="H1684" s="209" t="s">
        <v>192</v>
      </c>
      <c r="I1684" s="210"/>
    </row>
    <row r="1685" spans="1:9" x14ac:dyDescent="0.25">
      <c r="A1685" s="74"/>
      <c r="B1685" s="45">
        <v>89</v>
      </c>
      <c r="C1685" s="64" t="s">
        <v>501</v>
      </c>
      <c r="D1685" s="74"/>
      <c r="E1685" s="208" t="s">
        <v>133</v>
      </c>
      <c r="F1685" s="209" t="s">
        <v>21</v>
      </c>
      <c r="G1685" s="209" t="s">
        <v>21</v>
      </c>
      <c r="H1685" s="209" t="s">
        <v>272</v>
      </c>
      <c r="I1685" s="210"/>
    </row>
    <row r="1686" spans="1:9" x14ac:dyDescent="0.25">
      <c r="A1686" s="74"/>
      <c r="B1686" s="45">
        <v>1209</v>
      </c>
      <c r="C1686" s="64" t="s">
        <v>1614</v>
      </c>
      <c r="D1686" s="74"/>
      <c r="E1686" s="208" t="s">
        <v>133</v>
      </c>
      <c r="F1686" s="209" t="s">
        <v>21</v>
      </c>
      <c r="G1686" s="209" t="s">
        <v>21</v>
      </c>
      <c r="H1686" s="209" t="s">
        <v>192</v>
      </c>
      <c r="I1686" s="210"/>
    </row>
    <row r="1687" spans="1:9" x14ac:dyDescent="0.25">
      <c r="A1687" s="74"/>
      <c r="B1687" s="45">
        <v>1210</v>
      </c>
      <c r="C1687" s="64" t="s">
        <v>1615</v>
      </c>
      <c r="D1687" s="74"/>
      <c r="E1687" s="208" t="s">
        <v>133</v>
      </c>
      <c r="F1687" s="209" t="s">
        <v>21</v>
      </c>
      <c r="G1687" s="209" t="s">
        <v>21</v>
      </c>
      <c r="H1687" s="209" t="s">
        <v>192</v>
      </c>
      <c r="I1687" s="210"/>
    </row>
    <row r="1688" spans="1:9" x14ac:dyDescent="0.25">
      <c r="A1688" s="74"/>
      <c r="B1688" s="45">
        <v>1200</v>
      </c>
      <c r="C1688" s="64" t="s">
        <v>1606</v>
      </c>
      <c r="D1688" s="74"/>
      <c r="E1688" s="208" t="s">
        <v>133</v>
      </c>
      <c r="F1688" s="209" t="s">
        <v>21</v>
      </c>
      <c r="G1688" s="209" t="s">
        <v>21</v>
      </c>
      <c r="H1688" s="209" t="s">
        <v>272</v>
      </c>
      <c r="I1688" s="210"/>
    </row>
    <row r="1689" spans="1:9" x14ac:dyDescent="0.25">
      <c r="A1689" s="74"/>
      <c r="B1689" s="45">
        <v>1201</v>
      </c>
      <c r="C1689" s="64" t="s">
        <v>1607</v>
      </c>
      <c r="D1689" s="74"/>
      <c r="E1689" s="208" t="s">
        <v>133</v>
      </c>
      <c r="F1689" s="209" t="s">
        <v>21</v>
      </c>
      <c r="G1689" s="209" t="s">
        <v>21</v>
      </c>
      <c r="H1689" s="209" t="s">
        <v>272</v>
      </c>
      <c r="I1689" s="210"/>
    </row>
    <row r="1690" spans="1:9" x14ac:dyDescent="0.25">
      <c r="A1690" s="74"/>
      <c r="B1690" s="45">
        <v>1202</v>
      </c>
      <c r="C1690" s="64" t="s">
        <v>1591</v>
      </c>
      <c r="D1690" s="74"/>
      <c r="E1690" s="208" t="s">
        <v>133</v>
      </c>
      <c r="F1690" s="209" t="s">
        <v>21</v>
      </c>
      <c r="G1690" s="209" t="s">
        <v>21</v>
      </c>
      <c r="H1690" s="209" t="s">
        <v>272</v>
      </c>
      <c r="I1690" s="210"/>
    </row>
    <row r="1691" spans="1:9" x14ac:dyDescent="0.25">
      <c r="A1691" s="74"/>
      <c r="B1691" s="45">
        <v>119</v>
      </c>
      <c r="C1691" s="64" t="s">
        <v>531</v>
      </c>
      <c r="D1691" s="74"/>
      <c r="E1691" s="208" t="s">
        <v>133</v>
      </c>
      <c r="F1691" s="209" t="s">
        <v>21</v>
      </c>
      <c r="G1691" s="209" t="s">
        <v>21</v>
      </c>
      <c r="H1691" s="209" t="s">
        <v>272</v>
      </c>
      <c r="I1691" s="210"/>
    </row>
    <row r="1692" spans="1:9" x14ac:dyDescent="0.25">
      <c r="A1692" s="74"/>
      <c r="B1692" s="45">
        <v>1203</v>
      </c>
      <c r="C1692" s="64" t="s">
        <v>1608</v>
      </c>
      <c r="D1692" s="74"/>
      <c r="E1692" s="208" t="s">
        <v>133</v>
      </c>
      <c r="F1692" s="209" t="s">
        <v>21</v>
      </c>
      <c r="G1692" s="209" t="s">
        <v>21</v>
      </c>
      <c r="H1692" s="209" t="s">
        <v>272</v>
      </c>
      <c r="I1692" s="210"/>
    </row>
    <row r="1693" spans="1:9" x14ac:dyDescent="0.25">
      <c r="A1693" s="74"/>
      <c r="B1693" s="45">
        <v>1204</v>
      </c>
      <c r="C1693" s="64" t="s">
        <v>1609</v>
      </c>
      <c r="D1693" s="74"/>
      <c r="E1693" s="208" t="s">
        <v>133</v>
      </c>
      <c r="F1693" s="209" t="s">
        <v>21</v>
      </c>
      <c r="G1693" s="209" t="s">
        <v>21</v>
      </c>
      <c r="H1693" s="209" t="s">
        <v>272</v>
      </c>
      <c r="I1693" s="210"/>
    </row>
    <row r="1694" spans="1:9" x14ac:dyDescent="0.25">
      <c r="A1694" s="74"/>
      <c r="B1694" s="45">
        <v>1205</v>
      </c>
      <c r="C1694" s="64" t="s">
        <v>1610</v>
      </c>
      <c r="D1694" s="74"/>
      <c r="E1694" s="208" t="s">
        <v>133</v>
      </c>
      <c r="F1694" s="209" t="s">
        <v>21</v>
      </c>
      <c r="G1694" s="209" t="s">
        <v>21</v>
      </c>
      <c r="H1694" s="209" t="s">
        <v>272</v>
      </c>
      <c r="I1694" s="210"/>
    </row>
    <row r="1695" spans="1:9" x14ac:dyDescent="0.25">
      <c r="A1695" s="74"/>
      <c r="B1695" s="45">
        <v>1206</v>
      </c>
      <c r="C1695" s="64" t="s">
        <v>1611</v>
      </c>
      <c r="D1695" s="74"/>
      <c r="E1695" s="208" t="s">
        <v>133</v>
      </c>
      <c r="F1695" s="209" t="s">
        <v>21</v>
      </c>
      <c r="G1695" s="209" t="s">
        <v>21</v>
      </c>
      <c r="H1695" s="209" t="s">
        <v>272</v>
      </c>
      <c r="I1695" s="210"/>
    </row>
    <row r="1696" spans="1:9" x14ac:dyDescent="0.25">
      <c r="A1696" s="74"/>
      <c r="B1696" s="45">
        <v>1207</v>
      </c>
      <c r="C1696" s="64" t="s">
        <v>1612</v>
      </c>
      <c r="D1696" s="74"/>
      <c r="E1696" s="208" t="s">
        <v>133</v>
      </c>
      <c r="F1696" s="209" t="s">
        <v>21</v>
      </c>
      <c r="G1696" s="209" t="s">
        <v>21</v>
      </c>
      <c r="H1696" s="209" t="s">
        <v>272</v>
      </c>
      <c r="I1696" s="210"/>
    </row>
    <row r="1697" spans="1:9" x14ac:dyDescent="0.25">
      <c r="A1697" s="74"/>
      <c r="B1697" s="45">
        <v>92</v>
      </c>
      <c r="C1697" s="64" t="s">
        <v>504</v>
      </c>
      <c r="D1697" s="74"/>
      <c r="E1697" s="208" t="s">
        <v>133</v>
      </c>
      <c r="F1697" s="209" t="s">
        <v>21</v>
      </c>
      <c r="G1697" s="209" t="s">
        <v>21</v>
      </c>
      <c r="H1697" s="209" t="s">
        <v>192</v>
      </c>
      <c r="I1697" s="210"/>
    </row>
    <row r="1698" spans="1:9" x14ac:dyDescent="0.25">
      <c r="A1698" s="74"/>
      <c r="B1698" s="45">
        <v>111</v>
      </c>
      <c r="C1698" s="64" t="s">
        <v>523</v>
      </c>
      <c r="D1698" s="74"/>
      <c r="E1698" s="208" t="s">
        <v>133</v>
      </c>
      <c r="F1698" s="209" t="s">
        <v>21</v>
      </c>
      <c r="G1698" s="209" t="s">
        <v>21</v>
      </c>
      <c r="H1698" s="209" t="s">
        <v>192</v>
      </c>
      <c r="I1698" s="210"/>
    </row>
    <row r="1699" spans="1:9" x14ac:dyDescent="0.25">
      <c r="A1699" s="74"/>
      <c r="B1699" s="45">
        <v>1208</v>
      </c>
      <c r="C1699" s="64" t="s">
        <v>1613</v>
      </c>
      <c r="D1699" s="74"/>
      <c r="E1699" s="208" t="s">
        <v>133</v>
      </c>
      <c r="F1699" s="209" t="s">
        <v>21</v>
      </c>
      <c r="G1699" s="209" t="s">
        <v>21</v>
      </c>
      <c r="H1699" s="209" t="s">
        <v>192</v>
      </c>
      <c r="I1699" s="210"/>
    </row>
    <row r="1700" spans="1:9" x14ac:dyDescent="0.25">
      <c r="A1700" s="74"/>
      <c r="B1700" s="45">
        <v>89</v>
      </c>
      <c r="C1700" s="64" t="s">
        <v>501</v>
      </c>
      <c r="D1700" s="74"/>
      <c r="E1700" s="208" t="s">
        <v>133</v>
      </c>
      <c r="F1700" s="209" t="s">
        <v>21</v>
      </c>
      <c r="G1700" s="209" t="s">
        <v>21</v>
      </c>
      <c r="H1700" s="209" t="s">
        <v>272</v>
      </c>
      <c r="I1700" s="210"/>
    </row>
    <row r="1701" spans="1:9" x14ac:dyDescent="0.25">
      <c r="A1701" s="74"/>
      <c r="B1701" s="45">
        <v>1209</v>
      </c>
      <c r="C1701" s="64" t="s">
        <v>1614</v>
      </c>
      <c r="D1701" s="74"/>
      <c r="E1701" s="208" t="s">
        <v>133</v>
      </c>
      <c r="F1701" s="209" t="s">
        <v>21</v>
      </c>
      <c r="G1701" s="209" t="s">
        <v>21</v>
      </c>
      <c r="H1701" s="209" t="s">
        <v>192</v>
      </c>
      <c r="I1701" s="210"/>
    </row>
    <row r="1702" spans="1:9" x14ac:dyDescent="0.25">
      <c r="A1702" s="74"/>
      <c r="B1702" s="45">
        <v>1210</v>
      </c>
      <c r="C1702" s="64" t="s">
        <v>1615</v>
      </c>
      <c r="D1702" s="74"/>
      <c r="E1702" s="208" t="s">
        <v>133</v>
      </c>
      <c r="F1702" s="209" t="s">
        <v>21</v>
      </c>
      <c r="G1702" s="209" t="s">
        <v>21</v>
      </c>
      <c r="H1702" s="209" t="s">
        <v>192</v>
      </c>
      <c r="I1702" s="210"/>
    </row>
    <row r="1703" spans="1:9" x14ac:dyDescent="0.25">
      <c r="A1703" s="74"/>
      <c r="B1703" s="45">
        <v>1200</v>
      </c>
      <c r="C1703" s="64" t="s">
        <v>1606</v>
      </c>
      <c r="D1703" s="74"/>
      <c r="E1703" s="208" t="s">
        <v>133</v>
      </c>
      <c r="F1703" s="209" t="s">
        <v>21</v>
      </c>
      <c r="G1703" s="209" t="s">
        <v>21</v>
      </c>
      <c r="H1703" s="209" t="s">
        <v>272</v>
      </c>
      <c r="I1703" s="210"/>
    </row>
    <row r="1704" spans="1:9" x14ac:dyDescent="0.25">
      <c r="A1704" s="74"/>
      <c r="B1704" s="45">
        <v>1201</v>
      </c>
      <c r="C1704" s="64" t="s">
        <v>1607</v>
      </c>
      <c r="D1704" s="74"/>
      <c r="E1704" s="208" t="s">
        <v>133</v>
      </c>
      <c r="F1704" s="209" t="s">
        <v>21</v>
      </c>
      <c r="G1704" s="209" t="s">
        <v>21</v>
      </c>
      <c r="H1704" s="209" t="s">
        <v>272</v>
      </c>
      <c r="I1704" s="210"/>
    </row>
    <row r="1705" spans="1:9" x14ac:dyDescent="0.25">
      <c r="A1705" s="74"/>
      <c r="B1705" s="45">
        <v>1202</v>
      </c>
      <c r="C1705" s="64" t="s">
        <v>1591</v>
      </c>
      <c r="D1705" s="74"/>
      <c r="E1705" s="208" t="s">
        <v>133</v>
      </c>
      <c r="F1705" s="209" t="s">
        <v>21</v>
      </c>
      <c r="G1705" s="209" t="s">
        <v>21</v>
      </c>
      <c r="H1705" s="209" t="s">
        <v>272</v>
      </c>
      <c r="I1705" s="210"/>
    </row>
    <row r="1706" spans="1:9" x14ac:dyDescent="0.25">
      <c r="A1706" s="74"/>
      <c r="B1706" s="45">
        <v>119</v>
      </c>
      <c r="C1706" s="64" t="s">
        <v>531</v>
      </c>
      <c r="D1706" s="74"/>
      <c r="E1706" s="208" t="s">
        <v>133</v>
      </c>
      <c r="F1706" s="209" t="s">
        <v>21</v>
      </c>
      <c r="G1706" s="209" t="s">
        <v>21</v>
      </c>
      <c r="H1706" s="209" t="s">
        <v>272</v>
      </c>
      <c r="I1706" s="210"/>
    </row>
    <row r="1707" spans="1:9" x14ac:dyDescent="0.25">
      <c r="A1707" s="74"/>
      <c r="B1707" s="45">
        <v>1203</v>
      </c>
      <c r="C1707" s="64" t="s">
        <v>1608</v>
      </c>
      <c r="D1707" s="74"/>
      <c r="E1707" s="208" t="s">
        <v>133</v>
      </c>
      <c r="F1707" s="209" t="s">
        <v>21</v>
      </c>
      <c r="G1707" s="209" t="s">
        <v>21</v>
      </c>
      <c r="H1707" s="209" t="s">
        <v>272</v>
      </c>
      <c r="I1707" s="210"/>
    </row>
    <row r="1708" spans="1:9" x14ac:dyDescent="0.25">
      <c r="A1708" s="74"/>
      <c r="B1708" s="45">
        <v>1204</v>
      </c>
      <c r="C1708" s="64" t="s">
        <v>1609</v>
      </c>
      <c r="D1708" s="74"/>
      <c r="E1708" s="208" t="s">
        <v>133</v>
      </c>
      <c r="F1708" s="209" t="s">
        <v>21</v>
      </c>
      <c r="G1708" s="209" t="s">
        <v>21</v>
      </c>
      <c r="H1708" s="209" t="s">
        <v>272</v>
      </c>
      <c r="I1708" s="210"/>
    </row>
    <row r="1709" spans="1:9" x14ac:dyDescent="0.25">
      <c r="A1709" s="74"/>
      <c r="B1709" s="45">
        <v>1205</v>
      </c>
      <c r="C1709" s="64" t="s">
        <v>1610</v>
      </c>
      <c r="D1709" s="74"/>
      <c r="E1709" s="208" t="s">
        <v>133</v>
      </c>
      <c r="F1709" s="209" t="s">
        <v>21</v>
      </c>
      <c r="G1709" s="209" t="s">
        <v>21</v>
      </c>
      <c r="H1709" s="209" t="s">
        <v>272</v>
      </c>
      <c r="I1709" s="210"/>
    </row>
    <row r="1710" spans="1:9" x14ac:dyDescent="0.25">
      <c r="A1710" s="74"/>
      <c r="B1710" s="45">
        <v>1206</v>
      </c>
      <c r="C1710" s="64" t="s">
        <v>1611</v>
      </c>
      <c r="D1710" s="74"/>
      <c r="E1710" s="208" t="s">
        <v>133</v>
      </c>
      <c r="F1710" s="209" t="s">
        <v>21</v>
      </c>
      <c r="G1710" s="209" t="s">
        <v>21</v>
      </c>
      <c r="H1710" s="209" t="s">
        <v>272</v>
      </c>
      <c r="I1710" s="210"/>
    </row>
    <row r="1711" spans="1:9" x14ac:dyDescent="0.25">
      <c r="A1711" s="74"/>
      <c r="B1711" s="45">
        <v>1207</v>
      </c>
      <c r="C1711" s="64" t="s">
        <v>1612</v>
      </c>
      <c r="D1711" s="74"/>
      <c r="E1711" s="208" t="s">
        <v>133</v>
      </c>
      <c r="F1711" s="209" t="s">
        <v>21</v>
      </c>
      <c r="G1711" s="209" t="s">
        <v>21</v>
      </c>
      <c r="H1711" s="209" t="s">
        <v>272</v>
      </c>
      <c r="I1711" s="210"/>
    </row>
    <row r="1712" spans="1:9" x14ac:dyDescent="0.25">
      <c r="A1712" s="74"/>
      <c r="B1712" s="45">
        <v>92</v>
      </c>
      <c r="C1712" s="64" t="s">
        <v>504</v>
      </c>
      <c r="D1712" s="74"/>
      <c r="E1712" s="208" t="s">
        <v>133</v>
      </c>
      <c r="F1712" s="209" t="s">
        <v>21</v>
      </c>
      <c r="G1712" s="209" t="s">
        <v>21</v>
      </c>
      <c r="H1712" s="209" t="s">
        <v>192</v>
      </c>
      <c r="I1712" s="210"/>
    </row>
    <row r="1713" spans="1:9" x14ac:dyDescent="0.25">
      <c r="A1713" s="74"/>
      <c r="B1713" s="45">
        <v>1208</v>
      </c>
      <c r="C1713" s="64" t="s">
        <v>1613</v>
      </c>
      <c r="D1713" s="74"/>
      <c r="E1713" s="208" t="s">
        <v>133</v>
      </c>
      <c r="F1713" s="209" t="s">
        <v>21</v>
      </c>
      <c r="G1713" s="209" t="s">
        <v>21</v>
      </c>
      <c r="H1713" s="209" t="s">
        <v>192</v>
      </c>
      <c r="I1713" s="210"/>
    </row>
    <row r="1714" spans="1:9" x14ac:dyDescent="0.25">
      <c r="A1714" s="74"/>
      <c r="B1714" s="45">
        <v>89</v>
      </c>
      <c r="C1714" s="64" t="s">
        <v>501</v>
      </c>
      <c r="D1714" s="74"/>
      <c r="E1714" s="208" t="s">
        <v>133</v>
      </c>
      <c r="F1714" s="209" t="s">
        <v>21</v>
      </c>
      <c r="G1714" s="209" t="s">
        <v>21</v>
      </c>
      <c r="H1714" s="209" t="s">
        <v>272</v>
      </c>
      <c r="I1714" s="210"/>
    </row>
    <row r="1715" spans="1:9" x14ac:dyDescent="0.25">
      <c r="A1715" s="74"/>
      <c r="B1715" s="45">
        <v>1209</v>
      </c>
      <c r="C1715" s="64" t="s">
        <v>1614</v>
      </c>
      <c r="D1715" s="74"/>
      <c r="E1715" s="208" t="s">
        <v>133</v>
      </c>
      <c r="F1715" s="209" t="s">
        <v>21</v>
      </c>
      <c r="G1715" s="209" t="s">
        <v>21</v>
      </c>
      <c r="H1715" s="209" t="s">
        <v>192</v>
      </c>
      <c r="I1715" s="210"/>
    </row>
    <row r="1716" spans="1:9" x14ac:dyDescent="0.25">
      <c r="A1716" s="74"/>
      <c r="B1716" s="45">
        <v>1210</v>
      </c>
      <c r="C1716" s="64" t="s">
        <v>1615</v>
      </c>
      <c r="D1716" s="74"/>
      <c r="E1716" s="208" t="s">
        <v>133</v>
      </c>
      <c r="F1716" s="209" t="s">
        <v>21</v>
      </c>
      <c r="G1716" s="209" t="s">
        <v>21</v>
      </c>
      <c r="H1716" s="209" t="s">
        <v>192</v>
      </c>
      <c r="I1716" s="210"/>
    </row>
    <row r="1717" spans="1:9" x14ac:dyDescent="0.25">
      <c r="A1717" s="74"/>
      <c r="B1717" s="45">
        <v>1200</v>
      </c>
      <c r="C1717" s="64" t="s">
        <v>1606</v>
      </c>
      <c r="D1717" s="74"/>
      <c r="E1717" s="208" t="s">
        <v>133</v>
      </c>
      <c r="F1717" s="209" t="s">
        <v>21</v>
      </c>
      <c r="G1717" s="209" t="s">
        <v>21</v>
      </c>
      <c r="H1717" s="209" t="s">
        <v>272</v>
      </c>
      <c r="I1717" s="210"/>
    </row>
    <row r="1718" spans="1:9" x14ac:dyDescent="0.25">
      <c r="A1718" s="74"/>
      <c r="B1718" s="45">
        <v>1201</v>
      </c>
      <c r="C1718" s="64" t="s">
        <v>1607</v>
      </c>
      <c r="D1718" s="74"/>
      <c r="E1718" s="208" t="s">
        <v>133</v>
      </c>
      <c r="F1718" s="209" t="s">
        <v>21</v>
      </c>
      <c r="G1718" s="209" t="s">
        <v>21</v>
      </c>
      <c r="H1718" s="209" t="s">
        <v>272</v>
      </c>
      <c r="I1718" s="210"/>
    </row>
    <row r="1719" spans="1:9" x14ac:dyDescent="0.25">
      <c r="A1719" s="74"/>
      <c r="B1719" s="45">
        <v>1202</v>
      </c>
      <c r="C1719" s="64" t="s">
        <v>1591</v>
      </c>
      <c r="D1719" s="74"/>
      <c r="E1719" s="208" t="s">
        <v>133</v>
      </c>
      <c r="F1719" s="209" t="s">
        <v>21</v>
      </c>
      <c r="G1719" s="209" t="s">
        <v>21</v>
      </c>
      <c r="H1719" s="209" t="s">
        <v>272</v>
      </c>
      <c r="I1719" s="210"/>
    </row>
    <row r="1720" spans="1:9" x14ac:dyDescent="0.25">
      <c r="A1720" s="74"/>
      <c r="B1720" s="45">
        <v>119</v>
      </c>
      <c r="C1720" s="64" t="s">
        <v>531</v>
      </c>
      <c r="D1720" s="74"/>
      <c r="E1720" s="208" t="s">
        <v>133</v>
      </c>
      <c r="F1720" s="209" t="s">
        <v>21</v>
      </c>
      <c r="G1720" s="209" t="s">
        <v>21</v>
      </c>
      <c r="H1720" s="209" t="s">
        <v>272</v>
      </c>
      <c r="I1720" s="210"/>
    </row>
    <row r="1721" spans="1:9" x14ac:dyDescent="0.25">
      <c r="A1721" s="74"/>
      <c r="B1721" s="45">
        <v>1203</v>
      </c>
      <c r="C1721" s="64" t="s">
        <v>1608</v>
      </c>
      <c r="D1721" s="74"/>
      <c r="E1721" s="208" t="s">
        <v>133</v>
      </c>
      <c r="F1721" s="209" t="s">
        <v>21</v>
      </c>
      <c r="G1721" s="209" t="s">
        <v>21</v>
      </c>
      <c r="H1721" s="209" t="s">
        <v>272</v>
      </c>
      <c r="I1721" s="210"/>
    </row>
    <row r="1722" spans="1:9" x14ac:dyDescent="0.25">
      <c r="A1722" s="74"/>
      <c r="B1722" s="45">
        <v>1204</v>
      </c>
      <c r="C1722" s="64" t="s">
        <v>1609</v>
      </c>
      <c r="D1722" s="74"/>
      <c r="E1722" s="208" t="s">
        <v>133</v>
      </c>
      <c r="F1722" s="209" t="s">
        <v>21</v>
      </c>
      <c r="G1722" s="209" t="s">
        <v>21</v>
      </c>
      <c r="H1722" s="209" t="s">
        <v>272</v>
      </c>
      <c r="I1722" s="210"/>
    </row>
    <row r="1723" spans="1:9" x14ac:dyDescent="0.25">
      <c r="A1723" s="74"/>
      <c r="B1723" s="45">
        <v>1205</v>
      </c>
      <c r="C1723" s="64" t="s">
        <v>1610</v>
      </c>
      <c r="D1723" s="74"/>
      <c r="E1723" s="208" t="s">
        <v>133</v>
      </c>
      <c r="F1723" s="209" t="s">
        <v>21</v>
      </c>
      <c r="G1723" s="209" t="s">
        <v>21</v>
      </c>
      <c r="H1723" s="209" t="s">
        <v>272</v>
      </c>
      <c r="I1723" s="210"/>
    </row>
    <row r="1724" spans="1:9" x14ac:dyDescent="0.25">
      <c r="A1724" s="74"/>
      <c r="B1724" s="45">
        <v>1206</v>
      </c>
      <c r="C1724" s="64" t="s">
        <v>1611</v>
      </c>
      <c r="D1724" s="74"/>
      <c r="E1724" s="208" t="s">
        <v>133</v>
      </c>
      <c r="F1724" s="209" t="s">
        <v>21</v>
      </c>
      <c r="G1724" s="209" t="s">
        <v>21</v>
      </c>
      <c r="H1724" s="209" t="s">
        <v>272</v>
      </c>
      <c r="I1724" s="210"/>
    </row>
    <row r="1725" spans="1:9" x14ac:dyDescent="0.25">
      <c r="A1725" s="74"/>
      <c r="B1725" s="45">
        <v>1207</v>
      </c>
      <c r="C1725" s="64" t="s">
        <v>1612</v>
      </c>
      <c r="D1725" s="74"/>
      <c r="E1725" s="208" t="s">
        <v>133</v>
      </c>
      <c r="F1725" s="209" t="s">
        <v>21</v>
      </c>
      <c r="G1725" s="209" t="s">
        <v>21</v>
      </c>
      <c r="H1725" s="209" t="s">
        <v>272</v>
      </c>
      <c r="I1725" s="210"/>
    </row>
    <row r="1726" spans="1:9" x14ac:dyDescent="0.25">
      <c r="A1726" s="74"/>
      <c r="B1726" s="45">
        <v>92</v>
      </c>
      <c r="C1726" s="64" t="s">
        <v>504</v>
      </c>
      <c r="D1726" s="74"/>
      <c r="E1726" s="208" t="s">
        <v>133</v>
      </c>
      <c r="F1726" s="209" t="s">
        <v>21</v>
      </c>
      <c r="G1726" s="209" t="s">
        <v>21</v>
      </c>
      <c r="H1726" s="209" t="s">
        <v>192</v>
      </c>
      <c r="I1726" s="210"/>
    </row>
    <row r="1727" spans="1:9" x14ac:dyDescent="0.25">
      <c r="A1727" s="74"/>
      <c r="B1727" s="45">
        <v>1208</v>
      </c>
      <c r="C1727" s="64" t="s">
        <v>1613</v>
      </c>
      <c r="D1727" s="74"/>
      <c r="E1727" s="208" t="s">
        <v>133</v>
      </c>
      <c r="F1727" s="209" t="s">
        <v>21</v>
      </c>
      <c r="G1727" s="209" t="s">
        <v>21</v>
      </c>
      <c r="H1727" s="209" t="s">
        <v>192</v>
      </c>
      <c r="I1727" s="210"/>
    </row>
    <row r="1728" spans="1:9" x14ac:dyDescent="0.25">
      <c r="A1728" s="74"/>
      <c r="B1728" s="45">
        <v>89</v>
      </c>
      <c r="C1728" s="64" t="s">
        <v>501</v>
      </c>
      <c r="D1728" s="74"/>
      <c r="E1728" s="208" t="s">
        <v>133</v>
      </c>
      <c r="F1728" s="209" t="s">
        <v>21</v>
      </c>
      <c r="G1728" s="209" t="s">
        <v>21</v>
      </c>
      <c r="H1728" s="209" t="s">
        <v>272</v>
      </c>
      <c r="I1728" s="210"/>
    </row>
    <row r="1729" spans="1:9" x14ac:dyDescent="0.25">
      <c r="A1729" s="74"/>
      <c r="B1729" s="45">
        <v>1209</v>
      </c>
      <c r="C1729" s="64" t="s">
        <v>1614</v>
      </c>
      <c r="D1729" s="74"/>
      <c r="E1729" s="208" t="s">
        <v>133</v>
      </c>
      <c r="F1729" s="209" t="s">
        <v>21</v>
      </c>
      <c r="G1729" s="209" t="s">
        <v>21</v>
      </c>
      <c r="H1729" s="209" t="s">
        <v>192</v>
      </c>
      <c r="I1729" s="210"/>
    </row>
    <row r="1730" spans="1:9" x14ac:dyDescent="0.25">
      <c r="A1730" s="74"/>
      <c r="B1730" s="45">
        <v>1210</v>
      </c>
      <c r="C1730" s="64" t="s">
        <v>1615</v>
      </c>
      <c r="D1730" s="74"/>
      <c r="E1730" s="208" t="s">
        <v>133</v>
      </c>
      <c r="F1730" s="209" t="s">
        <v>21</v>
      </c>
      <c r="G1730" s="209" t="s">
        <v>21</v>
      </c>
      <c r="H1730" s="209" t="s">
        <v>192</v>
      </c>
      <c r="I1730" s="210"/>
    </row>
    <row r="1731" spans="1:9" x14ac:dyDescent="0.25">
      <c r="A1731" s="74"/>
      <c r="B1731" s="45">
        <v>1218</v>
      </c>
      <c r="C1731" s="64" t="s">
        <v>1623</v>
      </c>
      <c r="D1731" s="74"/>
      <c r="E1731" s="208" t="s">
        <v>133</v>
      </c>
      <c r="F1731" s="209" t="s">
        <v>21</v>
      </c>
      <c r="G1731" s="209" t="s">
        <v>21</v>
      </c>
      <c r="H1731" s="209" t="s">
        <v>272</v>
      </c>
      <c r="I1731" s="210"/>
    </row>
    <row r="1732" spans="1:9" x14ac:dyDescent="0.25">
      <c r="A1732" s="74"/>
      <c r="B1732" s="45">
        <v>1219</v>
      </c>
      <c r="C1732" s="64" t="s">
        <v>1624</v>
      </c>
      <c r="D1732" s="74"/>
      <c r="E1732" s="208" t="s">
        <v>133</v>
      </c>
      <c r="F1732" s="209" t="s">
        <v>21</v>
      </c>
      <c r="G1732" s="209" t="s">
        <v>21</v>
      </c>
      <c r="H1732" s="209" t="s">
        <v>272</v>
      </c>
      <c r="I1732" s="210"/>
    </row>
    <row r="1733" spans="1:9" x14ac:dyDescent="0.25">
      <c r="A1733" s="74"/>
      <c r="B1733" s="45">
        <v>1220</v>
      </c>
      <c r="C1733" s="64" t="s">
        <v>1625</v>
      </c>
      <c r="D1733" s="74"/>
      <c r="E1733" s="208" t="s">
        <v>133</v>
      </c>
      <c r="F1733" s="209" t="s">
        <v>21</v>
      </c>
      <c r="G1733" s="209" t="s">
        <v>21</v>
      </c>
      <c r="H1733" s="209" t="s">
        <v>272</v>
      </c>
      <c r="I1733" s="210"/>
    </row>
    <row r="1734" spans="1:9" x14ac:dyDescent="0.25">
      <c r="A1734" s="74"/>
      <c r="B1734" s="45">
        <v>1221</v>
      </c>
      <c r="C1734" s="64" t="s">
        <v>1626</v>
      </c>
      <c r="D1734" s="74"/>
      <c r="E1734" s="208" t="s">
        <v>133</v>
      </c>
      <c r="F1734" s="209" t="s">
        <v>21</v>
      </c>
      <c r="G1734" s="209" t="s">
        <v>21</v>
      </c>
      <c r="H1734" s="209" t="s">
        <v>272</v>
      </c>
      <c r="I1734" s="210"/>
    </row>
    <row r="1735" spans="1:9" x14ac:dyDescent="0.25">
      <c r="A1735" s="74"/>
      <c r="B1735" s="45">
        <v>1222</v>
      </c>
      <c r="C1735" s="64" t="s">
        <v>1627</v>
      </c>
      <c r="D1735" s="74"/>
      <c r="E1735" s="208" t="s">
        <v>133</v>
      </c>
      <c r="F1735" s="209" t="s">
        <v>21</v>
      </c>
      <c r="G1735" s="209" t="s">
        <v>21</v>
      </c>
      <c r="H1735" s="209" t="s">
        <v>272</v>
      </c>
      <c r="I1735" s="210"/>
    </row>
    <row r="1736" spans="1:9" x14ac:dyDescent="0.25">
      <c r="A1736" s="74"/>
      <c r="B1736" s="45">
        <v>1206</v>
      </c>
      <c r="C1736" s="64" t="s">
        <v>1611</v>
      </c>
      <c r="D1736" s="74"/>
      <c r="E1736" s="208" t="s">
        <v>133</v>
      </c>
      <c r="F1736" s="209" t="s">
        <v>21</v>
      </c>
      <c r="G1736" s="209" t="s">
        <v>21</v>
      </c>
      <c r="H1736" s="209" t="s">
        <v>272</v>
      </c>
      <c r="I1736" s="210"/>
    </row>
    <row r="1737" spans="1:9" x14ac:dyDescent="0.25">
      <c r="A1737" s="74"/>
      <c r="B1737" s="45">
        <v>1218</v>
      </c>
      <c r="C1737" s="64" t="s">
        <v>1623</v>
      </c>
      <c r="D1737" s="74"/>
      <c r="E1737" s="208" t="s">
        <v>133</v>
      </c>
      <c r="F1737" s="209" t="s">
        <v>21</v>
      </c>
      <c r="G1737" s="209" t="s">
        <v>21</v>
      </c>
      <c r="H1737" s="209" t="s">
        <v>272</v>
      </c>
      <c r="I1737" s="210"/>
    </row>
    <row r="1738" spans="1:9" x14ac:dyDescent="0.25">
      <c r="A1738" s="74"/>
      <c r="B1738" s="45">
        <v>1219</v>
      </c>
      <c r="C1738" s="64" t="s">
        <v>1624</v>
      </c>
      <c r="D1738" s="74"/>
      <c r="E1738" s="208" t="s">
        <v>133</v>
      </c>
      <c r="F1738" s="209" t="s">
        <v>21</v>
      </c>
      <c r="G1738" s="209" t="s">
        <v>21</v>
      </c>
      <c r="H1738" s="209" t="s">
        <v>272</v>
      </c>
      <c r="I1738" s="210"/>
    </row>
    <row r="1739" spans="1:9" x14ac:dyDescent="0.25">
      <c r="A1739" s="74"/>
      <c r="B1739" s="45">
        <v>1220</v>
      </c>
      <c r="C1739" s="64" t="s">
        <v>1625</v>
      </c>
      <c r="D1739" s="74"/>
      <c r="E1739" s="208" t="s">
        <v>133</v>
      </c>
      <c r="F1739" s="209" t="s">
        <v>21</v>
      </c>
      <c r="G1739" s="209" t="s">
        <v>21</v>
      </c>
      <c r="H1739" s="209" t="s">
        <v>272</v>
      </c>
      <c r="I1739" s="210"/>
    </row>
    <row r="1740" spans="1:9" x14ac:dyDescent="0.25">
      <c r="A1740" s="74"/>
      <c r="B1740" s="45">
        <v>1221</v>
      </c>
      <c r="C1740" s="64" t="s">
        <v>1626</v>
      </c>
      <c r="D1740" s="74"/>
      <c r="E1740" s="208" t="s">
        <v>133</v>
      </c>
      <c r="F1740" s="209" t="s">
        <v>21</v>
      </c>
      <c r="G1740" s="209" t="s">
        <v>21</v>
      </c>
      <c r="H1740" s="209" t="s">
        <v>272</v>
      </c>
      <c r="I1740" s="210"/>
    </row>
    <row r="1741" spans="1:9" x14ac:dyDescent="0.25">
      <c r="A1741" s="74"/>
      <c r="B1741" s="45">
        <v>1222</v>
      </c>
      <c r="C1741" s="64" t="s">
        <v>1627</v>
      </c>
      <c r="D1741" s="74"/>
      <c r="E1741" s="208" t="s">
        <v>133</v>
      </c>
      <c r="F1741" s="209" t="s">
        <v>21</v>
      </c>
      <c r="G1741" s="209" t="s">
        <v>21</v>
      </c>
      <c r="H1741" s="209" t="s">
        <v>272</v>
      </c>
      <c r="I1741" s="210"/>
    </row>
    <row r="1742" spans="1:9" x14ac:dyDescent="0.25">
      <c r="A1742" s="74"/>
      <c r="B1742" s="45">
        <v>1206</v>
      </c>
      <c r="C1742" s="64" t="s">
        <v>1611</v>
      </c>
      <c r="D1742" s="74"/>
      <c r="E1742" s="208" t="s">
        <v>133</v>
      </c>
      <c r="F1742" s="209" t="s">
        <v>21</v>
      </c>
      <c r="G1742" s="209" t="s">
        <v>21</v>
      </c>
      <c r="H1742" s="209" t="s">
        <v>272</v>
      </c>
      <c r="I1742" s="210"/>
    </row>
    <row r="1743" spans="1:9" x14ac:dyDescent="0.25">
      <c r="A1743" s="74"/>
      <c r="B1743" s="45">
        <v>1223</v>
      </c>
      <c r="C1743" s="64" t="s">
        <v>1628</v>
      </c>
      <c r="D1743" s="74"/>
      <c r="E1743" s="208" t="s">
        <v>133</v>
      </c>
      <c r="F1743" s="209" t="s">
        <v>21</v>
      </c>
      <c r="G1743" s="209" t="s">
        <v>21</v>
      </c>
      <c r="H1743" s="209" t="s">
        <v>272</v>
      </c>
      <c r="I1743" s="210"/>
    </row>
    <row r="1744" spans="1:9" x14ac:dyDescent="0.25">
      <c r="A1744" s="74"/>
      <c r="B1744" s="45">
        <v>1224</v>
      </c>
      <c r="C1744" s="64" t="s">
        <v>1629</v>
      </c>
      <c r="D1744" s="74"/>
      <c r="E1744" s="208" t="s">
        <v>133</v>
      </c>
      <c r="F1744" s="209" t="s">
        <v>21</v>
      </c>
      <c r="G1744" s="209" t="s">
        <v>21</v>
      </c>
      <c r="H1744" s="209" t="s">
        <v>272</v>
      </c>
      <c r="I1744" s="210"/>
    </row>
    <row r="1745" spans="1:9" x14ac:dyDescent="0.25">
      <c r="A1745" s="74"/>
      <c r="B1745" s="45">
        <v>1199</v>
      </c>
      <c r="C1745" s="64" t="s">
        <v>1605</v>
      </c>
      <c r="D1745" s="74"/>
      <c r="E1745" s="208" t="s">
        <v>133</v>
      </c>
      <c r="F1745" s="209" t="s">
        <v>21</v>
      </c>
      <c r="G1745" s="209" t="s">
        <v>21</v>
      </c>
      <c r="H1745" s="209" t="s">
        <v>272</v>
      </c>
      <c r="I1745" s="210"/>
    </row>
    <row r="1746" spans="1:9" x14ac:dyDescent="0.25">
      <c r="A1746" s="74"/>
      <c r="B1746" s="45">
        <v>1225</v>
      </c>
      <c r="C1746" s="64" t="s">
        <v>1630</v>
      </c>
      <c r="D1746" s="74"/>
      <c r="E1746" s="208" t="s">
        <v>133</v>
      </c>
      <c r="F1746" s="209" t="s">
        <v>21</v>
      </c>
      <c r="G1746" s="209" t="s">
        <v>21</v>
      </c>
      <c r="H1746" s="209" t="s">
        <v>272</v>
      </c>
      <c r="I1746" s="210"/>
    </row>
    <row r="1747" spans="1:9" x14ac:dyDescent="0.25">
      <c r="A1747" s="74"/>
      <c r="B1747" s="45">
        <v>1226</v>
      </c>
      <c r="C1747" s="64" t="s">
        <v>1631</v>
      </c>
      <c r="D1747" s="74"/>
      <c r="E1747" s="208" t="s">
        <v>133</v>
      </c>
      <c r="F1747" s="209" t="s">
        <v>21</v>
      </c>
      <c r="G1747" s="209" t="s">
        <v>21</v>
      </c>
      <c r="H1747" s="209" t="s">
        <v>272</v>
      </c>
      <c r="I1747" s="210"/>
    </row>
    <row r="1748" spans="1:9" x14ac:dyDescent="0.25">
      <c r="A1748" s="74"/>
      <c r="B1748" s="45">
        <v>1227</v>
      </c>
      <c r="C1748" s="64" t="s">
        <v>1632</v>
      </c>
      <c r="D1748" s="74"/>
      <c r="E1748" s="208" t="s">
        <v>133</v>
      </c>
      <c r="F1748" s="209" t="s">
        <v>21</v>
      </c>
      <c r="G1748" s="209" t="s">
        <v>21</v>
      </c>
      <c r="H1748" s="209" t="s">
        <v>272</v>
      </c>
      <c r="I1748" s="210"/>
    </row>
    <row r="1749" spans="1:9" x14ac:dyDescent="0.25">
      <c r="A1749" s="74"/>
      <c r="B1749" s="45">
        <v>1228</v>
      </c>
      <c r="C1749" s="64" t="s">
        <v>1633</v>
      </c>
      <c r="D1749" s="74"/>
      <c r="E1749" s="208" t="s">
        <v>133</v>
      </c>
      <c r="F1749" s="209" t="s">
        <v>21</v>
      </c>
      <c r="G1749" s="209" t="s">
        <v>21</v>
      </c>
      <c r="H1749" s="209" t="s">
        <v>272</v>
      </c>
      <c r="I1749" s="210"/>
    </row>
    <row r="1750" spans="1:9" x14ac:dyDescent="0.25">
      <c r="A1750" s="74"/>
      <c r="B1750" s="45">
        <v>1214</v>
      </c>
      <c r="C1750" s="64" t="s">
        <v>1619</v>
      </c>
      <c r="D1750" s="74"/>
      <c r="E1750" s="208" t="s">
        <v>133</v>
      </c>
      <c r="F1750" s="209" t="s">
        <v>21</v>
      </c>
      <c r="G1750" s="209" t="s">
        <v>21</v>
      </c>
      <c r="H1750" s="209" t="s">
        <v>272</v>
      </c>
      <c r="I1750" s="210"/>
    </row>
    <row r="1751" spans="1:9" x14ac:dyDescent="0.25">
      <c r="A1751" s="74"/>
      <c r="B1751" s="45">
        <v>1229</v>
      </c>
      <c r="C1751" s="64" t="s">
        <v>1634</v>
      </c>
      <c r="D1751" s="74"/>
      <c r="E1751" s="208" t="s">
        <v>133</v>
      </c>
      <c r="F1751" s="209" t="s">
        <v>21</v>
      </c>
      <c r="G1751" s="209" t="s">
        <v>21</v>
      </c>
      <c r="H1751" s="209" t="s">
        <v>272</v>
      </c>
      <c r="I1751" s="210"/>
    </row>
    <row r="1752" spans="1:9" x14ac:dyDescent="0.25">
      <c r="A1752" s="74"/>
      <c r="B1752" s="45">
        <v>1230</v>
      </c>
      <c r="C1752" s="64" t="s">
        <v>1635</v>
      </c>
      <c r="D1752" s="74"/>
      <c r="E1752" s="208" t="s">
        <v>133</v>
      </c>
      <c r="F1752" s="209" t="s">
        <v>21</v>
      </c>
      <c r="G1752" s="209" t="s">
        <v>21</v>
      </c>
      <c r="H1752" s="209" t="s">
        <v>272</v>
      </c>
      <c r="I1752" s="210"/>
    </row>
    <row r="1753" spans="1:9" x14ac:dyDescent="0.25">
      <c r="A1753" s="74"/>
      <c r="B1753" s="45">
        <v>1231</v>
      </c>
      <c r="C1753" s="64" t="s">
        <v>1636</v>
      </c>
      <c r="D1753" s="74"/>
      <c r="E1753" s="208" t="s">
        <v>133</v>
      </c>
      <c r="F1753" s="209" t="s">
        <v>21</v>
      </c>
      <c r="G1753" s="209" t="s">
        <v>21</v>
      </c>
      <c r="H1753" s="209" t="s">
        <v>272</v>
      </c>
      <c r="I1753" s="210"/>
    </row>
    <row r="1754" spans="1:9" x14ac:dyDescent="0.25">
      <c r="A1754" s="74"/>
      <c r="B1754" s="45">
        <v>1232</v>
      </c>
      <c r="C1754" s="64" t="s">
        <v>1637</v>
      </c>
      <c r="D1754" s="74"/>
      <c r="E1754" s="208" t="s">
        <v>133</v>
      </c>
      <c r="F1754" s="209" t="s">
        <v>21</v>
      </c>
      <c r="G1754" s="209" t="s">
        <v>21</v>
      </c>
      <c r="H1754" s="209" t="s">
        <v>272</v>
      </c>
      <c r="I1754" s="210"/>
    </row>
    <row r="1755" spans="1:9" x14ac:dyDescent="0.25">
      <c r="A1755" s="74"/>
      <c r="B1755" s="45">
        <v>1225</v>
      </c>
      <c r="C1755" s="64" t="s">
        <v>1630</v>
      </c>
      <c r="D1755" s="74"/>
      <c r="E1755" s="208" t="s">
        <v>133</v>
      </c>
      <c r="F1755" s="209" t="s">
        <v>21</v>
      </c>
      <c r="G1755" s="209" t="s">
        <v>21</v>
      </c>
      <c r="H1755" s="209" t="s">
        <v>272</v>
      </c>
      <c r="I1755" s="210"/>
    </row>
    <row r="1756" spans="1:9" x14ac:dyDescent="0.25">
      <c r="A1756" s="74"/>
      <c r="B1756" s="45">
        <v>1223</v>
      </c>
      <c r="C1756" s="64" t="s">
        <v>1628</v>
      </c>
      <c r="D1756" s="74"/>
      <c r="E1756" s="208" t="s">
        <v>133</v>
      </c>
      <c r="F1756" s="209" t="s">
        <v>21</v>
      </c>
      <c r="G1756" s="209" t="s">
        <v>21</v>
      </c>
      <c r="H1756" s="209" t="s">
        <v>272</v>
      </c>
      <c r="I1756" s="210"/>
    </row>
    <row r="1757" spans="1:9" x14ac:dyDescent="0.25">
      <c r="A1757" s="74"/>
      <c r="B1757" s="45">
        <v>1224</v>
      </c>
      <c r="C1757" s="64" t="s">
        <v>1629</v>
      </c>
      <c r="D1757" s="74"/>
      <c r="E1757" s="208" t="s">
        <v>133</v>
      </c>
      <c r="F1757" s="209" t="s">
        <v>21</v>
      </c>
      <c r="G1757" s="209" t="s">
        <v>21</v>
      </c>
      <c r="H1757" s="209" t="s">
        <v>272</v>
      </c>
      <c r="I1757" s="210"/>
    </row>
    <row r="1758" spans="1:9" x14ac:dyDescent="0.25">
      <c r="A1758" s="74"/>
      <c r="B1758" s="45">
        <v>1199</v>
      </c>
      <c r="C1758" s="64" t="s">
        <v>1605</v>
      </c>
      <c r="D1758" s="74"/>
      <c r="E1758" s="208" t="s">
        <v>133</v>
      </c>
      <c r="F1758" s="209" t="s">
        <v>21</v>
      </c>
      <c r="G1758" s="209" t="s">
        <v>21</v>
      </c>
      <c r="H1758" s="209" t="s">
        <v>272</v>
      </c>
      <c r="I1758" s="210"/>
    </row>
    <row r="1759" spans="1:9" x14ac:dyDescent="0.25">
      <c r="A1759" s="74"/>
      <c r="B1759" s="45">
        <v>1226</v>
      </c>
      <c r="C1759" s="64" t="s">
        <v>1631</v>
      </c>
      <c r="D1759" s="74"/>
      <c r="E1759" s="208" t="s">
        <v>133</v>
      </c>
      <c r="F1759" s="209" t="s">
        <v>21</v>
      </c>
      <c r="G1759" s="209" t="s">
        <v>21</v>
      </c>
      <c r="H1759" s="209" t="s">
        <v>272</v>
      </c>
      <c r="I1759" s="210"/>
    </row>
    <row r="1760" spans="1:9" x14ac:dyDescent="0.25">
      <c r="A1760" s="74"/>
      <c r="B1760" s="45">
        <v>1227</v>
      </c>
      <c r="C1760" s="64" t="s">
        <v>1632</v>
      </c>
      <c r="D1760" s="74"/>
      <c r="E1760" s="208" t="s">
        <v>133</v>
      </c>
      <c r="F1760" s="209" t="s">
        <v>21</v>
      </c>
      <c r="G1760" s="209" t="s">
        <v>21</v>
      </c>
      <c r="H1760" s="209" t="s">
        <v>272</v>
      </c>
      <c r="I1760" s="210"/>
    </row>
    <row r="1761" spans="1:9" x14ac:dyDescent="0.25">
      <c r="A1761" s="74"/>
      <c r="B1761" s="45">
        <v>1228</v>
      </c>
      <c r="C1761" s="64" t="s">
        <v>1633</v>
      </c>
      <c r="D1761" s="74"/>
      <c r="E1761" s="208" t="s">
        <v>133</v>
      </c>
      <c r="F1761" s="209" t="s">
        <v>21</v>
      </c>
      <c r="G1761" s="209" t="s">
        <v>21</v>
      </c>
      <c r="H1761" s="209" t="s">
        <v>272</v>
      </c>
      <c r="I1761" s="210"/>
    </row>
    <row r="1762" spans="1:9" x14ac:dyDescent="0.25">
      <c r="A1762" s="74"/>
      <c r="B1762" s="45">
        <v>1214</v>
      </c>
      <c r="C1762" s="64" t="s">
        <v>1619</v>
      </c>
      <c r="D1762" s="74"/>
      <c r="E1762" s="208" t="s">
        <v>133</v>
      </c>
      <c r="F1762" s="209" t="s">
        <v>21</v>
      </c>
      <c r="G1762" s="209" t="s">
        <v>21</v>
      </c>
      <c r="H1762" s="209" t="s">
        <v>272</v>
      </c>
      <c r="I1762" s="210"/>
    </row>
    <row r="1763" spans="1:9" x14ac:dyDescent="0.25">
      <c r="A1763" s="74"/>
      <c r="B1763" s="45">
        <v>1229</v>
      </c>
      <c r="C1763" s="64" t="s">
        <v>1634</v>
      </c>
      <c r="D1763" s="74"/>
      <c r="E1763" s="208" t="s">
        <v>133</v>
      </c>
      <c r="F1763" s="209" t="s">
        <v>21</v>
      </c>
      <c r="G1763" s="209" t="s">
        <v>21</v>
      </c>
      <c r="H1763" s="209" t="s">
        <v>272</v>
      </c>
      <c r="I1763" s="210"/>
    </row>
    <row r="1764" spans="1:9" x14ac:dyDescent="0.25">
      <c r="A1764" s="74"/>
      <c r="B1764" s="45">
        <v>1230</v>
      </c>
      <c r="C1764" s="64" t="s">
        <v>1635</v>
      </c>
      <c r="D1764" s="74"/>
      <c r="E1764" s="208" t="s">
        <v>133</v>
      </c>
      <c r="F1764" s="209" t="s">
        <v>21</v>
      </c>
      <c r="G1764" s="209" t="s">
        <v>21</v>
      </c>
      <c r="H1764" s="209" t="s">
        <v>272</v>
      </c>
      <c r="I1764" s="210"/>
    </row>
    <row r="1765" spans="1:9" x14ac:dyDescent="0.25">
      <c r="A1765" s="74"/>
      <c r="B1765" s="45">
        <v>1231</v>
      </c>
      <c r="C1765" s="64" t="s">
        <v>1636</v>
      </c>
      <c r="D1765" s="74"/>
      <c r="E1765" s="208" t="s">
        <v>133</v>
      </c>
      <c r="F1765" s="209" t="s">
        <v>21</v>
      </c>
      <c r="G1765" s="209" t="s">
        <v>21</v>
      </c>
      <c r="H1765" s="209" t="s">
        <v>272</v>
      </c>
      <c r="I1765" s="210"/>
    </row>
    <row r="1766" spans="1:9" x14ac:dyDescent="0.25">
      <c r="A1766" s="74"/>
      <c r="B1766" s="45">
        <v>1232</v>
      </c>
      <c r="C1766" s="64" t="s">
        <v>1637</v>
      </c>
      <c r="D1766" s="74"/>
      <c r="E1766" s="208" t="s">
        <v>133</v>
      </c>
      <c r="F1766" s="209" t="s">
        <v>21</v>
      </c>
      <c r="G1766" s="209" t="s">
        <v>21</v>
      </c>
      <c r="H1766" s="209" t="s">
        <v>272</v>
      </c>
      <c r="I1766" s="210"/>
    </row>
    <row r="1767" spans="1:9" x14ac:dyDescent="0.25">
      <c r="A1767" s="74"/>
      <c r="B1767" s="45">
        <v>1225</v>
      </c>
      <c r="C1767" s="64" t="s">
        <v>1630</v>
      </c>
      <c r="D1767" s="74"/>
      <c r="E1767" s="208" t="s">
        <v>133</v>
      </c>
      <c r="F1767" s="209" t="s">
        <v>21</v>
      </c>
      <c r="G1767" s="209" t="s">
        <v>21</v>
      </c>
      <c r="H1767" s="209" t="s">
        <v>272</v>
      </c>
      <c r="I1767" s="210"/>
    </row>
    <row r="1768" spans="1:9" x14ac:dyDescent="0.25">
      <c r="A1768" s="74"/>
      <c r="B1768" s="45">
        <v>1227</v>
      </c>
      <c r="C1768" s="64" t="s">
        <v>1632</v>
      </c>
      <c r="D1768" s="74"/>
      <c r="E1768" s="208" t="s">
        <v>133</v>
      </c>
      <c r="F1768" s="209" t="s">
        <v>21</v>
      </c>
      <c r="G1768" s="209" t="s">
        <v>21</v>
      </c>
      <c r="H1768" s="209" t="s">
        <v>272</v>
      </c>
      <c r="I1768" s="210"/>
    </row>
    <row r="1769" spans="1:9" x14ac:dyDescent="0.25">
      <c r="A1769" s="74"/>
      <c r="B1769" s="45">
        <v>1223</v>
      </c>
      <c r="C1769" s="64" t="s">
        <v>1628</v>
      </c>
      <c r="D1769" s="74"/>
      <c r="E1769" s="208" t="s">
        <v>133</v>
      </c>
      <c r="F1769" s="209" t="s">
        <v>21</v>
      </c>
      <c r="G1769" s="209" t="s">
        <v>21</v>
      </c>
      <c r="H1769" s="209" t="s">
        <v>272</v>
      </c>
      <c r="I1769" s="210"/>
    </row>
    <row r="1770" spans="1:9" x14ac:dyDescent="0.25">
      <c r="A1770" s="74"/>
      <c r="B1770" s="45">
        <v>1224</v>
      </c>
      <c r="C1770" s="64" t="s">
        <v>1629</v>
      </c>
      <c r="D1770" s="74"/>
      <c r="E1770" s="208" t="s">
        <v>133</v>
      </c>
      <c r="F1770" s="209" t="s">
        <v>21</v>
      </c>
      <c r="G1770" s="209" t="s">
        <v>21</v>
      </c>
      <c r="H1770" s="209" t="s">
        <v>272</v>
      </c>
      <c r="I1770" s="210"/>
    </row>
    <row r="1771" spans="1:9" x14ac:dyDescent="0.25">
      <c r="A1771" s="74"/>
      <c r="B1771" s="45">
        <v>1199</v>
      </c>
      <c r="C1771" s="64" t="s">
        <v>1605</v>
      </c>
      <c r="D1771" s="74"/>
      <c r="E1771" s="208" t="s">
        <v>133</v>
      </c>
      <c r="F1771" s="209" t="s">
        <v>21</v>
      </c>
      <c r="G1771" s="209" t="s">
        <v>21</v>
      </c>
      <c r="H1771" s="209" t="s">
        <v>272</v>
      </c>
      <c r="I1771" s="210"/>
    </row>
    <row r="1772" spans="1:9" x14ac:dyDescent="0.25">
      <c r="A1772" s="74"/>
      <c r="B1772" s="45">
        <v>1226</v>
      </c>
      <c r="C1772" s="64" t="s">
        <v>1631</v>
      </c>
      <c r="D1772" s="74"/>
      <c r="E1772" s="208" t="s">
        <v>133</v>
      </c>
      <c r="F1772" s="209" t="s">
        <v>21</v>
      </c>
      <c r="G1772" s="209" t="s">
        <v>21</v>
      </c>
      <c r="H1772" s="209" t="s">
        <v>272</v>
      </c>
      <c r="I1772" s="210"/>
    </row>
    <row r="1773" spans="1:9" x14ac:dyDescent="0.25">
      <c r="A1773" s="74"/>
      <c r="B1773" s="45">
        <v>1228</v>
      </c>
      <c r="C1773" s="64" t="s">
        <v>1633</v>
      </c>
      <c r="D1773" s="74"/>
      <c r="E1773" s="208" t="s">
        <v>133</v>
      </c>
      <c r="F1773" s="209" t="s">
        <v>21</v>
      </c>
      <c r="G1773" s="209" t="s">
        <v>21</v>
      </c>
      <c r="H1773" s="209" t="s">
        <v>272</v>
      </c>
      <c r="I1773" s="210"/>
    </row>
    <row r="1774" spans="1:9" x14ac:dyDescent="0.25">
      <c r="A1774" s="74"/>
      <c r="B1774" s="45">
        <v>1214</v>
      </c>
      <c r="C1774" s="64" t="s">
        <v>1619</v>
      </c>
      <c r="D1774" s="74"/>
      <c r="E1774" s="208" t="s">
        <v>133</v>
      </c>
      <c r="F1774" s="209" t="s">
        <v>21</v>
      </c>
      <c r="G1774" s="209" t="s">
        <v>21</v>
      </c>
      <c r="H1774" s="209" t="s">
        <v>272</v>
      </c>
      <c r="I1774" s="210"/>
    </row>
    <row r="1775" spans="1:9" x14ac:dyDescent="0.25">
      <c r="A1775" s="74"/>
      <c r="B1775" s="45">
        <v>1229</v>
      </c>
      <c r="C1775" s="64" t="s">
        <v>1634</v>
      </c>
      <c r="D1775" s="74"/>
      <c r="E1775" s="208" t="s">
        <v>133</v>
      </c>
      <c r="F1775" s="209" t="s">
        <v>21</v>
      </c>
      <c r="G1775" s="209" t="s">
        <v>21</v>
      </c>
      <c r="H1775" s="209" t="s">
        <v>272</v>
      </c>
      <c r="I1775" s="210"/>
    </row>
    <row r="1776" spans="1:9" x14ac:dyDescent="0.25">
      <c r="A1776" s="74"/>
      <c r="B1776" s="45">
        <v>1230</v>
      </c>
      <c r="C1776" s="64" t="s">
        <v>1635</v>
      </c>
      <c r="D1776" s="74"/>
      <c r="E1776" s="208" t="s">
        <v>133</v>
      </c>
      <c r="F1776" s="209" t="s">
        <v>21</v>
      </c>
      <c r="G1776" s="209" t="s">
        <v>21</v>
      </c>
      <c r="H1776" s="209" t="s">
        <v>272</v>
      </c>
      <c r="I1776" s="210"/>
    </row>
    <row r="1777" spans="1:9" x14ac:dyDescent="0.25">
      <c r="A1777" s="74"/>
      <c r="B1777" s="45">
        <v>1231</v>
      </c>
      <c r="C1777" s="64" t="s">
        <v>1636</v>
      </c>
      <c r="D1777" s="74"/>
      <c r="E1777" s="208" t="s">
        <v>133</v>
      </c>
      <c r="F1777" s="209" t="s">
        <v>21</v>
      </c>
      <c r="G1777" s="209" t="s">
        <v>21</v>
      </c>
      <c r="H1777" s="209" t="s">
        <v>272</v>
      </c>
      <c r="I1777" s="210"/>
    </row>
    <row r="1778" spans="1:9" x14ac:dyDescent="0.25">
      <c r="A1778" s="74"/>
      <c r="B1778" s="45">
        <v>1232</v>
      </c>
      <c r="C1778" s="64" t="s">
        <v>1637</v>
      </c>
      <c r="D1778" s="74"/>
      <c r="E1778" s="208" t="s">
        <v>133</v>
      </c>
      <c r="F1778" s="209" t="s">
        <v>21</v>
      </c>
      <c r="G1778" s="209" t="s">
        <v>21</v>
      </c>
      <c r="H1778" s="209" t="s">
        <v>272</v>
      </c>
      <c r="I1778" s="210"/>
    </row>
    <row r="1779" spans="1:9" x14ac:dyDescent="0.25">
      <c r="A1779" s="74"/>
      <c r="B1779" s="45">
        <v>1225</v>
      </c>
      <c r="C1779" s="64" t="s">
        <v>1630</v>
      </c>
      <c r="D1779" s="74"/>
      <c r="E1779" s="208" t="s">
        <v>133</v>
      </c>
      <c r="F1779" s="209" t="s">
        <v>21</v>
      </c>
      <c r="G1779" s="209" t="s">
        <v>21</v>
      </c>
      <c r="H1779" s="209" t="s">
        <v>272</v>
      </c>
      <c r="I1779" s="210"/>
    </row>
    <row r="1780" spans="1:9" x14ac:dyDescent="0.25">
      <c r="A1780" s="74"/>
      <c r="B1780" s="45">
        <v>1227</v>
      </c>
      <c r="C1780" s="64" t="s">
        <v>1632</v>
      </c>
      <c r="D1780" s="74"/>
      <c r="E1780" s="208" t="s">
        <v>133</v>
      </c>
      <c r="F1780" s="209" t="s">
        <v>21</v>
      </c>
      <c r="G1780" s="209" t="s">
        <v>21</v>
      </c>
      <c r="H1780" s="209" t="s">
        <v>272</v>
      </c>
      <c r="I1780" s="210"/>
    </row>
    <row r="1781" spans="1:9" x14ac:dyDescent="0.25">
      <c r="A1781" s="74"/>
      <c r="B1781" s="45">
        <v>1223</v>
      </c>
      <c r="C1781" s="64" t="s">
        <v>1628</v>
      </c>
      <c r="D1781" s="74"/>
      <c r="E1781" s="208" t="s">
        <v>133</v>
      </c>
      <c r="F1781" s="209" t="s">
        <v>21</v>
      </c>
      <c r="G1781" s="209" t="s">
        <v>21</v>
      </c>
      <c r="H1781" s="209" t="s">
        <v>272</v>
      </c>
      <c r="I1781" s="210"/>
    </row>
    <row r="1782" spans="1:9" x14ac:dyDescent="0.25">
      <c r="A1782" s="74"/>
      <c r="B1782" s="45">
        <v>1224</v>
      </c>
      <c r="C1782" s="64" t="s">
        <v>1629</v>
      </c>
      <c r="D1782" s="74"/>
      <c r="E1782" s="208" t="s">
        <v>133</v>
      </c>
      <c r="F1782" s="209" t="s">
        <v>21</v>
      </c>
      <c r="G1782" s="209" t="s">
        <v>21</v>
      </c>
      <c r="H1782" s="209" t="s">
        <v>272</v>
      </c>
      <c r="I1782" s="210"/>
    </row>
    <row r="1783" spans="1:9" x14ac:dyDescent="0.25">
      <c r="A1783" s="74"/>
      <c r="B1783" s="45">
        <v>1199</v>
      </c>
      <c r="C1783" s="64" t="s">
        <v>1605</v>
      </c>
      <c r="D1783" s="74"/>
      <c r="E1783" s="208" t="s">
        <v>133</v>
      </c>
      <c r="F1783" s="209" t="s">
        <v>21</v>
      </c>
      <c r="G1783" s="209" t="s">
        <v>21</v>
      </c>
      <c r="H1783" s="209" t="s">
        <v>272</v>
      </c>
      <c r="I1783" s="210"/>
    </row>
    <row r="1784" spans="1:9" x14ac:dyDescent="0.25">
      <c r="A1784" s="74"/>
      <c r="B1784" s="45">
        <v>1226</v>
      </c>
      <c r="C1784" s="64" t="s">
        <v>1631</v>
      </c>
      <c r="D1784" s="74"/>
      <c r="E1784" s="208" t="s">
        <v>133</v>
      </c>
      <c r="F1784" s="209" t="s">
        <v>21</v>
      </c>
      <c r="G1784" s="209" t="s">
        <v>21</v>
      </c>
      <c r="H1784" s="209" t="s">
        <v>272</v>
      </c>
      <c r="I1784" s="210"/>
    </row>
    <row r="1785" spans="1:9" x14ac:dyDescent="0.25">
      <c r="A1785" s="74"/>
      <c r="B1785" s="45">
        <v>1232</v>
      </c>
      <c r="C1785" s="64" t="s">
        <v>1637</v>
      </c>
      <c r="D1785" s="74"/>
      <c r="E1785" s="208" t="s">
        <v>133</v>
      </c>
      <c r="F1785" s="209" t="s">
        <v>21</v>
      </c>
      <c r="G1785" s="209" t="s">
        <v>21</v>
      </c>
      <c r="H1785" s="209" t="s">
        <v>272</v>
      </c>
      <c r="I1785" s="210"/>
    </row>
    <row r="1786" spans="1:9" x14ac:dyDescent="0.25">
      <c r="A1786" s="74"/>
      <c r="B1786" s="45">
        <v>1233</v>
      </c>
      <c r="C1786" s="64" t="s">
        <v>1638</v>
      </c>
      <c r="D1786" s="74"/>
      <c r="E1786" s="208" t="s">
        <v>133</v>
      </c>
      <c r="F1786" s="209" t="s">
        <v>21</v>
      </c>
      <c r="G1786" s="209" t="s">
        <v>21</v>
      </c>
      <c r="H1786" s="209" t="s">
        <v>272</v>
      </c>
      <c r="I1786" s="210"/>
    </row>
    <row r="1787" spans="1:9" x14ac:dyDescent="0.25">
      <c r="A1787" s="74"/>
      <c r="B1787" s="45">
        <v>128</v>
      </c>
      <c r="C1787" s="64" t="s">
        <v>540</v>
      </c>
      <c r="D1787" s="74"/>
      <c r="E1787" s="208" t="s">
        <v>133</v>
      </c>
      <c r="F1787" s="209" t="s">
        <v>21</v>
      </c>
      <c r="G1787" s="209" t="s">
        <v>21</v>
      </c>
      <c r="H1787" s="209" t="s">
        <v>272</v>
      </c>
      <c r="I1787" s="210"/>
    </row>
    <row r="1788" spans="1:9" x14ac:dyDescent="0.25">
      <c r="A1788" s="74"/>
      <c r="B1788" s="45">
        <v>1234</v>
      </c>
      <c r="C1788" s="64" t="s">
        <v>1639</v>
      </c>
      <c r="D1788" s="74"/>
      <c r="E1788" s="208" t="s">
        <v>133</v>
      </c>
      <c r="F1788" s="209" t="s">
        <v>21</v>
      </c>
      <c r="G1788" s="209" t="s">
        <v>21</v>
      </c>
      <c r="H1788" s="209" t="s">
        <v>192</v>
      </c>
      <c r="I1788" s="210"/>
    </row>
    <row r="1789" spans="1:9" x14ac:dyDescent="0.25">
      <c r="A1789" s="74"/>
      <c r="B1789" s="45">
        <v>1235</v>
      </c>
      <c r="C1789" s="64" t="s">
        <v>1640</v>
      </c>
      <c r="D1789" s="74"/>
      <c r="E1789" s="208" t="s">
        <v>133</v>
      </c>
      <c r="F1789" s="209" t="s">
        <v>21</v>
      </c>
      <c r="G1789" s="209" t="s">
        <v>21</v>
      </c>
      <c r="H1789" s="209" t="s">
        <v>192</v>
      </c>
      <c r="I1789" s="210"/>
    </row>
    <row r="1790" spans="1:9" x14ac:dyDescent="0.25">
      <c r="A1790" s="74"/>
      <c r="B1790" s="45">
        <v>62</v>
      </c>
      <c r="C1790" s="64" t="s">
        <v>474</v>
      </c>
      <c r="D1790" s="74"/>
      <c r="E1790" s="208" t="s">
        <v>132</v>
      </c>
      <c r="F1790" s="209" t="s">
        <v>21</v>
      </c>
      <c r="G1790" s="209" t="s">
        <v>21</v>
      </c>
      <c r="H1790" s="209" t="s">
        <v>194</v>
      </c>
      <c r="I1790" s="210"/>
    </row>
    <row r="1791" spans="1:9" x14ac:dyDescent="0.25">
      <c r="A1791" s="74"/>
      <c r="B1791" s="45">
        <v>61</v>
      </c>
      <c r="C1791" s="64" t="s">
        <v>473</v>
      </c>
      <c r="D1791" s="74"/>
      <c r="E1791" s="208" t="s">
        <v>132</v>
      </c>
      <c r="F1791" s="209" t="s">
        <v>21</v>
      </c>
      <c r="G1791" s="209" t="s">
        <v>21</v>
      </c>
      <c r="H1791" s="209" t="s">
        <v>194</v>
      </c>
      <c r="I1791" s="210"/>
    </row>
    <row r="1792" spans="1:9" x14ac:dyDescent="0.25">
      <c r="A1792" s="74"/>
      <c r="B1792" s="45">
        <v>129</v>
      </c>
      <c r="C1792" s="64" t="s">
        <v>541</v>
      </c>
      <c r="D1792" s="74"/>
      <c r="E1792" s="208" t="s">
        <v>132</v>
      </c>
      <c r="F1792" s="209" t="s">
        <v>21</v>
      </c>
      <c r="G1792" s="209" t="s">
        <v>21</v>
      </c>
      <c r="H1792" s="209" t="s">
        <v>192</v>
      </c>
      <c r="I1792" s="210"/>
    </row>
    <row r="1793" spans="1:9" x14ac:dyDescent="0.25">
      <c r="A1793" s="74"/>
      <c r="B1793" s="45">
        <v>1178</v>
      </c>
      <c r="C1793" s="64" t="s">
        <v>1586</v>
      </c>
      <c r="D1793" s="74"/>
      <c r="E1793" s="208" t="s">
        <v>132</v>
      </c>
      <c r="F1793" s="209" t="s">
        <v>21</v>
      </c>
      <c r="G1793" s="209" t="s">
        <v>21</v>
      </c>
      <c r="H1793" s="209" t="s">
        <v>272</v>
      </c>
      <c r="I1793" s="210"/>
    </row>
    <row r="1794" spans="1:9" x14ac:dyDescent="0.25">
      <c r="A1794" s="74"/>
      <c r="B1794" s="45">
        <v>1177</v>
      </c>
      <c r="C1794" s="64" t="s">
        <v>1585</v>
      </c>
      <c r="D1794" s="74"/>
      <c r="E1794" s="208" t="s">
        <v>132</v>
      </c>
      <c r="F1794" s="209" t="s">
        <v>21</v>
      </c>
      <c r="G1794" s="209" t="s">
        <v>21</v>
      </c>
      <c r="H1794" s="209" t="s">
        <v>272</v>
      </c>
      <c r="I1794" s="210"/>
    </row>
    <row r="1795" spans="1:9" x14ac:dyDescent="0.25">
      <c r="A1795" s="74"/>
      <c r="B1795" s="45">
        <v>1179</v>
      </c>
      <c r="C1795" s="64" t="s">
        <v>1587</v>
      </c>
      <c r="D1795" s="74"/>
      <c r="E1795" s="208" t="s">
        <v>132</v>
      </c>
      <c r="F1795" s="209" t="s">
        <v>21</v>
      </c>
      <c r="G1795" s="209" t="s">
        <v>21</v>
      </c>
      <c r="H1795" s="209" t="s">
        <v>272</v>
      </c>
      <c r="I1795" s="210"/>
    </row>
    <row r="1796" spans="1:9" x14ac:dyDescent="0.25">
      <c r="A1796" s="74"/>
      <c r="B1796" s="45">
        <v>1176</v>
      </c>
      <c r="C1796" s="64" t="s">
        <v>1584</v>
      </c>
      <c r="D1796" s="74"/>
      <c r="E1796" s="208" t="s">
        <v>132</v>
      </c>
      <c r="F1796" s="209" t="s">
        <v>21</v>
      </c>
      <c r="G1796" s="209" t="s">
        <v>21</v>
      </c>
      <c r="H1796" s="209" t="s">
        <v>272</v>
      </c>
      <c r="I1796" s="210"/>
    </row>
    <row r="1797" spans="1:9" x14ac:dyDescent="0.25">
      <c r="A1797" s="74"/>
      <c r="B1797" s="45">
        <v>1180</v>
      </c>
      <c r="C1797" s="64" t="s">
        <v>1588</v>
      </c>
      <c r="D1797" s="74"/>
      <c r="E1797" s="208" t="s">
        <v>132</v>
      </c>
      <c r="F1797" s="209" t="s">
        <v>21</v>
      </c>
      <c r="G1797" s="209" t="s">
        <v>21</v>
      </c>
      <c r="H1797" s="209" t="s">
        <v>272</v>
      </c>
      <c r="I1797" s="210"/>
    </row>
    <row r="1798" spans="1:9" x14ac:dyDescent="0.25">
      <c r="A1798" s="74"/>
      <c r="B1798" s="45">
        <v>1181</v>
      </c>
      <c r="C1798" s="64" t="s">
        <v>1589</v>
      </c>
      <c r="D1798" s="74"/>
      <c r="E1798" s="208" t="s">
        <v>132</v>
      </c>
      <c r="F1798" s="209" t="s">
        <v>21</v>
      </c>
      <c r="G1798" s="209" t="s">
        <v>21</v>
      </c>
      <c r="H1798" s="209" t="s">
        <v>272</v>
      </c>
      <c r="I1798" s="210"/>
    </row>
    <row r="1799" spans="1:9" x14ac:dyDescent="0.25">
      <c r="A1799" s="74"/>
      <c r="B1799" s="45">
        <v>1182</v>
      </c>
      <c r="C1799" s="64" t="s">
        <v>1590</v>
      </c>
      <c r="D1799" s="74"/>
      <c r="E1799" s="208" t="s">
        <v>132</v>
      </c>
      <c r="F1799" s="209" t="s">
        <v>21</v>
      </c>
      <c r="G1799" s="209" t="s">
        <v>21</v>
      </c>
      <c r="H1799" s="209" t="s">
        <v>272</v>
      </c>
      <c r="I1799" s="210"/>
    </row>
    <row r="1800" spans="1:9" x14ac:dyDescent="0.25">
      <c r="A1800" s="74"/>
      <c r="B1800" s="45">
        <v>1183</v>
      </c>
      <c r="C1800" s="64" t="s">
        <v>1591</v>
      </c>
      <c r="D1800" s="74"/>
      <c r="E1800" s="208" t="s">
        <v>132</v>
      </c>
      <c r="F1800" s="209" t="s">
        <v>21</v>
      </c>
      <c r="G1800" s="209" t="s">
        <v>21</v>
      </c>
      <c r="H1800" s="209" t="s">
        <v>272</v>
      </c>
      <c r="I1800" s="210"/>
    </row>
    <row r="1801" spans="1:9" x14ac:dyDescent="0.25">
      <c r="A1801" s="74"/>
      <c r="B1801" s="45">
        <v>1184</v>
      </c>
      <c r="C1801" s="64" t="s">
        <v>1592</v>
      </c>
      <c r="D1801" s="74"/>
      <c r="E1801" s="208" t="s">
        <v>132</v>
      </c>
      <c r="F1801" s="209" t="s">
        <v>21</v>
      </c>
      <c r="G1801" s="209" t="s">
        <v>21</v>
      </c>
      <c r="H1801" s="209" t="s">
        <v>272</v>
      </c>
      <c r="I1801" s="210"/>
    </row>
    <row r="1802" spans="1:9" x14ac:dyDescent="0.25">
      <c r="A1802" s="74"/>
      <c r="B1802" s="45">
        <v>1185</v>
      </c>
      <c r="C1802" s="64" t="s">
        <v>1593</v>
      </c>
      <c r="D1802" s="74"/>
      <c r="E1802" s="208" t="s">
        <v>132</v>
      </c>
      <c r="F1802" s="209" t="s">
        <v>21</v>
      </c>
      <c r="G1802" s="209" t="s">
        <v>21</v>
      </c>
      <c r="H1802" s="209" t="s">
        <v>272</v>
      </c>
      <c r="I1802" s="210"/>
    </row>
    <row r="1803" spans="1:9" x14ac:dyDescent="0.25">
      <c r="A1803" s="74"/>
      <c r="B1803" s="45">
        <v>67</v>
      </c>
      <c r="C1803" s="64" t="s">
        <v>479</v>
      </c>
      <c r="D1803" s="74"/>
      <c r="E1803" s="208" t="s">
        <v>132</v>
      </c>
      <c r="F1803" s="209" t="s">
        <v>21</v>
      </c>
      <c r="G1803" s="209" t="s">
        <v>21</v>
      </c>
      <c r="H1803" s="209" t="s">
        <v>272</v>
      </c>
      <c r="I1803" s="210"/>
    </row>
    <row r="1804" spans="1:9" x14ac:dyDescent="0.25">
      <c r="A1804" s="74"/>
      <c r="B1804" s="45">
        <v>130</v>
      </c>
      <c r="C1804" s="64" t="s">
        <v>542</v>
      </c>
      <c r="D1804" s="74"/>
      <c r="E1804" s="208" t="s">
        <v>132</v>
      </c>
      <c r="F1804" s="209" t="s">
        <v>21</v>
      </c>
      <c r="G1804" s="209" t="s">
        <v>21</v>
      </c>
      <c r="H1804" s="209" t="s">
        <v>272</v>
      </c>
      <c r="I1804" s="210"/>
    </row>
    <row r="1805" spans="1:9" x14ac:dyDescent="0.25">
      <c r="A1805" s="74"/>
      <c r="B1805" s="45">
        <v>70</v>
      </c>
      <c r="C1805" s="64" t="s">
        <v>482</v>
      </c>
      <c r="D1805" s="74"/>
      <c r="E1805" s="208" t="s">
        <v>132</v>
      </c>
      <c r="F1805" s="209" t="s">
        <v>21</v>
      </c>
      <c r="G1805" s="209" t="s">
        <v>21</v>
      </c>
      <c r="H1805" s="209" t="s">
        <v>192</v>
      </c>
      <c r="I1805" s="210"/>
    </row>
    <row r="1806" spans="1:9" x14ac:dyDescent="0.25">
      <c r="A1806" s="74"/>
      <c r="B1806" s="45">
        <v>1177</v>
      </c>
      <c r="C1806" s="64" t="s">
        <v>1585</v>
      </c>
      <c r="D1806" s="74"/>
      <c r="E1806" s="208" t="s">
        <v>132</v>
      </c>
      <c r="F1806" s="209" t="s">
        <v>21</v>
      </c>
      <c r="G1806" s="209" t="s">
        <v>21</v>
      </c>
      <c r="H1806" s="209" t="s">
        <v>272</v>
      </c>
      <c r="I1806" s="210"/>
    </row>
    <row r="1807" spans="1:9" x14ac:dyDescent="0.25">
      <c r="A1807" s="74"/>
      <c r="B1807" s="45">
        <v>1178</v>
      </c>
      <c r="C1807" s="64" t="s">
        <v>1586</v>
      </c>
      <c r="D1807" s="74"/>
      <c r="E1807" s="208" t="s">
        <v>132</v>
      </c>
      <c r="F1807" s="209" t="s">
        <v>21</v>
      </c>
      <c r="G1807" s="209" t="s">
        <v>21</v>
      </c>
      <c r="H1807" s="209" t="s">
        <v>272</v>
      </c>
      <c r="I1807" s="210"/>
    </row>
    <row r="1808" spans="1:9" x14ac:dyDescent="0.25">
      <c r="A1808" s="74"/>
      <c r="B1808" s="45">
        <v>1179</v>
      </c>
      <c r="C1808" s="64" t="s">
        <v>1587</v>
      </c>
      <c r="D1808" s="74"/>
      <c r="E1808" s="208" t="s">
        <v>132</v>
      </c>
      <c r="F1808" s="209" t="s">
        <v>21</v>
      </c>
      <c r="G1808" s="209" t="s">
        <v>21</v>
      </c>
      <c r="H1808" s="209" t="s">
        <v>272</v>
      </c>
      <c r="I1808" s="210"/>
    </row>
    <row r="1809" spans="1:9" x14ac:dyDescent="0.25">
      <c r="A1809" s="74"/>
      <c r="B1809" s="45">
        <v>1176</v>
      </c>
      <c r="C1809" s="64" t="s">
        <v>1584</v>
      </c>
      <c r="D1809" s="74"/>
      <c r="E1809" s="208" t="s">
        <v>132</v>
      </c>
      <c r="F1809" s="209" t="s">
        <v>21</v>
      </c>
      <c r="G1809" s="209" t="s">
        <v>21</v>
      </c>
      <c r="H1809" s="209" t="s">
        <v>272</v>
      </c>
      <c r="I1809" s="210"/>
    </row>
    <row r="1810" spans="1:9" x14ac:dyDescent="0.25">
      <c r="A1810" s="74"/>
      <c r="B1810" s="45">
        <v>1180</v>
      </c>
      <c r="C1810" s="64" t="s">
        <v>1588</v>
      </c>
      <c r="D1810" s="74"/>
      <c r="E1810" s="208" t="s">
        <v>132</v>
      </c>
      <c r="F1810" s="209" t="s">
        <v>21</v>
      </c>
      <c r="G1810" s="209" t="s">
        <v>21</v>
      </c>
      <c r="H1810" s="209" t="s">
        <v>272</v>
      </c>
      <c r="I1810" s="210"/>
    </row>
    <row r="1811" spans="1:9" x14ac:dyDescent="0.25">
      <c r="A1811" s="74"/>
      <c r="B1811" s="45">
        <v>1181</v>
      </c>
      <c r="C1811" s="64" t="s">
        <v>1589</v>
      </c>
      <c r="D1811" s="74"/>
      <c r="E1811" s="208" t="s">
        <v>132</v>
      </c>
      <c r="F1811" s="209" t="s">
        <v>21</v>
      </c>
      <c r="G1811" s="209" t="s">
        <v>21</v>
      </c>
      <c r="H1811" s="209" t="s">
        <v>272</v>
      </c>
      <c r="I1811" s="210"/>
    </row>
    <row r="1812" spans="1:9" x14ac:dyDescent="0.25">
      <c r="A1812" s="74"/>
      <c r="B1812" s="45">
        <v>1182</v>
      </c>
      <c r="C1812" s="64" t="s">
        <v>1590</v>
      </c>
      <c r="D1812" s="74"/>
      <c r="E1812" s="208" t="s">
        <v>132</v>
      </c>
      <c r="F1812" s="209" t="s">
        <v>21</v>
      </c>
      <c r="G1812" s="209" t="s">
        <v>21</v>
      </c>
      <c r="H1812" s="209" t="s">
        <v>272</v>
      </c>
      <c r="I1812" s="210"/>
    </row>
    <row r="1813" spans="1:9" x14ac:dyDescent="0.25">
      <c r="A1813" s="74"/>
      <c r="B1813" s="45">
        <v>1183</v>
      </c>
      <c r="C1813" s="64" t="s">
        <v>1591</v>
      </c>
      <c r="D1813" s="74"/>
      <c r="E1813" s="208" t="s">
        <v>132</v>
      </c>
      <c r="F1813" s="209" t="s">
        <v>21</v>
      </c>
      <c r="G1813" s="209" t="s">
        <v>21</v>
      </c>
      <c r="H1813" s="209" t="s">
        <v>272</v>
      </c>
      <c r="I1813" s="210"/>
    </row>
    <row r="1814" spans="1:9" x14ac:dyDescent="0.25">
      <c r="A1814" s="74"/>
      <c r="B1814" s="45">
        <v>1184</v>
      </c>
      <c r="C1814" s="64" t="s">
        <v>1592</v>
      </c>
      <c r="D1814" s="74"/>
      <c r="E1814" s="208" t="s">
        <v>132</v>
      </c>
      <c r="F1814" s="209" t="s">
        <v>21</v>
      </c>
      <c r="G1814" s="209" t="s">
        <v>21</v>
      </c>
      <c r="H1814" s="209" t="s">
        <v>272</v>
      </c>
      <c r="I1814" s="210"/>
    </row>
    <row r="1815" spans="1:9" x14ac:dyDescent="0.25">
      <c r="A1815" s="74"/>
      <c r="B1815" s="45">
        <v>1185</v>
      </c>
      <c r="C1815" s="64" t="s">
        <v>1593</v>
      </c>
      <c r="D1815" s="74"/>
      <c r="E1815" s="208" t="s">
        <v>132</v>
      </c>
      <c r="F1815" s="209" t="s">
        <v>21</v>
      </c>
      <c r="G1815" s="209" t="s">
        <v>21</v>
      </c>
      <c r="H1815" s="209" t="s">
        <v>272</v>
      </c>
      <c r="I1815" s="210"/>
    </row>
    <row r="1816" spans="1:9" x14ac:dyDescent="0.25">
      <c r="A1816" s="74"/>
      <c r="B1816" s="45">
        <v>70</v>
      </c>
      <c r="C1816" s="64" t="s">
        <v>482</v>
      </c>
      <c r="D1816" s="74"/>
      <c r="E1816" s="208" t="s">
        <v>132</v>
      </c>
      <c r="F1816" s="209" t="s">
        <v>21</v>
      </c>
      <c r="G1816" s="209" t="s">
        <v>21</v>
      </c>
      <c r="H1816" s="209" t="s">
        <v>192</v>
      </c>
      <c r="I1816" s="210"/>
    </row>
    <row r="1817" spans="1:9" x14ac:dyDescent="0.25">
      <c r="A1817" s="74"/>
      <c r="B1817" s="45">
        <v>61</v>
      </c>
      <c r="C1817" s="64" t="s">
        <v>473</v>
      </c>
      <c r="D1817" s="74"/>
      <c r="E1817" s="208" t="s">
        <v>132</v>
      </c>
      <c r="F1817" s="209" t="s">
        <v>21</v>
      </c>
      <c r="G1817" s="209" t="s">
        <v>21</v>
      </c>
      <c r="H1817" s="209" t="s">
        <v>194</v>
      </c>
      <c r="I1817" s="210"/>
    </row>
    <row r="1818" spans="1:9" x14ac:dyDescent="0.25">
      <c r="A1818" s="74"/>
      <c r="B1818" s="45">
        <v>72</v>
      </c>
      <c r="C1818" s="64" t="s">
        <v>484</v>
      </c>
      <c r="D1818" s="74"/>
      <c r="E1818" s="208" t="s">
        <v>132</v>
      </c>
      <c r="F1818" s="209" t="s">
        <v>21</v>
      </c>
      <c r="G1818" s="209" t="s">
        <v>21</v>
      </c>
      <c r="H1818" s="209" t="s">
        <v>192</v>
      </c>
      <c r="I1818" s="210"/>
    </row>
    <row r="1819" spans="1:9" x14ac:dyDescent="0.25">
      <c r="A1819" s="74"/>
      <c r="B1819" s="45">
        <v>62</v>
      </c>
      <c r="C1819" s="64" t="s">
        <v>474</v>
      </c>
      <c r="D1819" s="74"/>
      <c r="E1819" s="208" t="s">
        <v>132</v>
      </c>
      <c r="F1819" s="209" t="s">
        <v>21</v>
      </c>
      <c r="G1819" s="209" t="s">
        <v>21</v>
      </c>
      <c r="H1819" s="209" t="s">
        <v>194</v>
      </c>
      <c r="I1819" s="210"/>
    </row>
    <row r="1820" spans="1:9" x14ac:dyDescent="0.25">
      <c r="A1820" s="74"/>
      <c r="B1820" s="45">
        <v>68</v>
      </c>
      <c r="C1820" s="64" t="s">
        <v>480</v>
      </c>
      <c r="D1820" s="74"/>
      <c r="E1820" s="208" t="s">
        <v>132</v>
      </c>
      <c r="F1820" s="209" t="s">
        <v>21</v>
      </c>
      <c r="G1820" s="209" t="s">
        <v>21</v>
      </c>
      <c r="H1820" s="209" t="s">
        <v>192</v>
      </c>
      <c r="I1820" s="210"/>
    </row>
    <row r="1821" spans="1:9" x14ac:dyDescent="0.25">
      <c r="A1821" s="74"/>
      <c r="B1821" s="45">
        <v>1225</v>
      </c>
      <c r="C1821" s="64" t="s">
        <v>1630</v>
      </c>
      <c r="D1821" s="74"/>
      <c r="E1821" s="208" t="s">
        <v>133</v>
      </c>
      <c r="F1821" s="209" t="s">
        <v>21</v>
      </c>
      <c r="G1821" s="209" t="s">
        <v>21</v>
      </c>
      <c r="H1821" s="209" t="s">
        <v>272</v>
      </c>
      <c r="I1821" s="210"/>
    </row>
    <row r="1822" spans="1:9" x14ac:dyDescent="0.25">
      <c r="A1822" s="74"/>
      <c r="B1822" s="45">
        <v>1227</v>
      </c>
      <c r="C1822" s="64" t="s">
        <v>1632</v>
      </c>
      <c r="D1822" s="74"/>
      <c r="E1822" s="208" t="s">
        <v>133</v>
      </c>
      <c r="F1822" s="209" t="s">
        <v>21</v>
      </c>
      <c r="G1822" s="209" t="s">
        <v>21</v>
      </c>
      <c r="H1822" s="209" t="s">
        <v>272</v>
      </c>
      <c r="I1822" s="210"/>
    </row>
    <row r="1823" spans="1:9" x14ac:dyDescent="0.25">
      <c r="A1823" s="74"/>
      <c r="B1823" s="45">
        <v>1223</v>
      </c>
      <c r="C1823" s="64" t="s">
        <v>1628</v>
      </c>
      <c r="D1823" s="74"/>
      <c r="E1823" s="208" t="s">
        <v>133</v>
      </c>
      <c r="F1823" s="209" t="s">
        <v>21</v>
      </c>
      <c r="G1823" s="209" t="s">
        <v>21</v>
      </c>
      <c r="H1823" s="209" t="s">
        <v>272</v>
      </c>
      <c r="I1823" s="210"/>
    </row>
    <row r="1824" spans="1:9" x14ac:dyDescent="0.25">
      <c r="A1824" s="74"/>
      <c r="B1824" s="45">
        <v>1224</v>
      </c>
      <c r="C1824" s="64" t="s">
        <v>1629</v>
      </c>
      <c r="D1824" s="74"/>
      <c r="E1824" s="208" t="s">
        <v>133</v>
      </c>
      <c r="F1824" s="209" t="s">
        <v>21</v>
      </c>
      <c r="G1824" s="209" t="s">
        <v>21</v>
      </c>
      <c r="H1824" s="209" t="s">
        <v>272</v>
      </c>
      <c r="I1824" s="210"/>
    </row>
    <row r="1825" spans="1:9" x14ac:dyDescent="0.25">
      <c r="A1825" s="74"/>
      <c r="B1825" s="45">
        <v>1199</v>
      </c>
      <c r="C1825" s="64" t="s">
        <v>1605</v>
      </c>
      <c r="D1825" s="74"/>
      <c r="E1825" s="208" t="s">
        <v>133</v>
      </c>
      <c r="F1825" s="209" t="s">
        <v>21</v>
      </c>
      <c r="G1825" s="209" t="s">
        <v>21</v>
      </c>
      <c r="H1825" s="209" t="s">
        <v>272</v>
      </c>
      <c r="I1825" s="210"/>
    </row>
    <row r="1826" spans="1:9" x14ac:dyDescent="0.25">
      <c r="A1826" s="74"/>
      <c r="B1826" s="45">
        <v>1226</v>
      </c>
      <c r="C1826" s="64" t="s">
        <v>1631</v>
      </c>
      <c r="D1826" s="74"/>
      <c r="E1826" s="208" t="s">
        <v>133</v>
      </c>
      <c r="F1826" s="209" t="s">
        <v>21</v>
      </c>
      <c r="G1826" s="209" t="s">
        <v>21</v>
      </c>
      <c r="H1826" s="209" t="s">
        <v>272</v>
      </c>
      <c r="I1826" s="210"/>
    </row>
    <row r="1827" spans="1:9" x14ac:dyDescent="0.25">
      <c r="A1827" s="74"/>
      <c r="B1827" s="45">
        <v>1228</v>
      </c>
      <c r="C1827" s="64" t="s">
        <v>1633</v>
      </c>
      <c r="D1827" s="74"/>
      <c r="E1827" s="208" t="s">
        <v>133</v>
      </c>
      <c r="F1827" s="209" t="s">
        <v>21</v>
      </c>
      <c r="G1827" s="209" t="s">
        <v>21</v>
      </c>
      <c r="H1827" s="209" t="s">
        <v>272</v>
      </c>
      <c r="I1827" s="210"/>
    </row>
    <row r="1828" spans="1:9" x14ac:dyDescent="0.25">
      <c r="A1828" s="74"/>
      <c r="B1828" s="45">
        <v>1214</v>
      </c>
      <c r="C1828" s="64" t="s">
        <v>1619</v>
      </c>
      <c r="D1828" s="74"/>
      <c r="E1828" s="208" t="s">
        <v>133</v>
      </c>
      <c r="F1828" s="209" t="s">
        <v>21</v>
      </c>
      <c r="G1828" s="209" t="s">
        <v>21</v>
      </c>
      <c r="H1828" s="209" t="s">
        <v>272</v>
      </c>
      <c r="I1828" s="210"/>
    </row>
    <row r="1829" spans="1:9" x14ac:dyDescent="0.25">
      <c r="A1829" s="74"/>
      <c r="B1829" s="45">
        <v>1229</v>
      </c>
      <c r="C1829" s="64" t="s">
        <v>1634</v>
      </c>
      <c r="D1829" s="74"/>
      <c r="E1829" s="208" t="s">
        <v>133</v>
      </c>
      <c r="F1829" s="209" t="s">
        <v>21</v>
      </c>
      <c r="G1829" s="209" t="s">
        <v>21</v>
      </c>
      <c r="H1829" s="209" t="s">
        <v>272</v>
      </c>
      <c r="I1829" s="210"/>
    </row>
    <row r="1830" spans="1:9" x14ac:dyDescent="0.25">
      <c r="A1830" s="74"/>
      <c r="B1830" s="45">
        <v>1230</v>
      </c>
      <c r="C1830" s="64" t="s">
        <v>1635</v>
      </c>
      <c r="D1830" s="74"/>
      <c r="E1830" s="208" t="s">
        <v>133</v>
      </c>
      <c r="F1830" s="209" t="s">
        <v>21</v>
      </c>
      <c r="G1830" s="209" t="s">
        <v>21</v>
      </c>
      <c r="H1830" s="209" t="s">
        <v>272</v>
      </c>
      <c r="I1830" s="210"/>
    </row>
    <row r="1831" spans="1:9" x14ac:dyDescent="0.25">
      <c r="A1831" s="74"/>
      <c r="B1831" s="45">
        <v>1231</v>
      </c>
      <c r="C1831" s="64" t="s">
        <v>1636</v>
      </c>
      <c r="D1831" s="74"/>
      <c r="E1831" s="208" t="s">
        <v>133</v>
      </c>
      <c r="F1831" s="209" t="s">
        <v>21</v>
      </c>
      <c r="G1831" s="209" t="s">
        <v>21</v>
      </c>
      <c r="H1831" s="209" t="s">
        <v>272</v>
      </c>
      <c r="I1831" s="210"/>
    </row>
    <row r="1832" spans="1:9" x14ac:dyDescent="0.25">
      <c r="A1832" s="74"/>
      <c r="B1832" s="45">
        <v>1213</v>
      </c>
      <c r="C1832" s="64" t="s">
        <v>1618</v>
      </c>
      <c r="D1832" s="74"/>
      <c r="E1832" s="208" t="s">
        <v>133</v>
      </c>
      <c r="F1832" s="209" t="s">
        <v>21</v>
      </c>
      <c r="G1832" s="209" t="s">
        <v>21</v>
      </c>
      <c r="H1832" s="209" t="s">
        <v>272</v>
      </c>
      <c r="I1832" s="210"/>
    </row>
    <row r="1833" spans="1:9" x14ac:dyDescent="0.25">
      <c r="A1833" s="74"/>
      <c r="B1833" s="45">
        <v>1236</v>
      </c>
      <c r="C1833" s="64" t="s">
        <v>1641</v>
      </c>
      <c r="D1833" s="74"/>
      <c r="E1833" s="208" t="s">
        <v>133</v>
      </c>
      <c r="F1833" s="209" t="s">
        <v>21</v>
      </c>
      <c r="G1833" s="209" t="s">
        <v>21</v>
      </c>
      <c r="H1833" s="209" t="s">
        <v>192</v>
      </c>
      <c r="I1833" s="210"/>
    </row>
    <row r="1834" spans="1:9" x14ac:dyDescent="0.25">
      <c r="A1834" s="74"/>
      <c r="B1834" s="45">
        <v>1213</v>
      </c>
      <c r="C1834" s="64" t="s">
        <v>1618</v>
      </c>
      <c r="D1834" s="74"/>
      <c r="E1834" s="208" t="s">
        <v>133</v>
      </c>
      <c r="F1834" s="209" t="s">
        <v>21</v>
      </c>
      <c r="G1834" s="209" t="s">
        <v>21</v>
      </c>
      <c r="H1834" s="209" t="s">
        <v>272</v>
      </c>
      <c r="I1834" s="210"/>
    </row>
    <row r="1835" spans="1:9" x14ac:dyDescent="0.25">
      <c r="A1835" s="74"/>
      <c r="B1835" s="45">
        <v>135</v>
      </c>
      <c r="C1835" s="64" t="s">
        <v>547</v>
      </c>
      <c r="D1835" s="74"/>
      <c r="E1835" s="208" t="s">
        <v>133</v>
      </c>
      <c r="F1835" s="209" t="s">
        <v>21</v>
      </c>
      <c r="G1835" s="209" t="s">
        <v>21</v>
      </c>
      <c r="H1835" s="209" t="s">
        <v>272</v>
      </c>
      <c r="I1835" s="210"/>
    </row>
    <row r="1836" spans="1:9" x14ac:dyDescent="0.25">
      <c r="A1836" s="74"/>
      <c r="B1836" s="45">
        <v>29</v>
      </c>
      <c r="C1836" s="64" t="s">
        <v>443</v>
      </c>
      <c r="D1836" s="74"/>
      <c r="E1836" s="208" t="s">
        <v>122</v>
      </c>
      <c r="F1836" s="209" t="s">
        <v>21</v>
      </c>
      <c r="G1836" s="209" t="s">
        <v>21</v>
      </c>
      <c r="H1836" s="209" t="s">
        <v>189</v>
      </c>
      <c r="I1836" s="210"/>
    </row>
    <row r="1837" spans="1:9" x14ac:dyDescent="0.25">
      <c r="A1837" s="74"/>
      <c r="B1837" s="45">
        <v>1233</v>
      </c>
      <c r="C1837" s="64" t="s">
        <v>1638</v>
      </c>
      <c r="D1837" s="74"/>
      <c r="E1837" s="208" t="s">
        <v>133</v>
      </c>
      <c r="F1837" s="209" t="s">
        <v>21</v>
      </c>
      <c r="G1837" s="209" t="s">
        <v>21</v>
      </c>
      <c r="H1837" s="209" t="s">
        <v>272</v>
      </c>
      <c r="I1837" s="210"/>
    </row>
    <row r="1838" spans="1:9" x14ac:dyDescent="0.25">
      <c r="A1838" s="74"/>
      <c r="B1838" s="45">
        <v>137</v>
      </c>
      <c r="C1838" s="64" t="s">
        <v>549</v>
      </c>
      <c r="D1838" s="74"/>
      <c r="E1838" s="208" t="s">
        <v>133</v>
      </c>
      <c r="F1838" s="209" t="s">
        <v>21</v>
      </c>
      <c r="G1838" s="209" t="s">
        <v>21</v>
      </c>
      <c r="H1838" s="209" t="s">
        <v>272</v>
      </c>
      <c r="I1838" s="210"/>
    </row>
    <row r="1839" spans="1:9" x14ac:dyDescent="0.25">
      <c r="A1839" s="74"/>
      <c r="B1839" s="45">
        <v>1234</v>
      </c>
      <c r="C1839" s="64" t="s">
        <v>1639</v>
      </c>
      <c r="D1839" s="74"/>
      <c r="E1839" s="208" t="s">
        <v>133</v>
      </c>
      <c r="F1839" s="209" t="s">
        <v>21</v>
      </c>
      <c r="G1839" s="209" t="s">
        <v>21</v>
      </c>
      <c r="H1839" s="209" t="s">
        <v>192</v>
      </c>
      <c r="I1839" s="210"/>
    </row>
    <row r="1840" spans="1:9" x14ac:dyDescent="0.25">
      <c r="A1840" s="74"/>
      <c r="B1840" s="45">
        <v>1235</v>
      </c>
      <c r="C1840" s="64" t="s">
        <v>1640</v>
      </c>
      <c r="D1840" s="74"/>
      <c r="E1840" s="208" t="s">
        <v>133</v>
      </c>
      <c r="F1840" s="209" t="s">
        <v>21</v>
      </c>
      <c r="G1840" s="209" t="s">
        <v>21</v>
      </c>
      <c r="H1840" s="209" t="s">
        <v>192</v>
      </c>
      <c r="I1840" s="210"/>
    </row>
    <row r="1841" spans="1:9" x14ac:dyDescent="0.25">
      <c r="A1841" s="74"/>
      <c r="B1841" s="45">
        <v>142</v>
      </c>
      <c r="C1841" s="64" t="s">
        <v>554</v>
      </c>
      <c r="D1841" s="74"/>
      <c r="E1841" s="208" t="s">
        <v>135</v>
      </c>
      <c r="F1841" s="209" t="s">
        <v>21</v>
      </c>
      <c r="G1841" s="209" t="s">
        <v>21</v>
      </c>
      <c r="H1841" s="209" t="s">
        <v>187</v>
      </c>
      <c r="I1841" s="210"/>
    </row>
    <row r="1842" spans="1:9" x14ac:dyDescent="0.25">
      <c r="A1842" s="74"/>
      <c r="B1842" s="45">
        <v>165</v>
      </c>
      <c r="C1842" s="64" t="s">
        <v>577</v>
      </c>
      <c r="D1842" s="74"/>
      <c r="E1842" s="208" t="s">
        <v>135</v>
      </c>
      <c r="F1842" s="209" t="s">
        <v>21</v>
      </c>
      <c r="G1842" s="209" t="s">
        <v>21</v>
      </c>
      <c r="H1842" s="209" t="s">
        <v>183</v>
      </c>
      <c r="I1842" s="210"/>
    </row>
    <row r="1843" spans="1:9" x14ac:dyDescent="0.25">
      <c r="A1843" s="74"/>
      <c r="B1843" s="45">
        <v>139</v>
      </c>
      <c r="C1843" s="64" t="s">
        <v>551</v>
      </c>
      <c r="D1843" s="74"/>
      <c r="E1843" s="208" t="s">
        <v>135</v>
      </c>
      <c r="F1843" s="209" t="s">
        <v>21</v>
      </c>
      <c r="G1843" s="209" t="s">
        <v>21</v>
      </c>
      <c r="H1843" s="209" t="s">
        <v>187</v>
      </c>
      <c r="I1843" s="210"/>
    </row>
    <row r="1844" spans="1:9" x14ac:dyDescent="0.25">
      <c r="A1844" s="74"/>
      <c r="B1844" s="45">
        <v>206</v>
      </c>
      <c r="C1844" s="64" t="s">
        <v>618</v>
      </c>
      <c r="D1844" s="74"/>
      <c r="E1844" s="208" t="s">
        <v>135</v>
      </c>
      <c r="F1844" s="209" t="s">
        <v>21</v>
      </c>
      <c r="G1844" s="209" t="s">
        <v>21</v>
      </c>
      <c r="H1844" s="209" t="s">
        <v>189</v>
      </c>
      <c r="I1844" s="210"/>
    </row>
    <row r="1845" spans="1:9" x14ac:dyDescent="0.25">
      <c r="A1845" s="74"/>
      <c r="B1845" s="45">
        <v>1149</v>
      </c>
      <c r="C1845" s="64" t="s">
        <v>1558</v>
      </c>
      <c r="D1845" s="74"/>
      <c r="E1845" s="208" t="s">
        <v>132</v>
      </c>
      <c r="F1845" s="209" t="s">
        <v>21</v>
      </c>
      <c r="G1845" s="209" t="s">
        <v>21</v>
      </c>
      <c r="H1845" s="209" t="s">
        <v>194</v>
      </c>
      <c r="I1845" s="210"/>
    </row>
    <row r="1846" spans="1:9" x14ac:dyDescent="0.25">
      <c r="A1846" s="74"/>
      <c r="B1846" s="45">
        <v>1238</v>
      </c>
      <c r="C1846" s="64" t="s">
        <v>1642</v>
      </c>
      <c r="D1846" s="74"/>
      <c r="E1846" s="208" t="s">
        <v>135</v>
      </c>
      <c r="F1846" s="209" t="s">
        <v>21</v>
      </c>
      <c r="G1846" s="209" t="s">
        <v>21</v>
      </c>
      <c r="H1846" s="209" t="s">
        <v>16</v>
      </c>
      <c r="I1846" s="210"/>
    </row>
    <row r="1847" spans="1:9" x14ac:dyDescent="0.25">
      <c r="A1847" s="74"/>
      <c r="B1847" s="45">
        <v>140</v>
      </c>
      <c r="C1847" s="64" t="s">
        <v>552</v>
      </c>
      <c r="D1847" s="74"/>
      <c r="E1847" s="208" t="s">
        <v>135</v>
      </c>
      <c r="F1847" s="209" t="s">
        <v>21</v>
      </c>
      <c r="G1847" s="209" t="s">
        <v>21</v>
      </c>
      <c r="H1847" s="209" t="s">
        <v>192</v>
      </c>
      <c r="I1847" s="210"/>
    </row>
    <row r="1848" spans="1:9" x14ac:dyDescent="0.25">
      <c r="A1848" s="74"/>
      <c r="B1848" s="45">
        <v>148</v>
      </c>
      <c r="C1848" s="64" t="s">
        <v>560</v>
      </c>
      <c r="D1848" s="74"/>
      <c r="E1848" s="208" t="s">
        <v>135</v>
      </c>
      <c r="F1848" s="209" t="s">
        <v>21</v>
      </c>
      <c r="G1848" s="209" t="s">
        <v>21</v>
      </c>
      <c r="H1848" s="209" t="s">
        <v>198</v>
      </c>
      <c r="I1848" s="210"/>
    </row>
    <row r="1849" spans="1:9" x14ac:dyDescent="0.25">
      <c r="A1849" s="74"/>
      <c r="B1849" s="45">
        <v>1239</v>
      </c>
      <c r="C1849" s="64" t="s">
        <v>1643</v>
      </c>
      <c r="D1849" s="74"/>
      <c r="E1849" s="208" t="s">
        <v>135</v>
      </c>
      <c r="F1849" s="209" t="s">
        <v>21</v>
      </c>
      <c r="G1849" s="209" t="s">
        <v>21</v>
      </c>
      <c r="H1849" s="209" t="s">
        <v>189</v>
      </c>
      <c r="I1849" s="210"/>
    </row>
    <row r="1850" spans="1:9" x14ac:dyDescent="0.25">
      <c r="A1850" s="74"/>
      <c r="B1850" s="45">
        <v>1240</v>
      </c>
      <c r="C1850" s="64" t="s">
        <v>1644</v>
      </c>
      <c r="D1850" s="74"/>
      <c r="E1850" s="208" t="s">
        <v>169</v>
      </c>
      <c r="F1850" s="209" t="s">
        <v>21</v>
      </c>
      <c r="G1850" s="209" t="s">
        <v>21</v>
      </c>
      <c r="H1850" s="209" t="s">
        <v>272</v>
      </c>
      <c r="I1850" s="210"/>
    </row>
    <row r="1851" spans="1:9" x14ac:dyDescent="0.25">
      <c r="A1851" s="74"/>
      <c r="B1851" s="45">
        <v>1241</v>
      </c>
      <c r="C1851" s="64" t="s">
        <v>1645</v>
      </c>
      <c r="D1851" s="74"/>
      <c r="E1851" s="208" t="s">
        <v>135</v>
      </c>
      <c r="F1851" s="209" t="s">
        <v>21</v>
      </c>
      <c r="G1851" s="209" t="s">
        <v>21</v>
      </c>
      <c r="H1851" s="209" t="s">
        <v>272</v>
      </c>
      <c r="I1851" s="210"/>
    </row>
    <row r="1852" spans="1:9" x14ac:dyDescent="0.25">
      <c r="A1852" s="74"/>
      <c r="B1852" s="45">
        <v>1242</v>
      </c>
      <c r="C1852" s="64" t="s">
        <v>1646</v>
      </c>
      <c r="D1852" s="74"/>
      <c r="E1852" s="208" t="s">
        <v>135</v>
      </c>
      <c r="F1852" s="209" t="s">
        <v>21</v>
      </c>
      <c r="G1852" s="209" t="s">
        <v>21</v>
      </c>
      <c r="H1852" s="209" t="s">
        <v>272</v>
      </c>
      <c r="I1852" s="210"/>
    </row>
    <row r="1853" spans="1:9" x14ac:dyDescent="0.25">
      <c r="A1853" s="74"/>
      <c r="B1853" s="45">
        <v>1243</v>
      </c>
      <c r="C1853" s="64" t="s">
        <v>1581</v>
      </c>
      <c r="D1853" s="74"/>
      <c r="E1853" s="208" t="s">
        <v>135</v>
      </c>
      <c r="F1853" s="209" t="s">
        <v>21</v>
      </c>
      <c r="G1853" s="209" t="s">
        <v>21</v>
      </c>
      <c r="H1853" s="209" t="s">
        <v>272</v>
      </c>
      <c r="I1853" s="210"/>
    </row>
    <row r="1854" spans="1:9" x14ac:dyDescent="0.25">
      <c r="A1854" s="74"/>
      <c r="B1854" s="45">
        <v>1240</v>
      </c>
      <c r="C1854" s="64" t="s">
        <v>1644</v>
      </c>
      <c r="D1854" s="74"/>
      <c r="E1854" s="208" t="s">
        <v>169</v>
      </c>
      <c r="F1854" s="209" t="s">
        <v>21</v>
      </c>
      <c r="G1854" s="209" t="s">
        <v>21</v>
      </c>
      <c r="H1854" s="209" t="s">
        <v>272</v>
      </c>
      <c r="I1854" s="210"/>
    </row>
    <row r="1855" spans="1:9" x14ac:dyDescent="0.25">
      <c r="A1855" s="74"/>
      <c r="B1855" s="45">
        <v>1241</v>
      </c>
      <c r="C1855" s="64" t="s">
        <v>1645</v>
      </c>
      <c r="D1855" s="74"/>
      <c r="E1855" s="208" t="s">
        <v>135</v>
      </c>
      <c r="F1855" s="209" t="s">
        <v>21</v>
      </c>
      <c r="G1855" s="209" t="s">
        <v>21</v>
      </c>
      <c r="H1855" s="209" t="s">
        <v>272</v>
      </c>
      <c r="I1855" s="210"/>
    </row>
    <row r="1856" spans="1:9" x14ac:dyDescent="0.25">
      <c r="A1856" s="74"/>
      <c r="B1856" s="45">
        <v>1242</v>
      </c>
      <c r="C1856" s="64" t="s">
        <v>1646</v>
      </c>
      <c r="D1856" s="74"/>
      <c r="E1856" s="208" t="s">
        <v>135</v>
      </c>
      <c r="F1856" s="209" t="s">
        <v>21</v>
      </c>
      <c r="G1856" s="209" t="s">
        <v>21</v>
      </c>
      <c r="H1856" s="209" t="s">
        <v>272</v>
      </c>
      <c r="I1856" s="210"/>
    </row>
    <row r="1857" spans="1:9" x14ac:dyDescent="0.25">
      <c r="A1857" s="74"/>
      <c r="B1857" s="45">
        <v>1243</v>
      </c>
      <c r="C1857" s="64" t="s">
        <v>1581</v>
      </c>
      <c r="D1857" s="74"/>
      <c r="E1857" s="208" t="s">
        <v>135</v>
      </c>
      <c r="F1857" s="209" t="s">
        <v>21</v>
      </c>
      <c r="G1857" s="209" t="s">
        <v>21</v>
      </c>
      <c r="H1857" s="209" t="s">
        <v>272</v>
      </c>
      <c r="I1857" s="210"/>
    </row>
    <row r="1858" spans="1:9" x14ac:dyDescent="0.25">
      <c r="A1858" s="74"/>
      <c r="B1858" s="45">
        <v>1240</v>
      </c>
      <c r="C1858" s="64" t="s">
        <v>1644</v>
      </c>
      <c r="D1858" s="74"/>
      <c r="E1858" s="208" t="s">
        <v>169</v>
      </c>
      <c r="F1858" s="209" t="s">
        <v>21</v>
      </c>
      <c r="G1858" s="209" t="s">
        <v>21</v>
      </c>
      <c r="H1858" s="209" t="s">
        <v>272</v>
      </c>
      <c r="I1858" s="210"/>
    </row>
    <row r="1859" spans="1:9" x14ac:dyDescent="0.25">
      <c r="A1859" s="74"/>
      <c r="B1859" s="45">
        <v>1241</v>
      </c>
      <c r="C1859" s="64" t="s">
        <v>1645</v>
      </c>
      <c r="D1859" s="74"/>
      <c r="E1859" s="208" t="s">
        <v>135</v>
      </c>
      <c r="F1859" s="209" t="s">
        <v>21</v>
      </c>
      <c r="G1859" s="209" t="s">
        <v>21</v>
      </c>
      <c r="H1859" s="209" t="s">
        <v>272</v>
      </c>
      <c r="I1859" s="210"/>
    </row>
    <row r="1860" spans="1:9" x14ac:dyDescent="0.25">
      <c r="A1860" s="74"/>
      <c r="B1860" s="45">
        <v>1242</v>
      </c>
      <c r="C1860" s="64" t="s">
        <v>1646</v>
      </c>
      <c r="D1860" s="74"/>
      <c r="E1860" s="208" t="s">
        <v>135</v>
      </c>
      <c r="F1860" s="209" t="s">
        <v>21</v>
      </c>
      <c r="G1860" s="209" t="s">
        <v>21</v>
      </c>
      <c r="H1860" s="209" t="s">
        <v>272</v>
      </c>
      <c r="I1860" s="210"/>
    </row>
    <row r="1861" spans="1:9" x14ac:dyDescent="0.25">
      <c r="A1861" s="74"/>
      <c r="B1861" s="45">
        <v>1243</v>
      </c>
      <c r="C1861" s="64" t="s">
        <v>1581</v>
      </c>
      <c r="D1861" s="74"/>
      <c r="E1861" s="208" t="s">
        <v>135</v>
      </c>
      <c r="F1861" s="209" t="s">
        <v>21</v>
      </c>
      <c r="G1861" s="209" t="s">
        <v>21</v>
      </c>
      <c r="H1861" s="209" t="s">
        <v>272</v>
      </c>
      <c r="I1861" s="210"/>
    </row>
    <row r="1862" spans="1:9" x14ac:dyDescent="0.25">
      <c r="A1862" s="74"/>
      <c r="B1862" s="45">
        <v>1240</v>
      </c>
      <c r="C1862" s="64" t="s">
        <v>1644</v>
      </c>
      <c r="D1862" s="74"/>
      <c r="E1862" s="208" t="s">
        <v>169</v>
      </c>
      <c r="F1862" s="209" t="s">
        <v>21</v>
      </c>
      <c r="G1862" s="209" t="s">
        <v>21</v>
      </c>
      <c r="H1862" s="209" t="s">
        <v>272</v>
      </c>
      <c r="I1862" s="210"/>
    </row>
    <row r="1863" spans="1:9" x14ac:dyDescent="0.25">
      <c r="A1863" s="74"/>
      <c r="B1863" s="45">
        <v>1241</v>
      </c>
      <c r="C1863" s="64" t="s">
        <v>1645</v>
      </c>
      <c r="D1863" s="74"/>
      <c r="E1863" s="208" t="s">
        <v>135</v>
      </c>
      <c r="F1863" s="209" t="s">
        <v>21</v>
      </c>
      <c r="G1863" s="209" t="s">
        <v>21</v>
      </c>
      <c r="H1863" s="209" t="s">
        <v>272</v>
      </c>
      <c r="I1863" s="210"/>
    </row>
    <row r="1864" spans="1:9" x14ac:dyDescent="0.25">
      <c r="A1864" s="74"/>
      <c r="B1864" s="45">
        <v>1242</v>
      </c>
      <c r="C1864" s="64" t="s">
        <v>1646</v>
      </c>
      <c r="D1864" s="74"/>
      <c r="E1864" s="208" t="s">
        <v>135</v>
      </c>
      <c r="F1864" s="209" t="s">
        <v>21</v>
      </c>
      <c r="G1864" s="209" t="s">
        <v>21</v>
      </c>
      <c r="H1864" s="209" t="s">
        <v>272</v>
      </c>
      <c r="I1864" s="210"/>
    </row>
    <row r="1865" spans="1:9" x14ac:dyDescent="0.25">
      <c r="A1865" s="74"/>
      <c r="B1865" s="45">
        <v>1243</v>
      </c>
      <c r="C1865" s="64" t="s">
        <v>1581</v>
      </c>
      <c r="D1865" s="74"/>
      <c r="E1865" s="208" t="s">
        <v>135</v>
      </c>
      <c r="F1865" s="209" t="s">
        <v>21</v>
      </c>
      <c r="G1865" s="209" t="s">
        <v>21</v>
      </c>
      <c r="H1865" s="209" t="s">
        <v>272</v>
      </c>
      <c r="I1865" s="210"/>
    </row>
    <row r="1866" spans="1:9" x14ac:dyDescent="0.25">
      <c r="A1866" s="74"/>
      <c r="B1866" s="45">
        <v>146</v>
      </c>
      <c r="C1866" s="64" t="s">
        <v>558</v>
      </c>
      <c r="D1866" s="74"/>
      <c r="E1866" s="208" t="s">
        <v>135</v>
      </c>
      <c r="F1866" s="209" t="s">
        <v>21</v>
      </c>
      <c r="G1866" s="209" t="s">
        <v>21</v>
      </c>
      <c r="H1866" s="209" t="s">
        <v>194</v>
      </c>
      <c r="I1866" s="210"/>
    </row>
    <row r="1867" spans="1:9" x14ac:dyDescent="0.25">
      <c r="A1867" s="74"/>
      <c r="B1867" s="45">
        <v>144</v>
      </c>
      <c r="C1867" s="64" t="s">
        <v>556</v>
      </c>
      <c r="D1867" s="74"/>
      <c r="E1867" s="208" t="s">
        <v>135</v>
      </c>
      <c r="F1867" s="209" t="s">
        <v>21</v>
      </c>
      <c r="G1867" s="209" t="s">
        <v>21</v>
      </c>
      <c r="H1867" s="209" t="s">
        <v>194</v>
      </c>
      <c r="I1867" s="210"/>
    </row>
    <row r="1868" spans="1:9" x14ac:dyDescent="0.25">
      <c r="A1868" s="74"/>
      <c r="B1868" s="45">
        <v>1244</v>
      </c>
      <c r="C1868" s="64" t="s">
        <v>1647</v>
      </c>
      <c r="D1868" s="74"/>
      <c r="E1868" s="208" t="s">
        <v>135</v>
      </c>
      <c r="F1868" s="209" t="s">
        <v>21</v>
      </c>
      <c r="G1868" s="209" t="s">
        <v>21</v>
      </c>
      <c r="H1868" s="209" t="s">
        <v>16</v>
      </c>
      <c r="I1868" s="210"/>
    </row>
    <row r="1869" spans="1:9" x14ac:dyDescent="0.25">
      <c r="A1869" s="74"/>
      <c r="B1869" s="45">
        <v>146</v>
      </c>
      <c r="C1869" s="64" t="s">
        <v>558</v>
      </c>
      <c r="D1869" s="74"/>
      <c r="E1869" s="208" t="s">
        <v>135</v>
      </c>
      <c r="F1869" s="209" t="s">
        <v>21</v>
      </c>
      <c r="G1869" s="209" t="s">
        <v>21</v>
      </c>
      <c r="H1869" s="209" t="s">
        <v>194</v>
      </c>
      <c r="I1869" s="210"/>
    </row>
    <row r="1870" spans="1:9" x14ac:dyDescent="0.25">
      <c r="A1870" s="74"/>
      <c r="B1870" s="45">
        <v>1245</v>
      </c>
      <c r="C1870" s="64" t="s">
        <v>1648</v>
      </c>
      <c r="D1870" s="74"/>
      <c r="E1870" s="208" t="s">
        <v>135</v>
      </c>
      <c r="F1870" s="209" t="s">
        <v>21</v>
      </c>
      <c r="G1870" s="209" t="s">
        <v>21</v>
      </c>
      <c r="H1870" s="209" t="s">
        <v>16</v>
      </c>
      <c r="I1870" s="210"/>
    </row>
    <row r="1871" spans="1:9" x14ac:dyDescent="0.25">
      <c r="A1871" s="74"/>
      <c r="B1871" s="45">
        <v>1246</v>
      </c>
      <c r="C1871" s="64" t="s">
        <v>1649</v>
      </c>
      <c r="D1871" s="74"/>
      <c r="E1871" s="208" t="s">
        <v>135</v>
      </c>
      <c r="F1871" s="209" t="s">
        <v>21</v>
      </c>
      <c r="G1871" s="209" t="s">
        <v>21</v>
      </c>
      <c r="H1871" s="209" t="s">
        <v>16</v>
      </c>
      <c r="I1871" s="210"/>
    </row>
    <row r="1872" spans="1:9" x14ac:dyDescent="0.25">
      <c r="A1872" s="74"/>
      <c r="B1872" s="45">
        <v>152</v>
      </c>
      <c r="C1872" s="64" t="s">
        <v>564</v>
      </c>
      <c r="D1872" s="74"/>
      <c r="E1872" s="208" t="s">
        <v>135</v>
      </c>
      <c r="F1872" s="209" t="s">
        <v>21</v>
      </c>
      <c r="G1872" s="209" t="s">
        <v>21</v>
      </c>
      <c r="H1872" s="209" t="s">
        <v>192</v>
      </c>
      <c r="I1872" s="210"/>
    </row>
    <row r="1873" spans="1:9" x14ac:dyDescent="0.25">
      <c r="A1873" s="74"/>
      <c r="B1873" s="45">
        <v>1247</v>
      </c>
      <c r="C1873" s="64" t="s">
        <v>1650</v>
      </c>
      <c r="D1873" s="74"/>
      <c r="E1873" s="208" t="s">
        <v>135</v>
      </c>
      <c r="F1873" s="209" t="s">
        <v>21</v>
      </c>
      <c r="G1873" s="209" t="s">
        <v>21</v>
      </c>
      <c r="H1873" s="209" t="s">
        <v>272</v>
      </c>
      <c r="I1873" s="210"/>
    </row>
    <row r="1874" spans="1:9" x14ac:dyDescent="0.25">
      <c r="A1874" s="74"/>
      <c r="B1874" s="45">
        <v>1248</v>
      </c>
      <c r="C1874" s="64" t="s">
        <v>1651</v>
      </c>
      <c r="D1874" s="74"/>
      <c r="E1874" s="208" t="s">
        <v>135</v>
      </c>
      <c r="F1874" s="209" t="s">
        <v>21</v>
      </c>
      <c r="G1874" s="209" t="s">
        <v>21</v>
      </c>
      <c r="H1874" s="209" t="s">
        <v>272</v>
      </c>
      <c r="I1874" s="210"/>
    </row>
    <row r="1875" spans="1:9" x14ac:dyDescent="0.25">
      <c r="A1875" s="74"/>
      <c r="B1875" s="45">
        <v>1249</v>
      </c>
      <c r="C1875" s="64" t="s">
        <v>1606</v>
      </c>
      <c r="D1875" s="74"/>
      <c r="E1875" s="208" t="s">
        <v>135</v>
      </c>
      <c r="F1875" s="209" t="s">
        <v>21</v>
      </c>
      <c r="G1875" s="209" t="s">
        <v>21</v>
      </c>
      <c r="H1875" s="209" t="s">
        <v>272</v>
      </c>
      <c r="I1875" s="210"/>
    </row>
    <row r="1876" spans="1:9" x14ac:dyDescent="0.25">
      <c r="A1876" s="74"/>
      <c r="B1876" s="45">
        <v>1250</v>
      </c>
      <c r="C1876" s="64" t="s">
        <v>1652</v>
      </c>
      <c r="D1876" s="74"/>
      <c r="E1876" s="208" t="s">
        <v>135</v>
      </c>
      <c r="F1876" s="209" t="s">
        <v>21</v>
      </c>
      <c r="G1876" s="209" t="s">
        <v>21</v>
      </c>
      <c r="H1876" s="209" t="s">
        <v>272</v>
      </c>
      <c r="I1876" s="210"/>
    </row>
    <row r="1877" spans="1:9" x14ac:dyDescent="0.25">
      <c r="A1877" s="74"/>
      <c r="B1877" s="45">
        <v>154</v>
      </c>
      <c r="C1877" s="64" t="s">
        <v>566</v>
      </c>
      <c r="D1877" s="74"/>
      <c r="E1877" s="208" t="s">
        <v>135</v>
      </c>
      <c r="F1877" s="209" t="s">
        <v>21</v>
      </c>
      <c r="G1877" s="209" t="s">
        <v>21</v>
      </c>
      <c r="H1877" s="209" t="s">
        <v>272</v>
      </c>
      <c r="I1877" s="210"/>
    </row>
    <row r="1878" spans="1:9" x14ac:dyDescent="0.25">
      <c r="A1878" s="74"/>
      <c r="B1878" s="45">
        <v>1248</v>
      </c>
      <c r="C1878" s="64" t="s">
        <v>1651</v>
      </c>
      <c r="D1878" s="74"/>
      <c r="E1878" s="208" t="s">
        <v>135</v>
      </c>
      <c r="F1878" s="209" t="s">
        <v>21</v>
      </c>
      <c r="G1878" s="209" t="s">
        <v>21</v>
      </c>
      <c r="H1878" s="209" t="s">
        <v>272</v>
      </c>
      <c r="I1878" s="210"/>
    </row>
    <row r="1879" spans="1:9" x14ac:dyDescent="0.25">
      <c r="A1879" s="74"/>
      <c r="B1879" s="45">
        <v>1249</v>
      </c>
      <c r="C1879" s="64" t="s">
        <v>1606</v>
      </c>
      <c r="D1879" s="74"/>
      <c r="E1879" s="208" t="s">
        <v>135</v>
      </c>
      <c r="F1879" s="209" t="s">
        <v>21</v>
      </c>
      <c r="G1879" s="209" t="s">
        <v>21</v>
      </c>
      <c r="H1879" s="209" t="s">
        <v>272</v>
      </c>
      <c r="I1879" s="210"/>
    </row>
    <row r="1880" spans="1:9" x14ac:dyDescent="0.25">
      <c r="A1880" s="74"/>
      <c r="B1880" s="45">
        <v>1250</v>
      </c>
      <c r="C1880" s="64" t="s">
        <v>1652</v>
      </c>
      <c r="D1880" s="74"/>
      <c r="E1880" s="208" t="s">
        <v>135</v>
      </c>
      <c r="F1880" s="209" t="s">
        <v>21</v>
      </c>
      <c r="G1880" s="209" t="s">
        <v>21</v>
      </c>
      <c r="H1880" s="209" t="s">
        <v>272</v>
      </c>
      <c r="I1880" s="210"/>
    </row>
    <row r="1881" spans="1:9" x14ac:dyDescent="0.25">
      <c r="A1881" s="74"/>
      <c r="B1881" s="45">
        <v>154</v>
      </c>
      <c r="C1881" s="64" t="s">
        <v>566</v>
      </c>
      <c r="D1881" s="74"/>
      <c r="E1881" s="208" t="s">
        <v>135</v>
      </c>
      <c r="F1881" s="209" t="s">
        <v>21</v>
      </c>
      <c r="G1881" s="209" t="s">
        <v>21</v>
      </c>
      <c r="H1881" s="209" t="s">
        <v>272</v>
      </c>
      <c r="I1881" s="210"/>
    </row>
    <row r="1882" spans="1:9" x14ac:dyDescent="0.25">
      <c r="A1882" s="74"/>
      <c r="B1882" s="45">
        <v>1248</v>
      </c>
      <c r="C1882" s="64" t="s">
        <v>1651</v>
      </c>
      <c r="D1882" s="74"/>
      <c r="E1882" s="208" t="s">
        <v>135</v>
      </c>
      <c r="F1882" s="209" t="s">
        <v>21</v>
      </c>
      <c r="G1882" s="209" t="s">
        <v>21</v>
      </c>
      <c r="H1882" s="209" t="s">
        <v>272</v>
      </c>
      <c r="I1882" s="210"/>
    </row>
    <row r="1883" spans="1:9" x14ac:dyDescent="0.25">
      <c r="A1883" s="74"/>
      <c r="B1883" s="45">
        <v>1249</v>
      </c>
      <c r="C1883" s="64" t="s">
        <v>1606</v>
      </c>
      <c r="D1883" s="74"/>
      <c r="E1883" s="208" t="s">
        <v>135</v>
      </c>
      <c r="F1883" s="209" t="s">
        <v>21</v>
      </c>
      <c r="G1883" s="209" t="s">
        <v>21</v>
      </c>
      <c r="H1883" s="209" t="s">
        <v>272</v>
      </c>
      <c r="I1883" s="210"/>
    </row>
    <row r="1884" spans="1:9" x14ac:dyDescent="0.25">
      <c r="A1884" s="74"/>
      <c r="B1884" s="45">
        <v>1250</v>
      </c>
      <c r="C1884" s="64" t="s">
        <v>1652</v>
      </c>
      <c r="D1884" s="74"/>
      <c r="E1884" s="208" t="s">
        <v>135</v>
      </c>
      <c r="F1884" s="209" t="s">
        <v>21</v>
      </c>
      <c r="G1884" s="209" t="s">
        <v>21</v>
      </c>
      <c r="H1884" s="209" t="s">
        <v>272</v>
      </c>
      <c r="I1884" s="210"/>
    </row>
    <row r="1885" spans="1:9" x14ac:dyDescent="0.25">
      <c r="A1885" s="74"/>
      <c r="B1885" s="45">
        <v>154</v>
      </c>
      <c r="C1885" s="64" t="s">
        <v>566</v>
      </c>
      <c r="D1885" s="74"/>
      <c r="E1885" s="208" t="s">
        <v>135</v>
      </c>
      <c r="F1885" s="209" t="s">
        <v>21</v>
      </c>
      <c r="G1885" s="209" t="s">
        <v>21</v>
      </c>
      <c r="H1885" s="209" t="s">
        <v>272</v>
      </c>
      <c r="I1885" s="210"/>
    </row>
    <row r="1886" spans="1:9" x14ac:dyDescent="0.25">
      <c r="A1886" s="74"/>
      <c r="B1886" s="45">
        <v>1248</v>
      </c>
      <c r="C1886" s="64" t="s">
        <v>1651</v>
      </c>
      <c r="D1886" s="74"/>
      <c r="E1886" s="208" t="s">
        <v>135</v>
      </c>
      <c r="F1886" s="209" t="s">
        <v>21</v>
      </c>
      <c r="G1886" s="209" t="s">
        <v>21</v>
      </c>
      <c r="H1886" s="209" t="s">
        <v>272</v>
      </c>
      <c r="I1886" s="210"/>
    </row>
    <row r="1887" spans="1:9" x14ac:dyDescent="0.25">
      <c r="A1887" s="74"/>
      <c r="B1887" s="45">
        <v>1249</v>
      </c>
      <c r="C1887" s="64" t="s">
        <v>1606</v>
      </c>
      <c r="D1887" s="74"/>
      <c r="E1887" s="208" t="s">
        <v>135</v>
      </c>
      <c r="F1887" s="209" t="s">
        <v>21</v>
      </c>
      <c r="G1887" s="209" t="s">
        <v>21</v>
      </c>
      <c r="H1887" s="209" t="s">
        <v>272</v>
      </c>
      <c r="I1887" s="210"/>
    </row>
    <row r="1888" spans="1:9" x14ac:dyDescent="0.25">
      <c r="A1888" s="74"/>
      <c r="B1888" s="45">
        <v>1250</v>
      </c>
      <c r="C1888" s="64" t="s">
        <v>1652</v>
      </c>
      <c r="D1888" s="74"/>
      <c r="E1888" s="208" t="s">
        <v>135</v>
      </c>
      <c r="F1888" s="209" t="s">
        <v>21</v>
      </c>
      <c r="G1888" s="209" t="s">
        <v>21</v>
      </c>
      <c r="H1888" s="209" t="s">
        <v>272</v>
      </c>
      <c r="I1888" s="210"/>
    </row>
    <row r="1889" spans="1:9" x14ac:dyDescent="0.25">
      <c r="A1889" s="74"/>
      <c r="B1889" s="45">
        <v>154</v>
      </c>
      <c r="C1889" s="64" t="s">
        <v>566</v>
      </c>
      <c r="D1889" s="74"/>
      <c r="E1889" s="208" t="s">
        <v>135</v>
      </c>
      <c r="F1889" s="209" t="s">
        <v>21</v>
      </c>
      <c r="G1889" s="209" t="s">
        <v>21</v>
      </c>
      <c r="H1889" s="209" t="s">
        <v>272</v>
      </c>
      <c r="I1889" s="210"/>
    </row>
    <row r="1890" spans="1:9" x14ac:dyDescent="0.25">
      <c r="A1890" s="74"/>
      <c r="B1890" s="45">
        <v>168</v>
      </c>
      <c r="C1890" s="64" t="s">
        <v>580</v>
      </c>
      <c r="D1890" s="74"/>
      <c r="E1890" s="208" t="s">
        <v>135</v>
      </c>
      <c r="F1890" s="209" t="s">
        <v>21</v>
      </c>
      <c r="G1890" s="209" t="s">
        <v>21</v>
      </c>
      <c r="H1890" s="209" t="s">
        <v>192</v>
      </c>
      <c r="I1890" s="210"/>
    </row>
    <row r="1891" spans="1:9" x14ac:dyDescent="0.25">
      <c r="A1891" s="74"/>
      <c r="B1891" s="45">
        <v>160</v>
      </c>
      <c r="C1891" s="64" t="s">
        <v>572</v>
      </c>
      <c r="D1891" s="74"/>
      <c r="E1891" s="208" t="s">
        <v>135</v>
      </c>
      <c r="F1891" s="209" t="s">
        <v>21</v>
      </c>
      <c r="G1891" s="209" t="s">
        <v>21</v>
      </c>
      <c r="H1891" s="209" t="s">
        <v>192</v>
      </c>
      <c r="I1891" s="210"/>
    </row>
    <row r="1892" spans="1:9" x14ac:dyDescent="0.25">
      <c r="A1892" s="74"/>
      <c r="B1892" s="45">
        <v>1251</v>
      </c>
      <c r="C1892" s="64" t="s">
        <v>1653</v>
      </c>
      <c r="D1892" s="74"/>
      <c r="E1892" s="208" t="s">
        <v>135</v>
      </c>
      <c r="F1892" s="209" t="s">
        <v>21</v>
      </c>
      <c r="G1892" s="209" t="s">
        <v>21</v>
      </c>
      <c r="H1892" s="209" t="s">
        <v>272</v>
      </c>
      <c r="I1892" s="210"/>
    </row>
    <row r="1893" spans="1:9" x14ac:dyDescent="0.25">
      <c r="A1893" s="74"/>
      <c r="B1893" s="45">
        <v>1252</v>
      </c>
      <c r="C1893" s="64" t="s">
        <v>1654</v>
      </c>
      <c r="D1893" s="74"/>
      <c r="E1893" s="208" t="s">
        <v>135</v>
      </c>
      <c r="F1893" s="209" t="s">
        <v>21</v>
      </c>
      <c r="G1893" s="209" t="s">
        <v>21</v>
      </c>
      <c r="H1893" s="209" t="s">
        <v>272</v>
      </c>
      <c r="I1893" s="210"/>
    </row>
    <row r="1894" spans="1:9" x14ac:dyDescent="0.25">
      <c r="A1894" s="74"/>
      <c r="B1894" s="45">
        <v>158</v>
      </c>
      <c r="C1894" s="64" t="s">
        <v>570</v>
      </c>
      <c r="D1894" s="74"/>
      <c r="E1894" s="208" t="s">
        <v>135</v>
      </c>
      <c r="F1894" s="209" t="s">
        <v>21</v>
      </c>
      <c r="G1894" s="209" t="s">
        <v>21</v>
      </c>
      <c r="H1894" s="209" t="s">
        <v>272</v>
      </c>
      <c r="I1894" s="210"/>
    </row>
    <row r="1895" spans="1:9" x14ac:dyDescent="0.25">
      <c r="A1895" s="74"/>
      <c r="B1895" s="45">
        <v>1253</v>
      </c>
      <c r="C1895" s="64" t="s">
        <v>1655</v>
      </c>
      <c r="D1895" s="74"/>
      <c r="E1895" s="208" t="s">
        <v>135</v>
      </c>
      <c r="F1895" s="209" t="s">
        <v>21</v>
      </c>
      <c r="G1895" s="209" t="s">
        <v>21</v>
      </c>
      <c r="H1895" s="209" t="s">
        <v>272</v>
      </c>
      <c r="I1895" s="210"/>
    </row>
    <row r="1896" spans="1:9" x14ac:dyDescent="0.25">
      <c r="A1896" s="74"/>
      <c r="B1896" s="45">
        <v>1251</v>
      </c>
      <c r="C1896" s="64" t="s">
        <v>1653</v>
      </c>
      <c r="D1896" s="74"/>
      <c r="E1896" s="208" t="s">
        <v>135</v>
      </c>
      <c r="F1896" s="209" t="s">
        <v>21</v>
      </c>
      <c r="G1896" s="209" t="s">
        <v>21</v>
      </c>
      <c r="H1896" s="209" t="s">
        <v>272</v>
      </c>
      <c r="I1896" s="210"/>
    </row>
    <row r="1897" spans="1:9" x14ac:dyDescent="0.25">
      <c r="A1897" s="74"/>
      <c r="B1897" s="45">
        <v>1252</v>
      </c>
      <c r="C1897" s="64" t="s">
        <v>1654</v>
      </c>
      <c r="D1897" s="74"/>
      <c r="E1897" s="208" t="s">
        <v>135</v>
      </c>
      <c r="F1897" s="209" t="s">
        <v>21</v>
      </c>
      <c r="G1897" s="209" t="s">
        <v>21</v>
      </c>
      <c r="H1897" s="209" t="s">
        <v>272</v>
      </c>
      <c r="I1897" s="210"/>
    </row>
    <row r="1898" spans="1:9" x14ac:dyDescent="0.25">
      <c r="A1898" s="74"/>
      <c r="B1898" s="45">
        <v>158</v>
      </c>
      <c r="C1898" s="64" t="s">
        <v>570</v>
      </c>
      <c r="D1898" s="74"/>
      <c r="E1898" s="208" t="s">
        <v>135</v>
      </c>
      <c r="F1898" s="209" t="s">
        <v>21</v>
      </c>
      <c r="G1898" s="209" t="s">
        <v>21</v>
      </c>
      <c r="H1898" s="209" t="s">
        <v>272</v>
      </c>
      <c r="I1898" s="210"/>
    </row>
    <row r="1899" spans="1:9" x14ac:dyDescent="0.25">
      <c r="A1899" s="74"/>
      <c r="B1899" s="45">
        <v>1253</v>
      </c>
      <c r="C1899" s="64" t="s">
        <v>1655</v>
      </c>
      <c r="D1899" s="74"/>
      <c r="E1899" s="208" t="s">
        <v>135</v>
      </c>
      <c r="F1899" s="209" t="s">
        <v>21</v>
      </c>
      <c r="G1899" s="209" t="s">
        <v>21</v>
      </c>
      <c r="H1899" s="209" t="s">
        <v>272</v>
      </c>
      <c r="I1899" s="210"/>
    </row>
    <row r="1900" spans="1:9" x14ac:dyDescent="0.25">
      <c r="A1900" s="74"/>
      <c r="B1900" s="45">
        <v>1251</v>
      </c>
      <c r="C1900" s="64" t="s">
        <v>1653</v>
      </c>
      <c r="D1900" s="74"/>
      <c r="E1900" s="208" t="s">
        <v>135</v>
      </c>
      <c r="F1900" s="209" t="s">
        <v>21</v>
      </c>
      <c r="G1900" s="209" t="s">
        <v>21</v>
      </c>
      <c r="H1900" s="209" t="s">
        <v>272</v>
      </c>
      <c r="I1900" s="210"/>
    </row>
    <row r="1901" spans="1:9" x14ac:dyDescent="0.25">
      <c r="A1901" s="74"/>
      <c r="B1901" s="45">
        <v>1252</v>
      </c>
      <c r="C1901" s="64" t="s">
        <v>1654</v>
      </c>
      <c r="D1901" s="74"/>
      <c r="E1901" s="208" t="s">
        <v>135</v>
      </c>
      <c r="F1901" s="209" t="s">
        <v>21</v>
      </c>
      <c r="G1901" s="209" t="s">
        <v>21</v>
      </c>
      <c r="H1901" s="209" t="s">
        <v>272</v>
      </c>
      <c r="I1901" s="210"/>
    </row>
    <row r="1902" spans="1:9" x14ac:dyDescent="0.25">
      <c r="A1902" s="74"/>
      <c r="B1902" s="45">
        <v>158</v>
      </c>
      <c r="C1902" s="64" t="s">
        <v>570</v>
      </c>
      <c r="D1902" s="74"/>
      <c r="E1902" s="208" t="s">
        <v>135</v>
      </c>
      <c r="F1902" s="209" t="s">
        <v>21</v>
      </c>
      <c r="G1902" s="209" t="s">
        <v>21</v>
      </c>
      <c r="H1902" s="209" t="s">
        <v>272</v>
      </c>
      <c r="I1902" s="210"/>
    </row>
    <row r="1903" spans="1:9" x14ac:dyDescent="0.25">
      <c r="A1903" s="74"/>
      <c r="B1903" s="45">
        <v>1253</v>
      </c>
      <c r="C1903" s="64" t="s">
        <v>1655</v>
      </c>
      <c r="D1903" s="74"/>
      <c r="E1903" s="208" t="s">
        <v>135</v>
      </c>
      <c r="F1903" s="209" t="s">
        <v>21</v>
      </c>
      <c r="G1903" s="209" t="s">
        <v>21</v>
      </c>
      <c r="H1903" s="209" t="s">
        <v>272</v>
      </c>
      <c r="I1903" s="210"/>
    </row>
    <row r="1904" spans="1:9" x14ac:dyDescent="0.25">
      <c r="A1904" s="74"/>
      <c r="B1904" s="45">
        <v>1251</v>
      </c>
      <c r="C1904" s="64" t="s">
        <v>1653</v>
      </c>
      <c r="D1904" s="74"/>
      <c r="E1904" s="208" t="s">
        <v>135</v>
      </c>
      <c r="F1904" s="209" t="s">
        <v>21</v>
      </c>
      <c r="G1904" s="209" t="s">
        <v>21</v>
      </c>
      <c r="H1904" s="209" t="s">
        <v>272</v>
      </c>
      <c r="I1904" s="210"/>
    </row>
    <row r="1905" spans="1:9" x14ac:dyDescent="0.25">
      <c r="A1905" s="74"/>
      <c r="B1905" s="45">
        <v>1252</v>
      </c>
      <c r="C1905" s="64" t="s">
        <v>1654</v>
      </c>
      <c r="D1905" s="74"/>
      <c r="E1905" s="208" t="s">
        <v>135</v>
      </c>
      <c r="F1905" s="209" t="s">
        <v>21</v>
      </c>
      <c r="G1905" s="209" t="s">
        <v>21</v>
      </c>
      <c r="H1905" s="209" t="s">
        <v>272</v>
      </c>
      <c r="I1905" s="210"/>
    </row>
    <row r="1906" spans="1:9" x14ac:dyDescent="0.25">
      <c r="A1906" s="74"/>
      <c r="B1906" s="45">
        <v>158</v>
      </c>
      <c r="C1906" s="64" t="s">
        <v>570</v>
      </c>
      <c r="D1906" s="74"/>
      <c r="E1906" s="208" t="s">
        <v>135</v>
      </c>
      <c r="F1906" s="209" t="s">
        <v>21</v>
      </c>
      <c r="G1906" s="209" t="s">
        <v>21</v>
      </c>
      <c r="H1906" s="209" t="s">
        <v>272</v>
      </c>
      <c r="I1906" s="210"/>
    </row>
    <row r="1907" spans="1:9" x14ac:dyDescent="0.25">
      <c r="A1907" s="74"/>
      <c r="B1907" s="45">
        <v>1253</v>
      </c>
      <c r="C1907" s="64" t="s">
        <v>1655</v>
      </c>
      <c r="D1907" s="74"/>
      <c r="E1907" s="208" t="s">
        <v>135</v>
      </c>
      <c r="F1907" s="209" t="s">
        <v>21</v>
      </c>
      <c r="G1907" s="209" t="s">
        <v>21</v>
      </c>
      <c r="H1907" s="209" t="s">
        <v>272</v>
      </c>
      <c r="I1907" s="210"/>
    </row>
    <row r="1908" spans="1:9" x14ac:dyDescent="0.25">
      <c r="A1908" s="74"/>
      <c r="B1908" s="45">
        <v>160</v>
      </c>
      <c r="C1908" s="64" t="s">
        <v>572</v>
      </c>
      <c r="D1908" s="74"/>
      <c r="E1908" s="208" t="s">
        <v>135</v>
      </c>
      <c r="F1908" s="209" t="s">
        <v>21</v>
      </c>
      <c r="G1908" s="209" t="s">
        <v>21</v>
      </c>
      <c r="H1908" s="209" t="s">
        <v>192</v>
      </c>
      <c r="I1908" s="210"/>
    </row>
    <row r="1909" spans="1:9" x14ac:dyDescent="0.25">
      <c r="A1909" s="74"/>
      <c r="B1909" s="45">
        <v>1254</v>
      </c>
      <c r="C1909" s="64" t="s">
        <v>1656</v>
      </c>
      <c r="D1909" s="74"/>
      <c r="E1909" s="208" t="s">
        <v>135</v>
      </c>
      <c r="F1909" s="209" t="s">
        <v>21</v>
      </c>
      <c r="G1909" s="209" t="s">
        <v>21</v>
      </c>
      <c r="H1909" s="209" t="s">
        <v>192</v>
      </c>
      <c r="I1909" s="210"/>
    </row>
    <row r="1910" spans="1:9" x14ac:dyDescent="0.25">
      <c r="A1910" s="74"/>
      <c r="B1910" s="45">
        <v>160</v>
      </c>
      <c r="C1910" s="64" t="s">
        <v>572</v>
      </c>
      <c r="D1910" s="74"/>
      <c r="E1910" s="208" t="s">
        <v>135</v>
      </c>
      <c r="F1910" s="209" t="s">
        <v>21</v>
      </c>
      <c r="G1910" s="209" t="s">
        <v>21</v>
      </c>
      <c r="H1910" s="209" t="s">
        <v>192</v>
      </c>
      <c r="I1910" s="210"/>
    </row>
    <row r="1911" spans="1:9" x14ac:dyDescent="0.25">
      <c r="A1911" s="74"/>
      <c r="B1911" s="45">
        <v>1254</v>
      </c>
      <c r="C1911" s="64" t="s">
        <v>1656</v>
      </c>
      <c r="D1911" s="74"/>
      <c r="E1911" s="208" t="s">
        <v>135</v>
      </c>
      <c r="F1911" s="209" t="s">
        <v>21</v>
      </c>
      <c r="G1911" s="209" t="s">
        <v>21</v>
      </c>
      <c r="H1911" s="209" t="s">
        <v>192</v>
      </c>
      <c r="I1911" s="210"/>
    </row>
    <row r="1912" spans="1:9" x14ac:dyDescent="0.25">
      <c r="A1912" s="74"/>
      <c r="B1912" s="45">
        <v>1255</v>
      </c>
      <c r="C1912" s="64" t="s">
        <v>1657</v>
      </c>
      <c r="D1912" s="74"/>
      <c r="E1912" s="208" t="s">
        <v>135</v>
      </c>
      <c r="F1912" s="209" t="s">
        <v>21</v>
      </c>
      <c r="G1912" s="209" t="s">
        <v>21</v>
      </c>
      <c r="H1912" s="209" t="s">
        <v>272</v>
      </c>
      <c r="I1912" s="210"/>
    </row>
    <row r="1913" spans="1:9" x14ac:dyDescent="0.25">
      <c r="A1913" s="74"/>
      <c r="B1913" s="45">
        <v>1251</v>
      </c>
      <c r="C1913" s="64" t="s">
        <v>1653</v>
      </c>
      <c r="D1913" s="74"/>
      <c r="E1913" s="208" t="s">
        <v>135</v>
      </c>
      <c r="F1913" s="209" t="s">
        <v>21</v>
      </c>
      <c r="G1913" s="209" t="s">
        <v>21</v>
      </c>
      <c r="H1913" s="209" t="s">
        <v>272</v>
      </c>
      <c r="I1913" s="210"/>
    </row>
    <row r="1914" spans="1:9" x14ac:dyDescent="0.25">
      <c r="A1914" s="74"/>
      <c r="B1914" s="45">
        <v>158</v>
      </c>
      <c r="C1914" s="64" t="s">
        <v>570</v>
      </c>
      <c r="D1914" s="74"/>
      <c r="E1914" s="208" t="s">
        <v>135</v>
      </c>
      <c r="F1914" s="209" t="s">
        <v>21</v>
      </c>
      <c r="G1914" s="209" t="s">
        <v>21</v>
      </c>
      <c r="H1914" s="209" t="s">
        <v>272</v>
      </c>
      <c r="I1914" s="210"/>
    </row>
    <row r="1915" spans="1:9" x14ac:dyDescent="0.25">
      <c r="A1915" s="74"/>
      <c r="B1915" s="45">
        <v>1253</v>
      </c>
      <c r="C1915" s="64" t="s">
        <v>1655</v>
      </c>
      <c r="D1915" s="74"/>
      <c r="E1915" s="208" t="s">
        <v>135</v>
      </c>
      <c r="F1915" s="209" t="s">
        <v>21</v>
      </c>
      <c r="G1915" s="209" t="s">
        <v>21</v>
      </c>
      <c r="H1915" s="209" t="s">
        <v>272</v>
      </c>
      <c r="I1915" s="210"/>
    </row>
    <row r="1916" spans="1:9" x14ac:dyDescent="0.25">
      <c r="A1916" s="74"/>
      <c r="B1916" s="45">
        <v>1252</v>
      </c>
      <c r="C1916" s="64" t="s">
        <v>1654</v>
      </c>
      <c r="D1916" s="74"/>
      <c r="E1916" s="208" t="s">
        <v>135</v>
      </c>
      <c r="F1916" s="209" t="s">
        <v>21</v>
      </c>
      <c r="G1916" s="209" t="s">
        <v>21</v>
      </c>
      <c r="H1916" s="209" t="s">
        <v>272</v>
      </c>
      <c r="I1916" s="210"/>
    </row>
    <row r="1917" spans="1:9" x14ac:dyDescent="0.25">
      <c r="A1917" s="74"/>
      <c r="B1917" s="45">
        <v>156</v>
      </c>
      <c r="C1917" s="64" t="s">
        <v>568</v>
      </c>
      <c r="D1917" s="74"/>
      <c r="E1917" s="208" t="s">
        <v>135</v>
      </c>
      <c r="F1917" s="209" t="s">
        <v>21</v>
      </c>
      <c r="G1917" s="209" t="s">
        <v>21</v>
      </c>
      <c r="H1917" s="209" t="s">
        <v>187</v>
      </c>
      <c r="I1917" s="210"/>
    </row>
    <row r="1918" spans="1:9" x14ac:dyDescent="0.25">
      <c r="A1918" s="74"/>
      <c r="B1918" s="45">
        <v>1256</v>
      </c>
      <c r="C1918" s="64" t="s">
        <v>1658</v>
      </c>
      <c r="D1918" s="74"/>
      <c r="E1918" s="208" t="s">
        <v>135</v>
      </c>
      <c r="F1918" s="209" t="s">
        <v>21</v>
      </c>
      <c r="G1918" s="209" t="s">
        <v>21</v>
      </c>
      <c r="H1918" s="209" t="s">
        <v>272</v>
      </c>
      <c r="I1918" s="210"/>
    </row>
    <row r="1919" spans="1:9" x14ac:dyDescent="0.25">
      <c r="A1919" s="74"/>
      <c r="B1919" s="45">
        <v>1257</v>
      </c>
      <c r="C1919" s="64" t="s">
        <v>1659</v>
      </c>
      <c r="D1919" s="74"/>
      <c r="E1919" s="208" t="s">
        <v>135</v>
      </c>
      <c r="F1919" s="209" t="s">
        <v>21</v>
      </c>
      <c r="G1919" s="209" t="s">
        <v>21</v>
      </c>
      <c r="H1919" s="209" t="s">
        <v>272</v>
      </c>
      <c r="I1919" s="210"/>
    </row>
    <row r="1920" spans="1:9" x14ac:dyDescent="0.25">
      <c r="A1920" s="74"/>
      <c r="B1920" s="45">
        <v>1258</v>
      </c>
      <c r="C1920" s="64" t="s">
        <v>1660</v>
      </c>
      <c r="D1920" s="74"/>
      <c r="E1920" s="208" t="s">
        <v>135</v>
      </c>
      <c r="F1920" s="209" t="s">
        <v>21</v>
      </c>
      <c r="G1920" s="209" t="s">
        <v>21</v>
      </c>
      <c r="H1920" s="209" t="s">
        <v>272</v>
      </c>
      <c r="I1920" s="210"/>
    </row>
    <row r="1921" spans="1:9" x14ac:dyDescent="0.25">
      <c r="A1921" s="74"/>
      <c r="B1921" s="45">
        <v>1259</v>
      </c>
      <c r="C1921" s="64" t="s">
        <v>1661</v>
      </c>
      <c r="D1921" s="74"/>
      <c r="E1921" s="208" t="s">
        <v>135</v>
      </c>
      <c r="F1921" s="209" t="s">
        <v>21</v>
      </c>
      <c r="G1921" s="209" t="s">
        <v>21</v>
      </c>
      <c r="H1921" s="209" t="s">
        <v>272</v>
      </c>
      <c r="I1921" s="210"/>
    </row>
    <row r="1922" spans="1:9" x14ac:dyDescent="0.25">
      <c r="A1922" s="74"/>
      <c r="B1922" s="45">
        <v>1260</v>
      </c>
      <c r="C1922" s="64" t="s">
        <v>1662</v>
      </c>
      <c r="D1922" s="74"/>
      <c r="E1922" s="208" t="s">
        <v>135</v>
      </c>
      <c r="F1922" s="209" t="s">
        <v>21</v>
      </c>
      <c r="G1922" s="209" t="s">
        <v>21</v>
      </c>
      <c r="H1922" s="209" t="s">
        <v>272</v>
      </c>
      <c r="I1922" s="210"/>
    </row>
    <row r="1923" spans="1:9" x14ac:dyDescent="0.25">
      <c r="A1923" s="74"/>
      <c r="B1923" s="45">
        <v>1261</v>
      </c>
      <c r="C1923" s="64" t="s">
        <v>1663</v>
      </c>
      <c r="D1923" s="74"/>
      <c r="E1923" s="208" t="s">
        <v>135</v>
      </c>
      <c r="F1923" s="209" t="s">
        <v>21</v>
      </c>
      <c r="G1923" s="209" t="s">
        <v>21</v>
      </c>
      <c r="H1923" s="209" t="s">
        <v>272</v>
      </c>
      <c r="I1923" s="210"/>
    </row>
    <row r="1924" spans="1:9" x14ac:dyDescent="0.25">
      <c r="A1924" s="74"/>
      <c r="B1924" s="45">
        <v>1262</v>
      </c>
      <c r="C1924" s="64" t="s">
        <v>1664</v>
      </c>
      <c r="D1924" s="74"/>
      <c r="E1924" s="208" t="s">
        <v>135</v>
      </c>
      <c r="F1924" s="209" t="s">
        <v>21</v>
      </c>
      <c r="G1924" s="209" t="s">
        <v>21</v>
      </c>
      <c r="H1924" s="209" t="s">
        <v>272</v>
      </c>
      <c r="I1924" s="210"/>
    </row>
    <row r="1925" spans="1:9" x14ac:dyDescent="0.25">
      <c r="A1925" s="74"/>
      <c r="B1925" s="45">
        <v>1263</v>
      </c>
      <c r="C1925" s="64" t="s">
        <v>1665</v>
      </c>
      <c r="D1925" s="74"/>
      <c r="E1925" s="208" t="s">
        <v>135</v>
      </c>
      <c r="F1925" s="209" t="s">
        <v>21</v>
      </c>
      <c r="G1925" s="209" t="s">
        <v>21</v>
      </c>
      <c r="H1925" s="209" t="s">
        <v>272</v>
      </c>
      <c r="I1925" s="210"/>
    </row>
    <row r="1926" spans="1:9" x14ac:dyDescent="0.25">
      <c r="A1926" s="74"/>
      <c r="B1926" s="45">
        <v>1264</v>
      </c>
      <c r="C1926" s="64" t="s">
        <v>1666</v>
      </c>
      <c r="D1926" s="74"/>
      <c r="E1926" s="208" t="s">
        <v>135</v>
      </c>
      <c r="F1926" s="209" t="s">
        <v>21</v>
      </c>
      <c r="G1926" s="209" t="s">
        <v>21</v>
      </c>
      <c r="H1926" s="209" t="s">
        <v>272</v>
      </c>
      <c r="I1926" s="210"/>
    </row>
    <row r="1927" spans="1:9" x14ac:dyDescent="0.25">
      <c r="A1927" s="74"/>
      <c r="B1927" s="45">
        <v>1265</v>
      </c>
      <c r="C1927" s="64" t="s">
        <v>1667</v>
      </c>
      <c r="D1927" s="74"/>
      <c r="E1927" s="208" t="s">
        <v>135</v>
      </c>
      <c r="F1927" s="209" t="s">
        <v>21</v>
      </c>
      <c r="G1927" s="209" t="s">
        <v>21</v>
      </c>
      <c r="H1927" s="209" t="s">
        <v>272</v>
      </c>
      <c r="I1927" s="210"/>
    </row>
    <row r="1928" spans="1:9" x14ac:dyDescent="0.25">
      <c r="A1928" s="74"/>
      <c r="B1928" s="45">
        <v>1266</v>
      </c>
      <c r="C1928" s="64" t="s">
        <v>1668</v>
      </c>
      <c r="D1928" s="74"/>
      <c r="E1928" s="208" t="s">
        <v>135</v>
      </c>
      <c r="F1928" s="209" t="s">
        <v>21</v>
      </c>
      <c r="G1928" s="209" t="s">
        <v>21</v>
      </c>
      <c r="H1928" s="209" t="s">
        <v>272</v>
      </c>
      <c r="I1928" s="210"/>
    </row>
    <row r="1929" spans="1:9" x14ac:dyDescent="0.25">
      <c r="A1929" s="74"/>
      <c r="B1929" s="45">
        <v>171</v>
      </c>
      <c r="C1929" s="64" t="s">
        <v>583</v>
      </c>
      <c r="D1929" s="74"/>
      <c r="E1929" s="208" t="s">
        <v>135</v>
      </c>
      <c r="F1929" s="209" t="s">
        <v>21</v>
      </c>
      <c r="G1929" s="209" t="s">
        <v>21</v>
      </c>
      <c r="H1929" s="209" t="s">
        <v>192</v>
      </c>
      <c r="I1929" s="210"/>
    </row>
    <row r="1930" spans="1:9" x14ac:dyDescent="0.25">
      <c r="A1930" s="74"/>
      <c r="B1930" s="45">
        <v>1256</v>
      </c>
      <c r="C1930" s="64" t="s">
        <v>1658</v>
      </c>
      <c r="D1930" s="74"/>
      <c r="E1930" s="208" t="s">
        <v>135</v>
      </c>
      <c r="F1930" s="209" t="s">
        <v>21</v>
      </c>
      <c r="G1930" s="209" t="s">
        <v>21</v>
      </c>
      <c r="H1930" s="209" t="s">
        <v>272</v>
      </c>
      <c r="I1930" s="210"/>
    </row>
    <row r="1931" spans="1:9" x14ac:dyDescent="0.25">
      <c r="A1931" s="74"/>
      <c r="B1931" s="45">
        <v>1257</v>
      </c>
      <c r="C1931" s="64" t="s">
        <v>1659</v>
      </c>
      <c r="D1931" s="74"/>
      <c r="E1931" s="208" t="s">
        <v>135</v>
      </c>
      <c r="F1931" s="209" t="s">
        <v>21</v>
      </c>
      <c r="G1931" s="209" t="s">
        <v>21</v>
      </c>
      <c r="H1931" s="209" t="s">
        <v>272</v>
      </c>
      <c r="I1931" s="210"/>
    </row>
    <row r="1932" spans="1:9" x14ac:dyDescent="0.25">
      <c r="A1932" s="74"/>
      <c r="B1932" s="45">
        <v>1258</v>
      </c>
      <c r="C1932" s="64" t="s">
        <v>1660</v>
      </c>
      <c r="D1932" s="74"/>
      <c r="E1932" s="208" t="s">
        <v>135</v>
      </c>
      <c r="F1932" s="209" t="s">
        <v>21</v>
      </c>
      <c r="G1932" s="209" t="s">
        <v>21</v>
      </c>
      <c r="H1932" s="209" t="s">
        <v>272</v>
      </c>
      <c r="I1932" s="210"/>
    </row>
    <row r="1933" spans="1:9" x14ac:dyDescent="0.25">
      <c r="A1933" s="74"/>
      <c r="B1933" s="45">
        <v>1259</v>
      </c>
      <c r="C1933" s="64" t="s">
        <v>1661</v>
      </c>
      <c r="D1933" s="74"/>
      <c r="E1933" s="208" t="s">
        <v>135</v>
      </c>
      <c r="F1933" s="209" t="s">
        <v>21</v>
      </c>
      <c r="G1933" s="209" t="s">
        <v>21</v>
      </c>
      <c r="H1933" s="209" t="s">
        <v>272</v>
      </c>
      <c r="I1933" s="210"/>
    </row>
    <row r="1934" spans="1:9" x14ac:dyDescent="0.25">
      <c r="A1934" s="74"/>
      <c r="B1934" s="45">
        <v>1260</v>
      </c>
      <c r="C1934" s="64" t="s">
        <v>1662</v>
      </c>
      <c r="D1934" s="74"/>
      <c r="E1934" s="208" t="s">
        <v>135</v>
      </c>
      <c r="F1934" s="209" t="s">
        <v>21</v>
      </c>
      <c r="G1934" s="209" t="s">
        <v>21</v>
      </c>
      <c r="H1934" s="209" t="s">
        <v>272</v>
      </c>
      <c r="I1934" s="210"/>
    </row>
    <row r="1935" spans="1:9" x14ac:dyDescent="0.25">
      <c r="A1935" s="74"/>
      <c r="B1935" s="45">
        <v>1261</v>
      </c>
      <c r="C1935" s="64" t="s">
        <v>1663</v>
      </c>
      <c r="D1935" s="74"/>
      <c r="E1935" s="208" t="s">
        <v>135</v>
      </c>
      <c r="F1935" s="209" t="s">
        <v>21</v>
      </c>
      <c r="G1935" s="209" t="s">
        <v>21</v>
      </c>
      <c r="H1935" s="209" t="s">
        <v>272</v>
      </c>
      <c r="I1935" s="210"/>
    </row>
    <row r="1936" spans="1:9" x14ac:dyDescent="0.25">
      <c r="A1936" s="74"/>
      <c r="B1936" s="45">
        <v>1262</v>
      </c>
      <c r="C1936" s="64" t="s">
        <v>1664</v>
      </c>
      <c r="D1936" s="74"/>
      <c r="E1936" s="208" t="s">
        <v>135</v>
      </c>
      <c r="F1936" s="209" t="s">
        <v>21</v>
      </c>
      <c r="G1936" s="209" t="s">
        <v>21</v>
      </c>
      <c r="H1936" s="209" t="s">
        <v>272</v>
      </c>
      <c r="I1936" s="210"/>
    </row>
    <row r="1937" spans="1:9" x14ac:dyDescent="0.25">
      <c r="A1937" s="74"/>
      <c r="B1937" s="45">
        <v>1263</v>
      </c>
      <c r="C1937" s="64" t="s">
        <v>1665</v>
      </c>
      <c r="D1937" s="74"/>
      <c r="E1937" s="208" t="s">
        <v>135</v>
      </c>
      <c r="F1937" s="209" t="s">
        <v>21</v>
      </c>
      <c r="G1937" s="209" t="s">
        <v>21</v>
      </c>
      <c r="H1937" s="209" t="s">
        <v>272</v>
      </c>
      <c r="I1937" s="210"/>
    </row>
    <row r="1938" spans="1:9" x14ac:dyDescent="0.25">
      <c r="A1938" s="74"/>
      <c r="B1938" s="45">
        <v>1264</v>
      </c>
      <c r="C1938" s="64" t="s">
        <v>1666</v>
      </c>
      <c r="D1938" s="74"/>
      <c r="E1938" s="208" t="s">
        <v>135</v>
      </c>
      <c r="F1938" s="209" t="s">
        <v>21</v>
      </c>
      <c r="G1938" s="209" t="s">
        <v>21</v>
      </c>
      <c r="H1938" s="209" t="s">
        <v>272</v>
      </c>
      <c r="I1938" s="210"/>
    </row>
    <row r="1939" spans="1:9" x14ac:dyDescent="0.25">
      <c r="A1939" s="74"/>
      <c r="B1939" s="45">
        <v>1265</v>
      </c>
      <c r="C1939" s="64" t="s">
        <v>1667</v>
      </c>
      <c r="D1939" s="74"/>
      <c r="E1939" s="208" t="s">
        <v>135</v>
      </c>
      <c r="F1939" s="209" t="s">
        <v>21</v>
      </c>
      <c r="G1939" s="209" t="s">
        <v>21</v>
      </c>
      <c r="H1939" s="209" t="s">
        <v>272</v>
      </c>
      <c r="I1939" s="210"/>
    </row>
    <row r="1940" spans="1:9" x14ac:dyDescent="0.25">
      <c r="A1940" s="74"/>
      <c r="B1940" s="45">
        <v>1266</v>
      </c>
      <c r="C1940" s="64" t="s">
        <v>1668</v>
      </c>
      <c r="D1940" s="74"/>
      <c r="E1940" s="208" t="s">
        <v>135</v>
      </c>
      <c r="F1940" s="209" t="s">
        <v>21</v>
      </c>
      <c r="G1940" s="209" t="s">
        <v>21</v>
      </c>
      <c r="H1940" s="209" t="s">
        <v>272</v>
      </c>
      <c r="I1940" s="210"/>
    </row>
    <row r="1941" spans="1:9" x14ac:dyDescent="0.25">
      <c r="A1941" s="74"/>
      <c r="B1941" s="45">
        <v>171</v>
      </c>
      <c r="C1941" s="64" t="s">
        <v>583</v>
      </c>
      <c r="D1941" s="74"/>
      <c r="E1941" s="208" t="s">
        <v>135</v>
      </c>
      <c r="F1941" s="209" t="s">
        <v>21</v>
      </c>
      <c r="G1941" s="209" t="s">
        <v>21</v>
      </c>
      <c r="H1941" s="209" t="s">
        <v>192</v>
      </c>
      <c r="I1941" s="210"/>
    </row>
    <row r="1942" spans="1:9" x14ac:dyDescent="0.25">
      <c r="A1942" s="74"/>
      <c r="B1942" s="45">
        <v>1256</v>
      </c>
      <c r="C1942" s="64" t="s">
        <v>1658</v>
      </c>
      <c r="D1942" s="74"/>
      <c r="E1942" s="208" t="s">
        <v>135</v>
      </c>
      <c r="F1942" s="209" t="s">
        <v>21</v>
      </c>
      <c r="G1942" s="209" t="s">
        <v>21</v>
      </c>
      <c r="H1942" s="209" t="s">
        <v>272</v>
      </c>
      <c r="I1942" s="210"/>
    </row>
    <row r="1943" spans="1:9" x14ac:dyDescent="0.25">
      <c r="A1943" s="74"/>
      <c r="B1943" s="45">
        <v>1257</v>
      </c>
      <c r="C1943" s="64" t="s">
        <v>1659</v>
      </c>
      <c r="D1943" s="74"/>
      <c r="E1943" s="208" t="s">
        <v>135</v>
      </c>
      <c r="F1943" s="209" t="s">
        <v>21</v>
      </c>
      <c r="G1943" s="209" t="s">
        <v>21</v>
      </c>
      <c r="H1943" s="209" t="s">
        <v>272</v>
      </c>
      <c r="I1943" s="210"/>
    </row>
    <row r="1944" spans="1:9" x14ac:dyDescent="0.25">
      <c r="A1944" s="74"/>
      <c r="B1944" s="45">
        <v>1258</v>
      </c>
      <c r="C1944" s="64" t="s">
        <v>1660</v>
      </c>
      <c r="D1944" s="74"/>
      <c r="E1944" s="208" t="s">
        <v>135</v>
      </c>
      <c r="F1944" s="209" t="s">
        <v>21</v>
      </c>
      <c r="G1944" s="209" t="s">
        <v>21</v>
      </c>
      <c r="H1944" s="209" t="s">
        <v>272</v>
      </c>
      <c r="I1944" s="210"/>
    </row>
    <row r="1945" spans="1:9" x14ac:dyDescent="0.25">
      <c r="A1945" s="74"/>
      <c r="B1945" s="45">
        <v>1259</v>
      </c>
      <c r="C1945" s="64" t="s">
        <v>1661</v>
      </c>
      <c r="D1945" s="74"/>
      <c r="E1945" s="208" t="s">
        <v>135</v>
      </c>
      <c r="F1945" s="209" t="s">
        <v>21</v>
      </c>
      <c r="G1945" s="209" t="s">
        <v>21</v>
      </c>
      <c r="H1945" s="209" t="s">
        <v>272</v>
      </c>
      <c r="I1945" s="210"/>
    </row>
    <row r="1946" spans="1:9" x14ac:dyDescent="0.25">
      <c r="A1946" s="74"/>
      <c r="B1946" s="45">
        <v>1260</v>
      </c>
      <c r="C1946" s="64" t="s">
        <v>1662</v>
      </c>
      <c r="D1946" s="74"/>
      <c r="E1946" s="208" t="s">
        <v>135</v>
      </c>
      <c r="F1946" s="209" t="s">
        <v>21</v>
      </c>
      <c r="G1946" s="209" t="s">
        <v>21</v>
      </c>
      <c r="H1946" s="209" t="s">
        <v>272</v>
      </c>
      <c r="I1946" s="210"/>
    </row>
    <row r="1947" spans="1:9" x14ac:dyDescent="0.25">
      <c r="A1947" s="74"/>
      <c r="B1947" s="45">
        <v>1261</v>
      </c>
      <c r="C1947" s="64" t="s">
        <v>1663</v>
      </c>
      <c r="D1947" s="74"/>
      <c r="E1947" s="208" t="s">
        <v>135</v>
      </c>
      <c r="F1947" s="209" t="s">
        <v>21</v>
      </c>
      <c r="G1947" s="209" t="s">
        <v>21</v>
      </c>
      <c r="H1947" s="209" t="s">
        <v>272</v>
      </c>
      <c r="I1947" s="210"/>
    </row>
    <row r="1948" spans="1:9" x14ac:dyDescent="0.25">
      <c r="A1948" s="74"/>
      <c r="B1948" s="45">
        <v>1262</v>
      </c>
      <c r="C1948" s="64" t="s">
        <v>1664</v>
      </c>
      <c r="D1948" s="74"/>
      <c r="E1948" s="208" t="s">
        <v>135</v>
      </c>
      <c r="F1948" s="209" t="s">
        <v>21</v>
      </c>
      <c r="G1948" s="209" t="s">
        <v>21</v>
      </c>
      <c r="H1948" s="209" t="s">
        <v>272</v>
      </c>
      <c r="I1948" s="210"/>
    </row>
    <row r="1949" spans="1:9" x14ac:dyDescent="0.25">
      <c r="A1949" s="74"/>
      <c r="B1949" s="45">
        <v>1263</v>
      </c>
      <c r="C1949" s="64" t="s">
        <v>1665</v>
      </c>
      <c r="D1949" s="74"/>
      <c r="E1949" s="208" t="s">
        <v>135</v>
      </c>
      <c r="F1949" s="209" t="s">
        <v>21</v>
      </c>
      <c r="G1949" s="209" t="s">
        <v>21</v>
      </c>
      <c r="H1949" s="209" t="s">
        <v>272</v>
      </c>
      <c r="I1949" s="210"/>
    </row>
    <row r="1950" spans="1:9" x14ac:dyDescent="0.25">
      <c r="A1950" s="74"/>
      <c r="B1950" s="45">
        <v>1264</v>
      </c>
      <c r="C1950" s="64" t="s">
        <v>1666</v>
      </c>
      <c r="D1950" s="74"/>
      <c r="E1950" s="208" t="s">
        <v>135</v>
      </c>
      <c r="F1950" s="209" t="s">
        <v>21</v>
      </c>
      <c r="G1950" s="209" t="s">
        <v>21</v>
      </c>
      <c r="H1950" s="209" t="s">
        <v>272</v>
      </c>
      <c r="I1950" s="210"/>
    </row>
    <row r="1951" spans="1:9" x14ac:dyDescent="0.25">
      <c r="A1951" s="74"/>
      <c r="B1951" s="45">
        <v>1265</v>
      </c>
      <c r="C1951" s="64" t="s">
        <v>1667</v>
      </c>
      <c r="D1951" s="74"/>
      <c r="E1951" s="208" t="s">
        <v>135</v>
      </c>
      <c r="F1951" s="209" t="s">
        <v>21</v>
      </c>
      <c r="G1951" s="209" t="s">
        <v>21</v>
      </c>
      <c r="H1951" s="209" t="s">
        <v>272</v>
      </c>
      <c r="I1951" s="210"/>
    </row>
    <row r="1952" spans="1:9" x14ac:dyDescent="0.25">
      <c r="A1952" s="74"/>
      <c r="B1952" s="45">
        <v>1266</v>
      </c>
      <c r="C1952" s="64" t="s">
        <v>1668</v>
      </c>
      <c r="D1952" s="74"/>
      <c r="E1952" s="208" t="s">
        <v>135</v>
      </c>
      <c r="F1952" s="209" t="s">
        <v>21</v>
      </c>
      <c r="G1952" s="209" t="s">
        <v>21</v>
      </c>
      <c r="H1952" s="209" t="s">
        <v>272</v>
      </c>
      <c r="I1952" s="210"/>
    </row>
    <row r="1953" spans="1:9" x14ac:dyDescent="0.25">
      <c r="A1953" s="74"/>
      <c r="B1953" s="45">
        <v>171</v>
      </c>
      <c r="C1953" s="64" t="s">
        <v>583</v>
      </c>
      <c r="D1953" s="74"/>
      <c r="E1953" s="208" t="s">
        <v>135</v>
      </c>
      <c r="F1953" s="209" t="s">
        <v>21</v>
      </c>
      <c r="G1953" s="209" t="s">
        <v>21</v>
      </c>
      <c r="H1953" s="209" t="s">
        <v>192</v>
      </c>
      <c r="I1953" s="210"/>
    </row>
    <row r="1954" spans="1:9" x14ac:dyDescent="0.25">
      <c r="A1954" s="74"/>
      <c r="B1954" s="45">
        <v>1256</v>
      </c>
      <c r="C1954" s="64" t="s">
        <v>1658</v>
      </c>
      <c r="D1954" s="74"/>
      <c r="E1954" s="208" t="s">
        <v>135</v>
      </c>
      <c r="F1954" s="209" t="s">
        <v>21</v>
      </c>
      <c r="G1954" s="209" t="s">
        <v>21</v>
      </c>
      <c r="H1954" s="209" t="s">
        <v>272</v>
      </c>
      <c r="I1954" s="210"/>
    </row>
    <row r="1955" spans="1:9" x14ac:dyDescent="0.25">
      <c r="A1955" s="74"/>
      <c r="B1955" s="45">
        <v>1257</v>
      </c>
      <c r="C1955" s="64" t="s">
        <v>1659</v>
      </c>
      <c r="D1955" s="74"/>
      <c r="E1955" s="208" t="s">
        <v>135</v>
      </c>
      <c r="F1955" s="209" t="s">
        <v>21</v>
      </c>
      <c r="G1955" s="209" t="s">
        <v>21</v>
      </c>
      <c r="H1955" s="209" t="s">
        <v>272</v>
      </c>
      <c r="I1955" s="210"/>
    </row>
    <row r="1956" spans="1:9" x14ac:dyDescent="0.25">
      <c r="A1956" s="74"/>
      <c r="B1956" s="45">
        <v>1258</v>
      </c>
      <c r="C1956" s="64" t="s">
        <v>1660</v>
      </c>
      <c r="D1956" s="74"/>
      <c r="E1956" s="208" t="s">
        <v>135</v>
      </c>
      <c r="F1956" s="209" t="s">
        <v>21</v>
      </c>
      <c r="G1956" s="209" t="s">
        <v>21</v>
      </c>
      <c r="H1956" s="209" t="s">
        <v>272</v>
      </c>
      <c r="I1956" s="210"/>
    </row>
    <row r="1957" spans="1:9" x14ac:dyDescent="0.25">
      <c r="A1957" s="74"/>
      <c r="B1957" s="45">
        <v>1259</v>
      </c>
      <c r="C1957" s="64" t="s">
        <v>1661</v>
      </c>
      <c r="D1957" s="74"/>
      <c r="E1957" s="208" t="s">
        <v>135</v>
      </c>
      <c r="F1957" s="209" t="s">
        <v>21</v>
      </c>
      <c r="G1957" s="209" t="s">
        <v>21</v>
      </c>
      <c r="H1957" s="209" t="s">
        <v>272</v>
      </c>
      <c r="I1957" s="210"/>
    </row>
    <row r="1958" spans="1:9" x14ac:dyDescent="0.25">
      <c r="A1958" s="74"/>
      <c r="B1958" s="45">
        <v>1260</v>
      </c>
      <c r="C1958" s="64" t="s">
        <v>1662</v>
      </c>
      <c r="D1958" s="74"/>
      <c r="E1958" s="208" t="s">
        <v>135</v>
      </c>
      <c r="F1958" s="209" t="s">
        <v>21</v>
      </c>
      <c r="G1958" s="209" t="s">
        <v>21</v>
      </c>
      <c r="H1958" s="209" t="s">
        <v>272</v>
      </c>
      <c r="I1958" s="210"/>
    </row>
    <row r="1959" spans="1:9" x14ac:dyDescent="0.25">
      <c r="A1959" s="74"/>
      <c r="B1959" s="45">
        <v>1261</v>
      </c>
      <c r="C1959" s="64" t="s">
        <v>1663</v>
      </c>
      <c r="D1959" s="74"/>
      <c r="E1959" s="208" t="s">
        <v>135</v>
      </c>
      <c r="F1959" s="209" t="s">
        <v>21</v>
      </c>
      <c r="G1959" s="209" t="s">
        <v>21</v>
      </c>
      <c r="H1959" s="209" t="s">
        <v>272</v>
      </c>
      <c r="I1959" s="210"/>
    </row>
    <row r="1960" spans="1:9" x14ac:dyDescent="0.25">
      <c r="A1960" s="74"/>
      <c r="B1960" s="45">
        <v>1262</v>
      </c>
      <c r="C1960" s="64" t="s">
        <v>1664</v>
      </c>
      <c r="D1960" s="74"/>
      <c r="E1960" s="208" t="s">
        <v>135</v>
      </c>
      <c r="F1960" s="209" t="s">
        <v>21</v>
      </c>
      <c r="G1960" s="209" t="s">
        <v>21</v>
      </c>
      <c r="H1960" s="209" t="s">
        <v>272</v>
      </c>
      <c r="I1960" s="210"/>
    </row>
    <row r="1961" spans="1:9" x14ac:dyDescent="0.25">
      <c r="A1961" s="74"/>
      <c r="B1961" s="45">
        <v>1263</v>
      </c>
      <c r="C1961" s="64" t="s">
        <v>1665</v>
      </c>
      <c r="D1961" s="74"/>
      <c r="E1961" s="208" t="s">
        <v>135</v>
      </c>
      <c r="F1961" s="209" t="s">
        <v>21</v>
      </c>
      <c r="G1961" s="209" t="s">
        <v>21</v>
      </c>
      <c r="H1961" s="209" t="s">
        <v>272</v>
      </c>
      <c r="I1961" s="210"/>
    </row>
    <row r="1962" spans="1:9" x14ac:dyDescent="0.25">
      <c r="A1962" s="74"/>
      <c r="B1962" s="45">
        <v>1264</v>
      </c>
      <c r="C1962" s="64" t="s">
        <v>1666</v>
      </c>
      <c r="D1962" s="74"/>
      <c r="E1962" s="208" t="s">
        <v>135</v>
      </c>
      <c r="F1962" s="209" t="s">
        <v>21</v>
      </c>
      <c r="G1962" s="209" t="s">
        <v>21</v>
      </c>
      <c r="H1962" s="209" t="s">
        <v>272</v>
      </c>
      <c r="I1962" s="210"/>
    </row>
    <row r="1963" spans="1:9" x14ac:dyDescent="0.25">
      <c r="A1963" s="74"/>
      <c r="B1963" s="45">
        <v>1265</v>
      </c>
      <c r="C1963" s="64" t="s">
        <v>1667</v>
      </c>
      <c r="D1963" s="74"/>
      <c r="E1963" s="208" t="s">
        <v>135</v>
      </c>
      <c r="F1963" s="209" t="s">
        <v>21</v>
      </c>
      <c r="G1963" s="209" t="s">
        <v>21</v>
      </c>
      <c r="H1963" s="209" t="s">
        <v>272</v>
      </c>
      <c r="I1963" s="210"/>
    </row>
    <row r="1964" spans="1:9" x14ac:dyDescent="0.25">
      <c r="A1964" s="74"/>
      <c r="B1964" s="45">
        <v>1266</v>
      </c>
      <c r="C1964" s="64" t="s">
        <v>1668</v>
      </c>
      <c r="D1964" s="74"/>
      <c r="E1964" s="208" t="s">
        <v>135</v>
      </c>
      <c r="F1964" s="209" t="s">
        <v>21</v>
      </c>
      <c r="G1964" s="209" t="s">
        <v>21</v>
      </c>
      <c r="H1964" s="209" t="s">
        <v>272</v>
      </c>
      <c r="I1964" s="210"/>
    </row>
    <row r="1965" spans="1:9" x14ac:dyDescent="0.25">
      <c r="A1965" s="74"/>
      <c r="B1965" s="45">
        <v>171</v>
      </c>
      <c r="C1965" s="64" t="s">
        <v>583</v>
      </c>
      <c r="D1965" s="74"/>
      <c r="E1965" s="208" t="s">
        <v>135</v>
      </c>
      <c r="F1965" s="209" t="s">
        <v>21</v>
      </c>
      <c r="G1965" s="209" t="s">
        <v>21</v>
      </c>
      <c r="H1965" s="209" t="s">
        <v>192</v>
      </c>
      <c r="I1965" s="210"/>
    </row>
    <row r="1966" spans="1:9" x14ac:dyDescent="0.25">
      <c r="A1966" s="74"/>
      <c r="B1966" s="45">
        <v>1256</v>
      </c>
      <c r="C1966" s="64" t="s">
        <v>1658</v>
      </c>
      <c r="D1966" s="74"/>
      <c r="E1966" s="208" t="s">
        <v>135</v>
      </c>
      <c r="F1966" s="209" t="s">
        <v>21</v>
      </c>
      <c r="G1966" s="209" t="s">
        <v>21</v>
      </c>
      <c r="H1966" s="209" t="s">
        <v>272</v>
      </c>
      <c r="I1966" s="210"/>
    </row>
    <row r="1967" spans="1:9" x14ac:dyDescent="0.25">
      <c r="A1967" s="74"/>
      <c r="B1967" s="45">
        <v>1257</v>
      </c>
      <c r="C1967" s="64" t="s">
        <v>1659</v>
      </c>
      <c r="D1967" s="74"/>
      <c r="E1967" s="208" t="s">
        <v>135</v>
      </c>
      <c r="F1967" s="209" t="s">
        <v>21</v>
      </c>
      <c r="G1967" s="209" t="s">
        <v>21</v>
      </c>
      <c r="H1967" s="209" t="s">
        <v>272</v>
      </c>
      <c r="I1967" s="210"/>
    </row>
    <row r="1968" spans="1:9" x14ac:dyDescent="0.25">
      <c r="A1968" s="74"/>
      <c r="B1968" s="45">
        <v>1258</v>
      </c>
      <c r="C1968" s="64" t="s">
        <v>1660</v>
      </c>
      <c r="D1968" s="74"/>
      <c r="E1968" s="208" t="s">
        <v>135</v>
      </c>
      <c r="F1968" s="209" t="s">
        <v>21</v>
      </c>
      <c r="G1968" s="209" t="s">
        <v>21</v>
      </c>
      <c r="H1968" s="209" t="s">
        <v>272</v>
      </c>
      <c r="I1968" s="210"/>
    </row>
    <row r="1969" spans="1:9" x14ac:dyDescent="0.25">
      <c r="A1969" s="74"/>
      <c r="B1969" s="45">
        <v>1259</v>
      </c>
      <c r="C1969" s="64" t="s">
        <v>1661</v>
      </c>
      <c r="D1969" s="74"/>
      <c r="E1969" s="208" t="s">
        <v>135</v>
      </c>
      <c r="F1969" s="209" t="s">
        <v>21</v>
      </c>
      <c r="G1969" s="209" t="s">
        <v>21</v>
      </c>
      <c r="H1969" s="209" t="s">
        <v>272</v>
      </c>
      <c r="I1969" s="210"/>
    </row>
    <row r="1970" spans="1:9" x14ac:dyDescent="0.25">
      <c r="A1970" s="74"/>
      <c r="B1970" s="45">
        <v>1260</v>
      </c>
      <c r="C1970" s="64" t="s">
        <v>1662</v>
      </c>
      <c r="D1970" s="74"/>
      <c r="E1970" s="208" t="s">
        <v>135</v>
      </c>
      <c r="F1970" s="209" t="s">
        <v>21</v>
      </c>
      <c r="G1970" s="209" t="s">
        <v>21</v>
      </c>
      <c r="H1970" s="209" t="s">
        <v>272</v>
      </c>
      <c r="I1970" s="210"/>
    </row>
    <row r="1971" spans="1:9" x14ac:dyDescent="0.25">
      <c r="A1971" s="74"/>
      <c r="B1971" s="45">
        <v>1261</v>
      </c>
      <c r="C1971" s="64" t="s">
        <v>1663</v>
      </c>
      <c r="D1971" s="74"/>
      <c r="E1971" s="208" t="s">
        <v>135</v>
      </c>
      <c r="F1971" s="209" t="s">
        <v>21</v>
      </c>
      <c r="G1971" s="209" t="s">
        <v>21</v>
      </c>
      <c r="H1971" s="209" t="s">
        <v>272</v>
      </c>
      <c r="I1971" s="210"/>
    </row>
    <row r="1972" spans="1:9" x14ac:dyDescent="0.25">
      <c r="A1972" s="74"/>
      <c r="B1972" s="45">
        <v>1262</v>
      </c>
      <c r="C1972" s="64" t="s">
        <v>1664</v>
      </c>
      <c r="D1972" s="74"/>
      <c r="E1972" s="208" t="s">
        <v>135</v>
      </c>
      <c r="F1972" s="209" t="s">
        <v>21</v>
      </c>
      <c r="G1972" s="209" t="s">
        <v>21</v>
      </c>
      <c r="H1972" s="209" t="s">
        <v>272</v>
      </c>
      <c r="I1972" s="210"/>
    </row>
    <row r="1973" spans="1:9" x14ac:dyDescent="0.25">
      <c r="A1973" s="74"/>
      <c r="B1973" s="45">
        <v>1263</v>
      </c>
      <c r="C1973" s="64" t="s">
        <v>1665</v>
      </c>
      <c r="D1973" s="74"/>
      <c r="E1973" s="208" t="s">
        <v>135</v>
      </c>
      <c r="F1973" s="209" t="s">
        <v>21</v>
      </c>
      <c r="G1973" s="209" t="s">
        <v>21</v>
      </c>
      <c r="H1973" s="209" t="s">
        <v>272</v>
      </c>
      <c r="I1973" s="210"/>
    </row>
    <row r="1974" spans="1:9" x14ac:dyDescent="0.25">
      <c r="A1974" s="74"/>
      <c r="B1974" s="45">
        <v>1264</v>
      </c>
      <c r="C1974" s="64" t="s">
        <v>1666</v>
      </c>
      <c r="D1974" s="74"/>
      <c r="E1974" s="208" t="s">
        <v>135</v>
      </c>
      <c r="F1974" s="209" t="s">
        <v>21</v>
      </c>
      <c r="G1974" s="209" t="s">
        <v>21</v>
      </c>
      <c r="H1974" s="209" t="s">
        <v>272</v>
      </c>
      <c r="I1974" s="210"/>
    </row>
    <row r="1975" spans="1:9" x14ac:dyDescent="0.25">
      <c r="A1975" s="74"/>
      <c r="B1975" s="45">
        <v>1265</v>
      </c>
      <c r="C1975" s="64" t="s">
        <v>1667</v>
      </c>
      <c r="D1975" s="74"/>
      <c r="E1975" s="208" t="s">
        <v>135</v>
      </c>
      <c r="F1975" s="209" t="s">
        <v>21</v>
      </c>
      <c r="G1975" s="209" t="s">
        <v>21</v>
      </c>
      <c r="H1975" s="209" t="s">
        <v>272</v>
      </c>
      <c r="I1975" s="210"/>
    </row>
    <row r="1976" spans="1:9" x14ac:dyDescent="0.25">
      <c r="A1976" s="74"/>
      <c r="B1976" s="45">
        <v>1266</v>
      </c>
      <c r="C1976" s="64" t="s">
        <v>1668</v>
      </c>
      <c r="D1976" s="74"/>
      <c r="E1976" s="208" t="s">
        <v>135</v>
      </c>
      <c r="F1976" s="209" t="s">
        <v>21</v>
      </c>
      <c r="G1976" s="209" t="s">
        <v>21</v>
      </c>
      <c r="H1976" s="209" t="s">
        <v>272</v>
      </c>
      <c r="I1976" s="210"/>
    </row>
    <row r="1977" spans="1:9" x14ac:dyDescent="0.25">
      <c r="A1977" s="74"/>
      <c r="B1977" s="45">
        <v>170</v>
      </c>
      <c r="C1977" s="64" t="s">
        <v>582</v>
      </c>
      <c r="D1977" s="74"/>
      <c r="E1977" s="208" t="s">
        <v>135</v>
      </c>
      <c r="F1977" s="209" t="s">
        <v>21</v>
      </c>
      <c r="G1977" s="209" t="s">
        <v>21</v>
      </c>
      <c r="H1977" s="209" t="s">
        <v>272</v>
      </c>
      <c r="I1977" s="210"/>
    </row>
    <row r="1978" spans="1:9" x14ac:dyDescent="0.25">
      <c r="A1978" s="74"/>
      <c r="B1978" s="45">
        <v>171</v>
      </c>
      <c r="C1978" s="64" t="s">
        <v>583</v>
      </c>
      <c r="D1978" s="74"/>
      <c r="E1978" s="208" t="s">
        <v>135</v>
      </c>
      <c r="F1978" s="209" t="s">
        <v>21</v>
      </c>
      <c r="G1978" s="209" t="s">
        <v>21</v>
      </c>
      <c r="H1978" s="209" t="s">
        <v>192</v>
      </c>
      <c r="I1978" s="210"/>
    </row>
    <row r="1979" spans="1:9" x14ac:dyDescent="0.25">
      <c r="A1979" s="74"/>
      <c r="B1979" s="45">
        <v>1256</v>
      </c>
      <c r="C1979" s="64" t="s">
        <v>1658</v>
      </c>
      <c r="D1979" s="74"/>
      <c r="E1979" s="208" t="s">
        <v>135</v>
      </c>
      <c r="F1979" s="209" t="s">
        <v>21</v>
      </c>
      <c r="G1979" s="209" t="s">
        <v>21</v>
      </c>
      <c r="H1979" s="209" t="s">
        <v>272</v>
      </c>
      <c r="I1979" s="210"/>
    </row>
    <row r="1980" spans="1:9" x14ac:dyDescent="0.25">
      <c r="A1980" s="74"/>
      <c r="B1980" s="45">
        <v>1257</v>
      </c>
      <c r="C1980" s="64" t="s">
        <v>1659</v>
      </c>
      <c r="D1980" s="74"/>
      <c r="E1980" s="208" t="s">
        <v>135</v>
      </c>
      <c r="F1980" s="209" t="s">
        <v>21</v>
      </c>
      <c r="G1980" s="209" t="s">
        <v>21</v>
      </c>
      <c r="H1980" s="209" t="s">
        <v>272</v>
      </c>
      <c r="I1980" s="210"/>
    </row>
    <row r="1981" spans="1:9" x14ac:dyDescent="0.25">
      <c r="A1981" s="74"/>
      <c r="B1981" s="45">
        <v>1258</v>
      </c>
      <c r="C1981" s="64" t="s">
        <v>1660</v>
      </c>
      <c r="D1981" s="74"/>
      <c r="E1981" s="208" t="s">
        <v>135</v>
      </c>
      <c r="F1981" s="209" t="s">
        <v>21</v>
      </c>
      <c r="G1981" s="209" t="s">
        <v>21</v>
      </c>
      <c r="H1981" s="209" t="s">
        <v>272</v>
      </c>
      <c r="I1981" s="210"/>
    </row>
    <row r="1982" spans="1:9" x14ac:dyDescent="0.25">
      <c r="A1982" s="74"/>
      <c r="B1982" s="45">
        <v>1259</v>
      </c>
      <c r="C1982" s="64" t="s">
        <v>1661</v>
      </c>
      <c r="D1982" s="74"/>
      <c r="E1982" s="208" t="s">
        <v>135</v>
      </c>
      <c r="F1982" s="209" t="s">
        <v>21</v>
      </c>
      <c r="G1982" s="209" t="s">
        <v>21</v>
      </c>
      <c r="H1982" s="209" t="s">
        <v>272</v>
      </c>
      <c r="I1982" s="210"/>
    </row>
    <row r="1983" spans="1:9" x14ac:dyDescent="0.25">
      <c r="A1983" s="74"/>
      <c r="B1983" s="45">
        <v>1260</v>
      </c>
      <c r="C1983" s="64" t="s">
        <v>1662</v>
      </c>
      <c r="D1983" s="74"/>
      <c r="E1983" s="208" t="s">
        <v>135</v>
      </c>
      <c r="F1983" s="209" t="s">
        <v>21</v>
      </c>
      <c r="G1983" s="209" t="s">
        <v>21</v>
      </c>
      <c r="H1983" s="209" t="s">
        <v>272</v>
      </c>
      <c r="I1983" s="210"/>
    </row>
    <row r="1984" spans="1:9" x14ac:dyDescent="0.25">
      <c r="A1984" s="74"/>
      <c r="B1984" s="45">
        <v>1261</v>
      </c>
      <c r="C1984" s="64" t="s">
        <v>1663</v>
      </c>
      <c r="D1984" s="74"/>
      <c r="E1984" s="208" t="s">
        <v>135</v>
      </c>
      <c r="F1984" s="209" t="s">
        <v>21</v>
      </c>
      <c r="G1984" s="209" t="s">
        <v>21</v>
      </c>
      <c r="H1984" s="209" t="s">
        <v>272</v>
      </c>
      <c r="I1984" s="210"/>
    </row>
    <row r="1985" spans="1:9" x14ac:dyDescent="0.25">
      <c r="A1985" s="74"/>
      <c r="B1985" s="45">
        <v>1262</v>
      </c>
      <c r="C1985" s="64" t="s">
        <v>1664</v>
      </c>
      <c r="D1985" s="74"/>
      <c r="E1985" s="208" t="s">
        <v>135</v>
      </c>
      <c r="F1985" s="209" t="s">
        <v>21</v>
      </c>
      <c r="G1985" s="209" t="s">
        <v>21</v>
      </c>
      <c r="H1985" s="209" t="s">
        <v>272</v>
      </c>
      <c r="I1985" s="210"/>
    </row>
    <row r="1986" spans="1:9" x14ac:dyDescent="0.25">
      <c r="A1986" s="74"/>
      <c r="B1986" s="45">
        <v>1263</v>
      </c>
      <c r="C1986" s="64" t="s">
        <v>1665</v>
      </c>
      <c r="D1986" s="74"/>
      <c r="E1986" s="208" t="s">
        <v>135</v>
      </c>
      <c r="F1986" s="209" t="s">
        <v>21</v>
      </c>
      <c r="G1986" s="209" t="s">
        <v>21</v>
      </c>
      <c r="H1986" s="209" t="s">
        <v>272</v>
      </c>
      <c r="I1986" s="210"/>
    </row>
    <row r="1987" spans="1:9" x14ac:dyDescent="0.25">
      <c r="A1987" s="74"/>
      <c r="B1987" s="45">
        <v>1264</v>
      </c>
      <c r="C1987" s="64" t="s">
        <v>1666</v>
      </c>
      <c r="D1987" s="74"/>
      <c r="E1987" s="208" t="s">
        <v>135</v>
      </c>
      <c r="F1987" s="209" t="s">
        <v>21</v>
      </c>
      <c r="G1987" s="209" t="s">
        <v>21</v>
      </c>
      <c r="H1987" s="209" t="s">
        <v>272</v>
      </c>
      <c r="I1987" s="210"/>
    </row>
    <row r="1988" spans="1:9" x14ac:dyDescent="0.25">
      <c r="A1988" s="74"/>
      <c r="B1988" s="45">
        <v>1265</v>
      </c>
      <c r="C1988" s="64" t="s">
        <v>1667</v>
      </c>
      <c r="D1988" s="74"/>
      <c r="E1988" s="208" t="s">
        <v>135</v>
      </c>
      <c r="F1988" s="209" t="s">
        <v>21</v>
      </c>
      <c r="G1988" s="209" t="s">
        <v>21</v>
      </c>
      <c r="H1988" s="209" t="s">
        <v>272</v>
      </c>
      <c r="I1988" s="210"/>
    </row>
    <row r="1989" spans="1:9" x14ac:dyDescent="0.25">
      <c r="A1989" s="74"/>
      <c r="B1989" s="45">
        <v>1266</v>
      </c>
      <c r="C1989" s="64" t="s">
        <v>1668</v>
      </c>
      <c r="D1989" s="74"/>
      <c r="E1989" s="208" t="s">
        <v>135</v>
      </c>
      <c r="F1989" s="209" t="s">
        <v>21</v>
      </c>
      <c r="G1989" s="209" t="s">
        <v>21</v>
      </c>
      <c r="H1989" s="209" t="s">
        <v>272</v>
      </c>
      <c r="I1989" s="210"/>
    </row>
    <row r="1990" spans="1:9" x14ac:dyDescent="0.25">
      <c r="A1990" s="74"/>
      <c r="B1990" s="45">
        <v>171</v>
      </c>
      <c r="C1990" s="64" t="s">
        <v>583</v>
      </c>
      <c r="D1990" s="74"/>
      <c r="E1990" s="208" t="s">
        <v>135</v>
      </c>
      <c r="F1990" s="209" t="s">
        <v>21</v>
      </c>
      <c r="G1990" s="209" t="s">
        <v>21</v>
      </c>
      <c r="H1990" s="209" t="s">
        <v>192</v>
      </c>
      <c r="I1990" s="210"/>
    </row>
    <row r="1991" spans="1:9" x14ac:dyDescent="0.25">
      <c r="A1991" s="74"/>
      <c r="B1991" s="45">
        <v>1256</v>
      </c>
      <c r="C1991" s="64" t="s">
        <v>1658</v>
      </c>
      <c r="D1991" s="74"/>
      <c r="E1991" s="208" t="s">
        <v>135</v>
      </c>
      <c r="F1991" s="209" t="s">
        <v>21</v>
      </c>
      <c r="G1991" s="209" t="s">
        <v>21</v>
      </c>
      <c r="H1991" s="209" t="s">
        <v>272</v>
      </c>
      <c r="I1991" s="210"/>
    </row>
    <row r="1992" spans="1:9" x14ac:dyDescent="0.25">
      <c r="A1992" s="74"/>
      <c r="B1992" s="45">
        <v>1257</v>
      </c>
      <c r="C1992" s="64" t="s">
        <v>1659</v>
      </c>
      <c r="D1992" s="74"/>
      <c r="E1992" s="208" t="s">
        <v>135</v>
      </c>
      <c r="F1992" s="209" t="s">
        <v>21</v>
      </c>
      <c r="G1992" s="209" t="s">
        <v>21</v>
      </c>
      <c r="H1992" s="209" t="s">
        <v>272</v>
      </c>
      <c r="I1992" s="210"/>
    </row>
    <row r="1993" spans="1:9" x14ac:dyDescent="0.25">
      <c r="A1993" s="74"/>
      <c r="B1993" s="45">
        <v>1258</v>
      </c>
      <c r="C1993" s="64" t="s">
        <v>1660</v>
      </c>
      <c r="D1993" s="74"/>
      <c r="E1993" s="208" t="s">
        <v>135</v>
      </c>
      <c r="F1993" s="209" t="s">
        <v>21</v>
      </c>
      <c r="G1993" s="209" t="s">
        <v>21</v>
      </c>
      <c r="H1993" s="209" t="s">
        <v>272</v>
      </c>
      <c r="I1993" s="210"/>
    </row>
    <row r="1994" spans="1:9" x14ac:dyDescent="0.25">
      <c r="A1994" s="74"/>
      <c r="B1994" s="45">
        <v>1259</v>
      </c>
      <c r="C1994" s="64" t="s">
        <v>1661</v>
      </c>
      <c r="D1994" s="74"/>
      <c r="E1994" s="208" t="s">
        <v>135</v>
      </c>
      <c r="F1994" s="209" t="s">
        <v>21</v>
      </c>
      <c r="G1994" s="209" t="s">
        <v>21</v>
      </c>
      <c r="H1994" s="209" t="s">
        <v>272</v>
      </c>
      <c r="I1994" s="210"/>
    </row>
    <row r="1995" spans="1:9" x14ac:dyDescent="0.25">
      <c r="A1995" s="74"/>
      <c r="B1995" s="45">
        <v>1260</v>
      </c>
      <c r="C1995" s="64" t="s">
        <v>1662</v>
      </c>
      <c r="D1995" s="74"/>
      <c r="E1995" s="208" t="s">
        <v>135</v>
      </c>
      <c r="F1995" s="209" t="s">
        <v>21</v>
      </c>
      <c r="G1995" s="209" t="s">
        <v>21</v>
      </c>
      <c r="H1995" s="209" t="s">
        <v>272</v>
      </c>
      <c r="I1995" s="210"/>
    </row>
    <row r="1996" spans="1:9" x14ac:dyDescent="0.25">
      <c r="A1996" s="74"/>
      <c r="B1996" s="45">
        <v>1261</v>
      </c>
      <c r="C1996" s="64" t="s">
        <v>1663</v>
      </c>
      <c r="D1996" s="74"/>
      <c r="E1996" s="208" t="s">
        <v>135</v>
      </c>
      <c r="F1996" s="209" t="s">
        <v>21</v>
      </c>
      <c r="G1996" s="209" t="s">
        <v>21</v>
      </c>
      <c r="H1996" s="209" t="s">
        <v>272</v>
      </c>
      <c r="I1996" s="210"/>
    </row>
    <row r="1997" spans="1:9" x14ac:dyDescent="0.25">
      <c r="A1997" s="74"/>
      <c r="B1997" s="45">
        <v>1262</v>
      </c>
      <c r="C1997" s="64" t="s">
        <v>1664</v>
      </c>
      <c r="D1997" s="74"/>
      <c r="E1997" s="208" t="s">
        <v>135</v>
      </c>
      <c r="F1997" s="209" t="s">
        <v>21</v>
      </c>
      <c r="G1997" s="209" t="s">
        <v>21</v>
      </c>
      <c r="H1997" s="209" t="s">
        <v>272</v>
      </c>
      <c r="I1997" s="210"/>
    </row>
    <row r="1998" spans="1:9" x14ac:dyDescent="0.25">
      <c r="A1998" s="74"/>
      <c r="B1998" s="45">
        <v>1263</v>
      </c>
      <c r="C1998" s="64" t="s">
        <v>1665</v>
      </c>
      <c r="D1998" s="74"/>
      <c r="E1998" s="208" t="s">
        <v>135</v>
      </c>
      <c r="F1998" s="209" t="s">
        <v>21</v>
      </c>
      <c r="G1998" s="209" t="s">
        <v>21</v>
      </c>
      <c r="H1998" s="209" t="s">
        <v>272</v>
      </c>
      <c r="I1998" s="210"/>
    </row>
    <row r="1999" spans="1:9" x14ac:dyDescent="0.25">
      <c r="A1999" s="74"/>
      <c r="B1999" s="45">
        <v>1264</v>
      </c>
      <c r="C1999" s="64" t="s">
        <v>1666</v>
      </c>
      <c r="D1999" s="74"/>
      <c r="E1999" s="208" t="s">
        <v>135</v>
      </c>
      <c r="F1999" s="209" t="s">
        <v>21</v>
      </c>
      <c r="G1999" s="209" t="s">
        <v>21</v>
      </c>
      <c r="H1999" s="209" t="s">
        <v>272</v>
      </c>
      <c r="I1999" s="210"/>
    </row>
    <row r="2000" spans="1:9" x14ac:dyDescent="0.25">
      <c r="A2000" s="74"/>
      <c r="B2000" s="45">
        <v>1265</v>
      </c>
      <c r="C2000" s="64" t="s">
        <v>1667</v>
      </c>
      <c r="D2000" s="74"/>
      <c r="E2000" s="208" t="s">
        <v>135</v>
      </c>
      <c r="F2000" s="209" t="s">
        <v>21</v>
      </c>
      <c r="G2000" s="209" t="s">
        <v>21</v>
      </c>
      <c r="H2000" s="209" t="s">
        <v>272</v>
      </c>
      <c r="I2000" s="210"/>
    </row>
    <row r="2001" spans="1:9" x14ac:dyDescent="0.25">
      <c r="A2001" s="74"/>
      <c r="B2001" s="45">
        <v>1266</v>
      </c>
      <c r="C2001" s="64" t="s">
        <v>1668</v>
      </c>
      <c r="D2001" s="74"/>
      <c r="E2001" s="208" t="s">
        <v>135</v>
      </c>
      <c r="F2001" s="209" t="s">
        <v>21</v>
      </c>
      <c r="G2001" s="209" t="s">
        <v>21</v>
      </c>
      <c r="H2001" s="209" t="s">
        <v>272</v>
      </c>
      <c r="I2001" s="210"/>
    </row>
    <row r="2002" spans="1:9" x14ac:dyDescent="0.25">
      <c r="A2002" s="74"/>
      <c r="B2002" s="45">
        <v>171</v>
      </c>
      <c r="C2002" s="64" t="s">
        <v>583</v>
      </c>
      <c r="D2002" s="74"/>
      <c r="E2002" s="208" t="s">
        <v>135</v>
      </c>
      <c r="F2002" s="209" t="s">
        <v>21</v>
      </c>
      <c r="G2002" s="209" t="s">
        <v>21</v>
      </c>
      <c r="H2002" s="209" t="s">
        <v>192</v>
      </c>
      <c r="I2002" s="210"/>
    </row>
    <row r="2003" spans="1:9" x14ac:dyDescent="0.25">
      <c r="A2003" s="74"/>
      <c r="B2003" s="45">
        <v>1256</v>
      </c>
      <c r="C2003" s="64" t="s">
        <v>1658</v>
      </c>
      <c r="D2003" s="74"/>
      <c r="E2003" s="208" t="s">
        <v>135</v>
      </c>
      <c r="F2003" s="209" t="s">
        <v>21</v>
      </c>
      <c r="G2003" s="209" t="s">
        <v>21</v>
      </c>
      <c r="H2003" s="209" t="s">
        <v>272</v>
      </c>
      <c r="I2003" s="210"/>
    </row>
    <row r="2004" spans="1:9" x14ac:dyDescent="0.25">
      <c r="A2004" s="74"/>
      <c r="B2004" s="45">
        <v>1257</v>
      </c>
      <c r="C2004" s="64" t="s">
        <v>1659</v>
      </c>
      <c r="D2004" s="74"/>
      <c r="E2004" s="208" t="s">
        <v>135</v>
      </c>
      <c r="F2004" s="209" t="s">
        <v>21</v>
      </c>
      <c r="G2004" s="209" t="s">
        <v>21</v>
      </c>
      <c r="H2004" s="209" t="s">
        <v>272</v>
      </c>
      <c r="I2004" s="210"/>
    </row>
    <row r="2005" spans="1:9" x14ac:dyDescent="0.25">
      <c r="A2005" s="74"/>
      <c r="B2005" s="45">
        <v>1258</v>
      </c>
      <c r="C2005" s="64" t="s">
        <v>1660</v>
      </c>
      <c r="D2005" s="74"/>
      <c r="E2005" s="208" t="s">
        <v>135</v>
      </c>
      <c r="F2005" s="209" t="s">
        <v>21</v>
      </c>
      <c r="G2005" s="209" t="s">
        <v>21</v>
      </c>
      <c r="H2005" s="209" t="s">
        <v>272</v>
      </c>
      <c r="I2005" s="210"/>
    </row>
    <row r="2006" spans="1:9" x14ac:dyDescent="0.25">
      <c r="A2006" s="74"/>
      <c r="B2006" s="45">
        <v>1259</v>
      </c>
      <c r="C2006" s="64" t="s">
        <v>1661</v>
      </c>
      <c r="D2006" s="74"/>
      <c r="E2006" s="208" t="s">
        <v>135</v>
      </c>
      <c r="F2006" s="209" t="s">
        <v>21</v>
      </c>
      <c r="G2006" s="209" t="s">
        <v>21</v>
      </c>
      <c r="H2006" s="209" t="s">
        <v>272</v>
      </c>
      <c r="I2006" s="210"/>
    </row>
    <row r="2007" spans="1:9" x14ac:dyDescent="0.25">
      <c r="A2007" s="74"/>
      <c r="B2007" s="45">
        <v>1261</v>
      </c>
      <c r="C2007" s="64" t="s">
        <v>1663</v>
      </c>
      <c r="D2007" s="74"/>
      <c r="E2007" s="208" t="s">
        <v>135</v>
      </c>
      <c r="F2007" s="209" t="s">
        <v>21</v>
      </c>
      <c r="G2007" s="209" t="s">
        <v>21</v>
      </c>
      <c r="H2007" s="209" t="s">
        <v>272</v>
      </c>
      <c r="I2007" s="210"/>
    </row>
    <row r="2008" spans="1:9" x14ac:dyDescent="0.25">
      <c r="A2008" s="74"/>
      <c r="B2008" s="45">
        <v>1260</v>
      </c>
      <c r="C2008" s="64" t="s">
        <v>1662</v>
      </c>
      <c r="D2008" s="74"/>
      <c r="E2008" s="208" t="s">
        <v>135</v>
      </c>
      <c r="F2008" s="209" t="s">
        <v>21</v>
      </c>
      <c r="G2008" s="209" t="s">
        <v>21</v>
      </c>
      <c r="H2008" s="209" t="s">
        <v>272</v>
      </c>
      <c r="I2008" s="210"/>
    </row>
    <row r="2009" spans="1:9" x14ac:dyDescent="0.25">
      <c r="A2009" s="74"/>
      <c r="B2009" s="45">
        <v>1262</v>
      </c>
      <c r="C2009" s="64" t="s">
        <v>1664</v>
      </c>
      <c r="D2009" s="74"/>
      <c r="E2009" s="208" t="s">
        <v>135</v>
      </c>
      <c r="F2009" s="209" t="s">
        <v>21</v>
      </c>
      <c r="G2009" s="209" t="s">
        <v>21</v>
      </c>
      <c r="H2009" s="209" t="s">
        <v>272</v>
      </c>
      <c r="I2009" s="210"/>
    </row>
    <row r="2010" spans="1:9" x14ac:dyDescent="0.25">
      <c r="A2010" s="74"/>
      <c r="B2010" s="45">
        <v>1263</v>
      </c>
      <c r="C2010" s="64" t="s">
        <v>1665</v>
      </c>
      <c r="D2010" s="74"/>
      <c r="E2010" s="208" t="s">
        <v>135</v>
      </c>
      <c r="F2010" s="209" t="s">
        <v>21</v>
      </c>
      <c r="G2010" s="209" t="s">
        <v>21</v>
      </c>
      <c r="H2010" s="209" t="s">
        <v>272</v>
      </c>
      <c r="I2010" s="210"/>
    </row>
    <row r="2011" spans="1:9" x14ac:dyDescent="0.25">
      <c r="A2011" s="74"/>
      <c r="B2011" s="45">
        <v>1264</v>
      </c>
      <c r="C2011" s="64" t="s">
        <v>1666</v>
      </c>
      <c r="D2011" s="74"/>
      <c r="E2011" s="208" t="s">
        <v>135</v>
      </c>
      <c r="F2011" s="209" t="s">
        <v>21</v>
      </c>
      <c r="G2011" s="209" t="s">
        <v>21</v>
      </c>
      <c r="H2011" s="209" t="s">
        <v>272</v>
      </c>
      <c r="I2011" s="210"/>
    </row>
    <row r="2012" spans="1:9" x14ac:dyDescent="0.25">
      <c r="A2012" s="74"/>
      <c r="B2012" s="45">
        <v>1265</v>
      </c>
      <c r="C2012" s="64" t="s">
        <v>1667</v>
      </c>
      <c r="D2012" s="74"/>
      <c r="E2012" s="208" t="s">
        <v>135</v>
      </c>
      <c r="F2012" s="209" t="s">
        <v>21</v>
      </c>
      <c r="G2012" s="209" t="s">
        <v>21</v>
      </c>
      <c r="H2012" s="209" t="s">
        <v>272</v>
      </c>
      <c r="I2012" s="210"/>
    </row>
    <row r="2013" spans="1:9" x14ac:dyDescent="0.25">
      <c r="A2013" s="74"/>
      <c r="B2013" s="45">
        <v>1266</v>
      </c>
      <c r="C2013" s="64" t="s">
        <v>1668</v>
      </c>
      <c r="D2013" s="74"/>
      <c r="E2013" s="208" t="s">
        <v>135</v>
      </c>
      <c r="F2013" s="209" t="s">
        <v>21</v>
      </c>
      <c r="G2013" s="209" t="s">
        <v>21</v>
      </c>
      <c r="H2013" s="209" t="s">
        <v>272</v>
      </c>
      <c r="I2013" s="210"/>
    </row>
    <row r="2014" spans="1:9" x14ac:dyDescent="0.25">
      <c r="A2014" s="74"/>
      <c r="B2014" s="45">
        <v>171</v>
      </c>
      <c r="C2014" s="64" t="s">
        <v>583</v>
      </c>
      <c r="D2014" s="74"/>
      <c r="E2014" s="208" t="s">
        <v>135</v>
      </c>
      <c r="F2014" s="209" t="s">
        <v>21</v>
      </c>
      <c r="G2014" s="209" t="s">
        <v>21</v>
      </c>
      <c r="H2014" s="209" t="s">
        <v>192</v>
      </c>
      <c r="I2014" s="210"/>
    </row>
    <row r="2015" spans="1:9" x14ac:dyDescent="0.25">
      <c r="A2015" s="74"/>
      <c r="B2015" s="45">
        <v>168</v>
      </c>
      <c r="C2015" s="64" t="s">
        <v>580</v>
      </c>
      <c r="D2015" s="74"/>
      <c r="E2015" s="208" t="s">
        <v>135</v>
      </c>
      <c r="F2015" s="209" t="s">
        <v>21</v>
      </c>
      <c r="G2015" s="209" t="s">
        <v>21</v>
      </c>
      <c r="H2015" s="209" t="s">
        <v>192</v>
      </c>
      <c r="I2015" s="210"/>
    </row>
    <row r="2016" spans="1:9" x14ac:dyDescent="0.25">
      <c r="A2016" s="74"/>
      <c r="B2016" s="45">
        <v>167</v>
      </c>
      <c r="C2016" s="64" t="s">
        <v>579</v>
      </c>
      <c r="D2016" s="74"/>
      <c r="E2016" s="208" t="s">
        <v>135</v>
      </c>
      <c r="F2016" s="209" t="s">
        <v>21</v>
      </c>
      <c r="G2016" s="209" t="s">
        <v>21</v>
      </c>
      <c r="H2016" s="209" t="s">
        <v>192</v>
      </c>
      <c r="I2016" s="210"/>
    </row>
    <row r="2017" spans="1:9" x14ac:dyDescent="0.25">
      <c r="A2017" s="74"/>
      <c r="B2017" s="45">
        <v>172</v>
      </c>
      <c r="C2017" s="64" t="s">
        <v>584</v>
      </c>
      <c r="D2017" s="74"/>
      <c r="E2017" s="208" t="s">
        <v>135</v>
      </c>
      <c r="F2017" s="209" t="s">
        <v>21</v>
      </c>
      <c r="G2017" s="209" t="s">
        <v>21</v>
      </c>
      <c r="H2017" s="209" t="s">
        <v>192</v>
      </c>
      <c r="I2017" s="210"/>
    </row>
    <row r="2018" spans="1:9" x14ac:dyDescent="0.25">
      <c r="A2018" s="74"/>
      <c r="B2018" s="45">
        <v>174</v>
      </c>
      <c r="C2018" s="64" t="s">
        <v>586</v>
      </c>
      <c r="D2018" s="74"/>
      <c r="E2018" s="208" t="s">
        <v>135</v>
      </c>
      <c r="F2018" s="209" t="s">
        <v>21</v>
      </c>
      <c r="G2018" s="209" t="s">
        <v>21</v>
      </c>
      <c r="H2018" s="209" t="s">
        <v>192</v>
      </c>
      <c r="I2018" s="210"/>
    </row>
    <row r="2019" spans="1:9" x14ac:dyDescent="0.25">
      <c r="A2019" s="74"/>
      <c r="B2019" s="45">
        <v>168</v>
      </c>
      <c r="C2019" s="64" t="s">
        <v>580</v>
      </c>
      <c r="D2019" s="74"/>
      <c r="E2019" s="208" t="s">
        <v>135</v>
      </c>
      <c r="F2019" s="209" t="s">
        <v>21</v>
      </c>
      <c r="G2019" s="209" t="s">
        <v>21</v>
      </c>
      <c r="H2019" s="209" t="s">
        <v>192</v>
      </c>
      <c r="I2019" s="210"/>
    </row>
    <row r="2020" spans="1:9" x14ac:dyDescent="0.25">
      <c r="A2020" s="74"/>
      <c r="B2020" s="45">
        <v>167</v>
      </c>
      <c r="C2020" s="64" t="s">
        <v>579</v>
      </c>
      <c r="D2020" s="74"/>
      <c r="E2020" s="208" t="s">
        <v>135</v>
      </c>
      <c r="F2020" s="209" t="s">
        <v>21</v>
      </c>
      <c r="G2020" s="209" t="s">
        <v>21</v>
      </c>
      <c r="H2020" s="209" t="s">
        <v>192</v>
      </c>
      <c r="I2020" s="210"/>
    </row>
    <row r="2021" spans="1:9" x14ac:dyDescent="0.25">
      <c r="A2021" s="74"/>
      <c r="B2021" s="45">
        <v>172</v>
      </c>
      <c r="C2021" s="64" t="s">
        <v>584</v>
      </c>
      <c r="D2021" s="74"/>
      <c r="E2021" s="208" t="s">
        <v>135</v>
      </c>
      <c r="F2021" s="209" t="s">
        <v>21</v>
      </c>
      <c r="G2021" s="209" t="s">
        <v>21</v>
      </c>
      <c r="H2021" s="209" t="s">
        <v>192</v>
      </c>
      <c r="I2021" s="210"/>
    </row>
    <row r="2022" spans="1:9" x14ac:dyDescent="0.25">
      <c r="A2022" s="74"/>
      <c r="B2022" s="45">
        <v>174</v>
      </c>
      <c r="C2022" s="64" t="s">
        <v>586</v>
      </c>
      <c r="D2022" s="74"/>
      <c r="E2022" s="208" t="s">
        <v>135</v>
      </c>
      <c r="F2022" s="209" t="s">
        <v>21</v>
      </c>
      <c r="G2022" s="209" t="s">
        <v>21</v>
      </c>
      <c r="H2022" s="209" t="s">
        <v>192</v>
      </c>
      <c r="I2022" s="210"/>
    </row>
    <row r="2023" spans="1:9" x14ac:dyDescent="0.25">
      <c r="A2023" s="74"/>
      <c r="B2023" s="45">
        <v>177</v>
      </c>
      <c r="C2023" s="64" t="s">
        <v>589</v>
      </c>
      <c r="D2023" s="74"/>
      <c r="E2023" s="208" t="s">
        <v>135</v>
      </c>
      <c r="F2023" s="209" t="s">
        <v>21</v>
      </c>
      <c r="G2023" s="209" t="s">
        <v>21</v>
      </c>
      <c r="H2023" s="209" t="s">
        <v>192</v>
      </c>
      <c r="I2023" s="210"/>
    </row>
    <row r="2024" spans="1:9" x14ac:dyDescent="0.25">
      <c r="A2024" s="74"/>
      <c r="B2024" s="45">
        <v>1258</v>
      </c>
      <c r="C2024" s="64" t="s">
        <v>1660</v>
      </c>
      <c r="D2024" s="74"/>
      <c r="E2024" s="208" t="s">
        <v>135</v>
      </c>
      <c r="F2024" s="209" t="s">
        <v>21</v>
      </c>
      <c r="G2024" s="209" t="s">
        <v>21</v>
      </c>
      <c r="H2024" s="209" t="s">
        <v>272</v>
      </c>
      <c r="I2024" s="210"/>
    </row>
    <row r="2025" spans="1:9" x14ac:dyDescent="0.25">
      <c r="A2025" s="74"/>
      <c r="B2025" s="45">
        <v>1260</v>
      </c>
      <c r="C2025" s="64" t="s">
        <v>1662</v>
      </c>
      <c r="D2025" s="74"/>
      <c r="E2025" s="208" t="s">
        <v>135</v>
      </c>
      <c r="F2025" s="209" t="s">
        <v>21</v>
      </c>
      <c r="G2025" s="209" t="s">
        <v>21</v>
      </c>
      <c r="H2025" s="209" t="s">
        <v>272</v>
      </c>
      <c r="I2025" s="210"/>
    </row>
    <row r="2026" spans="1:9" x14ac:dyDescent="0.25">
      <c r="A2026" s="74"/>
      <c r="B2026" s="45">
        <v>1267</v>
      </c>
      <c r="C2026" s="64" t="s">
        <v>1669</v>
      </c>
      <c r="D2026" s="74"/>
      <c r="E2026" s="208" t="s">
        <v>135</v>
      </c>
      <c r="F2026" s="209" t="s">
        <v>21</v>
      </c>
      <c r="G2026" s="209" t="s">
        <v>21</v>
      </c>
      <c r="H2026" s="209" t="s">
        <v>272</v>
      </c>
      <c r="I2026" s="210"/>
    </row>
    <row r="2027" spans="1:9" x14ac:dyDescent="0.25">
      <c r="A2027" s="74"/>
      <c r="B2027" s="45">
        <v>1268</v>
      </c>
      <c r="C2027" s="64" t="s">
        <v>1670</v>
      </c>
      <c r="D2027" s="74"/>
      <c r="E2027" s="208" t="s">
        <v>135</v>
      </c>
      <c r="F2027" s="209" t="s">
        <v>21</v>
      </c>
      <c r="G2027" s="209" t="s">
        <v>21</v>
      </c>
      <c r="H2027" s="209" t="s">
        <v>272</v>
      </c>
      <c r="I2027" s="210"/>
    </row>
    <row r="2028" spans="1:9" x14ac:dyDescent="0.25">
      <c r="A2028" s="74"/>
      <c r="B2028" s="45">
        <v>1258</v>
      </c>
      <c r="C2028" s="64" t="s">
        <v>1660</v>
      </c>
      <c r="D2028" s="74"/>
      <c r="E2028" s="208" t="s">
        <v>135</v>
      </c>
      <c r="F2028" s="209" t="s">
        <v>21</v>
      </c>
      <c r="G2028" s="209" t="s">
        <v>21</v>
      </c>
      <c r="H2028" s="209" t="s">
        <v>272</v>
      </c>
      <c r="I2028" s="210"/>
    </row>
    <row r="2029" spans="1:9" x14ac:dyDescent="0.25">
      <c r="A2029" s="74"/>
      <c r="B2029" s="45">
        <v>1260</v>
      </c>
      <c r="C2029" s="64" t="s">
        <v>1662</v>
      </c>
      <c r="D2029" s="74"/>
      <c r="E2029" s="208" t="s">
        <v>135</v>
      </c>
      <c r="F2029" s="209" t="s">
        <v>21</v>
      </c>
      <c r="G2029" s="209" t="s">
        <v>21</v>
      </c>
      <c r="H2029" s="209" t="s">
        <v>272</v>
      </c>
      <c r="I2029" s="210"/>
    </row>
    <row r="2030" spans="1:9" x14ac:dyDescent="0.25">
      <c r="A2030" s="74"/>
      <c r="B2030" s="45">
        <v>176</v>
      </c>
      <c r="C2030" s="64" t="s">
        <v>588</v>
      </c>
      <c r="D2030" s="74"/>
      <c r="E2030" s="208" t="s">
        <v>135</v>
      </c>
      <c r="F2030" s="209" t="s">
        <v>21</v>
      </c>
      <c r="G2030" s="209" t="s">
        <v>21</v>
      </c>
      <c r="H2030" s="209" t="s">
        <v>272</v>
      </c>
      <c r="I2030" s="210"/>
    </row>
    <row r="2031" spans="1:9" x14ac:dyDescent="0.25">
      <c r="A2031" s="74"/>
      <c r="B2031" s="45">
        <v>1267</v>
      </c>
      <c r="C2031" s="64" t="s">
        <v>1669</v>
      </c>
      <c r="D2031" s="74"/>
      <c r="E2031" s="208" t="s">
        <v>135</v>
      </c>
      <c r="F2031" s="209" t="s">
        <v>21</v>
      </c>
      <c r="G2031" s="209" t="s">
        <v>21</v>
      </c>
      <c r="H2031" s="209" t="s">
        <v>272</v>
      </c>
      <c r="I2031" s="210"/>
    </row>
    <row r="2032" spans="1:9" x14ac:dyDescent="0.25">
      <c r="A2032" s="74"/>
      <c r="B2032" s="45">
        <v>1268</v>
      </c>
      <c r="C2032" s="64" t="s">
        <v>1670</v>
      </c>
      <c r="D2032" s="74"/>
      <c r="E2032" s="208" t="s">
        <v>135</v>
      </c>
      <c r="F2032" s="209" t="s">
        <v>21</v>
      </c>
      <c r="G2032" s="209" t="s">
        <v>21</v>
      </c>
      <c r="H2032" s="209" t="s">
        <v>272</v>
      </c>
      <c r="I2032" s="210"/>
    </row>
    <row r="2033" spans="1:9" x14ac:dyDescent="0.25">
      <c r="A2033" s="74"/>
      <c r="B2033" s="45">
        <v>1258</v>
      </c>
      <c r="C2033" s="64" t="s">
        <v>1660</v>
      </c>
      <c r="D2033" s="74"/>
      <c r="E2033" s="208" t="s">
        <v>135</v>
      </c>
      <c r="F2033" s="209" t="s">
        <v>21</v>
      </c>
      <c r="G2033" s="209" t="s">
        <v>21</v>
      </c>
      <c r="H2033" s="209" t="s">
        <v>272</v>
      </c>
      <c r="I2033" s="210"/>
    </row>
    <row r="2034" spans="1:9" x14ac:dyDescent="0.25">
      <c r="A2034" s="74"/>
      <c r="B2034" s="45">
        <v>1260</v>
      </c>
      <c r="C2034" s="64" t="s">
        <v>1662</v>
      </c>
      <c r="D2034" s="74"/>
      <c r="E2034" s="208" t="s">
        <v>135</v>
      </c>
      <c r="F2034" s="209" t="s">
        <v>21</v>
      </c>
      <c r="G2034" s="209" t="s">
        <v>21</v>
      </c>
      <c r="H2034" s="209" t="s">
        <v>272</v>
      </c>
      <c r="I2034" s="210"/>
    </row>
    <row r="2035" spans="1:9" x14ac:dyDescent="0.25">
      <c r="A2035" s="74"/>
      <c r="B2035" s="45">
        <v>176</v>
      </c>
      <c r="C2035" s="64" t="s">
        <v>588</v>
      </c>
      <c r="D2035" s="74"/>
      <c r="E2035" s="208" t="s">
        <v>135</v>
      </c>
      <c r="F2035" s="209" t="s">
        <v>21</v>
      </c>
      <c r="G2035" s="209" t="s">
        <v>21</v>
      </c>
      <c r="H2035" s="209" t="s">
        <v>272</v>
      </c>
      <c r="I2035" s="210"/>
    </row>
    <row r="2036" spans="1:9" x14ac:dyDescent="0.25">
      <c r="A2036" s="74"/>
      <c r="B2036" s="45">
        <v>170</v>
      </c>
      <c r="C2036" s="64" t="s">
        <v>582</v>
      </c>
      <c r="D2036" s="74"/>
      <c r="E2036" s="208" t="s">
        <v>135</v>
      </c>
      <c r="F2036" s="209" t="s">
        <v>21</v>
      </c>
      <c r="G2036" s="209" t="s">
        <v>21</v>
      </c>
      <c r="H2036" s="209" t="s">
        <v>272</v>
      </c>
      <c r="I2036" s="210"/>
    </row>
    <row r="2037" spans="1:9" x14ac:dyDescent="0.25">
      <c r="A2037" s="74"/>
      <c r="B2037" s="45">
        <v>1269</v>
      </c>
      <c r="C2037" s="64" t="s">
        <v>1671</v>
      </c>
      <c r="D2037" s="74"/>
      <c r="E2037" s="208" t="s">
        <v>277</v>
      </c>
      <c r="F2037" s="209" t="s">
        <v>21</v>
      </c>
      <c r="G2037" s="209" t="s">
        <v>21</v>
      </c>
      <c r="H2037" s="209" t="s">
        <v>16</v>
      </c>
      <c r="I2037" s="210"/>
    </row>
    <row r="2038" spans="1:9" x14ac:dyDescent="0.25">
      <c r="A2038" s="74"/>
      <c r="B2038" s="45">
        <v>1270</v>
      </c>
      <c r="C2038" s="64" t="s">
        <v>1672</v>
      </c>
      <c r="D2038" s="74"/>
      <c r="E2038" s="208" t="s">
        <v>135</v>
      </c>
      <c r="F2038" s="209" t="s">
        <v>21</v>
      </c>
      <c r="G2038" s="209" t="s">
        <v>21</v>
      </c>
      <c r="H2038" s="209" t="s">
        <v>272</v>
      </c>
      <c r="I2038" s="210"/>
    </row>
    <row r="2039" spans="1:9" x14ac:dyDescent="0.25">
      <c r="A2039" s="74"/>
      <c r="B2039" s="45">
        <v>182</v>
      </c>
      <c r="C2039" s="64" t="s">
        <v>594</v>
      </c>
      <c r="D2039" s="74"/>
      <c r="E2039" s="208" t="s">
        <v>135</v>
      </c>
      <c r="F2039" s="209" t="s">
        <v>21</v>
      </c>
      <c r="G2039" s="209" t="s">
        <v>21</v>
      </c>
      <c r="H2039" s="209" t="s">
        <v>192</v>
      </c>
      <c r="I2039" s="210"/>
    </row>
    <row r="2040" spans="1:9" x14ac:dyDescent="0.25">
      <c r="A2040" s="74"/>
      <c r="B2040" s="45">
        <v>1271</v>
      </c>
      <c r="C2040" s="64" t="s">
        <v>1673</v>
      </c>
      <c r="D2040" s="74"/>
      <c r="E2040" s="208" t="s">
        <v>135</v>
      </c>
      <c r="F2040" s="209" t="s">
        <v>21</v>
      </c>
      <c r="G2040" s="209" t="s">
        <v>21</v>
      </c>
      <c r="H2040" s="209" t="s">
        <v>272</v>
      </c>
      <c r="I2040" s="210"/>
    </row>
    <row r="2041" spans="1:9" x14ac:dyDescent="0.25">
      <c r="A2041" s="74"/>
      <c r="B2041" s="45">
        <v>1270</v>
      </c>
      <c r="C2041" s="64" t="s">
        <v>1672</v>
      </c>
      <c r="D2041" s="74"/>
      <c r="E2041" s="208" t="s">
        <v>135</v>
      </c>
      <c r="F2041" s="209" t="s">
        <v>21</v>
      </c>
      <c r="G2041" s="209" t="s">
        <v>21</v>
      </c>
      <c r="H2041" s="209" t="s">
        <v>272</v>
      </c>
      <c r="I2041" s="210"/>
    </row>
    <row r="2042" spans="1:9" x14ac:dyDescent="0.25">
      <c r="A2042" s="74"/>
      <c r="B2042" s="45">
        <v>181</v>
      </c>
      <c r="C2042" s="64" t="s">
        <v>593</v>
      </c>
      <c r="D2042" s="74"/>
      <c r="E2042" s="208" t="s">
        <v>135</v>
      </c>
      <c r="F2042" s="209" t="s">
        <v>21</v>
      </c>
      <c r="G2042" s="209" t="s">
        <v>21</v>
      </c>
      <c r="H2042" s="209" t="s">
        <v>272</v>
      </c>
      <c r="I2042" s="210"/>
    </row>
    <row r="2043" spans="1:9" x14ac:dyDescent="0.25">
      <c r="A2043" s="74"/>
      <c r="B2043" s="45">
        <v>1272</v>
      </c>
      <c r="C2043" s="64" t="s">
        <v>1674</v>
      </c>
      <c r="D2043" s="74"/>
      <c r="E2043" s="208" t="s">
        <v>135</v>
      </c>
      <c r="F2043" s="209" t="s">
        <v>21</v>
      </c>
      <c r="G2043" s="209" t="s">
        <v>21</v>
      </c>
      <c r="H2043" s="209" t="s">
        <v>272</v>
      </c>
      <c r="I2043" s="210"/>
    </row>
    <row r="2044" spans="1:9" x14ac:dyDescent="0.25">
      <c r="A2044" s="74"/>
      <c r="B2044" s="45">
        <v>1266</v>
      </c>
      <c r="C2044" s="64" t="s">
        <v>1668</v>
      </c>
      <c r="D2044" s="74"/>
      <c r="E2044" s="208" t="s">
        <v>135</v>
      </c>
      <c r="F2044" s="209" t="s">
        <v>21</v>
      </c>
      <c r="G2044" s="209" t="s">
        <v>21</v>
      </c>
      <c r="H2044" s="209" t="s">
        <v>272</v>
      </c>
      <c r="I2044" s="210"/>
    </row>
    <row r="2045" spans="1:9" x14ac:dyDescent="0.25">
      <c r="A2045" s="74"/>
      <c r="B2045" s="45">
        <v>1273</v>
      </c>
      <c r="C2045" s="64" t="s">
        <v>1675</v>
      </c>
      <c r="D2045" s="74"/>
      <c r="E2045" s="208" t="s">
        <v>135</v>
      </c>
      <c r="F2045" s="209" t="s">
        <v>21</v>
      </c>
      <c r="G2045" s="209" t="s">
        <v>21</v>
      </c>
      <c r="H2045" s="209" t="s">
        <v>272</v>
      </c>
      <c r="I2045" s="210"/>
    </row>
    <row r="2046" spans="1:9" x14ac:dyDescent="0.25">
      <c r="A2046" s="74"/>
      <c r="B2046" s="45">
        <v>1270</v>
      </c>
      <c r="C2046" s="64" t="s">
        <v>1672</v>
      </c>
      <c r="D2046" s="74"/>
      <c r="E2046" s="208" t="s">
        <v>135</v>
      </c>
      <c r="F2046" s="209" t="s">
        <v>21</v>
      </c>
      <c r="G2046" s="209" t="s">
        <v>21</v>
      </c>
      <c r="H2046" s="209" t="s">
        <v>272</v>
      </c>
      <c r="I2046" s="210"/>
    </row>
    <row r="2047" spans="1:9" x14ac:dyDescent="0.25">
      <c r="A2047" s="74"/>
      <c r="B2047" s="45">
        <v>181</v>
      </c>
      <c r="C2047" s="64" t="s">
        <v>593</v>
      </c>
      <c r="D2047" s="74"/>
      <c r="E2047" s="208" t="s">
        <v>135</v>
      </c>
      <c r="F2047" s="209" t="s">
        <v>21</v>
      </c>
      <c r="G2047" s="209" t="s">
        <v>21</v>
      </c>
      <c r="H2047" s="209" t="s">
        <v>272</v>
      </c>
      <c r="I2047" s="210"/>
    </row>
    <row r="2048" spans="1:9" x14ac:dyDescent="0.25">
      <c r="A2048" s="74"/>
      <c r="B2048" s="45">
        <v>1272</v>
      </c>
      <c r="C2048" s="64" t="s">
        <v>1674</v>
      </c>
      <c r="D2048" s="74"/>
      <c r="E2048" s="208" t="s">
        <v>135</v>
      </c>
      <c r="F2048" s="209" t="s">
        <v>21</v>
      </c>
      <c r="G2048" s="209" t="s">
        <v>21</v>
      </c>
      <c r="H2048" s="209" t="s">
        <v>272</v>
      </c>
      <c r="I2048" s="210"/>
    </row>
    <row r="2049" spans="1:9" x14ac:dyDescent="0.25">
      <c r="A2049" s="74"/>
      <c r="B2049" s="45">
        <v>1266</v>
      </c>
      <c r="C2049" s="64" t="s">
        <v>1668</v>
      </c>
      <c r="D2049" s="74"/>
      <c r="E2049" s="208" t="s">
        <v>135</v>
      </c>
      <c r="F2049" s="209" t="s">
        <v>21</v>
      </c>
      <c r="G2049" s="209" t="s">
        <v>21</v>
      </c>
      <c r="H2049" s="209" t="s">
        <v>272</v>
      </c>
      <c r="I2049" s="210"/>
    </row>
    <row r="2050" spans="1:9" x14ac:dyDescent="0.25">
      <c r="A2050" s="74"/>
      <c r="B2050" s="45">
        <v>1273</v>
      </c>
      <c r="C2050" s="64" t="s">
        <v>1675</v>
      </c>
      <c r="D2050" s="74"/>
      <c r="E2050" s="208" t="s">
        <v>135</v>
      </c>
      <c r="F2050" s="209" t="s">
        <v>21</v>
      </c>
      <c r="G2050" s="209" t="s">
        <v>21</v>
      </c>
      <c r="H2050" s="209" t="s">
        <v>272</v>
      </c>
      <c r="I2050" s="210"/>
    </row>
    <row r="2051" spans="1:9" x14ac:dyDescent="0.25">
      <c r="A2051" s="74"/>
      <c r="B2051" s="45">
        <v>1270</v>
      </c>
      <c r="C2051" s="64" t="s">
        <v>1672</v>
      </c>
      <c r="D2051" s="74"/>
      <c r="E2051" s="208" t="s">
        <v>135</v>
      </c>
      <c r="F2051" s="209" t="s">
        <v>21</v>
      </c>
      <c r="G2051" s="209" t="s">
        <v>21</v>
      </c>
      <c r="H2051" s="209" t="s">
        <v>272</v>
      </c>
      <c r="I2051" s="210"/>
    </row>
    <row r="2052" spans="1:9" x14ac:dyDescent="0.25">
      <c r="A2052" s="74"/>
      <c r="B2052" s="45">
        <v>181</v>
      </c>
      <c r="C2052" s="64" t="s">
        <v>593</v>
      </c>
      <c r="D2052" s="74"/>
      <c r="E2052" s="208" t="s">
        <v>135</v>
      </c>
      <c r="F2052" s="209" t="s">
        <v>21</v>
      </c>
      <c r="G2052" s="209" t="s">
        <v>21</v>
      </c>
      <c r="H2052" s="209" t="s">
        <v>272</v>
      </c>
      <c r="I2052" s="210"/>
    </row>
    <row r="2053" spans="1:9" x14ac:dyDescent="0.25">
      <c r="A2053" s="74"/>
      <c r="B2053" s="45">
        <v>1272</v>
      </c>
      <c r="C2053" s="64" t="s">
        <v>1674</v>
      </c>
      <c r="D2053" s="74"/>
      <c r="E2053" s="208" t="s">
        <v>135</v>
      </c>
      <c r="F2053" s="209" t="s">
        <v>21</v>
      </c>
      <c r="G2053" s="209" t="s">
        <v>21</v>
      </c>
      <c r="H2053" s="209" t="s">
        <v>272</v>
      </c>
      <c r="I2053" s="210"/>
    </row>
    <row r="2054" spans="1:9" x14ac:dyDescent="0.25">
      <c r="A2054" s="74"/>
      <c r="B2054" s="45">
        <v>1266</v>
      </c>
      <c r="C2054" s="64" t="s">
        <v>1668</v>
      </c>
      <c r="D2054" s="74"/>
      <c r="E2054" s="208" t="s">
        <v>135</v>
      </c>
      <c r="F2054" s="209" t="s">
        <v>21</v>
      </c>
      <c r="G2054" s="209" t="s">
        <v>21</v>
      </c>
      <c r="H2054" s="209" t="s">
        <v>272</v>
      </c>
      <c r="I2054" s="210"/>
    </row>
    <row r="2055" spans="1:9" x14ac:dyDescent="0.25">
      <c r="A2055" s="74"/>
      <c r="B2055" s="45">
        <v>1273</v>
      </c>
      <c r="C2055" s="64" t="s">
        <v>1675</v>
      </c>
      <c r="D2055" s="74"/>
      <c r="E2055" s="208" t="s">
        <v>135</v>
      </c>
      <c r="F2055" s="209" t="s">
        <v>21</v>
      </c>
      <c r="G2055" s="209" t="s">
        <v>21</v>
      </c>
      <c r="H2055" s="209" t="s">
        <v>272</v>
      </c>
      <c r="I2055" s="210"/>
    </row>
    <row r="2056" spans="1:9" x14ac:dyDescent="0.25">
      <c r="A2056" s="74"/>
      <c r="B2056" s="45">
        <v>1270</v>
      </c>
      <c r="C2056" s="64" t="s">
        <v>1672</v>
      </c>
      <c r="D2056" s="74"/>
      <c r="E2056" s="208" t="s">
        <v>135</v>
      </c>
      <c r="F2056" s="209" t="s">
        <v>21</v>
      </c>
      <c r="G2056" s="209" t="s">
        <v>21</v>
      </c>
      <c r="H2056" s="209" t="s">
        <v>272</v>
      </c>
      <c r="I2056" s="210"/>
    </row>
    <row r="2057" spans="1:9" x14ac:dyDescent="0.25">
      <c r="A2057" s="74"/>
      <c r="B2057" s="45">
        <v>181</v>
      </c>
      <c r="C2057" s="64" t="s">
        <v>593</v>
      </c>
      <c r="D2057" s="74"/>
      <c r="E2057" s="208" t="s">
        <v>135</v>
      </c>
      <c r="F2057" s="209" t="s">
        <v>21</v>
      </c>
      <c r="G2057" s="209" t="s">
        <v>21</v>
      </c>
      <c r="H2057" s="209" t="s">
        <v>272</v>
      </c>
      <c r="I2057" s="210"/>
    </row>
    <row r="2058" spans="1:9" x14ac:dyDescent="0.25">
      <c r="A2058" s="74"/>
      <c r="B2058" s="45">
        <v>1272</v>
      </c>
      <c r="C2058" s="64" t="s">
        <v>1674</v>
      </c>
      <c r="D2058" s="74"/>
      <c r="E2058" s="208" t="s">
        <v>135</v>
      </c>
      <c r="F2058" s="209" t="s">
        <v>21</v>
      </c>
      <c r="G2058" s="209" t="s">
        <v>21</v>
      </c>
      <c r="H2058" s="209" t="s">
        <v>272</v>
      </c>
      <c r="I2058" s="210"/>
    </row>
    <row r="2059" spans="1:9" x14ac:dyDescent="0.25">
      <c r="A2059" s="74"/>
      <c r="B2059" s="45">
        <v>1266</v>
      </c>
      <c r="C2059" s="64" t="s">
        <v>1668</v>
      </c>
      <c r="D2059" s="74"/>
      <c r="E2059" s="208" t="s">
        <v>135</v>
      </c>
      <c r="F2059" s="209" t="s">
        <v>21</v>
      </c>
      <c r="G2059" s="209" t="s">
        <v>21</v>
      </c>
      <c r="H2059" s="209" t="s">
        <v>272</v>
      </c>
      <c r="I2059" s="210"/>
    </row>
    <row r="2060" spans="1:9" x14ac:dyDescent="0.25">
      <c r="A2060" s="74"/>
      <c r="B2060" s="45">
        <v>1273</v>
      </c>
      <c r="C2060" s="64" t="s">
        <v>1675</v>
      </c>
      <c r="D2060" s="74"/>
      <c r="E2060" s="208" t="s">
        <v>135</v>
      </c>
      <c r="F2060" s="209" t="s">
        <v>21</v>
      </c>
      <c r="G2060" s="209" t="s">
        <v>21</v>
      </c>
      <c r="H2060" s="209" t="s">
        <v>272</v>
      </c>
      <c r="I2060" s="210"/>
    </row>
    <row r="2061" spans="1:9" x14ac:dyDescent="0.25">
      <c r="A2061" s="74"/>
      <c r="B2061" s="45">
        <v>1274</v>
      </c>
      <c r="C2061" s="64" t="s">
        <v>1676</v>
      </c>
      <c r="D2061" s="74"/>
      <c r="E2061" s="208" t="s">
        <v>135</v>
      </c>
      <c r="F2061" s="209" t="s">
        <v>21</v>
      </c>
      <c r="G2061" s="209" t="s">
        <v>21</v>
      </c>
      <c r="H2061" s="209" t="s">
        <v>272</v>
      </c>
      <c r="I2061" s="210"/>
    </row>
    <row r="2062" spans="1:9" x14ac:dyDescent="0.25">
      <c r="A2062" s="74"/>
      <c r="B2062" s="45">
        <v>181</v>
      </c>
      <c r="C2062" s="64" t="s">
        <v>593</v>
      </c>
      <c r="D2062" s="74"/>
      <c r="E2062" s="208" t="s">
        <v>135</v>
      </c>
      <c r="F2062" s="209" t="s">
        <v>21</v>
      </c>
      <c r="G2062" s="209" t="s">
        <v>21</v>
      </c>
      <c r="H2062" s="209" t="s">
        <v>191</v>
      </c>
      <c r="I2062" s="210"/>
    </row>
    <row r="2063" spans="1:9" x14ac:dyDescent="0.25">
      <c r="A2063" s="74"/>
      <c r="B2063" s="45">
        <v>185</v>
      </c>
      <c r="C2063" s="64" t="s">
        <v>597</v>
      </c>
      <c r="D2063" s="74"/>
      <c r="E2063" s="208" t="s">
        <v>135</v>
      </c>
      <c r="F2063" s="209" t="s">
        <v>21</v>
      </c>
      <c r="G2063" s="209" t="s">
        <v>21</v>
      </c>
      <c r="H2063" s="209" t="s">
        <v>189</v>
      </c>
      <c r="I2063" s="210"/>
    </row>
    <row r="2064" spans="1:9" x14ac:dyDescent="0.25">
      <c r="A2064" s="74"/>
      <c r="B2064" s="45">
        <v>194</v>
      </c>
      <c r="C2064" s="64" t="s">
        <v>606</v>
      </c>
      <c r="D2064" s="74"/>
      <c r="E2064" s="208" t="s">
        <v>135</v>
      </c>
      <c r="F2064" s="209" t="s">
        <v>21</v>
      </c>
      <c r="G2064" s="209" t="s">
        <v>21</v>
      </c>
      <c r="H2064" s="209" t="s">
        <v>189</v>
      </c>
      <c r="I2064" s="210"/>
    </row>
    <row r="2065" spans="1:9" x14ac:dyDescent="0.25">
      <c r="A2065" s="74"/>
      <c r="B2065" s="45">
        <v>198</v>
      </c>
      <c r="C2065" s="64" t="s">
        <v>610</v>
      </c>
      <c r="D2065" s="74"/>
      <c r="E2065" s="208" t="s">
        <v>135</v>
      </c>
      <c r="F2065" s="209" t="s">
        <v>21</v>
      </c>
      <c r="G2065" s="209" t="s">
        <v>21</v>
      </c>
      <c r="H2065" s="209" t="s">
        <v>192</v>
      </c>
      <c r="I2065" s="210"/>
    </row>
    <row r="2066" spans="1:9" x14ac:dyDescent="0.25">
      <c r="A2066" s="74"/>
      <c r="B2066" s="45">
        <v>1275</v>
      </c>
      <c r="C2066" s="64" t="s">
        <v>1677</v>
      </c>
      <c r="D2066" s="74"/>
      <c r="E2066" s="208" t="s">
        <v>135</v>
      </c>
      <c r="F2066" s="209" t="s">
        <v>21</v>
      </c>
      <c r="G2066" s="209" t="s">
        <v>21</v>
      </c>
      <c r="H2066" s="209" t="s">
        <v>272</v>
      </c>
      <c r="I2066" s="210"/>
    </row>
    <row r="2067" spans="1:9" x14ac:dyDescent="0.25">
      <c r="A2067" s="74"/>
      <c r="B2067" s="45">
        <v>1275</v>
      </c>
      <c r="C2067" s="64" t="s">
        <v>1677</v>
      </c>
      <c r="D2067" s="74"/>
      <c r="E2067" s="208" t="s">
        <v>135</v>
      </c>
      <c r="F2067" s="209" t="s">
        <v>21</v>
      </c>
      <c r="G2067" s="209" t="s">
        <v>21</v>
      </c>
      <c r="H2067" s="209" t="s">
        <v>272</v>
      </c>
      <c r="I2067" s="210"/>
    </row>
    <row r="2068" spans="1:9" x14ac:dyDescent="0.25">
      <c r="A2068" s="74"/>
      <c r="B2068" s="45">
        <v>1276</v>
      </c>
      <c r="C2068" s="64" t="s">
        <v>1678</v>
      </c>
      <c r="D2068" s="74"/>
      <c r="E2068" s="208" t="s">
        <v>135</v>
      </c>
      <c r="F2068" s="209" t="s">
        <v>21</v>
      </c>
      <c r="G2068" s="209" t="s">
        <v>21</v>
      </c>
      <c r="H2068" s="209" t="s">
        <v>272</v>
      </c>
      <c r="I2068" s="210"/>
    </row>
    <row r="2069" spans="1:9" x14ac:dyDescent="0.25">
      <c r="A2069" s="74"/>
      <c r="B2069" s="45">
        <v>1277</v>
      </c>
      <c r="C2069" s="64" t="s">
        <v>1679</v>
      </c>
      <c r="D2069" s="74"/>
      <c r="E2069" s="208" t="s">
        <v>135</v>
      </c>
      <c r="F2069" s="209" t="s">
        <v>21</v>
      </c>
      <c r="G2069" s="209" t="s">
        <v>21</v>
      </c>
      <c r="H2069" s="209" t="s">
        <v>272</v>
      </c>
      <c r="I2069" s="210"/>
    </row>
    <row r="2070" spans="1:9" x14ac:dyDescent="0.25">
      <c r="A2070" s="74"/>
      <c r="B2070" s="45">
        <v>1278</v>
      </c>
      <c r="C2070" s="64" t="s">
        <v>1680</v>
      </c>
      <c r="D2070" s="74"/>
      <c r="E2070" s="208" t="s">
        <v>135</v>
      </c>
      <c r="F2070" s="209" t="s">
        <v>21</v>
      </c>
      <c r="G2070" s="209" t="s">
        <v>21</v>
      </c>
      <c r="H2070" s="209" t="s">
        <v>272</v>
      </c>
      <c r="I2070" s="210"/>
    </row>
    <row r="2071" spans="1:9" x14ac:dyDescent="0.25">
      <c r="A2071" s="74"/>
      <c r="B2071" s="45">
        <v>1279</v>
      </c>
      <c r="C2071" s="64" t="s">
        <v>1681</v>
      </c>
      <c r="D2071" s="74"/>
      <c r="E2071" s="208" t="s">
        <v>135</v>
      </c>
      <c r="F2071" s="209" t="s">
        <v>21</v>
      </c>
      <c r="G2071" s="209" t="s">
        <v>21</v>
      </c>
      <c r="H2071" s="209" t="s">
        <v>272</v>
      </c>
      <c r="I2071" s="210"/>
    </row>
    <row r="2072" spans="1:9" x14ac:dyDescent="0.25">
      <c r="A2072" s="74"/>
      <c r="B2072" s="45">
        <v>1280</v>
      </c>
      <c r="C2072" s="64" t="s">
        <v>1682</v>
      </c>
      <c r="D2072" s="74"/>
      <c r="E2072" s="208" t="s">
        <v>135</v>
      </c>
      <c r="F2072" s="209" t="s">
        <v>21</v>
      </c>
      <c r="G2072" s="209" t="s">
        <v>21</v>
      </c>
      <c r="H2072" s="209" t="s">
        <v>272</v>
      </c>
      <c r="I2072" s="210"/>
    </row>
    <row r="2073" spans="1:9" x14ac:dyDescent="0.25">
      <c r="A2073" s="74"/>
      <c r="B2073" s="45">
        <v>1241</v>
      </c>
      <c r="C2073" s="64" t="s">
        <v>1645</v>
      </c>
      <c r="D2073" s="74"/>
      <c r="E2073" s="208" t="s">
        <v>135</v>
      </c>
      <c r="F2073" s="209" t="s">
        <v>21</v>
      </c>
      <c r="G2073" s="209" t="s">
        <v>21</v>
      </c>
      <c r="H2073" s="209" t="s">
        <v>272</v>
      </c>
      <c r="I2073" s="210"/>
    </row>
    <row r="2074" spans="1:9" x14ac:dyDescent="0.25">
      <c r="A2074" s="74"/>
      <c r="B2074" s="45">
        <v>258</v>
      </c>
      <c r="C2074" s="64" t="s">
        <v>670</v>
      </c>
      <c r="D2074" s="74"/>
      <c r="E2074" s="208" t="s">
        <v>176</v>
      </c>
      <c r="F2074" s="209" t="s">
        <v>21</v>
      </c>
      <c r="G2074" s="209" t="s">
        <v>21</v>
      </c>
      <c r="H2074" s="209" t="s">
        <v>192</v>
      </c>
      <c r="I2074" s="210"/>
    </row>
    <row r="2075" spans="1:9" x14ac:dyDescent="0.25">
      <c r="A2075" s="74"/>
      <c r="B2075" s="45">
        <v>1281</v>
      </c>
      <c r="C2075" s="64" t="s">
        <v>1683</v>
      </c>
      <c r="D2075" s="74"/>
      <c r="E2075" s="208" t="s">
        <v>135</v>
      </c>
      <c r="F2075" s="209" t="s">
        <v>21</v>
      </c>
      <c r="G2075" s="209" t="s">
        <v>21</v>
      </c>
      <c r="H2075" s="209" t="s">
        <v>272</v>
      </c>
      <c r="I2075" s="210"/>
    </row>
    <row r="2076" spans="1:9" x14ac:dyDescent="0.25">
      <c r="A2076" s="74"/>
      <c r="B2076" s="45">
        <v>1282</v>
      </c>
      <c r="C2076" s="64" t="s">
        <v>1684</v>
      </c>
      <c r="D2076" s="74"/>
      <c r="E2076" s="208" t="s">
        <v>135</v>
      </c>
      <c r="F2076" s="209" t="s">
        <v>21</v>
      </c>
      <c r="G2076" s="209" t="s">
        <v>21</v>
      </c>
      <c r="H2076" s="209" t="s">
        <v>272</v>
      </c>
      <c r="I2076" s="210"/>
    </row>
    <row r="2077" spans="1:9" x14ac:dyDescent="0.25">
      <c r="A2077" s="74"/>
      <c r="B2077" s="45">
        <v>1283</v>
      </c>
      <c r="C2077" s="64" t="s">
        <v>1685</v>
      </c>
      <c r="D2077" s="74"/>
      <c r="E2077" s="208" t="s">
        <v>135</v>
      </c>
      <c r="F2077" s="209" t="s">
        <v>21</v>
      </c>
      <c r="G2077" s="209" t="s">
        <v>21</v>
      </c>
      <c r="H2077" s="209" t="s">
        <v>192</v>
      </c>
      <c r="I2077" s="210"/>
    </row>
    <row r="2078" spans="1:9" x14ac:dyDescent="0.25">
      <c r="A2078" s="74"/>
      <c r="B2078" s="45">
        <v>1276</v>
      </c>
      <c r="C2078" s="64" t="s">
        <v>1678</v>
      </c>
      <c r="D2078" s="74"/>
      <c r="E2078" s="208" t="s">
        <v>135</v>
      </c>
      <c r="F2078" s="209" t="s">
        <v>21</v>
      </c>
      <c r="G2078" s="209" t="s">
        <v>21</v>
      </c>
      <c r="H2078" s="209" t="s">
        <v>272</v>
      </c>
      <c r="I2078" s="210"/>
    </row>
    <row r="2079" spans="1:9" x14ac:dyDescent="0.25">
      <c r="A2079" s="74"/>
      <c r="B2079" s="45">
        <v>1275</v>
      </c>
      <c r="C2079" s="64" t="s">
        <v>1677</v>
      </c>
      <c r="D2079" s="74"/>
      <c r="E2079" s="208" t="s">
        <v>135</v>
      </c>
      <c r="F2079" s="209" t="s">
        <v>21</v>
      </c>
      <c r="G2079" s="209" t="s">
        <v>21</v>
      </c>
      <c r="H2079" s="209" t="s">
        <v>272</v>
      </c>
      <c r="I2079" s="210"/>
    </row>
    <row r="2080" spans="1:9" x14ac:dyDescent="0.25">
      <c r="A2080" s="74"/>
      <c r="B2080" s="45">
        <v>1277</v>
      </c>
      <c r="C2080" s="64" t="s">
        <v>1679</v>
      </c>
      <c r="D2080" s="74"/>
      <c r="E2080" s="208" t="s">
        <v>135</v>
      </c>
      <c r="F2080" s="209" t="s">
        <v>21</v>
      </c>
      <c r="G2080" s="209" t="s">
        <v>21</v>
      </c>
      <c r="H2080" s="209" t="s">
        <v>272</v>
      </c>
      <c r="I2080" s="210"/>
    </row>
    <row r="2081" spans="1:9" x14ac:dyDescent="0.25">
      <c r="A2081" s="74"/>
      <c r="B2081" s="45">
        <v>1278</v>
      </c>
      <c r="C2081" s="64" t="s">
        <v>1680</v>
      </c>
      <c r="D2081" s="74"/>
      <c r="E2081" s="208" t="s">
        <v>135</v>
      </c>
      <c r="F2081" s="209" t="s">
        <v>21</v>
      </c>
      <c r="G2081" s="209" t="s">
        <v>21</v>
      </c>
      <c r="H2081" s="209" t="s">
        <v>272</v>
      </c>
      <c r="I2081" s="210"/>
    </row>
    <row r="2082" spans="1:9" x14ac:dyDescent="0.25">
      <c r="A2082" s="74"/>
      <c r="B2082" s="45">
        <v>1279</v>
      </c>
      <c r="C2082" s="64" t="s">
        <v>1681</v>
      </c>
      <c r="D2082" s="74"/>
      <c r="E2082" s="208" t="s">
        <v>135</v>
      </c>
      <c r="F2082" s="209" t="s">
        <v>21</v>
      </c>
      <c r="G2082" s="209" t="s">
        <v>21</v>
      </c>
      <c r="H2082" s="209" t="s">
        <v>272</v>
      </c>
      <c r="I2082" s="210"/>
    </row>
    <row r="2083" spans="1:9" x14ac:dyDescent="0.25">
      <c r="A2083" s="74"/>
      <c r="B2083" s="45">
        <v>1280</v>
      </c>
      <c r="C2083" s="64" t="s">
        <v>1682</v>
      </c>
      <c r="D2083" s="74"/>
      <c r="E2083" s="208" t="s">
        <v>135</v>
      </c>
      <c r="F2083" s="209" t="s">
        <v>21</v>
      </c>
      <c r="G2083" s="209" t="s">
        <v>21</v>
      </c>
      <c r="H2083" s="209" t="s">
        <v>272</v>
      </c>
      <c r="I2083" s="210"/>
    </row>
    <row r="2084" spans="1:9" x14ac:dyDescent="0.25">
      <c r="A2084" s="74"/>
      <c r="B2084" s="45">
        <v>1241</v>
      </c>
      <c r="C2084" s="64" t="s">
        <v>1645</v>
      </c>
      <c r="D2084" s="74"/>
      <c r="E2084" s="208" t="s">
        <v>135</v>
      </c>
      <c r="F2084" s="209" t="s">
        <v>21</v>
      </c>
      <c r="G2084" s="209" t="s">
        <v>21</v>
      </c>
      <c r="H2084" s="209" t="s">
        <v>272</v>
      </c>
      <c r="I2084" s="210"/>
    </row>
    <row r="2085" spans="1:9" x14ac:dyDescent="0.25">
      <c r="A2085" s="74"/>
      <c r="B2085" s="45">
        <v>1281</v>
      </c>
      <c r="C2085" s="64" t="s">
        <v>1683</v>
      </c>
      <c r="D2085" s="74"/>
      <c r="E2085" s="208" t="s">
        <v>135</v>
      </c>
      <c r="F2085" s="209" t="s">
        <v>21</v>
      </c>
      <c r="G2085" s="209" t="s">
        <v>21</v>
      </c>
      <c r="H2085" s="209" t="s">
        <v>272</v>
      </c>
      <c r="I2085" s="210"/>
    </row>
    <row r="2086" spans="1:9" x14ac:dyDescent="0.25">
      <c r="A2086" s="74"/>
      <c r="B2086" s="45">
        <v>1282</v>
      </c>
      <c r="C2086" s="64" t="s">
        <v>1684</v>
      </c>
      <c r="D2086" s="74"/>
      <c r="E2086" s="208" t="s">
        <v>135</v>
      </c>
      <c r="F2086" s="209" t="s">
        <v>21</v>
      </c>
      <c r="G2086" s="209" t="s">
        <v>21</v>
      </c>
      <c r="H2086" s="209" t="s">
        <v>272</v>
      </c>
      <c r="I2086" s="210"/>
    </row>
    <row r="2087" spans="1:9" x14ac:dyDescent="0.25">
      <c r="A2087" s="74"/>
      <c r="B2087" s="45">
        <v>258</v>
      </c>
      <c r="C2087" s="64" t="s">
        <v>670</v>
      </c>
      <c r="D2087" s="74"/>
      <c r="E2087" s="208" t="s">
        <v>176</v>
      </c>
      <c r="F2087" s="209" t="s">
        <v>21</v>
      </c>
      <c r="G2087" s="209" t="s">
        <v>21</v>
      </c>
      <c r="H2087" s="209" t="s">
        <v>192</v>
      </c>
      <c r="I2087" s="210"/>
    </row>
    <row r="2088" spans="1:9" x14ac:dyDescent="0.25">
      <c r="A2088" s="74"/>
      <c r="B2088" s="45">
        <v>1283</v>
      </c>
      <c r="C2088" s="64" t="s">
        <v>1685</v>
      </c>
      <c r="D2088" s="74"/>
      <c r="E2088" s="208" t="s">
        <v>135</v>
      </c>
      <c r="F2088" s="209" t="s">
        <v>21</v>
      </c>
      <c r="G2088" s="209" t="s">
        <v>21</v>
      </c>
      <c r="H2088" s="209" t="s">
        <v>192</v>
      </c>
      <c r="I2088" s="210"/>
    </row>
    <row r="2089" spans="1:9" x14ac:dyDescent="0.25">
      <c r="A2089" s="74"/>
      <c r="B2089" s="45">
        <v>1276</v>
      </c>
      <c r="C2089" s="64" t="s">
        <v>1678</v>
      </c>
      <c r="D2089" s="74"/>
      <c r="E2089" s="208" t="s">
        <v>135</v>
      </c>
      <c r="F2089" s="209" t="s">
        <v>21</v>
      </c>
      <c r="G2089" s="209" t="s">
        <v>21</v>
      </c>
      <c r="H2089" s="209" t="s">
        <v>272</v>
      </c>
      <c r="I2089" s="210"/>
    </row>
    <row r="2090" spans="1:9" x14ac:dyDescent="0.25">
      <c r="A2090" s="74"/>
      <c r="B2090" s="45">
        <v>1275</v>
      </c>
      <c r="C2090" s="64" t="s">
        <v>1677</v>
      </c>
      <c r="D2090" s="74"/>
      <c r="E2090" s="208" t="s">
        <v>135</v>
      </c>
      <c r="F2090" s="209" t="s">
        <v>21</v>
      </c>
      <c r="G2090" s="209" t="s">
        <v>21</v>
      </c>
      <c r="H2090" s="209" t="s">
        <v>272</v>
      </c>
      <c r="I2090" s="210"/>
    </row>
    <row r="2091" spans="1:9" x14ac:dyDescent="0.25">
      <c r="A2091" s="74"/>
      <c r="B2091" s="45">
        <v>1277</v>
      </c>
      <c r="C2091" s="64" t="s">
        <v>1679</v>
      </c>
      <c r="D2091" s="74"/>
      <c r="E2091" s="208" t="s">
        <v>135</v>
      </c>
      <c r="F2091" s="209" t="s">
        <v>21</v>
      </c>
      <c r="G2091" s="209" t="s">
        <v>21</v>
      </c>
      <c r="H2091" s="209" t="s">
        <v>272</v>
      </c>
      <c r="I2091" s="210"/>
    </row>
    <row r="2092" spans="1:9" x14ac:dyDescent="0.25">
      <c r="A2092" s="74"/>
      <c r="B2092" s="45">
        <v>1278</v>
      </c>
      <c r="C2092" s="64" t="s">
        <v>1680</v>
      </c>
      <c r="D2092" s="74"/>
      <c r="E2092" s="208" t="s">
        <v>135</v>
      </c>
      <c r="F2092" s="209" t="s">
        <v>21</v>
      </c>
      <c r="G2092" s="209" t="s">
        <v>21</v>
      </c>
      <c r="H2092" s="209" t="s">
        <v>272</v>
      </c>
      <c r="I2092" s="210"/>
    </row>
    <row r="2093" spans="1:9" x14ac:dyDescent="0.25">
      <c r="A2093" s="74"/>
      <c r="B2093" s="45">
        <v>1279</v>
      </c>
      <c r="C2093" s="64" t="s">
        <v>1681</v>
      </c>
      <c r="D2093" s="74"/>
      <c r="E2093" s="208" t="s">
        <v>135</v>
      </c>
      <c r="F2093" s="209" t="s">
        <v>21</v>
      </c>
      <c r="G2093" s="209" t="s">
        <v>21</v>
      </c>
      <c r="H2093" s="209" t="s">
        <v>272</v>
      </c>
      <c r="I2093" s="210"/>
    </row>
    <row r="2094" spans="1:9" x14ac:dyDescent="0.25">
      <c r="A2094" s="74"/>
      <c r="B2094" s="45">
        <v>1280</v>
      </c>
      <c r="C2094" s="64" t="s">
        <v>1682</v>
      </c>
      <c r="D2094" s="74"/>
      <c r="E2094" s="208" t="s">
        <v>135</v>
      </c>
      <c r="F2094" s="209" t="s">
        <v>21</v>
      </c>
      <c r="G2094" s="209" t="s">
        <v>21</v>
      </c>
      <c r="H2094" s="209" t="s">
        <v>272</v>
      </c>
      <c r="I2094" s="210"/>
    </row>
    <row r="2095" spans="1:9" x14ac:dyDescent="0.25">
      <c r="A2095" s="74"/>
      <c r="B2095" s="45">
        <v>1241</v>
      </c>
      <c r="C2095" s="64" t="s">
        <v>1645</v>
      </c>
      <c r="D2095" s="74"/>
      <c r="E2095" s="208" t="s">
        <v>135</v>
      </c>
      <c r="F2095" s="209" t="s">
        <v>21</v>
      </c>
      <c r="G2095" s="209" t="s">
        <v>21</v>
      </c>
      <c r="H2095" s="209" t="s">
        <v>272</v>
      </c>
      <c r="I2095" s="210"/>
    </row>
    <row r="2096" spans="1:9" x14ac:dyDescent="0.25">
      <c r="A2096" s="74"/>
      <c r="B2096" s="45">
        <v>1281</v>
      </c>
      <c r="C2096" s="64" t="s">
        <v>1683</v>
      </c>
      <c r="D2096" s="74"/>
      <c r="E2096" s="208" t="s">
        <v>135</v>
      </c>
      <c r="F2096" s="209" t="s">
        <v>21</v>
      </c>
      <c r="G2096" s="209" t="s">
        <v>21</v>
      </c>
      <c r="H2096" s="209" t="s">
        <v>272</v>
      </c>
      <c r="I2096" s="210"/>
    </row>
    <row r="2097" spans="1:9" x14ac:dyDescent="0.25">
      <c r="A2097" s="74"/>
      <c r="B2097" s="45">
        <v>1282</v>
      </c>
      <c r="C2097" s="64" t="s">
        <v>1684</v>
      </c>
      <c r="D2097" s="74"/>
      <c r="E2097" s="208" t="s">
        <v>135</v>
      </c>
      <c r="F2097" s="209" t="s">
        <v>21</v>
      </c>
      <c r="G2097" s="209" t="s">
        <v>21</v>
      </c>
      <c r="H2097" s="209" t="s">
        <v>272</v>
      </c>
      <c r="I2097" s="210"/>
    </row>
    <row r="2098" spans="1:9" x14ac:dyDescent="0.25">
      <c r="A2098" s="74"/>
      <c r="B2098" s="45">
        <v>258</v>
      </c>
      <c r="C2098" s="64" t="s">
        <v>670</v>
      </c>
      <c r="D2098" s="74"/>
      <c r="E2098" s="208" t="s">
        <v>176</v>
      </c>
      <c r="F2098" s="209" t="s">
        <v>21</v>
      </c>
      <c r="G2098" s="209" t="s">
        <v>21</v>
      </c>
      <c r="H2098" s="209" t="s">
        <v>192</v>
      </c>
      <c r="I2098" s="210"/>
    </row>
    <row r="2099" spans="1:9" x14ac:dyDescent="0.25">
      <c r="A2099" s="74"/>
      <c r="B2099" s="45">
        <v>1283</v>
      </c>
      <c r="C2099" s="64" t="s">
        <v>1685</v>
      </c>
      <c r="D2099" s="74"/>
      <c r="E2099" s="208" t="s">
        <v>135</v>
      </c>
      <c r="F2099" s="209" t="s">
        <v>21</v>
      </c>
      <c r="G2099" s="209" t="s">
        <v>21</v>
      </c>
      <c r="H2099" s="209" t="s">
        <v>192</v>
      </c>
      <c r="I2099" s="210"/>
    </row>
    <row r="2100" spans="1:9" x14ac:dyDescent="0.25">
      <c r="A2100" s="74"/>
      <c r="B2100" s="45">
        <v>1276</v>
      </c>
      <c r="C2100" s="64" t="s">
        <v>1678</v>
      </c>
      <c r="D2100" s="74"/>
      <c r="E2100" s="208" t="s">
        <v>135</v>
      </c>
      <c r="F2100" s="209" t="s">
        <v>21</v>
      </c>
      <c r="G2100" s="209" t="s">
        <v>21</v>
      </c>
      <c r="H2100" s="209" t="s">
        <v>272</v>
      </c>
      <c r="I2100" s="210"/>
    </row>
    <row r="2101" spans="1:9" x14ac:dyDescent="0.25">
      <c r="A2101" s="74"/>
      <c r="B2101" s="45">
        <v>1275</v>
      </c>
      <c r="C2101" s="64" t="s">
        <v>1677</v>
      </c>
      <c r="D2101" s="74"/>
      <c r="E2101" s="208" t="s">
        <v>135</v>
      </c>
      <c r="F2101" s="209" t="s">
        <v>21</v>
      </c>
      <c r="G2101" s="209" t="s">
        <v>21</v>
      </c>
      <c r="H2101" s="209" t="s">
        <v>272</v>
      </c>
      <c r="I2101" s="210"/>
    </row>
    <row r="2102" spans="1:9" x14ac:dyDescent="0.25">
      <c r="A2102" s="74"/>
      <c r="B2102" s="45">
        <v>1277</v>
      </c>
      <c r="C2102" s="64" t="s">
        <v>1679</v>
      </c>
      <c r="D2102" s="74"/>
      <c r="E2102" s="208" t="s">
        <v>135</v>
      </c>
      <c r="F2102" s="209" t="s">
        <v>21</v>
      </c>
      <c r="G2102" s="209" t="s">
        <v>21</v>
      </c>
      <c r="H2102" s="209" t="s">
        <v>272</v>
      </c>
      <c r="I2102" s="210"/>
    </row>
    <row r="2103" spans="1:9" x14ac:dyDescent="0.25">
      <c r="A2103" s="74"/>
      <c r="B2103" s="45">
        <v>1278</v>
      </c>
      <c r="C2103" s="64" t="s">
        <v>1680</v>
      </c>
      <c r="D2103" s="74"/>
      <c r="E2103" s="208" t="s">
        <v>135</v>
      </c>
      <c r="F2103" s="209" t="s">
        <v>21</v>
      </c>
      <c r="G2103" s="209" t="s">
        <v>21</v>
      </c>
      <c r="H2103" s="209" t="s">
        <v>272</v>
      </c>
      <c r="I2103" s="210"/>
    </row>
    <row r="2104" spans="1:9" x14ac:dyDescent="0.25">
      <c r="A2104" s="74"/>
      <c r="B2104" s="45">
        <v>1279</v>
      </c>
      <c r="C2104" s="64" t="s">
        <v>1681</v>
      </c>
      <c r="D2104" s="74"/>
      <c r="E2104" s="208" t="s">
        <v>135</v>
      </c>
      <c r="F2104" s="209" t="s">
        <v>21</v>
      </c>
      <c r="G2104" s="209" t="s">
        <v>21</v>
      </c>
      <c r="H2104" s="209" t="s">
        <v>272</v>
      </c>
      <c r="I2104" s="210"/>
    </row>
    <row r="2105" spans="1:9" x14ac:dyDescent="0.25">
      <c r="A2105" s="74"/>
      <c r="B2105" s="45">
        <v>1280</v>
      </c>
      <c r="C2105" s="64" t="s">
        <v>1682</v>
      </c>
      <c r="D2105" s="74"/>
      <c r="E2105" s="208" t="s">
        <v>135</v>
      </c>
      <c r="F2105" s="209" t="s">
        <v>21</v>
      </c>
      <c r="G2105" s="209" t="s">
        <v>21</v>
      </c>
      <c r="H2105" s="209" t="s">
        <v>272</v>
      </c>
      <c r="I2105" s="210"/>
    </row>
    <row r="2106" spans="1:9" x14ac:dyDescent="0.25">
      <c r="A2106" s="74"/>
      <c r="B2106" s="45">
        <v>1241</v>
      </c>
      <c r="C2106" s="64" t="s">
        <v>1645</v>
      </c>
      <c r="D2106" s="74"/>
      <c r="E2106" s="208" t="s">
        <v>135</v>
      </c>
      <c r="F2106" s="209" t="s">
        <v>21</v>
      </c>
      <c r="G2106" s="209" t="s">
        <v>21</v>
      </c>
      <c r="H2106" s="209" t="s">
        <v>272</v>
      </c>
      <c r="I2106" s="210"/>
    </row>
    <row r="2107" spans="1:9" x14ac:dyDescent="0.25">
      <c r="A2107" s="74"/>
      <c r="B2107" s="45">
        <v>1281</v>
      </c>
      <c r="C2107" s="64" t="s">
        <v>1683</v>
      </c>
      <c r="D2107" s="74"/>
      <c r="E2107" s="208" t="s">
        <v>135</v>
      </c>
      <c r="F2107" s="209" t="s">
        <v>21</v>
      </c>
      <c r="G2107" s="209" t="s">
        <v>21</v>
      </c>
      <c r="H2107" s="209" t="s">
        <v>272</v>
      </c>
      <c r="I2107" s="210"/>
    </row>
    <row r="2108" spans="1:9" x14ac:dyDescent="0.25">
      <c r="A2108" s="74"/>
      <c r="B2108" s="45">
        <v>1282</v>
      </c>
      <c r="C2108" s="64" t="s">
        <v>1684</v>
      </c>
      <c r="D2108" s="74"/>
      <c r="E2108" s="208" t="s">
        <v>135</v>
      </c>
      <c r="F2108" s="209" t="s">
        <v>21</v>
      </c>
      <c r="G2108" s="209" t="s">
        <v>21</v>
      </c>
      <c r="H2108" s="209" t="s">
        <v>272</v>
      </c>
      <c r="I2108" s="210"/>
    </row>
    <row r="2109" spans="1:9" x14ac:dyDescent="0.25">
      <c r="A2109" s="74"/>
      <c r="B2109" s="45">
        <v>258</v>
      </c>
      <c r="C2109" s="64" t="s">
        <v>670</v>
      </c>
      <c r="D2109" s="74"/>
      <c r="E2109" s="208" t="s">
        <v>176</v>
      </c>
      <c r="F2109" s="209" t="s">
        <v>21</v>
      </c>
      <c r="G2109" s="209" t="s">
        <v>21</v>
      </c>
      <c r="H2109" s="209" t="s">
        <v>192</v>
      </c>
      <c r="I2109" s="210"/>
    </row>
    <row r="2110" spans="1:9" x14ac:dyDescent="0.25">
      <c r="A2110" s="74"/>
      <c r="B2110" s="45">
        <v>1283</v>
      </c>
      <c r="C2110" s="64" t="s">
        <v>1685</v>
      </c>
      <c r="D2110" s="74"/>
      <c r="E2110" s="208" t="s">
        <v>135</v>
      </c>
      <c r="F2110" s="209" t="s">
        <v>21</v>
      </c>
      <c r="G2110" s="209" t="s">
        <v>21</v>
      </c>
      <c r="H2110" s="209" t="s">
        <v>192</v>
      </c>
      <c r="I2110" s="210"/>
    </row>
    <row r="2111" spans="1:9" x14ac:dyDescent="0.25">
      <c r="A2111" s="74"/>
      <c r="B2111" s="45">
        <v>193</v>
      </c>
      <c r="C2111" s="64" t="s">
        <v>605</v>
      </c>
      <c r="D2111" s="74"/>
      <c r="E2111" s="208" t="s">
        <v>135</v>
      </c>
      <c r="F2111" s="209" t="s">
        <v>21</v>
      </c>
      <c r="G2111" s="209" t="s">
        <v>21</v>
      </c>
      <c r="H2111" s="209" t="s">
        <v>192</v>
      </c>
      <c r="I2111" s="210"/>
    </row>
    <row r="2112" spans="1:9" x14ac:dyDescent="0.25">
      <c r="A2112" s="74"/>
      <c r="B2112" s="45">
        <v>1284</v>
      </c>
      <c r="C2112" s="64" t="s">
        <v>1686</v>
      </c>
      <c r="D2112" s="74"/>
      <c r="E2112" s="208" t="s">
        <v>135</v>
      </c>
      <c r="F2112" s="209" t="s">
        <v>21</v>
      </c>
      <c r="G2112" s="209" t="s">
        <v>21</v>
      </c>
      <c r="H2112" s="209" t="s">
        <v>189</v>
      </c>
      <c r="I2112" s="210"/>
    </row>
    <row r="2113" spans="1:9" x14ac:dyDescent="0.25">
      <c r="A2113" s="74"/>
      <c r="B2113" s="45">
        <v>1285</v>
      </c>
      <c r="C2113" s="64" t="s">
        <v>1687</v>
      </c>
      <c r="D2113" s="74"/>
      <c r="E2113" s="208" t="s">
        <v>135</v>
      </c>
      <c r="F2113" s="209" t="s">
        <v>21</v>
      </c>
      <c r="G2113" s="209" t="s">
        <v>21</v>
      </c>
      <c r="H2113" s="209" t="s">
        <v>272</v>
      </c>
      <c r="I2113" s="210"/>
    </row>
    <row r="2114" spans="1:9" x14ac:dyDescent="0.25">
      <c r="A2114" s="74"/>
      <c r="B2114" s="45">
        <v>1286</v>
      </c>
      <c r="C2114" s="64" t="s">
        <v>1688</v>
      </c>
      <c r="D2114" s="74"/>
      <c r="E2114" s="208" t="s">
        <v>135</v>
      </c>
      <c r="F2114" s="209" t="s">
        <v>21</v>
      </c>
      <c r="G2114" s="209" t="s">
        <v>21</v>
      </c>
      <c r="H2114" s="209" t="s">
        <v>272</v>
      </c>
      <c r="I2114" s="210"/>
    </row>
    <row r="2115" spans="1:9" x14ac:dyDescent="0.25">
      <c r="A2115" s="74"/>
      <c r="B2115" s="45">
        <v>1283</v>
      </c>
      <c r="C2115" s="64" t="s">
        <v>1685</v>
      </c>
      <c r="D2115" s="74"/>
      <c r="E2115" s="208" t="s">
        <v>135</v>
      </c>
      <c r="F2115" s="209" t="s">
        <v>21</v>
      </c>
      <c r="G2115" s="209" t="s">
        <v>21</v>
      </c>
      <c r="H2115" s="209" t="s">
        <v>272</v>
      </c>
      <c r="I2115" s="210"/>
    </row>
    <row r="2116" spans="1:9" x14ac:dyDescent="0.25">
      <c r="A2116" s="74"/>
      <c r="B2116" s="45">
        <v>193</v>
      </c>
      <c r="C2116" s="64" t="s">
        <v>605</v>
      </c>
      <c r="D2116" s="74"/>
      <c r="E2116" s="208" t="s">
        <v>135</v>
      </c>
      <c r="F2116" s="209" t="s">
        <v>21</v>
      </c>
      <c r="G2116" s="209" t="s">
        <v>21</v>
      </c>
      <c r="H2116" s="209" t="s">
        <v>192</v>
      </c>
      <c r="I2116" s="210"/>
    </row>
    <row r="2117" spans="1:9" x14ac:dyDescent="0.25">
      <c r="A2117" s="74"/>
      <c r="B2117" s="45">
        <v>1287</v>
      </c>
      <c r="C2117" s="64" t="s">
        <v>1689</v>
      </c>
      <c r="D2117" s="74"/>
      <c r="E2117" s="208" t="s">
        <v>135</v>
      </c>
      <c r="F2117" s="209" t="s">
        <v>21</v>
      </c>
      <c r="G2117" s="209" t="s">
        <v>21</v>
      </c>
      <c r="H2117" s="209" t="s">
        <v>272</v>
      </c>
      <c r="I2117" s="210"/>
    </row>
    <row r="2118" spans="1:9" x14ac:dyDescent="0.25">
      <c r="A2118" s="74"/>
      <c r="B2118" s="45">
        <v>1285</v>
      </c>
      <c r="C2118" s="64" t="s">
        <v>1687</v>
      </c>
      <c r="D2118" s="74"/>
      <c r="E2118" s="208" t="s">
        <v>135</v>
      </c>
      <c r="F2118" s="209" t="s">
        <v>21</v>
      </c>
      <c r="G2118" s="209" t="s">
        <v>21</v>
      </c>
      <c r="H2118" s="209" t="s">
        <v>272</v>
      </c>
      <c r="I2118" s="210"/>
    </row>
    <row r="2119" spans="1:9" x14ac:dyDescent="0.25">
      <c r="A2119" s="74"/>
      <c r="B2119" s="45">
        <v>1286</v>
      </c>
      <c r="C2119" s="64" t="s">
        <v>1688</v>
      </c>
      <c r="D2119" s="74"/>
      <c r="E2119" s="208" t="s">
        <v>135</v>
      </c>
      <c r="F2119" s="209" t="s">
        <v>21</v>
      </c>
      <c r="G2119" s="209" t="s">
        <v>21</v>
      </c>
      <c r="H2119" s="209" t="s">
        <v>272</v>
      </c>
      <c r="I2119" s="210"/>
    </row>
    <row r="2120" spans="1:9" x14ac:dyDescent="0.25">
      <c r="A2120" s="74"/>
      <c r="B2120" s="45">
        <v>1283</v>
      </c>
      <c r="C2120" s="64" t="s">
        <v>1685</v>
      </c>
      <c r="D2120" s="74"/>
      <c r="E2120" s="208" t="s">
        <v>135</v>
      </c>
      <c r="F2120" s="209" t="s">
        <v>21</v>
      </c>
      <c r="G2120" s="209" t="s">
        <v>21</v>
      </c>
      <c r="H2120" s="209" t="s">
        <v>272</v>
      </c>
      <c r="I2120" s="210"/>
    </row>
    <row r="2121" spans="1:9" x14ac:dyDescent="0.25">
      <c r="A2121" s="74"/>
      <c r="B2121" s="45">
        <v>193</v>
      </c>
      <c r="C2121" s="64" t="s">
        <v>605</v>
      </c>
      <c r="D2121" s="74"/>
      <c r="E2121" s="208" t="s">
        <v>135</v>
      </c>
      <c r="F2121" s="209" t="s">
        <v>21</v>
      </c>
      <c r="G2121" s="209" t="s">
        <v>21</v>
      </c>
      <c r="H2121" s="209" t="s">
        <v>192</v>
      </c>
      <c r="I2121" s="210"/>
    </row>
    <row r="2122" spans="1:9" x14ac:dyDescent="0.25">
      <c r="A2122" s="74"/>
      <c r="B2122" s="45">
        <v>1287</v>
      </c>
      <c r="C2122" s="64" t="s">
        <v>1689</v>
      </c>
      <c r="D2122" s="74"/>
      <c r="E2122" s="208" t="s">
        <v>135</v>
      </c>
      <c r="F2122" s="209" t="s">
        <v>21</v>
      </c>
      <c r="G2122" s="209" t="s">
        <v>21</v>
      </c>
      <c r="H2122" s="209" t="s">
        <v>272</v>
      </c>
      <c r="I2122" s="210"/>
    </row>
    <row r="2123" spans="1:9" x14ac:dyDescent="0.25">
      <c r="A2123" s="74"/>
      <c r="B2123" s="45">
        <v>1285</v>
      </c>
      <c r="C2123" s="64" t="s">
        <v>1687</v>
      </c>
      <c r="D2123" s="74"/>
      <c r="E2123" s="208" t="s">
        <v>135</v>
      </c>
      <c r="F2123" s="209" t="s">
        <v>21</v>
      </c>
      <c r="G2123" s="209" t="s">
        <v>21</v>
      </c>
      <c r="H2123" s="209" t="s">
        <v>272</v>
      </c>
      <c r="I2123" s="210"/>
    </row>
    <row r="2124" spans="1:9" x14ac:dyDescent="0.25">
      <c r="A2124" s="74"/>
      <c r="B2124" s="45">
        <v>1286</v>
      </c>
      <c r="C2124" s="64" t="s">
        <v>1688</v>
      </c>
      <c r="D2124" s="74"/>
      <c r="E2124" s="208" t="s">
        <v>135</v>
      </c>
      <c r="F2124" s="209" t="s">
        <v>21</v>
      </c>
      <c r="G2124" s="209" t="s">
        <v>21</v>
      </c>
      <c r="H2124" s="209" t="s">
        <v>272</v>
      </c>
      <c r="I2124" s="210"/>
    </row>
    <row r="2125" spans="1:9" x14ac:dyDescent="0.25">
      <c r="A2125" s="74"/>
      <c r="B2125" s="45">
        <v>1283</v>
      </c>
      <c r="C2125" s="64" t="s">
        <v>1685</v>
      </c>
      <c r="D2125" s="74"/>
      <c r="E2125" s="208" t="s">
        <v>135</v>
      </c>
      <c r="F2125" s="209" t="s">
        <v>21</v>
      </c>
      <c r="G2125" s="209" t="s">
        <v>21</v>
      </c>
      <c r="H2125" s="209" t="s">
        <v>272</v>
      </c>
      <c r="I2125" s="210"/>
    </row>
    <row r="2126" spans="1:9" x14ac:dyDescent="0.25">
      <c r="A2126" s="74"/>
      <c r="B2126" s="45">
        <v>193</v>
      </c>
      <c r="C2126" s="64" t="s">
        <v>605</v>
      </c>
      <c r="D2126" s="74"/>
      <c r="E2126" s="208" t="s">
        <v>135</v>
      </c>
      <c r="F2126" s="209" t="s">
        <v>21</v>
      </c>
      <c r="G2126" s="209" t="s">
        <v>21</v>
      </c>
      <c r="H2126" s="209" t="s">
        <v>192</v>
      </c>
      <c r="I2126" s="210"/>
    </row>
    <row r="2127" spans="1:9" x14ac:dyDescent="0.25">
      <c r="A2127" s="74"/>
      <c r="B2127" s="45">
        <v>1287</v>
      </c>
      <c r="C2127" s="64" t="s">
        <v>1689</v>
      </c>
      <c r="D2127" s="74"/>
      <c r="E2127" s="208" t="s">
        <v>135</v>
      </c>
      <c r="F2127" s="209" t="s">
        <v>21</v>
      </c>
      <c r="G2127" s="209" t="s">
        <v>21</v>
      </c>
      <c r="H2127" s="209" t="s">
        <v>272</v>
      </c>
      <c r="I2127" s="210"/>
    </row>
    <row r="2128" spans="1:9" x14ac:dyDescent="0.25">
      <c r="A2128" s="74"/>
      <c r="B2128" s="45">
        <v>1285</v>
      </c>
      <c r="C2128" s="64" t="s">
        <v>1687</v>
      </c>
      <c r="D2128" s="74"/>
      <c r="E2128" s="208" t="s">
        <v>135</v>
      </c>
      <c r="F2128" s="209" t="s">
        <v>21</v>
      </c>
      <c r="G2128" s="209" t="s">
        <v>21</v>
      </c>
      <c r="H2128" s="209" t="s">
        <v>272</v>
      </c>
      <c r="I2128" s="210"/>
    </row>
    <row r="2129" spans="1:9" x14ac:dyDescent="0.25">
      <c r="A2129" s="74"/>
      <c r="B2129" s="45">
        <v>1286</v>
      </c>
      <c r="C2129" s="64" t="s">
        <v>1688</v>
      </c>
      <c r="D2129" s="74"/>
      <c r="E2129" s="208" t="s">
        <v>135</v>
      </c>
      <c r="F2129" s="209" t="s">
        <v>21</v>
      </c>
      <c r="G2129" s="209" t="s">
        <v>21</v>
      </c>
      <c r="H2129" s="209" t="s">
        <v>272</v>
      </c>
      <c r="I2129" s="210"/>
    </row>
    <row r="2130" spans="1:9" x14ac:dyDescent="0.25">
      <c r="A2130" s="74"/>
      <c r="B2130" s="45">
        <v>193</v>
      </c>
      <c r="C2130" s="64" t="s">
        <v>605</v>
      </c>
      <c r="D2130" s="74"/>
      <c r="E2130" s="208" t="s">
        <v>135</v>
      </c>
      <c r="F2130" s="209" t="s">
        <v>21</v>
      </c>
      <c r="G2130" s="209" t="s">
        <v>21</v>
      </c>
      <c r="H2130" s="209" t="s">
        <v>192</v>
      </c>
      <c r="I2130" s="210"/>
    </row>
    <row r="2131" spans="1:9" x14ac:dyDescent="0.25">
      <c r="A2131" s="74"/>
      <c r="B2131" s="45">
        <v>1283</v>
      </c>
      <c r="C2131" s="64" t="s">
        <v>1685</v>
      </c>
      <c r="D2131" s="74"/>
      <c r="E2131" s="208" t="s">
        <v>135</v>
      </c>
      <c r="F2131" s="209" t="s">
        <v>21</v>
      </c>
      <c r="G2131" s="209" t="s">
        <v>21</v>
      </c>
      <c r="H2131" s="209" t="s">
        <v>272</v>
      </c>
      <c r="I2131" s="210"/>
    </row>
    <row r="2132" spans="1:9" x14ac:dyDescent="0.25">
      <c r="A2132" s="74"/>
      <c r="B2132" s="45">
        <v>1287</v>
      </c>
      <c r="C2132" s="64" t="s">
        <v>1689</v>
      </c>
      <c r="D2132" s="74"/>
      <c r="E2132" s="208" t="s">
        <v>135</v>
      </c>
      <c r="F2132" s="209" t="s">
        <v>21</v>
      </c>
      <c r="G2132" s="209" t="s">
        <v>21</v>
      </c>
      <c r="H2132" s="209" t="s">
        <v>272</v>
      </c>
      <c r="I2132" s="210"/>
    </row>
    <row r="2133" spans="1:9" x14ac:dyDescent="0.25">
      <c r="A2133" s="74"/>
      <c r="B2133" s="45">
        <v>198</v>
      </c>
      <c r="C2133" s="64" t="s">
        <v>610</v>
      </c>
      <c r="D2133" s="74"/>
      <c r="E2133" s="208" t="s">
        <v>135</v>
      </c>
      <c r="F2133" s="209" t="s">
        <v>21</v>
      </c>
      <c r="G2133" s="209" t="s">
        <v>21</v>
      </c>
      <c r="H2133" s="209" t="s">
        <v>192</v>
      </c>
      <c r="I2133" s="210"/>
    </row>
    <row r="2134" spans="1:9" x14ac:dyDescent="0.25">
      <c r="A2134" s="74"/>
      <c r="B2134" s="45">
        <v>1275</v>
      </c>
      <c r="C2134" s="64" t="s">
        <v>1677</v>
      </c>
      <c r="D2134" s="74"/>
      <c r="E2134" s="208" t="s">
        <v>135</v>
      </c>
      <c r="F2134" s="209" t="s">
        <v>21</v>
      </c>
      <c r="G2134" s="209" t="s">
        <v>21</v>
      </c>
      <c r="H2134" s="209" t="s">
        <v>272</v>
      </c>
      <c r="I2134" s="210"/>
    </row>
    <row r="2135" spans="1:9" x14ac:dyDescent="0.25">
      <c r="A2135" s="74"/>
      <c r="B2135" s="45">
        <v>1276</v>
      </c>
      <c r="C2135" s="64" t="s">
        <v>1678</v>
      </c>
      <c r="D2135" s="74"/>
      <c r="E2135" s="208" t="s">
        <v>135</v>
      </c>
      <c r="F2135" s="209" t="s">
        <v>21</v>
      </c>
      <c r="G2135" s="209" t="s">
        <v>21</v>
      </c>
      <c r="H2135" s="209" t="s">
        <v>272</v>
      </c>
      <c r="I2135" s="210"/>
    </row>
    <row r="2136" spans="1:9" x14ac:dyDescent="0.25">
      <c r="A2136" s="74"/>
      <c r="B2136" s="45">
        <v>1275</v>
      </c>
      <c r="C2136" s="64" t="s">
        <v>1677</v>
      </c>
      <c r="D2136" s="74"/>
      <c r="E2136" s="208" t="s">
        <v>135</v>
      </c>
      <c r="F2136" s="209" t="s">
        <v>21</v>
      </c>
      <c r="G2136" s="209" t="s">
        <v>21</v>
      </c>
      <c r="H2136" s="209" t="s">
        <v>272</v>
      </c>
      <c r="I2136" s="210"/>
    </row>
    <row r="2137" spans="1:9" x14ac:dyDescent="0.25">
      <c r="A2137" s="74"/>
      <c r="B2137" s="45">
        <v>1277</v>
      </c>
      <c r="C2137" s="64" t="s">
        <v>1679</v>
      </c>
      <c r="D2137" s="74"/>
      <c r="E2137" s="208" t="s">
        <v>135</v>
      </c>
      <c r="F2137" s="209" t="s">
        <v>21</v>
      </c>
      <c r="G2137" s="209" t="s">
        <v>21</v>
      </c>
      <c r="H2137" s="209" t="s">
        <v>272</v>
      </c>
      <c r="I2137" s="210"/>
    </row>
    <row r="2138" spans="1:9" x14ac:dyDescent="0.25">
      <c r="A2138" s="74"/>
      <c r="B2138" s="45">
        <v>1278</v>
      </c>
      <c r="C2138" s="64" t="s">
        <v>1680</v>
      </c>
      <c r="D2138" s="74"/>
      <c r="E2138" s="208" t="s">
        <v>135</v>
      </c>
      <c r="F2138" s="209" t="s">
        <v>21</v>
      </c>
      <c r="G2138" s="209" t="s">
        <v>21</v>
      </c>
      <c r="H2138" s="209" t="s">
        <v>272</v>
      </c>
      <c r="I2138" s="210"/>
    </row>
    <row r="2139" spans="1:9" x14ac:dyDescent="0.25">
      <c r="A2139" s="74"/>
      <c r="B2139" s="45">
        <v>1279</v>
      </c>
      <c r="C2139" s="64" t="s">
        <v>1681</v>
      </c>
      <c r="D2139" s="74"/>
      <c r="E2139" s="208" t="s">
        <v>135</v>
      </c>
      <c r="F2139" s="209" t="s">
        <v>21</v>
      </c>
      <c r="G2139" s="209" t="s">
        <v>21</v>
      </c>
      <c r="H2139" s="209" t="s">
        <v>272</v>
      </c>
      <c r="I2139" s="210"/>
    </row>
    <row r="2140" spans="1:9" x14ac:dyDescent="0.25">
      <c r="A2140" s="74"/>
      <c r="B2140" s="45">
        <v>1280</v>
      </c>
      <c r="C2140" s="64" t="s">
        <v>1682</v>
      </c>
      <c r="D2140" s="74"/>
      <c r="E2140" s="208" t="s">
        <v>135</v>
      </c>
      <c r="F2140" s="209" t="s">
        <v>21</v>
      </c>
      <c r="G2140" s="209" t="s">
        <v>21</v>
      </c>
      <c r="H2140" s="209" t="s">
        <v>272</v>
      </c>
      <c r="I2140" s="210"/>
    </row>
    <row r="2141" spans="1:9" x14ac:dyDescent="0.25">
      <c r="A2141" s="74"/>
      <c r="B2141" s="45">
        <v>1241</v>
      </c>
      <c r="C2141" s="64" t="s">
        <v>1645</v>
      </c>
      <c r="D2141" s="74"/>
      <c r="E2141" s="208" t="s">
        <v>135</v>
      </c>
      <c r="F2141" s="209" t="s">
        <v>21</v>
      </c>
      <c r="G2141" s="209" t="s">
        <v>21</v>
      </c>
      <c r="H2141" s="209" t="s">
        <v>272</v>
      </c>
      <c r="I2141" s="210"/>
    </row>
    <row r="2142" spans="1:9" x14ac:dyDescent="0.25">
      <c r="A2142" s="74"/>
      <c r="B2142" s="45">
        <v>1281</v>
      </c>
      <c r="C2142" s="64" t="s">
        <v>1683</v>
      </c>
      <c r="D2142" s="74"/>
      <c r="E2142" s="208" t="s">
        <v>135</v>
      </c>
      <c r="F2142" s="209" t="s">
        <v>21</v>
      </c>
      <c r="G2142" s="209" t="s">
        <v>21</v>
      </c>
      <c r="H2142" s="209" t="s">
        <v>272</v>
      </c>
      <c r="I2142" s="210"/>
    </row>
    <row r="2143" spans="1:9" x14ac:dyDescent="0.25">
      <c r="A2143" s="74"/>
      <c r="B2143" s="45">
        <v>1282</v>
      </c>
      <c r="C2143" s="64" t="s">
        <v>1684</v>
      </c>
      <c r="D2143" s="74"/>
      <c r="E2143" s="208" t="s">
        <v>135</v>
      </c>
      <c r="F2143" s="209" t="s">
        <v>21</v>
      </c>
      <c r="G2143" s="209" t="s">
        <v>21</v>
      </c>
      <c r="H2143" s="209" t="s">
        <v>272</v>
      </c>
      <c r="I2143" s="210"/>
    </row>
    <row r="2144" spans="1:9" x14ac:dyDescent="0.25">
      <c r="A2144" s="74"/>
      <c r="B2144" s="45">
        <v>258</v>
      </c>
      <c r="C2144" s="64" t="s">
        <v>670</v>
      </c>
      <c r="D2144" s="74"/>
      <c r="E2144" s="208" t="s">
        <v>176</v>
      </c>
      <c r="F2144" s="209" t="s">
        <v>21</v>
      </c>
      <c r="G2144" s="209" t="s">
        <v>21</v>
      </c>
      <c r="H2144" s="209" t="s">
        <v>192</v>
      </c>
      <c r="I2144" s="210"/>
    </row>
    <row r="2145" spans="1:9" x14ac:dyDescent="0.25">
      <c r="A2145" s="74"/>
      <c r="B2145" s="45">
        <v>1283</v>
      </c>
      <c r="C2145" s="64" t="s">
        <v>1685</v>
      </c>
      <c r="D2145" s="74"/>
      <c r="E2145" s="208" t="s">
        <v>135</v>
      </c>
      <c r="F2145" s="209" t="s">
        <v>21</v>
      </c>
      <c r="G2145" s="209" t="s">
        <v>21</v>
      </c>
      <c r="H2145" s="209" t="s">
        <v>192</v>
      </c>
      <c r="I2145" s="210"/>
    </row>
    <row r="2146" spans="1:9" x14ac:dyDescent="0.25">
      <c r="A2146" s="74"/>
      <c r="B2146" s="45">
        <v>1276</v>
      </c>
      <c r="C2146" s="64" t="s">
        <v>1678</v>
      </c>
      <c r="D2146" s="74"/>
      <c r="E2146" s="208" t="s">
        <v>135</v>
      </c>
      <c r="F2146" s="209" t="s">
        <v>21</v>
      </c>
      <c r="G2146" s="209" t="s">
        <v>21</v>
      </c>
      <c r="H2146" s="209" t="s">
        <v>272</v>
      </c>
      <c r="I2146" s="210"/>
    </row>
    <row r="2147" spans="1:9" x14ac:dyDescent="0.25">
      <c r="A2147" s="74"/>
      <c r="B2147" s="45">
        <v>1275</v>
      </c>
      <c r="C2147" s="64" t="s">
        <v>1677</v>
      </c>
      <c r="D2147" s="74"/>
      <c r="E2147" s="208" t="s">
        <v>135</v>
      </c>
      <c r="F2147" s="209" t="s">
        <v>21</v>
      </c>
      <c r="G2147" s="209" t="s">
        <v>21</v>
      </c>
      <c r="H2147" s="209" t="s">
        <v>272</v>
      </c>
      <c r="I2147" s="210"/>
    </row>
    <row r="2148" spans="1:9" x14ac:dyDescent="0.25">
      <c r="A2148" s="74"/>
      <c r="B2148" s="45">
        <v>1277</v>
      </c>
      <c r="C2148" s="64" t="s">
        <v>1679</v>
      </c>
      <c r="D2148" s="74"/>
      <c r="E2148" s="208" t="s">
        <v>135</v>
      </c>
      <c r="F2148" s="209" t="s">
        <v>21</v>
      </c>
      <c r="G2148" s="209" t="s">
        <v>21</v>
      </c>
      <c r="H2148" s="209" t="s">
        <v>272</v>
      </c>
      <c r="I2148" s="210"/>
    </row>
    <row r="2149" spans="1:9" x14ac:dyDescent="0.25">
      <c r="A2149" s="74"/>
      <c r="B2149" s="45">
        <v>1278</v>
      </c>
      <c r="C2149" s="64" t="s">
        <v>1680</v>
      </c>
      <c r="D2149" s="74"/>
      <c r="E2149" s="208" t="s">
        <v>135</v>
      </c>
      <c r="F2149" s="209" t="s">
        <v>21</v>
      </c>
      <c r="G2149" s="209" t="s">
        <v>21</v>
      </c>
      <c r="H2149" s="209" t="s">
        <v>272</v>
      </c>
      <c r="I2149" s="210"/>
    </row>
    <row r="2150" spans="1:9" x14ac:dyDescent="0.25">
      <c r="A2150" s="74"/>
      <c r="B2150" s="45">
        <v>1279</v>
      </c>
      <c r="C2150" s="64" t="s">
        <v>1681</v>
      </c>
      <c r="D2150" s="74"/>
      <c r="E2150" s="208" t="s">
        <v>135</v>
      </c>
      <c r="F2150" s="209" t="s">
        <v>21</v>
      </c>
      <c r="G2150" s="209" t="s">
        <v>21</v>
      </c>
      <c r="H2150" s="209" t="s">
        <v>272</v>
      </c>
      <c r="I2150" s="210"/>
    </row>
    <row r="2151" spans="1:9" x14ac:dyDescent="0.25">
      <c r="A2151" s="74"/>
      <c r="B2151" s="45">
        <v>1280</v>
      </c>
      <c r="C2151" s="64" t="s">
        <v>1682</v>
      </c>
      <c r="D2151" s="74"/>
      <c r="E2151" s="208" t="s">
        <v>135</v>
      </c>
      <c r="F2151" s="209" t="s">
        <v>21</v>
      </c>
      <c r="G2151" s="209" t="s">
        <v>21</v>
      </c>
      <c r="H2151" s="209" t="s">
        <v>272</v>
      </c>
      <c r="I2151" s="210"/>
    </row>
    <row r="2152" spans="1:9" x14ac:dyDescent="0.25">
      <c r="A2152" s="74"/>
      <c r="B2152" s="45">
        <v>1241</v>
      </c>
      <c r="C2152" s="64" t="s">
        <v>1645</v>
      </c>
      <c r="D2152" s="74"/>
      <c r="E2152" s="208" t="s">
        <v>135</v>
      </c>
      <c r="F2152" s="209" t="s">
        <v>21</v>
      </c>
      <c r="G2152" s="209" t="s">
        <v>21</v>
      </c>
      <c r="H2152" s="209" t="s">
        <v>272</v>
      </c>
      <c r="I2152" s="210"/>
    </row>
    <row r="2153" spans="1:9" x14ac:dyDescent="0.25">
      <c r="A2153" s="74"/>
      <c r="B2153" s="45">
        <v>1281</v>
      </c>
      <c r="C2153" s="64" t="s">
        <v>1683</v>
      </c>
      <c r="D2153" s="74"/>
      <c r="E2153" s="208" t="s">
        <v>135</v>
      </c>
      <c r="F2153" s="209" t="s">
        <v>21</v>
      </c>
      <c r="G2153" s="209" t="s">
        <v>21</v>
      </c>
      <c r="H2153" s="209" t="s">
        <v>272</v>
      </c>
      <c r="I2153" s="210"/>
    </row>
    <row r="2154" spans="1:9" x14ac:dyDescent="0.25">
      <c r="A2154" s="74"/>
      <c r="B2154" s="45">
        <v>1282</v>
      </c>
      <c r="C2154" s="64" t="s">
        <v>1684</v>
      </c>
      <c r="D2154" s="74"/>
      <c r="E2154" s="208" t="s">
        <v>135</v>
      </c>
      <c r="F2154" s="209" t="s">
        <v>21</v>
      </c>
      <c r="G2154" s="209" t="s">
        <v>21</v>
      </c>
      <c r="H2154" s="209" t="s">
        <v>272</v>
      </c>
      <c r="I2154" s="210"/>
    </row>
    <row r="2155" spans="1:9" x14ac:dyDescent="0.25">
      <c r="A2155" s="74"/>
      <c r="B2155" s="45">
        <v>258</v>
      </c>
      <c r="C2155" s="64" t="s">
        <v>670</v>
      </c>
      <c r="D2155" s="74"/>
      <c r="E2155" s="208" t="s">
        <v>176</v>
      </c>
      <c r="F2155" s="209" t="s">
        <v>21</v>
      </c>
      <c r="G2155" s="209" t="s">
        <v>21</v>
      </c>
      <c r="H2155" s="209" t="s">
        <v>192</v>
      </c>
      <c r="I2155" s="210"/>
    </row>
    <row r="2156" spans="1:9" x14ac:dyDescent="0.25">
      <c r="A2156" s="74"/>
      <c r="B2156" s="45">
        <v>1283</v>
      </c>
      <c r="C2156" s="64" t="s">
        <v>1685</v>
      </c>
      <c r="D2156" s="74"/>
      <c r="E2156" s="208" t="s">
        <v>135</v>
      </c>
      <c r="F2156" s="209" t="s">
        <v>21</v>
      </c>
      <c r="G2156" s="209" t="s">
        <v>21</v>
      </c>
      <c r="H2156" s="209" t="s">
        <v>192</v>
      </c>
      <c r="I2156" s="210"/>
    </row>
    <row r="2157" spans="1:9" x14ac:dyDescent="0.25">
      <c r="A2157" s="74"/>
      <c r="B2157" s="45">
        <v>1276</v>
      </c>
      <c r="C2157" s="64" t="s">
        <v>1678</v>
      </c>
      <c r="D2157" s="74"/>
      <c r="E2157" s="208" t="s">
        <v>135</v>
      </c>
      <c r="F2157" s="209" t="s">
        <v>21</v>
      </c>
      <c r="G2157" s="209" t="s">
        <v>21</v>
      </c>
      <c r="H2157" s="209" t="s">
        <v>272</v>
      </c>
      <c r="I2157" s="210"/>
    </row>
    <row r="2158" spans="1:9" x14ac:dyDescent="0.25">
      <c r="A2158" s="74"/>
      <c r="B2158" s="45">
        <v>1275</v>
      </c>
      <c r="C2158" s="64" t="s">
        <v>1677</v>
      </c>
      <c r="D2158" s="74"/>
      <c r="E2158" s="208" t="s">
        <v>135</v>
      </c>
      <c r="F2158" s="209" t="s">
        <v>21</v>
      </c>
      <c r="G2158" s="209" t="s">
        <v>21</v>
      </c>
      <c r="H2158" s="209" t="s">
        <v>272</v>
      </c>
      <c r="I2158" s="210"/>
    </row>
    <row r="2159" spans="1:9" x14ac:dyDescent="0.25">
      <c r="A2159" s="74"/>
      <c r="B2159" s="45">
        <v>1277</v>
      </c>
      <c r="C2159" s="64" t="s">
        <v>1679</v>
      </c>
      <c r="D2159" s="74"/>
      <c r="E2159" s="208" t="s">
        <v>135</v>
      </c>
      <c r="F2159" s="209" t="s">
        <v>21</v>
      </c>
      <c r="G2159" s="209" t="s">
        <v>21</v>
      </c>
      <c r="H2159" s="209" t="s">
        <v>272</v>
      </c>
      <c r="I2159" s="210"/>
    </row>
    <row r="2160" spans="1:9" x14ac:dyDescent="0.25">
      <c r="A2160" s="74"/>
      <c r="B2160" s="45">
        <v>1278</v>
      </c>
      <c r="C2160" s="64" t="s">
        <v>1680</v>
      </c>
      <c r="D2160" s="74"/>
      <c r="E2160" s="208" t="s">
        <v>135</v>
      </c>
      <c r="F2160" s="209" t="s">
        <v>21</v>
      </c>
      <c r="G2160" s="209" t="s">
        <v>21</v>
      </c>
      <c r="H2160" s="209" t="s">
        <v>272</v>
      </c>
      <c r="I2160" s="210"/>
    </row>
    <row r="2161" spans="1:9" x14ac:dyDescent="0.25">
      <c r="A2161" s="74"/>
      <c r="B2161" s="45">
        <v>1279</v>
      </c>
      <c r="C2161" s="64" t="s">
        <v>1681</v>
      </c>
      <c r="D2161" s="74"/>
      <c r="E2161" s="208" t="s">
        <v>135</v>
      </c>
      <c r="F2161" s="209" t="s">
        <v>21</v>
      </c>
      <c r="G2161" s="209" t="s">
        <v>21</v>
      </c>
      <c r="H2161" s="209" t="s">
        <v>272</v>
      </c>
      <c r="I2161" s="210"/>
    </row>
    <row r="2162" spans="1:9" x14ac:dyDescent="0.25">
      <c r="A2162" s="74"/>
      <c r="B2162" s="45">
        <v>1280</v>
      </c>
      <c r="C2162" s="64" t="s">
        <v>1682</v>
      </c>
      <c r="D2162" s="74"/>
      <c r="E2162" s="208" t="s">
        <v>135</v>
      </c>
      <c r="F2162" s="209" t="s">
        <v>21</v>
      </c>
      <c r="G2162" s="209" t="s">
        <v>21</v>
      </c>
      <c r="H2162" s="209" t="s">
        <v>272</v>
      </c>
      <c r="I2162" s="210"/>
    </row>
    <row r="2163" spans="1:9" x14ac:dyDescent="0.25">
      <c r="A2163" s="74"/>
      <c r="B2163" s="45">
        <v>1241</v>
      </c>
      <c r="C2163" s="64" t="s">
        <v>1645</v>
      </c>
      <c r="D2163" s="74"/>
      <c r="E2163" s="208" t="s">
        <v>135</v>
      </c>
      <c r="F2163" s="209" t="s">
        <v>21</v>
      </c>
      <c r="G2163" s="209" t="s">
        <v>21</v>
      </c>
      <c r="H2163" s="209" t="s">
        <v>272</v>
      </c>
      <c r="I2163" s="210"/>
    </row>
    <row r="2164" spans="1:9" x14ac:dyDescent="0.25">
      <c r="A2164" s="74"/>
      <c r="B2164" s="45">
        <v>197</v>
      </c>
      <c r="C2164" s="64" t="s">
        <v>609</v>
      </c>
      <c r="D2164" s="74"/>
      <c r="E2164" s="208" t="s">
        <v>135</v>
      </c>
      <c r="F2164" s="209" t="s">
        <v>21</v>
      </c>
      <c r="G2164" s="209" t="s">
        <v>21</v>
      </c>
      <c r="H2164" s="209" t="s">
        <v>272</v>
      </c>
      <c r="I2164" s="210"/>
    </row>
    <row r="2165" spans="1:9" x14ac:dyDescent="0.25">
      <c r="A2165" s="74"/>
      <c r="B2165" s="45">
        <v>1281</v>
      </c>
      <c r="C2165" s="64" t="s">
        <v>1683</v>
      </c>
      <c r="D2165" s="74"/>
      <c r="E2165" s="208" t="s">
        <v>135</v>
      </c>
      <c r="F2165" s="209" t="s">
        <v>21</v>
      </c>
      <c r="G2165" s="209" t="s">
        <v>21</v>
      </c>
      <c r="H2165" s="209" t="s">
        <v>272</v>
      </c>
      <c r="I2165" s="210"/>
    </row>
    <row r="2166" spans="1:9" x14ac:dyDescent="0.25">
      <c r="A2166" s="74"/>
      <c r="B2166" s="45">
        <v>1282</v>
      </c>
      <c r="C2166" s="64" t="s">
        <v>1684</v>
      </c>
      <c r="D2166" s="74"/>
      <c r="E2166" s="208" t="s">
        <v>135</v>
      </c>
      <c r="F2166" s="209" t="s">
        <v>21</v>
      </c>
      <c r="G2166" s="209" t="s">
        <v>21</v>
      </c>
      <c r="H2166" s="209" t="s">
        <v>272</v>
      </c>
      <c r="I2166" s="210"/>
    </row>
    <row r="2167" spans="1:9" x14ac:dyDescent="0.25">
      <c r="A2167" s="74"/>
      <c r="B2167" s="45">
        <v>258</v>
      </c>
      <c r="C2167" s="64" t="s">
        <v>670</v>
      </c>
      <c r="D2167" s="74"/>
      <c r="E2167" s="208" t="s">
        <v>176</v>
      </c>
      <c r="F2167" s="209" t="s">
        <v>21</v>
      </c>
      <c r="G2167" s="209" t="s">
        <v>21</v>
      </c>
      <c r="H2167" s="209" t="s">
        <v>192</v>
      </c>
      <c r="I2167" s="210"/>
    </row>
    <row r="2168" spans="1:9" x14ac:dyDescent="0.25">
      <c r="A2168" s="74"/>
      <c r="B2168" s="45">
        <v>1283</v>
      </c>
      <c r="C2168" s="64" t="s">
        <v>1685</v>
      </c>
      <c r="D2168" s="74"/>
      <c r="E2168" s="208" t="s">
        <v>135</v>
      </c>
      <c r="F2168" s="209" t="s">
        <v>21</v>
      </c>
      <c r="G2168" s="209" t="s">
        <v>21</v>
      </c>
      <c r="H2168" s="209" t="s">
        <v>192</v>
      </c>
      <c r="I2168" s="210"/>
    </row>
    <row r="2169" spans="1:9" x14ac:dyDescent="0.25">
      <c r="A2169" s="74"/>
      <c r="B2169" s="45">
        <v>1276</v>
      </c>
      <c r="C2169" s="64" t="s">
        <v>1678</v>
      </c>
      <c r="D2169" s="74"/>
      <c r="E2169" s="208" t="s">
        <v>135</v>
      </c>
      <c r="F2169" s="209" t="s">
        <v>21</v>
      </c>
      <c r="G2169" s="209" t="s">
        <v>21</v>
      </c>
      <c r="H2169" s="209" t="s">
        <v>272</v>
      </c>
      <c r="I2169" s="210"/>
    </row>
    <row r="2170" spans="1:9" x14ac:dyDescent="0.25">
      <c r="A2170" s="74"/>
      <c r="B2170" s="45">
        <v>1275</v>
      </c>
      <c r="C2170" s="64" t="s">
        <v>1677</v>
      </c>
      <c r="D2170" s="74"/>
      <c r="E2170" s="208" t="s">
        <v>135</v>
      </c>
      <c r="F2170" s="209" t="s">
        <v>21</v>
      </c>
      <c r="G2170" s="209" t="s">
        <v>21</v>
      </c>
      <c r="H2170" s="209" t="s">
        <v>272</v>
      </c>
      <c r="I2170" s="210"/>
    </row>
    <row r="2171" spans="1:9" x14ac:dyDescent="0.25">
      <c r="A2171" s="74"/>
      <c r="B2171" s="45">
        <v>1277</v>
      </c>
      <c r="C2171" s="64" t="s">
        <v>1679</v>
      </c>
      <c r="D2171" s="74"/>
      <c r="E2171" s="208" t="s">
        <v>135</v>
      </c>
      <c r="F2171" s="209" t="s">
        <v>21</v>
      </c>
      <c r="G2171" s="209" t="s">
        <v>21</v>
      </c>
      <c r="H2171" s="209" t="s">
        <v>272</v>
      </c>
      <c r="I2171" s="210"/>
    </row>
    <row r="2172" spans="1:9" x14ac:dyDescent="0.25">
      <c r="A2172" s="74"/>
      <c r="B2172" s="45">
        <v>1278</v>
      </c>
      <c r="C2172" s="64" t="s">
        <v>1680</v>
      </c>
      <c r="D2172" s="74"/>
      <c r="E2172" s="208" t="s">
        <v>135</v>
      </c>
      <c r="F2172" s="209" t="s">
        <v>21</v>
      </c>
      <c r="G2172" s="209" t="s">
        <v>21</v>
      </c>
      <c r="H2172" s="209" t="s">
        <v>272</v>
      </c>
      <c r="I2172" s="210"/>
    </row>
    <row r="2173" spans="1:9" x14ac:dyDescent="0.25">
      <c r="A2173" s="74"/>
      <c r="B2173" s="45">
        <v>1279</v>
      </c>
      <c r="C2173" s="64" t="s">
        <v>1681</v>
      </c>
      <c r="D2173" s="74"/>
      <c r="E2173" s="208" t="s">
        <v>135</v>
      </c>
      <c r="F2173" s="209" t="s">
        <v>21</v>
      </c>
      <c r="G2173" s="209" t="s">
        <v>21</v>
      </c>
      <c r="H2173" s="209" t="s">
        <v>272</v>
      </c>
      <c r="I2173" s="210"/>
    </row>
    <row r="2174" spans="1:9" x14ac:dyDescent="0.25">
      <c r="A2174" s="74"/>
      <c r="B2174" s="45">
        <v>1280</v>
      </c>
      <c r="C2174" s="64" t="s">
        <v>1682</v>
      </c>
      <c r="D2174" s="74"/>
      <c r="E2174" s="208" t="s">
        <v>135</v>
      </c>
      <c r="F2174" s="209" t="s">
        <v>21</v>
      </c>
      <c r="G2174" s="209" t="s">
        <v>21</v>
      </c>
      <c r="H2174" s="209" t="s">
        <v>272</v>
      </c>
      <c r="I2174" s="210"/>
    </row>
    <row r="2175" spans="1:9" x14ac:dyDescent="0.25">
      <c r="A2175" s="74"/>
      <c r="B2175" s="45">
        <v>1241</v>
      </c>
      <c r="C2175" s="64" t="s">
        <v>1645</v>
      </c>
      <c r="D2175" s="74"/>
      <c r="E2175" s="208" t="s">
        <v>135</v>
      </c>
      <c r="F2175" s="209" t="s">
        <v>21</v>
      </c>
      <c r="G2175" s="209" t="s">
        <v>21</v>
      </c>
      <c r="H2175" s="209" t="s">
        <v>272</v>
      </c>
      <c r="I2175" s="210"/>
    </row>
    <row r="2176" spans="1:9" x14ac:dyDescent="0.25">
      <c r="A2176" s="74"/>
      <c r="B2176" s="45">
        <v>1281</v>
      </c>
      <c r="C2176" s="64" t="s">
        <v>1683</v>
      </c>
      <c r="D2176" s="74"/>
      <c r="E2176" s="208" t="s">
        <v>135</v>
      </c>
      <c r="F2176" s="209" t="s">
        <v>21</v>
      </c>
      <c r="G2176" s="209" t="s">
        <v>21</v>
      </c>
      <c r="H2176" s="209" t="s">
        <v>272</v>
      </c>
      <c r="I2176" s="210"/>
    </row>
    <row r="2177" spans="1:9" x14ac:dyDescent="0.25">
      <c r="A2177" s="74"/>
      <c r="B2177" s="45">
        <v>1282</v>
      </c>
      <c r="C2177" s="64" t="s">
        <v>1684</v>
      </c>
      <c r="D2177" s="74"/>
      <c r="E2177" s="208" t="s">
        <v>135</v>
      </c>
      <c r="F2177" s="209" t="s">
        <v>21</v>
      </c>
      <c r="G2177" s="209" t="s">
        <v>21</v>
      </c>
      <c r="H2177" s="209" t="s">
        <v>272</v>
      </c>
      <c r="I2177" s="210"/>
    </row>
    <row r="2178" spans="1:9" x14ac:dyDescent="0.25">
      <c r="A2178" s="74"/>
      <c r="B2178" s="45">
        <v>258</v>
      </c>
      <c r="C2178" s="64" t="s">
        <v>670</v>
      </c>
      <c r="D2178" s="74"/>
      <c r="E2178" s="208" t="s">
        <v>176</v>
      </c>
      <c r="F2178" s="209" t="s">
        <v>21</v>
      </c>
      <c r="G2178" s="209" t="s">
        <v>21</v>
      </c>
      <c r="H2178" s="209" t="s">
        <v>192</v>
      </c>
      <c r="I2178" s="210"/>
    </row>
    <row r="2179" spans="1:9" x14ac:dyDescent="0.25">
      <c r="A2179" s="74"/>
      <c r="B2179" s="45">
        <v>1283</v>
      </c>
      <c r="C2179" s="64" t="s">
        <v>1685</v>
      </c>
      <c r="D2179" s="74"/>
      <c r="E2179" s="208" t="s">
        <v>135</v>
      </c>
      <c r="F2179" s="209" t="s">
        <v>21</v>
      </c>
      <c r="G2179" s="209" t="s">
        <v>21</v>
      </c>
      <c r="H2179" s="209" t="s">
        <v>192</v>
      </c>
      <c r="I2179" s="210"/>
    </row>
    <row r="2180" spans="1:9" x14ac:dyDescent="0.25">
      <c r="A2180" s="74"/>
      <c r="B2180" s="45">
        <v>1196</v>
      </c>
      <c r="C2180" s="64" t="s">
        <v>1602</v>
      </c>
      <c r="D2180" s="74"/>
      <c r="E2180" s="208" t="s">
        <v>132</v>
      </c>
      <c r="F2180" s="209" t="s">
        <v>21</v>
      </c>
      <c r="G2180" s="209" t="s">
        <v>21</v>
      </c>
      <c r="H2180" s="209" t="s">
        <v>16</v>
      </c>
      <c r="I2180" s="210"/>
    </row>
    <row r="2181" spans="1:9" x14ac:dyDescent="0.25">
      <c r="A2181" s="74"/>
      <c r="B2181" s="45">
        <v>96</v>
      </c>
      <c r="C2181" s="64" t="s">
        <v>508</v>
      </c>
      <c r="D2181" s="74"/>
      <c r="E2181" s="208" t="s">
        <v>132</v>
      </c>
      <c r="F2181" s="209" t="s">
        <v>21</v>
      </c>
      <c r="G2181" s="209" t="s">
        <v>21</v>
      </c>
      <c r="H2181" s="209" t="s">
        <v>198</v>
      </c>
      <c r="I2181" s="210"/>
    </row>
    <row r="2182" spans="1:9" x14ac:dyDescent="0.25">
      <c r="A2182" s="74"/>
      <c r="B2182" s="45">
        <v>97</v>
      </c>
      <c r="C2182" s="64" t="s">
        <v>509</v>
      </c>
      <c r="D2182" s="74"/>
      <c r="E2182" s="208" t="s">
        <v>132</v>
      </c>
      <c r="F2182" s="209" t="s">
        <v>21</v>
      </c>
      <c r="G2182" s="209" t="s">
        <v>21</v>
      </c>
      <c r="H2182" s="209" t="s">
        <v>198</v>
      </c>
      <c r="I2182" s="210"/>
    </row>
    <row r="2183" spans="1:9" x14ac:dyDescent="0.25">
      <c r="A2183" s="74"/>
      <c r="B2183" s="45">
        <v>201</v>
      </c>
      <c r="C2183" s="64" t="s">
        <v>613</v>
      </c>
      <c r="D2183" s="74"/>
      <c r="E2183" s="208" t="s">
        <v>132</v>
      </c>
      <c r="F2183" s="209" t="s">
        <v>21</v>
      </c>
      <c r="G2183" s="209" t="s">
        <v>21</v>
      </c>
      <c r="H2183" s="209" t="s">
        <v>187</v>
      </c>
      <c r="I2183" s="210"/>
    </row>
    <row r="2184" spans="1:9" x14ac:dyDescent="0.25">
      <c r="A2184" s="74"/>
      <c r="B2184" s="45">
        <v>101</v>
      </c>
      <c r="C2184" s="64" t="s">
        <v>513</v>
      </c>
      <c r="D2184" s="74"/>
      <c r="E2184" s="208" t="s">
        <v>133</v>
      </c>
      <c r="F2184" s="209" t="s">
        <v>21</v>
      </c>
      <c r="G2184" s="209" t="s">
        <v>21</v>
      </c>
      <c r="H2184" s="209" t="s">
        <v>198</v>
      </c>
      <c r="I2184" s="210"/>
    </row>
    <row r="2185" spans="1:9" x14ac:dyDescent="0.25">
      <c r="A2185" s="74"/>
      <c r="B2185" s="45">
        <v>110</v>
      </c>
      <c r="C2185" s="64" t="s">
        <v>522</v>
      </c>
      <c r="D2185" s="74"/>
      <c r="E2185" s="208" t="s">
        <v>133</v>
      </c>
      <c r="F2185" s="209" t="s">
        <v>21</v>
      </c>
      <c r="G2185" s="209" t="s">
        <v>21</v>
      </c>
      <c r="H2185" s="209" t="s">
        <v>194</v>
      </c>
      <c r="I2185" s="210"/>
    </row>
    <row r="2186" spans="1:9" x14ac:dyDescent="0.25">
      <c r="A2186" s="74"/>
      <c r="B2186" s="45">
        <v>117</v>
      </c>
      <c r="C2186" s="64" t="s">
        <v>529</v>
      </c>
      <c r="D2186" s="74"/>
      <c r="E2186" s="208" t="s">
        <v>133</v>
      </c>
      <c r="F2186" s="209" t="s">
        <v>21</v>
      </c>
      <c r="G2186" s="209" t="s">
        <v>21</v>
      </c>
      <c r="H2186" s="209" t="s">
        <v>192</v>
      </c>
      <c r="I2186" s="210"/>
    </row>
    <row r="2187" spans="1:9" x14ac:dyDescent="0.25">
      <c r="A2187" s="74"/>
      <c r="B2187" s="45">
        <v>33</v>
      </c>
      <c r="C2187" s="64" t="s">
        <v>447</v>
      </c>
      <c r="D2187" s="74"/>
      <c r="E2187" s="208" t="s">
        <v>122</v>
      </c>
      <c r="F2187" s="209" t="s">
        <v>21</v>
      </c>
      <c r="G2187" s="209" t="s">
        <v>21</v>
      </c>
      <c r="H2187" s="209" t="s">
        <v>189</v>
      </c>
      <c r="I2187" s="210"/>
    </row>
    <row r="2188" spans="1:9" x14ac:dyDescent="0.25">
      <c r="A2188" s="74"/>
      <c r="B2188" s="45">
        <v>204</v>
      </c>
      <c r="C2188" s="64" t="s">
        <v>616</v>
      </c>
      <c r="D2188" s="74"/>
      <c r="E2188" s="208" t="s">
        <v>122</v>
      </c>
      <c r="F2188" s="209" t="s">
        <v>21</v>
      </c>
      <c r="G2188" s="209" t="s">
        <v>21</v>
      </c>
      <c r="H2188" s="209" t="s">
        <v>192</v>
      </c>
      <c r="I2188" s="210"/>
    </row>
    <row r="2189" spans="1:9" x14ac:dyDescent="0.25">
      <c r="A2189" s="74"/>
      <c r="B2189" s="45">
        <v>1288</v>
      </c>
      <c r="C2189" s="64" t="s">
        <v>1690</v>
      </c>
      <c r="D2189" s="74"/>
      <c r="E2189" s="208" t="s">
        <v>122</v>
      </c>
      <c r="F2189" s="209" t="s">
        <v>21</v>
      </c>
      <c r="G2189" s="209" t="s">
        <v>21</v>
      </c>
      <c r="H2189" s="209" t="s">
        <v>272</v>
      </c>
      <c r="I2189" s="210"/>
    </row>
    <row r="2190" spans="1:9" x14ac:dyDescent="0.25">
      <c r="A2190" s="74"/>
      <c r="B2190" s="45">
        <v>1167</v>
      </c>
      <c r="C2190" s="64" t="s">
        <v>1576</v>
      </c>
      <c r="D2190" s="74"/>
      <c r="E2190" s="208" t="s">
        <v>122</v>
      </c>
      <c r="F2190" s="209" t="s">
        <v>21</v>
      </c>
      <c r="G2190" s="209" t="s">
        <v>21</v>
      </c>
      <c r="H2190" s="209" t="s">
        <v>272</v>
      </c>
      <c r="I2190" s="210"/>
    </row>
    <row r="2191" spans="1:9" x14ac:dyDescent="0.25">
      <c r="A2191" s="74"/>
      <c r="B2191" s="45">
        <v>1290</v>
      </c>
      <c r="C2191" s="64" t="s">
        <v>1611</v>
      </c>
      <c r="D2191" s="74"/>
      <c r="E2191" s="208" t="s">
        <v>135</v>
      </c>
      <c r="F2191" s="209" t="s">
        <v>21</v>
      </c>
      <c r="G2191" s="209" t="s">
        <v>21</v>
      </c>
      <c r="H2191" s="209" t="s">
        <v>189</v>
      </c>
      <c r="I2191" s="210"/>
    </row>
    <row r="2192" spans="1:9" x14ac:dyDescent="0.25">
      <c r="A2192" s="74"/>
      <c r="B2192" s="45">
        <v>1291</v>
      </c>
      <c r="C2192" s="64" t="s">
        <v>1691</v>
      </c>
      <c r="D2192" s="74"/>
      <c r="E2192" s="208" t="s">
        <v>154</v>
      </c>
      <c r="F2192" s="209" t="s">
        <v>21</v>
      </c>
      <c r="G2192" s="209" t="s">
        <v>21</v>
      </c>
      <c r="H2192" s="209" t="s">
        <v>189</v>
      </c>
      <c r="I2192" s="210"/>
    </row>
    <row r="2193" spans="1:9" x14ac:dyDescent="0.25">
      <c r="A2193" s="74"/>
      <c r="B2193" s="45">
        <v>1292</v>
      </c>
      <c r="C2193" s="64" t="s">
        <v>1692</v>
      </c>
      <c r="D2193" s="74"/>
      <c r="E2193" s="208" t="s">
        <v>135</v>
      </c>
      <c r="F2193" s="209" t="s">
        <v>21</v>
      </c>
      <c r="G2193" s="209" t="s">
        <v>21</v>
      </c>
      <c r="H2193" s="209" t="s">
        <v>192</v>
      </c>
      <c r="I2193" s="210"/>
    </row>
    <row r="2194" spans="1:9" x14ac:dyDescent="0.25">
      <c r="A2194" s="74"/>
      <c r="B2194" s="45">
        <v>1293</v>
      </c>
      <c r="C2194" s="64" t="s">
        <v>1693</v>
      </c>
      <c r="D2194" s="74"/>
      <c r="E2194" s="208" t="s">
        <v>135</v>
      </c>
      <c r="F2194" s="209" t="s">
        <v>21</v>
      </c>
      <c r="G2194" s="209" t="s">
        <v>21</v>
      </c>
      <c r="H2194" s="209" t="s">
        <v>272</v>
      </c>
      <c r="I2194" s="210"/>
    </row>
    <row r="2195" spans="1:9" x14ac:dyDescent="0.25">
      <c r="A2195" s="74"/>
      <c r="B2195" s="45">
        <v>211</v>
      </c>
      <c r="C2195" s="64" t="s">
        <v>623</v>
      </c>
      <c r="D2195" s="74"/>
      <c r="E2195" s="208" t="s">
        <v>127</v>
      </c>
      <c r="F2195" s="209" t="s">
        <v>21</v>
      </c>
      <c r="G2195" s="209" t="s">
        <v>21</v>
      </c>
      <c r="H2195" s="209" t="s">
        <v>180</v>
      </c>
      <c r="I2195" s="210"/>
    </row>
    <row r="2196" spans="1:9" x14ac:dyDescent="0.25">
      <c r="A2196" s="74"/>
      <c r="B2196" s="45">
        <v>216</v>
      </c>
      <c r="C2196" s="64" t="s">
        <v>628</v>
      </c>
      <c r="D2196" s="74"/>
      <c r="E2196" s="208" t="s">
        <v>127</v>
      </c>
      <c r="F2196" s="209" t="s">
        <v>21</v>
      </c>
      <c r="G2196" s="209" t="s">
        <v>21</v>
      </c>
      <c r="H2196" s="209" t="s">
        <v>180</v>
      </c>
      <c r="I2196" s="210"/>
    </row>
    <row r="2197" spans="1:9" x14ac:dyDescent="0.25">
      <c r="A2197" s="74"/>
      <c r="B2197" s="45">
        <v>217</v>
      </c>
      <c r="C2197" s="64" t="s">
        <v>629</v>
      </c>
      <c r="D2197" s="74"/>
      <c r="E2197" s="208" t="s">
        <v>127</v>
      </c>
      <c r="F2197" s="209" t="s">
        <v>21</v>
      </c>
      <c r="G2197" s="209" t="s">
        <v>21</v>
      </c>
      <c r="H2197" s="209" t="s">
        <v>180</v>
      </c>
      <c r="I2197" s="210"/>
    </row>
    <row r="2198" spans="1:9" x14ac:dyDescent="0.25">
      <c r="A2198" s="74"/>
      <c r="B2198" s="45">
        <v>219</v>
      </c>
      <c r="C2198" s="64" t="s">
        <v>631</v>
      </c>
      <c r="D2198" s="74"/>
      <c r="E2198" s="208" t="s">
        <v>127</v>
      </c>
      <c r="F2198" s="209" t="s">
        <v>21</v>
      </c>
      <c r="G2198" s="209" t="s">
        <v>21</v>
      </c>
      <c r="H2198" s="209" t="s">
        <v>179</v>
      </c>
      <c r="I2198" s="210"/>
    </row>
    <row r="2199" spans="1:9" x14ac:dyDescent="0.25">
      <c r="A2199" s="74"/>
      <c r="B2199" s="45">
        <v>1294</v>
      </c>
      <c r="C2199" s="64" t="s">
        <v>1601</v>
      </c>
      <c r="D2199" s="74"/>
      <c r="E2199" s="208" t="s">
        <v>127</v>
      </c>
      <c r="F2199" s="209" t="s">
        <v>21</v>
      </c>
      <c r="G2199" s="209" t="s">
        <v>21</v>
      </c>
      <c r="H2199" s="209" t="s">
        <v>194</v>
      </c>
      <c r="I2199" s="210"/>
    </row>
    <row r="2200" spans="1:9" x14ac:dyDescent="0.25">
      <c r="A2200" s="74"/>
      <c r="B2200" s="45">
        <v>1295</v>
      </c>
      <c r="C2200" s="64" t="s">
        <v>1694</v>
      </c>
      <c r="D2200" s="74"/>
      <c r="E2200" s="208" t="s">
        <v>127</v>
      </c>
      <c r="F2200" s="209" t="s">
        <v>21</v>
      </c>
      <c r="G2200" s="209" t="s">
        <v>21</v>
      </c>
      <c r="H2200" s="209" t="s">
        <v>16</v>
      </c>
      <c r="I2200" s="210"/>
    </row>
    <row r="2201" spans="1:9" x14ac:dyDescent="0.25">
      <c r="A2201" s="74"/>
      <c r="B2201" s="45">
        <v>216</v>
      </c>
      <c r="C2201" s="64" t="s">
        <v>628</v>
      </c>
      <c r="D2201" s="74"/>
      <c r="E2201" s="208" t="s">
        <v>127</v>
      </c>
      <c r="F2201" s="209" t="s">
        <v>21</v>
      </c>
      <c r="G2201" s="209" t="s">
        <v>21</v>
      </c>
      <c r="H2201" s="209" t="s">
        <v>180</v>
      </c>
      <c r="I2201" s="210"/>
    </row>
    <row r="2202" spans="1:9" x14ac:dyDescent="0.25">
      <c r="A2202" s="74"/>
      <c r="B2202" s="45">
        <v>219</v>
      </c>
      <c r="C2202" s="64" t="s">
        <v>631</v>
      </c>
      <c r="D2202" s="74"/>
      <c r="E2202" s="208" t="s">
        <v>127</v>
      </c>
      <c r="F2202" s="209" t="s">
        <v>21</v>
      </c>
      <c r="G2202" s="209" t="s">
        <v>21</v>
      </c>
      <c r="H2202" s="209" t="s">
        <v>179</v>
      </c>
      <c r="I2202" s="210"/>
    </row>
    <row r="2203" spans="1:9" x14ac:dyDescent="0.25">
      <c r="A2203" s="74"/>
      <c r="B2203" s="45">
        <v>217</v>
      </c>
      <c r="C2203" s="64" t="s">
        <v>629</v>
      </c>
      <c r="D2203" s="74"/>
      <c r="E2203" s="208" t="s">
        <v>127</v>
      </c>
      <c r="F2203" s="209" t="s">
        <v>21</v>
      </c>
      <c r="G2203" s="209" t="s">
        <v>21</v>
      </c>
      <c r="H2203" s="209" t="s">
        <v>180</v>
      </c>
      <c r="I2203" s="210"/>
    </row>
    <row r="2204" spans="1:9" x14ac:dyDescent="0.25">
      <c r="A2204" s="74"/>
      <c r="B2204" s="45">
        <v>215</v>
      </c>
      <c r="C2204" s="64" t="s">
        <v>627</v>
      </c>
      <c r="D2204" s="74"/>
      <c r="E2204" s="208" t="s">
        <v>127</v>
      </c>
      <c r="F2204" s="209" t="s">
        <v>21</v>
      </c>
      <c r="G2204" s="209" t="s">
        <v>21</v>
      </c>
      <c r="H2204" s="209" t="s">
        <v>189</v>
      </c>
      <c r="I2204" s="210"/>
    </row>
    <row r="2205" spans="1:9" x14ac:dyDescent="0.25">
      <c r="A2205" s="74"/>
      <c r="B2205" s="45">
        <v>23</v>
      </c>
      <c r="C2205" s="64" t="s">
        <v>437</v>
      </c>
      <c r="D2205" s="74"/>
      <c r="E2205" s="208" t="s">
        <v>133</v>
      </c>
      <c r="F2205" s="209" t="s">
        <v>21</v>
      </c>
      <c r="G2205" s="209" t="s">
        <v>21</v>
      </c>
      <c r="H2205" s="209" t="s">
        <v>194</v>
      </c>
      <c r="I2205" s="210"/>
    </row>
    <row r="2206" spans="1:9" x14ac:dyDescent="0.25">
      <c r="A2206" s="74"/>
      <c r="B2206" s="45">
        <v>131</v>
      </c>
      <c r="C2206" s="64" t="s">
        <v>543</v>
      </c>
      <c r="D2206" s="74"/>
      <c r="E2206" s="208" t="s">
        <v>132</v>
      </c>
      <c r="F2206" s="209" t="s">
        <v>21</v>
      </c>
      <c r="G2206" s="209" t="s">
        <v>21</v>
      </c>
      <c r="H2206" s="209" t="s">
        <v>192</v>
      </c>
      <c r="I2206" s="210"/>
    </row>
    <row r="2207" spans="1:9" x14ac:dyDescent="0.25">
      <c r="A2207" s="74"/>
      <c r="B2207" s="45">
        <v>1181</v>
      </c>
      <c r="C2207" s="64" t="s">
        <v>1589</v>
      </c>
      <c r="D2207" s="74"/>
      <c r="E2207" s="208" t="s">
        <v>132</v>
      </c>
      <c r="F2207" s="209" t="s">
        <v>21</v>
      </c>
      <c r="G2207" s="209" t="s">
        <v>21</v>
      </c>
      <c r="H2207" s="209" t="s">
        <v>272</v>
      </c>
      <c r="I2207" s="210"/>
    </row>
    <row r="2208" spans="1:9" x14ac:dyDescent="0.25">
      <c r="A2208" s="74"/>
      <c r="B2208" s="45">
        <v>1171</v>
      </c>
      <c r="C2208" s="64" t="s">
        <v>1580</v>
      </c>
      <c r="D2208" s="74"/>
      <c r="E2208" s="208" t="s">
        <v>122</v>
      </c>
      <c r="F2208" s="209" t="s">
        <v>21</v>
      </c>
      <c r="G2208" s="209" t="s">
        <v>21</v>
      </c>
      <c r="H2208" s="209" t="s">
        <v>16</v>
      </c>
      <c r="I2208" s="210"/>
    </row>
    <row r="2209" spans="1:9" x14ac:dyDescent="0.25">
      <c r="A2209" s="74"/>
      <c r="B2209" s="45">
        <v>1296</v>
      </c>
      <c r="C2209" s="64" t="s">
        <v>1695</v>
      </c>
      <c r="D2209" s="74"/>
      <c r="E2209" s="208" t="s">
        <v>127</v>
      </c>
      <c r="F2209" s="209" t="s">
        <v>21</v>
      </c>
      <c r="G2209" s="209" t="s">
        <v>21</v>
      </c>
      <c r="H2209" s="209" t="s">
        <v>16</v>
      </c>
      <c r="I2209" s="210"/>
    </row>
    <row r="2210" spans="1:9" x14ac:dyDescent="0.25">
      <c r="A2210" s="74"/>
      <c r="B2210" s="45">
        <v>118</v>
      </c>
      <c r="C2210" s="64" t="s">
        <v>530</v>
      </c>
      <c r="D2210" s="74"/>
      <c r="E2210" s="208" t="s">
        <v>133</v>
      </c>
      <c r="F2210" s="209" t="s">
        <v>21</v>
      </c>
      <c r="G2210" s="209" t="s">
        <v>21</v>
      </c>
      <c r="H2210" s="209" t="s">
        <v>192</v>
      </c>
      <c r="I2210" s="210"/>
    </row>
    <row r="2211" spans="1:9" x14ac:dyDescent="0.25">
      <c r="A2211" s="74"/>
      <c r="B2211" s="45">
        <v>106</v>
      </c>
      <c r="C2211" s="64" t="s">
        <v>518</v>
      </c>
      <c r="D2211" s="74"/>
      <c r="E2211" s="208" t="s">
        <v>132</v>
      </c>
      <c r="F2211" s="209" t="s">
        <v>21</v>
      </c>
      <c r="G2211" s="209" t="s">
        <v>21</v>
      </c>
      <c r="H2211" s="209" t="s">
        <v>192</v>
      </c>
      <c r="I2211" s="210"/>
    </row>
    <row r="2212" spans="1:9" x14ac:dyDescent="0.25">
      <c r="A2212" s="74"/>
      <c r="B2212" s="45">
        <v>1180</v>
      </c>
      <c r="C2212" s="64" t="s">
        <v>1588</v>
      </c>
      <c r="D2212" s="74"/>
      <c r="E2212" s="208" t="s">
        <v>132</v>
      </c>
      <c r="F2212" s="209" t="s">
        <v>21</v>
      </c>
      <c r="G2212" s="209" t="s">
        <v>21</v>
      </c>
      <c r="H2212" s="209" t="s">
        <v>272</v>
      </c>
      <c r="I2212" s="210"/>
    </row>
    <row r="2213" spans="1:9" x14ac:dyDescent="0.25">
      <c r="A2213" s="74"/>
      <c r="B2213" s="45">
        <v>670</v>
      </c>
      <c r="C2213" s="64" t="s">
        <v>1079</v>
      </c>
      <c r="D2213" s="74"/>
      <c r="E2213" s="208" t="s">
        <v>136</v>
      </c>
      <c r="F2213" s="209" t="s">
        <v>21</v>
      </c>
      <c r="G2213" s="209" t="s">
        <v>21</v>
      </c>
      <c r="H2213" s="209" t="s">
        <v>193</v>
      </c>
      <c r="I2213" s="210"/>
    </row>
    <row r="2214" spans="1:9" x14ac:dyDescent="0.25">
      <c r="A2214" s="74"/>
      <c r="B2214" s="45">
        <v>214</v>
      </c>
      <c r="C2214" s="64" t="s">
        <v>626</v>
      </c>
      <c r="D2214" s="74"/>
      <c r="E2214" s="208" t="s">
        <v>127</v>
      </c>
      <c r="F2214" s="209" t="s">
        <v>21</v>
      </c>
      <c r="G2214" s="209" t="s">
        <v>21</v>
      </c>
      <c r="H2214" s="209" t="s">
        <v>189</v>
      </c>
      <c r="I2214" s="210"/>
    </row>
    <row r="2215" spans="1:9" x14ac:dyDescent="0.25">
      <c r="A2215" s="74"/>
      <c r="B2215" s="45">
        <v>1297</v>
      </c>
      <c r="C2215" s="64" t="s">
        <v>1696</v>
      </c>
      <c r="D2215" s="74"/>
      <c r="E2215" s="208" t="s">
        <v>278</v>
      </c>
      <c r="F2215" s="209" t="s">
        <v>21</v>
      </c>
      <c r="G2215" s="209" t="s">
        <v>21</v>
      </c>
      <c r="H2215" s="209" t="s">
        <v>189</v>
      </c>
      <c r="I2215" s="210"/>
    </row>
    <row r="2216" spans="1:9" x14ac:dyDescent="0.25">
      <c r="A2216" s="74"/>
      <c r="B2216" s="45">
        <v>213</v>
      </c>
      <c r="C2216" s="64" t="s">
        <v>625</v>
      </c>
      <c r="D2216" s="74"/>
      <c r="E2216" s="208" t="s">
        <v>127</v>
      </c>
      <c r="F2216" s="209" t="s">
        <v>21</v>
      </c>
      <c r="G2216" s="209" t="s">
        <v>21</v>
      </c>
      <c r="H2216" s="209" t="s">
        <v>189</v>
      </c>
      <c r="I2216" s="210"/>
    </row>
    <row r="2217" spans="1:9" x14ac:dyDescent="0.25">
      <c r="A2217" s="74"/>
      <c r="B2217" s="45">
        <v>1298</v>
      </c>
      <c r="C2217" s="64" t="s">
        <v>1697</v>
      </c>
      <c r="D2217" s="74"/>
      <c r="E2217" s="208" t="s">
        <v>127</v>
      </c>
      <c r="F2217" s="209" t="s">
        <v>21</v>
      </c>
      <c r="G2217" s="209" t="s">
        <v>21</v>
      </c>
      <c r="H2217" s="209" t="s">
        <v>193</v>
      </c>
      <c r="I2217" s="210"/>
    </row>
    <row r="2218" spans="1:9" x14ac:dyDescent="0.25">
      <c r="A2218" s="74"/>
      <c r="B2218" s="45">
        <v>1299</v>
      </c>
      <c r="C2218" s="64" t="s">
        <v>1698</v>
      </c>
      <c r="D2218" s="74"/>
      <c r="E2218" s="208" t="s">
        <v>161</v>
      </c>
      <c r="F2218" s="209" t="s">
        <v>21</v>
      </c>
      <c r="G2218" s="209" t="s">
        <v>21</v>
      </c>
      <c r="H2218" s="209" t="s">
        <v>189</v>
      </c>
      <c r="I2218" s="210"/>
    </row>
    <row r="2219" spans="1:9" x14ac:dyDescent="0.25">
      <c r="A2219" s="74"/>
      <c r="B2219" s="45">
        <v>1300</v>
      </c>
      <c r="C2219" s="64" t="s">
        <v>1545</v>
      </c>
      <c r="D2219" s="74"/>
      <c r="E2219" s="208" t="s">
        <v>127</v>
      </c>
      <c r="F2219" s="209" t="s">
        <v>21</v>
      </c>
      <c r="G2219" s="209" t="s">
        <v>21</v>
      </c>
      <c r="H2219" s="209" t="s">
        <v>193</v>
      </c>
      <c r="I2219" s="210"/>
    </row>
    <row r="2220" spans="1:9" x14ac:dyDescent="0.25">
      <c r="A2220" s="74"/>
      <c r="B2220" s="45">
        <v>220</v>
      </c>
      <c r="C2220" s="64" t="s">
        <v>632</v>
      </c>
      <c r="D2220" s="74"/>
      <c r="E2220" s="208" t="s">
        <v>127</v>
      </c>
      <c r="F2220" s="209" t="s">
        <v>21</v>
      </c>
      <c r="G2220" s="209" t="s">
        <v>21</v>
      </c>
      <c r="H2220" s="209" t="s">
        <v>200</v>
      </c>
      <c r="I2220" s="210"/>
    </row>
    <row r="2221" spans="1:9" x14ac:dyDescent="0.25">
      <c r="A2221" s="74"/>
      <c r="B2221" s="45">
        <v>1301</v>
      </c>
      <c r="C2221" s="64" t="s">
        <v>1699</v>
      </c>
      <c r="D2221" s="74"/>
      <c r="E2221" s="208" t="s">
        <v>127</v>
      </c>
      <c r="F2221" s="209" t="s">
        <v>21</v>
      </c>
      <c r="G2221" s="209" t="s">
        <v>21</v>
      </c>
      <c r="H2221" s="209" t="s">
        <v>16</v>
      </c>
      <c r="I2221" s="210"/>
    </row>
    <row r="2222" spans="1:9" x14ac:dyDescent="0.25">
      <c r="A2222" s="74"/>
      <c r="B2222" s="45">
        <v>1302</v>
      </c>
      <c r="C2222" s="64" t="s">
        <v>1700</v>
      </c>
      <c r="D2222" s="74"/>
      <c r="E2222" s="208" t="s">
        <v>127</v>
      </c>
      <c r="F2222" s="209" t="s">
        <v>21</v>
      </c>
      <c r="G2222" s="209" t="s">
        <v>21</v>
      </c>
      <c r="H2222" s="209" t="s">
        <v>16</v>
      </c>
      <c r="I2222" s="210"/>
    </row>
    <row r="2223" spans="1:9" x14ac:dyDescent="0.25">
      <c r="A2223" s="74"/>
      <c r="B2223" s="45">
        <v>1303</v>
      </c>
      <c r="C2223" s="64" t="s">
        <v>1701</v>
      </c>
      <c r="D2223" s="74"/>
      <c r="E2223" s="208" t="s">
        <v>127</v>
      </c>
      <c r="F2223" s="209" t="s">
        <v>21</v>
      </c>
      <c r="G2223" s="209" t="s">
        <v>21</v>
      </c>
      <c r="H2223" s="209" t="s">
        <v>189</v>
      </c>
      <c r="I2223" s="210"/>
    </row>
    <row r="2224" spans="1:9" x14ac:dyDescent="0.25">
      <c r="A2224" s="74"/>
      <c r="B2224" s="45">
        <v>1304</v>
      </c>
      <c r="C2224" s="64" t="s">
        <v>1702</v>
      </c>
      <c r="D2224" s="74"/>
      <c r="E2224" s="208" t="s">
        <v>127</v>
      </c>
      <c r="F2224" s="209" t="s">
        <v>21</v>
      </c>
      <c r="G2224" s="209" t="s">
        <v>21</v>
      </c>
      <c r="H2224" s="209" t="s">
        <v>193</v>
      </c>
      <c r="I2224" s="210"/>
    </row>
    <row r="2225" spans="1:9" x14ac:dyDescent="0.25">
      <c r="A2225" s="74"/>
      <c r="B2225" s="45">
        <v>224</v>
      </c>
      <c r="C2225" s="64" t="s">
        <v>636</v>
      </c>
      <c r="D2225" s="74"/>
      <c r="E2225" s="208" t="s">
        <v>164</v>
      </c>
      <c r="F2225" s="209" t="s">
        <v>21</v>
      </c>
      <c r="G2225" s="209" t="s">
        <v>21</v>
      </c>
      <c r="H2225" s="209" t="s">
        <v>194</v>
      </c>
      <c r="I2225" s="210"/>
    </row>
    <row r="2226" spans="1:9" x14ac:dyDescent="0.25">
      <c r="A2226" s="74"/>
      <c r="B2226" s="45">
        <v>1305</v>
      </c>
      <c r="C2226" s="64" t="s">
        <v>1703</v>
      </c>
      <c r="D2226" s="74"/>
      <c r="E2226" s="208" t="s">
        <v>164</v>
      </c>
      <c r="F2226" s="209" t="s">
        <v>21</v>
      </c>
      <c r="G2226" s="209" t="s">
        <v>21</v>
      </c>
      <c r="H2226" s="209" t="s">
        <v>192</v>
      </c>
      <c r="I2226" s="210"/>
    </row>
    <row r="2227" spans="1:9" x14ac:dyDescent="0.25">
      <c r="A2227" s="74"/>
      <c r="B2227" s="45">
        <v>271</v>
      </c>
      <c r="C2227" s="64" t="s">
        <v>683</v>
      </c>
      <c r="D2227" s="74"/>
      <c r="E2227" s="208" t="s">
        <v>164</v>
      </c>
      <c r="F2227" s="209" t="s">
        <v>21</v>
      </c>
      <c r="G2227" s="209" t="s">
        <v>21</v>
      </c>
      <c r="H2227" s="209" t="s">
        <v>187</v>
      </c>
      <c r="I2227" s="210"/>
    </row>
    <row r="2228" spans="1:9" x14ac:dyDescent="0.25">
      <c r="A2228" s="74"/>
      <c r="B2228" s="45">
        <v>230</v>
      </c>
      <c r="C2228" s="64" t="s">
        <v>642</v>
      </c>
      <c r="D2228" s="74"/>
      <c r="E2228" s="208" t="s">
        <v>164</v>
      </c>
      <c r="F2228" s="209" t="s">
        <v>21</v>
      </c>
      <c r="G2228" s="209" t="s">
        <v>21</v>
      </c>
      <c r="H2228" s="209" t="s">
        <v>186</v>
      </c>
      <c r="I2228" s="210"/>
    </row>
    <row r="2229" spans="1:9" x14ac:dyDescent="0.25">
      <c r="A2229" s="74"/>
      <c r="B2229" s="45">
        <v>253</v>
      </c>
      <c r="C2229" s="64" t="s">
        <v>665</v>
      </c>
      <c r="D2229" s="74"/>
      <c r="E2229" s="208" t="s">
        <v>176</v>
      </c>
      <c r="F2229" s="209" t="s">
        <v>21</v>
      </c>
      <c r="G2229" s="209" t="s">
        <v>21</v>
      </c>
      <c r="H2229" s="209" t="s">
        <v>183</v>
      </c>
      <c r="I2229" s="210"/>
    </row>
    <row r="2230" spans="1:9" x14ac:dyDescent="0.25">
      <c r="A2230" s="74"/>
      <c r="B2230" s="45">
        <v>229</v>
      </c>
      <c r="C2230" s="64" t="s">
        <v>641</v>
      </c>
      <c r="D2230" s="74"/>
      <c r="E2230" s="208" t="s">
        <v>164</v>
      </c>
      <c r="F2230" s="209" t="s">
        <v>21</v>
      </c>
      <c r="G2230" s="209" t="s">
        <v>21</v>
      </c>
      <c r="H2230" s="209" t="s">
        <v>194</v>
      </c>
      <c r="I2230" s="210"/>
    </row>
    <row r="2231" spans="1:9" x14ac:dyDescent="0.25">
      <c r="A2231" s="74"/>
      <c r="B2231" s="45">
        <v>227</v>
      </c>
      <c r="C2231" s="64" t="s">
        <v>639</v>
      </c>
      <c r="D2231" s="74"/>
      <c r="E2231" s="208" t="s">
        <v>164</v>
      </c>
      <c r="F2231" s="209" t="s">
        <v>21</v>
      </c>
      <c r="G2231" s="209" t="s">
        <v>21</v>
      </c>
      <c r="H2231" s="209" t="s">
        <v>194</v>
      </c>
      <c r="I2231" s="210"/>
    </row>
    <row r="2232" spans="1:9" x14ac:dyDescent="0.25">
      <c r="A2232" s="74"/>
      <c r="B2232" s="45">
        <v>1306</v>
      </c>
      <c r="C2232" s="64" t="s">
        <v>1704</v>
      </c>
      <c r="D2232" s="74"/>
      <c r="E2232" s="208" t="s">
        <v>276</v>
      </c>
      <c r="F2232" s="209" t="s">
        <v>21</v>
      </c>
      <c r="G2232" s="209" t="s">
        <v>21</v>
      </c>
      <c r="H2232" s="209" t="s">
        <v>192</v>
      </c>
      <c r="I2232" s="210"/>
    </row>
    <row r="2233" spans="1:9" x14ac:dyDescent="0.25">
      <c r="A2233" s="74"/>
      <c r="B2233" s="45">
        <v>1307</v>
      </c>
      <c r="C2233" s="64" t="s">
        <v>1705</v>
      </c>
      <c r="D2233" s="74"/>
      <c r="E2233" s="208" t="s">
        <v>164</v>
      </c>
      <c r="F2233" s="209" t="s">
        <v>21</v>
      </c>
      <c r="G2233" s="209" t="s">
        <v>21</v>
      </c>
      <c r="H2233" s="209" t="s">
        <v>272</v>
      </c>
      <c r="I2233" s="210"/>
    </row>
    <row r="2234" spans="1:9" x14ac:dyDescent="0.25">
      <c r="A2234" s="74"/>
      <c r="B2234" s="45">
        <v>1308</v>
      </c>
      <c r="C2234" s="64" t="s">
        <v>1706</v>
      </c>
      <c r="D2234" s="74"/>
      <c r="E2234" s="208" t="s">
        <v>164</v>
      </c>
      <c r="F2234" s="209" t="s">
        <v>21</v>
      </c>
      <c r="G2234" s="209" t="s">
        <v>21</v>
      </c>
      <c r="H2234" s="209" t="s">
        <v>272</v>
      </c>
      <c r="I2234" s="210"/>
    </row>
    <row r="2235" spans="1:9" x14ac:dyDescent="0.25">
      <c r="A2235" s="74"/>
      <c r="B2235" s="45">
        <v>240</v>
      </c>
      <c r="C2235" s="64" t="s">
        <v>652</v>
      </c>
      <c r="D2235" s="74"/>
      <c r="E2235" s="208" t="s">
        <v>164</v>
      </c>
      <c r="F2235" s="209" t="s">
        <v>21</v>
      </c>
      <c r="G2235" s="209" t="s">
        <v>21</v>
      </c>
      <c r="H2235" s="209" t="s">
        <v>192</v>
      </c>
      <c r="I2235" s="210"/>
    </row>
    <row r="2236" spans="1:9" x14ac:dyDescent="0.25">
      <c r="A2236" s="74"/>
      <c r="B2236" s="45">
        <v>1305</v>
      </c>
      <c r="C2236" s="64" t="s">
        <v>1703</v>
      </c>
      <c r="D2236" s="74"/>
      <c r="E2236" s="208" t="s">
        <v>164</v>
      </c>
      <c r="F2236" s="209" t="s">
        <v>21</v>
      </c>
      <c r="G2236" s="209" t="s">
        <v>21</v>
      </c>
      <c r="H2236" s="209" t="s">
        <v>192</v>
      </c>
      <c r="I2236" s="210"/>
    </row>
    <row r="2237" spans="1:9" x14ac:dyDescent="0.25">
      <c r="A2237" s="74"/>
      <c r="B2237" s="45">
        <v>1307</v>
      </c>
      <c r="C2237" s="64" t="s">
        <v>1705</v>
      </c>
      <c r="D2237" s="74"/>
      <c r="E2237" s="208" t="s">
        <v>164</v>
      </c>
      <c r="F2237" s="209" t="s">
        <v>21</v>
      </c>
      <c r="G2237" s="209" t="s">
        <v>21</v>
      </c>
      <c r="H2237" s="209" t="s">
        <v>272</v>
      </c>
      <c r="I2237" s="210"/>
    </row>
    <row r="2238" spans="1:9" x14ac:dyDescent="0.25">
      <c r="A2238" s="74"/>
      <c r="B2238" s="45">
        <v>1308</v>
      </c>
      <c r="C2238" s="64" t="s">
        <v>1706</v>
      </c>
      <c r="D2238" s="74"/>
      <c r="E2238" s="208" t="s">
        <v>164</v>
      </c>
      <c r="F2238" s="209" t="s">
        <v>21</v>
      </c>
      <c r="G2238" s="209" t="s">
        <v>21</v>
      </c>
      <c r="H2238" s="209" t="s">
        <v>272</v>
      </c>
      <c r="I2238" s="210"/>
    </row>
    <row r="2239" spans="1:9" x14ac:dyDescent="0.25">
      <c r="A2239" s="74"/>
      <c r="B2239" s="45">
        <v>240</v>
      </c>
      <c r="C2239" s="64" t="s">
        <v>652</v>
      </c>
      <c r="D2239" s="74"/>
      <c r="E2239" s="208" t="s">
        <v>164</v>
      </c>
      <c r="F2239" s="209" t="s">
        <v>21</v>
      </c>
      <c r="G2239" s="209" t="s">
        <v>21</v>
      </c>
      <c r="H2239" s="209" t="s">
        <v>192</v>
      </c>
      <c r="I2239" s="210"/>
    </row>
    <row r="2240" spans="1:9" x14ac:dyDescent="0.25">
      <c r="A2240" s="74"/>
      <c r="B2240" s="45">
        <v>1305</v>
      </c>
      <c r="C2240" s="64" t="s">
        <v>1703</v>
      </c>
      <c r="D2240" s="74"/>
      <c r="E2240" s="208" t="s">
        <v>164</v>
      </c>
      <c r="F2240" s="209" t="s">
        <v>21</v>
      </c>
      <c r="G2240" s="209" t="s">
        <v>21</v>
      </c>
      <c r="H2240" s="209" t="s">
        <v>192</v>
      </c>
      <c r="I2240" s="210"/>
    </row>
    <row r="2241" spans="1:9" x14ac:dyDescent="0.25">
      <c r="A2241" s="74"/>
      <c r="B2241" s="45">
        <v>1307</v>
      </c>
      <c r="C2241" s="64" t="s">
        <v>1705</v>
      </c>
      <c r="D2241" s="74"/>
      <c r="E2241" s="208" t="s">
        <v>164</v>
      </c>
      <c r="F2241" s="209" t="s">
        <v>21</v>
      </c>
      <c r="G2241" s="209" t="s">
        <v>21</v>
      </c>
      <c r="H2241" s="209" t="s">
        <v>272</v>
      </c>
      <c r="I2241" s="210"/>
    </row>
    <row r="2242" spans="1:9" x14ac:dyDescent="0.25">
      <c r="A2242" s="74"/>
      <c r="B2242" s="45">
        <v>1308</v>
      </c>
      <c r="C2242" s="64" t="s">
        <v>1706</v>
      </c>
      <c r="D2242" s="74"/>
      <c r="E2242" s="208" t="s">
        <v>164</v>
      </c>
      <c r="F2242" s="209" t="s">
        <v>21</v>
      </c>
      <c r="G2242" s="209" t="s">
        <v>21</v>
      </c>
      <c r="H2242" s="209" t="s">
        <v>272</v>
      </c>
      <c r="I2242" s="210"/>
    </row>
    <row r="2243" spans="1:9" x14ac:dyDescent="0.25">
      <c r="A2243" s="74"/>
      <c r="B2243" s="45">
        <v>240</v>
      </c>
      <c r="C2243" s="64" t="s">
        <v>652</v>
      </c>
      <c r="D2243" s="74"/>
      <c r="E2243" s="208" t="s">
        <v>164</v>
      </c>
      <c r="F2243" s="209" t="s">
        <v>21</v>
      </c>
      <c r="G2243" s="209" t="s">
        <v>21</v>
      </c>
      <c r="H2243" s="209" t="s">
        <v>192</v>
      </c>
      <c r="I2243" s="210"/>
    </row>
    <row r="2244" spans="1:9" x14ac:dyDescent="0.25">
      <c r="A2244" s="74"/>
      <c r="B2244" s="45">
        <v>229</v>
      </c>
      <c r="C2244" s="64" t="s">
        <v>641</v>
      </c>
      <c r="D2244" s="74"/>
      <c r="E2244" s="208" t="s">
        <v>164</v>
      </c>
      <c r="F2244" s="209" t="s">
        <v>21</v>
      </c>
      <c r="G2244" s="209" t="s">
        <v>21</v>
      </c>
      <c r="H2244" s="209" t="s">
        <v>192</v>
      </c>
      <c r="I2244" s="210"/>
    </row>
    <row r="2245" spans="1:9" x14ac:dyDescent="0.25">
      <c r="A2245" s="74"/>
      <c r="B2245" s="45">
        <v>1305</v>
      </c>
      <c r="C2245" s="64" t="s">
        <v>1703</v>
      </c>
      <c r="D2245" s="74"/>
      <c r="E2245" s="208" t="s">
        <v>164</v>
      </c>
      <c r="F2245" s="209" t="s">
        <v>21</v>
      </c>
      <c r="G2245" s="209" t="s">
        <v>21</v>
      </c>
      <c r="H2245" s="209" t="s">
        <v>192</v>
      </c>
      <c r="I2245" s="210"/>
    </row>
    <row r="2246" spans="1:9" x14ac:dyDescent="0.25">
      <c r="A2246" s="74"/>
      <c r="B2246" s="45">
        <v>227</v>
      </c>
      <c r="C2246" s="64" t="s">
        <v>639</v>
      </c>
      <c r="D2246" s="74"/>
      <c r="E2246" s="208" t="s">
        <v>164</v>
      </c>
      <c r="F2246" s="209" t="s">
        <v>21</v>
      </c>
      <c r="G2246" s="209" t="s">
        <v>21</v>
      </c>
      <c r="H2246" s="209" t="s">
        <v>194</v>
      </c>
      <c r="I2246" s="210"/>
    </row>
    <row r="2247" spans="1:9" x14ac:dyDescent="0.25">
      <c r="A2247" s="74"/>
      <c r="B2247" s="45">
        <v>235</v>
      </c>
      <c r="C2247" s="64" t="s">
        <v>647</v>
      </c>
      <c r="D2247" s="74"/>
      <c r="E2247" s="208" t="s">
        <v>164</v>
      </c>
      <c r="F2247" s="209" t="s">
        <v>21</v>
      </c>
      <c r="G2247" s="209" t="s">
        <v>21</v>
      </c>
      <c r="H2247" s="209" t="s">
        <v>192</v>
      </c>
      <c r="I2247" s="210"/>
    </row>
    <row r="2248" spans="1:9" x14ac:dyDescent="0.25">
      <c r="A2248" s="74"/>
      <c r="B2248" s="45">
        <v>1309</v>
      </c>
      <c r="C2248" s="64" t="s">
        <v>1707</v>
      </c>
      <c r="D2248" s="74"/>
      <c r="E2248" s="208" t="s">
        <v>164</v>
      </c>
      <c r="F2248" s="209" t="s">
        <v>21</v>
      </c>
      <c r="G2248" s="209" t="s">
        <v>21</v>
      </c>
      <c r="H2248" s="209" t="s">
        <v>272</v>
      </c>
      <c r="I2248" s="210"/>
    </row>
    <row r="2249" spans="1:9" x14ac:dyDescent="0.25">
      <c r="A2249" s="74"/>
      <c r="B2249" s="45">
        <v>231</v>
      </c>
      <c r="C2249" s="64" t="s">
        <v>643</v>
      </c>
      <c r="D2249" s="74"/>
      <c r="E2249" s="208" t="s">
        <v>164</v>
      </c>
      <c r="F2249" s="209" t="s">
        <v>21</v>
      </c>
      <c r="G2249" s="209" t="s">
        <v>21</v>
      </c>
      <c r="H2249" s="209" t="s">
        <v>272</v>
      </c>
      <c r="I2249" s="210"/>
    </row>
    <row r="2250" spans="1:9" x14ac:dyDescent="0.25">
      <c r="A2250" s="74"/>
      <c r="B2250" s="45">
        <v>1307</v>
      </c>
      <c r="C2250" s="64" t="s">
        <v>1705</v>
      </c>
      <c r="D2250" s="74"/>
      <c r="E2250" s="208" t="s">
        <v>164</v>
      </c>
      <c r="F2250" s="209" t="s">
        <v>21</v>
      </c>
      <c r="G2250" s="209" t="s">
        <v>21</v>
      </c>
      <c r="H2250" s="209" t="s">
        <v>272</v>
      </c>
      <c r="I2250" s="210"/>
    </row>
    <row r="2251" spans="1:9" x14ac:dyDescent="0.25">
      <c r="A2251" s="74"/>
      <c r="B2251" s="45">
        <v>1307</v>
      </c>
      <c r="C2251" s="64" t="s">
        <v>1705</v>
      </c>
      <c r="D2251" s="74"/>
      <c r="E2251" s="208" t="s">
        <v>164</v>
      </c>
      <c r="F2251" s="209" t="s">
        <v>21</v>
      </c>
      <c r="G2251" s="209" t="s">
        <v>21</v>
      </c>
      <c r="H2251" s="209" t="s">
        <v>272</v>
      </c>
      <c r="I2251" s="210"/>
    </row>
    <row r="2252" spans="1:9" x14ac:dyDescent="0.25">
      <c r="A2252" s="74"/>
      <c r="B2252" s="45">
        <v>1310</v>
      </c>
      <c r="C2252" s="64" t="s">
        <v>1708</v>
      </c>
      <c r="D2252" s="74"/>
      <c r="E2252" s="208" t="s">
        <v>164</v>
      </c>
      <c r="F2252" s="209" t="s">
        <v>21</v>
      </c>
      <c r="G2252" s="209" t="s">
        <v>21</v>
      </c>
      <c r="H2252" s="209" t="s">
        <v>272</v>
      </c>
      <c r="I2252" s="210"/>
    </row>
    <row r="2253" spans="1:9" x14ac:dyDescent="0.25">
      <c r="A2253" s="74"/>
      <c r="B2253" s="45">
        <v>1311</v>
      </c>
      <c r="C2253" s="64" t="s">
        <v>1709</v>
      </c>
      <c r="D2253" s="74"/>
      <c r="E2253" s="208" t="s">
        <v>164</v>
      </c>
      <c r="F2253" s="209" t="s">
        <v>21</v>
      </c>
      <c r="G2253" s="209" t="s">
        <v>21</v>
      </c>
      <c r="H2253" s="209" t="s">
        <v>272</v>
      </c>
      <c r="I2253" s="210"/>
    </row>
    <row r="2254" spans="1:9" x14ac:dyDescent="0.25">
      <c r="A2254" s="74"/>
      <c r="B2254" s="45">
        <v>1307</v>
      </c>
      <c r="C2254" s="64" t="s">
        <v>1705</v>
      </c>
      <c r="D2254" s="74"/>
      <c r="E2254" s="208" t="s">
        <v>164</v>
      </c>
      <c r="F2254" s="209" t="s">
        <v>21</v>
      </c>
      <c r="G2254" s="209" t="s">
        <v>21</v>
      </c>
      <c r="H2254" s="209" t="s">
        <v>272</v>
      </c>
      <c r="I2254" s="210"/>
    </row>
    <row r="2255" spans="1:9" x14ac:dyDescent="0.25">
      <c r="A2255" s="74"/>
      <c r="B2255" s="45">
        <v>1310</v>
      </c>
      <c r="C2255" s="64" t="s">
        <v>1708</v>
      </c>
      <c r="D2255" s="74"/>
      <c r="E2255" s="208" t="s">
        <v>164</v>
      </c>
      <c r="F2255" s="209" t="s">
        <v>21</v>
      </c>
      <c r="G2255" s="209" t="s">
        <v>21</v>
      </c>
      <c r="H2255" s="209" t="s">
        <v>272</v>
      </c>
      <c r="I2255" s="210"/>
    </row>
    <row r="2256" spans="1:9" x14ac:dyDescent="0.25">
      <c r="A2256" s="74"/>
      <c r="B2256" s="45">
        <v>1311</v>
      </c>
      <c r="C2256" s="64" t="s">
        <v>1709</v>
      </c>
      <c r="D2256" s="74"/>
      <c r="E2256" s="208" t="s">
        <v>164</v>
      </c>
      <c r="F2256" s="209" t="s">
        <v>21</v>
      </c>
      <c r="G2256" s="209" t="s">
        <v>21</v>
      </c>
      <c r="H2256" s="209" t="s">
        <v>272</v>
      </c>
      <c r="I2256" s="210"/>
    </row>
    <row r="2257" spans="1:9" x14ac:dyDescent="0.25">
      <c r="A2257" s="74"/>
      <c r="B2257" s="45">
        <v>1307</v>
      </c>
      <c r="C2257" s="64" t="s">
        <v>1705</v>
      </c>
      <c r="D2257" s="74"/>
      <c r="E2257" s="208" t="s">
        <v>164</v>
      </c>
      <c r="F2257" s="209" t="s">
        <v>21</v>
      </c>
      <c r="G2257" s="209" t="s">
        <v>21</v>
      </c>
      <c r="H2257" s="209" t="s">
        <v>272</v>
      </c>
      <c r="I2257" s="210"/>
    </row>
    <row r="2258" spans="1:9" x14ac:dyDescent="0.25">
      <c r="A2258" s="74"/>
      <c r="B2258" s="45">
        <v>1310</v>
      </c>
      <c r="C2258" s="64" t="s">
        <v>1708</v>
      </c>
      <c r="D2258" s="74"/>
      <c r="E2258" s="208" t="s">
        <v>164</v>
      </c>
      <c r="F2258" s="209" t="s">
        <v>21</v>
      </c>
      <c r="G2258" s="209" t="s">
        <v>21</v>
      </c>
      <c r="H2258" s="209" t="s">
        <v>272</v>
      </c>
      <c r="I2258" s="210"/>
    </row>
    <row r="2259" spans="1:9" x14ac:dyDescent="0.25">
      <c r="A2259" s="74"/>
      <c r="B2259" s="45">
        <v>1311</v>
      </c>
      <c r="C2259" s="64" t="s">
        <v>1709</v>
      </c>
      <c r="D2259" s="74"/>
      <c r="E2259" s="208" t="s">
        <v>164</v>
      </c>
      <c r="F2259" s="209" t="s">
        <v>21</v>
      </c>
      <c r="G2259" s="209" t="s">
        <v>21</v>
      </c>
      <c r="H2259" s="209" t="s">
        <v>272</v>
      </c>
      <c r="I2259" s="210"/>
    </row>
    <row r="2260" spans="1:9" x14ac:dyDescent="0.25">
      <c r="A2260" s="74"/>
      <c r="B2260" s="45">
        <v>1312</v>
      </c>
      <c r="C2260" s="64" t="s">
        <v>1710</v>
      </c>
      <c r="D2260" s="74"/>
      <c r="E2260" s="208" t="s">
        <v>164</v>
      </c>
      <c r="F2260" s="209" t="s">
        <v>21</v>
      </c>
      <c r="G2260" s="209" t="s">
        <v>21</v>
      </c>
      <c r="H2260" s="209" t="s">
        <v>272</v>
      </c>
      <c r="I2260" s="210"/>
    </row>
    <row r="2261" spans="1:9" x14ac:dyDescent="0.25">
      <c r="A2261" s="74"/>
      <c r="B2261" s="45">
        <v>1313</v>
      </c>
      <c r="C2261" s="64" t="s">
        <v>1711</v>
      </c>
      <c r="D2261" s="74"/>
      <c r="E2261" s="208" t="s">
        <v>164</v>
      </c>
      <c r="F2261" s="209" t="s">
        <v>21</v>
      </c>
      <c r="G2261" s="209" t="s">
        <v>21</v>
      </c>
      <c r="H2261" s="209" t="s">
        <v>272</v>
      </c>
      <c r="I2261" s="210"/>
    </row>
    <row r="2262" spans="1:9" x14ac:dyDescent="0.25">
      <c r="A2262" s="74"/>
      <c r="B2262" s="45">
        <v>1314</v>
      </c>
      <c r="C2262" s="64" t="s">
        <v>1712</v>
      </c>
      <c r="D2262" s="74"/>
      <c r="E2262" s="208" t="s">
        <v>164</v>
      </c>
      <c r="F2262" s="209" t="s">
        <v>21</v>
      </c>
      <c r="G2262" s="209" t="s">
        <v>21</v>
      </c>
      <c r="H2262" s="209" t="s">
        <v>272</v>
      </c>
      <c r="I2262" s="210"/>
    </row>
    <row r="2263" spans="1:9" x14ac:dyDescent="0.25">
      <c r="A2263" s="74"/>
      <c r="B2263" s="45">
        <v>1315</v>
      </c>
      <c r="C2263" s="64" t="s">
        <v>1429</v>
      </c>
      <c r="D2263" s="74"/>
      <c r="E2263" s="208" t="s">
        <v>164</v>
      </c>
      <c r="F2263" s="209" t="s">
        <v>21</v>
      </c>
      <c r="G2263" s="209" t="s">
        <v>21</v>
      </c>
      <c r="H2263" s="209" t="s">
        <v>272</v>
      </c>
      <c r="I2263" s="210"/>
    </row>
    <row r="2264" spans="1:9" x14ac:dyDescent="0.25">
      <c r="A2264" s="74"/>
      <c r="B2264" s="45">
        <v>244</v>
      </c>
      <c r="C2264" s="64" t="s">
        <v>656</v>
      </c>
      <c r="D2264" s="74"/>
      <c r="E2264" s="208" t="s">
        <v>164</v>
      </c>
      <c r="F2264" s="209" t="s">
        <v>21</v>
      </c>
      <c r="G2264" s="209" t="s">
        <v>21</v>
      </c>
      <c r="H2264" s="209" t="s">
        <v>272</v>
      </c>
      <c r="I2264" s="210"/>
    </row>
    <row r="2265" spans="1:9" x14ac:dyDescent="0.25">
      <c r="A2265" s="74"/>
      <c r="B2265" s="45">
        <v>1312</v>
      </c>
      <c r="C2265" s="64" t="s">
        <v>1710</v>
      </c>
      <c r="D2265" s="74"/>
      <c r="E2265" s="208" t="s">
        <v>164</v>
      </c>
      <c r="F2265" s="209" t="s">
        <v>21</v>
      </c>
      <c r="G2265" s="209" t="s">
        <v>21</v>
      </c>
      <c r="H2265" s="209" t="s">
        <v>272</v>
      </c>
      <c r="I2265" s="210"/>
    </row>
    <row r="2266" spans="1:9" x14ac:dyDescent="0.25">
      <c r="A2266" s="74"/>
      <c r="B2266" s="45">
        <v>1313</v>
      </c>
      <c r="C2266" s="64" t="s">
        <v>1711</v>
      </c>
      <c r="D2266" s="74"/>
      <c r="E2266" s="208" t="s">
        <v>164</v>
      </c>
      <c r="F2266" s="209" t="s">
        <v>21</v>
      </c>
      <c r="G2266" s="209" t="s">
        <v>21</v>
      </c>
      <c r="H2266" s="209" t="s">
        <v>272</v>
      </c>
      <c r="I2266" s="210"/>
    </row>
    <row r="2267" spans="1:9" x14ac:dyDescent="0.25">
      <c r="A2267" s="74"/>
      <c r="B2267" s="45">
        <v>1314</v>
      </c>
      <c r="C2267" s="64" t="s">
        <v>1712</v>
      </c>
      <c r="D2267" s="74"/>
      <c r="E2267" s="208" t="s">
        <v>164</v>
      </c>
      <c r="F2267" s="209" t="s">
        <v>21</v>
      </c>
      <c r="G2267" s="209" t="s">
        <v>21</v>
      </c>
      <c r="H2267" s="209" t="s">
        <v>272</v>
      </c>
      <c r="I2267" s="210"/>
    </row>
    <row r="2268" spans="1:9" x14ac:dyDescent="0.25">
      <c r="A2268" s="74"/>
      <c r="B2268" s="45">
        <v>1315</v>
      </c>
      <c r="C2268" s="64" t="s">
        <v>1429</v>
      </c>
      <c r="D2268" s="74"/>
      <c r="E2268" s="208" t="s">
        <v>164</v>
      </c>
      <c r="F2268" s="209" t="s">
        <v>21</v>
      </c>
      <c r="G2268" s="209" t="s">
        <v>21</v>
      </c>
      <c r="H2268" s="209" t="s">
        <v>272</v>
      </c>
      <c r="I2268" s="210"/>
    </row>
    <row r="2269" spans="1:9" x14ac:dyDescent="0.25">
      <c r="A2269" s="74"/>
      <c r="B2269" s="45">
        <v>244</v>
      </c>
      <c r="C2269" s="64" t="s">
        <v>656</v>
      </c>
      <c r="D2269" s="74"/>
      <c r="E2269" s="208" t="s">
        <v>164</v>
      </c>
      <c r="F2269" s="209" t="s">
        <v>21</v>
      </c>
      <c r="G2269" s="209" t="s">
        <v>21</v>
      </c>
      <c r="H2269" s="209" t="s">
        <v>272</v>
      </c>
      <c r="I2269" s="210"/>
    </row>
    <row r="2270" spans="1:9" x14ac:dyDescent="0.25">
      <c r="A2270" s="74"/>
      <c r="B2270" s="45">
        <v>1312</v>
      </c>
      <c r="C2270" s="64" t="s">
        <v>1710</v>
      </c>
      <c r="D2270" s="74"/>
      <c r="E2270" s="208" t="s">
        <v>164</v>
      </c>
      <c r="F2270" s="209" t="s">
        <v>21</v>
      </c>
      <c r="G2270" s="209" t="s">
        <v>21</v>
      </c>
      <c r="H2270" s="209" t="s">
        <v>272</v>
      </c>
      <c r="I2270" s="210"/>
    </row>
    <row r="2271" spans="1:9" x14ac:dyDescent="0.25">
      <c r="A2271" s="74"/>
      <c r="B2271" s="45">
        <v>1313</v>
      </c>
      <c r="C2271" s="64" t="s">
        <v>1711</v>
      </c>
      <c r="D2271" s="74"/>
      <c r="E2271" s="208" t="s">
        <v>164</v>
      </c>
      <c r="F2271" s="209" t="s">
        <v>21</v>
      </c>
      <c r="G2271" s="209" t="s">
        <v>21</v>
      </c>
      <c r="H2271" s="209" t="s">
        <v>272</v>
      </c>
      <c r="I2271" s="210"/>
    </row>
    <row r="2272" spans="1:9" x14ac:dyDescent="0.25">
      <c r="A2272" s="74"/>
      <c r="B2272" s="45">
        <v>1314</v>
      </c>
      <c r="C2272" s="64" t="s">
        <v>1712</v>
      </c>
      <c r="D2272" s="74"/>
      <c r="E2272" s="208" t="s">
        <v>164</v>
      </c>
      <c r="F2272" s="209" t="s">
        <v>21</v>
      </c>
      <c r="G2272" s="209" t="s">
        <v>21</v>
      </c>
      <c r="H2272" s="209" t="s">
        <v>272</v>
      </c>
      <c r="I2272" s="210"/>
    </row>
    <row r="2273" spans="1:9" x14ac:dyDescent="0.25">
      <c r="A2273" s="74"/>
      <c r="B2273" s="45">
        <v>1315</v>
      </c>
      <c r="C2273" s="64" t="s">
        <v>1429</v>
      </c>
      <c r="D2273" s="74"/>
      <c r="E2273" s="208" t="s">
        <v>164</v>
      </c>
      <c r="F2273" s="209" t="s">
        <v>21</v>
      </c>
      <c r="G2273" s="209" t="s">
        <v>21</v>
      </c>
      <c r="H2273" s="209" t="s">
        <v>272</v>
      </c>
      <c r="I2273" s="210"/>
    </row>
    <row r="2274" spans="1:9" x14ac:dyDescent="0.25">
      <c r="A2274" s="74"/>
      <c r="B2274" s="45">
        <v>244</v>
      </c>
      <c r="C2274" s="64" t="s">
        <v>656</v>
      </c>
      <c r="D2274" s="74"/>
      <c r="E2274" s="208" t="s">
        <v>164</v>
      </c>
      <c r="F2274" s="209" t="s">
        <v>21</v>
      </c>
      <c r="G2274" s="209" t="s">
        <v>21</v>
      </c>
      <c r="H2274" s="209" t="s">
        <v>272</v>
      </c>
      <c r="I2274" s="210"/>
    </row>
    <row r="2275" spans="1:9" x14ac:dyDescent="0.25">
      <c r="A2275" s="74"/>
      <c r="B2275" s="45">
        <v>1312</v>
      </c>
      <c r="C2275" s="64" t="s">
        <v>1710</v>
      </c>
      <c r="D2275" s="74"/>
      <c r="E2275" s="208" t="s">
        <v>164</v>
      </c>
      <c r="F2275" s="209" t="s">
        <v>21</v>
      </c>
      <c r="G2275" s="209" t="s">
        <v>21</v>
      </c>
      <c r="H2275" s="209" t="s">
        <v>272</v>
      </c>
      <c r="I2275" s="210"/>
    </row>
    <row r="2276" spans="1:9" x14ac:dyDescent="0.25">
      <c r="A2276" s="74"/>
      <c r="B2276" s="45">
        <v>1313</v>
      </c>
      <c r="C2276" s="64" t="s">
        <v>1711</v>
      </c>
      <c r="D2276" s="74"/>
      <c r="E2276" s="208" t="s">
        <v>164</v>
      </c>
      <c r="F2276" s="209" t="s">
        <v>21</v>
      </c>
      <c r="G2276" s="209" t="s">
        <v>21</v>
      </c>
      <c r="H2276" s="209" t="s">
        <v>272</v>
      </c>
      <c r="I2276" s="210"/>
    </row>
    <row r="2277" spans="1:9" x14ac:dyDescent="0.25">
      <c r="A2277" s="74"/>
      <c r="B2277" s="45">
        <v>1314</v>
      </c>
      <c r="C2277" s="64" t="s">
        <v>1712</v>
      </c>
      <c r="D2277" s="74"/>
      <c r="E2277" s="208" t="s">
        <v>164</v>
      </c>
      <c r="F2277" s="209" t="s">
        <v>21</v>
      </c>
      <c r="G2277" s="209" t="s">
        <v>21</v>
      </c>
      <c r="H2277" s="209" t="s">
        <v>272</v>
      </c>
      <c r="I2277" s="210"/>
    </row>
    <row r="2278" spans="1:9" x14ac:dyDescent="0.25">
      <c r="A2278" s="74"/>
      <c r="B2278" s="45">
        <v>1315</v>
      </c>
      <c r="C2278" s="64" t="s">
        <v>1429</v>
      </c>
      <c r="D2278" s="74"/>
      <c r="E2278" s="208" t="s">
        <v>164</v>
      </c>
      <c r="F2278" s="209" t="s">
        <v>21</v>
      </c>
      <c r="G2278" s="209" t="s">
        <v>21</v>
      </c>
      <c r="H2278" s="209" t="s">
        <v>272</v>
      </c>
      <c r="I2278" s="210"/>
    </row>
    <row r="2279" spans="1:9" x14ac:dyDescent="0.25">
      <c r="A2279" s="74"/>
      <c r="B2279" s="45">
        <v>244</v>
      </c>
      <c r="C2279" s="64" t="s">
        <v>656</v>
      </c>
      <c r="D2279" s="74"/>
      <c r="E2279" s="208" t="s">
        <v>164</v>
      </c>
      <c r="F2279" s="209" t="s">
        <v>21</v>
      </c>
      <c r="G2279" s="209" t="s">
        <v>21</v>
      </c>
      <c r="H2279" s="209" t="s">
        <v>272</v>
      </c>
      <c r="I2279" s="210"/>
    </row>
    <row r="2280" spans="1:9" x14ac:dyDescent="0.25">
      <c r="A2280" s="74"/>
      <c r="B2280" s="45">
        <v>237</v>
      </c>
      <c r="C2280" s="64" t="s">
        <v>649</v>
      </c>
      <c r="D2280" s="74"/>
      <c r="E2280" s="208" t="s">
        <v>164</v>
      </c>
      <c r="F2280" s="209" t="s">
        <v>21</v>
      </c>
      <c r="G2280" s="209" t="s">
        <v>21</v>
      </c>
      <c r="H2280" s="209" t="s">
        <v>191</v>
      </c>
      <c r="I2280" s="210"/>
    </row>
    <row r="2281" spans="1:9" x14ac:dyDescent="0.25">
      <c r="A2281" s="74"/>
      <c r="B2281" s="45">
        <v>1316</v>
      </c>
      <c r="C2281" s="64" t="s">
        <v>1591</v>
      </c>
      <c r="D2281" s="74"/>
      <c r="E2281" s="208" t="s">
        <v>164</v>
      </c>
      <c r="F2281" s="209" t="s">
        <v>21</v>
      </c>
      <c r="G2281" s="209" t="s">
        <v>21</v>
      </c>
      <c r="H2281" s="209" t="s">
        <v>272</v>
      </c>
      <c r="I2281" s="210"/>
    </row>
    <row r="2282" spans="1:9" x14ac:dyDescent="0.25">
      <c r="A2282" s="74"/>
      <c r="B2282" s="45">
        <v>237</v>
      </c>
      <c r="C2282" s="64" t="s">
        <v>649</v>
      </c>
      <c r="D2282" s="74"/>
      <c r="E2282" s="208" t="s">
        <v>164</v>
      </c>
      <c r="F2282" s="209" t="s">
        <v>21</v>
      </c>
      <c r="G2282" s="209" t="s">
        <v>21</v>
      </c>
      <c r="H2282" s="209" t="s">
        <v>192</v>
      </c>
      <c r="I2282" s="210"/>
    </row>
    <row r="2283" spans="1:9" x14ac:dyDescent="0.25">
      <c r="A2283" s="74"/>
      <c r="B2283" s="45">
        <v>1317</v>
      </c>
      <c r="C2283" s="64" t="s">
        <v>1713</v>
      </c>
      <c r="D2283" s="74"/>
      <c r="E2283" s="208" t="s">
        <v>164</v>
      </c>
      <c r="F2283" s="209" t="s">
        <v>21</v>
      </c>
      <c r="G2283" s="209" t="s">
        <v>21</v>
      </c>
      <c r="H2283" s="209" t="s">
        <v>272</v>
      </c>
      <c r="I2283" s="210"/>
    </row>
    <row r="2284" spans="1:9" x14ac:dyDescent="0.25">
      <c r="A2284" s="74"/>
      <c r="B2284" s="45">
        <v>1318</v>
      </c>
      <c r="C2284" s="64" t="s">
        <v>1714</v>
      </c>
      <c r="D2284" s="74"/>
      <c r="E2284" s="208" t="s">
        <v>164</v>
      </c>
      <c r="F2284" s="209" t="s">
        <v>21</v>
      </c>
      <c r="G2284" s="209" t="s">
        <v>21</v>
      </c>
      <c r="H2284" s="209" t="s">
        <v>272</v>
      </c>
      <c r="I2284" s="210"/>
    </row>
    <row r="2285" spans="1:9" x14ac:dyDescent="0.25">
      <c r="A2285" s="74"/>
      <c r="B2285" s="45">
        <v>241</v>
      </c>
      <c r="C2285" s="64" t="s">
        <v>653</v>
      </c>
      <c r="D2285" s="74"/>
      <c r="E2285" s="208" t="s">
        <v>164</v>
      </c>
      <c r="F2285" s="209" t="s">
        <v>21</v>
      </c>
      <c r="G2285" s="209" t="s">
        <v>21</v>
      </c>
      <c r="H2285" s="209" t="s">
        <v>272</v>
      </c>
      <c r="I2285" s="210"/>
    </row>
    <row r="2286" spans="1:9" x14ac:dyDescent="0.25">
      <c r="A2286" s="74"/>
      <c r="B2286" s="45">
        <v>1317</v>
      </c>
      <c r="C2286" s="64" t="s">
        <v>1713</v>
      </c>
      <c r="D2286" s="74"/>
      <c r="E2286" s="208" t="s">
        <v>164</v>
      </c>
      <c r="F2286" s="209" t="s">
        <v>21</v>
      </c>
      <c r="G2286" s="209" t="s">
        <v>21</v>
      </c>
      <c r="H2286" s="209" t="s">
        <v>272</v>
      </c>
      <c r="I2286" s="210"/>
    </row>
    <row r="2287" spans="1:9" x14ac:dyDescent="0.25">
      <c r="A2287" s="74"/>
      <c r="B2287" s="45">
        <v>1318</v>
      </c>
      <c r="C2287" s="64" t="s">
        <v>1714</v>
      </c>
      <c r="D2287" s="74"/>
      <c r="E2287" s="208" t="s">
        <v>164</v>
      </c>
      <c r="F2287" s="209" t="s">
        <v>21</v>
      </c>
      <c r="G2287" s="209" t="s">
        <v>21</v>
      </c>
      <c r="H2287" s="209" t="s">
        <v>272</v>
      </c>
      <c r="I2287" s="210"/>
    </row>
    <row r="2288" spans="1:9" x14ac:dyDescent="0.25">
      <c r="A2288" s="74"/>
      <c r="B2288" s="45">
        <v>237</v>
      </c>
      <c r="C2288" s="64" t="s">
        <v>649</v>
      </c>
      <c r="D2288" s="74"/>
      <c r="E2288" s="208" t="s">
        <v>164</v>
      </c>
      <c r="F2288" s="209" t="s">
        <v>21</v>
      </c>
      <c r="G2288" s="209" t="s">
        <v>21</v>
      </c>
      <c r="H2288" s="209" t="s">
        <v>272</v>
      </c>
      <c r="I2288" s="210"/>
    </row>
    <row r="2289" spans="1:9" x14ac:dyDescent="0.25">
      <c r="A2289" s="74"/>
      <c r="B2289" s="45">
        <v>241</v>
      </c>
      <c r="C2289" s="64" t="s">
        <v>653</v>
      </c>
      <c r="D2289" s="74"/>
      <c r="E2289" s="208" t="s">
        <v>164</v>
      </c>
      <c r="F2289" s="209" t="s">
        <v>21</v>
      </c>
      <c r="G2289" s="209" t="s">
        <v>21</v>
      </c>
      <c r="H2289" s="209" t="s">
        <v>272</v>
      </c>
      <c r="I2289" s="210"/>
    </row>
    <row r="2290" spans="1:9" x14ac:dyDescent="0.25">
      <c r="A2290" s="74"/>
      <c r="B2290" s="45">
        <v>1307</v>
      </c>
      <c r="C2290" s="64" t="s">
        <v>1705</v>
      </c>
      <c r="D2290" s="74"/>
      <c r="E2290" s="208" t="s">
        <v>164</v>
      </c>
      <c r="F2290" s="209" t="s">
        <v>21</v>
      </c>
      <c r="G2290" s="209" t="s">
        <v>21</v>
      </c>
      <c r="H2290" s="209" t="s">
        <v>272</v>
      </c>
      <c r="I2290" s="210"/>
    </row>
    <row r="2291" spans="1:9" x14ac:dyDescent="0.25">
      <c r="A2291" s="74"/>
      <c r="B2291" s="45">
        <v>1308</v>
      </c>
      <c r="C2291" s="64" t="s">
        <v>1706</v>
      </c>
      <c r="D2291" s="74"/>
      <c r="E2291" s="208" t="s">
        <v>164</v>
      </c>
      <c r="F2291" s="209" t="s">
        <v>21</v>
      </c>
      <c r="G2291" s="209" t="s">
        <v>21</v>
      </c>
      <c r="H2291" s="209" t="s">
        <v>272</v>
      </c>
      <c r="I2291" s="210"/>
    </row>
    <row r="2292" spans="1:9" x14ac:dyDescent="0.25">
      <c r="A2292" s="74"/>
      <c r="B2292" s="45">
        <v>240</v>
      </c>
      <c r="C2292" s="64" t="s">
        <v>652</v>
      </c>
      <c r="D2292" s="74"/>
      <c r="E2292" s="208" t="s">
        <v>164</v>
      </c>
      <c r="F2292" s="209" t="s">
        <v>21</v>
      </c>
      <c r="G2292" s="209" t="s">
        <v>21</v>
      </c>
      <c r="H2292" s="209" t="s">
        <v>192</v>
      </c>
      <c r="I2292" s="210"/>
    </row>
    <row r="2293" spans="1:9" x14ac:dyDescent="0.25">
      <c r="A2293" s="74"/>
      <c r="B2293" s="45">
        <v>1305</v>
      </c>
      <c r="C2293" s="64" t="s">
        <v>1703</v>
      </c>
      <c r="D2293" s="74"/>
      <c r="E2293" s="208" t="s">
        <v>164</v>
      </c>
      <c r="F2293" s="209" t="s">
        <v>21</v>
      </c>
      <c r="G2293" s="209" t="s">
        <v>21</v>
      </c>
      <c r="H2293" s="209" t="s">
        <v>192</v>
      </c>
      <c r="I2293" s="210"/>
    </row>
    <row r="2294" spans="1:9" x14ac:dyDescent="0.25">
      <c r="A2294" s="74"/>
      <c r="B2294" s="45">
        <v>1307</v>
      </c>
      <c r="C2294" s="64" t="s">
        <v>1705</v>
      </c>
      <c r="D2294" s="74"/>
      <c r="E2294" s="208" t="s">
        <v>164</v>
      </c>
      <c r="F2294" s="209" t="s">
        <v>21</v>
      </c>
      <c r="G2294" s="209" t="s">
        <v>21</v>
      </c>
      <c r="H2294" s="209" t="s">
        <v>272</v>
      </c>
      <c r="I2294" s="210"/>
    </row>
    <row r="2295" spans="1:9" x14ac:dyDescent="0.25">
      <c r="A2295" s="74"/>
      <c r="B2295" s="45">
        <v>1310</v>
      </c>
      <c r="C2295" s="64" t="s">
        <v>1708</v>
      </c>
      <c r="D2295" s="74"/>
      <c r="E2295" s="208" t="s">
        <v>164</v>
      </c>
      <c r="F2295" s="209" t="s">
        <v>21</v>
      </c>
      <c r="G2295" s="209" t="s">
        <v>21</v>
      </c>
      <c r="H2295" s="209" t="s">
        <v>272</v>
      </c>
      <c r="I2295" s="210"/>
    </row>
    <row r="2296" spans="1:9" x14ac:dyDescent="0.25">
      <c r="A2296" s="74"/>
      <c r="B2296" s="45">
        <v>1311</v>
      </c>
      <c r="C2296" s="64" t="s">
        <v>1709</v>
      </c>
      <c r="D2296" s="74"/>
      <c r="E2296" s="208" t="s">
        <v>164</v>
      </c>
      <c r="F2296" s="209" t="s">
        <v>21</v>
      </c>
      <c r="G2296" s="209" t="s">
        <v>21</v>
      </c>
      <c r="H2296" s="209" t="s">
        <v>272</v>
      </c>
      <c r="I2296" s="210"/>
    </row>
    <row r="2297" spans="1:9" x14ac:dyDescent="0.25">
      <c r="A2297" s="74"/>
      <c r="B2297" s="45">
        <v>1317</v>
      </c>
      <c r="C2297" s="64" t="s">
        <v>1713</v>
      </c>
      <c r="D2297" s="74"/>
      <c r="E2297" s="208" t="s">
        <v>164</v>
      </c>
      <c r="F2297" s="209" t="s">
        <v>21</v>
      </c>
      <c r="G2297" s="209" t="s">
        <v>21</v>
      </c>
      <c r="H2297" s="209" t="s">
        <v>272</v>
      </c>
      <c r="I2297" s="210"/>
    </row>
    <row r="2298" spans="1:9" x14ac:dyDescent="0.25">
      <c r="A2298" s="74"/>
      <c r="B2298" s="45">
        <v>1318</v>
      </c>
      <c r="C2298" s="64" t="s">
        <v>1714</v>
      </c>
      <c r="D2298" s="74"/>
      <c r="E2298" s="208" t="s">
        <v>164</v>
      </c>
      <c r="F2298" s="209" t="s">
        <v>21</v>
      </c>
      <c r="G2298" s="209" t="s">
        <v>21</v>
      </c>
      <c r="H2298" s="209" t="s">
        <v>272</v>
      </c>
      <c r="I2298" s="210"/>
    </row>
    <row r="2299" spans="1:9" x14ac:dyDescent="0.25">
      <c r="A2299" s="74"/>
      <c r="B2299" s="45">
        <v>241</v>
      </c>
      <c r="C2299" s="64" t="s">
        <v>653</v>
      </c>
      <c r="D2299" s="74"/>
      <c r="E2299" s="208" t="s">
        <v>164</v>
      </c>
      <c r="F2299" s="209" t="s">
        <v>21</v>
      </c>
      <c r="G2299" s="209" t="s">
        <v>21</v>
      </c>
      <c r="H2299" s="209" t="s">
        <v>272</v>
      </c>
      <c r="I2299" s="210"/>
    </row>
    <row r="2300" spans="1:9" x14ac:dyDescent="0.25">
      <c r="A2300" s="74"/>
      <c r="B2300" s="45">
        <v>1317</v>
      </c>
      <c r="C2300" s="64" t="s">
        <v>1713</v>
      </c>
      <c r="D2300" s="74"/>
      <c r="E2300" s="208" t="s">
        <v>164</v>
      </c>
      <c r="F2300" s="209" t="s">
        <v>21</v>
      </c>
      <c r="G2300" s="209" t="s">
        <v>21</v>
      </c>
      <c r="H2300" s="209" t="s">
        <v>272</v>
      </c>
      <c r="I2300" s="210"/>
    </row>
    <row r="2301" spans="1:9" x14ac:dyDescent="0.25">
      <c r="A2301" s="74"/>
      <c r="B2301" s="45">
        <v>1318</v>
      </c>
      <c r="C2301" s="64" t="s">
        <v>1714</v>
      </c>
      <c r="D2301" s="74"/>
      <c r="E2301" s="208" t="s">
        <v>164</v>
      </c>
      <c r="F2301" s="209" t="s">
        <v>21</v>
      </c>
      <c r="G2301" s="209" t="s">
        <v>21</v>
      </c>
      <c r="H2301" s="209" t="s">
        <v>272</v>
      </c>
      <c r="I2301" s="210"/>
    </row>
    <row r="2302" spans="1:9" x14ac:dyDescent="0.25">
      <c r="A2302" s="74"/>
      <c r="B2302" s="45">
        <v>241</v>
      </c>
      <c r="C2302" s="64" t="s">
        <v>653</v>
      </c>
      <c r="D2302" s="74"/>
      <c r="E2302" s="208" t="s">
        <v>164</v>
      </c>
      <c r="F2302" s="209" t="s">
        <v>21</v>
      </c>
      <c r="G2302" s="209" t="s">
        <v>21</v>
      </c>
      <c r="H2302" s="209" t="s">
        <v>272</v>
      </c>
      <c r="I2302" s="210"/>
    </row>
    <row r="2303" spans="1:9" x14ac:dyDescent="0.25">
      <c r="A2303" s="74"/>
      <c r="B2303" s="45">
        <v>1319</v>
      </c>
      <c r="C2303" s="64" t="s">
        <v>1715</v>
      </c>
      <c r="D2303" s="74"/>
      <c r="E2303" s="208" t="s">
        <v>164</v>
      </c>
      <c r="F2303" s="209" t="s">
        <v>21</v>
      </c>
      <c r="G2303" s="209" t="s">
        <v>21</v>
      </c>
      <c r="H2303" s="209" t="s">
        <v>272</v>
      </c>
      <c r="I2303" s="210"/>
    </row>
    <row r="2304" spans="1:9" x14ac:dyDescent="0.25">
      <c r="A2304" s="74"/>
      <c r="B2304" s="45">
        <v>1320</v>
      </c>
      <c r="C2304" s="64" t="s">
        <v>1716</v>
      </c>
      <c r="D2304" s="74"/>
      <c r="E2304" s="208" t="s">
        <v>164</v>
      </c>
      <c r="F2304" s="209" t="s">
        <v>21</v>
      </c>
      <c r="G2304" s="209" t="s">
        <v>21</v>
      </c>
      <c r="H2304" s="209" t="s">
        <v>272</v>
      </c>
      <c r="I2304" s="210"/>
    </row>
    <row r="2305" spans="1:9" x14ac:dyDescent="0.25">
      <c r="A2305" s="74"/>
      <c r="B2305" s="45">
        <v>1321</v>
      </c>
      <c r="C2305" s="64" t="s">
        <v>1717</v>
      </c>
      <c r="D2305" s="74"/>
      <c r="E2305" s="208" t="s">
        <v>164</v>
      </c>
      <c r="F2305" s="209" t="s">
        <v>21</v>
      </c>
      <c r="G2305" s="209" t="s">
        <v>21</v>
      </c>
      <c r="H2305" s="209" t="s">
        <v>272</v>
      </c>
      <c r="I2305" s="210"/>
    </row>
    <row r="2306" spans="1:9" x14ac:dyDescent="0.25">
      <c r="A2306" s="74"/>
      <c r="B2306" s="45">
        <v>1322</v>
      </c>
      <c r="C2306" s="64" t="s">
        <v>1718</v>
      </c>
      <c r="D2306" s="74"/>
      <c r="E2306" s="208" t="s">
        <v>164</v>
      </c>
      <c r="F2306" s="209" t="s">
        <v>21</v>
      </c>
      <c r="G2306" s="209" t="s">
        <v>21</v>
      </c>
      <c r="H2306" s="209" t="s">
        <v>272</v>
      </c>
      <c r="I2306" s="210"/>
    </row>
    <row r="2307" spans="1:9" x14ac:dyDescent="0.25">
      <c r="A2307" s="74"/>
      <c r="B2307" s="45">
        <v>244</v>
      </c>
      <c r="C2307" s="64" t="s">
        <v>656</v>
      </c>
      <c r="D2307" s="74"/>
      <c r="E2307" s="208" t="s">
        <v>164</v>
      </c>
      <c r="F2307" s="209" t="s">
        <v>21</v>
      </c>
      <c r="G2307" s="209" t="s">
        <v>21</v>
      </c>
      <c r="H2307" s="209" t="s">
        <v>272</v>
      </c>
      <c r="I2307" s="210"/>
    </row>
    <row r="2308" spans="1:9" x14ac:dyDescent="0.25">
      <c r="A2308" s="74"/>
      <c r="B2308" s="45">
        <v>1319</v>
      </c>
      <c r="C2308" s="64" t="s">
        <v>1715</v>
      </c>
      <c r="D2308" s="74"/>
      <c r="E2308" s="208" t="s">
        <v>164</v>
      </c>
      <c r="F2308" s="209" t="s">
        <v>21</v>
      </c>
      <c r="G2308" s="209" t="s">
        <v>21</v>
      </c>
      <c r="H2308" s="209" t="s">
        <v>272</v>
      </c>
      <c r="I2308" s="210"/>
    </row>
    <row r="2309" spans="1:9" x14ac:dyDescent="0.25">
      <c r="A2309" s="74"/>
      <c r="B2309" s="45">
        <v>1320</v>
      </c>
      <c r="C2309" s="64" t="s">
        <v>1716</v>
      </c>
      <c r="D2309" s="74"/>
      <c r="E2309" s="208" t="s">
        <v>164</v>
      </c>
      <c r="F2309" s="209" t="s">
        <v>21</v>
      </c>
      <c r="G2309" s="209" t="s">
        <v>21</v>
      </c>
      <c r="H2309" s="209" t="s">
        <v>272</v>
      </c>
      <c r="I2309" s="210"/>
    </row>
    <row r="2310" spans="1:9" x14ac:dyDescent="0.25">
      <c r="A2310" s="74"/>
      <c r="B2310" s="45">
        <v>1321</v>
      </c>
      <c r="C2310" s="64" t="s">
        <v>1717</v>
      </c>
      <c r="D2310" s="74"/>
      <c r="E2310" s="208" t="s">
        <v>164</v>
      </c>
      <c r="F2310" s="209" t="s">
        <v>21</v>
      </c>
      <c r="G2310" s="209" t="s">
        <v>21</v>
      </c>
      <c r="H2310" s="209" t="s">
        <v>272</v>
      </c>
      <c r="I2310" s="210"/>
    </row>
    <row r="2311" spans="1:9" x14ac:dyDescent="0.25">
      <c r="A2311" s="74"/>
      <c r="B2311" s="45">
        <v>1322</v>
      </c>
      <c r="C2311" s="64" t="s">
        <v>1718</v>
      </c>
      <c r="D2311" s="74"/>
      <c r="E2311" s="208" t="s">
        <v>164</v>
      </c>
      <c r="F2311" s="209" t="s">
        <v>21</v>
      </c>
      <c r="G2311" s="209" t="s">
        <v>21</v>
      </c>
      <c r="H2311" s="209" t="s">
        <v>272</v>
      </c>
      <c r="I2311" s="210"/>
    </row>
    <row r="2312" spans="1:9" x14ac:dyDescent="0.25">
      <c r="A2312" s="74"/>
      <c r="B2312" s="45">
        <v>244</v>
      </c>
      <c r="C2312" s="64" t="s">
        <v>656</v>
      </c>
      <c r="D2312" s="74"/>
      <c r="E2312" s="208" t="s">
        <v>164</v>
      </c>
      <c r="F2312" s="209" t="s">
        <v>21</v>
      </c>
      <c r="G2312" s="209" t="s">
        <v>21</v>
      </c>
      <c r="H2312" s="209" t="s">
        <v>272</v>
      </c>
      <c r="I2312" s="210"/>
    </row>
    <row r="2313" spans="1:9" x14ac:dyDescent="0.25">
      <c r="A2313" s="74"/>
      <c r="B2313" s="45">
        <v>1319</v>
      </c>
      <c r="C2313" s="64" t="s">
        <v>1715</v>
      </c>
      <c r="D2313" s="74"/>
      <c r="E2313" s="208" t="s">
        <v>164</v>
      </c>
      <c r="F2313" s="209" t="s">
        <v>21</v>
      </c>
      <c r="G2313" s="209" t="s">
        <v>21</v>
      </c>
      <c r="H2313" s="209" t="s">
        <v>272</v>
      </c>
      <c r="I2313" s="210"/>
    </row>
    <row r="2314" spans="1:9" x14ac:dyDescent="0.25">
      <c r="A2314" s="74"/>
      <c r="B2314" s="45">
        <v>1320</v>
      </c>
      <c r="C2314" s="64" t="s">
        <v>1716</v>
      </c>
      <c r="D2314" s="74"/>
      <c r="E2314" s="208" t="s">
        <v>164</v>
      </c>
      <c r="F2314" s="209" t="s">
        <v>21</v>
      </c>
      <c r="G2314" s="209" t="s">
        <v>21</v>
      </c>
      <c r="H2314" s="209" t="s">
        <v>272</v>
      </c>
      <c r="I2314" s="210"/>
    </row>
    <row r="2315" spans="1:9" x14ac:dyDescent="0.25">
      <c r="A2315" s="74"/>
      <c r="B2315" s="45">
        <v>1321</v>
      </c>
      <c r="C2315" s="64" t="s">
        <v>1717</v>
      </c>
      <c r="D2315" s="74"/>
      <c r="E2315" s="208" t="s">
        <v>164</v>
      </c>
      <c r="F2315" s="209" t="s">
        <v>21</v>
      </c>
      <c r="G2315" s="209" t="s">
        <v>21</v>
      </c>
      <c r="H2315" s="209" t="s">
        <v>272</v>
      </c>
      <c r="I2315" s="210"/>
    </row>
    <row r="2316" spans="1:9" x14ac:dyDescent="0.25">
      <c r="A2316" s="74"/>
      <c r="B2316" s="45">
        <v>1322</v>
      </c>
      <c r="C2316" s="64" t="s">
        <v>1718</v>
      </c>
      <c r="D2316" s="74"/>
      <c r="E2316" s="208" t="s">
        <v>164</v>
      </c>
      <c r="F2316" s="209" t="s">
        <v>21</v>
      </c>
      <c r="G2316" s="209" t="s">
        <v>21</v>
      </c>
      <c r="H2316" s="209" t="s">
        <v>272</v>
      </c>
      <c r="I2316" s="210"/>
    </row>
    <row r="2317" spans="1:9" x14ac:dyDescent="0.25">
      <c r="A2317" s="74"/>
      <c r="B2317" s="45">
        <v>244</v>
      </c>
      <c r="C2317" s="64" t="s">
        <v>656</v>
      </c>
      <c r="D2317" s="74"/>
      <c r="E2317" s="208" t="s">
        <v>164</v>
      </c>
      <c r="F2317" s="209" t="s">
        <v>21</v>
      </c>
      <c r="G2317" s="209" t="s">
        <v>21</v>
      </c>
      <c r="H2317" s="209" t="s">
        <v>272</v>
      </c>
      <c r="I2317" s="210"/>
    </row>
    <row r="2318" spans="1:9" x14ac:dyDescent="0.25">
      <c r="A2318" s="74"/>
      <c r="B2318" s="45">
        <v>1319</v>
      </c>
      <c r="C2318" s="64" t="s">
        <v>1715</v>
      </c>
      <c r="D2318" s="74"/>
      <c r="E2318" s="208" t="s">
        <v>164</v>
      </c>
      <c r="F2318" s="209" t="s">
        <v>21</v>
      </c>
      <c r="G2318" s="209" t="s">
        <v>21</v>
      </c>
      <c r="H2318" s="209" t="s">
        <v>272</v>
      </c>
      <c r="I2318" s="210"/>
    </row>
    <row r="2319" spans="1:9" x14ac:dyDescent="0.25">
      <c r="A2319" s="74"/>
      <c r="B2319" s="45">
        <v>1320</v>
      </c>
      <c r="C2319" s="64" t="s">
        <v>1716</v>
      </c>
      <c r="D2319" s="74"/>
      <c r="E2319" s="208" t="s">
        <v>164</v>
      </c>
      <c r="F2319" s="209" t="s">
        <v>21</v>
      </c>
      <c r="G2319" s="209" t="s">
        <v>21</v>
      </c>
      <c r="H2319" s="209" t="s">
        <v>272</v>
      </c>
      <c r="I2319" s="210"/>
    </row>
    <row r="2320" spans="1:9" x14ac:dyDescent="0.25">
      <c r="A2320" s="74"/>
      <c r="B2320" s="45">
        <v>1321</v>
      </c>
      <c r="C2320" s="64" t="s">
        <v>1717</v>
      </c>
      <c r="D2320" s="74"/>
      <c r="E2320" s="208" t="s">
        <v>164</v>
      </c>
      <c r="F2320" s="209" t="s">
        <v>21</v>
      </c>
      <c r="G2320" s="209" t="s">
        <v>21</v>
      </c>
      <c r="H2320" s="209" t="s">
        <v>272</v>
      </c>
      <c r="I2320" s="210"/>
    </row>
    <row r="2321" spans="1:9" x14ac:dyDescent="0.25">
      <c r="A2321" s="74"/>
      <c r="B2321" s="45">
        <v>1322</v>
      </c>
      <c r="C2321" s="64" t="s">
        <v>1718</v>
      </c>
      <c r="D2321" s="74"/>
      <c r="E2321" s="208" t="s">
        <v>164</v>
      </c>
      <c r="F2321" s="209" t="s">
        <v>21</v>
      </c>
      <c r="G2321" s="209" t="s">
        <v>21</v>
      </c>
      <c r="H2321" s="209" t="s">
        <v>272</v>
      </c>
      <c r="I2321" s="210"/>
    </row>
    <row r="2322" spans="1:9" x14ac:dyDescent="0.25">
      <c r="A2322" s="74"/>
      <c r="B2322" s="45">
        <v>244</v>
      </c>
      <c r="C2322" s="64" t="s">
        <v>656</v>
      </c>
      <c r="D2322" s="74"/>
      <c r="E2322" s="208" t="s">
        <v>164</v>
      </c>
      <c r="F2322" s="209" t="s">
        <v>21</v>
      </c>
      <c r="G2322" s="209" t="s">
        <v>21</v>
      </c>
      <c r="H2322" s="209" t="s">
        <v>272</v>
      </c>
      <c r="I2322" s="210"/>
    </row>
    <row r="2323" spans="1:9" x14ac:dyDescent="0.25">
      <c r="A2323" s="74"/>
      <c r="B2323" s="45">
        <v>1323</v>
      </c>
      <c r="C2323" s="64" t="s">
        <v>1719</v>
      </c>
      <c r="D2323" s="74"/>
      <c r="E2323" s="208" t="s">
        <v>162</v>
      </c>
      <c r="F2323" s="209" t="s">
        <v>21</v>
      </c>
      <c r="G2323" s="209" t="s">
        <v>21</v>
      </c>
      <c r="H2323" s="209" t="s">
        <v>189</v>
      </c>
      <c r="I2323" s="210"/>
    </row>
    <row r="2324" spans="1:9" x14ac:dyDescent="0.25">
      <c r="A2324" s="74"/>
      <c r="B2324" s="45">
        <v>247</v>
      </c>
      <c r="C2324" s="64" t="s">
        <v>659</v>
      </c>
      <c r="D2324" s="74"/>
      <c r="E2324" s="208" t="s">
        <v>162</v>
      </c>
      <c r="F2324" s="209" t="s">
        <v>21</v>
      </c>
      <c r="G2324" s="209" t="s">
        <v>21</v>
      </c>
      <c r="H2324" s="209" t="s">
        <v>187</v>
      </c>
      <c r="I2324" s="210"/>
    </row>
    <row r="2325" spans="1:9" x14ac:dyDescent="0.25">
      <c r="A2325" s="74"/>
      <c r="B2325" s="45">
        <v>250</v>
      </c>
      <c r="C2325" s="64" t="s">
        <v>662</v>
      </c>
      <c r="D2325" s="74"/>
      <c r="E2325" s="208" t="s">
        <v>162</v>
      </c>
      <c r="F2325" s="209" t="s">
        <v>21</v>
      </c>
      <c r="G2325" s="209" t="s">
        <v>21</v>
      </c>
      <c r="H2325" s="209" t="s">
        <v>192</v>
      </c>
      <c r="I2325" s="210"/>
    </row>
    <row r="2326" spans="1:9" x14ac:dyDescent="0.25">
      <c r="A2326" s="74"/>
      <c r="B2326" s="45">
        <v>249</v>
      </c>
      <c r="C2326" s="64" t="s">
        <v>661</v>
      </c>
      <c r="D2326" s="74"/>
      <c r="E2326" s="208" t="s">
        <v>162</v>
      </c>
      <c r="F2326" s="209" t="s">
        <v>21</v>
      </c>
      <c r="G2326" s="209" t="s">
        <v>21</v>
      </c>
      <c r="H2326" s="209" t="s">
        <v>192</v>
      </c>
      <c r="I2326" s="210"/>
    </row>
    <row r="2327" spans="1:9" x14ac:dyDescent="0.25">
      <c r="A2327" s="74"/>
      <c r="B2327" s="45">
        <v>1324</v>
      </c>
      <c r="C2327" s="64" t="s">
        <v>1720</v>
      </c>
      <c r="D2327" s="74"/>
      <c r="E2327" s="208" t="s">
        <v>162</v>
      </c>
      <c r="F2327" s="209" t="s">
        <v>21</v>
      </c>
      <c r="G2327" s="209" t="s">
        <v>21</v>
      </c>
      <c r="H2327" s="209" t="s">
        <v>272</v>
      </c>
      <c r="I2327" s="210"/>
    </row>
    <row r="2328" spans="1:9" x14ac:dyDescent="0.25">
      <c r="A2328" s="74"/>
      <c r="B2328" s="45">
        <v>1325</v>
      </c>
      <c r="C2328" s="64" t="s">
        <v>1721</v>
      </c>
      <c r="D2328" s="74"/>
      <c r="E2328" s="208" t="s">
        <v>162</v>
      </c>
      <c r="F2328" s="209" t="s">
        <v>21</v>
      </c>
      <c r="G2328" s="209" t="s">
        <v>21</v>
      </c>
      <c r="H2328" s="209" t="s">
        <v>272</v>
      </c>
      <c r="I2328" s="210"/>
    </row>
    <row r="2329" spans="1:9" x14ac:dyDescent="0.25">
      <c r="A2329" s="74"/>
      <c r="B2329" s="45">
        <v>1326</v>
      </c>
      <c r="C2329" s="64" t="s">
        <v>1722</v>
      </c>
      <c r="D2329" s="74"/>
      <c r="E2329" s="208" t="s">
        <v>162</v>
      </c>
      <c r="F2329" s="209" t="s">
        <v>21</v>
      </c>
      <c r="G2329" s="209" t="s">
        <v>21</v>
      </c>
      <c r="H2329" s="209" t="s">
        <v>272</v>
      </c>
      <c r="I2329" s="210"/>
    </row>
    <row r="2330" spans="1:9" x14ac:dyDescent="0.25">
      <c r="A2330" s="74"/>
      <c r="B2330" s="45">
        <v>1327</v>
      </c>
      <c r="C2330" s="64" t="s">
        <v>1723</v>
      </c>
      <c r="D2330" s="74"/>
      <c r="E2330" s="208" t="s">
        <v>162</v>
      </c>
      <c r="F2330" s="209" t="s">
        <v>21</v>
      </c>
      <c r="G2330" s="209" t="s">
        <v>21</v>
      </c>
      <c r="H2330" s="209" t="s">
        <v>272</v>
      </c>
      <c r="I2330" s="210"/>
    </row>
    <row r="2331" spans="1:9" x14ac:dyDescent="0.25">
      <c r="A2331" s="74"/>
      <c r="B2331" s="45">
        <v>1328</v>
      </c>
      <c r="C2331" s="64" t="s">
        <v>1724</v>
      </c>
      <c r="D2331" s="74"/>
      <c r="E2331" s="208" t="s">
        <v>162</v>
      </c>
      <c r="F2331" s="209" t="s">
        <v>21</v>
      </c>
      <c r="G2331" s="209" t="s">
        <v>21</v>
      </c>
      <c r="H2331" s="209" t="s">
        <v>272</v>
      </c>
      <c r="I2331" s="210"/>
    </row>
    <row r="2332" spans="1:9" x14ac:dyDescent="0.25">
      <c r="A2332" s="74"/>
      <c r="B2332" s="45">
        <v>1329</v>
      </c>
      <c r="C2332" s="64" t="s">
        <v>1725</v>
      </c>
      <c r="D2332" s="74"/>
      <c r="E2332" s="208" t="s">
        <v>162</v>
      </c>
      <c r="F2332" s="209" t="s">
        <v>21</v>
      </c>
      <c r="G2332" s="209" t="s">
        <v>21</v>
      </c>
      <c r="H2332" s="209" t="s">
        <v>272</v>
      </c>
      <c r="I2332" s="210"/>
    </row>
    <row r="2333" spans="1:9" x14ac:dyDescent="0.25">
      <c r="A2333" s="74"/>
      <c r="B2333" s="45">
        <v>1330</v>
      </c>
      <c r="C2333" s="64" t="s">
        <v>1726</v>
      </c>
      <c r="D2333" s="74"/>
      <c r="E2333" s="208" t="s">
        <v>162</v>
      </c>
      <c r="F2333" s="209" t="s">
        <v>21</v>
      </c>
      <c r="G2333" s="209" t="s">
        <v>21</v>
      </c>
      <c r="H2333" s="209" t="s">
        <v>272</v>
      </c>
      <c r="I2333" s="210"/>
    </row>
    <row r="2334" spans="1:9" x14ac:dyDescent="0.25">
      <c r="A2334" s="74"/>
      <c r="B2334" s="45">
        <v>1331</v>
      </c>
      <c r="C2334" s="64" t="s">
        <v>1727</v>
      </c>
      <c r="D2334" s="74"/>
      <c r="E2334" s="208" t="s">
        <v>162</v>
      </c>
      <c r="F2334" s="209" t="s">
        <v>21</v>
      </c>
      <c r="G2334" s="209" t="s">
        <v>21</v>
      </c>
      <c r="H2334" s="209" t="s">
        <v>272</v>
      </c>
      <c r="I2334" s="210"/>
    </row>
    <row r="2335" spans="1:9" x14ac:dyDescent="0.25">
      <c r="A2335" s="74"/>
      <c r="B2335" s="45">
        <v>1332</v>
      </c>
      <c r="C2335" s="64" t="s">
        <v>1728</v>
      </c>
      <c r="D2335" s="74"/>
      <c r="E2335" s="208" t="s">
        <v>162</v>
      </c>
      <c r="F2335" s="209" t="s">
        <v>21</v>
      </c>
      <c r="G2335" s="209" t="s">
        <v>21</v>
      </c>
      <c r="H2335" s="209" t="s">
        <v>272</v>
      </c>
      <c r="I2335" s="210"/>
    </row>
    <row r="2336" spans="1:9" x14ac:dyDescent="0.25">
      <c r="A2336" s="74"/>
      <c r="B2336" s="45">
        <v>1324</v>
      </c>
      <c r="C2336" s="64" t="s">
        <v>1720</v>
      </c>
      <c r="D2336" s="74"/>
      <c r="E2336" s="208" t="s">
        <v>162</v>
      </c>
      <c r="F2336" s="209" t="s">
        <v>21</v>
      </c>
      <c r="G2336" s="209" t="s">
        <v>21</v>
      </c>
      <c r="H2336" s="209" t="s">
        <v>272</v>
      </c>
      <c r="I2336" s="210"/>
    </row>
    <row r="2337" spans="1:9" x14ac:dyDescent="0.25">
      <c r="A2337" s="74"/>
      <c r="B2337" s="45">
        <v>1325</v>
      </c>
      <c r="C2337" s="64" t="s">
        <v>1721</v>
      </c>
      <c r="D2337" s="74"/>
      <c r="E2337" s="208" t="s">
        <v>162</v>
      </c>
      <c r="F2337" s="209" t="s">
        <v>21</v>
      </c>
      <c r="G2337" s="209" t="s">
        <v>21</v>
      </c>
      <c r="H2337" s="209" t="s">
        <v>272</v>
      </c>
      <c r="I2337" s="210"/>
    </row>
    <row r="2338" spans="1:9" x14ac:dyDescent="0.25">
      <c r="A2338" s="74"/>
      <c r="B2338" s="45">
        <v>1326</v>
      </c>
      <c r="C2338" s="64" t="s">
        <v>1722</v>
      </c>
      <c r="D2338" s="74"/>
      <c r="E2338" s="208" t="s">
        <v>162</v>
      </c>
      <c r="F2338" s="209" t="s">
        <v>21</v>
      </c>
      <c r="G2338" s="209" t="s">
        <v>21</v>
      </c>
      <c r="H2338" s="209" t="s">
        <v>272</v>
      </c>
      <c r="I2338" s="210"/>
    </row>
    <row r="2339" spans="1:9" x14ac:dyDescent="0.25">
      <c r="A2339" s="74"/>
      <c r="B2339" s="45">
        <v>1327</v>
      </c>
      <c r="C2339" s="64" t="s">
        <v>1723</v>
      </c>
      <c r="D2339" s="74"/>
      <c r="E2339" s="208" t="s">
        <v>162</v>
      </c>
      <c r="F2339" s="209" t="s">
        <v>21</v>
      </c>
      <c r="G2339" s="209" t="s">
        <v>21</v>
      </c>
      <c r="H2339" s="209" t="s">
        <v>272</v>
      </c>
      <c r="I2339" s="210"/>
    </row>
    <row r="2340" spans="1:9" x14ac:dyDescent="0.25">
      <c r="A2340" s="74"/>
      <c r="B2340" s="45">
        <v>1328</v>
      </c>
      <c r="C2340" s="64" t="s">
        <v>1724</v>
      </c>
      <c r="D2340" s="74"/>
      <c r="E2340" s="208" t="s">
        <v>162</v>
      </c>
      <c r="F2340" s="209" t="s">
        <v>21</v>
      </c>
      <c r="G2340" s="209" t="s">
        <v>21</v>
      </c>
      <c r="H2340" s="209" t="s">
        <v>272</v>
      </c>
      <c r="I2340" s="210"/>
    </row>
    <row r="2341" spans="1:9" x14ac:dyDescent="0.25">
      <c r="A2341" s="74"/>
      <c r="B2341" s="45">
        <v>1329</v>
      </c>
      <c r="C2341" s="64" t="s">
        <v>1725</v>
      </c>
      <c r="D2341" s="74"/>
      <c r="E2341" s="208" t="s">
        <v>162</v>
      </c>
      <c r="F2341" s="209" t="s">
        <v>21</v>
      </c>
      <c r="G2341" s="209" t="s">
        <v>21</v>
      </c>
      <c r="H2341" s="209" t="s">
        <v>272</v>
      </c>
      <c r="I2341" s="210"/>
    </row>
    <row r="2342" spans="1:9" x14ac:dyDescent="0.25">
      <c r="A2342" s="74"/>
      <c r="B2342" s="45">
        <v>1330</v>
      </c>
      <c r="C2342" s="64" t="s">
        <v>1726</v>
      </c>
      <c r="D2342" s="74"/>
      <c r="E2342" s="208" t="s">
        <v>162</v>
      </c>
      <c r="F2342" s="209" t="s">
        <v>21</v>
      </c>
      <c r="G2342" s="209" t="s">
        <v>21</v>
      </c>
      <c r="H2342" s="209" t="s">
        <v>272</v>
      </c>
      <c r="I2342" s="210"/>
    </row>
    <row r="2343" spans="1:9" x14ac:dyDescent="0.25">
      <c r="A2343" s="74"/>
      <c r="B2343" s="45">
        <v>1331</v>
      </c>
      <c r="C2343" s="64" t="s">
        <v>1727</v>
      </c>
      <c r="D2343" s="74"/>
      <c r="E2343" s="208" t="s">
        <v>162</v>
      </c>
      <c r="F2343" s="209" t="s">
        <v>21</v>
      </c>
      <c r="G2343" s="209" t="s">
        <v>21</v>
      </c>
      <c r="H2343" s="209" t="s">
        <v>272</v>
      </c>
      <c r="I2343" s="210"/>
    </row>
    <row r="2344" spans="1:9" x14ac:dyDescent="0.25">
      <c r="A2344" s="74"/>
      <c r="B2344" s="45">
        <v>1332</v>
      </c>
      <c r="C2344" s="64" t="s">
        <v>1728</v>
      </c>
      <c r="D2344" s="74"/>
      <c r="E2344" s="208" t="s">
        <v>162</v>
      </c>
      <c r="F2344" s="209" t="s">
        <v>21</v>
      </c>
      <c r="G2344" s="209" t="s">
        <v>21</v>
      </c>
      <c r="H2344" s="209" t="s">
        <v>272</v>
      </c>
      <c r="I2344" s="210"/>
    </row>
    <row r="2345" spans="1:9" x14ac:dyDescent="0.25">
      <c r="A2345" s="74"/>
      <c r="B2345" s="45">
        <v>1324</v>
      </c>
      <c r="C2345" s="64" t="s">
        <v>1720</v>
      </c>
      <c r="D2345" s="74"/>
      <c r="E2345" s="208" t="s">
        <v>162</v>
      </c>
      <c r="F2345" s="209" t="s">
        <v>21</v>
      </c>
      <c r="G2345" s="209" t="s">
        <v>21</v>
      </c>
      <c r="H2345" s="209" t="s">
        <v>272</v>
      </c>
      <c r="I2345" s="210"/>
    </row>
    <row r="2346" spans="1:9" x14ac:dyDescent="0.25">
      <c r="A2346" s="74"/>
      <c r="B2346" s="45">
        <v>1325</v>
      </c>
      <c r="C2346" s="64" t="s">
        <v>1721</v>
      </c>
      <c r="D2346" s="74"/>
      <c r="E2346" s="208" t="s">
        <v>162</v>
      </c>
      <c r="F2346" s="209" t="s">
        <v>21</v>
      </c>
      <c r="G2346" s="209" t="s">
        <v>21</v>
      </c>
      <c r="H2346" s="209" t="s">
        <v>272</v>
      </c>
      <c r="I2346" s="210"/>
    </row>
    <row r="2347" spans="1:9" x14ac:dyDescent="0.25">
      <c r="A2347" s="74"/>
      <c r="B2347" s="45">
        <v>1326</v>
      </c>
      <c r="C2347" s="64" t="s">
        <v>1722</v>
      </c>
      <c r="D2347" s="74"/>
      <c r="E2347" s="208" t="s">
        <v>162</v>
      </c>
      <c r="F2347" s="209" t="s">
        <v>21</v>
      </c>
      <c r="G2347" s="209" t="s">
        <v>21</v>
      </c>
      <c r="H2347" s="209" t="s">
        <v>272</v>
      </c>
      <c r="I2347" s="210"/>
    </row>
    <row r="2348" spans="1:9" x14ac:dyDescent="0.25">
      <c r="A2348" s="74"/>
      <c r="B2348" s="45">
        <v>1327</v>
      </c>
      <c r="C2348" s="64" t="s">
        <v>1723</v>
      </c>
      <c r="D2348" s="74"/>
      <c r="E2348" s="208" t="s">
        <v>162</v>
      </c>
      <c r="F2348" s="209" t="s">
        <v>21</v>
      </c>
      <c r="G2348" s="209" t="s">
        <v>21</v>
      </c>
      <c r="H2348" s="209" t="s">
        <v>272</v>
      </c>
      <c r="I2348" s="210"/>
    </row>
    <row r="2349" spans="1:9" x14ac:dyDescent="0.25">
      <c r="A2349" s="74"/>
      <c r="B2349" s="45">
        <v>1328</v>
      </c>
      <c r="C2349" s="64" t="s">
        <v>1724</v>
      </c>
      <c r="D2349" s="74"/>
      <c r="E2349" s="208" t="s">
        <v>162</v>
      </c>
      <c r="F2349" s="209" t="s">
        <v>21</v>
      </c>
      <c r="G2349" s="209" t="s">
        <v>21</v>
      </c>
      <c r="H2349" s="209" t="s">
        <v>272</v>
      </c>
      <c r="I2349" s="210"/>
    </row>
    <row r="2350" spans="1:9" x14ac:dyDescent="0.25">
      <c r="A2350" s="74"/>
      <c r="B2350" s="45">
        <v>1329</v>
      </c>
      <c r="C2350" s="64" t="s">
        <v>1725</v>
      </c>
      <c r="D2350" s="74"/>
      <c r="E2350" s="208" t="s">
        <v>162</v>
      </c>
      <c r="F2350" s="209" t="s">
        <v>21</v>
      </c>
      <c r="G2350" s="209" t="s">
        <v>21</v>
      </c>
      <c r="H2350" s="209" t="s">
        <v>272</v>
      </c>
      <c r="I2350" s="210"/>
    </row>
    <row r="2351" spans="1:9" x14ac:dyDescent="0.25">
      <c r="A2351" s="74"/>
      <c r="B2351" s="45">
        <v>1331</v>
      </c>
      <c r="C2351" s="64" t="s">
        <v>1727</v>
      </c>
      <c r="D2351" s="74"/>
      <c r="E2351" s="208" t="s">
        <v>162</v>
      </c>
      <c r="F2351" s="209" t="s">
        <v>21</v>
      </c>
      <c r="G2351" s="209" t="s">
        <v>21</v>
      </c>
      <c r="H2351" s="209" t="s">
        <v>272</v>
      </c>
      <c r="I2351" s="210"/>
    </row>
    <row r="2352" spans="1:9" x14ac:dyDescent="0.25">
      <c r="A2352" s="74"/>
      <c r="B2352" s="45">
        <v>1330</v>
      </c>
      <c r="C2352" s="64" t="s">
        <v>1726</v>
      </c>
      <c r="D2352" s="74"/>
      <c r="E2352" s="208" t="s">
        <v>162</v>
      </c>
      <c r="F2352" s="209" t="s">
        <v>21</v>
      </c>
      <c r="G2352" s="209" t="s">
        <v>21</v>
      </c>
      <c r="H2352" s="209" t="s">
        <v>272</v>
      </c>
      <c r="I2352" s="210"/>
    </row>
    <row r="2353" spans="1:9" x14ac:dyDescent="0.25">
      <c r="A2353" s="74"/>
      <c r="B2353" s="45">
        <v>1332</v>
      </c>
      <c r="C2353" s="64" t="s">
        <v>1728</v>
      </c>
      <c r="D2353" s="74"/>
      <c r="E2353" s="208" t="s">
        <v>162</v>
      </c>
      <c r="F2353" s="209" t="s">
        <v>21</v>
      </c>
      <c r="G2353" s="209" t="s">
        <v>21</v>
      </c>
      <c r="H2353" s="209" t="s">
        <v>272</v>
      </c>
      <c r="I2353" s="210"/>
    </row>
    <row r="2354" spans="1:9" x14ac:dyDescent="0.25">
      <c r="A2354" s="74"/>
      <c r="B2354" s="45">
        <v>1324</v>
      </c>
      <c r="C2354" s="64" t="s">
        <v>1720</v>
      </c>
      <c r="D2354" s="74"/>
      <c r="E2354" s="208" t="s">
        <v>162</v>
      </c>
      <c r="F2354" s="209" t="s">
        <v>21</v>
      </c>
      <c r="G2354" s="209" t="s">
        <v>21</v>
      </c>
      <c r="H2354" s="209" t="s">
        <v>272</v>
      </c>
      <c r="I2354" s="210"/>
    </row>
    <row r="2355" spans="1:9" x14ac:dyDescent="0.25">
      <c r="A2355" s="74"/>
      <c r="B2355" s="45">
        <v>1325</v>
      </c>
      <c r="C2355" s="64" t="s">
        <v>1721</v>
      </c>
      <c r="D2355" s="74"/>
      <c r="E2355" s="208" t="s">
        <v>162</v>
      </c>
      <c r="F2355" s="209" t="s">
        <v>21</v>
      </c>
      <c r="G2355" s="209" t="s">
        <v>21</v>
      </c>
      <c r="H2355" s="209" t="s">
        <v>272</v>
      </c>
      <c r="I2355" s="210"/>
    </row>
    <row r="2356" spans="1:9" x14ac:dyDescent="0.25">
      <c r="A2356" s="74"/>
      <c r="B2356" s="45">
        <v>1326</v>
      </c>
      <c r="C2356" s="64" t="s">
        <v>1722</v>
      </c>
      <c r="D2356" s="74"/>
      <c r="E2356" s="208" t="s">
        <v>162</v>
      </c>
      <c r="F2356" s="209" t="s">
        <v>21</v>
      </c>
      <c r="G2356" s="209" t="s">
        <v>21</v>
      </c>
      <c r="H2356" s="209" t="s">
        <v>272</v>
      </c>
      <c r="I2356" s="210"/>
    </row>
    <row r="2357" spans="1:9" x14ac:dyDescent="0.25">
      <c r="A2357" s="74"/>
      <c r="B2357" s="45">
        <v>1327</v>
      </c>
      <c r="C2357" s="64" t="s">
        <v>1723</v>
      </c>
      <c r="D2357" s="74"/>
      <c r="E2357" s="208" t="s">
        <v>162</v>
      </c>
      <c r="F2357" s="209" t="s">
        <v>21</v>
      </c>
      <c r="G2357" s="209" t="s">
        <v>21</v>
      </c>
      <c r="H2357" s="209" t="s">
        <v>272</v>
      </c>
      <c r="I2357" s="210"/>
    </row>
    <row r="2358" spans="1:9" x14ac:dyDescent="0.25">
      <c r="A2358" s="74"/>
      <c r="B2358" s="45">
        <v>1328</v>
      </c>
      <c r="C2358" s="64" t="s">
        <v>1724</v>
      </c>
      <c r="D2358" s="74"/>
      <c r="E2358" s="208" t="s">
        <v>162</v>
      </c>
      <c r="F2358" s="209" t="s">
        <v>21</v>
      </c>
      <c r="G2358" s="209" t="s">
        <v>21</v>
      </c>
      <c r="H2358" s="209" t="s">
        <v>272</v>
      </c>
      <c r="I2358" s="210"/>
    </row>
    <row r="2359" spans="1:9" x14ac:dyDescent="0.25">
      <c r="A2359" s="74"/>
      <c r="B2359" s="45">
        <v>1329</v>
      </c>
      <c r="C2359" s="64" t="s">
        <v>1725</v>
      </c>
      <c r="D2359" s="74"/>
      <c r="E2359" s="208" t="s">
        <v>162</v>
      </c>
      <c r="F2359" s="209" t="s">
        <v>21</v>
      </c>
      <c r="G2359" s="209" t="s">
        <v>21</v>
      </c>
      <c r="H2359" s="209" t="s">
        <v>272</v>
      </c>
      <c r="I2359" s="210"/>
    </row>
    <row r="2360" spans="1:9" x14ac:dyDescent="0.25">
      <c r="A2360" s="74"/>
      <c r="B2360" s="45">
        <v>1331</v>
      </c>
      <c r="C2360" s="64" t="s">
        <v>1727</v>
      </c>
      <c r="D2360" s="74"/>
      <c r="E2360" s="208" t="s">
        <v>162</v>
      </c>
      <c r="F2360" s="209" t="s">
        <v>21</v>
      </c>
      <c r="G2360" s="209" t="s">
        <v>21</v>
      </c>
      <c r="H2360" s="209" t="s">
        <v>272</v>
      </c>
      <c r="I2360" s="210"/>
    </row>
    <row r="2361" spans="1:9" x14ac:dyDescent="0.25">
      <c r="A2361" s="74"/>
      <c r="B2361" s="45">
        <v>1330</v>
      </c>
      <c r="C2361" s="64" t="s">
        <v>1726</v>
      </c>
      <c r="D2361" s="74"/>
      <c r="E2361" s="208" t="s">
        <v>162</v>
      </c>
      <c r="F2361" s="209" t="s">
        <v>21</v>
      </c>
      <c r="G2361" s="209" t="s">
        <v>21</v>
      </c>
      <c r="H2361" s="209" t="s">
        <v>272</v>
      </c>
      <c r="I2361" s="210"/>
    </row>
    <row r="2362" spans="1:9" x14ac:dyDescent="0.25">
      <c r="A2362" s="74"/>
      <c r="B2362" s="45">
        <v>1332</v>
      </c>
      <c r="C2362" s="64" t="s">
        <v>1728</v>
      </c>
      <c r="D2362" s="74"/>
      <c r="E2362" s="208" t="s">
        <v>162</v>
      </c>
      <c r="F2362" s="209" t="s">
        <v>21</v>
      </c>
      <c r="G2362" s="209" t="s">
        <v>21</v>
      </c>
      <c r="H2362" s="209" t="s">
        <v>272</v>
      </c>
      <c r="I2362" s="210"/>
    </row>
    <row r="2363" spans="1:9" x14ac:dyDescent="0.25">
      <c r="A2363" s="74"/>
      <c r="B2363" s="45">
        <v>253</v>
      </c>
      <c r="C2363" s="64" t="s">
        <v>665</v>
      </c>
      <c r="D2363" s="74"/>
      <c r="E2363" s="208" t="s">
        <v>176</v>
      </c>
      <c r="F2363" s="209" t="s">
        <v>21</v>
      </c>
      <c r="G2363" s="209" t="s">
        <v>21</v>
      </c>
      <c r="H2363" s="209" t="s">
        <v>183</v>
      </c>
      <c r="I2363" s="210"/>
    </row>
    <row r="2364" spans="1:9" x14ac:dyDescent="0.25">
      <c r="A2364" s="74"/>
      <c r="B2364" s="45">
        <v>254</v>
      </c>
      <c r="C2364" s="64" t="s">
        <v>666</v>
      </c>
      <c r="D2364" s="74"/>
      <c r="E2364" s="208" t="s">
        <v>176</v>
      </c>
      <c r="F2364" s="209" t="s">
        <v>21</v>
      </c>
      <c r="G2364" s="209" t="s">
        <v>21</v>
      </c>
      <c r="H2364" s="209" t="s">
        <v>186</v>
      </c>
      <c r="I2364" s="210"/>
    </row>
    <row r="2365" spans="1:9" x14ac:dyDescent="0.25">
      <c r="A2365" s="74"/>
      <c r="B2365" s="45">
        <v>266</v>
      </c>
      <c r="C2365" s="64" t="s">
        <v>678</v>
      </c>
      <c r="D2365" s="74"/>
      <c r="E2365" s="208" t="s">
        <v>176</v>
      </c>
      <c r="F2365" s="209" t="s">
        <v>21</v>
      </c>
      <c r="G2365" s="209" t="s">
        <v>21</v>
      </c>
      <c r="H2365" s="209" t="s">
        <v>189</v>
      </c>
      <c r="I2365" s="210"/>
    </row>
    <row r="2366" spans="1:9" x14ac:dyDescent="0.25">
      <c r="A2366" s="74"/>
      <c r="B2366" s="45">
        <v>257</v>
      </c>
      <c r="C2366" s="64" t="s">
        <v>669</v>
      </c>
      <c r="D2366" s="74"/>
      <c r="E2366" s="208" t="s">
        <v>176</v>
      </c>
      <c r="F2366" s="209" t="s">
        <v>21</v>
      </c>
      <c r="G2366" s="209" t="s">
        <v>21</v>
      </c>
      <c r="H2366" s="209" t="s">
        <v>192</v>
      </c>
      <c r="I2366" s="210"/>
    </row>
    <row r="2367" spans="1:9" x14ac:dyDescent="0.25">
      <c r="A2367" s="74"/>
      <c r="B2367" s="45">
        <v>254</v>
      </c>
      <c r="C2367" s="64" t="s">
        <v>666</v>
      </c>
      <c r="D2367" s="74"/>
      <c r="E2367" s="208" t="s">
        <v>176</v>
      </c>
      <c r="F2367" s="209" t="s">
        <v>21</v>
      </c>
      <c r="G2367" s="209" t="s">
        <v>21</v>
      </c>
      <c r="H2367" s="209" t="s">
        <v>186</v>
      </c>
      <c r="I2367" s="210"/>
    </row>
    <row r="2368" spans="1:9" x14ac:dyDescent="0.25">
      <c r="A2368" s="74"/>
      <c r="B2368" s="45">
        <v>1334</v>
      </c>
      <c r="C2368" s="64" t="s">
        <v>1729</v>
      </c>
      <c r="D2368" s="74"/>
      <c r="E2368" s="208" t="s">
        <v>176</v>
      </c>
      <c r="F2368" s="209" t="s">
        <v>21</v>
      </c>
      <c r="G2368" s="209" t="s">
        <v>21</v>
      </c>
      <c r="H2368" s="209" t="s">
        <v>272</v>
      </c>
      <c r="I2368" s="210"/>
    </row>
    <row r="2369" spans="1:9" x14ac:dyDescent="0.25">
      <c r="A2369" s="74"/>
      <c r="B2369" s="45">
        <v>260</v>
      </c>
      <c r="C2369" s="64" t="s">
        <v>672</v>
      </c>
      <c r="D2369" s="74"/>
      <c r="E2369" s="208" t="s">
        <v>176</v>
      </c>
      <c r="F2369" s="209" t="s">
        <v>21</v>
      </c>
      <c r="G2369" s="209" t="s">
        <v>21</v>
      </c>
      <c r="H2369" s="209" t="s">
        <v>272</v>
      </c>
      <c r="I2369" s="210"/>
    </row>
    <row r="2370" spans="1:9" x14ac:dyDescent="0.25">
      <c r="A2370" s="74"/>
      <c r="B2370" s="45">
        <v>1335</v>
      </c>
      <c r="C2370" s="64" t="s">
        <v>1730</v>
      </c>
      <c r="D2370" s="74"/>
      <c r="E2370" s="208" t="s">
        <v>176</v>
      </c>
      <c r="F2370" s="209" t="s">
        <v>21</v>
      </c>
      <c r="G2370" s="209" t="s">
        <v>21</v>
      </c>
      <c r="H2370" s="209" t="s">
        <v>272</v>
      </c>
      <c r="I2370" s="210"/>
    </row>
    <row r="2371" spans="1:9" x14ac:dyDescent="0.25">
      <c r="A2371" s="74"/>
      <c r="B2371" s="45">
        <v>1334</v>
      </c>
      <c r="C2371" s="64" t="s">
        <v>1729</v>
      </c>
      <c r="D2371" s="74"/>
      <c r="E2371" s="208" t="s">
        <v>176</v>
      </c>
      <c r="F2371" s="209" t="s">
        <v>21</v>
      </c>
      <c r="G2371" s="209" t="s">
        <v>21</v>
      </c>
      <c r="H2371" s="209" t="s">
        <v>272</v>
      </c>
      <c r="I2371" s="210"/>
    </row>
    <row r="2372" spans="1:9" x14ac:dyDescent="0.25">
      <c r="A2372" s="74"/>
      <c r="B2372" s="45">
        <v>260</v>
      </c>
      <c r="C2372" s="64" t="s">
        <v>672</v>
      </c>
      <c r="D2372" s="74"/>
      <c r="E2372" s="208" t="s">
        <v>176</v>
      </c>
      <c r="F2372" s="209" t="s">
        <v>21</v>
      </c>
      <c r="G2372" s="209" t="s">
        <v>21</v>
      </c>
      <c r="H2372" s="209" t="s">
        <v>272</v>
      </c>
      <c r="I2372" s="210"/>
    </row>
    <row r="2373" spans="1:9" x14ac:dyDescent="0.25">
      <c r="A2373" s="74"/>
      <c r="B2373" s="45">
        <v>1335</v>
      </c>
      <c r="C2373" s="64" t="s">
        <v>1730</v>
      </c>
      <c r="D2373" s="74"/>
      <c r="E2373" s="208" t="s">
        <v>176</v>
      </c>
      <c r="F2373" s="209" t="s">
        <v>21</v>
      </c>
      <c r="G2373" s="209" t="s">
        <v>21</v>
      </c>
      <c r="H2373" s="209" t="s">
        <v>272</v>
      </c>
      <c r="I2373" s="210"/>
    </row>
    <row r="2374" spans="1:9" x14ac:dyDescent="0.25">
      <c r="A2374" s="74"/>
      <c r="B2374" s="45">
        <v>1334</v>
      </c>
      <c r="C2374" s="64" t="s">
        <v>1729</v>
      </c>
      <c r="D2374" s="74"/>
      <c r="E2374" s="208" t="s">
        <v>176</v>
      </c>
      <c r="F2374" s="209" t="s">
        <v>21</v>
      </c>
      <c r="G2374" s="209" t="s">
        <v>21</v>
      </c>
      <c r="H2374" s="209" t="s">
        <v>272</v>
      </c>
      <c r="I2374" s="210"/>
    </row>
    <row r="2375" spans="1:9" x14ac:dyDescent="0.25">
      <c r="A2375" s="74"/>
      <c r="B2375" s="45">
        <v>260</v>
      </c>
      <c r="C2375" s="64" t="s">
        <v>672</v>
      </c>
      <c r="D2375" s="74"/>
      <c r="E2375" s="208" t="s">
        <v>176</v>
      </c>
      <c r="F2375" s="209" t="s">
        <v>21</v>
      </c>
      <c r="G2375" s="209" t="s">
        <v>21</v>
      </c>
      <c r="H2375" s="209" t="s">
        <v>272</v>
      </c>
      <c r="I2375" s="210"/>
    </row>
    <row r="2376" spans="1:9" x14ac:dyDescent="0.25">
      <c r="A2376" s="74"/>
      <c r="B2376" s="45">
        <v>1335</v>
      </c>
      <c r="C2376" s="64" t="s">
        <v>1730</v>
      </c>
      <c r="D2376" s="74"/>
      <c r="E2376" s="208" t="s">
        <v>176</v>
      </c>
      <c r="F2376" s="209" t="s">
        <v>21</v>
      </c>
      <c r="G2376" s="209" t="s">
        <v>21</v>
      </c>
      <c r="H2376" s="209" t="s">
        <v>272</v>
      </c>
      <c r="I2376" s="210"/>
    </row>
    <row r="2377" spans="1:9" x14ac:dyDescent="0.25">
      <c r="A2377" s="74"/>
      <c r="B2377" s="45">
        <v>1334</v>
      </c>
      <c r="C2377" s="64" t="s">
        <v>1729</v>
      </c>
      <c r="D2377" s="74"/>
      <c r="E2377" s="208" t="s">
        <v>176</v>
      </c>
      <c r="F2377" s="209" t="s">
        <v>21</v>
      </c>
      <c r="G2377" s="209" t="s">
        <v>21</v>
      </c>
      <c r="H2377" s="209" t="s">
        <v>272</v>
      </c>
      <c r="I2377" s="210"/>
    </row>
    <row r="2378" spans="1:9" x14ac:dyDescent="0.25">
      <c r="A2378" s="74"/>
      <c r="B2378" s="45">
        <v>260</v>
      </c>
      <c r="C2378" s="64" t="s">
        <v>672</v>
      </c>
      <c r="D2378" s="74"/>
      <c r="E2378" s="208" t="s">
        <v>176</v>
      </c>
      <c r="F2378" s="209" t="s">
        <v>21</v>
      </c>
      <c r="G2378" s="209" t="s">
        <v>21</v>
      </c>
      <c r="H2378" s="209" t="s">
        <v>272</v>
      </c>
      <c r="I2378" s="210"/>
    </row>
    <row r="2379" spans="1:9" x14ac:dyDescent="0.25">
      <c r="A2379" s="74"/>
      <c r="B2379" s="45">
        <v>1335</v>
      </c>
      <c r="C2379" s="64" t="s">
        <v>1730</v>
      </c>
      <c r="D2379" s="74"/>
      <c r="E2379" s="208" t="s">
        <v>176</v>
      </c>
      <c r="F2379" s="209" t="s">
        <v>21</v>
      </c>
      <c r="G2379" s="209" t="s">
        <v>21</v>
      </c>
      <c r="H2379" s="209" t="s">
        <v>272</v>
      </c>
      <c r="I2379" s="210"/>
    </row>
    <row r="2380" spans="1:9" x14ac:dyDescent="0.25">
      <c r="A2380" s="74"/>
      <c r="B2380" s="45">
        <v>261</v>
      </c>
      <c r="C2380" s="64" t="s">
        <v>673</v>
      </c>
      <c r="D2380" s="74"/>
      <c r="E2380" s="208" t="s">
        <v>176</v>
      </c>
      <c r="F2380" s="209" t="s">
        <v>21</v>
      </c>
      <c r="G2380" s="209" t="s">
        <v>21</v>
      </c>
      <c r="H2380" s="209" t="s">
        <v>272</v>
      </c>
      <c r="I2380" s="210"/>
    </row>
    <row r="2381" spans="1:9" x14ac:dyDescent="0.25">
      <c r="A2381" s="74"/>
      <c r="B2381" s="45">
        <v>1334</v>
      </c>
      <c r="C2381" s="64" t="s">
        <v>1729</v>
      </c>
      <c r="D2381" s="74"/>
      <c r="E2381" s="208" t="s">
        <v>176</v>
      </c>
      <c r="F2381" s="209" t="s">
        <v>21</v>
      </c>
      <c r="G2381" s="209" t="s">
        <v>21</v>
      </c>
      <c r="H2381" s="209" t="s">
        <v>272</v>
      </c>
      <c r="I2381" s="210"/>
    </row>
    <row r="2382" spans="1:9" x14ac:dyDescent="0.25">
      <c r="A2382" s="74"/>
      <c r="B2382" s="45">
        <v>255</v>
      </c>
      <c r="C2382" s="64" t="s">
        <v>667</v>
      </c>
      <c r="D2382" s="74"/>
      <c r="E2382" s="208" t="s">
        <v>176</v>
      </c>
      <c r="F2382" s="209" t="s">
        <v>21</v>
      </c>
      <c r="G2382" s="209" t="s">
        <v>21</v>
      </c>
      <c r="H2382" s="209" t="s">
        <v>272</v>
      </c>
      <c r="I2382" s="210"/>
    </row>
    <row r="2383" spans="1:9" x14ac:dyDescent="0.25">
      <c r="A2383" s="74"/>
      <c r="B2383" s="45">
        <v>1336</v>
      </c>
      <c r="C2383" s="64" t="s">
        <v>1731</v>
      </c>
      <c r="D2383" s="74"/>
      <c r="E2383" s="208" t="s">
        <v>176</v>
      </c>
      <c r="F2383" s="209" t="s">
        <v>21</v>
      </c>
      <c r="G2383" s="209" t="s">
        <v>21</v>
      </c>
      <c r="H2383" s="209" t="s">
        <v>272</v>
      </c>
      <c r="I2383" s="210"/>
    </row>
    <row r="2384" spans="1:9" x14ac:dyDescent="0.25">
      <c r="A2384" s="74"/>
      <c r="B2384" s="45">
        <v>261</v>
      </c>
      <c r="C2384" s="64" t="s">
        <v>673</v>
      </c>
      <c r="D2384" s="74"/>
      <c r="E2384" s="208" t="s">
        <v>176</v>
      </c>
      <c r="F2384" s="209" t="s">
        <v>21</v>
      </c>
      <c r="G2384" s="209" t="s">
        <v>21</v>
      </c>
      <c r="H2384" s="209" t="s">
        <v>272</v>
      </c>
      <c r="I2384" s="210"/>
    </row>
    <row r="2385" spans="1:9" x14ac:dyDescent="0.25">
      <c r="A2385" s="74"/>
      <c r="B2385" s="45">
        <v>1334</v>
      </c>
      <c r="C2385" s="64" t="s">
        <v>1729</v>
      </c>
      <c r="D2385" s="74"/>
      <c r="E2385" s="208" t="s">
        <v>176</v>
      </c>
      <c r="F2385" s="209" t="s">
        <v>21</v>
      </c>
      <c r="G2385" s="209" t="s">
        <v>21</v>
      </c>
      <c r="H2385" s="209" t="s">
        <v>272</v>
      </c>
      <c r="I2385" s="210"/>
    </row>
    <row r="2386" spans="1:9" x14ac:dyDescent="0.25">
      <c r="A2386" s="74"/>
      <c r="B2386" s="45">
        <v>255</v>
      </c>
      <c r="C2386" s="64" t="s">
        <v>667</v>
      </c>
      <c r="D2386" s="74"/>
      <c r="E2386" s="208" t="s">
        <v>176</v>
      </c>
      <c r="F2386" s="209" t="s">
        <v>21</v>
      </c>
      <c r="G2386" s="209" t="s">
        <v>21</v>
      </c>
      <c r="H2386" s="209" t="s">
        <v>272</v>
      </c>
      <c r="I2386" s="210"/>
    </row>
    <row r="2387" spans="1:9" x14ac:dyDescent="0.25">
      <c r="A2387" s="74"/>
      <c r="B2387" s="45">
        <v>1336</v>
      </c>
      <c r="C2387" s="64" t="s">
        <v>1731</v>
      </c>
      <c r="D2387" s="74"/>
      <c r="E2387" s="208" t="s">
        <v>176</v>
      </c>
      <c r="F2387" s="209" t="s">
        <v>21</v>
      </c>
      <c r="G2387" s="209" t="s">
        <v>21</v>
      </c>
      <c r="H2387" s="209" t="s">
        <v>272</v>
      </c>
      <c r="I2387" s="210"/>
    </row>
    <row r="2388" spans="1:9" x14ac:dyDescent="0.25">
      <c r="A2388" s="74"/>
      <c r="B2388" s="45">
        <v>261</v>
      </c>
      <c r="C2388" s="64" t="s">
        <v>673</v>
      </c>
      <c r="D2388" s="74"/>
      <c r="E2388" s="208" t="s">
        <v>176</v>
      </c>
      <c r="F2388" s="209" t="s">
        <v>21</v>
      </c>
      <c r="G2388" s="209" t="s">
        <v>21</v>
      </c>
      <c r="H2388" s="209" t="s">
        <v>272</v>
      </c>
      <c r="I2388" s="210"/>
    </row>
    <row r="2389" spans="1:9" x14ac:dyDescent="0.25">
      <c r="A2389" s="74"/>
      <c r="B2389" s="45">
        <v>1334</v>
      </c>
      <c r="C2389" s="64" t="s">
        <v>1729</v>
      </c>
      <c r="D2389" s="74"/>
      <c r="E2389" s="208" t="s">
        <v>176</v>
      </c>
      <c r="F2389" s="209" t="s">
        <v>21</v>
      </c>
      <c r="G2389" s="209" t="s">
        <v>21</v>
      </c>
      <c r="H2389" s="209" t="s">
        <v>272</v>
      </c>
      <c r="I2389" s="210"/>
    </row>
    <row r="2390" spans="1:9" x14ac:dyDescent="0.25">
      <c r="A2390" s="74"/>
      <c r="B2390" s="45">
        <v>255</v>
      </c>
      <c r="C2390" s="64" t="s">
        <v>667</v>
      </c>
      <c r="D2390" s="74"/>
      <c r="E2390" s="208" t="s">
        <v>176</v>
      </c>
      <c r="F2390" s="209" t="s">
        <v>21</v>
      </c>
      <c r="G2390" s="209" t="s">
        <v>21</v>
      </c>
      <c r="H2390" s="209" t="s">
        <v>272</v>
      </c>
      <c r="I2390" s="210"/>
    </row>
    <row r="2391" spans="1:9" x14ac:dyDescent="0.25">
      <c r="A2391" s="74"/>
      <c r="B2391" s="45">
        <v>1336</v>
      </c>
      <c r="C2391" s="64" t="s">
        <v>1731</v>
      </c>
      <c r="D2391" s="74"/>
      <c r="E2391" s="208" t="s">
        <v>176</v>
      </c>
      <c r="F2391" s="209" t="s">
        <v>21</v>
      </c>
      <c r="G2391" s="209" t="s">
        <v>21</v>
      </c>
      <c r="H2391" s="209" t="s">
        <v>272</v>
      </c>
      <c r="I2391" s="210"/>
    </row>
    <row r="2392" spans="1:9" x14ac:dyDescent="0.25">
      <c r="A2392" s="74"/>
      <c r="B2392" s="45">
        <v>261</v>
      </c>
      <c r="C2392" s="64" t="s">
        <v>673</v>
      </c>
      <c r="D2392" s="74"/>
      <c r="E2392" s="208" t="s">
        <v>176</v>
      </c>
      <c r="F2392" s="209" t="s">
        <v>21</v>
      </c>
      <c r="G2392" s="209" t="s">
        <v>21</v>
      </c>
      <c r="H2392" s="209" t="s">
        <v>272</v>
      </c>
      <c r="I2392" s="210"/>
    </row>
    <row r="2393" spans="1:9" x14ac:dyDescent="0.25">
      <c r="A2393" s="74"/>
      <c r="B2393" s="45">
        <v>1334</v>
      </c>
      <c r="C2393" s="64" t="s">
        <v>1729</v>
      </c>
      <c r="D2393" s="74"/>
      <c r="E2393" s="208" t="s">
        <v>176</v>
      </c>
      <c r="F2393" s="209" t="s">
        <v>21</v>
      </c>
      <c r="G2393" s="209" t="s">
        <v>21</v>
      </c>
      <c r="H2393" s="209" t="s">
        <v>272</v>
      </c>
      <c r="I2393" s="210"/>
    </row>
    <row r="2394" spans="1:9" x14ac:dyDescent="0.25">
      <c r="A2394" s="74"/>
      <c r="B2394" s="45">
        <v>255</v>
      </c>
      <c r="C2394" s="64" t="s">
        <v>667</v>
      </c>
      <c r="D2394" s="74"/>
      <c r="E2394" s="208" t="s">
        <v>176</v>
      </c>
      <c r="F2394" s="209" t="s">
        <v>21</v>
      </c>
      <c r="G2394" s="209" t="s">
        <v>21</v>
      </c>
      <c r="H2394" s="209" t="s">
        <v>272</v>
      </c>
      <c r="I2394" s="210"/>
    </row>
    <row r="2395" spans="1:9" x14ac:dyDescent="0.25">
      <c r="A2395" s="74"/>
      <c r="B2395" s="45">
        <v>1336</v>
      </c>
      <c r="C2395" s="64" t="s">
        <v>1731</v>
      </c>
      <c r="D2395" s="74"/>
      <c r="E2395" s="208" t="s">
        <v>176</v>
      </c>
      <c r="F2395" s="209" t="s">
        <v>21</v>
      </c>
      <c r="G2395" s="209" t="s">
        <v>21</v>
      </c>
      <c r="H2395" s="209" t="s">
        <v>272</v>
      </c>
      <c r="I2395" s="210"/>
    </row>
    <row r="2396" spans="1:9" x14ac:dyDescent="0.25">
      <c r="A2396" s="74"/>
      <c r="B2396" s="45">
        <v>261</v>
      </c>
      <c r="C2396" s="64" t="s">
        <v>673</v>
      </c>
      <c r="D2396" s="74"/>
      <c r="E2396" s="208" t="s">
        <v>176</v>
      </c>
      <c r="F2396" s="209" t="s">
        <v>21</v>
      </c>
      <c r="G2396" s="209" t="s">
        <v>21</v>
      </c>
      <c r="H2396" s="209" t="s">
        <v>272</v>
      </c>
      <c r="I2396" s="210"/>
    </row>
    <row r="2397" spans="1:9" x14ac:dyDescent="0.25">
      <c r="A2397" s="74"/>
      <c r="B2397" s="45">
        <v>1334</v>
      </c>
      <c r="C2397" s="64" t="s">
        <v>1729</v>
      </c>
      <c r="D2397" s="74"/>
      <c r="E2397" s="208" t="s">
        <v>176</v>
      </c>
      <c r="F2397" s="209" t="s">
        <v>21</v>
      </c>
      <c r="G2397" s="209" t="s">
        <v>21</v>
      </c>
      <c r="H2397" s="209" t="s">
        <v>272</v>
      </c>
      <c r="I2397" s="210"/>
    </row>
    <row r="2398" spans="1:9" x14ac:dyDescent="0.25">
      <c r="A2398" s="74"/>
      <c r="B2398" s="45">
        <v>255</v>
      </c>
      <c r="C2398" s="64" t="s">
        <v>667</v>
      </c>
      <c r="D2398" s="74"/>
      <c r="E2398" s="208" t="s">
        <v>176</v>
      </c>
      <c r="F2398" s="209" t="s">
        <v>21</v>
      </c>
      <c r="G2398" s="209" t="s">
        <v>21</v>
      </c>
      <c r="H2398" s="209" t="s">
        <v>272</v>
      </c>
      <c r="I2398" s="210"/>
    </row>
    <row r="2399" spans="1:9" x14ac:dyDescent="0.25">
      <c r="A2399" s="74"/>
      <c r="B2399" s="45">
        <v>1336</v>
      </c>
      <c r="C2399" s="64" t="s">
        <v>1731</v>
      </c>
      <c r="D2399" s="74"/>
      <c r="E2399" s="208" t="s">
        <v>176</v>
      </c>
      <c r="F2399" s="209" t="s">
        <v>21</v>
      </c>
      <c r="G2399" s="209" t="s">
        <v>21</v>
      </c>
      <c r="H2399" s="209" t="s">
        <v>272</v>
      </c>
      <c r="I2399" s="210"/>
    </row>
    <row r="2400" spans="1:9" x14ac:dyDescent="0.25">
      <c r="A2400" s="74"/>
      <c r="B2400" s="45">
        <v>1337</v>
      </c>
      <c r="C2400" s="64" t="s">
        <v>1693</v>
      </c>
      <c r="D2400" s="74"/>
      <c r="E2400" s="208" t="s">
        <v>176</v>
      </c>
      <c r="F2400" s="209" t="s">
        <v>21</v>
      </c>
      <c r="G2400" s="209" t="s">
        <v>21</v>
      </c>
      <c r="H2400" s="209" t="s">
        <v>272</v>
      </c>
      <c r="I2400" s="210"/>
    </row>
    <row r="2401" spans="1:9" x14ac:dyDescent="0.25">
      <c r="A2401" s="74"/>
      <c r="B2401" s="45">
        <v>262</v>
      </c>
      <c r="C2401" s="64" t="s">
        <v>674</v>
      </c>
      <c r="D2401" s="74"/>
      <c r="E2401" s="208" t="s">
        <v>176</v>
      </c>
      <c r="F2401" s="209" t="s">
        <v>21</v>
      </c>
      <c r="G2401" s="209" t="s">
        <v>21</v>
      </c>
      <c r="H2401" s="209" t="s">
        <v>272</v>
      </c>
      <c r="I2401" s="210"/>
    </row>
    <row r="2402" spans="1:9" x14ac:dyDescent="0.25">
      <c r="A2402" s="74"/>
      <c r="B2402" s="45">
        <v>264</v>
      </c>
      <c r="C2402" s="64" t="s">
        <v>676</v>
      </c>
      <c r="D2402" s="74"/>
      <c r="E2402" s="208" t="s">
        <v>176</v>
      </c>
      <c r="F2402" s="209" t="s">
        <v>21</v>
      </c>
      <c r="G2402" s="209" t="s">
        <v>21</v>
      </c>
      <c r="H2402" s="209" t="s">
        <v>192</v>
      </c>
      <c r="I2402" s="210"/>
    </row>
    <row r="2403" spans="1:9" x14ac:dyDescent="0.25">
      <c r="A2403" s="74"/>
      <c r="B2403" s="45">
        <v>1339</v>
      </c>
      <c r="C2403" s="64" t="s">
        <v>1679</v>
      </c>
      <c r="D2403" s="74"/>
      <c r="E2403" s="208" t="s">
        <v>176</v>
      </c>
      <c r="F2403" s="209" t="s">
        <v>21</v>
      </c>
      <c r="G2403" s="209" t="s">
        <v>21</v>
      </c>
      <c r="H2403" s="209" t="s">
        <v>272</v>
      </c>
      <c r="I2403" s="210"/>
    </row>
    <row r="2404" spans="1:9" x14ac:dyDescent="0.25">
      <c r="A2404" s="74"/>
      <c r="B2404" s="45">
        <v>1339</v>
      </c>
      <c r="C2404" s="64" t="s">
        <v>1679</v>
      </c>
      <c r="D2404" s="74"/>
      <c r="E2404" s="208" t="s">
        <v>176</v>
      </c>
      <c r="F2404" s="209" t="s">
        <v>21</v>
      </c>
      <c r="G2404" s="209" t="s">
        <v>21</v>
      </c>
      <c r="H2404" s="209" t="s">
        <v>272</v>
      </c>
      <c r="I2404" s="210"/>
    </row>
    <row r="2405" spans="1:9" x14ac:dyDescent="0.25">
      <c r="A2405" s="74"/>
      <c r="B2405" s="45">
        <v>257</v>
      </c>
      <c r="C2405" s="64" t="s">
        <v>669</v>
      </c>
      <c r="D2405" s="74"/>
      <c r="E2405" s="208" t="s">
        <v>176</v>
      </c>
      <c r="F2405" s="209" t="s">
        <v>21</v>
      </c>
      <c r="G2405" s="209" t="s">
        <v>21</v>
      </c>
      <c r="H2405" s="209" t="s">
        <v>192</v>
      </c>
      <c r="I2405" s="210"/>
    </row>
    <row r="2406" spans="1:9" x14ac:dyDescent="0.25">
      <c r="A2406" s="74"/>
      <c r="B2406" s="45">
        <v>266</v>
      </c>
      <c r="C2406" s="64" t="s">
        <v>678</v>
      </c>
      <c r="D2406" s="74"/>
      <c r="E2406" s="208" t="s">
        <v>176</v>
      </c>
      <c r="F2406" s="209" t="s">
        <v>21</v>
      </c>
      <c r="G2406" s="209" t="s">
        <v>21</v>
      </c>
      <c r="H2406" s="209" t="s">
        <v>189</v>
      </c>
      <c r="I2406" s="210"/>
    </row>
    <row r="2407" spans="1:9" x14ac:dyDescent="0.25">
      <c r="A2407" s="74"/>
      <c r="B2407" s="45">
        <v>1340</v>
      </c>
      <c r="C2407" s="64" t="s">
        <v>1732</v>
      </c>
      <c r="D2407" s="74"/>
      <c r="E2407" s="208" t="s">
        <v>176</v>
      </c>
      <c r="F2407" s="209" t="s">
        <v>21</v>
      </c>
      <c r="G2407" s="209" t="s">
        <v>21</v>
      </c>
      <c r="H2407" s="209" t="s">
        <v>272</v>
      </c>
      <c r="I2407" s="210"/>
    </row>
    <row r="2408" spans="1:9" x14ac:dyDescent="0.25">
      <c r="A2408" s="74"/>
      <c r="B2408" s="45">
        <v>257</v>
      </c>
      <c r="C2408" s="64" t="s">
        <v>669</v>
      </c>
      <c r="D2408" s="74"/>
      <c r="E2408" s="208" t="s">
        <v>176</v>
      </c>
      <c r="F2408" s="209" t="s">
        <v>21</v>
      </c>
      <c r="G2408" s="209" t="s">
        <v>21</v>
      </c>
      <c r="H2408" s="209" t="s">
        <v>192</v>
      </c>
      <c r="I2408" s="210"/>
    </row>
    <row r="2409" spans="1:9" x14ac:dyDescent="0.25">
      <c r="A2409" s="74"/>
      <c r="B2409" s="45">
        <v>268</v>
      </c>
      <c r="C2409" s="64" t="s">
        <v>680</v>
      </c>
      <c r="D2409" s="74"/>
      <c r="E2409" s="208" t="s">
        <v>176</v>
      </c>
      <c r="F2409" s="209" t="s">
        <v>21</v>
      </c>
      <c r="G2409" s="209" t="s">
        <v>21</v>
      </c>
      <c r="H2409" s="209" t="s">
        <v>192</v>
      </c>
      <c r="I2409" s="210"/>
    </row>
    <row r="2410" spans="1:9" x14ac:dyDescent="0.25">
      <c r="A2410" s="74"/>
      <c r="B2410" s="45">
        <v>238</v>
      </c>
      <c r="C2410" s="64" t="s">
        <v>650</v>
      </c>
      <c r="D2410" s="74"/>
      <c r="E2410" s="208" t="s">
        <v>164</v>
      </c>
      <c r="F2410" s="209" t="s">
        <v>21</v>
      </c>
      <c r="G2410" s="209" t="s">
        <v>21</v>
      </c>
      <c r="H2410" s="209" t="s">
        <v>192</v>
      </c>
      <c r="I2410" s="210"/>
    </row>
    <row r="2411" spans="1:9" x14ac:dyDescent="0.25">
      <c r="A2411" s="74"/>
      <c r="B2411" s="45">
        <v>1341</v>
      </c>
      <c r="C2411" s="64" t="s">
        <v>1733</v>
      </c>
      <c r="D2411" s="74"/>
      <c r="E2411" s="208" t="s">
        <v>279</v>
      </c>
      <c r="F2411" s="209" t="s">
        <v>21</v>
      </c>
      <c r="G2411" s="209" t="s">
        <v>21</v>
      </c>
      <c r="H2411" s="209" t="s">
        <v>186</v>
      </c>
      <c r="I2411" s="210"/>
    </row>
    <row r="2412" spans="1:9" x14ac:dyDescent="0.25">
      <c r="A2412" s="74"/>
      <c r="B2412" s="45">
        <v>269</v>
      </c>
      <c r="C2412" s="64" t="s">
        <v>681</v>
      </c>
      <c r="D2412" s="74"/>
      <c r="E2412" s="208" t="s">
        <v>164</v>
      </c>
      <c r="F2412" s="209" t="s">
        <v>21</v>
      </c>
      <c r="G2412" s="209" t="s">
        <v>21</v>
      </c>
      <c r="H2412" s="209" t="s">
        <v>189</v>
      </c>
      <c r="I2412" s="210"/>
    </row>
    <row r="2413" spans="1:9" x14ac:dyDescent="0.25">
      <c r="A2413" s="74"/>
      <c r="B2413" s="45">
        <v>238</v>
      </c>
      <c r="C2413" s="64" t="s">
        <v>650</v>
      </c>
      <c r="D2413" s="74"/>
      <c r="E2413" s="208" t="s">
        <v>164</v>
      </c>
      <c r="F2413" s="209" t="s">
        <v>21</v>
      </c>
      <c r="G2413" s="209" t="s">
        <v>21</v>
      </c>
      <c r="H2413" s="209" t="s">
        <v>192</v>
      </c>
      <c r="I2413" s="210"/>
    </row>
    <row r="2414" spans="1:9" x14ac:dyDescent="0.25">
      <c r="A2414" s="74"/>
      <c r="B2414" s="45">
        <v>269</v>
      </c>
      <c r="C2414" s="64" t="s">
        <v>681</v>
      </c>
      <c r="D2414" s="74"/>
      <c r="E2414" s="208" t="s">
        <v>164</v>
      </c>
      <c r="F2414" s="209" t="s">
        <v>21</v>
      </c>
      <c r="G2414" s="209" t="s">
        <v>21</v>
      </c>
      <c r="H2414" s="209" t="s">
        <v>189</v>
      </c>
      <c r="I2414" s="210"/>
    </row>
    <row r="2415" spans="1:9" x14ac:dyDescent="0.25">
      <c r="A2415" s="74"/>
      <c r="B2415" s="45">
        <v>226</v>
      </c>
      <c r="C2415" s="64" t="s">
        <v>638</v>
      </c>
      <c r="D2415" s="74"/>
      <c r="E2415" s="208" t="s">
        <v>164</v>
      </c>
      <c r="F2415" s="209" t="s">
        <v>21</v>
      </c>
      <c r="G2415" s="209" t="s">
        <v>21</v>
      </c>
      <c r="H2415" s="209" t="s">
        <v>186</v>
      </c>
      <c r="I2415" s="210"/>
    </row>
    <row r="2416" spans="1:9" x14ac:dyDescent="0.25">
      <c r="A2416" s="74"/>
      <c r="B2416" s="45">
        <v>1342</v>
      </c>
      <c r="C2416" s="64" t="s">
        <v>1734</v>
      </c>
      <c r="D2416" s="74"/>
      <c r="E2416" s="208" t="s">
        <v>164</v>
      </c>
      <c r="F2416" s="209" t="s">
        <v>21</v>
      </c>
      <c r="G2416" s="209" t="s">
        <v>21</v>
      </c>
      <c r="H2416" s="209" t="s">
        <v>272</v>
      </c>
      <c r="I2416" s="210"/>
    </row>
    <row r="2417" spans="1:9" x14ac:dyDescent="0.25">
      <c r="A2417" s="74"/>
      <c r="B2417" s="45">
        <v>238</v>
      </c>
      <c r="C2417" s="64" t="s">
        <v>650</v>
      </c>
      <c r="D2417" s="74"/>
      <c r="E2417" s="208" t="s">
        <v>164</v>
      </c>
      <c r="F2417" s="209" t="s">
        <v>21</v>
      </c>
      <c r="G2417" s="209" t="s">
        <v>21</v>
      </c>
      <c r="H2417" s="209" t="s">
        <v>192</v>
      </c>
      <c r="I2417" s="210"/>
    </row>
    <row r="2418" spans="1:9" x14ac:dyDescent="0.25">
      <c r="A2418" s="74"/>
      <c r="B2418" s="45">
        <v>1343</v>
      </c>
      <c r="C2418" s="64" t="s">
        <v>1735</v>
      </c>
      <c r="D2418" s="74"/>
      <c r="E2418" s="208" t="s">
        <v>173</v>
      </c>
      <c r="F2418" s="209" t="s">
        <v>21</v>
      </c>
      <c r="G2418" s="209" t="s">
        <v>21</v>
      </c>
      <c r="H2418" s="209" t="s">
        <v>272</v>
      </c>
      <c r="I2418" s="210"/>
    </row>
    <row r="2419" spans="1:9" x14ac:dyDescent="0.25">
      <c r="A2419" s="74"/>
      <c r="B2419" s="45">
        <v>1344</v>
      </c>
      <c r="C2419" s="64" t="s">
        <v>1606</v>
      </c>
      <c r="D2419" s="74"/>
      <c r="E2419" s="208" t="s">
        <v>173</v>
      </c>
      <c r="F2419" s="209" t="s">
        <v>21</v>
      </c>
      <c r="G2419" s="209" t="s">
        <v>21</v>
      </c>
      <c r="H2419" s="209" t="s">
        <v>272</v>
      </c>
      <c r="I2419" s="210"/>
    </row>
    <row r="2420" spans="1:9" x14ac:dyDescent="0.25">
      <c r="A2420" s="74"/>
      <c r="B2420" s="45">
        <v>1345</v>
      </c>
      <c r="C2420" s="64" t="s">
        <v>1736</v>
      </c>
      <c r="D2420" s="74"/>
      <c r="E2420" s="208" t="s">
        <v>173</v>
      </c>
      <c r="F2420" s="209" t="s">
        <v>21</v>
      </c>
      <c r="G2420" s="209" t="s">
        <v>21</v>
      </c>
      <c r="H2420" s="209" t="s">
        <v>272</v>
      </c>
      <c r="I2420" s="210"/>
    </row>
    <row r="2421" spans="1:9" x14ac:dyDescent="0.25">
      <c r="A2421" s="74"/>
      <c r="B2421" s="45">
        <v>1346</v>
      </c>
      <c r="C2421" s="64" t="s">
        <v>1737</v>
      </c>
      <c r="D2421" s="74"/>
      <c r="E2421" s="208" t="s">
        <v>173</v>
      </c>
      <c r="F2421" s="209" t="s">
        <v>21</v>
      </c>
      <c r="G2421" s="209" t="s">
        <v>21</v>
      </c>
      <c r="H2421" s="209" t="s">
        <v>272</v>
      </c>
      <c r="I2421" s="210"/>
    </row>
    <row r="2422" spans="1:9" x14ac:dyDescent="0.25">
      <c r="A2422" s="74"/>
      <c r="B2422" s="45">
        <v>1347</v>
      </c>
      <c r="C2422" s="64" t="s">
        <v>1738</v>
      </c>
      <c r="D2422" s="74"/>
      <c r="E2422" s="208" t="s">
        <v>173</v>
      </c>
      <c r="F2422" s="209" t="s">
        <v>21</v>
      </c>
      <c r="G2422" s="209" t="s">
        <v>21</v>
      </c>
      <c r="H2422" s="209" t="s">
        <v>272</v>
      </c>
      <c r="I2422" s="210"/>
    </row>
    <row r="2423" spans="1:9" x14ac:dyDescent="0.25">
      <c r="A2423" s="74"/>
      <c r="B2423" s="45">
        <v>1348</v>
      </c>
      <c r="C2423" s="64" t="s">
        <v>1739</v>
      </c>
      <c r="D2423" s="74"/>
      <c r="E2423" s="208" t="s">
        <v>173</v>
      </c>
      <c r="F2423" s="209" t="s">
        <v>21</v>
      </c>
      <c r="G2423" s="209" t="s">
        <v>21</v>
      </c>
      <c r="H2423" s="209" t="s">
        <v>272</v>
      </c>
      <c r="I2423" s="210"/>
    </row>
    <row r="2424" spans="1:9" x14ac:dyDescent="0.25">
      <c r="A2424" s="74"/>
      <c r="B2424" s="45">
        <v>1349</v>
      </c>
      <c r="C2424" s="64" t="s">
        <v>1737</v>
      </c>
      <c r="D2424" s="74"/>
      <c r="E2424" s="208" t="s">
        <v>173</v>
      </c>
      <c r="F2424" s="209" t="s">
        <v>21</v>
      </c>
      <c r="G2424" s="209" t="s">
        <v>21</v>
      </c>
      <c r="H2424" s="209" t="s">
        <v>272</v>
      </c>
      <c r="I2424" s="210"/>
    </row>
    <row r="2425" spans="1:9" x14ac:dyDescent="0.25">
      <c r="A2425" s="74"/>
      <c r="B2425" s="45">
        <v>282</v>
      </c>
      <c r="C2425" s="64" t="s">
        <v>694</v>
      </c>
      <c r="D2425" s="74"/>
      <c r="E2425" s="208" t="s">
        <v>173</v>
      </c>
      <c r="F2425" s="209" t="s">
        <v>21</v>
      </c>
      <c r="G2425" s="209" t="s">
        <v>21</v>
      </c>
      <c r="H2425" s="209" t="s">
        <v>192</v>
      </c>
      <c r="I2425" s="210"/>
    </row>
    <row r="2426" spans="1:9" x14ac:dyDescent="0.25">
      <c r="A2426" s="74"/>
      <c r="B2426" s="45">
        <v>281</v>
      </c>
      <c r="C2426" s="64" t="s">
        <v>693</v>
      </c>
      <c r="D2426" s="74"/>
      <c r="E2426" s="208" t="s">
        <v>173</v>
      </c>
      <c r="F2426" s="209" t="s">
        <v>21</v>
      </c>
      <c r="G2426" s="209" t="s">
        <v>21</v>
      </c>
      <c r="H2426" s="209" t="s">
        <v>192</v>
      </c>
      <c r="I2426" s="210"/>
    </row>
    <row r="2427" spans="1:9" x14ac:dyDescent="0.25">
      <c r="A2427" s="74"/>
      <c r="B2427" s="45">
        <v>280</v>
      </c>
      <c r="C2427" s="64" t="s">
        <v>692</v>
      </c>
      <c r="D2427" s="74"/>
      <c r="E2427" s="208" t="s">
        <v>173</v>
      </c>
      <c r="F2427" s="209" t="s">
        <v>21</v>
      </c>
      <c r="G2427" s="209" t="s">
        <v>21</v>
      </c>
      <c r="H2427" s="209" t="s">
        <v>192</v>
      </c>
      <c r="I2427" s="210"/>
    </row>
    <row r="2428" spans="1:9" x14ac:dyDescent="0.25">
      <c r="A2428" s="74"/>
      <c r="B2428" s="45">
        <v>1350</v>
      </c>
      <c r="C2428" s="64" t="s">
        <v>1740</v>
      </c>
      <c r="D2428" s="74"/>
      <c r="E2428" s="208" t="s">
        <v>173</v>
      </c>
      <c r="F2428" s="209" t="s">
        <v>21</v>
      </c>
      <c r="G2428" s="209" t="s">
        <v>21</v>
      </c>
      <c r="H2428" s="209" t="s">
        <v>272</v>
      </c>
      <c r="I2428" s="210"/>
    </row>
    <row r="2429" spans="1:9" x14ac:dyDescent="0.25">
      <c r="A2429" s="74"/>
      <c r="B2429" s="45">
        <v>276</v>
      </c>
      <c r="C2429" s="64" t="s">
        <v>688</v>
      </c>
      <c r="D2429" s="74"/>
      <c r="E2429" s="208" t="s">
        <v>173</v>
      </c>
      <c r="F2429" s="209" t="s">
        <v>21</v>
      </c>
      <c r="G2429" s="209" t="s">
        <v>21</v>
      </c>
      <c r="H2429" s="209" t="s">
        <v>192</v>
      </c>
      <c r="I2429" s="210"/>
    </row>
    <row r="2430" spans="1:9" x14ac:dyDescent="0.25">
      <c r="A2430" s="74"/>
      <c r="B2430" s="45">
        <v>1351</v>
      </c>
      <c r="C2430" s="64" t="s">
        <v>1741</v>
      </c>
      <c r="D2430" s="74"/>
      <c r="E2430" s="208" t="s">
        <v>173</v>
      </c>
      <c r="F2430" s="209" t="s">
        <v>21</v>
      </c>
      <c r="G2430" s="209" t="s">
        <v>21</v>
      </c>
      <c r="H2430" s="209" t="s">
        <v>189</v>
      </c>
      <c r="I2430" s="210"/>
    </row>
    <row r="2431" spans="1:9" x14ac:dyDescent="0.25">
      <c r="A2431" s="74"/>
      <c r="B2431" s="45">
        <v>1352</v>
      </c>
      <c r="C2431" s="64" t="s">
        <v>1742</v>
      </c>
      <c r="D2431" s="74"/>
      <c r="E2431" s="208" t="s">
        <v>173</v>
      </c>
      <c r="F2431" s="209" t="s">
        <v>21</v>
      </c>
      <c r="G2431" s="209" t="s">
        <v>21</v>
      </c>
      <c r="H2431" s="209" t="s">
        <v>272</v>
      </c>
      <c r="I2431" s="210"/>
    </row>
    <row r="2432" spans="1:9" x14ac:dyDescent="0.25">
      <c r="A2432" s="74"/>
      <c r="B2432" s="45">
        <v>1353</v>
      </c>
      <c r="C2432" s="64" t="s">
        <v>1743</v>
      </c>
      <c r="D2432" s="74"/>
      <c r="E2432" s="208" t="s">
        <v>173</v>
      </c>
      <c r="F2432" s="209" t="s">
        <v>21</v>
      </c>
      <c r="G2432" s="209" t="s">
        <v>21</v>
      </c>
      <c r="H2432" s="209" t="s">
        <v>272</v>
      </c>
      <c r="I2432" s="210"/>
    </row>
    <row r="2433" spans="1:9" x14ac:dyDescent="0.25">
      <c r="A2433" s="74"/>
      <c r="B2433" s="45">
        <v>1354</v>
      </c>
      <c r="C2433" s="64" t="s">
        <v>1744</v>
      </c>
      <c r="D2433" s="74"/>
      <c r="E2433" s="208" t="s">
        <v>173</v>
      </c>
      <c r="F2433" s="209" t="s">
        <v>21</v>
      </c>
      <c r="G2433" s="209" t="s">
        <v>21</v>
      </c>
      <c r="H2433" s="209" t="s">
        <v>272</v>
      </c>
      <c r="I2433" s="210"/>
    </row>
    <row r="2434" spans="1:9" x14ac:dyDescent="0.25">
      <c r="A2434" s="74"/>
      <c r="B2434" s="45">
        <v>1355</v>
      </c>
      <c r="C2434" s="64" t="s">
        <v>1500</v>
      </c>
      <c r="D2434" s="74"/>
      <c r="E2434" s="208" t="s">
        <v>173</v>
      </c>
      <c r="F2434" s="209" t="s">
        <v>21</v>
      </c>
      <c r="G2434" s="209" t="s">
        <v>21</v>
      </c>
      <c r="H2434" s="209" t="s">
        <v>272</v>
      </c>
      <c r="I2434" s="210"/>
    </row>
    <row r="2435" spans="1:9" x14ac:dyDescent="0.25">
      <c r="A2435" s="74"/>
      <c r="B2435" s="45">
        <v>1356</v>
      </c>
      <c r="C2435" s="64" t="s">
        <v>1745</v>
      </c>
      <c r="D2435" s="74"/>
      <c r="E2435" s="208" t="s">
        <v>173</v>
      </c>
      <c r="F2435" s="209" t="s">
        <v>21</v>
      </c>
      <c r="G2435" s="209" t="s">
        <v>21</v>
      </c>
      <c r="H2435" s="209" t="s">
        <v>272</v>
      </c>
      <c r="I2435" s="210"/>
    </row>
    <row r="2436" spans="1:9" x14ac:dyDescent="0.25">
      <c r="A2436" s="74"/>
      <c r="B2436" s="45">
        <v>407</v>
      </c>
      <c r="C2436" s="64" t="s">
        <v>819</v>
      </c>
      <c r="D2436" s="74"/>
      <c r="E2436" s="208" t="s">
        <v>173</v>
      </c>
      <c r="F2436" s="209" t="s">
        <v>21</v>
      </c>
      <c r="G2436" s="209" t="s">
        <v>21</v>
      </c>
      <c r="H2436" s="209" t="s">
        <v>192</v>
      </c>
      <c r="I2436" s="210"/>
    </row>
    <row r="2437" spans="1:9" x14ac:dyDescent="0.25">
      <c r="A2437" s="74"/>
      <c r="B2437" s="45">
        <v>277</v>
      </c>
      <c r="C2437" s="64" t="s">
        <v>689</v>
      </c>
      <c r="D2437" s="74"/>
      <c r="E2437" s="208" t="s">
        <v>173</v>
      </c>
      <c r="F2437" s="209" t="s">
        <v>21</v>
      </c>
      <c r="G2437" s="209" t="s">
        <v>21</v>
      </c>
      <c r="H2437" s="209" t="s">
        <v>272</v>
      </c>
      <c r="I2437" s="210"/>
    </row>
    <row r="2438" spans="1:9" x14ac:dyDescent="0.25">
      <c r="A2438" s="74"/>
      <c r="B2438" s="45">
        <v>278</v>
      </c>
      <c r="C2438" s="64" t="s">
        <v>690</v>
      </c>
      <c r="D2438" s="74"/>
      <c r="E2438" s="208" t="s">
        <v>173</v>
      </c>
      <c r="F2438" s="209" t="s">
        <v>21</v>
      </c>
      <c r="G2438" s="209" t="s">
        <v>21</v>
      </c>
      <c r="H2438" s="209" t="s">
        <v>272</v>
      </c>
      <c r="I2438" s="210"/>
    </row>
    <row r="2439" spans="1:9" x14ac:dyDescent="0.25">
      <c r="A2439" s="74"/>
      <c r="B2439" s="45">
        <v>1357</v>
      </c>
      <c r="C2439" s="64" t="s">
        <v>1746</v>
      </c>
      <c r="D2439" s="74"/>
      <c r="E2439" s="208" t="s">
        <v>173</v>
      </c>
      <c r="F2439" s="209" t="s">
        <v>21</v>
      </c>
      <c r="G2439" s="209" t="s">
        <v>21</v>
      </c>
      <c r="H2439" s="209" t="s">
        <v>272</v>
      </c>
      <c r="I2439" s="210"/>
    </row>
    <row r="2440" spans="1:9" x14ac:dyDescent="0.25">
      <c r="A2440" s="74"/>
      <c r="B2440" s="45">
        <v>1352</v>
      </c>
      <c r="C2440" s="64" t="s">
        <v>1742</v>
      </c>
      <c r="D2440" s="74"/>
      <c r="E2440" s="208" t="s">
        <v>173</v>
      </c>
      <c r="F2440" s="209" t="s">
        <v>21</v>
      </c>
      <c r="G2440" s="209" t="s">
        <v>21</v>
      </c>
      <c r="H2440" s="209" t="s">
        <v>272</v>
      </c>
      <c r="I2440" s="210"/>
    </row>
    <row r="2441" spans="1:9" x14ac:dyDescent="0.25">
      <c r="A2441" s="74"/>
      <c r="B2441" s="45">
        <v>1353</v>
      </c>
      <c r="C2441" s="64" t="s">
        <v>1743</v>
      </c>
      <c r="D2441" s="74"/>
      <c r="E2441" s="208" t="s">
        <v>173</v>
      </c>
      <c r="F2441" s="209" t="s">
        <v>21</v>
      </c>
      <c r="G2441" s="209" t="s">
        <v>21</v>
      </c>
      <c r="H2441" s="209" t="s">
        <v>272</v>
      </c>
      <c r="I2441" s="210"/>
    </row>
    <row r="2442" spans="1:9" x14ac:dyDescent="0.25">
      <c r="A2442" s="74"/>
      <c r="B2442" s="45">
        <v>1354</v>
      </c>
      <c r="C2442" s="64" t="s">
        <v>1744</v>
      </c>
      <c r="D2442" s="74"/>
      <c r="E2442" s="208" t="s">
        <v>173</v>
      </c>
      <c r="F2442" s="209" t="s">
        <v>21</v>
      </c>
      <c r="G2442" s="209" t="s">
        <v>21</v>
      </c>
      <c r="H2442" s="209" t="s">
        <v>272</v>
      </c>
      <c r="I2442" s="210"/>
    </row>
    <row r="2443" spans="1:9" x14ac:dyDescent="0.25">
      <c r="A2443" s="74"/>
      <c r="B2443" s="45">
        <v>1355</v>
      </c>
      <c r="C2443" s="64" t="s">
        <v>1500</v>
      </c>
      <c r="D2443" s="74"/>
      <c r="E2443" s="208" t="s">
        <v>173</v>
      </c>
      <c r="F2443" s="209" t="s">
        <v>21</v>
      </c>
      <c r="G2443" s="209" t="s">
        <v>21</v>
      </c>
      <c r="H2443" s="209" t="s">
        <v>272</v>
      </c>
      <c r="I2443" s="210"/>
    </row>
    <row r="2444" spans="1:9" x14ac:dyDescent="0.25">
      <c r="A2444" s="74"/>
      <c r="B2444" s="45">
        <v>1356</v>
      </c>
      <c r="C2444" s="64" t="s">
        <v>1745</v>
      </c>
      <c r="D2444" s="74"/>
      <c r="E2444" s="208" t="s">
        <v>173</v>
      </c>
      <c r="F2444" s="209" t="s">
        <v>21</v>
      </c>
      <c r="G2444" s="209" t="s">
        <v>21</v>
      </c>
      <c r="H2444" s="209" t="s">
        <v>272</v>
      </c>
      <c r="I2444" s="210"/>
    </row>
    <row r="2445" spans="1:9" x14ac:dyDescent="0.25">
      <c r="A2445" s="74"/>
      <c r="B2445" s="45">
        <v>407</v>
      </c>
      <c r="C2445" s="64" t="s">
        <v>819</v>
      </c>
      <c r="D2445" s="74"/>
      <c r="E2445" s="208" t="s">
        <v>173</v>
      </c>
      <c r="F2445" s="209" t="s">
        <v>21</v>
      </c>
      <c r="G2445" s="209" t="s">
        <v>21</v>
      </c>
      <c r="H2445" s="209" t="s">
        <v>192</v>
      </c>
      <c r="I2445" s="210"/>
    </row>
    <row r="2446" spans="1:9" x14ac:dyDescent="0.25">
      <c r="A2446" s="74"/>
      <c r="B2446" s="45">
        <v>277</v>
      </c>
      <c r="C2446" s="64" t="s">
        <v>689</v>
      </c>
      <c r="D2446" s="74"/>
      <c r="E2446" s="208" t="s">
        <v>173</v>
      </c>
      <c r="F2446" s="209" t="s">
        <v>21</v>
      </c>
      <c r="G2446" s="209" t="s">
        <v>21</v>
      </c>
      <c r="H2446" s="209" t="s">
        <v>272</v>
      </c>
      <c r="I2446" s="210"/>
    </row>
    <row r="2447" spans="1:9" x14ac:dyDescent="0.25">
      <c r="A2447" s="74"/>
      <c r="B2447" s="45">
        <v>278</v>
      </c>
      <c r="C2447" s="64" t="s">
        <v>690</v>
      </c>
      <c r="D2447" s="74"/>
      <c r="E2447" s="208" t="s">
        <v>173</v>
      </c>
      <c r="F2447" s="209" t="s">
        <v>21</v>
      </c>
      <c r="G2447" s="209" t="s">
        <v>21</v>
      </c>
      <c r="H2447" s="209" t="s">
        <v>272</v>
      </c>
      <c r="I2447" s="210"/>
    </row>
    <row r="2448" spans="1:9" x14ac:dyDescent="0.25">
      <c r="A2448" s="74"/>
      <c r="B2448" s="45">
        <v>1357</v>
      </c>
      <c r="C2448" s="64" t="s">
        <v>1746</v>
      </c>
      <c r="D2448" s="74"/>
      <c r="E2448" s="208" t="s">
        <v>173</v>
      </c>
      <c r="F2448" s="209" t="s">
        <v>21</v>
      </c>
      <c r="G2448" s="209" t="s">
        <v>21</v>
      </c>
      <c r="H2448" s="209" t="s">
        <v>272</v>
      </c>
      <c r="I2448" s="210"/>
    </row>
    <row r="2449" spans="1:9" x14ac:dyDescent="0.25">
      <c r="A2449" s="74"/>
      <c r="B2449" s="45">
        <v>1352</v>
      </c>
      <c r="C2449" s="64" t="s">
        <v>1742</v>
      </c>
      <c r="D2449" s="74"/>
      <c r="E2449" s="208" t="s">
        <v>173</v>
      </c>
      <c r="F2449" s="209" t="s">
        <v>21</v>
      </c>
      <c r="G2449" s="209" t="s">
        <v>21</v>
      </c>
      <c r="H2449" s="209" t="s">
        <v>272</v>
      </c>
      <c r="I2449" s="210"/>
    </row>
    <row r="2450" spans="1:9" x14ac:dyDescent="0.25">
      <c r="A2450" s="74"/>
      <c r="B2450" s="45">
        <v>1353</v>
      </c>
      <c r="C2450" s="64" t="s">
        <v>1743</v>
      </c>
      <c r="D2450" s="74"/>
      <c r="E2450" s="208" t="s">
        <v>173</v>
      </c>
      <c r="F2450" s="209" t="s">
        <v>21</v>
      </c>
      <c r="G2450" s="209" t="s">
        <v>21</v>
      </c>
      <c r="H2450" s="209" t="s">
        <v>272</v>
      </c>
      <c r="I2450" s="210"/>
    </row>
    <row r="2451" spans="1:9" x14ac:dyDescent="0.25">
      <c r="A2451" s="74"/>
      <c r="B2451" s="45">
        <v>1354</v>
      </c>
      <c r="C2451" s="64" t="s">
        <v>1744</v>
      </c>
      <c r="D2451" s="74"/>
      <c r="E2451" s="208" t="s">
        <v>173</v>
      </c>
      <c r="F2451" s="209" t="s">
        <v>21</v>
      </c>
      <c r="G2451" s="209" t="s">
        <v>21</v>
      </c>
      <c r="H2451" s="209" t="s">
        <v>272</v>
      </c>
      <c r="I2451" s="210"/>
    </row>
    <row r="2452" spans="1:9" x14ac:dyDescent="0.25">
      <c r="A2452" s="74"/>
      <c r="B2452" s="45">
        <v>1355</v>
      </c>
      <c r="C2452" s="64" t="s">
        <v>1500</v>
      </c>
      <c r="D2452" s="74"/>
      <c r="E2452" s="208" t="s">
        <v>173</v>
      </c>
      <c r="F2452" s="209" t="s">
        <v>21</v>
      </c>
      <c r="G2452" s="209" t="s">
        <v>21</v>
      </c>
      <c r="H2452" s="209" t="s">
        <v>272</v>
      </c>
      <c r="I2452" s="210"/>
    </row>
    <row r="2453" spans="1:9" x14ac:dyDescent="0.25">
      <c r="A2453" s="74"/>
      <c r="B2453" s="45">
        <v>1356</v>
      </c>
      <c r="C2453" s="64" t="s">
        <v>1745</v>
      </c>
      <c r="D2453" s="74"/>
      <c r="E2453" s="208" t="s">
        <v>173</v>
      </c>
      <c r="F2453" s="209" t="s">
        <v>21</v>
      </c>
      <c r="G2453" s="209" t="s">
        <v>21</v>
      </c>
      <c r="H2453" s="209" t="s">
        <v>272</v>
      </c>
      <c r="I2453" s="210"/>
    </row>
    <row r="2454" spans="1:9" x14ac:dyDescent="0.25">
      <c r="A2454" s="74"/>
      <c r="B2454" s="45">
        <v>407</v>
      </c>
      <c r="C2454" s="64" t="s">
        <v>819</v>
      </c>
      <c r="D2454" s="74"/>
      <c r="E2454" s="208" t="s">
        <v>173</v>
      </c>
      <c r="F2454" s="209" t="s">
        <v>21</v>
      </c>
      <c r="G2454" s="209" t="s">
        <v>21</v>
      </c>
      <c r="H2454" s="209" t="s">
        <v>192</v>
      </c>
      <c r="I2454" s="210"/>
    </row>
    <row r="2455" spans="1:9" x14ac:dyDescent="0.25">
      <c r="A2455" s="74"/>
      <c r="B2455" s="45">
        <v>277</v>
      </c>
      <c r="C2455" s="64" t="s">
        <v>689</v>
      </c>
      <c r="D2455" s="74"/>
      <c r="E2455" s="208" t="s">
        <v>173</v>
      </c>
      <c r="F2455" s="209" t="s">
        <v>21</v>
      </c>
      <c r="G2455" s="209" t="s">
        <v>21</v>
      </c>
      <c r="H2455" s="209" t="s">
        <v>272</v>
      </c>
      <c r="I2455" s="210"/>
    </row>
    <row r="2456" spans="1:9" x14ac:dyDescent="0.25">
      <c r="A2456" s="74"/>
      <c r="B2456" s="45">
        <v>278</v>
      </c>
      <c r="C2456" s="64" t="s">
        <v>690</v>
      </c>
      <c r="D2456" s="74"/>
      <c r="E2456" s="208" t="s">
        <v>173</v>
      </c>
      <c r="F2456" s="209" t="s">
        <v>21</v>
      </c>
      <c r="G2456" s="209" t="s">
        <v>21</v>
      </c>
      <c r="H2456" s="209" t="s">
        <v>272</v>
      </c>
      <c r="I2456" s="210"/>
    </row>
    <row r="2457" spans="1:9" x14ac:dyDescent="0.25">
      <c r="A2457" s="74"/>
      <c r="B2457" s="45">
        <v>1357</v>
      </c>
      <c r="C2457" s="64" t="s">
        <v>1746</v>
      </c>
      <c r="D2457" s="74"/>
      <c r="E2457" s="208" t="s">
        <v>173</v>
      </c>
      <c r="F2457" s="209" t="s">
        <v>21</v>
      </c>
      <c r="G2457" s="209" t="s">
        <v>21</v>
      </c>
      <c r="H2457" s="209" t="s">
        <v>272</v>
      </c>
      <c r="I2457" s="210"/>
    </row>
    <row r="2458" spans="1:9" x14ac:dyDescent="0.25">
      <c r="A2458" s="74"/>
      <c r="B2458" s="45">
        <v>407</v>
      </c>
      <c r="C2458" s="64" t="s">
        <v>819</v>
      </c>
      <c r="D2458" s="74"/>
      <c r="E2458" s="208" t="s">
        <v>173</v>
      </c>
      <c r="F2458" s="209" t="s">
        <v>21</v>
      </c>
      <c r="G2458" s="209" t="s">
        <v>21</v>
      </c>
      <c r="H2458" s="209" t="s">
        <v>192</v>
      </c>
      <c r="I2458" s="210"/>
    </row>
    <row r="2459" spans="1:9" x14ac:dyDescent="0.25">
      <c r="A2459" s="74"/>
      <c r="B2459" s="45">
        <v>1358</v>
      </c>
      <c r="C2459" s="64" t="s">
        <v>1747</v>
      </c>
      <c r="D2459" s="74"/>
      <c r="E2459" s="208" t="s">
        <v>173</v>
      </c>
      <c r="F2459" s="209" t="s">
        <v>21</v>
      </c>
      <c r="G2459" s="209" t="s">
        <v>21</v>
      </c>
      <c r="H2459" s="209" t="s">
        <v>192</v>
      </c>
      <c r="I2459" s="210"/>
    </row>
    <row r="2460" spans="1:9" x14ac:dyDescent="0.25">
      <c r="A2460" s="74"/>
      <c r="B2460" s="45">
        <v>1359</v>
      </c>
      <c r="C2460" s="64" t="s">
        <v>1748</v>
      </c>
      <c r="D2460" s="74"/>
      <c r="E2460" s="208" t="s">
        <v>173</v>
      </c>
      <c r="F2460" s="209" t="s">
        <v>21</v>
      </c>
      <c r="G2460" s="209" t="s">
        <v>21</v>
      </c>
      <c r="H2460" s="209" t="s">
        <v>272</v>
      </c>
      <c r="I2460" s="210"/>
    </row>
    <row r="2461" spans="1:9" x14ac:dyDescent="0.25">
      <c r="A2461" s="74"/>
      <c r="B2461" s="45">
        <v>407</v>
      </c>
      <c r="C2461" s="64" t="s">
        <v>819</v>
      </c>
      <c r="D2461" s="74"/>
      <c r="E2461" s="208" t="s">
        <v>173</v>
      </c>
      <c r="F2461" s="209" t="s">
        <v>21</v>
      </c>
      <c r="G2461" s="209" t="s">
        <v>21</v>
      </c>
      <c r="H2461" s="209" t="s">
        <v>192</v>
      </c>
      <c r="I2461" s="210"/>
    </row>
    <row r="2462" spans="1:9" x14ac:dyDescent="0.25">
      <c r="A2462" s="74"/>
      <c r="B2462" s="45">
        <v>281</v>
      </c>
      <c r="C2462" s="64" t="s">
        <v>693</v>
      </c>
      <c r="D2462" s="74"/>
      <c r="E2462" s="208" t="s">
        <v>173</v>
      </c>
      <c r="F2462" s="209" t="s">
        <v>21</v>
      </c>
      <c r="G2462" s="209" t="s">
        <v>21</v>
      </c>
      <c r="H2462" s="209" t="s">
        <v>192</v>
      </c>
      <c r="I2462" s="210"/>
    </row>
    <row r="2463" spans="1:9" x14ac:dyDescent="0.25">
      <c r="A2463" s="74"/>
      <c r="B2463" s="45">
        <v>1360</v>
      </c>
      <c r="C2463" s="64" t="s">
        <v>1749</v>
      </c>
      <c r="D2463" s="74"/>
      <c r="E2463" s="208" t="s">
        <v>173</v>
      </c>
      <c r="F2463" s="209" t="s">
        <v>21</v>
      </c>
      <c r="G2463" s="209" t="s">
        <v>21</v>
      </c>
      <c r="H2463" s="209" t="s">
        <v>272</v>
      </c>
      <c r="I2463" s="210"/>
    </row>
    <row r="2464" spans="1:9" x14ac:dyDescent="0.25">
      <c r="A2464" s="74"/>
      <c r="B2464" s="45">
        <v>1350</v>
      </c>
      <c r="C2464" s="64" t="s">
        <v>1740</v>
      </c>
      <c r="D2464" s="74"/>
      <c r="E2464" s="208" t="s">
        <v>173</v>
      </c>
      <c r="F2464" s="209" t="s">
        <v>21</v>
      </c>
      <c r="G2464" s="209" t="s">
        <v>21</v>
      </c>
      <c r="H2464" s="209" t="s">
        <v>272</v>
      </c>
      <c r="I2464" s="210"/>
    </row>
    <row r="2465" spans="1:9" x14ac:dyDescent="0.25">
      <c r="A2465" s="74"/>
      <c r="B2465" s="45">
        <v>1361</v>
      </c>
      <c r="C2465" s="64" t="s">
        <v>1750</v>
      </c>
      <c r="D2465" s="74"/>
      <c r="E2465" s="208" t="s">
        <v>173</v>
      </c>
      <c r="F2465" s="209" t="s">
        <v>21</v>
      </c>
      <c r="G2465" s="209" t="s">
        <v>21</v>
      </c>
      <c r="H2465" s="209" t="s">
        <v>272</v>
      </c>
      <c r="I2465" s="210"/>
    </row>
    <row r="2466" spans="1:9" x14ac:dyDescent="0.25">
      <c r="A2466" s="74"/>
      <c r="B2466" s="45">
        <v>1362</v>
      </c>
      <c r="C2466" s="64" t="s">
        <v>1751</v>
      </c>
      <c r="D2466" s="74"/>
      <c r="E2466" s="208" t="s">
        <v>173</v>
      </c>
      <c r="F2466" s="209" t="s">
        <v>21</v>
      </c>
      <c r="G2466" s="209" t="s">
        <v>21</v>
      </c>
      <c r="H2466" s="209" t="s">
        <v>272</v>
      </c>
      <c r="I2466" s="210"/>
    </row>
    <row r="2467" spans="1:9" x14ac:dyDescent="0.25">
      <c r="A2467" s="74"/>
      <c r="B2467" s="45">
        <v>1363</v>
      </c>
      <c r="C2467" s="64" t="s">
        <v>1752</v>
      </c>
      <c r="D2467" s="74"/>
      <c r="E2467" s="208" t="s">
        <v>173</v>
      </c>
      <c r="F2467" s="209" t="s">
        <v>21</v>
      </c>
      <c r="G2467" s="209" t="s">
        <v>21</v>
      </c>
      <c r="H2467" s="209" t="s">
        <v>272</v>
      </c>
      <c r="I2467" s="210"/>
    </row>
    <row r="2468" spans="1:9" x14ac:dyDescent="0.25">
      <c r="A2468" s="74"/>
      <c r="B2468" s="45">
        <v>1364</v>
      </c>
      <c r="C2468" s="64" t="s">
        <v>1753</v>
      </c>
      <c r="D2468" s="74"/>
      <c r="E2468" s="208" t="s">
        <v>173</v>
      </c>
      <c r="F2468" s="209" t="s">
        <v>21</v>
      </c>
      <c r="G2468" s="209" t="s">
        <v>21</v>
      </c>
      <c r="H2468" s="209" t="s">
        <v>272</v>
      </c>
      <c r="I2468" s="210"/>
    </row>
    <row r="2469" spans="1:9" x14ac:dyDescent="0.25">
      <c r="A2469" s="74"/>
      <c r="B2469" s="45">
        <v>1360</v>
      </c>
      <c r="C2469" s="64" t="s">
        <v>1749</v>
      </c>
      <c r="D2469" s="74"/>
      <c r="E2469" s="208" t="s">
        <v>173</v>
      </c>
      <c r="F2469" s="209" t="s">
        <v>21</v>
      </c>
      <c r="G2469" s="209" t="s">
        <v>21</v>
      </c>
      <c r="H2469" s="209" t="s">
        <v>272</v>
      </c>
      <c r="I2469" s="210"/>
    </row>
    <row r="2470" spans="1:9" x14ac:dyDescent="0.25">
      <c r="A2470" s="74"/>
      <c r="B2470" s="45">
        <v>1365</v>
      </c>
      <c r="C2470" s="64" t="s">
        <v>1754</v>
      </c>
      <c r="D2470" s="74"/>
      <c r="E2470" s="208" t="s">
        <v>173</v>
      </c>
      <c r="F2470" s="209" t="s">
        <v>21</v>
      </c>
      <c r="G2470" s="209" t="s">
        <v>21</v>
      </c>
      <c r="H2470" s="209" t="s">
        <v>272</v>
      </c>
      <c r="I2470" s="210"/>
    </row>
    <row r="2471" spans="1:9" x14ac:dyDescent="0.25">
      <c r="A2471" s="74"/>
      <c r="B2471" s="45">
        <v>1366</v>
      </c>
      <c r="C2471" s="64" t="s">
        <v>1755</v>
      </c>
      <c r="D2471" s="74"/>
      <c r="E2471" s="208" t="s">
        <v>173</v>
      </c>
      <c r="F2471" s="209" t="s">
        <v>21</v>
      </c>
      <c r="G2471" s="209" t="s">
        <v>21</v>
      </c>
      <c r="H2471" s="209" t="s">
        <v>272</v>
      </c>
      <c r="I2471" s="210"/>
    </row>
    <row r="2472" spans="1:9" x14ac:dyDescent="0.25">
      <c r="A2472" s="74"/>
      <c r="B2472" s="45">
        <v>1367</v>
      </c>
      <c r="C2472" s="64" t="s">
        <v>1756</v>
      </c>
      <c r="D2472" s="74"/>
      <c r="E2472" s="208" t="s">
        <v>173</v>
      </c>
      <c r="F2472" s="209" t="s">
        <v>21</v>
      </c>
      <c r="G2472" s="209" t="s">
        <v>21</v>
      </c>
      <c r="H2472" s="209" t="s">
        <v>272</v>
      </c>
      <c r="I2472" s="210"/>
    </row>
    <row r="2473" spans="1:9" x14ac:dyDescent="0.25">
      <c r="A2473" s="74"/>
      <c r="B2473" s="45">
        <v>1361</v>
      </c>
      <c r="C2473" s="64" t="s">
        <v>1750</v>
      </c>
      <c r="D2473" s="74"/>
      <c r="E2473" s="208" t="s">
        <v>173</v>
      </c>
      <c r="F2473" s="209" t="s">
        <v>21</v>
      </c>
      <c r="G2473" s="209" t="s">
        <v>21</v>
      </c>
      <c r="H2473" s="209" t="s">
        <v>272</v>
      </c>
      <c r="I2473" s="210"/>
    </row>
    <row r="2474" spans="1:9" x14ac:dyDescent="0.25">
      <c r="A2474" s="74"/>
      <c r="B2474" s="45">
        <v>1362</v>
      </c>
      <c r="C2474" s="64" t="s">
        <v>1751</v>
      </c>
      <c r="D2474" s="74"/>
      <c r="E2474" s="208" t="s">
        <v>173</v>
      </c>
      <c r="F2474" s="209" t="s">
        <v>21</v>
      </c>
      <c r="G2474" s="209" t="s">
        <v>21</v>
      </c>
      <c r="H2474" s="209" t="s">
        <v>272</v>
      </c>
      <c r="I2474" s="210"/>
    </row>
    <row r="2475" spans="1:9" x14ac:dyDescent="0.25">
      <c r="A2475" s="74"/>
      <c r="B2475" s="45">
        <v>1363</v>
      </c>
      <c r="C2475" s="64" t="s">
        <v>1752</v>
      </c>
      <c r="D2475" s="74"/>
      <c r="E2475" s="208" t="s">
        <v>173</v>
      </c>
      <c r="F2475" s="209" t="s">
        <v>21</v>
      </c>
      <c r="G2475" s="209" t="s">
        <v>21</v>
      </c>
      <c r="H2475" s="209" t="s">
        <v>272</v>
      </c>
      <c r="I2475" s="210"/>
    </row>
    <row r="2476" spans="1:9" x14ac:dyDescent="0.25">
      <c r="A2476" s="74"/>
      <c r="B2476" s="45">
        <v>1364</v>
      </c>
      <c r="C2476" s="64" t="s">
        <v>1753</v>
      </c>
      <c r="D2476" s="74"/>
      <c r="E2476" s="208" t="s">
        <v>173</v>
      </c>
      <c r="F2476" s="209" t="s">
        <v>21</v>
      </c>
      <c r="G2476" s="209" t="s">
        <v>21</v>
      </c>
      <c r="H2476" s="209" t="s">
        <v>272</v>
      </c>
      <c r="I2476" s="210"/>
    </row>
    <row r="2477" spans="1:9" x14ac:dyDescent="0.25">
      <c r="A2477" s="74"/>
      <c r="B2477" s="45">
        <v>1360</v>
      </c>
      <c r="C2477" s="64" t="s">
        <v>1749</v>
      </c>
      <c r="D2477" s="74"/>
      <c r="E2477" s="208" t="s">
        <v>173</v>
      </c>
      <c r="F2477" s="209" t="s">
        <v>21</v>
      </c>
      <c r="G2477" s="209" t="s">
        <v>21</v>
      </c>
      <c r="H2477" s="209" t="s">
        <v>272</v>
      </c>
      <c r="I2477" s="210"/>
    </row>
    <row r="2478" spans="1:9" x14ac:dyDescent="0.25">
      <c r="A2478" s="74"/>
      <c r="B2478" s="45">
        <v>1365</v>
      </c>
      <c r="C2478" s="64" t="s">
        <v>1754</v>
      </c>
      <c r="D2478" s="74"/>
      <c r="E2478" s="208" t="s">
        <v>173</v>
      </c>
      <c r="F2478" s="209" t="s">
        <v>21</v>
      </c>
      <c r="G2478" s="209" t="s">
        <v>21</v>
      </c>
      <c r="H2478" s="209" t="s">
        <v>272</v>
      </c>
      <c r="I2478" s="210"/>
    </row>
    <row r="2479" spans="1:9" x14ac:dyDescent="0.25">
      <c r="A2479" s="74"/>
      <c r="B2479" s="45">
        <v>1366</v>
      </c>
      <c r="C2479" s="64" t="s">
        <v>1755</v>
      </c>
      <c r="D2479" s="74"/>
      <c r="E2479" s="208" t="s">
        <v>173</v>
      </c>
      <c r="F2479" s="209" t="s">
        <v>21</v>
      </c>
      <c r="G2479" s="209" t="s">
        <v>21</v>
      </c>
      <c r="H2479" s="209" t="s">
        <v>272</v>
      </c>
      <c r="I2479" s="210"/>
    </row>
    <row r="2480" spans="1:9" x14ac:dyDescent="0.25">
      <c r="A2480" s="74"/>
      <c r="B2480" s="45">
        <v>1367</v>
      </c>
      <c r="C2480" s="64" t="s">
        <v>1756</v>
      </c>
      <c r="D2480" s="74"/>
      <c r="E2480" s="208" t="s">
        <v>173</v>
      </c>
      <c r="F2480" s="209" t="s">
        <v>21</v>
      </c>
      <c r="G2480" s="209" t="s">
        <v>21</v>
      </c>
      <c r="H2480" s="209" t="s">
        <v>272</v>
      </c>
      <c r="I2480" s="210"/>
    </row>
    <row r="2481" spans="1:9" x14ac:dyDescent="0.25">
      <c r="A2481" s="74"/>
      <c r="B2481" s="45">
        <v>1361</v>
      </c>
      <c r="C2481" s="64" t="s">
        <v>1750</v>
      </c>
      <c r="D2481" s="74"/>
      <c r="E2481" s="208" t="s">
        <v>173</v>
      </c>
      <c r="F2481" s="209" t="s">
        <v>21</v>
      </c>
      <c r="G2481" s="209" t="s">
        <v>21</v>
      </c>
      <c r="H2481" s="209" t="s">
        <v>272</v>
      </c>
      <c r="I2481" s="210"/>
    </row>
    <row r="2482" spans="1:9" x14ac:dyDescent="0.25">
      <c r="A2482" s="74"/>
      <c r="B2482" s="45">
        <v>1362</v>
      </c>
      <c r="C2482" s="64" t="s">
        <v>1751</v>
      </c>
      <c r="D2482" s="74"/>
      <c r="E2482" s="208" t="s">
        <v>173</v>
      </c>
      <c r="F2482" s="209" t="s">
        <v>21</v>
      </c>
      <c r="G2482" s="209" t="s">
        <v>21</v>
      </c>
      <c r="H2482" s="209" t="s">
        <v>272</v>
      </c>
      <c r="I2482" s="210"/>
    </row>
    <row r="2483" spans="1:9" x14ac:dyDescent="0.25">
      <c r="A2483" s="74"/>
      <c r="B2483" s="45">
        <v>1363</v>
      </c>
      <c r="C2483" s="64" t="s">
        <v>1752</v>
      </c>
      <c r="D2483" s="74"/>
      <c r="E2483" s="208" t="s">
        <v>173</v>
      </c>
      <c r="F2483" s="209" t="s">
        <v>21</v>
      </c>
      <c r="G2483" s="209" t="s">
        <v>21</v>
      </c>
      <c r="H2483" s="209" t="s">
        <v>272</v>
      </c>
      <c r="I2483" s="210"/>
    </row>
    <row r="2484" spans="1:9" x14ac:dyDescent="0.25">
      <c r="A2484" s="74"/>
      <c r="B2484" s="45">
        <v>1364</v>
      </c>
      <c r="C2484" s="64" t="s">
        <v>1753</v>
      </c>
      <c r="D2484" s="74"/>
      <c r="E2484" s="208" t="s">
        <v>173</v>
      </c>
      <c r="F2484" s="209" t="s">
        <v>21</v>
      </c>
      <c r="G2484" s="209" t="s">
        <v>21</v>
      </c>
      <c r="H2484" s="209" t="s">
        <v>272</v>
      </c>
      <c r="I2484" s="210"/>
    </row>
    <row r="2485" spans="1:9" x14ac:dyDescent="0.25">
      <c r="A2485" s="74"/>
      <c r="B2485" s="45">
        <v>1360</v>
      </c>
      <c r="C2485" s="64" t="s">
        <v>1749</v>
      </c>
      <c r="D2485" s="74"/>
      <c r="E2485" s="208" t="s">
        <v>173</v>
      </c>
      <c r="F2485" s="209" t="s">
        <v>21</v>
      </c>
      <c r="G2485" s="209" t="s">
        <v>21</v>
      </c>
      <c r="H2485" s="209" t="s">
        <v>272</v>
      </c>
      <c r="I2485" s="210"/>
    </row>
    <row r="2486" spans="1:9" x14ac:dyDescent="0.25">
      <c r="A2486" s="74"/>
      <c r="B2486" s="45">
        <v>1365</v>
      </c>
      <c r="C2486" s="64" t="s">
        <v>1754</v>
      </c>
      <c r="D2486" s="74"/>
      <c r="E2486" s="208" t="s">
        <v>173</v>
      </c>
      <c r="F2486" s="209" t="s">
        <v>21</v>
      </c>
      <c r="G2486" s="209" t="s">
        <v>21</v>
      </c>
      <c r="H2486" s="209" t="s">
        <v>272</v>
      </c>
      <c r="I2486" s="210"/>
    </row>
    <row r="2487" spans="1:9" x14ac:dyDescent="0.25">
      <c r="A2487" s="74"/>
      <c r="B2487" s="45">
        <v>1366</v>
      </c>
      <c r="C2487" s="64" t="s">
        <v>1755</v>
      </c>
      <c r="D2487" s="74"/>
      <c r="E2487" s="208" t="s">
        <v>173</v>
      </c>
      <c r="F2487" s="209" t="s">
        <v>21</v>
      </c>
      <c r="G2487" s="209" t="s">
        <v>21</v>
      </c>
      <c r="H2487" s="209" t="s">
        <v>272</v>
      </c>
      <c r="I2487" s="210"/>
    </row>
    <row r="2488" spans="1:9" x14ac:dyDescent="0.25">
      <c r="A2488" s="74"/>
      <c r="B2488" s="45">
        <v>1367</v>
      </c>
      <c r="C2488" s="64" t="s">
        <v>1756</v>
      </c>
      <c r="D2488" s="74"/>
      <c r="E2488" s="208" t="s">
        <v>173</v>
      </c>
      <c r="F2488" s="209" t="s">
        <v>21</v>
      </c>
      <c r="G2488" s="209" t="s">
        <v>21</v>
      </c>
      <c r="H2488" s="209" t="s">
        <v>272</v>
      </c>
      <c r="I2488" s="210"/>
    </row>
    <row r="2489" spans="1:9" x14ac:dyDescent="0.25">
      <c r="A2489" s="74"/>
      <c r="B2489" s="45">
        <v>1361</v>
      </c>
      <c r="C2489" s="64" t="s">
        <v>1750</v>
      </c>
      <c r="D2489" s="74"/>
      <c r="E2489" s="208" t="s">
        <v>173</v>
      </c>
      <c r="F2489" s="209" t="s">
        <v>21</v>
      </c>
      <c r="G2489" s="209" t="s">
        <v>21</v>
      </c>
      <c r="H2489" s="209" t="s">
        <v>272</v>
      </c>
      <c r="I2489" s="210"/>
    </row>
    <row r="2490" spans="1:9" x14ac:dyDescent="0.25">
      <c r="A2490" s="74"/>
      <c r="B2490" s="45">
        <v>1362</v>
      </c>
      <c r="C2490" s="64" t="s">
        <v>1751</v>
      </c>
      <c r="D2490" s="74"/>
      <c r="E2490" s="208" t="s">
        <v>173</v>
      </c>
      <c r="F2490" s="209" t="s">
        <v>21</v>
      </c>
      <c r="G2490" s="209" t="s">
        <v>21</v>
      </c>
      <c r="H2490" s="209" t="s">
        <v>272</v>
      </c>
      <c r="I2490" s="210"/>
    </row>
    <row r="2491" spans="1:9" x14ac:dyDescent="0.25">
      <c r="A2491" s="74"/>
      <c r="B2491" s="45">
        <v>1363</v>
      </c>
      <c r="C2491" s="64" t="s">
        <v>1752</v>
      </c>
      <c r="D2491" s="74"/>
      <c r="E2491" s="208" t="s">
        <v>173</v>
      </c>
      <c r="F2491" s="209" t="s">
        <v>21</v>
      </c>
      <c r="G2491" s="209" t="s">
        <v>21</v>
      </c>
      <c r="H2491" s="209" t="s">
        <v>272</v>
      </c>
      <c r="I2491" s="210"/>
    </row>
    <row r="2492" spans="1:9" x14ac:dyDescent="0.25">
      <c r="A2492" s="74"/>
      <c r="B2492" s="45">
        <v>1364</v>
      </c>
      <c r="C2492" s="64" t="s">
        <v>1753</v>
      </c>
      <c r="D2492" s="74"/>
      <c r="E2492" s="208" t="s">
        <v>173</v>
      </c>
      <c r="F2492" s="209" t="s">
        <v>21</v>
      </c>
      <c r="G2492" s="209" t="s">
        <v>21</v>
      </c>
      <c r="H2492" s="209" t="s">
        <v>272</v>
      </c>
      <c r="I2492" s="210"/>
    </row>
    <row r="2493" spans="1:9" x14ac:dyDescent="0.25">
      <c r="A2493" s="74"/>
      <c r="B2493" s="45">
        <v>1360</v>
      </c>
      <c r="C2493" s="64" t="s">
        <v>1749</v>
      </c>
      <c r="D2493" s="74"/>
      <c r="E2493" s="208" t="s">
        <v>173</v>
      </c>
      <c r="F2493" s="209" t="s">
        <v>21</v>
      </c>
      <c r="G2493" s="209" t="s">
        <v>21</v>
      </c>
      <c r="H2493" s="209" t="s">
        <v>272</v>
      </c>
      <c r="I2493" s="210"/>
    </row>
    <row r="2494" spans="1:9" x14ac:dyDescent="0.25">
      <c r="A2494" s="74"/>
      <c r="B2494" s="45">
        <v>1365</v>
      </c>
      <c r="C2494" s="64" t="s">
        <v>1754</v>
      </c>
      <c r="D2494" s="74"/>
      <c r="E2494" s="208" t="s">
        <v>173</v>
      </c>
      <c r="F2494" s="209" t="s">
        <v>21</v>
      </c>
      <c r="G2494" s="209" t="s">
        <v>21</v>
      </c>
      <c r="H2494" s="209" t="s">
        <v>272</v>
      </c>
      <c r="I2494" s="210"/>
    </row>
    <row r="2495" spans="1:9" x14ac:dyDescent="0.25">
      <c r="A2495" s="74"/>
      <c r="B2495" s="45">
        <v>1366</v>
      </c>
      <c r="C2495" s="64" t="s">
        <v>1755</v>
      </c>
      <c r="D2495" s="74"/>
      <c r="E2495" s="208" t="s">
        <v>173</v>
      </c>
      <c r="F2495" s="209" t="s">
        <v>21</v>
      </c>
      <c r="G2495" s="209" t="s">
        <v>21</v>
      </c>
      <c r="H2495" s="209" t="s">
        <v>272</v>
      </c>
      <c r="I2495" s="210"/>
    </row>
    <row r="2496" spans="1:9" x14ac:dyDescent="0.25">
      <c r="A2496" s="74"/>
      <c r="B2496" s="45">
        <v>1367</v>
      </c>
      <c r="C2496" s="64" t="s">
        <v>1756</v>
      </c>
      <c r="D2496" s="74"/>
      <c r="E2496" s="208" t="s">
        <v>173</v>
      </c>
      <c r="F2496" s="209" t="s">
        <v>21</v>
      </c>
      <c r="G2496" s="209" t="s">
        <v>21</v>
      </c>
      <c r="H2496" s="209" t="s">
        <v>272</v>
      </c>
      <c r="I2496" s="210"/>
    </row>
    <row r="2497" spans="1:9" x14ac:dyDescent="0.25">
      <c r="A2497" s="74"/>
      <c r="B2497" s="45">
        <v>1368</v>
      </c>
      <c r="C2497" s="64" t="s">
        <v>1757</v>
      </c>
      <c r="D2497" s="74"/>
      <c r="E2497" s="208" t="s">
        <v>173</v>
      </c>
      <c r="F2497" s="209" t="s">
        <v>21</v>
      </c>
      <c r="G2497" s="209" t="s">
        <v>21</v>
      </c>
      <c r="H2497" s="209" t="s">
        <v>189</v>
      </c>
      <c r="I2497" s="210"/>
    </row>
    <row r="2498" spans="1:9" x14ac:dyDescent="0.25">
      <c r="A2498" s="74"/>
      <c r="B2498" s="45">
        <v>290</v>
      </c>
      <c r="C2498" s="64" t="s">
        <v>702</v>
      </c>
      <c r="D2498" s="74"/>
      <c r="E2498" s="208" t="s">
        <v>173</v>
      </c>
      <c r="F2498" s="209" t="s">
        <v>21</v>
      </c>
      <c r="G2498" s="209" t="s">
        <v>21</v>
      </c>
      <c r="H2498" s="209" t="s">
        <v>192</v>
      </c>
      <c r="I2498" s="210"/>
    </row>
    <row r="2499" spans="1:9" x14ac:dyDescent="0.25">
      <c r="A2499" s="74"/>
      <c r="B2499" s="45">
        <v>288</v>
      </c>
      <c r="C2499" s="64" t="s">
        <v>700</v>
      </c>
      <c r="D2499" s="74"/>
      <c r="E2499" s="208" t="s">
        <v>173</v>
      </c>
      <c r="F2499" s="209" t="s">
        <v>21</v>
      </c>
      <c r="G2499" s="209" t="s">
        <v>21</v>
      </c>
      <c r="H2499" s="209" t="s">
        <v>192</v>
      </c>
      <c r="I2499" s="210"/>
    </row>
    <row r="2500" spans="1:9" x14ac:dyDescent="0.25">
      <c r="A2500" s="74"/>
      <c r="B2500" s="45">
        <v>291</v>
      </c>
      <c r="C2500" s="64" t="s">
        <v>703</v>
      </c>
      <c r="D2500" s="74"/>
      <c r="E2500" s="208" t="s">
        <v>173</v>
      </c>
      <c r="F2500" s="209" t="s">
        <v>21</v>
      </c>
      <c r="G2500" s="209" t="s">
        <v>21</v>
      </c>
      <c r="H2500" s="209" t="s">
        <v>192</v>
      </c>
      <c r="I2500" s="210"/>
    </row>
    <row r="2501" spans="1:9" x14ac:dyDescent="0.25">
      <c r="A2501" s="74"/>
      <c r="B2501" s="45">
        <v>1370</v>
      </c>
      <c r="C2501" s="64" t="s">
        <v>1758</v>
      </c>
      <c r="D2501" s="74"/>
      <c r="E2501" s="208" t="s">
        <v>173</v>
      </c>
      <c r="F2501" s="209" t="s">
        <v>21</v>
      </c>
      <c r="G2501" s="209" t="s">
        <v>21</v>
      </c>
      <c r="H2501" s="209" t="s">
        <v>272</v>
      </c>
      <c r="I2501" s="210"/>
    </row>
    <row r="2502" spans="1:9" x14ac:dyDescent="0.25">
      <c r="A2502" s="74"/>
      <c r="B2502" s="45">
        <v>1370</v>
      </c>
      <c r="C2502" s="64" t="s">
        <v>1758</v>
      </c>
      <c r="D2502" s="74"/>
      <c r="E2502" s="208" t="s">
        <v>173</v>
      </c>
      <c r="F2502" s="209" t="s">
        <v>21</v>
      </c>
      <c r="G2502" s="209" t="s">
        <v>21</v>
      </c>
      <c r="H2502" s="209" t="s">
        <v>272</v>
      </c>
      <c r="I2502" s="210"/>
    </row>
    <row r="2503" spans="1:9" x14ac:dyDescent="0.25">
      <c r="A2503" s="74"/>
      <c r="B2503" s="45">
        <v>288</v>
      </c>
      <c r="C2503" s="64" t="s">
        <v>700</v>
      </c>
      <c r="D2503" s="74"/>
      <c r="E2503" s="208" t="s">
        <v>173</v>
      </c>
      <c r="F2503" s="209" t="s">
        <v>21</v>
      </c>
      <c r="G2503" s="209" t="s">
        <v>21</v>
      </c>
      <c r="H2503" s="209" t="s">
        <v>192</v>
      </c>
      <c r="I2503" s="210"/>
    </row>
    <row r="2504" spans="1:9" x14ac:dyDescent="0.25">
      <c r="A2504" s="74"/>
      <c r="B2504" s="45">
        <v>1371</v>
      </c>
      <c r="C2504" s="64" t="s">
        <v>1759</v>
      </c>
      <c r="D2504" s="74"/>
      <c r="E2504" s="208" t="s">
        <v>173</v>
      </c>
      <c r="F2504" s="209" t="s">
        <v>21</v>
      </c>
      <c r="G2504" s="209" t="s">
        <v>21</v>
      </c>
      <c r="H2504" s="209" t="s">
        <v>272</v>
      </c>
      <c r="I2504" s="210"/>
    </row>
    <row r="2505" spans="1:9" x14ac:dyDescent="0.25">
      <c r="A2505" s="74"/>
      <c r="B2505" s="45">
        <v>1370</v>
      </c>
      <c r="C2505" s="64" t="s">
        <v>1758</v>
      </c>
      <c r="D2505" s="74"/>
      <c r="E2505" s="208" t="s">
        <v>173</v>
      </c>
      <c r="F2505" s="209" t="s">
        <v>21</v>
      </c>
      <c r="G2505" s="209" t="s">
        <v>21</v>
      </c>
      <c r="H2505" s="209" t="s">
        <v>272</v>
      </c>
      <c r="I2505" s="210"/>
    </row>
    <row r="2506" spans="1:9" x14ac:dyDescent="0.25">
      <c r="A2506" s="74"/>
      <c r="B2506" s="45">
        <v>1372</v>
      </c>
      <c r="C2506" s="64" t="s">
        <v>1760</v>
      </c>
      <c r="D2506" s="74"/>
      <c r="E2506" s="208" t="s">
        <v>173</v>
      </c>
      <c r="F2506" s="209" t="s">
        <v>21</v>
      </c>
      <c r="G2506" s="209" t="s">
        <v>21</v>
      </c>
      <c r="H2506" s="209" t="s">
        <v>272</v>
      </c>
      <c r="I2506" s="210"/>
    </row>
    <row r="2507" spans="1:9" x14ac:dyDescent="0.25">
      <c r="A2507" s="74"/>
      <c r="B2507" s="45">
        <v>1373</v>
      </c>
      <c r="C2507" s="64" t="s">
        <v>1575</v>
      </c>
      <c r="D2507" s="74"/>
      <c r="E2507" s="208" t="s">
        <v>173</v>
      </c>
      <c r="F2507" s="209" t="s">
        <v>21</v>
      </c>
      <c r="G2507" s="209" t="s">
        <v>21</v>
      </c>
      <c r="H2507" s="209" t="s">
        <v>272</v>
      </c>
      <c r="I2507" s="210"/>
    </row>
    <row r="2508" spans="1:9" x14ac:dyDescent="0.25">
      <c r="A2508" s="74"/>
      <c r="B2508" s="45">
        <v>1371</v>
      </c>
      <c r="C2508" s="64" t="s">
        <v>1759</v>
      </c>
      <c r="D2508" s="74"/>
      <c r="E2508" s="208" t="s">
        <v>173</v>
      </c>
      <c r="F2508" s="209" t="s">
        <v>21</v>
      </c>
      <c r="G2508" s="209" t="s">
        <v>21</v>
      </c>
      <c r="H2508" s="209" t="s">
        <v>272</v>
      </c>
      <c r="I2508" s="210"/>
    </row>
    <row r="2509" spans="1:9" x14ac:dyDescent="0.25">
      <c r="A2509" s="74"/>
      <c r="B2509" s="45">
        <v>1370</v>
      </c>
      <c r="C2509" s="64" t="s">
        <v>1758</v>
      </c>
      <c r="D2509" s="74"/>
      <c r="E2509" s="208" t="s">
        <v>173</v>
      </c>
      <c r="F2509" s="209" t="s">
        <v>21</v>
      </c>
      <c r="G2509" s="209" t="s">
        <v>21</v>
      </c>
      <c r="H2509" s="209" t="s">
        <v>272</v>
      </c>
      <c r="I2509" s="210"/>
    </row>
    <row r="2510" spans="1:9" x14ac:dyDescent="0.25">
      <c r="A2510" s="74"/>
      <c r="B2510" s="45">
        <v>1372</v>
      </c>
      <c r="C2510" s="64" t="s">
        <v>1760</v>
      </c>
      <c r="D2510" s="74"/>
      <c r="E2510" s="208" t="s">
        <v>173</v>
      </c>
      <c r="F2510" s="209" t="s">
        <v>21</v>
      </c>
      <c r="G2510" s="209" t="s">
        <v>21</v>
      </c>
      <c r="H2510" s="209" t="s">
        <v>272</v>
      </c>
      <c r="I2510" s="210"/>
    </row>
    <row r="2511" spans="1:9" x14ac:dyDescent="0.25">
      <c r="A2511" s="74"/>
      <c r="B2511" s="45">
        <v>1373</v>
      </c>
      <c r="C2511" s="64" t="s">
        <v>1575</v>
      </c>
      <c r="D2511" s="74"/>
      <c r="E2511" s="208" t="s">
        <v>173</v>
      </c>
      <c r="F2511" s="209" t="s">
        <v>21</v>
      </c>
      <c r="G2511" s="209" t="s">
        <v>21</v>
      </c>
      <c r="H2511" s="209" t="s">
        <v>272</v>
      </c>
      <c r="I2511" s="210"/>
    </row>
    <row r="2512" spans="1:9" x14ac:dyDescent="0.25">
      <c r="A2512" s="74"/>
      <c r="B2512" s="45">
        <v>1371</v>
      </c>
      <c r="C2512" s="64" t="s">
        <v>1759</v>
      </c>
      <c r="D2512" s="74"/>
      <c r="E2512" s="208" t="s">
        <v>173</v>
      </c>
      <c r="F2512" s="209" t="s">
        <v>21</v>
      </c>
      <c r="G2512" s="209" t="s">
        <v>21</v>
      </c>
      <c r="H2512" s="209" t="s">
        <v>272</v>
      </c>
      <c r="I2512" s="210"/>
    </row>
    <row r="2513" spans="1:9" x14ac:dyDescent="0.25">
      <c r="A2513" s="74"/>
      <c r="B2513" s="45">
        <v>1370</v>
      </c>
      <c r="C2513" s="64" t="s">
        <v>1758</v>
      </c>
      <c r="D2513" s="74"/>
      <c r="E2513" s="208" t="s">
        <v>173</v>
      </c>
      <c r="F2513" s="209" t="s">
        <v>21</v>
      </c>
      <c r="G2513" s="209" t="s">
        <v>21</v>
      </c>
      <c r="H2513" s="209" t="s">
        <v>272</v>
      </c>
      <c r="I2513" s="210"/>
    </row>
    <row r="2514" spans="1:9" x14ac:dyDescent="0.25">
      <c r="A2514" s="74"/>
      <c r="B2514" s="45">
        <v>1372</v>
      </c>
      <c r="C2514" s="64" t="s">
        <v>1760</v>
      </c>
      <c r="D2514" s="74"/>
      <c r="E2514" s="208" t="s">
        <v>173</v>
      </c>
      <c r="F2514" s="209" t="s">
        <v>21</v>
      </c>
      <c r="G2514" s="209" t="s">
        <v>21</v>
      </c>
      <c r="H2514" s="209" t="s">
        <v>272</v>
      </c>
      <c r="I2514" s="210"/>
    </row>
    <row r="2515" spans="1:9" x14ac:dyDescent="0.25">
      <c r="A2515" s="74"/>
      <c r="B2515" s="45">
        <v>1373</v>
      </c>
      <c r="C2515" s="64" t="s">
        <v>1575</v>
      </c>
      <c r="D2515" s="74"/>
      <c r="E2515" s="208" t="s">
        <v>173</v>
      </c>
      <c r="F2515" s="209" t="s">
        <v>21</v>
      </c>
      <c r="G2515" s="209" t="s">
        <v>21</v>
      </c>
      <c r="H2515" s="209" t="s">
        <v>272</v>
      </c>
      <c r="I2515" s="210"/>
    </row>
    <row r="2516" spans="1:9" x14ac:dyDescent="0.25">
      <c r="A2516" s="74"/>
      <c r="B2516" s="45">
        <v>1371</v>
      </c>
      <c r="C2516" s="64" t="s">
        <v>1759</v>
      </c>
      <c r="D2516" s="74"/>
      <c r="E2516" s="208" t="s">
        <v>173</v>
      </c>
      <c r="F2516" s="209" t="s">
        <v>21</v>
      </c>
      <c r="G2516" s="209" t="s">
        <v>21</v>
      </c>
      <c r="H2516" s="209" t="s">
        <v>272</v>
      </c>
      <c r="I2516" s="210"/>
    </row>
    <row r="2517" spans="1:9" x14ac:dyDescent="0.25">
      <c r="A2517" s="74"/>
      <c r="B2517" s="45">
        <v>1370</v>
      </c>
      <c r="C2517" s="64" t="s">
        <v>1758</v>
      </c>
      <c r="D2517" s="74"/>
      <c r="E2517" s="208" t="s">
        <v>173</v>
      </c>
      <c r="F2517" s="209" t="s">
        <v>21</v>
      </c>
      <c r="G2517" s="209" t="s">
        <v>21</v>
      </c>
      <c r="H2517" s="209" t="s">
        <v>272</v>
      </c>
      <c r="I2517" s="210"/>
    </row>
    <row r="2518" spans="1:9" x14ac:dyDescent="0.25">
      <c r="A2518" s="74"/>
      <c r="B2518" s="45">
        <v>1372</v>
      </c>
      <c r="C2518" s="64" t="s">
        <v>1760</v>
      </c>
      <c r="D2518" s="74"/>
      <c r="E2518" s="208" t="s">
        <v>173</v>
      </c>
      <c r="F2518" s="209" t="s">
        <v>21</v>
      </c>
      <c r="G2518" s="209" t="s">
        <v>21</v>
      </c>
      <c r="H2518" s="209" t="s">
        <v>272</v>
      </c>
      <c r="I2518" s="210"/>
    </row>
    <row r="2519" spans="1:9" x14ac:dyDescent="0.25">
      <c r="A2519" s="74"/>
      <c r="B2519" s="45">
        <v>1373</v>
      </c>
      <c r="C2519" s="64" t="s">
        <v>1575</v>
      </c>
      <c r="D2519" s="74"/>
      <c r="E2519" s="208" t="s">
        <v>173</v>
      </c>
      <c r="F2519" s="209" t="s">
        <v>21</v>
      </c>
      <c r="G2519" s="209" t="s">
        <v>21</v>
      </c>
      <c r="H2519" s="209" t="s">
        <v>272</v>
      </c>
      <c r="I2519" s="210"/>
    </row>
    <row r="2520" spans="1:9" x14ac:dyDescent="0.25">
      <c r="A2520" s="74"/>
      <c r="B2520" s="45">
        <v>1374</v>
      </c>
      <c r="C2520" s="64" t="s">
        <v>1761</v>
      </c>
      <c r="D2520" s="74"/>
      <c r="E2520" s="208" t="s">
        <v>161</v>
      </c>
      <c r="F2520" s="209" t="s">
        <v>21</v>
      </c>
      <c r="G2520" s="209" t="s">
        <v>21</v>
      </c>
      <c r="H2520" s="209" t="s">
        <v>189</v>
      </c>
      <c r="I2520" s="210"/>
    </row>
    <row r="2521" spans="1:9" x14ac:dyDescent="0.25">
      <c r="A2521" s="74"/>
      <c r="B2521" s="45">
        <v>464</v>
      </c>
      <c r="C2521" s="64" t="s">
        <v>876</v>
      </c>
      <c r="D2521" s="74"/>
      <c r="E2521" s="208" t="s">
        <v>161</v>
      </c>
      <c r="F2521" s="209" t="s">
        <v>21</v>
      </c>
      <c r="G2521" s="209" t="s">
        <v>21</v>
      </c>
      <c r="H2521" s="209" t="s">
        <v>187</v>
      </c>
      <c r="I2521" s="210"/>
    </row>
    <row r="2522" spans="1:9" x14ac:dyDescent="0.25">
      <c r="A2522" s="74"/>
      <c r="B2522" s="45">
        <v>1375</v>
      </c>
      <c r="C2522" s="64" t="s">
        <v>1762</v>
      </c>
      <c r="D2522" s="74"/>
      <c r="E2522" s="208" t="s">
        <v>280</v>
      </c>
      <c r="F2522" s="209" t="s">
        <v>21</v>
      </c>
      <c r="G2522" s="209" t="s">
        <v>21</v>
      </c>
      <c r="H2522" s="209" t="s">
        <v>179</v>
      </c>
      <c r="I2522" s="210"/>
    </row>
    <row r="2523" spans="1:9" x14ac:dyDescent="0.25">
      <c r="A2523" s="74"/>
      <c r="B2523" s="45">
        <v>330</v>
      </c>
      <c r="C2523" s="64" t="s">
        <v>742</v>
      </c>
      <c r="D2523" s="74"/>
      <c r="E2523" s="208" t="s">
        <v>161</v>
      </c>
      <c r="F2523" s="209" t="s">
        <v>21</v>
      </c>
      <c r="G2523" s="209" t="s">
        <v>21</v>
      </c>
      <c r="H2523" s="209" t="s">
        <v>193</v>
      </c>
      <c r="I2523" s="210"/>
    </row>
    <row r="2524" spans="1:9" x14ac:dyDescent="0.25">
      <c r="A2524" s="74"/>
      <c r="B2524" s="45">
        <v>324</v>
      </c>
      <c r="C2524" s="64" t="s">
        <v>736</v>
      </c>
      <c r="D2524" s="74"/>
      <c r="E2524" s="208" t="s">
        <v>161</v>
      </c>
      <c r="F2524" s="209" t="s">
        <v>21</v>
      </c>
      <c r="G2524" s="209" t="s">
        <v>21</v>
      </c>
      <c r="H2524" s="209" t="s">
        <v>186</v>
      </c>
      <c r="I2524" s="210"/>
    </row>
    <row r="2525" spans="1:9" x14ac:dyDescent="0.25">
      <c r="A2525" s="74"/>
      <c r="B2525" s="45">
        <v>1375</v>
      </c>
      <c r="C2525" s="64" t="s">
        <v>1762</v>
      </c>
      <c r="D2525" s="74"/>
      <c r="E2525" s="208" t="s">
        <v>280</v>
      </c>
      <c r="F2525" s="209" t="s">
        <v>21</v>
      </c>
      <c r="G2525" s="209" t="s">
        <v>21</v>
      </c>
      <c r="H2525" s="209" t="s">
        <v>179</v>
      </c>
      <c r="I2525" s="210"/>
    </row>
    <row r="2526" spans="1:9" x14ac:dyDescent="0.25">
      <c r="A2526" s="74"/>
      <c r="B2526" s="45">
        <v>318</v>
      </c>
      <c r="C2526" s="64" t="s">
        <v>730</v>
      </c>
      <c r="D2526" s="74"/>
      <c r="E2526" s="208" t="s">
        <v>161</v>
      </c>
      <c r="F2526" s="209" t="s">
        <v>21</v>
      </c>
      <c r="G2526" s="209" t="s">
        <v>21</v>
      </c>
      <c r="H2526" s="209" t="s">
        <v>192</v>
      </c>
      <c r="I2526" s="210"/>
    </row>
    <row r="2527" spans="1:9" x14ac:dyDescent="0.25">
      <c r="A2527" s="74"/>
      <c r="B2527" s="45">
        <v>408</v>
      </c>
      <c r="C2527" s="64" t="s">
        <v>820</v>
      </c>
      <c r="D2527" s="74"/>
      <c r="E2527" s="208" t="s">
        <v>161</v>
      </c>
      <c r="F2527" s="209" t="s">
        <v>21</v>
      </c>
      <c r="G2527" s="209" t="s">
        <v>21</v>
      </c>
      <c r="H2527" s="209" t="s">
        <v>192</v>
      </c>
      <c r="I2527" s="210"/>
    </row>
    <row r="2528" spans="1:9" x14ac:dyDescent="0.25">
      <c r="A2528" s="74"/>
      <c r="B2528" s="45">
        <v>409</v>
      </c>
      <c r="C2528" s="64" t="s">
        <v>821</v>
      </c>
      <c r="D2528" s="74"/>
      <c r="E2528" s="208" t="s">
        <v>161</v>
      </c>
      <c r="F2528" s="209" t="s">
        <v>21</v>
      </c>
      <c r="G2528" s="209" t="s">
        <v>21</v>
      </c>
      <c r="H2528" s="209" t="s">
        <v>192</v>
      </c>
      <c r="I2528" s="210"/>
    </row>
    <row r="2529" spans="1:9" x14ac:dyDescent="0.25">
      <c r="A2529" s="74"/>
      <c r="B2529" s="45">
        <v>337</v>
      </c>
      <c r="C2529" s="64" t="s">
        <v>749</v>
      </c>
      <c r="D2529" s="74"/>
      <c r="E2529" s="208" t="s">
        <v>161</v>
      </c>
      <c r="F2529" s="209" t="s">
        <v>21</v>
      </c>
      <c r="G2529" s="209" t="s">
        <v>21</v>
      </c>
      <c r="H2529" s="209" t="s">
        <v>192</v>
      </c>
      <c r="I2529" s="210"/>
    </row>
    <row r="2530" spans="1:9" x14ac:dyDescent="0.25">
      <c r="A2530" s="74"/>
      <c r="B2530" s="45">
        <v>318</v>
      </c>
      <c r="C2530" s="64" t="s">
        <v>730</v>
      </c>
      <c r="D2530" s="74"/>
      <c r="E2530" s="208" t="s">
        <v>161</v>
      </c>
      <c r="F2530" s="209" t="s">
        <v>21</v>
      </c>
      <c r="G2530" s="209" t="s">
        <v>21</v>
      </c>
      <c r="H2530" s="209" t="s">
        <v>192</v>
      </c>
      <c r="I2530" s="210"/>
    </row>
    <row r="2531" spans="1:9" x14ac:dyDescent="0.25">
      <c r="A2531" s="74"/>
      <c r="B2531" s="45">
        <v>408</v>
      </c>
      <c r="C2531" s="64" t="s">
        <v>820</v>
      </c>
      <c r="D2531" s="74"/>
      <c r="E2531" s="208" t="s">
        <v>161</v>
      </c>
      <c r="F2531" s="209" t="s">
        <v>21</v>
      </c>
      <c r="G2531" s="209" t="s">
        <v>21</v>
      </c>
      <c r="H2531" s="209" t="s">
        <v>192</v>
      </c>
      <c r="I2531" s="210"/>
    </row>
    <row r="2532" spans="1:9" x14ac:dyDescent="0.25">
      <c r="A2532" s="74"/>
      <c r="B2532" s="45">
        <v>409</v>
      </c>
      <c r="C2532" s="64" t="s">
        <v>821</v>
      </c>
      <c r="D2532" s="74"/>
      <c r="E2532" s="208" t="s">
        <v>161</v>
      </c>
      <c r="F2532" s="209" t="s">
        <v>21</v>
      </c>
      <c r="G2532" s="209" t="s">
        <v>21</v>
      </c>
      <c r="H2532" s="209" t="s">
        <v>192</v>
      </c>
      <c r="I2532" s="210"/>
    </row>
    <row r="2533" spans="1:9" x14ac:dyDescent="0.25">
      <c r="A2533" s="74"/>
      <c r="B2533" s="45">
        <v>337</v>
      </c>
      <c r="C2533" s="64" t="s">
        <v>749</v>
      </c>
      <c r="D2533" s="74"/>
      <c r="E2533" s="208" t="s">
        <v>161</v>
      </c>
      <c r="F2533" s="209" t="s">
        <v>21</v>
      </c>
      <c r="G2533" s="209" t="s">
        <v>21</v>
      </c>
      <c r="H2533" s="209" t="s">
        <v>192</v>
      </c>
      <c r="I2533" s="210"/>
    </row>
    <row r="2534" spans="1:9" x14ac:dyDescent="0.25">
      <c r="A2534" s="74"/>
      <c r="B2534" s="45">
        <v>318</v>
      </c>
      <c r="C2534" s="64" t="s">
        <v>730</v>
      </c>
      <c r="D2534" s="74"/>
      <c r="E2534" s="208" t="s">
        <v>161</v>
      </c>
      <c r="F2534" s="209" t="s">
        <v>21</v>
      </c>
      <c r="G2534" s="209" t="s">
        <v>21</v>
      </c>
      <c r="H2534" s="209" t="s">
        <v>192</v>
      </c>
      <c r="I2534" s="210"/>
    </row>
    <row r="2535" spans="1:9" x14ac:dyDescent="0.25">
      <c r="A2535" s="74"/>
      <c r="B2535" s="45">
        <v>408</v>
      </c>
      <c r="C2535" s="64" t="s">
        <v>820</v>
      </c>
      <c r="D2535" s="74"/>
      <c r="E2535" s="208" t="s">
        <v>161</v>
      </c>
      <c r="F2535" s="209" t="s">
        <v>21</v>
      </c>
      <c r="G2535" s="209" t="s">
        <v>21</v>
      </c>
      <c r="H2535" s="209" t="s">
        <v>192</v>
      </c>
      <c r="I2535" s="210"/>
    </row>
    <row r="2536" spans="1:9" x14ac:dyDescent="0.25">
      <c r="A2536" s="74"/>
      <c r="B2536" s="45">
        <v>409</v>
      </c>
      <c r="C2536" s="64" t="s">
        <v>821</v>
      </c>
      <c r="D2536" s="74"/>
      <c r="E2536" s="208" t="s">
        <v>161</v>
      </c>
      <c r="F2536" s="209" t="s">
        <v>21</v>
      </c>
      <c r="G2536" s="209" t="s">
        <v>21</v>
      </c>
      <c r="H2536" s="209" t="s">
        <v>192</v>
      </c>
      <c r="I2536" s="210"/>
    </row>
    <row r="2537" spans="1:9" x14ac:dyDescent="0.25">
      <c r="A2537" s="74"/>
      <c r="B2537" s="45">
        <v>337</v>
      </c>
      <c r="C2537" s="64" t="s">
        <v>749</v>
      </c>
      <c r="D2537" s="74"/>
      <c r="E2537" s="208" t="s">
        <v>161</v>
      </c>
      <c r="F2537" s="209" t="s">
        <v>21</v>
      </c>
      <c r="G2537" s="209" t="s">
        <v>21</v>
      </c>
      <c r="H2537" s="209" t="s">
        <v>192</v>
      </c>
      <c r="I2537" s="210"/>
    </row>
    <row r="2538" spans="1:9" x14ac:dyDescent="0.25">
      <c r="A2538" s="74"/>
      <c r="B2538" s="45">
        <v>318</v>
      </c>
      <c r="C2538" s="64" t="s">
        <v>730</v>
      </c>
      <c r="D2538" s="74"/>
      <c r="E2538" s="208" t="s">
        <v>161</v>
      </c>
      <c r="F2538" s="209" t="s">
        <v>21</v>
      </c>
      <c r="G2538" s="209" t="s">
        <v>21</v>
      </c>
      <c r="H2538" s="209" t="s">
        <v>192</v>
      </c>
      <c r="I2538" s="210"/>
    </row>
    <row r="2539" spans="1:9" x14ac:dyDescent="0.25">
      <c r="A2539" s="74"/>
      <c r="B2539" s="45">
        <v>408</v>
      </c>
      <c r="C2539" s="64" t="s">
        <v>820</v>
      </c>
      <c r="D2539" s="74"/>
      <c r="E2539" s="208" t="s">
        <v>161</v>
      </c>
      <c r="F2539" s="209" t="s">
        <v>21</v>
      </c>
      <c r="G2539" s="209" t="s">
        <v>21</v>
      </c>
      <c r="H2539" s="209" t="s">
        <v>192</v>
      </c>
      <c r="I2539" s="210"/>
    </row>
    <row r="2540" spans="1:9" x14ac:dyDescent="0.25">
      <c r="A2540" s="74"/>
      <c r="B2540" s="45">
        <v>409</v>
      </c>
      <c r="C2540" s="64" t="s">
        <v>821</v>
      </c>
      <c r="D2540" s="74"/>
      <c r="E2540" s="208" t="s">
        <v>161</v>
      </c>
      <c r="F2540" s="209" t="s">
        <v>21</v>
      </c>
      <c r="G2540" s="209" t="s">
        <v>21</v>
      </c>
      <c r="H2540" s="209" t="s">
        <v>192</v>
      </c>
      <c r="I2540" s="210"/>
    </row>
    <row r="2541" spans="1:9" x14ac:dyDescent="0.25">
      <c r="A2541" s="74"/>
      <c r="B2541" s="45">
        <v>337</v>
      </c>
      <c r="C2541" s="64" t="s">
        <v>749</v>
      </c>
      <c r="D2541" s="74"/>
      <c r="E2541" s="208" t="s">
        <v>161</v>
      </c>
      <c r="F2541" s="209" t="s">
        <v>21</v>
      </c>
      <c r="G2541" s="209" t="s">
        <v>21</v>
      </c>
      <c r="H2541" s="209" t="s">
        <v>192</v>
      </c>
      <c r="I2541" s="210"/>
    </row>
    <row r="2542" spans="1:9" x14ac:dyDescent="0.25">
      <c r="A2542" s="74"/>
      <c r="B2542" s="45">
        <v>1376</v>
      </c>
      <c r="C2542" s="64" t="s">
        <v>1763</v>
      </c>
      <c r="D2542" s="74"/>
      <c r="E2542" s="208" t="s">
        <v>161</v>
      </c>
      <c r="F2542" s="209" t="s">
        <v>21</v>
      </c>
      <c r="G2542" s="209" t="s">
        <v>21</v>
      </c>
      <c r="H2542" s="209" t="s">
        <v>16</v>
      </c>
      <c r="I2542" s="210"/>
    </row>
    <row r="2543" spans="1:9" x14ac:dyDescent="0.25">
      <c r="A2543" s="74"/>
      <c r="B2543" s="45">
        <v>303</v>
      </c>
      <c r="C2543" s="64" t="s">
        <v>715</v>
      </c>
      <c r="D2543" s="74"/>
      <c r="E2543" s="208" t="s">
        <v>161</v>
      </c>
      <c r="F2543" s="209" t="s">
        <v>21</v>
      </c>
      <c r="G2543" s="209" t="s">
        <v>21</v>
      </c>
      <c r="H2543" s="209" t="s">
        <v>192</v>
      </c>
      <c r="I2543" s="210"/>
    </row>
    <row r="2544" spans="1:9" x14ac:dyDescent="0.25">
      <c r="A2544" s="74"/>
      <c r="B2544" s="45">
        <v>1377</v>
      </c>
      <c r="C2544" s="64" t="s">
        <v>1569</v>
      </c>
      <c r="D2544" s="74"/>
      <c r="E2544" s="208" t="s">
        <v>281</v>
      </c>
      <c r="F2544" s="209" t="s">
        <v>21</v>
      </c>
      <c r="G2544" s="209" t="s">
        <v>21</v>
      </c>
      <c r="H2544" s="209" t="s">
        <v>16</v>
      </c>
      <c r="I2544" s="210"/>
    </row>
    <row r="2545" spans="1:9" x14ac:dyDescent="0.25">
      <c r="A2545" s="74"/>
      <c r="B2545" s="45">
        <v>1378</v>
      </c>
      <c r="C2545" s="64" t="s">
        <v>1665</v>
      </c>
      <c r="D2545" s="74"/>
      <c r="E2545" s="208" t="s">
        <v>161</v>
      </c>
      <c r="F2545" s="209" t="s">
        <v>21</v>
      </c>
      <c r="G2545" s="209" t="s">
        <v>21</v>
      </c>
      <c r="H2545" s="209" t="s">
        <v>194</v>
      </c>
      <c r="I2545" s="210"/>
    </row>
    <row r="2546" spans="1:9" x14ac:dyDescent="0.25">
      <c r="A2546" s="74"/>
      <c r="B2546" s="45">
        <v>1379</v>
      </c>
      <c r="C2546" s="64" t="s">
        <v>1540</v>
      </c>
      <c r="D2546" s="74"/>
      <c r="E2546" s="208" t="s">
        <v>161</v>
      </c>
      <c r="F2546" s="209" t="s">
        <v>21</v>
      </c>
      <c r="G2546" s="209" t="s">
        <v>21</v>
      </c>
      <c r="H2546" s="209" t="s">
        <v>272</v>
      </c>
      <c r="I2546" s="210"/>
    </row>
    <row r="2547" spans="1:9" x14ac:dyDescent="0.25">
      <c r="A2547" s="74"/>
      <c r="B2547" s="45">
        <v>1380</v>
      </c>
      <c r="C2547" s="64" t="s">
        <v>1764</v>
      </c>
      <c r="D2547" s="74"/>
      <c r="E2547" s="208" t="s">
        <v>161</v>
      </c>
      <c r="F2547" s="209" t="s">
        <v>21</v>
      </c>
      <c r="G2547" s="209" t="s">
        <v>21</v>
      </c>
      <c r="H2547" s="209" t="s">
        <v>272</v>
      </c>
      <c r="I2547" s="210"/>
    </row>
    <row r="2548" spans="1:9" x14ac:dyDescent="0.25">
      <c r="A2548" s="74"/>
      <c r="B2548" s="45">
        <v>1381</v>
      </c>
      <c r="C2548" s="64" t="s">
        <v>1765</v>
      </c>
      <c r="D2548" s="74"/>
      <c r="E2548" s="208" t="s">
        <v>161</v>
      </c>
      <c r="F2548" s="209" t="s">
        <v>21</v>
      </c>
      <c r="G2548" s="209" t="s">
        <v>21</v>
      </c>
      <c r="H2548" s="209" t="s">
        <v>272</v>
      </c>
      <c r="I2548" s="210"/>
    </row>
    <row r="2549" spans="1:9" x14ac:dyDescent="0.25">
      <c r="A2549" s="74"/>
      <c r="B2549" s="45">
        <v>1382</v>
      </c>
      <c r="C2549" s="64" t="s">
        <v>1692</v>
      </c>
      <c r="D2549" s="74"/>
      <c r="E2549" s="208" t="s">
        <v>161</v>
      </c>
      <c r="F2549" s="209" t="s">
        <v>21</v>
      </c>
      <c r="G2549" s="209" t="s">
        <v>21</v>
      </c>
      <c r="H2549" s="209" t="s">
        <v>272</v>
      </c>
      <c r="I2549" s="210"/>
    </row>
    <row r="2550" spans="1:9" x14ac:dyDescent="0.25">
      <c r="A2550" s="74"/>
      <c r="B2550" s="45">
        <v>1383</v>
      </c>
      <c r="C2550" s="64" t="s">
        <v>1766</v>
      </c>
      <c r="D2550" s="74"/>
      <c r="E2550" s="208" t="s">
        <v>161</v>
      </c>
      <c r="F2550" s="209" t="s">
        <v>21</v>
      </c>
      <c r="G2550" s="209" t="s">
        <v>21</v>
      </c>
      <c r="H2550" s="209" t="s">
        <v>272</v>
      </c>
      <c r="I2550" s="210"/>
    </row>
    <row r="2551" spans="1:9" x14ac:dyDescent="0.25">
      <c r="A2551" s="74"/>
      <c r="B2551" s="45">
        <v>1384</v>
      </c>
      <c r="C2551" s="64" t="s">
        <v>1767</v>
      </c>
      <c r="D2551" s="74"/>
      <c r="E2551" s="208" t="s">
        <v>161</v>
      </c>
      <c r="F2551" s="209" t="s">
        <v>21</v>
      </c>
      <c r="G2551" s="209" t="s">
        <v>21</v>
      </c>
      <c r="H2551" s="209" t="s">
        <v>272</v>
      </c>
      <c r="I2551" s="210"/>
    </row>
    <row r="2552" spans="1:9" x14ac:dyDescent="0.25">
      <c r="A2552" s="74"/>
      <c r="B2552" s="45">
        <v>302</v>
      </c>
      <c r="C2552" s="64" t="s">
        <v>714</v>
      </c>
      <c r="D2552" s="74"/>
      <c r="E2552" s="208" t="s">
        <v>161</v>
      </c>
      <c r="F2552" s="209" t="s">
        <v>21</v>
      </c>
      <c r="G2552" s="209" t="s">
        <v>21</v>
      </c>
      <c r="H2552" s="209" t="s">
        <v>272</v>
      </c>
      <c r="I2552" s="210"/>
    </row>
    <row r="2553" spans="1:9" x14ac:dyDescent="0.25">
      <c r="A2553" s="74"/>
      <c r="B2553" s="45">
        <v>1379</v>
      </c>
      <c r="C2553" s="64" t="s">
        <v>1540</v>
      </c>
      <c r="D2553" s="74"/>
      <c r="E2553" s="208" t="s">
        <v>161</v>
      </c>
      <c r="F2553" s="209" t="s">
        <v>21</v>
      </c>
      <c r="G2553" s="209" t="s">
        <v>21</v>
      </c>
      <c r="H2553" s="209" t="s">
        <v>272</v>
      </c>
      <c r="I2553" s="210"/>
    </row>
    <row r="2554" spans="1:9" x14ac:dyDescent="0.25">
      <c r="A2554" s="74"/>
      <c r="B2554" s="45">
        <v>1380</v>
      </c>
      <c r="C2554" s="64" t="s">
        <v>1764</v>
      </c>
      <c r="D2554" s="74"/>
      <c r="E2554" s="208" t="s">
        <v>161</v>
      </c>
      <c r="F2554" s="209" t="s">
        <v>21</v>
      </c>
      <c r="G2554" s="209" t="s">
        <v>21</v>
      </c>
      <c r="H2554" s="209" t="s">
        <v>272</v>
      </c>
      <c r="I2554" s="210"/>
    </row>
    <row r="2555" spans="1:9" x14ac:dyDescent="0.25">
      <c r="A2555" s="74"/>
      <c r="B2555" s="45">
        <v>1381</v>
      </c>
      <c r="C2555" s="64" t="s">
        <v>1765</v>
      </c>
      <c r="D2555" s="74"/>
      <c r="E2555" s="208" t="s">
        <v>161</v>
      </c>
      <c r="F2555" s="209" t="s">
        <v>21</v>
      </c>
      <c r="G2555" s="209" t="s">
        <v>21</v>
      </c>
      <c r="H2555" s="209" t="s">
        <v>272</v>
      </c>
      <c r="I2555" s="210"/>
    </row>
    <row r="2556" spans="1:9" x14ac:dyDescent="0.25">
      <c r="A2556" s="74"/>
      <c r="B2556" s="45">
        <v>1382</v>
      </c>
      <c r="C2556" s="64" t="s">
        <v>1692</v>
      </c>
      <c r="D2556" s="74"/>
      <c r="E2556" s="208" t="s">
        <v>161</v>
      </c>
      <c r="F2556" s="209" t="s">
        <v>21</v>
      </c>
      <c r="G2556" s="209" t="s">
        <v>21</v>
      </c>
      <c r="H2556" s="209" t="s">
        <v>272</v>
      </c>
      <c r="I2556" s="210"/>
    </row>
    <row r="2557" spans="1:9" x14ac:dyDescent="0.25">
      <c r="A2557" s="74"/>
      <c r="B2557" s="45">
        <v>1383</v>
      </c>
      <c r="C2557" s="64" t="s">
        <v>1766</v>
      </c>
      <c r="D2557" s="74"/>
      <c r="E2557" s="208" t="s">
        <v>161</v>
      </c>
      <c r="F2557" s="209" t="s">
        <v>21</v>
      </c>
      <c r="G2557" s="209" t="s">
        <v>21</v>
      </c>
      <c r="H2557" s="209" t="s">
        <v>272</v>
      </c>
      <c r="I2557" s="210"/>
    </row>
    <row r="2558" spans="1:9" x14ac:dyDescent="0.25">
      <c r="A2558" s="74"/>
      <c r="B2558" s="45">
        <v>1384</v>
      </c>
      <c r="C2558" s="64" t="s">
        <v>1767</v>
      </c>
      <c r="D2558" s="74"/>
      <c r="E2558" s="208" t="s">
        <v>161</v>
      </c>
      <c r="F2558" s="209" t="s">
        <v>21</v>
      </c>
      <c r="G2558" s="209" t="s">
        <v>21</v>
      </c>
      <c r="H2558" s="209" t="s">
        <v>272</v>
      </c>
      <c r="I2558" s="210"/>
    </row>
    <row r="2559" spans="1:9" x14ac:dyDescent="0.25">
      <c r="A2559" s="74"/>
      <c r="B2559" s="45">
        <v>302</v>
      </c>
      <c r="C2559" s="64" t="s">
        <v>714</v>
      </c>
      <c r="D2559" s="74"/>
      <c r="E2559" s="208" t="s">
        <v>161</v>
      </c>
      <c r="F2559" s="209" t="s">
        <v>21</v>
      </c>
      <c r="G2559" s="209" t="s">
        <v>21</v>
      </c>
      <c r="H2559" s="209" t="s">
        <v>272</v>
      </c>
      <c r="I2559" s="210"/>
    </row>
    <row r="2560" spans="1:9" x14ac:dyDescent="0.25">
      <c r="A2560" s="74"/>
      <c r="B2560" s="45">
        <v>1379</v>
      </c>
      <c r="C2560" s="64" t="s">
        <v>1540</v>
      </c>
      <c r="D2560" s="74"/>
      <c r="E2560" s="208" t="s">
        <v>161</v>
      </c>
      <c r="F2560" s="209" t="s">
        <v>21</v>
      </c>
      <c r="G2560" s="209" t="s">
        <v>21</v>
      </c>
      <c r="H2560" s="209" t="s">
        <v>272</v>
      </c>
      <c r="I2560" s="210"/>
    </row>
    <row r="2561" spans="1:9" x14ac:dyDescent="0.25">
      <c r="A2561" s="74"/>
      <c r="B2561" s="45">
        <v>1380</v>
      </c>
      <c r="C2561" s="64" t="s">
        <v>1764</v>
      </c>
      <c r="D2561" s="74"/>
      <c r="E2561" s="208" t="s">
        <v>161</v>
      </c>
      <c r="F2561" s="209" t="s">
        <v>21</v>
      </c>
      <c r="G2561" s="209" t="s">
        <v>21</v>
      </c>
      <c r="H2561" s="209" t="s">
        <v>272</v>
      </c>
      <c r="I2561" s="210"/>
    </row>
    <row r="2562" spans="1:9" x14ac:dyDescent="0.25">
      <c r="A2562" s="74"/>
      <c r="B2562" s="45">
        <v>1381</v>
      </c>
      <c r="C2562" s="64" t="s">
        <v>1765</v>
      </c>
      <c r="D2562" s="74"/>
      <c r="E2562" s="208" t="s">
        <v>161</v>
      </c>
      <c r="F2562" s="209" t="s">
        <v>21</v>
      </c>
      <c r="G2562" s="209" t="s">
        <v>21</v>
      </c>
      <c r="H2562" s="209" t="s">
        <v>272</v>
      </c>
      <c r="I2562" s="210"/>
    </row>
    <row r="2563" spans="1:9" x14ac:dyDescent="0.25">
      <c r="A2563" s="74"/>
      <c r="B2563" s="45">
        <v>1382</v>
      </c>
      <c r="C2563" s="64" t="s">
        <v>1692</v>
      </c>
      <c r="D2563" s="74"/>
      <c r="E2563" s="208" t="s">
        <v>161</v>
      </c>
      <c r="F2563" s="209" t="s">
        <v>21</v>
      </c>
      <c r="G2563" s="209" t="s">
        <v>21</v>
      </c>
      <c r="H2563" s="209" t="s">
        <v>272</v>
      </c>
      <c r="I2563" s="210"/>
    </row>
    <row r="2564" spans="1:9" x14ac:dyDescent="0.25">
      <c r="A2564" s="74"/>
      <c r="B2564" s="45">
        <v>1383</v>
      </c>
      <c r="C2564" s="64" t="s">
        <v>1766</v>
      </c>
      <c r="D2564" s="74"/>
      <c r="E2564" s="208" t="s">
        <v>161</v>
      </c>
      <c r="F2564" s="209" t="s">
        <v>21</v>
      </c>
      <c r="G2564" s="209" t="s">
        <v>21</v>
      </c>
      <c r="H2564" s="209" t="s">
        <v>272</v>
      </c>
      <c r="I2564" s="210"/>
    </row>
    <row r="2565" spans="1:9" x14ac:dyDescent="0.25">
      <c r="A2565" s="74"/>
      <c r="B2565" s="45">
        <v>1384</v>
      </c>
      <c r="C2565" s="64" t="s">
        <v>1767</v>
      </c>
      <c r="D2565" s="74"/>
      <c r="E2565" s="208" t="s">
        <v>161</v>
      </c>
      <c r="F2565" s="209" t="s">
        <v>21</v>
      </c>
      <c r="G2565" s="209" t="s">
        <v>21</v>
      </c>
      <c r="H2565" s="209" t="s">
        <v>272</v>
      </c>
      <c r="I2565" s="210"/>
    </row>
    <row r="2566" spans="1:9" x14ac:dyDescent="0.25">
      <c r="A2566" s="74"/>
      <c r="B2566" s="45">
        <v>302</v>
      </c>
      <c r="C2566" s="64" t="s">
        <v>714</v>
      </c>
      <c r="D2566" s="74"/>
      <c r="E2566" s="208" t="s">
        <v>161</v>
      </c>
      <c r="F2566" s="209" t="s">
        <v>21</v>
      </c>
      <c r="G2566" s="209" t="s">
        <v>21</v>
      </c>
      <c r="H2566" s="209" t="s">
        <v>272</v>
      </c>
      <c r="I2566" s="210"/>
    </row>
    <row r="2567" spans="1:9" x14ac:dyDescent="0.25">
      <c r="A2567" s="74"/>
      <c r="B2567" s="45">
        <v>1379</v>
      </c>
      <c r="C2567" s="64" t="s">
        <v>1540</v>
      </c>
      <c r="D2567" s="74"/>
      <c r="E2567" s="208" t="s">
        <v>161</v>
      </c>
      <c r="F2567" s="209" t="s">
        <v>21</v>
      </c>
      <c r="G2567" s="209" t="s">
        <v>21</v>
      </c>
      <c r="H2567" s="209" t="s">
        <v>272</v>
      </c>
      <c r="I2567" s="210"/>
    </row>
    <row r="2568" spans="1:9" x14ac:dyDescent="0.25">
      <c r="A2568" s="74"/>
      <c r="B2568" s="45">
        <v>1380</v>
      </c>
      <c r="C2568" s="64" t="s">
        <v>1764</v>
      </c>
      <c r="D2568" s="74"/>
      <c r="E2568" s="208" t="s">
        <v>161</v>
      </c>
      <c r="F2568" s="209" t="s">
        <v>21</v>
      </c>
      <c r="G2568" s="209" t="s">
        <v>21</v>
      </c>
      <c r="H2568" s="209" t="s">
        <v>272</v>
      </c>
      <c r="I2568" s="210"/>
    </row>
    <row r="2569" spans="1:9" x14ac:dyDescent="0.25">
      <c r="A2569" s="74"/>
      <c r="B2569" s="45">
        <v>1381</v>
      </c>
      <c r="C2569" s="64" t="s">
        <v>1765</v>
      </c>
      <c r="D2569" s="74"/>
      <c r="E2569" s="208" t="s">
        <v>161</v>
      </c>
      <c r="F2569" s="209" t="s">
        <v>21</v>
      </c>
      <c r="G2569" s="209" t="s">
        <v>21</v>
      </c>
      <c r="H2569" s="209" t="s">
        <v>272</v>
      </c>
      <c r="I2569" s="210"/>
    </row>
    <row r="2570" spans="1:9" x14ac:dyDescent="0.25">
      <c r="A2570" s="74"/>
      <c r="B2570" s="45">
        <v>1382</v>
      </c>
      <c r="C2570" s="64" t="s">
        <v>1692</v>
      </c>
      <c r="D2570" s="74"/>
      <c r="E2570" s="208" t="s">
        <v>161</v>
      </c>
      <c r="F2570" s="209" t="s">
        <v>21</v>
      </c>
      <c r="G2570" s="209" t="s">
        <v>21</v>
      </c>
      <c r="H2570" s="209" t="s">
        <v>272</v>
      </c>
      <c r="I2570" s="210"/>
    </row>
    <row r="2571" spans="1:9" x14ac:dyDescent="0.25">
      <c r="A2571" s="74"/>
      <c r="B2571" s="45">
        <v>1383</v>
      </c>
      <c r="C2571" s="64" t="s">
        <v>1766</v>
      </c>
      <c r="D2571" s="74"/>
      <c r="E2571" s="208" t="s">
        <v>161</v>
      </c>
      <c r="F2571" s="209" t="s">
        <v>21</v>
      </c>
      <c r="G2571" s="209" t="s">
        <v>21</v>
      </c>
      <c r="H2571" s="209" t="s">
        <v>272</v>
      </c>
      <c r="I2571" s="210"/>
    </row>
    <row r="2572" spans="1:9" x14ac:dyDescent="0.25">
      <c r="A2572" s="74"/>
      <c r="B2572" s="45">
        <v>1384</v>
      </c>
      <c r="C2572" s="64" t="s">
        <v>1767</v>
      </c>
      <c r="D2572" s="74"/>
      <c r="E2572" s="208" t="s">
        <v>161</v>
      </c>
      <c r="F2572" s="209" t="s">
        <v>21</v>
      </c>
      <c r="G2572" s="209" t="s">
        <v>21</v>
      </c>
      <c r="H2572" s="209" t="s">
        <v>272</v>
      </c>
      <c r="I2572" s="210"/>
    </row>
    <row r="2573" spans="1:9" x14ac:dyDescent="0.25">
      <c r="A2573" s="74"/>
      <c r="B2573" s="45">
        <v>302</v>
      </c>
      <c r="C2573" s="64" t="s">
        <v>714</v>
      </c>
      <c r="D2573" s="74"/>
      <c r="E2573" s="208" t="s">
        <v>161</v>
      </c>
      <c r="F2573" s="209" t="s">
        <v>21</v>
      </c>
      <c r="G2573" s="209" t="s">
        <v>21</v>
      </c>
      <c r="H2573" s="209" t="s">
        <v>272</v>
      </c>
      <c r="I2573" s="210"/>
    </row>
    <row r="2574" spans="1:9" x14ac:dyDescent="0.25">
      <c r="A2574" s="74"/>
      <c r="B2574" s="45">
        <v>1385</v>
      </c>
      <c r="C2574" s="64" t="s">
        <v>1768</v>
      </c>
      <c r="D2574" s="74"/>
      <c r="E2574" s="208" t="s">
        <v>161</v>
      </c>
      <c r="F2574" s="209" t="s">
        <v>21</v>
      </c>
      <c r="G2574" s="209" t="s">
        <v>21</v>
      </c>
      <c r="H2574" s="209" t="s">
        <v>272</v>
      </c>
      <c r="I2574" s="210"/>
    </row>
    <row r="2575" spans="1:9" x14ac:dyDescent="0.25">
      <c r="A2575" s="74"/>
      <c r="B2575" s="45">
        <v>1386</v>
      </c>
      <c r="C2575" s="64" t="s">
        <v>1769</v>
      </c>
      <c r="D2575" s="74"/>
      <c r="E2575" s="208" t="s">
        <v>161</v>
      </c>
      <c r="F2575" s="209" t="s">
        <v>21</v>
      </c>
      <c r="G2575" s="209" t="s">
        <v>21</v>
      </c>
      <c r="H2575" s="209" t="s">
        <v>272</v>
      </c>
      <c r="I2575" s="210"/>
    </row>
    <row r="2576" spans="1:9" x14ac:dyDescent="0.25">
      <c r="A2576" s="74"/>
      <c r="B2576" s="45">
        <v>309</v>
      </c>
      <c r="C2576" s="64" t="s">
        <v>721</v>
      </c>
      <c r="D2576" s="74"/>
      <c r="E2576" s="208" t="s">
        <v>161</v>
      </c>
      <c r="F2576" s="209" t="s">
        <v>21</v>
      </c>
      <c r="G2576" s="209" t="s">
        <v>21</v>
      </c>
      <c r="H2576" s="209" t="s">
        <v>192</v>
      </c>
      <c r="I2576" s="210"/>
    </row>
    <row r="2577" spans="1:9" x14ac:dyDescent="0.25">
      <c r="A2577" s="74"/>
      <c r="B2577" s="45">
        <v>312</v>
      </c>
      <c r="C2577" s="64" t="s">
        <v>724</v>
      </c>
      <c r="D2577" s="74"/>
      <c r="E2577" s="208" t="s">
        <v>161</v>
      </c>
      <c r="F2577" s="209" t="s">
        <v>21</v>
      </c>
      <c r="G2577" s="209" t="s">
        <v>21</v>
      </c>
      <c r="H2577" s="209" t="s">
        <v>192</v>
      </c>
      <c r="I2577" s="210"/>
    </row>
    <row r="2578" spans="1:9" x14ac:dyDescent="0.25">
      <c r="A2578" s="74"/>
      <c r="B2578" s="45">
        <v>305</v>
      </c>
      <c r="C2578" s="64" t="s">
        <v>717</v>
      </c>
      <c r="D2578" s="74"/>
      <c r="E2578" s="208" t="s">
        <v>161</v>
      </c>
      <c r="F2578" s="209" t="s">
        <v>21</v>
      </c>
      <c r="G2578" s="209" t="s">
        <v>21</v>
      </c>
      <c r="H2578" s="209" t="s">
        <v>192</v>
      </c>
      <c r="I2578" s="210"/>
    </row>
    <row r="2579" spans="1:9" x14ac:dyDescent="0.25">
      <c r="A2579" s="74"/>
      <c r="B2579" s="45">
        <v>306</v>
      </c>
      <c r="C2579" s="64" t="s">
        <v>718</v>
      </c>
      <c r="D2579" s="74"/>
      <c r="E2579" s="208" t="s">
        <v>161</v>
      </c>
      <c r="F2579" s="209" t="s">
        <v>21</v>
      </c>
      <c r="G2579" s="209" t="s">
        <v>21</v>
      </c>
      <c r="H2579" s="209" t="s">
        <v>192</v>
      </c>
      <c r="I2579" s="210"/>
    </row>
    <row r="2580" spans="1:9" x14ac:dyDescent="0.25">
      <c r="A2580" s="74"/>
      <c r="B2580" s="45">
        <v>404</v>
      </c>
      <c r="C2580" s="64" t="s">
        <v>816</v>
      </c>
      <c r="D2580" s="74"/>
      <c r="E2580" s="208" t="s">
        <v>169</v>
      </c>
      <c r="F2580" s="209" t="s">
        <v>21</v>
      </c>
      <c r="G2580" s="209" t="s">
        <v>21</v>
      </c>
      <c r="H2580" s="209" t="s">
        <v>198</v>
      </c>
      <c r="I2580" s="210"/>
    </row>
    <row r="2581" spans="1:9" x14ac:dyDescent="0.25">
      <c r="A2581" s="74"/>
      <c r="B2581" s="45">
        <v>308</v>
      </c>
      <c r="C2581" s="64" t="s">
        <v>720</v>
      </c>
      <c r="D2581" s="74"/>
      <c r="E2581" s="208" t="s">
        <v>161</v>
      </c>
      <c r="F2581" s="209" t="s">
        <v>21</v>
      </c>
      <c r="G2581" s="209" t="s">
        <v>21</v>
      </c>
      <c r="H2581" s="209" t="s">
        <v>192</v>
      </c>
      <c r="I2581" s="210"/>
    </row>
    <row r="2582" spans="1:9" x14ac:dyDescent="0.25">
      <c r="A2582" s="74"/>
      <c r="B2582" s="45">
        <v>1387</v>
      </c>
      <c r="C2582" s="64" t="s">
        <v>1770</v>
      </c>
      <c r="D2582" s="74"/>
      <c r="E2582" s="208" t="s">
        <v>161</v>
      </c>
      <c r="F2582" s="209" t="s">
        <v>21</v>
      </c>
      <c r="G2582" s="209" t="s">
        <v>21</v>
      </c>
      <c r="H2582" s="209" t="s">
        <v>272</v>
      </c>
      <c r="I2582" s="210"/>
    </row>
    <row r="2583" spans="1:9" x14ac:dyDescent="0.25">
      <c r="A2583" s="74"/>
      <c r="B2583" s="45">
        <v>1388</v>
      </c>
      <c r="C2583" s="64" t="s">
        <v>1771</v>
      </c>
      <c r="D2583" s="74"/>
      <c r="E2583" s="208" t="s">
        <v>161</v>
      </c>
      <c r="F2583" s="209" t="s">
        <v>21</v>
      </c>
      <c r="G2583" s="209" t="s">
        <v>21</v>
      </c>
      <c r="H2583" s="209" t="s">
        <v>272</v>
      </c>
      <c r="I2583" s="210"/>
    </row>
    <row r="2584" spans="1:9" x14ac:dyDescent="0.25">
      <c r="A2584" s="74"/>
      <c r="B2584" s="45">
        <v>1389</v>
      </c>
      <c r="C2584" s="64" t="s">
        <v>1772</v>
      </c>
      <c r="D2584" s="74"/>
      <c r="E2584" s="208" t="s">
        <v>161</v>
      </c>
      <c r="F2584" s="209" t="s">
        <v>21</v>
      </c>
      <c r="G2584" s="209" t="s">
        <v>21</v>
      </c>
      <c r="H2584" s="209" t="s">
        <v>272</v>
      </c>
      <c r="I2584" s="210"/>
    </row>
    <row r="2585" spans="1:9" x14ac:dyDescent="0.25">
      <c r="A2585" s="74"/>
      <c r="B2585" s="45">
        <v>1390</v>
      </c>
      <c r="C2585" s="64" t="s">
        <v>1773</v>
      </c>
      <c r="D2585" s="74"/>
      <c r="E2585" s="208" t="s">
        <v>161</v>
      </c>
      <c r="F2585" s="209" t="s">
        <v>21</v>
      </c>
      <c r="G2585" s="209" t="s">
        <v>21</v>
      </c>
      <c r="H2585" s="209" t="s">
        <v>272</v>
      </c>
      <c r="I2585" s="210"/>
    </row>
    <row r="2586" spans="1:9" x14ac:dyDescent="0.25">
      <c r="A2586" s="74"/>
      <c r="B2586" s="45">
        <v>1387</v>
      </c>
      <c r="C2586" s="64" t="s">
        <v>1770</v>
      </c>
      <c r="D2586" s="74"/>
      <c r="E2586" s="208" t="s">
        <v>161</v>
      </c>
      <c r="F2586" s="209" t="s">
        <v>21</v>
      </c>
      <c r="G2586" s="209" t="s">
        <v>21</v>
      </c>
      <c r="H2586" s="209" t="s">
        <v>272</v>
      </c>
      <c r="I2586" s="210"/>
    </row>
    <row r="2587" spans="1:9" x14ac:dyDescent="0.25">
      <c r="A2587" s="74"/>
      <c r="B2587" s="45">
        <v>1388</v>
      </c>
      <c r="C2587" s="64" t="s">
        <v>1771</v>
      </c>
      <c r="D2587" s="74"/>
      <c r="E2587" s="208" t="s">
        <v>161</v>
      </c>
      <c r="F2587" s="209" t="s">
        <v>21</v>
      </c>
      <c r="G2587" s="209" t="s">
        <v>21</v>
      </c>
      <c r="H2587" s="209" t="s">
        <v>272</v>
      </c>
      <c r="I2587" s="210"/>
    </row>
    <row r="2588" spans="1:9" x14ac:dyDescent="0.25">
      <c r="A2588" s="74"/>
      <c r="B2588" s="45">
        <v>1389</v>
      </c>
      <c r="C2588" s="64" t="s">
        <v>1772</v>
      </c>
      <c r="D2588" s="74"/>
      <c r="E2588" s="208" t="s">
        <v>161</v>
      </c>
      <c r="F2588" s="209" t="s">
        <v>21</v>
      </c>
      <c r="G2588" s="209" t="s">
        <v>21</v>
      </c>
      <c r="H2588" s="209" t="s">
        <v>272</v>
      </c>
      <c r="I2588" s="210"/>
    </row>
    <row r="2589" spans="1:9" x14ac:dyDescent="0.25">
      <c r="A2589" s="74"/>
      <c r="B2589" s="45">
        <v>1390</v>
      </c>
      <c r="C2589" s="64" t="s">
        <v>1773</v>
      </c>
      <c r="D2589" s="74"/>
      <c r="E2589" s="208" t="s">
        <v>161</v>
      </c>
      <c r="F2589" s="209" t="s">
        <v>21</v>
      </c>
      <c r="G2589" s="209" t="s">
        <v>21</v>
      </c>
      <c r="H2589" s="209" t="s">
        <v>272</v>
      </c>
      <c r="I2589" s="210"/>
    </row>
    <row r="2590" spans="1:9" x14ac:dyDescent="0.25">
      <c r="A2590" s="74"/>
      <c r="B2590" s="45">
        <v>1387</v>
      </c>
      <c r="C2590" s="64" t="s">
        <v>1770</v>
      </c>
      <c r="D2590" s="74"/>
      <c r="E2590" s="208" t="s">
        <v>161</v>
      </c>
      <c r="F2590" s="209" t="s">
        <v>21</v>
      </c>
      <c r="G2590" s="209" t="s">
        <v>21</v>
      </c>
      <c r="H2590" s="209" t="s">
        <v>272</v>
      </c>
      <c r="I2590" s="210"/>
    </row>
    <row r="2591" spans="1:9" x14ac:dyDescent="0.25">
      <c r="A2591" s="74"/>
      <c r="B2591" s="45">
        <v>1388</v>
      </c>
      <c r="C2591" s="64" t="s">
        <v>1771</v>
      </c>
      <c r="D2591" s="74"/>
      <c r="E2591" s="208" t="s">
        <v>161</v>
      </c>
      <c r="F2591" s="209" t="s">
        <v>21</v>
      </c>
      <c r="G2591" s="209" t="s">
        <v>21</v>
      </c>
      <c r="H2591" s="209" t="s">
        <v>272</v>
      </c>
      <c r="I2591" s="210"/>
    </row>
    <row r="2592" spans="1:9" x14ac:dyDescent="0.25">
      <c r="A2592" s="74"/>
      <c r="B2592" s="45">
        <v>1389</v>
      </c>
      <c r="C2592" s="64" t="s">
        <v>1772</v>
      </c>
      <c r="D2592" s="74"/>
      <c r="E2592" s="208" t="s">
        <v>161</v>
      </c>
      <c r="F2592" s="209" t="s">
        <v>21</v>
      </c>
      <c r="G2592" s="209" t="s">
        <v>21</v>
      </c>
      <c r="H2592" s="209" t="s">
        <v>272</v>
      </c>
      <c r="I2592" s="210"/>
    </row>
    <row r="2593" spans="1:9" x14ac:dyDescent="0.25">
      <c r="A2593" s="74"/>
      <c r="B2593" s="45">
        <v>1390</v>
      </c>
      <c r="C2593" s="64" t="s">
        <v>1773</v>
      </c>
      <c r="D2593" s="74"/>
      <c r="E2593" s="208" t="s">
        <v>161</v>
      </c>
      <c r="F2593" s="209" t="s">
        <v>21</v>
      </c>
      <c r="G2593" s="209" t="s">
        <v>21</v>
      </c>
      <c r="H2593" s="209" t="s">
        <v>272</v>
      </c>
      <c r="I2593" s="210"/>
    </row>
    <row r="2594" spans="1:9" x14ac:dyDescent="0.25">
      <c r="A2594" s="74"/>
      <c r="B2594" s="45">
        <v>1387</v>
      </c>
      <c r="C2594" s="64" t="s">
        <v>1770</v>
      </c>
      <c r="D2594" s="74"/>
      <c r="E2594" s="208" t="s">
        <v>161</v>
      </c>
      <c r="F2594" s="209" t="s">
        <v>21</v>
      </c>
      <c r="G2594" s="209" t="s">
        <v>21</v>
      </c>
      <c r="H2594" s="209" t="s">
        <v>272</v>
      </c>
      <c r="I2594" s="210"/>
    </row>
    <row r="2595" spans="1:9" x14ac:dyDescent="0.25">
      <c r="A2595" s="74"/>
      <c r="B2595" s="45">
        <v>1388</v>
      </c>
      <c r="C2595" s="64" t="s">
        <v>1771</v>
      </c>
      <c r="D2595" s="74"/>
      <c r="E2595" s="208" t="s">
        <v>161</v>
      </c>
      <c r="F2595" s="209" t="s">
        <v>21</v>
      </c>
      <c r="G2595" s="209" t="s">
        <v>21</v>
      </c>
      <c r="H2595" s="209" t="s">
        <v>272</v>
      </c>
      <c r="I2595" s="210"/>
    </row>
    <row r="2596" spans="1:9" x14ac:dyDescent="0.25">
      <c r="A2596" s="74"/>
      <c r="B2596" s="45">
        <v>1389</v>
      </c>
      <c r="C2596" s="64" t="s">
        <v>1772</v>
      </c>
      <c r="D2596" s="74"/>
      <c r="E2596" s="208" t="s">
        <v>161</v>
      </c>
      <c r="F2596" s="209" t="s">
        <v>21</v>
      </c>
      <c r="G2596" s="209" t="s">
        <v>21</v>
      </c>
      <c r="H2596" s="209" t="s">
        <v>272</v>
      </c>
      <c r="I2596" s="210"/>
    </row>
    <row r="2597" spans="1:9" x14ac:dyDescent="0.25">
      <c r="A2597" s="74"/>
      <c r="B2597" s="45">
        <v>1390</v>
      </c>
      <c r="C2597" s="64" t="s">
        <v>1773</v>
      </c>
      <c r="D2597" s="74"/>
      <c r="E2597" s="208" t="s">
        <v>161</v>
      </c>
      <c r="F2597" s="209" t="s">
        <v>21</v>
      </c>
      <c r="G2597" s="209" t="s">
        <v>21</v>
      </c>
      <c r="H2597" s="209" t="s">
        <v>272</v>
      </c>
      <c r="I2597" s="210"/>
    </row>
    <row r="2598" spans="1:9" x14ac:dyDescent="0.25">
      <c r="A2598" s="74"/>
      <c r="B2598" s="45">
        <v>1391</v>
      </c>
      <c r="C2598" s="64" t="s">
        <v>1774</v>
      </c>
      <c r="D2598" s="74"/>
      <c r="E2598" s="208" t="s">
        <v>161</v>
      </c>
      <c r="F2598" s="209" t="s">
        <v>21</v>
      </c>
      <c r="G2598" s="209" t="s">
        <v>21</v>
      </c>
      <c r="H2598" s="209" t="s">
        <v>272</v>
      </c>
      <c r="I2598" s="210"/>
    </row>
    <row r="2599" spans="1:9" x14ac:dyDescent="0.25">
      <c r="A2599" s="74"/>
      <c r="B2599" s="45">
        <v>1392</v>
      </c>
      <c r="C2599" s="64" t="s">
        <v>1775</v>
      </c>
      <c r="D2599" s="74"/>
      <c r="E2599" s="208" t="s">
        <v>161</v>
      </c>
      <c r="F2599" s="209" t="s">
        <v>21</v>
      </c>
      <c r="G2599" s="209" t="s">
        <v>21</v>
      </c>
      <c r="H2599" s="209" t="s">
        <v>272</v>
      </c>
      <c r="I2599" s="210"/>
    </row>
    <row r="2600" spans="1:9" x14ac:dyDescent="0.25">
      <c r="A2600" s="74"/>
      <c r="B2600" s="45">
        <v>371</v>
      </c>
      <c r="C2600" s="64" t="s">
        <v>783</v>
      </c>
      <c r="D2600" s="74"/>
      <c r="E2600" s="208" t="s">
        <v>170</v>
      </c>
      <c r="F2600" s="209" t="s">
        <v>21</v>
      </c>
      <c r="G2600" s="209" t="s">
        <v>21</v>
      </c>
      <c r="H2600" s="209" t="s">
        <v>187</v>
      </c>
      <c r="I2600" s="210"/>
    </row>
    <row r="2601" spans="1:9" x14ac:dyDescent="0.25">
      <c r="A2601" s="74"/>
      <c r="B2601" s="45">
        <v>1393</v>
      </c>
      <c r="C2601" s="64" t="s">
        <v>1776</v>
      </c>
      <c r="D2601" s="74"/>
      <c r="E2601" s="208" t="s">
        <v>170</v>
      </c>
      <c r="F2601" s="209" t="s">
        <v>21</v>
      </c>
      <c r="G2601" s="209" t="s">
        <v>21</v>
      </c>
      <c r="H2601" s="209" t="s">
        <v>189</v>
      </c>
      <c r="I2601" s="210"/>
    </row>
    <row r="2602" spans="1:9" x14ac:dyDescent="0.25">
      <c r="A2602" s="74"/>
      <c r="B2602" s="45">
        <v>1394</v>
      </c>
      <c r="C2602" s="64" t="s">
        <v>1777</v>
      </c>
      <c r="D2602" s="74"/>
      <c r="E2602" s="208" t="s">
        <v>161</v>
      </c>
      <c r="F2602" s="209" t="s">
        <v>21</v>
      </c>
      <c r="G2602" s="209" t="s">
        <v>21</v>
      </c>
      <c r="H2602" s="209" t="s">
        <v>272</v>
      </c>
      <c r="I2602" s="210"/>
    </row>
    <row r="2603" spans="1:9" x14ac:dyDescent="0.25">
      <c r="A2603" s="74"/>
      <c r="B2603" s="45">
        <v>1299</v>
      </c>
      <c r="C2603" s="64" t="s">
        <v>1698</v>
      </c>
      <c r="D2603" s="74"/>
      <c r="E2603" s="208" t="s">
        <v>161</v>
      </c>
      <c r="F2603" s="209" t="s">
        <v>21</v>
      </c>
      <c r="G2603" s="209" t="s">
        <v>21</v>
      </c>
      <c r="H2603" s="209" t="s">
        <v>189</v>
      </c>
      <c r="I2603" s="210"/>
    </row>
    <row r="2604" spans="1:9" x14ac:dyDescent="0.25">
      <c r="A2604" s="74"/>
      <c r="B2604" s="45">
        <v>314</v>
      </c>
      <c r="C2604" s="64" t="s">
        <v>726</v>
      </c>
      <c r="D2604" s="74"/>
      <c r="E2604" s="208" t="s">
        <v>161</v>
      </c>
      <c r="F2604" s="209" t="s">
        <v>21</v>
      </c>
      <c r="G2604" s="209" t="s">
        <v>21</v>
      </c>
      <c r="H2604" s="209" t="s">
        <v>192</v>
      </c>
      <c r="I2604" s="210"/>
    </row>
    <row r="2605" spans="1:9" x14ac:dyDescent="0.25">
      <c r="A2605" s="74"/>
      <c r="B2605" s="45">
        <v>1395</v>
      </c>
      <c r="C2605" s="64" t="s">
        <v>1778</v>
      </c>
      <c r="D2605" s="74"/>
      <c r="E2605" s="208" t="s">
        <v>161</v>
      </c>
      <c r="F2605" s="209" t="s">
        <v>21</v>
      </c>
      <c r="G2605" s="209" t="s">
        <v>21</v>
      </c>
      <c r="H2605" s="209" t="s">
        <v>189</v>
      </c>
      <c r="I2605" s="210"/>
    </row>
    <row r="2606" spans="1:9" x14ac:dyDescent="0.25">
      <c r="A2606" s="74"/>
      <c r="B2606" s="45">
        <v>318</v>
      </c>
      <c r="C2606" s="64" t="s">
        <v>730</v>
      </c>
      <c r="D2606" s="74"/>
      <c r="E2606" s="208" t="s">
        <v>161</v>
      </c>
      <c r="F2606" s="209" t="s">
        <v>21</v>
      </c>
      <c r="G2606" s="209" t="s">
        <v>21</v>
      </c>
      <c r="H2606" s="209" t="s">
        <v>192</v>
      </c>
      <c r="I2606" s="210"/>
    </row>
    <row r="2607" spans="1:9" x14ac:dyDescent="0.25">
      <c r="A2607" s="74"/>
      <c r="B2607" s="45">
        <v>340</v>
      </c>
      <c r="C2607" s="64" t="s">
        <v>752</v>
      </c>
      <c r="D2607" s="74"/>
      <c r="E2607" s="208" t="s">
        <v>161</v>
      </c>
      <c r="F2607" s="209" t="s">
        <v>21</v>
      </c>
      <c r="G2607" s="209" t="s">
        <v>21</v>
      </c>
      <c r="H2607" s="209" t="s">
        <v>192</v>
      </c>
      <c r="I2607" s="210"/>
    </row>
    <row r="2608" spans="1:9" x14ac:dyDescent="0.25">
      <c r="A2608" s="74"/>
      <c r="B2608" s="45">
        <v>306</v>
      </c>
      <c r="C2608" s="64" t="s">
        <v>718</v>
      </c>
      <c r="D2608" s="74"/>
      <c r="E2608" s="208" t="s">
        <v>161</v>
      </c>
      <c r="F2608" s="209" t="s">
        <v>21</v>
      </c>
      <c r="G2608" s="209" t="s">
        <v>21</v>
      </c>
      <c r="H2608" s="209" t="s">
        <v>192</v>
      </c>
      <c r="I2608" s="210"/>
    </row>
    <row r="2609" spans="1:9" x14ac:dyDescent="0.25">
      <c r="A2609" s="74"/>
      <c r="B2609" s="45">
        <v>1396</v>
      </c>
      <c r="C2609" s="64" t="s">
        <v>1779</v>
      </c>
      <c r="D2609" s="74"/>
      <c r="E2609" s="208" t="s">
        <v>161</v>
      </c>
      <c r="F2609" s="209" t="s">
        <v>21</v>
      </c>
      <c r="G2609" s="209" t="s">
        <v>21</v>
      </c>
      <c r="H2609" s="209" t="s">
        <v>272</v>
      </c>
      <c r="I2609" s="210"/>
    </row>
    <row r="2610" spans="1:9" x14ac:dyDescent="0.25">
      <c r="A2610" s="74"/>
      <c r="B2610" s="45">
        <v>1397</v>
      </c>
      <c r="C2610" s="64" t="s">
        <v>1780</v>
      </c>
      <c r="D2610" s="74"/>
      <c r="E2610" s="208" t="s">
        <v>161</v>
      </c>
      <c r="F2610" s="209" t="s">
        <v>21</v>
      </c>
      <c r="G2610" s="209" t="s">
        <v>21</v>
      </c>
      <c r="H2610" s="209" t="s">
        <v>272</v>
      </c>
      <c r="I2610" s="210"/>
    </row>
    <row r="2611" spans="1:9" x14ac:dyDescent="0.25">
      <c r="A2611" s="74"/>
      <c r="B2611" s="45">
        <v>1398</v>
      </c>
      <c r="C2611" s="64" t="s">
        <v>1781</v>
      </c>
      <c r="D2611" s="74"/>
      <c r="E2611" s="208" t="s">
        <v>161</v>
      </c>
      <c r="F2611" s="209" t="s">
        <v>21</v>
      </c>
      <c r="G2611" s="209" t="s">
        <v>21</v>
      </c>
      <c r="H2611" s="209" t="s">
        <v>272</v>
      </c>
      <c r="I2611" s="210"/>
    </row>
    <row r="2612" spans="1:9" x14ac:dyDescent="0.25">
      <c r="A2612" s="74"/>
      <c r="B2612" s="45">
        <v>1399</v>
      </c>
      <c r="C2612" s="64" t="s">
        <v>1782</v>
      </c>
      <c r="D2612" s="74"/>
      <c r="E2612" s="208" t="s">
        <v>161</v>
      </c>
      <c r="F2612" s="209" t="s">
        <v>21</v>
      </c>
      <c r="G2612" s="209" t="s">
        <v>21</v>
      </c>
      <c r="H2612" s="209" t="s">
        <v>272</v>
      </c>
      <c r="I2612" s="210"/>
    </row>
    <row r="2613" spans="1:9" x14ac:dyDescent="0.25">
      <c r="A2613" s="74"/>
      <c r="B2613" s="45">
        <v>1400</v>
      </c>
      <c r="C2613" s="64" t="s">
        <v>1783</v>
      </c>
      <c r="D2613" s="74"/>
      <c r="E2613" s="208" t="s">
        <v>161</v>
      </c>
      <c r="F2613" s="209" t="s">
        <v>21</v>
      </c>
      <c r="G2613" s="209" t="s">
        <v>21</v>
      </c>
      <c r="H2613" s="209" t="s">
        <v>272</v>
      </c>
      <c r="I2613" s="210"/>
    </row>
    <row r="2614" spans="1:9" x14ac:dyDescent="0.25">
      <c r="A2614" s="74"/>
      <c r="B2614" s="45">
        <v>1401</v>
      </c>
      <c r="C2614" s="64" t="s">
        <v>1784</v>
      </c>
      <c r="D2614" s="74"/>
      <c r="E2614" s="208" t="s">
        <v>161</v>
      </c>
      <c r="F2614" s="209" t="s">
        <v>21</v>
      </c>
      <c r="G2614" s="209" t="s">
        <v>21</v>
      </c>
      <c r="H2614" s="209" t="s">
        <v>272</v>
      </c>
      <c r="I2614" s="210"/>
    </row>
    <row r="2615" spans="1:9" x14ac:dyDescent="0.25">
      <c r="A2615" s="74"/>
      <c r="B2615" s="45">
        <v>1402</v>
      </c>
      <c r="C2615" s="64" t="s">
        <v>1785</v>
      </c>
      <c r="D2615" s="74"/>
      <c r="E2615" s="208" t="s">
        <v>161</v>
      </c>
      <c r="F2615" s="209" t="s">
        <v>21</v>
      </c>
      <c r="G2615" s="209" t="s">
        <v>21</v>
      </c>
      <c r="H2615" s="209" t="s">
        <v>272</v>
      </c>
      <c r="I2615" s="210"/>
    </row>
    <row r="2616" spans="1:9" x14ac:dyDescent="0.25">
      <c r="A2616" s="74"/>
      <c r="B2616" s="45">
        <v>1403</v>
      </c>
      <c r="C2616" s="64" t="s">
        <v>1786</v>
      </c>
      <c r="D2616" s="74"/>
      <c r="E2616" s="208" t="s">
        <v>161</v>
      </c>
      <c r="F2616" s="209" t="s">
        <v>21</v>
      </c>
      <c r="G2616" s="209" t="s">
        <v>21</v>
      </c>
      <c r="H2616" s="209" t="s">
        <v>272</v>
      </c>
      <c r="I2616" s="210"/>
    </row>
    <row r="2617" spans="1:9" x14ac:dyDescent="0.25">
      <c r="A2617" s="74"/>
      <c r="B2617" s="45">
        <v>1404</v>
      </c>
      <c r="C2617" s="64" t="s">
        <v>1787</v>
      </c>
      <c r="D2617" s="74"/>
      <c r="E2617" s="208" t="s">
        <v>161</v>
      </c>
      <c r="F2617" s="209" t="s">
        <v>21</v>
      </c>
      <c r="G2617" s="209" t="s">
        <v>21</v>
      </c>
      <c r="H2617" s="209" t="s">
        <v>272</v>
      </c>
      <c r="I2617" s="210"/>
    </row>
    <row r="2618" spans="1:9" x14ac:dyDescent="0.25">
      <c r="A2618" s="74"/>
      <c r="B2618" s="45">
        <v>1405</v>
      </c>
      <c r="C2618" s="64" t="s">
        <v>1788</v>
      </c>
      <c r="D2618" s="74"/>
      <c r="E2618" s="208" t="s">
        <v>161</v>
      </c>
      <c r="F2618" s="209" t="s">
        <v>21</v>
      </c>
      <c r="G2618" s="209" t="s">
        <v>21</v>
      </c>
      <c r="H2618" s="209" t="s">
        <v>272</v>
      </c>
      <c r="I2618" s="210"/>
    </row>
    <row r="2619" spans="1:9" x14ac:dyDescent="0.25">
      <c r="A2619" s="74"/>
      <c r="B2619" s="45">
        <v>317</v>
      </c>
      <c r="C2619" s="64" t="s">
        <v>729</v>
      </c>
      <c r="D2619" s="74"/>
      <c r="E2619" s="208" t="s">
        <v>161</v>
      </c>
      <c r="F2619" s="209" t="s">
        <v>21</v>
      </c>
      <c r="G2619" s="209" t="s">
        <v>21</v>
      </c>
      <c r="H2619" s="209" t="s">
        <v>191</v>
      </c>
      <c r="I2619" s="210"/>
    </row>
    <row r="2620" spans="1:9" x14ac:dyDescent="0.25">
      <c r="A2620" s="74"/>
      <c r="B2620" s="45">
        <v>1396</v>
      </c>
      <c r="C2620" s="64" t="s">
        <v>1779</v>
      </c>
      <c r="D2620" s="74"/>
      <c r="E2620" s="208" t="s">
        <v>161</v>
      </c>
      <c r="F2620" s="209" t="s">
        <v>21</v>
      </c>
      <c r="G2620" s="209" t="s">
        <v>21</v>
      </c>
      <c r="H2620" s="209" t="s">
        <v>272</v>
      </c>
      <c r="I2620" s="210"/>
    </row>
    <row r="2621" spans="1:9" x14ac:dyDescent="0.25">
      <c r="A2621" s="74"/>
      <c r="B2621" s="45">
        <v>1397</v>
      </c>
      <c r="C2621" s="64" t="s">
        <v>1780</v>
      </c>
      <c r="D2621" s="74"/>
      <c r="E2621" s="208" t="s">
        <v>161</v>
      </c>
      <c r="F2621" s="209" t="s">
        <v>21</v>
      </c>
      <c r="G2621" s="209" t="s">
        <v>21</v>
      </c>
      <c r="H2621" s="209" t="s">
        <v>272</v>
      </c>
      <c r="I2621" s="210"/>
    </row>
    <row r="2622" spans="1:9" x14ac:dyDescent="0.25">
      <c r="A2622" s="74"/>
      <c r="B2622" s="45">
        <v>1398</v>
      </c>
      <c r="C2622" s="64" t="s">
        <v>1781</v>
      </c>
      <c r="D2622" s="74"/>
      <c r="E2622" s="208" t="s">
        <v>161</v>
      </c>
      <c r="F2622" s="209" t="s">
        <v>21</v>
      </c>
      <c r="G2622" s="209" t="s">
        <v>21</v>
      </c>
      <c r="H2622" s="209" t="s">
        <v>272</v>
      </c>
      <c r="I2622" s="210"/>
    </row>
    <row r="2623" spans="1:9" x14ac:dyDescent="0.25">
      <c r="A2623" s="74"/>
      <c r="B2623" s="45">
        <v>1399</v>
      </c>
      <c r="C2623" s="64" t="s">
        <v>1782</v>
      </c>
      <c r="D2623" s="74"/>
      <c r="E2623" s="208" t="s">
        <v>161</v>
      </c>
      <c r="F2623" s="209" t="s">
        <v>21</v>
      </c>
      <c r="G2623" s="209" t="s">
        <v>21</v>
      </c>
      <c r="H2623" s="209" t="s">
        <v>272</v>
      </c>
      <c r="I2623" s="210"/>
    </row>
    <row r="2624" spans="1:9" x14ac:dyDescent="0.25">
      <c r="A2624" s="74"/>
      <c r="B2624" s="45">
        <v>1400</v>
      </c>
      <c r="C2624" s="64" t="s">
        <v>1783</v>
      </c>
      <c r="D2624" s="74"/>
      <c r="E2624" s="208" t="s">
        <v>161</v>
      </c>
      <c r="F2624" s="209" t="s">
        <v>21</v>
      </c>
      <c r="G2624" s="209" t="s">
        <v>21</v>
      </c>
      <c r="H2624" s="209" t="s">
        <v>272</v>
      </c>
      <c r="I2624" s="210"/>
    </row>
    <row r="2625" spans="1:9" x14ac:dyDescent="0.25">
      <c r="A2625" s="74"/>
      <c r="B2625" s="45">
        <v>1401</v>
      </c>
      <c r="C2625" s="64" t="s">
        <v>1784</v>
      </c>
      <c r="D2625" s="74"/>
      <c r="E2625" s="208" t="s">
        <v>161</v>
      </c>
      <c r="F2625" s="209" t="s">
        <v>21</v>
      </c>
      <c r="G2625" s="209" t="s">
        <v>21</v>
      </c>
      <c r="H2625" s="209" t="s">
        <v>272</v>
      </c>
      <c r="I2625" s="210"/>
    </row>
    <row r="2626" spans="1:9" x14ac:dyDescent="0.25">
      <c r="A2626" s="74"/>
      <c r="B2626" s="45">
        <v>1402</v>
      </c>
      <c r="C2626" s="64" t="s">
        <v>1785</v>
      </c>
      <c r="D2626" s="74"/>
      <c r="E2626" s="208" t="s">
        <v>161</v>
      </c>
      <c r="F2626" s="209" t="s">
        <v>21</v>
      </c>
      <c r="G2626" s="209" t="s">
        <v>21</v>
      </c>
      <c r="H2626" s="209" t="s">
        <v>272</v>
      </c>
      <c r="I2626" s="210"/>
    </row>
    <row r="2627" spans="1:9" x14ac:dyDescent="0.25">
      <c r="A2627" s="74"/>
      <c r="B2627" s="45">
        <v>1403</v>
      </c>
      <c r="C2627" s="64" t="s">
        <v>1786</v>
      </c>
      <c r="D2627" s="74"/>
      <c r="E2627" s="208" t="s">
        <v>161</v>
      </c>
      <c r="F2627" s="209" t="s">
        <v>21</v>
      </c>
      <c r="G2627" s="209" t="s">
        <v>21</v>
      </c>
      <c r="H2627" s="209" t="s">
        <v>272</v>
      </c>
      <c r="I2627" s="210"/>
    </row>
    <row r="2628" spans="1:9" x14ac:dyDescent="0.25">
      <c r="A2628" s="74"/>
      <c r="B2628" s="45">
        <v>1404</v>
      </c>
      <c r="C2628" s="64" t="s">
        <v>1787</v>
      </c>
      <c r="D2628" s="74"/>
      <c r="E2628" s="208" t="s">
        <v>161</v>
      </c>
      <c r="F2628" s="209" t="s">
        <v>21</v>
      </c>
      <c r="G2628" s="209" t="s">
        <v>21</v>
      </c>
      <c r="H2628" s="209" t="s">
        <v>272</v>
      </c>
      <c r="I2628" s="210"/>
    </row>
    <row r="2629" spans="1:9" x14ac:dyDescent="0.25">
      <c r="A2629" s="74"/>
      <c r="B2629" s="45">
        <v>1405</v>
      </c>
      <c r="C2629" s="64" t="s">
        <v>1788</v>
      </c>
      <c r="D2629" s="74"/>
      <c r="E2629" s="208" t="s">
        <v>161</v>
      </c>
      <c r="F2629" s="209" t="s">
        <v>21</v>
      </c>
      <c r="G2629" s="209" t="s">
        <v>21</v>
      </c>
      <c r="H2629" s="209" t="s">
        <v>272</v>
      </c>
      <c r="I2629" s="210"/>
    </row>
    <row r="2630" spans="1:9" x14ac:dyDescent="0.25">
      <c r="A2630" s="74"/>
      <c r="B2630" s="45">
        <v>317</v>
      </c>
      <c r="C2630" s="64" t="s">
        <v>729</v>
      </c>
      <c r="D2630" s="74"/>
      <c r="E2630" s="208" t="s">
        <v>161</v>
      </c>
      <c r="F2630" s="209" t="s">
        <v>21</v>
      </c>
      <c r="G2630" s="209" t="s">
        <v>21</v>
      </c>
      <c r="H2630" s="209" t="s">
        <v>191</v>
      </c>
      <c r="I2630" s="210"/>
    </row>
    <row r="2631" spans="1:9" x14ac:dyDescent="0.25">
      <c r="A2631" s="74"/>
      <c r="B2631" s="45">
        <v>1396</v>
      </c>
      <c r="C2631" s="64" t="s">
        <v>1779</v>
      </c>
      <c r="D2631" s="74"/>
      <c r="E2631" s="208" t="s">
        <v>161</v>
      </c>
      <c r="F2631" s="209" t="s">
        <v>21</v>
      </c>
      <c r="G2631" s="209" t="s">
        <v>21</v>
      </c>
      <c r="H2631" s="209" t="s">
        <v>272</v>
      </c>
      <c r="I2631" s="210"/>
    </row>
    <row r="2632" spans="1:9" x14ac:dyDescent="0.25">
      <c r="A2632" s="74"/>
      <c r="B2632" s="45">
        <v>1397</v>
      </c>
      <c r="C2632" s="64" t="s">
        <v>1780</v>
      </c>
      <c r="D2632" s="74"/>
      <c r="E2632" s="208" t="s">
        <v>161</v>
      </c>
      <c r="F2632" s="209" t="s">
        <v>21</v>
      </c>
      <c r="G2632" s="209" t="s">
        <v>21</v>
      </c>
      <c r="H2632" s="209" t="s">
        <v>272</v>
      </c>
      <c r="I2632" s="210"/>
    </row>
    <row r="2633" spans="1:9" x14ac:dyDescent="0.25">
      <c r="A2633" s="74"/>
      <c r="B2633" s="45">
        <v>1398</v>
      </c>
      <c r="C2633" s="64" t="s">
        <v>1781</v>
      </c>
      <c r="D2633" s="74"/>
      <c r="E2633" s="208" t="s">
        <v>161</v>
      </c>
      <c r="F2633" s="209" t="s">
        <v>21</v>
      </c>
      <c r="G2633" s="209" t="s">
        <v>21</v>
      </c>
      <c r="H2633" s="209" t="s">
        <v>272</v>
      </c>
      <c r="I2633" s="210"/>
    </row>
    <row r="2634" spans="1:9" x14ac:dyDescent="0.25">
      <c r="A2634" s="74"/>
      <c r="B2634" s="45">
        <v>1399</v>
      </c>
      <c r="C2634" s="64" t="s">
        <v>1782</v>
      </c>
      <c r="D2634" s="74"/>
      <c r="E2634" s="208" t="s">
        <v>161</v>
      </c>
      <c r="F2634" s="209" t="s">
        <v>21</v>
      </c>
      <c r="G2634" s="209" t="s">
        <v>21</v>
      </c>
      <c r="H2634" s="209" t="s">
        <v>272</v>
      </c>
      <c r="I2634" s="210"/>
    </row>
    <row r="2635" spans="1:9" x14ac:dyDescent="0.25">
      <c r="A2635" s="74"/>
      <c r="B2635" s="45">
        <v>1400</v>
      </c>
      <c r="C2635" s="64" t="s">
        <v>1783</v>
      </c>
      <c r="D2635" s="74"/>
      <c r="E2635" s="208" t="s">
        <v>161</v>
      </c>
      <c r="F2635" s="209" t="s">
        <v>21</v>
      </c>
      <c r="G2635" s="209" t="s">
        <v>21</v>
      </c>
      <c r="H2635" s="209" t="s">
        <v>272</v>
      </c>
      <c r="I2635" s="210"/>
    </row>
    <row r="2636" spans="1:9" x14ac:dyDescent="0.25">
      <c r="A2636" s="74"/>
      <c r="B2636" s="45">
        <v>1401</v>
      </c>
      <c r="C2636" s="64" t="s">
        <v>1784</v>
      </c>
      <c r="D2636" s="74"/>
      <c r="E2636" s="208" t="s">
        <v>161</v>
      </c>
      <c r="F2636" s="209" t="s">
        <v>21</v>
      </c>
      <c r="G2636" s="209" t="s">
        <v>21</v>
      </c>
      <c r="H2636" s="209" t="s">
        <v>272</v>
      </c>
      <c r="I2636" s="210"/>
    </row>
    <row r="2637" spans="1:9" x14ac:dyDescent="0.25">
      <c r="A2637" s="74"/>
      <c r="B2637" s="45">
        <v>1402</v>
      </c>
      <c r="C2637" s="64" t="s">
        <v>1785</v>
      </c>
      <c r="D2637" s="74"/>
      <c r="E2637" s="208" t="s">
        <v>161</v>
      </c>
      <c r="F2637" s="209" t="s">
        <v>21</v>
      </c>
      <c r="G2637" s="209" t="s">
        <v>21</v>
      </c>
      <c r="H2637" s="209" t="s">
        <v>272</v>
      </c>
      <c r="I2637" s="210"/>
    </row>
    <row r="2638" spans="1:9" x14ac:dyDescent="0.25">
      <c r="A2638" s="74"/>
      <c r="B2638" s="45">
        <v>1403</v>
      </c>
      <c r="C2638" s="64" t="s">
        <v>1786</v>
      </c>
      <c r="D2638" s="74"/>
      <c r="E2638" s="208" t="s">
        <v>161</v>
      </c>
      <c r="F2638" s="209" t="s">
        <v>21</v>
      </c>
      <c r="G2638" s="209" t="s">
        <v>21</v>
      </c>
      <c r="H2638" s="209" t="s">
        <v>272</v>
      </c>
      <c r="I2638" s="210"/>
    </row>
    <row r="2639" spans="1:9" x14ac:dyDescent="0.25">
      <c r="A2639" s="74"/>
      <c r="B2639" s="45">
        <v>1404</v>
      </c>
      <c r="C2639" s="64" t="s">
        <v>1787</v>
      </c>
      <c r="D2639" s="74"/>
      <c r="E2639" s="208" t="s">
        <v>161</v>
      </c>
      <c r="F2639" s="209" t="s">
        <v>21</v>
      </c>
      <c r="G2639" s="209" t="s">
        <v>21</v>
      </c>
      <c r="H2639" s="209" t="s">
        <v>272</v>
      </c>
      <c r="I2639" s="210"/>
    </row>
    <row r="2640" spans="1:9" x14ac:dyDescent="0.25">
      <c r="A2640" s="74"/>
      <c r="B2640" s="45">
        <v>1405</v>
      </c>
      <c r="C2640" s="64" t="s">
        <v>1788</v>
      </c>
      <c r="D2640" s="74"/>
      <c r="E2640" s="208" t="s">
        <v>161</v>
      </c>
      <c r="F2640" s="209" t="s">
        <v>21</v>
      </c>
      <c r="G2640" s="209" t="s">
        <v>21</v>
      </c>
      <c r="H2640" s="209" t="s">
        <v>272</v>
      </c>
      <c r="I2640" s="210"/>
    </row>
    <row r="2641" spans="1:9" x14ac:dyDescent="0.25">
      <c r="A2641" s="74"/>
      <c r="B2641" s="45">
        <v>317</v>
      </c>
      <c r="C2641" s="64" t="s">
        <v>729</v>
      </c>
      <c r="D2641" s="74"/>
      <c r="E2641" s="208" t="s">
        <v>161</v>
      </c>
      <c r="F2641" s="209" t="s">
        <v>21</v>
      </c>
      <c r="G2641" s="209" t="s">
        <v>21</v>
      </c>
      <c r="H2641" s="209" t="s">
        <v>191</v>
      </c>
      <c r="I2641" s="210"/>
    </row>
    <row r="2642" spans="1:9" x14ac:dyDescent="0.25">
      <c r="A2642" s="74"/>
      <c r="B2642" s="45">
        <v>1406</v>
      </c>
      <c r="C2642" s="64" t="s">
        <v>1789</v>
      </c>
      <c r="D2642" s="74"/>
      <c r="E2642" s="208" t="s">
        <v>161</v>
      </c>
      <c r="F2642" s="209" t="s">
        <v>21</v>
      </c>
      <c r="G2642" s="209" t="s">
        <v>21</v>
      </c>
      <c r="H2642" s="209" t="s">
        <v>272</v>
      </c>
      <c r="I2642" s="210"/>
    </row>
    <row r="2643" spans="1:9" x14ac:dyDescent="0.25">
      <c r="A2643" s="74"/>
      <c r="B2643" s="45">
        <v>1407</v>
      </c>
      <c r="C2643" s="64" t="s">
        <v>1731</v>
      </c>
      <c r="D2643" s="74"/>
      <c r="E2643" s="208" t="s">
        <v>161</v>
      </c>
      <c r="F2643" s="209" t="s">
        <v>21</v>
      </c>
      <c r="G2643" s="209" t="s">
        <v>21</v>
      </c>
      <c r="H2643" s="209" t="s">
        <v>272</v>
      </c>
      <c r="I2643" s="210"/>
    </row>
    <row r="2644" spans="1:9" x14ac:dyDescent="0.25">
      <c r="A2644" s="74"/>
      <c r="B2644" s="45">
        <v>1408</v>
      </c>
      <c r="C2644" s="64" t="s">
        <v>1790</v>
      </c>
      <c r="D2644" s="74"/>
      <c r="E2644" s="208" t="s">
        <v>161</v>
      </c>
      <c r="F2644" s="209" t="s">
        <v>21</v>
      </c>
      <c r="G2644" s="209" t="s">
        <v>21</v>
      </c>
      <c r="H2644" s="209" t="s">
        <v>272</v>
      </c>
      <c r="I2644" s="210"/>
    </row>
    <row r="2645" spans="1:9" x14ac:dyDescent="0.25">
      <c r="A2645" s="74"/>
      <c r="B2645" s="45">
        <v>1409</v>
      </c>
      <c r="C2645" s="64" t="s">
        <v>1791</v>
      </c>
      <c r="D2645" s="74"/>
      <c r="E2645" s="208" t="s">
        <v>161</v>
      </c>
      <c r="F2645" s="209" t="s">
        <v>21</v>
      </c>
      <c r="G2645" s="209" t="s">
        <v>21</v>
      </c>
      <c r="H2645" s="209" t="s">
        <v>272</v>
      </c>
      <c r="I2645" s="210"/>
    </row>
    <row r="2646" spans="1:9" x14ac:dyDescent="0.25">
      <c r="A2646" s="74"/>
      <c r="B2646" s="45">
        <v>1410</v>
      </c>
      <c r="C2646" s="64" t="s">
        <v>1792</v>
      </c>
      <c r="D2646" s="74"/>
      <c r="E2646" s="208" t="s">
        <v>161</v>
      </c>
      <c r="F2646" s="209" t="s">
        <v>21</v>
      </c>
      <c r="G2646" s="209" t="s">
        <v>21</v>
      </c>
      <c r="H2646" s="209" t="s">
        <v>272</v>
      </c>
      <c r="I2646" s="210"/>
    </row>
    <row r="2647" spans="1:9" x14ac:dyDescent="0.25">
      <c r="A2647" s="74"/>
      <c r="B2647" s="45">
        <v>1411</v>
      </c>
      <c r="C2647" s="64" t="s">
        <v>1793</v>
      </c>
      <c r="D2647" s="74"/>
      <c r="E2647" s="208" t="s">
        <v>161</v>
      </c>
      <c r="F2647" s="209" t="s">
        <v>21</v>
      </c>
      <c r="G2647" s="209" t="s">
        <v>21</v>
      </c>
      <c r="H2647" s="209" t="s">
        <v>272</v>
      </c>
      <c r="I2647" s="210"/>
    </row>
    <row r="2648" spans="1:9" x14ac:dyDescent="0.25">
      <c r="A2648" s="74"/>
      <c r="B2648" s="45">
        <v>1412</v>
      </c>
      <c r="C2648" s="64" t="s">
        <v>1794</v>
      </c>
      <c r="D2648" s="74"/>
      <c r="E2648" s="208" t="s">
        <v>161</v>
      </c>
      <c r="F2648" s="209" t="s">
        <v>21</v>
      </c>
      <c r="G2648" s="209" t="s">
        <v>21</v>
      </c>
      <c r="H2648" s="209" t="s">
        <v>272</v>
      </c>
      <c r="I2648" s="210"/>
    </row>
    <row r="2649" spans="1:9" x14ac:dyDescent="0.25">
      <c r="A2649" s="74"/>
      <c r="B2649" s="45">
        <v>1413</v>
      </c>
      <c r="C2649" s="64" t="s">
        <v>1795</v>
      </c>
      <c r="D2649" s="74"/>
      <c r="E2649" s="208" t="s">
        <v>161</v>
      </c>
      <c r="F2649" s="209" t="s">
        <v>21</v>
      </c>
      <c r="G2649" s="209" t="s">
        <v>21</v>
      </c>
      <c r="H2649" s="209" t="s">
        <v>272</v>
      </c>
      <c r="I2649" s="210"/>
    </row>
    <row r="2650" spans="1:9" x14ac:dyDescent="0.25">
      <c r="A2650" s="74"/>
      <c r="B2650" s="45">
        <v>1414</v>
      </c>
      <c r="C2650" s="64" t="s">
        <v>1796</v>
      </c>
      <c r="D2650" s="74"/>
      <c r="E2650" s="208" t="s">
        <v>161</v>
      </c>
      <c r="F2650" s="209" t="s">
        <v>21</v>
      </c>
      <c r="G2650" s="209" t="s">
        <v>21</v>
      </c>
      <c r="H2650" s="209" t="s">
        <v>272</v>
      </c>
      <c r="I2650" s="210"/>
    </row>
    <row r="2651" spans="1:9" x14ac:dyDescent="0.25">
      <c r="A2651" s="74"/>
      <c r="B2651" s="45">
        <v>1415</v>
      </c>
      <c r="C2651" s="64" t="s">
        <v>1797</v>
      </c>
      <c r="D2651" s="74"/>
      <c r="E2651" s="208" t="s">
        <v>161</v>
      </c>
      <c r="F2651" s="209" t="s">
        <v>21</v>
      </c>
      <c r="G2651" s="209" t="s">
        <v>21</v>
      </c>
      <c r="H2651" s="209" t="s">
        <v>272</v>
      </c>
      <c r="I2651" s="210"/>
    </row>
    <row r="2652" spans="1:9" x14ac:dyDescent="0.25">
      <c r="A2652" s="74"/>
      <c r="B2652" s="45">
        <v>322</v>
      </c>
      <c r="C2652" s="64" t="s">
        <v>734</v>
      </c>
      <c r="D2652" s="74"/>
      <c r="E2652" s="208" t="s">
        <v>161</v>
      </c>
      <c r="F2652" s="209" t="s">
        <v>21</v>
      </c>
      <c r="G2652" s="209" t="s">
        <v>21</v>
      </c>
      <c r="H2652" s="209" t="s">
        <v>272</v>
      </c>
      <c r="I2652" s="210"/>
    </row>
    <row r="2653" spans="1:9" x14ac:dyDescent="0.25">
      <c r="A2653" s="74"/>
      <c r="B2653" s="45">
        <v>1416</v>
      </c>
      <c r="C2653" s="64" t="s">
        <v>1798</v>
      </c>
      <c r="D2653" s="74"/>
      <c r="E2653" s="208" t="s">
        <v>161</v>
      </c>
      <c r="F2653" s="209" t="s">
        <v>21</v>
      </c>
      <c r="G2653" s="209" t="s">
        <v>21</v>
      </c>
      <c r="H2653" s="209" t="s">
        <v>272</v>
      </c>
      <c r="I2653" s="210"/>
    </row>
    <row r="2654" spans="1:9" x14ac:dyDescent="0.25">
      <c r="A2654" s="74"/>
      <c r="B2654" s="45">
        <v>1406</v>
      </c>
      <c r="C2654" s="64" t="s">
        <v>1789</v>
      </c>
      <c r="D2654" s="74"/>
      <c r="E2654" s="208" t="s">
        <v>161</v>
      </c>
      <c r="F2654" s="209" t="s">
        <v>21</v>
      </c>
      <c r="G2654" s="209" t="s">
        <v>21</v>
      </c>
      <c r="H2654" s="209" t="s">
        <v>272</v>
      </c>
      <c r="I2654" s="210"/>
    </row>
    <row r="2655" spans="1:9" x14ac:dyDescent="0.25">
      <c r="A2655" s="74"/>
      <c r="B2655" s="45">
        <v>1407</v>
      </c>
      <c r="C2655" s="64" t="s">
        <v>1731</v>
      </c>
      <c r="D2655" s="74"/>
      <c r="E2655" s="208" t="s">
        <v>161</v>
      </c>
      <c r="F2655" s="209" t="s">
        <v>21</v>
      </c>
      <c r="G2655" s="209" t="s">
        <v>21</v>
      </c>
      <c r="H2655" s="209" t="s">
        <v>272</v>
      </c>
      <c r="I2655" s="210"/>
    </row>
    <row r="2656" spans="1:9" x14ac:dyDescent="0.25">
      <c r="A2656" s="74"/>
      <c r="B2656" s="45">
        <v>1408</v>
      </c>
      <c r="C2656" s="64" t="s">
        <v>1790</v>
      </c>
      <c r="D2656" s="74"/>
      <c r="E2656" s="208" t="s">
        <v>161</v>
      </c>
      <c r="F2656" s="209" t="s">
        <v>21</v>
      </c>
      <c r="G2656" s="209" t="s">
        <v>21</v>
      </c>
      <c r="H2656" s="209" t="s">
        <v>272</v>
      </c>
      <c r="I2656" s="210"/>
    </row>
    <row r="2657" spans="1:9" x14ac:dyDescent="0.25">
      <c r="A2657" s="74"/>
      <c r="B2657" s="45">
        <v>1409</v>
      </c>
      <c r="C2657" s="64" t="s">
        <v>1791</v>
      </c>
      <c r="D2657" s="74"/>
      <c r="E2657" s="208" t="s">
        <v>161</v>
      </c>
      <c r="F2657" s="209" t="s">
        <v>21</v>
      </c>
      <c r="G2657" s="209" t="s">
        <v>21</v>
      </c>
      <c r="H2657" s="209" t="s">
        <v>272</v>
      </c>
      <c r="I2657" s="210"/>
    </row>
    <row r="2658" spans="1:9" x14ac:dyDescent="0.25">
      <c r="A2658" s="74"/>
      <c r="B2658" s="45">
        <v>1410</v>
      </c>
      <c r="C2658" s="64" t="s">
        <v>1792</v>
      </c>
      <c r="D2658" s="74"/>
      <c r="E2658" s="208" t="s">
        <v>161</v>
      </c>
      <c r="F2658" s="209" t="s">
        <v>21</v>
      </c>
      <c r="G2658" s="209" t="s">
        <v>21</v>
      </c>
      <c r="H2658" s="209" t="s">
        <v>272</v>
      </c>
      <c r="I2658" s="210"/>
    </row>
    <row r="2659" spans="1:9" x14ac:dyDescent="0.25">
      <c r="A2659" s="74"/>
      <c r="B2659" s="45">
        <v>1411</v>
      </c>
      <c r="C2659" s="64" t="s">
        <v>1793</v>
      </c>
      <c r="D2659" s="74"/>
      <c r="E2659" s="208" t="s">
        <v>161</v>
      </c>
      <c r="F2659" s="209" t="s">
        <v>21</v>
      </c>
      <c r="G2659" s="209" t="s">
        <v>21</v>
      </c>
      <c r="H2659" s="209" t="s">
        <v>272</v>
      </c>
      <c r="I2659" s="210"/>
    </row>
    <row r="2660" spans="1:9" x14ac:dyDescent="0.25">
      <c r="A2660" s="74"/>
      <c r="B2660" s="45">
        <v>1412</v>
      </c>
      <c r="C2660" s="64" t="s">
        <v>1794</v>
      </c>
      <c r="D2660" s="74"/>
      <c r="E2660" s="208" t="s">
        <v>161</v>
      </c>
      <c r="F2660" s="209" t="s">
        <v>21</v>
      </c>
      <c r="G2660" s="209" t="s">
        <v>21</v>
      </c>
      <c r="H2660" s="209" t="s">
        <v>272</v>
      </c>
      <c r="I2660" s="210"/>
    </row>
    <row r="2661" spans="1:9" x14ac:dyDescent="0.25">
      <c r="A2661" s="74"/>
      <c r="B2661" s="45">
        <v>1413</v>
      </c>
      <c r="C2661" s="64" t="s">
        <v>1795</v>
      </c>
      <c r="D2661" s="74"/>
      <c r="E2661" s="208" t="s">
        <v>161</v>
      </c>
      <c r="F2661" s="209" t="s">
        <v>21</v>
      </c>
      <c r="G2661" s="209" t="s">
        <v>21</v>
      </c>
      <c r="H2661" s="209" t="s">
        <v>272</v>
      </c>
      <c r="I2661" s="210"/>
    </row>
    <row r="2662" spans="1:9" x14ac:dyDescent="0.25">
      <c r="A2662" s="74"/>
      <c r="B2662" s="45">
        <v>1414</v>
      </c>
      <c r="C2662" s="64" t="s">
        <v>1796</v>
      </c>
      <c r="D2662" s="74"/>
      <c r="E2662" s="208" t="s">
        <v>161</v>
      </c>
      <c r="F2662" s="209" t="s">
        <v>21</v>
      </c>
      <c r="G2662" s="209" t="s">
        <v>21</v>
      </c>
      <c r="H2662" s="209" t="s">
        <v>272</v>
      </c>
      <c r="I2662" s="210"/>
    </row>
    <row r="2663" spans="1:9" x14ac:dyDescent="0.25">
      <c r="A2663" s="74"/>
      <c r="B2663" s="45">
        <v>1415</v>
      </c>
      <c r="C2663" s="64" t="s">
        <v>1797</v>
      </c>
      <c r="D2663" s="74"/>
      <c r="E2663" s="208" t="s">
        <v>161</v>
      </c>
      <c r="F2663" s="209" t="s">
        <v>21</v>
      </c>
      <c r="G2663" s="209" t="s">
        <v>21</v>
      </c>
      <c r="H2663" s="209" t="s">
        <v>272</v>
      </c>
      <c r="I2663" s="210"/>
    </row>
    <row r="2664" spans="1:9" x14ac:dyDescent="0.25">
      <c r="A2664" s="74"/>
      <c r="B2664" s="45">
        <v>322</v>
      </c>
      <c r="C2664" s="64" t="s">
        <v>734</v>
      </c>
      <c r="D2664" s="74"/>
      <c r="E2664" s="208" t="s">
        <v>161</v>
      </c>
      <c r="F2664" s="209" t="s">
        <v>21</v>
      </c>
      <c r="G2664" s="209" t="s">
        <v>21</v>
      </c>
      <c r="H2664" s="209" t="s">
        <v>272</v>
      </c>
      <c r="I2664" s="210"/>
    </row>
    <row r="2665" spans="1:9" x14ac:dyDescent="0.25">
      <c r="A2665" s="74"/>
      <c r="B2665" s="45">
        <v>1416</v>
      </c>
      <c r="C2665" s="64" t="s">
        <v>1798</v>
      </c>
      <c r="D2665" s="74"/>
      <c r="E2665" s="208" t="s">
        <v>161</v>
      </c>
      <c r="F2665" s="209" t="s">
        <v>21</v>
      </c>
      <c r="G2665" s="209" t="s">
        <v>21</v>
      </c>
      <c r="H2665" s="209" t="s">
        <v>272</v>
      </c>
      <c r="I2665" s="210"/>
    </row>
    <row r="2666" spans="1:9" x14ac:dyDescent="0.25">
      <c r="A2666" s="74"/>
      <c r="B2666" s="45">
        <v>1406</v>
      </c>
      <c r="C2666" s="64" t="s">
        <v>1789</v>
      </c>
      <c r="D2666" s="74"/>
      <c r="E2666" s="208" t="s">
        <v>161</v>
      </c>
      <c r="F2666" s="209" t="s">
        <v>21</v>
      </c>
      <c r="G2666" s="209" t="s">
        <v>21</v>
      </c>
      <c r="H2666" s="209" t="s">
        <v>272</v>
      </c>
      <c r="I2666" s="210"/>
    </row>
    <row r="2667" spans="1:9" x14ac:dyDescent="0.25">
      <c r="A2667" s="74"/>
      <c r="B2667" s="45">
        <v>1407</v>
      </c>
      <c r="C2667" s="64" t="s">
        <v>1731</v>
      </c>
      <c r="D2667" s="74"/>
      <c r="E2667" s="208" t="s">
        <v>161</v>
      </c>
      <c r="F2667" s="209" t="s">
        <v>21</v>
      </c>
      <c r="G2667" s="209" t="s">
        <v>21</v>
      </c>
      <c r="H2667" s="209" t="s">
        <v>272</v>
      </c>
      <c r="I2667" s="210"/>
    </row>
    <row r="2668" spans="1:9" x14ac:dyDescent="0.25">
      <c r="A2668" s="74"/>
      <c r="B2668" s="45">
        <v>1408</v>
      </c>
      <c r="C2668" s="64" t="s">
        <v>1790</v>
      </c>
      <c r="D2668" s="74"/>
      <c r="E2668" s="208" t="s">
        <v>161</v>
      </c>
      <c r="F2668" s="209" t="s">
        <v>21</v>
      </c>
      <c r="G2668" s="209" t="s">
        <v>21</v>
      </c>
      <c r="H2668" s="209" t="s">
        <v>272</v>
      </c>
      <c r="I2668" s="210"/>
    </row>
    <row r="2669" spans="1:9" x14ac:dyDescent="0.25">
      <c r="A2669" s="74"/>
      <c r="B2669" s="45">
        <v>1409</v>
      </c>
      <c r="C2669" s="64" t="s">
        <v>1791</v>
      </c>
      <c r="D2669" s="74"/>
      <c r="E2669" s="208" t="s">
        <v>161</v>
      </c>
      <c r="F2669" s="209" t="s">
        <v>21</v>
      </c>
      <c r="G2669" s="209" t="s">
        <v>21</v>
      </c>
      <c r="H2669" s="209" t="s">
        <v>272</v>
      </c>
      <c r="I2669" s="210"/>
    </row>
    <row r="2670" spans="1:9" x14ac:dyDescent="0.25">
      <c r="A2670" s="74"/>
      <c r="B2670" s="45">
        <v>1410</v>
      </c>
      <c r="C2670" s="64" t="s">
        <v>1792</v>
      </c>
      <c r="D2670" s="74"/>
      <c r="E2670" s="208" t="s">
        <v>161</v>
      </c>
      <c r="F2670" s="209" t="s">
        <v>21</v>
      </c>
      <c r="G2670" s="209" t="s">
        <v>21</v>
      </c>
      <c r="H2670" s="209" t="s">
        <v>272</v>
      </c>
      <c r="I2670" s="210"/>
    </row>
    <row r="2671" spans="1:9" x14ac:dyDescent="0.25">
      <c r="A2671" s="74"/>
      <c r="B2671" s="45">
        <v>1411</v>
      </c>
      <c r="C2671" s="64" t="s">
        <v>1793</v>
      </c>
      <c r="D2671" s="74"/>
      <c r="E2671" s="208" t="s">
        <v>161</v>
      </c>
      <c r="F2671" s="209" t="s">
        <v>21</v>
      </c>
      <c r="G2671" s="209" t="s">
        <v>21</v>
      </c>
      <c r="H2671" s="209" t="s">
        <v>272</v>
      </c>
      <c r="I2671" s="210"/>
    </row>
    <row r="2672" spans="1:9" x14ac:dyDescent="0.25">
      <c r="A2672" s="74"/>
      <c r="B2672" s="45">
        <v>1412</v>
      </c>
      <c r="C2672" s="64" t="s">
        <v>1794</v>
      </c>
      <c r="D2672" s="74"/>
      <c r="E2672" s="208" t="s">
        <v>161</v>
      </c>
      <c r="F2672" s="209" t="s">
        <v>21</v>
      </c>
      <c r="G2672" s="209" t="s">
        <v>21</v>
      </c>
      <c r="H2672" s="209" t="s">
        <v>272</v>
      </c>
      <c r="I2672" s="210"/>
    </row>
    <row r="2673" spans="1:9" x14ac:dyDescent="0.25">
      <c r="A2673" s="74"/>
      <c r="B2673" s="45">
        <v>1413</v>
      </c>
      <c r="C2673" s="64" t="s">
        <v>1795</v>
      </c>
      <c r="D2673" s="74"/>
      <c r="E2673" s="208" t="s">
        <v>161</v>
      </c>
      <c r="F2673" s="209" t="s">
        <v>21</v>
      </c>
      <c r="G2673" s="209" t="s">
        <v>21</v>
      </c>
      <c r="H2673" s="209" t="s">
        <v>272</v>
      </c>
      <c r="I2673" s="210"/>
    </row>
    <row r="2674" spans="1:9" x14ac:dyDescent="0.25">
      <c r="A2674" s="74"/>
      <c r="B2674" s="45">
        <v>1414</v>
      </c>
      <c r="C2674" s="64" t="s">
        <v>1796</v>
      </c>
      <c r="D2674" s="74"/>
      <c r="E2674" s="208" t="s">
        <v>161</v>
      </c>
      <c r="F2674" s="209" t="s">
        <v>21</v>
      </c>
      <c r="G2674" s="209" t="s">
        <v>21</v>
      </c>
      <c r="H2674" s="209" t="s">
        <v>272</v>
      </c>
      <c r="I2674" s="210"/>
    </row>
    <row r="2675" spans="1:9" x14ac:dyDescent="0.25">
      <c r="A2675" s="74"/>
      <c r="B2675" s="45">
        <v>1415</v>
      </c>
      <c r="C2675" s="64" t="s">
        <v>1797</v>
      </c>
      <c r="D2675" s="74"/>
      <c r="E2675" s="208" t="s">
        <v>161</v>
      </c>
      <c r="F2675" s="209" t="s">
        <v>21</v>
      </c>
      <c r="G2675" s="209" t="s">
        <v>21</v>
      </c>
      <c r="H2675" s="209" t="s">
        <v>272</v>
      </c>
      <c r="I2675" s="210"/>
    </row>
    <row r="2676" spans="1:9" x14ac:dyDescent="0.25">
      <c r="A2676" s="74"/>
      <c r="B2676" s="45">
        <v>322</v>
      </c>
      <c r="C2676" s="64" t="s">
        <v>734</v>
      </c>
      <c r="D2676" s="74"/>
      <c r="E2676" s="208" t="s">
        <v>161</v>
      </c>
      <c r="F2676" s="209" t="s">
        <v>21</v>
      </c>
      <c r="G2676" s="209" t="s">
        <v>21</v>
      </c>
      <c r="H2676" s="209" t="s">
        <v>272</v>
      </c>
      <c r="I2676" s="210"/>
    </row>
    <row r="2677" spans="1:9" x14ac:dyDescent="0.25">
      <c r="A2677" s="74"/>
      <c r="B2677" s="45">
        <v>1416</v>
      </c>
      <c r="C2677" s="64" t="s">
        <v>1798</v>
      </c>
      <c r="D2677" s="74"/>
      <c r="E2677" s="208" t="s">
        <v>161</v>
      </c>
      <c r="F2677" s="209" t="s">
        <v>21</v>
      </c>
      <c r="G2677" s="209" t="s">
        <v>21</v>
      </c>
      <c r="H2677" s="209" t="s">
        <v>272</v>
      </c>
      <c r="I2677" s="210"/>
    </row>
    <row r="2678" spans="1:9" x14ac:dyDescent="0.25">
      <c r="A2678" s="74"/>
      <c r="B2678" s="45">
        <v>1406</v>
      </c>
      <c r="C2678" s="64" t="s">
        <v>1789</v>
      </c>
      <c r="D2678" s="74"/>
      <c r="E2678" s="208" t="s">
        <v>161</v>
      </c>
      <c r="F2678" s="209" t="s">
        <v>21</v>
      </c>
      <c r="G2678" s="209" t="s">
        <v>21</v>
      </c>
      <c r="H2678" s="209" t="s">
        <v>272</v>
      </c>
      <c r="I2678" s="210"/>
    </row>
    <row r="2679" spans="1:9" x14ac:dyDescent="0.25">
      <c r="A2679" s="74"/>
      <c r="B2679" s="45">
        <v>1407</v>
      </c>
      <c r="C2679" s="64" t="s">
        <v>1731</v>
      </c>
      <c r="D2679" s="74"/>
      <c r="E2679" s="208" t="s">
        <v>161</v>
      </c>
      <c r="F2679" s="209" t="s">
        <v>21</v>
      </c>
      <c r="G2679" s="209" t="s">
        <v>21</v>
      </c>
      <c r="H2679" s="209" t="s">
        <v>272</v>
      </c>
      <c r="I2679" s="210"/>
    </row>
    <row r="2680" spans="1:9" x14ac:dyDescent="0.25">
      <c r="A2680" s="74"/>
      <c r="B2680" s="45">
        <v>1408</v>
      </c>
      <c r="C2680" s="64" t="s">
        <v>1790</v>
      </c>
      <c r="D2680" s="74"/>
      <c r="E2680" s="208" t="s">
        <v>161</v>
      </c>
      <c r="F2680" s="209" t="s">
        <v>21</v>
      </c>
      <c r="G2680" s="209" t="s">
        <v>21</v>
      </c>
      <c r="H2680" s="209" t="s">
        <v>272</v>
      </c>
      <c r="I2680" s="210"/>
    </row>
    <row r="2681" spans="1:9" x14ac:dyDescent="0.25">
      <c r="A2681" s="74"/>
      <c r="B2681" s="45">
        <v>1409</v>
      </c>
      <c r="C2681" s="64" t="s">
        <v>1791</v>
      </c>
      <c r="D2681" s="74"/>
      <c r="E2681" s="208" t="s">
        <v>161</v>
      </c>
      <c r="F2681" s="209" t="s">
        <v>21</v>
      </c>
      <c r="G2681" s="209" t="s">
        <v>21</v>
      </c>
      <c r="H2681" s="209" t="s">
        <v>272</v>
      </c>
      <c r="I2681" s="210"/>
    </row>
    <row r="2682" spans="1:9" x14ac:dyDescent="0.25">
      <c r="A2682" s="74"/>
      <c r="B2682" s="45">
        <v>1410</v>
      </c>
      <c r="C2682" s="64" t="s">
        <v>1792</v>
      </c>
      <c r="D2682" s="74"/>
      <c r="E2682" s="208" t="s">
        <v>161</v>
      </c>
      <c r="F2682" s="209" t="s">
        <v>21</v>
      </c>
      <c r="G2682" s="209" t="s">
        <v>21</v>
      </c>
      <c r="H2682" s="209" t="s">
        <v>272</v>
      </c>
      <c r="I2682" s="210"/>
    </row>
    <row r="2683" spans="1:9" x14ac:dyDescent="0.25">
      <c r="A2683" s="74"/>
      <c r="B2683" s="45">
        <v>1411</v>
      </c>
      <c r="C2683" s="64" t="s">
        <v>1793</v>
      </c>
      <c r="D2683" s="74"/>
      <c r="E2683" s="208" t="s">
        <v>161</v>
      </c>
      <c r="F2683" s="209" t="s">
        <v>21</v>
      </c>
      <c r="G2683" s="209" t="s">
        <v>21</v>
      </c>
      <c r="H2683" s="209" t="s">
        <v>272</v>
      </c>
      <c r="I2683" s="210"/>
    </row>
    <row r="2684" spans="1:9" x14ac:dyDescent="0.25">
      <c r="A2684" s="74"/>
      <c r="B2684" s="45">
        <v>1412</v>
      </c>
      <c r="C2684" s="64" t="s">
        <v>1794</v>
      </c>
      <c r="D2684" s="74"/>
      <c r="E2684" s="208" t="s">
        <v>161</v>
      </c>
      <c r="F2684" s="209" t="s">
        <v>21</v>
      </c>
      <c r="G2684" s="209" t="s">
        <v>21</v>
      </c>
      <c r="H2684" s="209" t="s">
        <v>272</v>
      </c>
      <c r="I2684" s="210"/>
    </row>
    <row r="2685" spans="1:9" x14ac:dyDescent="0.25">
      <c r="A2685" s="74"/>
      <c r="B2685" s="45">
        <v>1413</v>
      </c>
      <c r="C2685" s="64" t="s">
        <v>1795</v>
      </c>
      <c r="D2685" s="74"/>
      <c r="E2685" s="208" t="s">
        <v>161</v>
      </c>
      <c r="F2685" s="209" t="s">
        <v>21</v>
      </c>
      <c r="G2685" s="209" t="s">
        <v>21</v>
      </c>
      <c r="H2685" s="209" t="s">
        <v>272</v>
      </c>
      <c r="I2685" s="210"/>
    </row>
    <row r="2686" spans="1:9" x14ac:dyDescent="0.25">
      <c r="A2686" s="74"/>
      <c r="B2686" s="45">
        <v>1414</v>
      </c>
      <c r="C2686" s="64" t="s">
        <v>1796</v>
      </c>
      <c r="D2686" s="74"/>
      <c r="E2686" s="208" t="s">
        <v>161</v>
      </c>
      <c r="F2686" s="209" t="s">
        <v>21</v>
      </c>
      <c r="G2686" s="209" t="s">
        <v>21</v>
      </c>
      <c r="H2686" s="209" t="s">
        <v>272</v>
      </c>
      <c r="I2686" s="210"/>
    </row>
    <row r="2687" spans="1:9" x14ac:dyDescent="0.25">
      <c r="A2687" s="74"/>
      <c r="B2687" s="45">
        <v>1415</v>
      </c>
      <c r="C2687" s="64" t="s">
        <v>1797</v>
      </c>
      <c r="D2687" s="74"/>
      <c r="E2687" s="208" t="s">
        <v>161</v>
      </c>
      <c r="F2687" s="209" t="s">
        <v>21</v>
      </c>
      <c r="G2687" s="209" t="s">
        <v>21</v>
      </c>
      <c r="H2687" s="209" t="s">
        <v>272</v>
      </c>
      <c r="I2687" s="210"/>
    </row>
    <row r="2688" spans="1:9" x14ac:dyDescent="0.25">
      <c r="A2688" s="74"/>
      <c r="B2688" s="45">
        <v>322</v>
      </c>
      <c r="C2688" s="64" t="s">
        <v>734</v>
      </c>
      <c r="D2688" s="74"/>
      <c r="E2688" s="208" t="s">
        <v>161</v>
      </c>
      <c r="F2688" s="209" t="s">
        <v>21</v>
      </c>
      <c r="G2688" s="209" t="s">
        <v>21</v>
      </c>
      <c r="H2688" s="209" t="s">
        <v>272</v>
      </c>
      <c r="I2688" s="210"/>
    </row>
    <row r="2689" spans="1:9" x14ac:dyDescent="0.25">
      <c r="A2689" s="74"/>
      <c r="B2689" s="45">
        <v>1416</v>
      </c>
      <c r="C2689" s="64" t="s">
        <v>1798</v>
      </c>
      <c r="D2689" s="74"/>
      <c r="E2689" s="208" t="s">
        <v>161</v>
      </c>
      <c r="F2689" s="209" t="s">
        <v>21</v>
      </c>
      <c r="G2689" s="209" t="s">
        <v>21</v>
      </c>
      <c r="H2689" s="209" t="s">
        <v>272</v>
      </c>
      <c r="I2689" s="210"/>
    </row>
    <row r="2690" spans="1:9" x14ac:dyDescent="0.25">
      <c r="A2690" s="74"/>
      <c r="B2690" s="45">
        <v>328</v>
      </c>
      <c r="C2690" s="64" t="s">
        <v>740</v>
      </c>
      <c r="D2690" s="74"/>
      <c r="E2690" s="208" t="s">
        <v>161</v>
      </c>
      <c r="F2690" s="209" t="s">
        <v>21</v>
      </c>
      <c r="G2690" s="209" t="s">
        <v>21</v>
      </c>
      <c r="H2690" s="209" t="s">
        <v>192</v>
      </c>
      <c r="I2690" s="210"/>
    </row>
    <row r="2691" spans="1:9" x14ac:dyDescent="0.25">
      <c r="A2691" s="74"/>
      <c r="B2691" s="45">
        <v>327</v>
      </c>
      <c r="C2691" s="64" t="s">
        <v>739</v>
      </c>
      <c r="D2691" s="74"/>
      <c r="E2691" s="208" t="s">
        <v>161</v>
      </c>
      <c r="F2691" s="209" t="s">
        <v>21</v>
      </c>
      <c r="G2691" s="209" t="s">
        <v>21</v>
      </c>
      <c r="H2691" s="209" t="s">
        <v>192</v>
      </c>
      <c r="I2691" s="210"/>
    </row>
    <row r="2692" spans="1:9" x14ac:dyDescent="0.25">
      <c r="A2692" s="74"/>
      <c r="B2692" s="45">
        <v>1418</v>
      </c>
      <c r="C2692" s="64" t="s">
        <v>1799</v>
      </c>
      <c r="D2692" s="74"/>
      <c r="E2692" s="208" t="s">
        <v>161</v>
      </c>
      <c r="F2692" s="209" t="s">
        <v>21</v>
      </c>
      <c r="G2692" s="209" t="s">
        <v>21</v>
      </c>
      <c r="H2692" s="209" t="s">
        <v>272</v>
      </c>
      <c r="I2692" s="210"/>
    </row>
    <row r="2693" spans="1:9" x14ac:dyDescent="0.25">
      <c r="A2693" s="74"/>
      <c r="B2693" s="45">
        <v>1419</v>
      </c>
      <c r="C2693" s="64" t="s">
        <v>1800</v>
      </c>
      <c r="D2693" s="74"/>
      <c r="E2693" s="208" t="s">
        <v>161</v>
      </c>
      <c r="F2693" s="209" t="s">
        <v>21</v>
      </c>
      <c r="G2693" s="209" t="s">
        <v>21</v>
      </c>
      <c r="H2693" s="209" t="s">
        <v>272</v>
      </c>
      <c r="I2693" s="210"/>
    </row>
    <row r="2694" spans="1:9" x14ac:dyDescent="0.25">
      <c r="A2694" s="74"/>
      <c r="B2694" s="45">
        <v>1420</v>
      </c>
      <c r="C2694" s="64" t="s">
        <v>1801</v>
      </c>
      <c r="D2694" s="74"/>
      <c r="E2694" s="208" t="s">
        <v>161</v>
      </c>
      <c r="F2694" s="209" t="s">
        <v>21</v>
      </c>
      <c r="G2694" s="209" t="s">
        <v>21</v>
      </c>
      <c r="H2694" s="209" t="s">
        <v>272</v>
      </c>
      <c r="I2694" s="210"/>
    </row>
    <row r="2695" spans="1:9" x14ac:dyDescent="0.25">
      <c r="A2695" s="74"/>
      <c r="B2695" s="45">
        <v>1421</v>
      </c>
      <c r="C2695" s="64" t="s">
        <v>1674</v>
      </c>
      <c r="D2695" s="74"/>
      <c r="E2695" s="208" t="s">
        <v>161</v>
      </c>
      <c r="F2695" s="209" t="s">
        <v>21</v>
      </c>
      <c r="G2695" s="209" t="s">
        <v>21</v>
      </c>
      <c r="H2695" s="209" t="s">
        <v>272</v>
      </c>
      <c r="I2695" s="210"/>
    </row>
    <row r="2696" spans="1:9" x14ac:dyDescent="0.25">
      <c r="A2696" s="74"/>
      <c r="B2696" s="45">
        <v>1422</v>
      </c>
      <c r="C2696" s="64" t="s">
        <v>1802</v>
      </c>
      <c r="D2696" s="74"/>
      <c r="E2696" s="208" t="s">
        <v>161</v>
      </c>
      <c r="F2696" s="209" t="s">
        <v>21</v>
      </c>
      <c r="G2696" s="209" t="s">
        <v>21</v>
      </c>
      <c r="H2696" s="209" t="s">
        <v>272</v>
      </c>
      <c r="I2696" s="210"/>
    </row>
    <row r="2697" spans="1:9" x14ac:dyDescent="0.25">
      <c r="A2697" s="74"/>
      <c r="B2697" s="45">
        <v>1418</v>
      </c>
      <c r="C2697" s="64" t="s">
        <v>1799</v>
      </c>
      <c r="D2697" s="74"/>
      <c r="E2697" s="208" t="s">
        <v>161</v>
      </c>
      <c r="F2697" s="209" t="s">
        <v>21</v>
      </c>
      <c r="G2697" s="209" t="s">
        <v>21</v>
      </c>
      <c r="H2697" s="209" t="s">
        <v>272</v>
      </c>
      <c r="I2697" s="210"/>
    </row>
    <row r="2698" spans="1:9" x14ac:dyDescent="0.25">
      <c r="A2698" s="74"/>
      <c r="B2698" s="45">
        <v>1419</v>
      </c>
      <c r="C2698" s="64" t="s">
        <v>1800</v>
      </c>
      <c r="D2698" s="74"/>
      <c r="E2698" s="208" t="s">
        <v>161</v>
      </c>
      <c r="F2698" s="209" t="s">
        <v>21</v>
      </c>
      <c r="G2698" s="209" t="s">
        <v>21</v>
      </c>
      <c r="H2698" s="209" t="s">
        <v>272</v>
      </c>
      <c r="I2698" s="210"/>
    </row>
    <row r="2699" spans="1:9" x14ac:dyDescent="0.25">
      <c r="A2699" s="74"/>
      <c r="B2699" s="45">
        <v>1420</v>
      </c>
      <c r="C2699" s="64" t="s">
        <v>1801</v>
      </c>
      <c r="D2699" s="74"/>
      <c r="E2699" s="208" t="s">
        <v>161</v>
      </c>
      <c r="F2699" s="209" t="s">
        <v>21</v>
      </c>
      <c r="G2699" s="209" t="s">
        <v>21</v>
      </c>
      <c r="H2699" s="209" t="s">
        <v>272</v>
      </c>
      <c r="I2699" s="210"/>
    </row>
    <row r="2700" spans="1:9" x14ac:dyDescent="0.25">
      <c r="A2700" s="74"/>
      <c r="B2700" s="45">
        <v>1421</v>
      </c>
      <c r="C2700" s="64" t="s">
        <v>1674</v>
      </c>
      <c r="D2700" s="74"/>
      <c r="E2700" s="208" t="s">
        <v>161</v>
      </c>
      <c r="F2700" s="209" t="s">
        <v>21</v>
      </c>
      <c r="G2700" s="209" t="s">
        <v>21</v>
      </c>
      <c r="H2700" s="209" t="s">
        <v>272</v>
      </c>
      <c r="I2700" s="210"/>
    </row>
    <row r="2701" spans="1:9" x14ac:dyDescent="0.25">
      <c r="A2701" s="74"/>
      <c r="B2701" s="45">
        <v>1422</v>
      </c>
      <c r="C2701" s="64" t="s">
        <v>1802</v>
      </c>
      <c r="D2701" s="74"/>
      <c r="E2701" s="208" t="s">
        <v>161</v>
      </c>
      <c r="F2701" s="209" t="s">
        <v>21</v>
      </c>
      <c r="G2701" s="209" t="s">
        <v>21</v>
      </c>
      <c r="H2701" s="209" t="s">
        <v>272</v>
      </c>
      <c r="I2701" s="210"/>
    </row>
    <row r="2702" spans="1:9" x14ac:dyDescent="0.25">
      <c r="A2702" s="74"/>
      <c r="B2702" s="45">
        <v>1418</v>
      </c>
      <c r="C2702" s="64" t="s">
        <v>1799</v>
      </c>
      <c r="D2702" s="74"/>
      <c r="E2702" s="208" t="s">
        <v>161</v>
      </c>
      <c r="F2702" s="209" t="s">
        <v>21</v>
      </c>
      <c r="G2702" s="209" t="s">
        <v>21</v>
      </c>
      <c r="H2702" s="209" t="s">
        <v>272</v>
      </c>
      <c r="I2702" s="210"/>
    </row>
    <row r="2703" spans="1:9" x14ac:dyDescent="0.25">
      <c r="A2703" s="74"/>
      <c r="B2703" s="45">
        <v>1419</v>
      </c>
      <c r="C2703" s="64" t="s">
        <v>1800</v>
      </c>
      <c r="D2703" s="74"/>
      <c r="E2703" s="208" t="s">
        <v>161</v>
      </c>
      <c r="F2703" s="209" t="s">
        <v>21</v>
      </c>
      <c r="G2703" s="209" t="s">
        <v>21</v>
      </c>
      <c r="H2703" s="209" t="s">
        <v>272</v>
      </c>
      <c r="I2703" s="210"/>
    </row>
    <row r="2704" spans="1:9" x14ac:dyDescent="0.25">
      <c r="A2704" s="74"/>
      <c r="B2704" s="45">
        <v>1420</v>
      </c>
      <c r="C2704" s="64" t="s">
        <v>1801</v>
      </c>
      <c r="D2704" s="74"/>
      <c r="E2704" s="208" t="s">
        <v>161</v>
      </c>
      <c r="F2704" s="209" t="s">
        <v>21</v>
      </c>
      <c r="G2704" s="209" t="s">
        <v>21</v>
      </c>
      <c r="H2704" s="209" t="s">
        <v>272</v>
      </c>
      <c r="I2704" s="210"/>
    </row>
    <row r="2705" spans="1:9" x14ac:dyDescent="0.25">
      <c r="A2705" s="74"/>
      <c r="B2705" s="45">
        <v>1421</v>
      </c>
      <c r="C2705" s="64" t="s">
        <v>1674</v>
      </c>
      <c r="D2705" s="74"/>
      <c r="E2705" s="208" t="s">
        <v>161</v>
      </c>
      <c r="F2705" s="209" t="s">
        <v>21</v>
      </c>
      <c r="G2705" s="209" t="s">
        <v>21</v>
      </c>
      <c r="H2705" s="209" t="s">
        <v>272</v>
      </c>
      <c r="I2705" s="210"/>
    </row>
    <row r="2706" spans="1:9" x14ac:dyDescent="0.25">
      <c r="A2706" s="74"/>
      <c r="B2706" s="45">
        <v>1422</v>
      </c>
      <c r="C2706" s="64" t="s">
        <v>1802</v>
      </c>
      <c r="D2706" s="74"/>
      <c r="E2706" s="208" t="s">
        <v>161</v>
      </c>
      <c r="F2706" s="209" t="s">
        <v>21</v>
      </c>
      <c r="G2706" s="209" t="s">
        <v>21</v>
      </c>
      <c r="H2706" s="209" t="s">
        <v>272</v>
      </c>
      <c r="I2706" s="210"/>
    </row>
    <row r="2707" spans="1:9" x14ac:dyDescent="0.25">
      <c r="A2707" s="74"/>
      <c r="B2707" s="45">
        <v>1423</v>
      </c>
      <c r="C2707" s="64" t="s">
        <v>1803</v>
      </c>
      <c r="D2707" s="74"/>
      <c r="E2707" s="208" t="s">
        <v>161</v>
      </c>
      <c r="F2707" s="209" t="s">
        <v>21</v>
      </c>
      <c r="G2707" s="209" t="s">
        <v>21</v>
      </c>
      <c r="H2707" s="209" t="s">
        <v>272</v>
      </c>
      <c r="I2707" s="210"/>
    </row>
    <row r="2708" spans="1:9" x14ac:dyDescent="0.25">
      <c r="A2708" s="74"/>
      <c r="B2708" s="45">
        <v>1424</v>
      </c>
      <c r="C2708" s="64" t="s">
        <v>1804</v>
      </c>
      <c r="D2708" s="74"/>
      <c r="E2708" s="208" t="s">
        <v>161</v>
      </c>
      <c r="F2708" s="209" t="s">
        <v>21</v>
      </c>
      <c r="G2708" s="209" t="s">
        <v>21</v>
      </c>
      <c r="H2708" s="209" t="s">
        <v>272</v>
      </c>
      <c r="I2708" s="210"/>
    </row>
    <row r="2709" spans="1:9" x14ac:dyDescent="0.25">
      <c r="A2709" s="74"/>
      <c r="B2709" s="45">
        <v>1425</v>
      </c>
      <c r="C2709" s="64" t="s">
        <v>1805</v>
      </c>
      <c r="D2709" s="74"/>
      <c r="E2709" s="208" t="s">
        <v>161</v>
      </c>
      <c r="F2709" s="209" t="s">
        <v>21</v>
      </c>
      <c r="G2709" s="209" t="s">
        <v>21</v>
      </c>
      <c r="H2709" s="209" t="s">
        <v>16</v>
      </c>
      <c r="I2709" s="210"/>
    </row>
    <row r="2710" spans="1:9" x14ac:dyDescent="0.25">
      <c r="A2710" s="74"/>
      <c r="B2710" s="45">
        <v>1426</v>
      </c>
      <c r="C2710" s="64" t="s">
        <v>1806</v>
      </c>
      <c r="D2710" s="74"/>
      <c r="E2710" s="208" t="s">
        <v>161</v>
      </c>
      <c r="F2710" s="209" t="s">
        <v>21</v>
      </c>
      <c r="G2710" s="209" t="s">
        <v>21</v>
      </c>
      <c r="H2710" s="209" t="s">
        <v>272</v>
      </c>
      <c r="I2710" s="210"/>
    </row>
    <row r="2711" spans="1:9" x14ac:dyDescent="0.25">
      <c r="A2711" s="74"/>
      <c r="B2711" s="45">
        <v>1427</v>
      </c>
      <c r="C2711" s="64" t="s">
        <v>1807</v>
      </c>
      <c r="D2711" s="74"/>
      <c r="E2711" s="208" t="s">
        <v>161</v>
      </c>
      <c r="F2711" s="209" t="s">
        <v>21</v>
      </c>
      <c r="G2711" s="209" t="s">
        <v>21</v>
      </c>
      <c r="H2711" s="209" t="s">
        <v>272</v>
      </c>
      <c r="I2711" s="210"/>
    </row>
    <row r="2712" spans="1:9" x14ac:dyDescent="0.25">
      <c r="A2712" s="74"/>
      <c r="B2712" s="45">
        <v>1428</v>
      </c>
      <c r="C2712" s="64" t="s">
        <v>1808</v>
      </c>
      <c r="D2712" s="74"/>
      <c r="E2712" s="208" t="s">
        <v>161</v>
      </c>
      <c r="F2712" s="209" t="s">
        <v>21</v>
      </c>
      <c r="G2712" s="209" t="s">
        <v>21</v>
      </c>
      <c r="H2712" s="209" t="s">
        <v>272</v>
      </c>
      <c r="I2712" s="210"/>
    </row>
    <row r="2713" spans="1:9" x14ac:dyDescent="0.25">
      <c r="A2713" s="74"/>
      <c r="B2713" s="45">
        <v>1426</v>
      </c>
      <c r="C2713" s="64" t="s">
        <v>1806</v>
      </c>
      <c r="D2713" s="74"/>
      <c r="E2713" s="208" t="s">
        <v>161</v>
      </c>
      <c r="F2713" s="209" t="s">
        <v>21</v>
      </c>
      <c r="G2713" s="209" t="s">
        <v>21</v>
      </c>
      <c r="H2713" s="209" t="s">
        <v>272</v>
      </c>
      <c r="I2713" s="210"/>
    </row>
    <row r="2714" spans="1:9" x14ac:dyDescent="0.25">
      <c r="A2714" s="74"/>
      <c r="B2714" s="45">
        <v>1427</v>
      </c>
      <c r="C2714" s="64" t="s">
        <v>1807</v>
      </c>
      <c r="D2714" s="74"/>
      <c r="E2714" s="208" t="s">
        <v>161</v>
      </c>
      <c r="F2714" s="209" t="s">
        <v>21</v>
      </c>
      <c r="G2714" s="209" t="s">
        <v>21</v>
      </c>
      <c r="H2714" s="209" t="s">
        <v>272</v>
      </c>
      <c r="I2714" s="210"/>
    </row>
    <row r="2715" spans="1:9" x14ac:dyDescent="0.25">
      <c r="A2715" s="74"/>
      <c r="B2715" s="45">
        <v>1428</v>
      </c>
      <c r="C2715" s="64" t="s">
        <v>1808</v>
      </c>
      <c r="D2715" s="74"/>
      <c r="E2715" s="208" t="s">
        <v>161</v>
      </c>
      <c r="F2715" s="209" t="s">
        <v>21</v>
      </c>
      <c r="G2715" s="209" t="s">
        <v>21</v>
      </c>
      <c r="H2715" s="209" t="s">
        <v>272</v>
      </c>
      <c r="I2715" s="210"/>
    </row>
    <row r="2716" spans="1:9" x14ac:dyDescent="0.25">
      <c r="A2716" s="74"/>
      <c r="B2716" s="45">
        <v>1426</v>
      </c>
      <c r="C2716" s="64" t="s">
        <v>1806</v>
      </c>
      <c r="D2716" s="74"/>
      <c r="E2716" s="208" t="s">
        <v>161</v>
      </c>
      <c r="F2716" s="209" t="s">
        <v>21</v>
      </c>
      <c r="G2716" s="209" t="s">
        <v>21</v>
      </c>
      <c r="H2716" s="209" t="s">
        <v>272</v>
      </c>
      <c r="I2716" s="210"/>
    </row>
    <row r="2717" spans="1:9" x14ac:dyDescent="0.25">
      <c r="A2717" s="74"/>
      <c r="B2717" s="45">
        <v>1427</v>
      </c>
      <c r="C2717" s="64" t="s">
        <v>1807</v>
      </c>
      <c r="D2717" s="74"/>
      <c r="E2717" s="208" t="s">
        <v>161</v>
      </c>
      <c r="F2717" s="209" t="s">
        <v>21</v>
      </c>
      <c r="G2717" s="209" t="s">
        <v>21</v>
      </c>
      <c r="H2717" s="209" t="s">
        <v>272</v>
      </c>
      <c r="I2717" s="210"/>
    </row>
    <row r="2718" spans="1:9" x14ac:dyDescent="0.25">
      <c r="A2718" s="74"/>
      <c r="B2718" s="45">
        <v>1428</v>
      </c>
      <c r="C2718" s="64" t="s">
        <v>1808</v>
      </c>
      <c r="D2718" s="74"/>
      <c r="E2718" s="208" t="s">
        <v>161</v>
      </c>
      <c r="F2718" s="209" t="s">
        <v>21</v>
      </c>
      <c r="G2718" s="209" t="s">
        <v>21</v>
      </c>
      <c r="H2718" s="209" t="s">
        <v>272</v>
      </c>
      <c r="I2718" s="210"/>
    </row>
    <row r="2719" spans="1:9" x14ac:dyDescent="0.25">
      <c r="A2719" s="74"/>
      <c r="B2719" s="45">
        <v>1426</v>
      </c>
      <c r="C2719" s="64" t="s">
        <v>1806</v>
      </c>
      <c r="D2719" s="74"/>
      <c r="E2719" s="208" t="s">
        <v>161</v>
      </c>
      <c r="F2719" s="209" t="s">
        <v>21</v>
      </c>
      <c r="G2719" s="209" t="s">
        <v>21</v>
      </c>
      <c r="H2719" s="209" t="s">
        <v>272</v>
      </c>
      <c r="I2719" s="210"/>
    </row>
    <row r="2720" spans="1:9" x14ac:dyDescent="0.25">
      <c r="A2720" s="74"/>
      <c r="B2720" s="45">
        <v>1427</v>
      </c>
      <c r="C2720" s="64" t="s">
        <v>1807</v>
      </c>
      <c r="D2720" s="74"/>
      <c r="E2720" s="208" t="s">
        <v>161</v>
      </c>
      <c r="F2720" s="209" t="s">
        <v>21</v>
      </c>
      <c r="G2720" s="209" t="s">
        <v>21</v>
      </c>
      <c r="H2720" s="209" t="s">
        <v>272</v>
      </c>
      <c r="I2720" s="210"/>
    </row>
    <row r="2721" spans="1:9" x14ac:dyDescent="0.25">
      <c r="A2721" s="74"/>
      <c r="B2721" s="45">
        <v>1428</v>
      </c>
      <c r="C2721" s="64" t="s">
        <v>1808</v>
      </c>
      <c r="D2721" s="74"/>
      <c r="E2721" s="208" t="s">
        <v>161</v>
      </c>
      <c r="F2721" s="209" t="s">
        <v>21</v>
      </c>
      <c r="G2721" s="209" t="s">
        <v>21</v>
      </c>
      <c r="H2721" s="209" t="s">
        <v>272</v>
      </c>
      <c r="I2721" s="210"/>
    </row>
    <row r="2722" spans="1:9" x14ac:dyDescent="0.25">
      <c r="A2722" s="74"/>
      <c r="B2722" s="45">
        <v>1377</v>
      </c>
      <c r="C2722" s="64" t="s">
        <v>1569</v>
      </c>
      <c r="D2722" s="74"/>
      <c r="E2722" s="208" t="s">
        <v>281</v>
      </c>
      <c r="F2722" s="209" t="s">
        <v>21</v>
      </c>
      <c r="G2722" s="209" t="s">
        <v>21</v>
      </c>
      <c r="H2722" s="209" t="s">
        <v>16</v>
      </c>
      <c r="I2722" s="210"/>
    </row>
    <row r="2723" spans="1:9" x14ac:dyDescent="0.25">
      <c r="A2723" s="74"/>
      <c r="B2723" s="45">
        <v>336</v>
      </c>
      <c r="C2723" s="64" t="s">
        <v>748</v>
      </c>
      <c r="D2723" s="74"/>
      <c r="E2723" s="208" t="s">
        <v>161</v>
      </c>
      <c r="F2723" s="209" t="s">
        <v>21</v>
      </c>
      <c r="G2723" s="209" t="s">
        <v>21</v>
      </c>
      <c r="H2723" s="209" t="s">
        <v>192</v>
      </c>
      <c r="I2723" s="210"/>
    </row>
    <row r="2724" spans="1:9" x14ac:dyDescent="0.25">
      <c r="A2724" s="74"/>
      <c r="B2724" s="45">
        <v>1427</v>
      </c>
      <c r="C2724" s="64" t="s">
        <v>1807</v>
      </c>
      <c r="D2724" s="74"/>
      <c r="E2724" s="208" t="s">
        <v>161</v>
      </c>
      <c r="F2724" s="209" t="s">
        <v>21</v>
      </c>
      <c r="G2724" s="209" t="s">
        <v>21</v>
      </c>
      <c r="H2724" s="209" t="s">
        <v>272</v>
      </c>
      <c r="I2724" s="210"/>
    </row>
    <row r="2725" spans="1:9" x14ac:dyDescent="0.25">
      <c r="A2725" s="74"/>
      <c r="B2725" s="45">
        <v>1429</v>
      </c>
      <c r="C2725" s="64" t="s">
        <v>1809</v>
      </c>
      <c r="D2725" s="74"/>
      <c r="E2725" s="208" t="s">
        <v>161</v>
      </c>
      <c r="F2725" s="209" t="s">
        <v>21</v>
      </c>
      <c r="G2725" s="209" t="s">
        <v>21</v>
      </c>
      <c r="H2725" s="209" t="s">
        <v>272</v>
      </c>
      <c r="I2725" s="210"/>
    </row>
    <row r="2726" spans="1:9" x14ac:dyDescent="0.25">
      <c r="A2726" s="74"/>
      <c r="B2726" s="45">
        <v>1430</v>
      </c>
      <c r="C2726" s="64" t="s">
        <v>1810</v>
      </c>
      <c r="D2726" s="74"/>
      <c r="E2726" s="208" t="s">
        <v>161</v>
      </c>
      <c r="F2726" s="209" t="s">
        <v>21</v>
      </c>
      <c r="G2726" s="209" t="s">
        <v>21</v>
      </c>
      <c r="H2726" s="209" t="s">
        <v>192</v>
      </c>
      <c r="I2726" s="210"/>
    </row>
    <row r="2727" spans="1:9" x14ac:dyDescent="0.25">
      <c r="A2727" s="74"/>
      <c r="B2727" s="45">
        <v>340</v>
      </c>
      <c r="C2727" s="64" t="s">
        <v>752</v>
      </c>
      <c r="D2727" s="74"/>
      <c r="E2727" s="208" t="s">
        <v>161</v>
      </c>
      <c r="F2727" s="209" t="s">
        <v>21</v>
      </c>
      <c r="G2727" s="209" t="s">
        <v>21</v>
      </c>
      <c r="H2727" s="209" t="s">
        <v>192</v>
      </c>
      <c r="I2727" s="210"/>
    </row>
    <row r="2728" spans="1:9" x14ac:dyDescent="0.25">
      <c r="A2728" s="74"/>
      <c r="B2728" s="45">
        <v>1429</v>
      </c>
      <c r="C2728" s="64" t="s">
        <v>1809</v>
      </c>
      <c r="D2728" s="74"/>
      <c r="E2728" s="208" t="s">
        <v>161</v>
      </c>
      <c r="F2728" s="209" t="s">
        <v>21</v>
      </c>
      <c r="G2728" s="209" t="s">
        <v>21</v>
      </c>
      <c r="H2728" s="209" t="s">
        <v>272</v>
      </c>
      <c r="I2728" s="210"/>
    </row>
    <row r="2729" spans="1:9" x14ac:dyDescent="0.25">
      <c r="A2729" s="74"/>
      <c r="B2729" s="45">
        <v>1394</v>
      </c>
      <c r="C2729" s="64" t="s">
        <v>1777</v>
      </c>
      <c r="D2729" s="74"/>
      <c r="E2729" s="208" t="s">
        <v>161</v>
      </c>
      <c r="F2729" s="209" t="s">
        <v>21</v>
      </c>
      <c r="G2729" s="209" t="s">
        <v>21</v>
      </c>
      <c r="H2729" s="209" t="s">
        <v>272</v>
      </c>
      <c r="I2729" s="210"/>
    </row>
    <row r="2730" spans="1:9" x14ac:dyDescent="0.25">
      <c r="A2730" s="74"/>
      <c r="B2730" s="45">
        <v>1431</v>
      </c>
      <c r="C2730" s="64" t="s">
        <v>1811</v>
      </c>
      <c r="D2730" s="74"/>
      <c r="E2730" s="208" t="s">
        <v>161</v>
      </c>
      <c r="F2730" s="209" t="s">
        <v>21</v>
      </c>
      <c r="G2730" s="209" t="s">
        <v>21</v>
      </c>
      <c r="H2730" s="209" t="s">
        <v>272</v>
      </c>
      <c r="I2730" s="210"/>
    </row>
    <row r="2731" spans="1:9" x14ac:dyDescent="0.25">
      <c r="A2731" s="74"/>
      <c r="B2731" s="45">
        <v>337</v>
      </c>
      <c r="C2731" s="64" t="s">
        <v>749</v>
      </c>
      <c r="D2731" s="74"/>
      <c r="E2731" s="208" t="s">
        <v>161</v>
      </c>
      <c r="F2731" s="209" t="s">
        <v>21</v>
      </c>
      <c r="G2731" s="209" t="s">
        <v>21</v>
      </c>
      <c r="H2731" s="209" t="s">
        <v>192</v>
      </c>
      <c r="I2731" s="210"/>
    </row>
    <row r="2732" spans="1:9" x14ac:dyDescent="0.25">
      <c r="A2732" s="74"/>
      <c r="B2732" s="45">
        <v>1432</v>
      </c>
      <c r="C2732" s="64" t="s">
        <v>1812</v>
      </c>
      <c r="D2732" s="74"/>
      <c r="E2732" s="208" t="s">
        <v>161</v>
      </c>
      <c r="F2732" s="209" t="s">
        <v>21</v>
      </c>
      <c r="G2732" s="209" t="s">
        <v>21</v>
      </c>
      <c r="H2732" s="209" t="s">
        <v>272</v>
      </c>
      <c r="I2732" s="210"/>
    </row>
    <row r="2733" spans="1:9" x14ac:dyDescent="0.25">
      <c r="A2733" s="74"/>
      <c r="B2733" s="45">
        <v>1433</v>
      </c>
      <c r="C2733" s="64" t="s">
        <v>1813</v>
      </c>
      <c r="D2733" s="74"/>
      <c r="E2733" s="208" t="s">
        <v>161</v>
      </c>
      <c r="F2733" s="209" t="s">
        <v>21</v>
      </c>
      <c r="G2733" s="209" t="s">
        <v>21</v>
      </c>
      <c r="H2733" s="209" t="s">
        <v>272</v>
      </c>
      <c r="I2733" s="210"/>
    </row>
    <row r="2734" spans="1:9" x14ac:dyDescent="0.25">
      <c r="A2734" s="74"/>
      <c r="B2734" s="45">
        <v>338</v>
      </c>
      <c r="C2734" s="64" t="s">
        <v>750</v>
      </c>
      <c r="D2734" s="74"/>
      <c r="E2734" s="208" t="s">
        <v>161</v>
      </c>
      <c r="F2734" s="209" t="s">
        <v>21</v>
      </c>
      <c r="G2734" s="209" t="s">
        <v>21</v>
      </c>
      <c r="H2734" s="209" t="s">
        <v>272</v>
      </c>
      <c r="I2734" s="210"/>
    </row>
    <row r="2735" spans="1:9" x14ac:dyDescent="0.25">
      <c r="A2735" s="74"/>
      <c r="B2735" s="45">
        <v>1434</v>
      </c>
      <c r="C2735" s="64" t="s">
        <v>1814</v>
      </c>
      <c r="D2735" s="74"/>
      <c r="E2735" s="208" t="s">
        <v>161</v>
      </c>
      <c r="F2735" s="209" t="s">
        <v>21</v>
      </c>
      <c r="G2735" s="209" t="s">
        <v>21</v>
      </c>
      <c r="H2735" s="209" t="s">
        <v>272</v>
      </c>
      <c r="I2735" s="210"/>
    </row>
    <row r="2736" spans="1:9" x14ac:dyDescent="0.25">
      <c r="A2736" s="74"/>
      <c r="B2736" s="45">
        <v>1432</v>
      </c>
      <c r="C2736" s="64" t="s">
        <v>1812</v>
      </c>
      <c r="D2736" s="74"/>
      <c r="E2736" s="208" t="s">
        <v>161</v>
      </c>
      <c r="F2736" s="209" t="s">
        <v>21</v>
      </c>
      <c r="G2736" s="209" t="s">
        <v>21</v>
      </c>
      <c r="H2736" s="209" t="s">
        <v>272</v>
      </c>
      <c r="I2736" s="210"/>
    </row>
    <row r="2737" spans="1:9" x14ac:dyDescent="0.25">
      <c r="A2737" s="74"/>
      <c r="B2737" s="45">
        <v>1435</v>
      </c>
      <c r="C2737" s="64" t="s">
        <v>1815</v>
      </c>
      <c r="D2737" s="74"/>
      <c r="E2737" s="208" t="s">
        <v>161</v>
      </c>
      <c r="F2737" s="209" t="s">
        <v>21</v>
      </c>
      <c r="G2737" s="209" t="s">
        <v>21</v>
      </c>
      <c r="H2737" s="209" t="s">
        <v>272</v>
      </c>
      <c r="I2737" s="210"/>
    </row>
    <row r="2738" spans="1:9" x14ac:dyDescent="0.25">
      <c r="A2738" s="74"/>
      <c r="B2738" s="45">
        <v>1436</v>
      </c>
      <c r="C2738" s="64" t="s">
        <v>1816</v>
      </c>
      <c r="D2738" s="74"/>
      <c r="E2738" s="208" t="s">
        <v>161</v>
      </c>
      <c r="F2738" s="209" t="s">
        <v>21</v>
      </c>
      <c r="G2738" s="209" t="s">
        <v>21</v>
      </c>
      <c r="H2738" s="209" t="s">
        <v>189</v>
      </c>
      <c r="I2738" s="210"/>
    </row>
    <row r="2739" spans="1:9" x14ac:dyDescent="0.25">
      <c r="A2739" s="74"/>
      <c r="B2739" s="45">
        <v>340</v>
      </c>
      <c r="C2739" s="64" t="s">
        <v>752</v>
      </c>
      <c r="D2739" s="74"/>
      <c r="E2739" s="208" t="s">
        <v>161</v>
      </c>
      <c r="F2739" s="209" t="s">
        <v>21</v>
      </c>
      <c r="G2739" s="209" t="s">
        <v>21</v>
      </c>
      <c r="H2739" s="209" t="s">
        <v>192</v>
      </c>
      <c r="I2739" s="210"/>
    </row>
    <row r="2740" spans="1:9" x14ac:dyDescent="0.25">
      <c r="A2740" s="74"/>
      <c r="B2740" s="45">
        <v>1437</v>
      </c>
      <c r="C2740" s="64" t="s">
        <v>1817</v>
      </c>
      <c r="D2740" s="74"/>
      <c r="E2740" s="208" t="s">
        <v>160</v>
      </c>
      <c r="F2740" s="209" t="s">
        <v>21</v>
      </c>
      <c r="G2740" s="209" t="s">
        <v>21</v>
      </c>
      <c r="H2740" s="209" t="s">
        <v>189</v>
      </c>
      <c r="I2740" s="210"/>
    </row>
    <row r="2741" spans="1:9" x14ac:dyDescent="0.25">
      <c r="A2741" s="74"/>
      <c r="B2741" s="45">
        <v>360</v>
      </c>
      <c r="C2741" s="64" t="s">
        <v>772</v>
      </c>
      <c r="D2741" s="74"/>
      <c r="E2741" s="208" t="s">
        <v>160</v>
      </c>
      <c r="F2741" s="209" t="s">
        <v>21</v>
      </c>
      <c r="G2741" s="209" t="s">
        <v>21</v>
      </c>
      <c r="H2741" s="209" t="s">
        <v>192</v>
      </c>
      <c r="I2741" s="210"/>
    </row>
    <row r="2742" spans="1:9" x14ac:dyDescent="0.25">
      <c r="A2742" s="74"/>
      <c r="B2742" s="45">
        <v>355</v>
      </c>
      <c r="C2742" s="64" t="s">
        <v>767</v>
      </c>
      <c r="D2742" s="74"/>
      <c r="E2742" s="208" t="s">
        <v>160</v>
      </c>
      <c r="F2742" s="209" t="s">
        <v>21</v>
      </c>
      <c r="G2742" s="209" t="s">
        <v>21</v>
      </c>
      <c r="H2742" s="209" t="s">
        <v>194</v>
      </c>
      <c r="I2742" s="210"/>
    </row>
    <row r="2743" spans="1:9" x14ac:dyDescent="0.25">
      <c r="A2743" s="74"/>
      <c r="B2743" s="45">
        <v>1438</v>
      </c>
      <c r="C2743" s="64" t="s">
        <v>1818</v>
      </c>
      <c r="D2743" s="74"/>
      <c r="E2743" s="208" t="s">
        <v>160</v>
      </c>
      <c r="F2743" s="209" t="s">
        <v>21</v>
      </c>
      <c r="G2743" s="209" t="s">
        <v>21</v>
      </c>
      <c r="H2743" s="209" t="s">
        <v>189</v>
      </c>
      <c r="I2743" s="210"/>
    </row>
    <row r="2744" spans="1:9" x14ac:dyDescent="0.25">
      <c r="A2744" s="74"/>
      <c r="B2744" s="45">
        <v>350</v>
      </c>
      <c r="C2744" s="64" t="s">
        <v>762</v>
      </c>
      <c r="D2744" s="74"/>
      <c r="E2744" s="208" t="s">
        <v>160</v>
      </c>
      <c r="F2744" s="209" t="s">
        <v>21</v>
      </c>
      <c r="G2744" s="209" t="s">
        <v>21</v>
      </c>
      <c r="H2744" s="209" t="s">
        <v>192</v>
      </c>
      <c r="I2744" s="210"/>
    </row>
    <row r="2745" spans="1:9" x14ac:dyDescent="0.25">
      <c r="A2745" s="74"/>
      <c r="B2745" s="45">
        <v>351</v>
      </c>
      <c r="C2745" s="64" t="s">
        <v>763</v>
      </c>
      <c r="D2745" s="74"/>
      <c r="E2745" s="208" t="s">
        <v>160</v>
      </c>
      <c r="F2745" s="209" t="s">
        <v>21</v>
      </c>
      <c r="G2745" s="209" t="s">
        <v>21</v>
      </c>
      <c r="H2745" s="209" t="s">
        <v>189</v>
      </c>
      <c r="I2745" s="210"/>
    </row>
    <row r="2746" spans="1:9" x14ac:dyDescent="0.25">
      <c r="A2746" s="74"/>
      <c r="B2746" s="45">
        <v>1439</v>
      </c>
      <c r="C2746" s="64" t="s">
        <v>1819</v>
      </c>
      <c r="D2746" s="74"/>
      <c r="E2746" s="208" t="s">
        <v>160</v>
      </c>
      <c r="F2746" s="209" t="s">
        <v>21</v>
      </c>
      <c r="G2746" s="209" t="s">
        <v>21</v>
      </c>
      <c r="H2746" s="209" t="s">
        <v>272</v>
      </c>
      <c r="I2746" s="210"/>
    </row>
    <row r="2747" spans="1:9" x14ac:dyDescent="0.25">
      <c r="A2747" s="74"/>
      <c r="B2747" s="45">
        <v>1440</v>
      </c>
      <c r="C2747" s="64" t="s">
        <v>1820</v>
      </c>
      <c r="D2747" s="74"/>
      <c r="E2747" s="208" t="s">
        <v>160</v>
      </c>
      <c r="F2747" s="209" t="s">
        <v>21</v>
      </c>
      <c r="G2747" s="209" t="s">
        <v>21</v>
      </c>
      <c r="H2747" s="209" t="s">
        <v>272</v>
      </c>
      <c r="I2747" s="210"/>
    </row>
    <row r="2748" spans="1:9" x14ac:dyDescent="0.25">
      <c r="A2748" s="74"/>
      <c r="B2748" s="45">
        <v>342</v>
      </c>
      <c r="C2748" s="64" t="s">
        <v>754</v>
      </c>
      <c r="D2748" s="74"/>
      <c r="E2748" s="208" t="s">
        <v>160</v>
      </c>
      <c r="F2748" s="209" t="s">
        <v>21</v>
      </c>
      <c r="G2748" s="209" t="s">
        <v>21</v>
      </c>
      <c r="H2748" s="209" t="s">
        <v>192</v>
      </c>
      <c r="I2748" s="210"/>
    </row>
    <row r="2749" spans="1:9" x14ac:dyDescent="0.25">
      <c r="A2749" s="74"/>
      <c r="B2749" s="45">
        <v>344</v>
      </c>
      <c r="C2749" s="64" t="s">
        <v>756</v>
      </c>
      <c r="D2749" s="74"/>
      <c r="E2749" s="208" t="s">
        <v>160</v>
      </c>
      <c r="F2749" s="209" t="s">
        <v>21</v>
      </c>
      <c r="G2749" s="209" t="s">
        <v>21</v>
      </c>
      <c r="H2749" s="209" t="s">
        <v>192</v>
      </c>
      <c r="I2749" s="210"/>
    </row>
    <row r="2750" spans="1:9" x14ac:dyDescent="0.25">
      <c r="A2750" s="74"/>
      <c r="B2750" s="45">
        <v>457</v>
      </c>
      <c r="C2750" s="64" t="s">
        <v>869</v>
      </c>
      <c r="D2750" s="74"/>
      <c r="E2750" s="208" t="s">
        <v>160</v>
      </c>
      <c r="F2750" s="209" t="s">
        <v>21</v>
      </c>
      <c r="G2750" s="209" t="s">
        <v>21</v>
      </c>
      <c r="H2750" s="209" t="s">
        <v>192</v>
      </c>
      <c r="I2750" s="210"/>
    </row>
    <row r="2751" spans="1:9" x14ac:dyDescent="0.25">
      <c r="A2751" s="74"/>
      <c r="B2751" s="45">
        <v>1443</v>
      </c>
      <c r="C2751" s="64" t="s">
        <v>1821</v>
      </c>
      <c r="D2751" s="74"/>
      <c r="E2751" s="208" t="s">
        <v>160</v>
      </c>
      <c r="F2751" s="209" t="s">
        <v>21</v>
      </c>
      <c r="G2751" s="209" t="s">
        <v>21</v>
      </c>
      <c r="H2751" s="209" t="s">
        <v>272</v>
      </c>
      <c r="I2751" s="210"/>
    </row>
    <row r="2752" spans="1:9" x14ac:dyDescent="0.25">
      <c r="A2752" s="74"/>
      <c r="B2752" s="45">
        <v>1444</v>
      </c>
      <c r="C2752" s="64" t="s">
        <v>1822</v>
      </c>
      <c r="D2752" s="74"/>
      <c r="E2752" s="208" t="s">
        <v>160</v>
      </c>
      <c r="F2752" s="209" t="s">
        <v>21</v>
      </c>
      <c r="G2752" s="209" t="s">
        <v>21</v>
      </c>
      <c r="H2752" s="209" t="s">
        <v>272</v>
      </c>
      <c r="I2752" s="210"/>
    </row>
    <row r="2753" spans="1:9" x14ac:dyDescent="0.25">
      <c r="A2753" s="74"/>
      <c r="B2753" s="45">
        <v>1445</v>
      </c>
      <c r="C2753" s="64" t="s">
        <v>1823</v>
      </c>
      <c r="D2753" s="74"/>
      <c r="E2753" s="208" t="s">
        <v>160</v>
      </c>
      <c r="F2753" s="209" t="s">
        <v>21</v>
      </c>
      <c r="G2753" s="209" t="s">
        <v>21</v>
      </c>
      <c r="H2753" s="209" t="s">
        <v>272</v>
      </c>
      <c r="I2753" s="210"/>
    </row>
    <row r="2754" spans="1:9" x14ac:dyDescent="0.25">
      <c r="A2754" s="74"/>
      <c r="B2754" s="45">
        <v>1446</v>
      </c>
      <c r="C2754" s="64" t="s">
        <v>1824</v>
      </c>
      <c r="D2754" s="74"/>
      <c r="E2754" s="208" t="s">
        <v>160</v>
      </c>
      <c r="F2754" s="209" t="s">
        <v>21</v>
      </c>
      <c r="G2754" s="209" t="s">
        <v>21</v>
      </c>
      <c r="H2754" s="209" t="s">
        <v>16</v>
      </c>
      <c r="I2754" s="210"/>
    </row>
    <row r="2755" spans="1:9" x14ac:dyDescent="0.25">
      <c r="A2755" s="74"/>
      <c r="B2755" s="45">
        <v>1447</v>
      </c>
      <c r="C2755" s="64" t="s">
        <v>1825</v>
      </c>
      <c r="D2755" s="74"/>
      <c r="E2755" s="208" t="s">
        <v>160</v>
      </c>
      <c r="F2755" s="209" t="s">
        <v>21</v>
      </c>
      <c r="G2755" s="209" t="s">
        <v>21</v>
      </c>
      <c r="H2755" s="209" t="s">
        <v>272</v>
      </c>
      <c r="I2755" s="210"/>
    </row>
    <row r="2756" spans="1:9" x14ac:dyDescent="0.25">
      <c r="A2756" s="74"/>
      <c r="B2756" s="45">
        <v>1448</v>
      </c>
      <c r="C2756" s="64" t="s">
        <v>1826</v>
      </c>
      <c r="D2756" s="74"/>
      <c r="E2756" s="208" t="s">
        <v>160</v>
      </c>
      <c r="F2756" s="209" t="s">
        <v>21</v>
      </c>
      <c r="G2756" s="209" t="s">
        <v>21</v>
      </c>
      <c r="H2756" s="209" t="s">
        <v>272</v>
      </c>
      <c r="I2756" s="210"/>
    </row>
    <row r="2757" spans="1:9" x14ac:dyDescent="0.25">
      <c r="A2757" s="74"/>
      <c r="B2757" s="45">
        <v>1449</v>
      </c>
      <c r="C2757" s="64" t="s">
        <v>1827</v>
      </c>
      <c r="D2757" s="74"/>
      <c r="E2757" s="208" t="s">
        <v>160</v>
      </c>
      <c r="F2757" s="209" t="s">
        <v>21</v>
      </c>
      <c r="G2757" s="209" t="s">
        <v>21</v>
      </c>
      <c r="H2757" s="209" t="s">
        <v>272</v>
      </c>
      <c r="I2757" s="210"/>
    </row>
    <row r="2758" spans="1:9" x14ac:dyDescent="0.25">
      <c r="A2758" s="74"/>
      <c r="B2758" s="45">
        <v>1450</v>
      </c>
      <c r="C2758" s="64" t="s">
        <v>1828</v>
      </c>
      <c r="D2758" s="74"/>
      <c r="E2758" s="208" t="s">
        <v>160</v>
      </c>
      <c r="F2758" s="209" t="s">
        <v>21</v>
      </c>
      <c r="G2758" s="209" t="s">
        <v>21</v>
      </c>
      <c r="H2758" s="209" t="s">
        <v>272</v>
      </c>
      <c r="I2758" s="210"/>
    </row>
    <row r="2759" spans="1:9" x14ac:dyDescent="0.25">
      <c r="A2759" s="74"/>
      <c r="B2759" s="45">
        <v>1451</v>
      </c>
      <c r="C2759" s="64" t="s">
        <v>1606</v>
      </c>
      <c r="D2759" s="74"/>
      <c r="E2759" s="208" t="s">
        <v>160</v>
      </c>
      <c r="F2759" s="209" t="s">
        <v>21</v>
      </c>
      <c r="G2759" s="209" t="s">
        <v>21</v>
      </c>
      <c r="H2759" s="209" t="s">
        <v>272</v>
      </c>
      <c r="I2759" s="210"/>
    </row>
    <row r="2760" spans="1:9" x14ac:dyDescent="0.25">
      <c r="A2760" s="74"/>
      <c r="B2760" s="45">
        <v>1452</v>
      </c>
      <c r="C2760" s="64" t="s">
        <v>1829</v>
      </c>
      <c r="D2760" s="74"/>
      <c r="E2760" s="208" t="s">
        <v>160</v>
      </c>
      <c r="F2760" s="209" t="s">
        <v>21</v>
      </c>
      <c r="G2760" s="209" t="s">
        <v>21</v>
      </c>
      <c r="H2760" s="209" t="s">
        <v>272</v>
      </c>
      <c r="I2760" s="210"/>
    </row>
    <row r="2761" spans="1:9" x14ac:dyDescent="0.25">
      <c r="A2761" s="74"/>
      <c r="B2761" s="45">
        <v>1453</v>
      </c>
      <c r="C2761" s="64" t="s">
        <v>1830</v>
      </c>
      <c r="D2761" s="74"/>
      <c r="E2761" s="208" t="s">
        <v>160</v>
      </c>
      <c r="F2761" s="209" t="s">
        <v>21</v>
      </c>
      <c r="G2761" s="209" t="s">
        <v>21</v>
      </c>
      <c r="H2761" s="209" t="s">
        <v>272</v>
      </c>
      <c r="I2761" s="210"/>
    </row>
    <row r="2762" spans="1:9" x14ac:dyDescent="0.25">
      <c r="A2762" s="74"/>
      <c r="B2762" s="45">
        <v>1454</v>
      </c>
      <c r="C2762" s="64" t="s">
        <v>1831</v>
      </c>
      <c r="D2762" s="74"/>
      <c r="E2762" s="208" t="s">
        <v>160</v>
      </c>
      <c r="F2762" s="209" t="s">
        <v>21</v>
      </c>
      <c r="G2762" s="209" t="s">
        <v>21</v>
      </c>
      <c r="H2762" s="209" t="s">
        <v>272</v>
      </c>
      <c r="I2762" s="210"/>
    </row>
    <row r="2763" spans="1:9" x14ac:dyDescent="0.25">
      <c r="A2763" s="74"/>
      <c r="B2763" s="45">
        <v>1445</v>
      </c>
      <c r="C2763" s="64" t="s">
        <v>1823</v>
      </c>
      <c r="D2763" s="74"/>
      <c r="E2763" s="208" t="s">
        <v>160</v>
      </c>
      <c r="F2763" s="209" t="s">
        <v>21</v>
      </c>
      <c r="G2763" s="209" t="s">
        <v>21</v>
      </c>
      <c r="H2763" s="209" t="s">
        <v>272</v>
      </c>
      <c r="I2763" s="210"/>
    </row>
    <row r="2764" spans="1:9" x14ac:dyDescent="0.25">
      <c r="A2764" s="74"/>
      <c r="B2764" s="45">
        <v>1446</v>
      </c>
      <c r="C2764" s="64" t="s">
        <v>1824</v>
      </c>
      <c r="D2764" s="74"/>
      <c r="E2764" s="208" t="s">
        <v>160</v>
      </c>
      <c r="F2764" s="209" t="s">
        <v>21</v>
      </c>
      <c r="G2764" s="209" t="s">
        <v>21</v>
      </c>
      <c r="H2764" s="209" t="s">
        <v>16</v>
      </c>
      <c r="I2764" s="210"/>
    </row>
    <row r="2765" spans="1:9" x14ac:dyDescent="0.25">
      <c r="A2765" s="74"/>
      <c r="B2765" s="45">
        <v>1447</v>
      </c>
      <c r="C2765" s="64" t="s">
        <v>1825</v>
      </c>
      <c r="D2765" s="74"/>
      <c r="E2765" s="208" t="s">
        <v>160</v>
      </c>
      <c r="F2765" s="209" t="s">
        <v>21</v>
      </c>
      <c r="G2765" s="209" t="s">
        <v>21</v>
      </c>
      <c r="H2765" s="209" t="s">
        <v>272</v>
      </c>
      <c r="I2765" s="210"/>
    </row>
    <row r="2766" spans="1:9" x14ac:dyDescent="0.25">
      <c r="A2766" s="74"/>
      <c r="B2766" s="45">
        <v>1448</v>
      </c>
      <c r="C2766" s="64" t="s">
        <v>1826</v>
      </c>
      <c r="D2766" s="74"/>
      <c r="E2766" s="208" t="s">
        <v>160</v>
      </c>
      <c r="F2766" s="209" t="s">
        <v>21</v>
      </c>
      <c r="G2766" s="209" t="s">
        <v>21</v>
      </c>
      <c r="H2766" s="209" t="s">
        <v>272</v>
      </c>
      <c r="I2766" s="210"/>
    </row>
    <row r="2767" spans="1:9" x14ac:dyDescent="0.25">
      <c r="A2767" s="74"/>
      <c r="B2767" s="45">
        <v>1449</v>
      </c>
      <c r="C2767" s="64" t="s">
        <v>1827</v>
      </c>
      <c r="D2767" s="74"/>
      <c r="E2767" s="208" t="s">
        <v>160</v>
      </c>
      <c r="F2767" s="209" t="s">
        <v>21</v>
      </c>
      <c r="G2767" s="209" t="s">
        <v>21</v>
      </c>
      <c r="H2767" s="209" t="s">
        <v>272</v>
      </c>
      <c r="I2767" s="210"/>
    </row>
    <row r="2768" spans="1:9" x14ac:dyDescent="0.25">
      <c r="A2768" s="74"/>
      <c r="B2768" s="45">
        <v>1450</v>
      </c>
      <c r="C2768" s="64" t="s">
        <v>1828</v>
      </c>
      <c r="D2768" s="74"/>
      <c r="E2768" s="208" t="s">
        <v>160</v>
      </c>
      <c r="F2768" s="209" t="s">
        <v>21</v>
      </c>
      <c r="G2768" s="209" t="s">
        <v>21</v>
      </c>
      <c r="H2768" s="209" t="s">
        <v>272</v>
      </c>
      <c r="I2768" s="210"/>
    </row>
    <row r="2769" spans="1:9" x14ac:dyDescent="0.25">
      <c r="A2769" s="74"/>
      <c r="B2769" s="45">
        <v>1451</v>
      </c>
      <c r="C2769" s="64" t="s">
        <v>1606</v>
      </c>
      <c r="D2769" s="74"/>
      <c r="E2769" s="208" t="s">
        <v>160</v>
      </c>
      <c r="F2769" s="209" t="s">
        <v>21</v>
      </c>
      <c r="G2769" s="209" t="s">
        <v>21</v>
      </c>
      <c r="H2769" s="209" t="s">
        <v>272</v>
      </c>
      <c r="I2769" s="210"/>
    </row>
    <row r="2770" spans="1:9" x14ac:dyDescent="0.25">
      <c r="A2770" s="74"/>
      <c r="B2770" s="45">
        <v>1452</v>
      </c>
      <c r="C2770" s="64" t="s">
        <v>1829</v>
      </c>
      <c r="D2770" s="74"/>
      <c r="E2770" s="208" t="s">
        <v>160</v>
      </c>
      <c r="F2770" s="209" t="s">
        <v>21</v>
      </c>
      <c r="G2770" s="209" t="s">
        <v>21</v>
      </c>
      <c r="H2770" s="209" t="s">
        <v>272</v>
      </c>
      <c r="I2770" s="210"/>
    </row>
    <row r="2771" spans="1:9" x14ac:dyDescent="0.25">
      <c r="A2771" s="74"/>
      <c r="B2771" s="45">
        <v>1453</v>
      </c>
      <c r="C2771" s="64" t="s">
        <v>1830</v>
      </c>
      <c r="D2771" s="74"/>
      <c r="E2771" s="208" t="s">
        <v>160</v>
      </c>
      <c r="F2771" s="209" t="s">
        <v>21</v>
      </c>
      <c r="G2771" s="209" t="s">
        <v>21</v>
      </c>
      <c r="H2771" s="209" t="s">
        <v>272</v>
      </c>
      <c r="I2771" s="210"/>
    </row>
    <row r="2772" spans="1:9" x14ac:dyDescent="0.25">
      <c r="A2772" s="74"/>
      <c r="B2772" s="45">
        <v>1454</v>
      </c>
      <c r="C2772" s="64" t="s">
        <v>1831</v>
      </c>
      <c r="D2772" s="74"/>
      <c r="E2772" s="208" t="s">
        <v>160</v>
      </c>
      <c r="F2772" s="209" t="s">
        <v>21</v>
      </c>
      <c r="G2772" s="209" t="s">
        <v>21</v>
      </c>
      <c r="H2772" s="209" t="s">
        <v>272</v>
      </c>
      <c r="I2772" s="210"/>
    </row>
    <row r="2773" spans="1:9" x14ac:dyDescent="0.25">
      <c r="A2773" s="74"/>
      <c r="B2773" s="45">
        <v>1445</v>
      </c>
      <c r="C2773" s="64" t="s">
        <v>1823</v>
      </c>
      <c r="D2773" s="74"/>
      <c r="E2773" s="208" t="s">
        <v>160</v>
      </c>
      <c r="F2773" s="209" t="s">
        <v>21</v>
      </c>
      <c r="G2773" s="209" t="s">
        <v>21</v>
      </c>
      <c r="H2773" s="209" t="s">
        <v>272</v>
      </c>
      <c r="I2773" s="210"/>
    </row>
    <row r="2774" spans="1:9" x14ac:dyDescent="0.25">
      <c r="A2774" s="74"/>
      <c r="B2774" s="45">
        <v>1446</v>
      </c>
      <c r="C2774" s="64" t="s">
        <v>1824</v>
      </c>
      <c r="D2774" s="74"/>
      <c r="E2774" s="208" t="s">
        <v>160</v>
      </c>
      <c r="F2774" s="209" t="s">
        <v>21</v>
      </c>
      <c r="G2774" s="209" t="s">
        <v>21</v>
      </c>
      <c r="H2774" s="209" t="s">
        <v>16</v>
      </c>
      <c r="I2774" s="210"/>
    </row>
    <row r="2775" spans="1:9" x14ac:dyDescent="0.25">
      <c r="A2775" s="74"/>
      <c r="B2775" s="45">
        <v>1447</v>
      </c>
      <c r="C2775" s="64" t="s">
        <v>1825</v>
      </c>
      <c r="D2775" s="74"/>
      <c r="E2775" s="208" t="s">
        <v>160</v>
      </c>
      <c r="F2775" s="209" t="s">
        <v>21</v>
      </c>
      <c r="G2775" s="209" t="s">
        <v>21</v>
      </c>
      <c r="H2775" s="209" t="s">
        <v>272</v>
      </c>
      <c r="I2775" s="210"/>
    </row>
    <row r="2776" spans="1:9" x14ac:dyDescent="0.25">
      <c r="A2776" s="74"/>
      <c r="B2776" s="45">
        <v>1448</v>
      </c>
      <c r="C2776" s="64" t="s">
        <v>1826</v>
      </c>
      <c r="D2776" s="74"/>
      <c r="E2776" s="208" t="s">
        <v>160</v>
      </c>
      <c r="F2776" s="209" t="s">
        <v>21</v>
      </c>
      <c r="G2776" s="209" t="s">
        <v>21</v>
      </c>
      <c r="H2776" s="209" t="s">
        <v>272</v>
      </c>
      <c r="I2776" s="210"/>
    </row>
    <row r="2777" spans="1:9" x14ac:dyDescent="0.25">
      <c r="A2777" s="74"/>
      <c r="B2777" s="45">
        <v>1449</v>
      </c>
      <c r="C2777" s="64" t="s">
        <v>1827</v>
      </c>
      <c r="D2777" s="74"/>
      <c r="E2777" s="208" t="s">
        <v>160</v>
      </c>
      <c r="F2777" s="209" t="s">
        <v>21</v>
      </c>
      <c r="G2777" s="209" t="s">
        <v>21</v>
      </c>
      <c r="H2777" s="209" t="s">
        <v>272</v>
      </c>
      <c r="I2777" s="210"/>
    </row>
    <row r="2778" spans="1:9" x14ac:dyDescent="0.25">
      <c r="A2778" s="74"/>
      <c r="B2778" s="45">
        <v>1450</v>
      </c>
      <c r="C2778" s="64" t="s">
        <v>1828</v>
      </c>
      <c r="D2778" s="74"/>
      <c r="E2778" s="208" t="s">
        <v>160</v>
      </c>
      <c r="F2778" s="209" t="s">
        <v>21</v>
      </c>
      <c r="G2778" s="209" t="s">
        <v>21</v>
      </c>
      <c r="H2778" s="209" t="s">
        <v>272</v>
      </c>
      <c r="I2778" s="210"/>
    </row>
    <row r="2779" spans="1:9" x14ac:dyDescent="0.25">
      <c r="A2779" s="74"/>
      <c r="B2779" s="45">
        <v>1451</v>
      </c>
      <c r="C2779" s="64" t="s">
        <v>1606</v>
      </c>
      <c r="D2779" s="74"/>
      <c r="E2779" s="208" t="s">
        <v>160</v>
      </c>
      <c r="F2779" s="209" t="s">
        <v>21</v>
      </c>
      <c r="G2779" s="209" t="s">
        <v>21</v>
      </c>
      <c r="H2779" s="209" t="s">
        <v>272</v>
      </c>
      <c r="I2779" s="210"/>
    </row>
    <row r="2780" spans="1:9" x14ac:dyDescent="0.25">
      <c r="A2780" s="74"/>
      <c r="B2780" s="45">
        <v>1452</v>
      </c>
      <c r="C2780" s="64" t="s">
        <v>1829</v>
      </c>
      <c r="D2780" s="74"/>
      <c r="E2780" s="208" t="s">
        <v>160</v>
      </c>
      <c r="F2780" s="209" t="s">
        <v>21</v>
      </c>
      <c r="G2780" s="209" t="s">
        <v>21</v>
      </c>
      <c r="H2780" s="209" t="s">
        <v>272</v>
      </c>
      <c r="I2780" s="210"/>
    </row>
    <row r="2781" spans="1:9" x14ac:dyDescent="0.25">
      <c r="A2781" s="74"/>
      <c r="B2781" s="45">
        <v>1453</v>
      </c>
      <c r="C2781" s="64" t="s">
        <v>1830</v>
      </c>
      <c r="D2781" s="74"/>
      <c r="E2781" s="208" t="s">
        <v>160</v>
      </c>
      <c r="F2781" s="209" t="s">
        <v>21</v>
      </c>
      <c r="G2781" s="209" t="s">
        <v>21</v>
      </c>
      <c r="H2781" s="209" t="s">
        <v>272</v>
      </c>
      <c r="I2781" s="210"/>
    </row>
    <row r="2782" spans="1:9" x14ac:dyDescent="0.25">
      <c r="A2782" s="74"/>
      <c r="B2782" s="45">
        <v>1454</v>
      </c>
      <c r="C2782" s="64" t="s">
        <v>1831</v>
      </c>
      <c r="D2782" s="74"/>
      <c r="E2782" s="208" t="s">
        <v>160</v>
      </c>
      <c r="F2782" s="209" t="s">
        <v>21</v>
      </c>
      <c r="G2782" s="209" t="s">
        <v>21</v>
      </c>
      <c r="H2782" s="209" t="s">
        <v>272</v>
      </c>
      <c r="I2782" s="210"/>
    </row>
    <row r="2783" spans="1:9" x14ac:dyDescent="0.25">
      <c r="A2783" s="74"/>
      <c r="B2783" s="45">
        <v>1445</v>
      </c>
      <c r="C2783" s="64" t="s">
        <v>1823</v>
      </c>
      <c r="D2783" s="74"/>
      <c r="E2783" s="208" t="s">
        <v>160</v>
      </c>
      <c r="F2783" s="209" t="s">
        <v>21</v>
      </c>
      <c r="G2783" s="209" t="s">
        <v>21</v>
      </c>
      <c r="H2783" s="209" t="s">
        <v>272</v>
      </c>
      <c r="I2783" s="210"/>
    </row>
    <row r="2784" spans="1:9" x14ac:dyDescent="0.25">
      <c r="A2784" s="74"/>
      <c r="B2784" s="45">
        <v>1446</v>
      </c>
      <c r="C2784" s="64" t="s">
        <v>1824</v>
      </c>
      <c r="D2784" s="74"/>
      <c r="E2784" s="208" t="s">
        <v>160</v>
      </c>
      <c r="F2784" s="209" t="s">
        <v>21</v>
      </c>
      <c r="G2784" s="209" t="s">
        <v>21</v>
      </c>
      <c r="H2784" s="209" t="s">
        <v>16</v>
      </c>
      <c r="I2784" s="210"/>
    </row>
    <row r="2785" spans="1:9" x14ac:dyDescent="0.25">
      <c r="A2785" s="74"/>
      <c r="B2785" s="45">
        <v>1447</v>
      </c>
      <c r="C2785" s="64" t="s">
        <v>1825</v>
      </c>
      <c r="D2785" s="74"/>
      <c r="E2785" s="208" t="s">
        <v>160</v>
      </c>
      <c r="F2785" s="209" t="s">
        <v>21</v>
      </c>
      <c r="G2785" s="209" t="s">
        <v>21</v>
      </c>
      <c r="H2785" s="209" t="s">
        <v>272</v>
      </c>
      <c r="I2785" s="210"/>
    </row>
    <row r="2786" spans="1:9" x14ac:dyDescent="0.25">
      <c r="A2786" s="74"/>
      <c r="B2786" s="45">
        <v>1448</v>
      </c>
      <c r="C2786" s="64" t="s">
        <v>1826</v>
      </c>
      <c r="D2786" s="74"/>
      <c r="E2786" s="208" t="s">
        <v>160</v>
      </c>
      <c r="F2786" s="209" t="s">
        <v>21</v>
      </c>
      <c r="G2786" s="209" t="s">
        <v>21</v>
      </c>
      <c r="H2786" s="209" t="s">
        <v>272</v>
      </c>
      <c r="I2786" s="210"/>
    </row>
    <row r="2787" spans="1:9" x14ac:dyDescent="0.25">
      <c r="A2787" s="74"/>
      <c r="B2787" s="45">
        <v>1449</v>
      </c>
      <c r="C2787" s="64" t="s">
        <v>1827</v>
      </c>
      <c r="D2787" s="74"/>
      <c r="E2787" s="208" t="s">
        <v>160</v>
      </c>
      <c r="F2787" s="209" t="s">
        <v>21</v>
      </c>
      <c r="G2787" s="209" t="s">
        <v>21</v>
      </c>
      <c r="H2787" s="209" t="s">
        <v>272</v>
      </c>
      <c r="I2787" s="210"/>
    </row>
    <row r="2788" spans="1:9" x14ac:dyDescent="0.25">
      <c r="A2788" s="74"/>
      <c r="B2788" s="45">
        <v>1450</v>
      </c>
      <c r="C2788" s="64" t="s">
        <v>1828</v>
      </c>
      <c r="D2788" s="74"/>
      <c r="E2788" s="208" t="s">
        <v>160</v>
      </c>
      <c r="F2788" s="209" t="s">
        <v>21</v>
      </c>
      <c r="G2788" s="209" t="s">
        <v>21</v>
      </c>
      <c r="H2788" s="209" t="s">
        <v>272</v>
      </c>
      <c r="I2788" s="210"/>
    </row>
    <row r="2789" spans="1:9" x14ac:dyDescent="0.25">
      <c r="A2789" s="74"/>
      <c r="B2789" s="45">
        <v>1451</v>
      </c>
      <c r="C2789" s="64" t="s">
        <v>1606</v>
      </c>
      <c r="D2789" s="74"/>
      <c r="E2789" s="208" t="s">
        <v>160</v>
      </c>
      <c r="F2789" s="209" t="s">
        <v>21</v>
      </c>
      <c r="G2789" s="209" t="s">
        <v>21</v>
      </c>
      <c r="H2789" s="209" t="s">
        <v>272</v>
      </c>
      <c r="I2789" s="210"/>
    </row>
    <row r="2790" spans="1:9" x14ac:dyDescent="0.25">
      <c r="A2790" s="74"/>
      <c r="B2790" s="45">
        <v>1452</v>
      </c>
      <c r="C2790" s="64" t="s">
        <v>1829</v>
      </c>
      <c r="D2790" s="74"/>
      <c r="E2790" s="208" t="s">
        <v>160</v>
      </c>
      <c r="F2790" s="209" t="s">
        <v>21</v>
      </c>
      <c r="G2790" s="209" t="s">
        <v>21</v>
      </c>
      <c r="H2790" s="209" t="s">
        <v>272</v>
      </c>
      <c r="I2790" s="210"/>
    </row>
    <row r="2791" spans="1:9" x14ac:dyDescent="0.25">
      <c r="A2791" s="74"/>
      <c r="B2791" s="45">
        <v>1453</v>
      </c>
      <c r="C2791" s="64" t="s">
        <v>1830</v>
      </c>
      <c r="D2791" s="74"/>
      <c r="E2791" s="208" t="s">
        <v>160</v>
      </c>
      <c r="F2791" s="209" t="s">
        <v>21</v>
      </c>
      <c r="G2791" s="209" t="s">
        <v>21</v>
      </c>
      <c r="H2791" s="209" t="s">
        <v>272</v>
      </c>
      <c r="I2791" s="210"/>
    </row>
    <row r="2792" spans="1:9" x14ac:dyDescent="0.25">
      <c r="A2792" s="74"/>
      <c r="B2792" s="45">
        <v>1455</v>
      </c>
      <c r="C2792" s="64" t="s">
        <v>1832</v>
      </c>
      <c r="D2792" s="74"/>
      <c r="E2792" s="208" t="s">
        <v>160</v>
      </c>
      <c r="F2792" s="209" t="s">
        <v>21</v>
      </c>
      <c r="G2792" s="209" t="s">
        <v>21</v>
      </c>
      <c r="H2792" s="209" t="s">
        <v>272</v>
      </c>
      <c r="I2792" s="210"/>
    </row>
    <row r="2793" spans="1:9" x14ac:dyDescent="0.25">
      <c r="A2793" s="74"/>
      <c r="B2793" s="45">
        <v>1456</v>
      </c>
      <c r="C2793" s="64" t="s">
        <v>1833</v>
      </c>
      <c r="D2793" s="74"/>
      <c r="E2793" s="208" t="s">
        <v>160</v>
      </c>
      <c r="F2793" s="209" t="s">
        <v>21</v>
      </c>
      <c r="G2793" s="209" t="s">
        <v>21</v>
      </c>
      <c r="H2793" s="209" t="s">
        <v>272</v>
      </c>
      <c r="I2793" s="210"/>
    </row>
    <row r="2794" spans="1:9" x14ac:dyDescent="0.25">
      <c r="A2794" s="74"/>
      <c r="B2794" s="45">
        <v>1438</v>
      </c>
      <c r="C2794" s="64" t="s">
        <v>1818</v>
      </c>
      <c r="D2794" s="74"/>
      <c r="E2794" s="208" t="s">
        <v>160</v>
      </c>
      <c r="F2794" s="209" t="s">
        <v>21</v>
      </c>
      <c r="G2794" s="209" t="s">
        <v>21</v>
      </c>
      <c r="H2794" s="209" t="s">
        <v>189</v>
      </c>
      <c r="I2794" s="210"/>
    </row>
    <row r="2795" spans="1:9" x14ac:dyDescent="0.25">
      <c r="A2795" s="74"/>
      <c r="B2795" s="45">
        <v>352</v>
      </c>
      <c r="C2795" s="64" t="s">
        <v>764</v>
      </c>
      <c r="D2795" s="74"/>
      <c r="E2795" s="208" t="s">
        <v>160</v>
      </c>
      <c r="F2795" s="209" t="s">
        <v>21</v>
      </c>
      <c r="G2795" s="209" t="s">
        <v>21</v>
      </c>
      <c r="H2795" s="209" t="s">
        <v>187</v>
      </c>
      <c r="I2795" s="210"/>
    </row>
    <row r="2796" spans="1:9" x14ac:dyDescent="0.25">
      <c r="A2796" s="74"/>
      <c r="B2796" s="45">
        <v>363</v>
      </c>
      <c r="C2796" s="64" t="s">
        <v>775</v>
      </c>
      <c r="D2796" s="74"/>
      <c r="E2796" s="208" t="s">
        <v>160</v>
      </c>
      <c r="F2796" s="209" t="s">
        <v>21</v>
      </c>
      <c r="G2796" s="209" t="s">
        <v>21</v>
      </c>
      <c r="H2796" s="209" t="s">
        <v>198</v>
      </c>
      <c r="I2796" s="210"/>
    </row>
    <row r="2797" spans="1:9" x14ac:dyDescent="0.25">
      <c r="A2797" s="74"/>
      <c r="B2797" s="45">
        <v>351</v>
      </c>
      <c r="C2797" s="64" t="s">
        <v>763</v>
      </c>
      <c r="D2797" s="74"/>
      <c r="E2797" s="208" t="s">
        <v>160</v>
      </c>
      <c r="F2797" s="209" t="s">
        <v>21</v>
      </c>
      <c r="G2797" s="209" t="s">
        <v>21</v>
      </c>
      <c r="H2797" s="209" t="s">
        <v>189</v>
      </c>
      <c r="I2797" s="210"/>
    </row>
    <row r="2798" spans="1:9" x14ac:dyDescent="0.25">
      <c r="A2798" s="74"/>
      <c r="B2798" s="45">
        <v>1457</v>
      </c>
      <c r="C2798" s="64" t="s">
        <v>1834</v>
      </c>
      <c r="D2798" s="74"/>
      <c r="E2798" s="208" t="s">
        <v>282</v>
      </c>
      <c r="F2798" s="209" t="s">
        <v>21</v>
      </c>
      <c r="G2798" s="209" t="s">
        <v>21</v>
      </c>
      <c r="H2798" s="209" t="s">
        <v>200</v>
      </c>
      <c r="I2798" s="210"/>
    </row>
    <row r="2799" spans="1:9" x14ac:dyDescent="0.25">
      <c r="A2799" s="74"/>
      <c r="B2799" s="45">
        <v>341</v>
      </c>
      <c r="C2799" s="64" t="s">
        <v>753</v>
      </c>
      <c r="D2799" s="74"/>
      <c r="E2799" s="208" t="s">
        <v>160</v>
      </c>
      <c r="F2799" s="209" t="s">
        <v>21</v>
      </c>
      <c r="G2799" s="209" t="s">
        <v>21</v>
      </c>
      <c r="H2799" s="209" t="s">
        <v>198</v>
      </c>
      <c r="I2799" s="210"/>
    </row>
    <row r="2800" spans="1:9" x14ac:dyDescent="0.25">
      <c r="A2800" s="74"/>
      <c r="B2800" s="45">
        <v>342</v>
      </c>
      <c r="C2800" s="64" t="s">
        <v>754</v>
      </c>
      <c r="D2800" s="74"/>
      <c r="E2800" s="208" t="s">
        <v>160</v>
      </c>
      <c r="F2800" s="209" t="s">
        <v>21</v>
      </c>
      <c r="G2800" s="209" t="s">
        <v>21</v>
      </c>
      <c r="H2800" s="209" t="s">
        <v>192</v>
      </c>
      <c r="I2800" s="210"/>
    </row>
    <row r="2801" spans="1:9" x14ac:dyDescent="0.25">
      <c r="A2801" s="74"/>
      <c r="B2801" s="45">
        <v>351</v>
      </c>
      <c r="C2801" s="64" t="s">
        <v>763</v>
      </c>
      <c r="D2801" s="74"/>
      <c r="E2801" s="208" t="s">
        <v>160</v>
      </c>
      <c r="F2801" s="209" t="s">
        <v>21</v>
      </c>
      <c r="G2801" s="209" t="s">
        <v>21</v>
      </c>
      <c r="H2801" s="209" t="s">
        <v>189</v>
      </c>
      <c r="I2801" s="210"/>
    </row>
    <row r="2802" spans="1:9" x14ac:dyDescent="0.25">
      <c r="A2802" s="74"/>
      <c r="B2802" s="45">
        <v>1300</v>
      </c>
      <c r="C2802" s="64" t="s">
        <v>1545</v>
      </c>
      <c r="D2802" s="74"/>
      <c r="E2802" s="208" t="s">
        <v>127</v>
      </c>
      <c r="F2802" s="209" t="s">
        <v>21</v>
      </c>
      <c r="G2802" s="209" t="s">
        <v>21</v>
      </c>
      <c r="H2802" s="209" t="s">
        <v>193</v>
      </c>
      <c r="I2802" s="210"/>
    </row>
    <row r="2803" spans="1:9" x14ac:dyDescent="0.25">
      <c r="A2803" s="74"/>
      <c r="B2803" s="45">
        <v>357</v>
      </c>
      <c r="C2803" s="64" t="s">
        <v>769</v>
      </c>
      <c r="D2803" s="74"/>
      <c r="E2803" s="208" t="s">
        <v>160</v>
      </c>
      <c r="F2803" s="209" t="s">
        <v>21</v>
      </c>
      <c r="G2803" s="209" t="s">
        <v>21</v>
      </c>
      <c r="H2803" s="209" t="s">
        <v>192</v>
      </c>
      <c r="I2803" s="210"/>
    </row>
    <row r="2804" spans="1:9" x14ac:dyDescent="0.25">
      <c r="A2804" s="74"/>
      <c r="B2804" s="45">
        <v>350</v>
      </c>
      <c r="C2804" s="64" t="s">
        <v>762</v>
      </c>
      <c r="D2804" s="74"/>
      <c r="E2804" s="208" t="s">
        <v>160</v>
      </c>
      <c r="F2804" s="209" t="s">
        <v>21</v>
      </c>
      <c r="G2804" s="209" t="s">
        <v>21</v>
      </c>
      <c r="H2804" s="209" t="s">
        <v>192</v>
      </c>
      <c r="I2804" s="210"/>
    </row>
    <row r="2805" spans="1:9" x14ac:dyDescent="0.25">
      <c r="A2805" s="74"/>
      <c r="B2805" s="45">
        <v>359</v>
      </c>
      <c r="C2805" s="64" t="s">
        <v>771</v>
      </c>
      <c r="D2805" s="74"/>
      <c r="E2805" s="208" t="s">
        <v>160</v>
      </c>
      <c r="F2805" s="209" t="s">
        <v>21</v>
      </c>
      <c r="G2805" s="209" t="s">
        <v>21</v>
      </c>
      <c r="H2805" s="209" t="s">
        <v>192</v>
      </c>
      <c r="I2805" s="210"/>
    </row>
    <row r="2806" spans="1:9" x14ac:dyDescent="0.25">
      <c r="A2806" s="74"/>
      <c r="B2806" s="45">
        <v>360</v>
      </c>
      <c r="C2806" s="64" t="s">
        <v>772</v>
      </c>
      <c r="D2806" s="74"/>
      <c r="E2806" s="208" t="s">
        <v>160</v>
      </c>
      <c r="F2806" s="209" t="s">
        <v>21</v>
      </c>
      <c r="G2806" s="209" t="s">
        <v>21</v>
      </c>
      <c r="H2806" s="209" t="s">
        <v>192</v>
      </c>
      <c r="I2806" s="210"/>
    </row>
    <row r="2807" spans="1:9" x14ac:dyDescent="0.25">
      <c r="A2807" s="74"/>
      <c r="B2807" s="45">
        <v>357</v>
      </c>
      <c r="C2807" s="64" t="s">
        <v>769</v>
      </c>
      <c r="D2807" s="74"/>
      <c r="E2807" s="208" t="s">
        <v>160</v>
      </c>
      <c r="F2807" s="209" t="s">
        <v>21</v>
      </c>
      <c r="G2807" s="209" t="s">
        <v>21</v>
      </c>
      <c r="H2807" s="209" t="s">
        <v>192</v>
      </c>
      <c r="I2807" s="210"/>
    </row>
    <row r="2808" spans="1:9" x14ac:dyDescent="0.25">
      <c r="A2808" s="74"/>
      <c r="B2808" s="45">
        <v>350</v>
      </c>
      <c r="C2808" s="64" t="s">
        <v>762</v>
      </c>
      <c r="D2808" s="74"/>
      <c r="E2808" s="208" t="s">
        <v>160</v>
      </c>
      <c r="F2808" s="209" t="s">
        <v>21</v>
      </c>
      <c r="G2808" s="209" t="s">
        <v>21</v>
      </c>
      <c r="H2808" s="209" t="s">
        <v>192</v>
      </c>
      <c r="I2808" s="210"/>
    </row>
    <row r="2809" spans="1:9" x14ac:dyDescent="0.25">
      <c r="A2809" s="74"/>
      <c r="B2809" s="45">
        <v>359</v>
      </c>
      <c r="C2809" s="64" t="s">
        <v>771</v>
      </c>
      <c r="D2809" s="74"/>
      <c r="E2809" s="208" t="s">
        <v>160</v>
      </c>
      <c r="F2809" s="209" t="s">
        <v>21</v>
      </c>
      <c r="G2809" s="209" t="s">
        <v>21</v>
      </c>
      <c r="H2809" s="209" t="s">
        <v>192</v>
      </c>
      <c r="I2809" s="210"/>
    </row>
    <row r="2810" spans="1:9" x14ac:dyDescent="0.25">
      <c r="A2810" s="74"/>
      <c r="B2810" s="45">
        <v>360</v>
      </c>
      <c r="C2810" s="64" t="s">
        <v>772</v>
      </c>
      <c r="D2810" s="74"/>
      <c r="E2810" s="208" t="s">
        <v>160</v>
      </c>
      <c r="F2810" s="209" t="s">
        <v>21</v>
      </c>
      <c r="G2810" s="209" t="s">
        <v>21</v>
      </c>
      <c r="H2810" s="209" t="s">
        <v>192</v>
      </c>
      <c r="I2810" s="210"/>
    </row>
    <row r="2811" spans="1:9" x14ac:dyDescent="0.25">
      <c r="A2811" s="74"/>
      <c r="B2811" s="45">
        <v>357</v>
      </c>
      <c r="C2811" s="64" t="s">
        <v>769</v>
      </c>
      <c r="D2811" s="74"/>
      <c r="E2811" s="208" t="s">
        <v>160</v>
      </c>
      <c r="F2811" s="209" t="s">
        <v>21</v>
      </c>
      <c r="G2811" s="209" t="s">
        <v>21</v>
      </c>
      <c r="H2811" s="209" t="s">
        <v>192</v>
      </c>
      <c r="I2811" s="210"/>
    </row>
    <row r="2812" spans="1:9" x14ac:dyDescent="0.25">
      <c r="A2812" s="74"/>
      <c r="B2812" s="45">
        <v>350</v>
      </c>
      <c r="C2812" s="64" t="s">
        <v>762</v>
      </c>
      <c r="D2812" s="74"/>
      <c r="E2812" s="208" t="s">
        <v>160</v>
      </c>
      <c r="F2812" s="209" t="s">
        <v>21</v>
      </c>
      <c r="G2812" s="209" t="s">
        <v>21</v>
      </c>
      <c r="H2812" s="209" t="s">
        <v>192</v>
      </c>
      <c r="I2812" s="210"/>
    </row>
    <row r="2813" spans="1:9" x14ac:dyDescent="0.25">
      <c r="A2813" s="74"/>
      <c r="B2813" s="45">
        <v>359</v>
      </c>
      <c r="C2813" s="64" t="s">
        <v>771</v>
      </c>
      <c r="D2813" s="74"/>
      <c r="E2813" s="208" t="s">
        <v>160</v>
      </c>
      <c r="F2813" s="209" t="s">
        <v>21</v>
      </c>
      <c r="G2813" s="209" t="s">
        <v>21</v>
      </c>
      <c r="H2813" s="209" t="s">
        <v>192</v>
      </c>
      <c r="I2813" s="210"/>
    </row>
    <row r="2814" spans="1:9" x14ac:dyDescent="0.25">
      <c r="A2814" s="74"/>
      <c r="B2814" s="45">
        <v>360</v>
      </c>
      <c r="C2814" s="64" t="s">
        <v>772</v>
      </c>
      <c r="D2814" s="74"/>
      <c r="E2814" s="208" t="s">
        <v>160</v>
      </c>
      <c r="F2814" s="209" t="s">
        <v>21</v>
      </c>
      <c r="G2814" s="209" t="s">
        <v>21</v>
      </c>
      <c r="H2814" s="209" t="s">
        <v>192</v>
      </c>
      <c r="I2814" s="210"/>
    </row>
    <row r="2815" spans="1:9" x14ac:dyDescent="0.25">
      <c r="A2815" s="74"/>
      <c r="B2815" s="45">
        <v>357</v>
      </c>
      <c r="C2815" s="64" t="s">
        <v>769</v>
      </c>
      <c r="D2815" s="74"/>
      <c r="E2815" s="208" t="s">
        <v>160</v>
      </c>
      <c r="F2815" s="209" t="s">
        <v>21</v>
      </c>
      <c r="G2815" s="209" t="s">
        <v>21</v>
      </c>
      <c r="H2815" s="209" t="s">
        <v>192</v>
      </c>
      <c r="I2815" s="210"/>
    </row>
    <row r="2816" spans="1:9" x14ac:dyDescent="0.25">
      <c r="A2816" s="74"/>
      <c r="B2816" s="45">
        <v>350</v>
      </c>
      <c r="C2816" s="64" t="s">
        <v>762</v>
      </c>
      <c r="D2816" s="74"/>
      <c r="E2816" s="208" t="s">
        <v>160</v>
      </c>
      <c r="F2816" s="209" t="s">
        <v>21</v>
      </c>
      <c r="G2816" s="209" t="s">
        <v>21</v>
      </c>
      <c r="H2816" s="209" t="s">
        <v>192</v>
      </c>
      <c r="I2816" s="210"/>
    </row>
    <row r="2817" spans="1:9" x14ac:dyDescent="0.25">
      <c r="A2817" s="74"/>
      <c r="B2817" s="45">
        <v>359</v>
      </c>
      <c r="C2817" s="64" t="s">
        <v>771</v>
      </c>
      <c r="D2817" s="74"/>
      <c r="E2817" s="208" t="s">
        <v>160</v>
      </c>
      <c r="F2817" s="209" t="s">
        <v>21</v>
      </c>
      <c r="G2817" s="209" t="s">
        <v>21</v>
      </c>
      <c r="H2817" s="209" t="s">
        <v>192</v>
      </c>
      <c r="I2817" s="210"/>
    </row>
    <row r="2818" spans="1:9" x14ac:dyDescent="0.25">
      <c r="A2818" s="74"/>
      <c r="B2818" s="45">
        <v>360</v>
      </c>
      <c r="C2818" s="64" t="s">
        <v>772</v>
      </c>
      <c r="D2818" s="74"/>
      <c r="E2818" s="208" t="s">
        <v>160</v>
      </c>
      <c r="F2818" s="209" t="s">
        <v>21</v>
      </c>
      <c r="G2818" s="209" t="s">
        <v>21</v>
      </c>
      <c r="H2818" s="209" t="s">
        <v>192</v>
      </c>
      <c r="I2818" s="210"/>
    </row>
    <row r="2819" spans="1:9" x14ac:dyDescent="0.25">
      <c r="A2819" s="74"/>
      <c r="B2819" s="45">
        <v>1458</v>
      </c>
      <c r="C2819" s="64" t="s">
        <v>1835</v>
      </c>
      <c r="D2819" s="74"/>
      <c r="E2819" s="208" t="s">
        <v>160</v>
      </c>
      <c r="F2819" s="209" t="s">
        <v>21</v>
      </c>
      <c r="G2819" s="209" t="s">
        <v>21</v>
      </c>
      <c r="H2819" s="209" t="s">
        <v>272</v>
      </c>
      <c r="I2819" s="210"/>
    </row>
    <row r="2820" spans="1:9" x14ac:dyDescent="0.25">
      <c r="A2820" s="74"/>
      <c r="B2820" s="45">
        <v>1459</v>
      </c>
      <c r="C2820" s="64" t="s">
        <v>1836</v>
      </c>
      <c r="D2820" s="74"/>
      <c r="E2820" s="208" t="s">
        <v>160</v>
      </c>
      <c r="F2820" s="209" t="s">
        <v>21</v>
      </c>
      <c r="G2820" s="209" t="s">
        <v>21</v>
      </c>
      <c r="H2820" s="209" t="s">
        <v>272</v>
      </c>
      <c r="I2820" s="210"/>
    </row>
    <row r="2821" spans="1:9" x14ac:dyDescent="0.25">
      <c r="A2821" s="74"/>
      <c r="B2821" s="45">
        <v>1460</v>
      </c>
      <c r="C2821" s="64" t="s">
        <v>1837</v>
      </c>
      <c r="D2821" s="74"/>
      <c r="E2821" s="208" t="s">
        <v>160</v>
      </c>
      <c r="F2821" s="209" t="s">
        <v>21</v>
      </c>
      <c r="G2821" s="209" t="s">
        <v>21</v>
      </c>
      <c r="H2821" s="209" t="s">
        <v>272</v>
      </c>
      <c r="I2821" s="210"/>
    </row>
    <row r="2822" spans="1:9" x14ac:dyDescent="0.25">
      <c r="A2822" s="74"/>
      <c r="B2822" s="45">
        <v>1458</v>
      </c>
      <c r="C2822" s="64" t="s">
        <v>1835</v>
      </c>
      <c r="D2822" s="74"/>
      <c r="E2822" s="208" t="s">
        <v>160</v>
      </c>
      <c r="F2822" s="209" t="s">
        <v>21</v>
      </c>
      <c r="G2822" s="209" t="s">
        <v>21</v>
      </c>
      <c r="H2822" s="209" t="s">
        <v>272</v>
      </c>
      <c r="I2822" s="210"/>
    </row>
    <row r="2823" spans="1:9" x14ac:dyDescent="0.25">
      <c r="A2823" s="74"/>
      <c r="B2823" s="45">
        <v>1459</v>
      </c>
      <c r="C2823" s="64" t="s">
        <v>1836</v>
      </c>
      <c r="D2823" s="74"/>
      <c r="E2823" s="208" t="s">
        <v>160</v>
      </c>
      <c r="F2823" s="209" t="s">
        <v>21</v>
      </c>
      <c r="G2823" s="209" t="s">
        <v>21</v>
      </c>
      <c r="H2823" s="209" t="s">
        <v>272</v>
      </c>
      <c r="I2823" s="210"/>
    </row>
    <row r="2824" spans="1:9" x14ac:dyDescent="0.25">
      <c r="A2824" s="74"/>
      <c r="B2824" s="45">
        <v>1460</v>
      </c>
      <c r="C2824" s="64" t="s">
        <v>1837</v>
      </c>
      <c r="D2824" s="74"/>
      <c r="E2824" s="208" t="s">
        <v>160</v>
      </c>
      <c r="F2824" s="209" t="s">
        <v>21</v>
      </c>
      <c r="G2824" s="209" t="s">
        <v>21</v>
      </c>
      <c r="H2824" s="209" t="s">
        <v>272</v>
      </c>
      <c r="I2824" s="210"/>
    </row>
    <row r="2825" spans="1:9" x14ac:dyDescent="0.25">
      <c r="A2825" s="74"/>
      <c r="B2825" s="45">
        <v>1458</v>
      </c>
      <c r="C2825" s="64" t="s">
        <v>1835</v>
      </c>
      <c r="D2825" s="74"/>
      <c r="E2825" s="208" t="s">
        <v>160</v>
      </c>
      <c r="F2825" s="209" t="s">
        <v>21</v>
      </c>
      <c r="G2825" s="209" t="s">
        <v>21</v>
      </c>
      <c r="H2825" s="209" t="s">
        <v>272</v>
      </c>
      <c r="I2825" s="210"/>
    </row>
    <row r="2826" spans="1:9" x14ac:dyDescent="0.25">
      <c r="A2826" s="74"/>
      <c r="B2826" s="45">
        <v>1459</v>
      </c>
      <c r="C2826" s="64" t="s">
        <v>1836</v>
      </c>
      <c r="D2826" s="74"/>
      <c r="E2826" s="208" t="s">
        <v>160</v>
      </c>
      <c r="F2826" s="209" t="s">
        <v>21</v>
      </c>
      <c r="G2826" s="209" t="s">
        <v>21</v>
      </c>
      <c r="H2826" s="209" t="s">
        <v>272</v>
      </c>
      <c r="I2826" s="210"/>
    </row>
    <row r="2827" spans="1:9" x14ac:dyDescent="0.25">
      <c r="A2827" s="74"/>
      <c r="B2827" s="45">
        <v>1460</v>
      </c>
      <c r="C2827" s="64" t="s">
        <v>1837</v>
      </c>
      <c r="D2827" s="74"/>
      <c r="E2827" s="208" t="s">
        <v>160</v>
      </c>
      <c r="F2827" s="209" t="s">
        <v>21</v>
      </c>
      <c r="G2827" s="209" t="s">
        <v>21</v>
      </c>
      <c r="H2827" s="209" t="s">
        <v>272</v>
      </c>
      <c r="I2827" s="210"/>
    </row>
    <row r="2828" spans="1:9" x14ac:dyDescent="0.25">
      <c r="A2828" s="74"/>
      <c r="B2828" s="45">
        <v>1458</v>
      </c>
      <c r="C2828" s="64" t="s">
        <v>1835</v>
      </c>
      <c r="D2828" s="74"/>
      <c r="E2828" s="208" t="s">
        <v>160</v>
      </c>
      <c r="F2828" s="209" t="s">
        <v>21</v>
      </c>
      <c r="G2828" s="209" t="s">
        <v>21</v>
      </c>
      <c r="H2828" s="209" t="s">
        <v>272</v>
      </c>
      <c r="I2828" s="210"/>
    </row>
    <row r="2829" spans="1:9" x14ac:dyDescent="0.25">
      <c r="A2829" s="74"/>
      <c r="B2829" s="45">
        <v>1459</v>
      </c>
      <c r="C2829" s="64" t="s">
        <v>1836</v>
      </c>
      <c r="D2829" s="74"/>
      <c r="E2829" s="208" t="s">
        <v>160</v>
      </c>
      <c r="F2829" s="209" t="s">
        <v>21</v>
      </c>
      <c r="G2829" s="209" t="s">
        <v>21</v>
      </c>
      <c r="H2829" s="209" t="s">
        <v>272</v>
      </c>
      <c r="I2829" s="210"/>
    </row>
    <row r="2830" spans="1:9" x14ac:dyDescent="0.25">
      <c r="A2830" s="74"/>
      <c r="B2830" s="45">
        <v>1460</v>
      </c>
      <c r="C2830" s="64" t="s">
        <v>1837</v>
      </c>
      <c r="D2830" s="74"/>
      <c r="E2830" s="208" t="s">
        <v>160</v>
      </c>
      <c r="F2830" s="209" t="s">
        <v>21</v>
      </c>
      <c r="G2830" s="209" t="s">
        <v>21</v>
      </c>
      <c r="H2830" s="209" t="s">
        <v>272</v>
      </c>
      <c r="I2830" s="210"/>
    </row>
    <row r="2831" spans="1:9" x14ac:dyDescent="0.25">
      <c r="A2831" s="74"/>
      <c r="B2831" s="45">
        <v>1461</v>
      </c>
      <c r="C2831" s="64" t="s">
        <v>1838</v>
      </c>
      <c r="D2831" s="74"/>
      <c r="E2831" s="208" t="s">
        <v>160</v>
      </c>
      <c r="F2831" s="209" t="s">
        <v>21</v>
      </c>
      <c r="G2831" s="209" t="s">
        <v>21</v>
      </c>
      <c r="H2831" s="209" t="s">
        <v>272</v>
      </c>
      <c r="I2831" s="210"/>
    </row>
    <row r="2832" spans="1:9" x14ac:dyDescent="0.25">
      <c r="A2832" s="74"/>
      <c r="B2832" s="45">
        <v>1462</v>
      </c>
      <c r="C2832" s="64" t="s">
        <v>1839</v>
      </c>
      <c r="D2832" s="74"/>
      <c r="E2832" s="208" t="s">
        <v>160</v>
      </c>
      <c r="F2832" s="209" t="s">
        <v>21</v>
      </c>
      <c r="G2832" s="209" t="s">
        <v>21</v>
      </c>
      <c r="H2832" s="209" t="s">
        <v>272</v>
      </c>
      <c r="I2832" s="210"/>
    </row>
    <row r="2833" spans="1:9" x14ac:dyDescent="0.25">
      <c r="A2833" s="74"/>
      <c r="B2833" s="45">
        <v>1463</v>
      </c>
      <c r="C2833" s="64" t="s">
        <v>1840</v>
      </c>
      <c r="D2833" s="74"/>
      <c r="E2833" s="208" t="s">
        <v>160</v>
      </c>
      <c r="F2833" s="209" t="s">
        <v>21</v>
      </c>
      <c r="G2833" s="209" t="s">
        <v>21</v>
      </c>
      <c r="H2833" s="209" t="s">
        <v>272</v>
      </c>
      <c r="I2833" s="210"/>
    </row>
    <row r="2834" spans="1:9" x14ac:dyDescent="0.25">
      <c r="A2834" s="74"/>
      <c r="B2834" s="45">
        <v>1464</v>
      </c>
      <c r="C2834" s="64" t="s">
        <v>1737</v>
      </c>
      <c r="D2834" s="74"/>
      <c r="E2834" s="208" t="s">
        <v>160</v>
      </c>
      <c r="F2834" s="209" t="s">
        <v>21</v>
      </c>
      <c r="G2834" s="209" t="s">
        <v>21</v>
      </c>
      <c r="H2834" s="209" t="s">
        <v>272</v>
      </c>
      <c r="I2834" s="210"/>
    </row>
    <row r="2835" spans="1:9" x14ac:dyDescent="0.25">
      <c r="A2835" s="74"/>
      <c r="B2835" s="45">
        <v>1437</v>
      </c>
      <c r="C2835" s="64" t="s">
        <v>1817</v>
      </c>
      <c r="D2835" s="74"/>
      <c r="E2835" s="208" t="s">
        <v>160</v>
      </c>
      <c r="F2835" s="209" t="s">
        <v>21</v>
      </c>
      <c r="G2835" s="209" t="s">
        <v>21</v>
      </c>
      <c r="H2835" s="209" t="s">
        <v>189</v>
      </c>
      <c r="I2835" s="210"/>
    </row>
    <row r="2836" spans="1:9" x14ac:dyDescent="0.25">
      <c r="A2836" s="74"/>
      <c r="B2836" s="45">
        <v>369</v>
      </c>
      <c r="C2836" s="64" t="s">
        <v>781</v>
      </c>
      <c r="D2836" s="74"/>
      <c r="E2836" s="208" t="s">
        <v>160</v>
      </c>
      <c r="F2836" s="209" t="s">
        <v>21</v>
      </c>
      <c r="G2836" s="209" t="s">
        <v>21</v>
      </c>
      <c r="H2836" s="209" t="s">
        <v>192</v>
      </c>
      <c r="I2836" s="210"/>
    </row>
    <row r="2837" spans="1:9" x14ac:dyDescent="0.25">
      <c r="A2837" s="74"/>
      <c r="B2837" s="45">
        <v>1466</v>
      </c>
      <c r="C2837" s="64" t="s">
        <v>1591</v>
      </c>
      <c r="D2837" s="74"/>
      <c r="E2837" s="208" t="s">
        <v>160</v>
      </c>
      <c r="F2837" s="209" t="s">
        <v>21</v>
      </c>
      <c r="G2837" s="209" t="s">
        <v>21</v>
      </c>
      <c r="H2837" s="209" t="s">
        <v>16</v>
      </c>
      <c r="I2837" s="210"/>
    </row>
    <row r="2838" spans="1:9" x14ac:dyDescent="0.25">
      <c r="A2838" s="74"/>
      <c r="B2838" s="45">
        <v>1467</v>
      </c>
      <c r="C2838" s="64" t="s">
        <v>1740</v>
      </c>
      <c r="D2838" s="74"/>
      <c r="E2838" s="208" t="s">
        <v>283</v>
      </c>
      <c r="F2838" s="209" t="s">
        <v>21</v>
      </c>
      <c r="G2838" s="209" t="s">
        <v>21</v>
      </c>
      <c r="H2838" s="209" t="s">
        <v>200</v>
      </c>
      <c r="I2838" s="210"/>
    </row>
    <row r="2839" spans="1:9" x14ac:dyDescent="0.25">
      <c r="A2839" s="74"/>
      <c r="B2839" s="45">
        <v>366</v>
      </c>
      <c r="C2839" s="64" t="s">
        <v>778</v>
      </c>
      <c r="D2839" s="74"/>
      <c r="E2839" s="208" t="s">
        <v>160</v>
      </c>
      <c r="F2839" s="209" t="s">
        <v>21</v>
      </c>
      <c r="G2839" s="209" t="s">
        <v>21</v>
      </c>
      <c r="H2839" s="209" t="s">
        <v>272</v>
      </c>
      <c r="I2839" s="210"/>
    </row>
    <row r="2840" spans="1:9" x14ac:dyDescent="0.25">
      <c r="A2840" s="74"/>
      <c r="B2840" s="45">
        <v>364</v>
      </c>
      <c r="C2840" s="64" t="s">
        <v>776</v>
      </c>
      <c r="D2840" s="74"/>
      <c r="E2840" s="208" t="s">
        <v>160</v>
      </c>
      <c r="F2840" s="209" t="s">
        <v>21</v>
      </c>
      <c r="G2840" s="209" t="s">
        <v>21</v>
      </c>
      <c r="H2840" s="209" t="s">
        <v>192</v>
      </c>
      <c r="I2840" s="210"/>
    </row>
    <row r="2841" spans="1:9" x14ac:dyDescent="0.25">
      <c r="A2841" s="74"/>
      <c r="B2841" s="45">
        <v>366</v>
      </c>
      <c r="C2841" s="64" t="s">
        <v>778</v>
      </c>
      <c r="D2841" s="74"/>
      <c r="E2841" s="208" t="s">
        <v>160</v>
      </c>
      <c r="F2841" s="209" t="s">
        <v>21</v>
      </c>
      <c r="G2841" s="209" t="s">
        <v>21</v>
      </c>
      <c r="H2841" s="209" t="s">
        <v>272</v>
      </c>
      <c r="I2841" s="210"/>
    </row>
    <row r="2842" spans="1:9" x14ac:dyDescent="0.25">
      <c r="A2842" s="74"/>
      <c r="B2842" s="45">
        <v>364</v>
      </c>
      <c r="C2842" s="64" t="s">
        <v>776</v>
      </c>
      <c r="D2842" s="74"/>
      <c r="E2842" s="208" t="s">
        <v>160</v>
      </c>
      <c r="F2842" s="209" t="s">
        <v>21</v>
      </c>
      <c r="G2842" s="209" t="s">
        <v>21</v>
      </c>
      <c r="H2842" s="209" t="s">
        <v>192</v>
      </c>
      <c r="I2842" s="210"/>
    </row>
    <row r="2843" spans="1:9" x14ac:dyDescent="0.25">
      <c r="A2843" s="74"/>
      <c r="B2843" s="45">
        <v>366</v>
      </c>
      <c r="C2843" s="64" t="s">
        <v>778</v>
      </c>
      <c r="D2843" s="74"/>
      <c r="E2843" s="208" t="s">
        <v>160</v>
      </c>
      <c r="F2843" s="209" t="s">
        <v>21</v>
      </c>
      <c r="G2843" s="209" t="s">
        <v>21</v>
      </c>
      <c r="H2843" s="209" t="s">
        <v>272</v>
      </c>
      <c r="I2843" s="210"/>
    </row>
    <row r="2844" spans="1:9" x14ac:dyDescent="0.25">
      <c r="A2844" s="74"/>
      <c r="B2844" s="45">
        <v>364</v>
      </c>
      <c r="C2844" s="64" t="s">
        <v>776</v>
      </c>
      <c r="D2844" s="74"/>
      <c r="E2844" s="208" t="s">
        <v>160</v>
      </c>
      <c r="F2844" s="209" t="s">
        <v>21</v>
      </c>
      <c r="G2844" s="209" t="s">
        <v>21</v>
      </c>
      <c r="H2844" s="209" t="s">
        <v>192</v>
      </c>
      <c r="I2844" s="210"/>
    </row>
    <row r="2845" spans="1:9" x14ac:dyDescent="0.25">
      <c r="A2845" s="74"/>
      <c r="B2845" s="45">
        <v>366</v>
      </c>
      <c r="C2845" s="64" t="s">
        <v>778</v>
      </c>
      <c r="D2845" s="74"/>
      <c r="E2845" s="208" t="s">
        <v>160</v>
      </c>
      <c r="F2845" s="209" t="s">
        <v>21</v>
      </c>
      <c r="G2845" s="209" t="s">
        <v>21</v>
      </c>
      <c r="H2845" s="209" t="s">
        <v>272</v>
      </c>
      <c r="I2845" s="210"/>
    </row>
    <row r="2846" spans="1:9" x14ac:dyDescent="0.25">
      <c r="A2846" s="74"/>
      <c r="B2846" s="45">
        <v>364</v>
      </c>
      <c r="C2846" s="64" t="s">
        <v>776</v>
      </c>
      <c r="D2846" s="74"/>
      <c r="E2846" s="208" t="s">
        <v>160</v>
      </c>
      <c r="F2846" s="209" t="s">
        <v>21</v>
      </c>
      <c r="G2846" s="209" t="s">
        <v>21</v>
      </c>
      <c r="H2846" s="209" t="s">
        <v>192</v>
      </c>
      <c r="I2846" s="210"/>
    </row>
    <row r="2847" spans="1:9" x14ac:dyDescent="0.25">
      <c r="A2847" s="74"/>
      <c r="B2847" s="45">
        <v>1468</v>
      </c>
      <c r="C2847" s="64" t="s">
        <v>1841</v>
      </c>
      <c r="D2847" s="74"/>
      <c r="E2847" s="208" t="s">
        <v>160</v>
      </c>
      <c r="F2847" s="209" t="s">
        <v>21</v>
      </c>
      <c r="G2847" s="209" t="s">
        <v>21</v>
      </c>
      <c r="H2847" s="209" t="s">
        <v>272</v>
      </c>
      <c r="I2847" s="210"/>
    </row>
    <row r="2848" spans="1:9" x14ac:dyDescent="0.25">
      <c r="A2848" s="74"/>
      <c r="B2848" s="45">
        <v>367</v>
      </c>
      <c r="C2848" s="64" t="s">
        <v>779</v>
      </c>
      <c r="D2848" s="74"/>
      <c r="E2848" s="208" t="s">
        <v>160</v>
      </c>
      <c r="F2848" s="209" t="s">
        <v>21</v>
      </c>
      <c r="G2848" s="209" t="s">
        <v>21</v>
      </c>
      <c r="H2848" s="209" t="s">
        <v>192</v>
      </c>
      <c r="I2848" s="210"/>
    </row>
    <row r="2849" spans="1:9" x14ac:dyDescent="0.25">
      <c r="A2849" s="74"/>
      <c r="B2849" s="45">
        <v>364</v>
      </c>
      <c r="C2849" s="64" t="s">
        <v>776</v>
      </c>
      <c r="D2849" s="74"/>
      <c r="E2849" s="208" t="s">
        <v>160</v>
      </c>
      <c r="F2849" s="209" t="s">
        <v>21</v>
      </c>
      <c r="G2849" s="209" t="s">
        <v>21</v>
      </c>
      <c r="H2849" s="209" t="s">
        <v>192</v>
      </c>
      <c r="I2849" s="210"/>
    </row>
    <row r="2850" spans="1:9" x14ac:dyDescent="0.25">
      <c r="A2850" s="74"/>
      <c r="B2850" s="45">
        <v>361</v>
      </c>
      <c r="C2850" s="64" t="s">
        <v>773</v>
      </c>
      <c r="D2850" s="74"/>
      <c r="E2850" s="208" t="s">
        <v>160</v>
      </c>
      <c r="F2850" s="209" t="s">
        <v>21</v>
      </c>
      <c r="G2850" s="209" t="s">
        <v>21</v>
      </c>
      <c r="H2850" s="209" t="s">
        <v>192</v>
      </c>
      <c r="I2850" s="210"/>
    </row>
    <row r="2851" spans="1:9" x14ac:dyDescent="0.25">
      <c r="A2851" s="74"/>
      <c r="B2851" s="45">
        <v>350</v>
      </c>
      <c r="C2851" s="64" t="s">
        <v>762</v>
      </c>
      <c r="D2851" s="74"/>
      <c r="E2851" s="208" t="s">
        <v>160</v>
      </c>
      <c r="F2851" s="209" t="s">
        <v>21</v>
      </c>
      <c r="G2851" s="209" t="s">
        <v>21</v>
      </c>
      <c r="H2851" s="209" t="s">
        <v>192</v>
      </c>
      <c r="I2851" s="210"/>
    </row>
    <row r="2852" spans="1:9" x14ac:dyDescent="0.25">
      <c r="A2852" s="74"/>
      <c r="B2852" s="45">
        <v>1469</v>
      </c>
      <c r="C2852" s="64" t="s">
        <v>1842</v>
      </c>
      <c r="D2852" s="74"/>
      <c r="E2852" s="208" t="s">
        <v>284</v>
      </c>
      <c r="F2852" s="209" t="s">
        <v>21</v>
      </c>
      <c r="G2852" s="209" t="s">
        <v>21</v>
      </c>
      <c r="H2852" s="209" t="s">
        <v>272</v>
      </c>
      <c r="I2852" s="210"/>
    </row>
    <row r="2853" spans="1:9" x14ac:dyDescent="0.25">
      <c r="A2853" s="74"/>
      <c r="B2853" s="45">
        <v>1470</v>
      </c>
      <c r="C2853" s="64" t="s">
        <v>1843</v>
      </c>
      <c r="D2853" s="74"/>
      <c r="E2853" s="208" t="s">
        <v>170</v>
      </c>
      <c r="F2853" s="209" t="s">
        <v>21</v>
      </c>
      <c r="G2853" s="209" t="s">
        <v>21</v>
      </c>
      <c r="H2853" s="209" t="s">
        <v>189</v>
      </c>
      <c r="I2853" s="210"/>
    </row>
    <row r="2854" spans="1:9" x14ac:dyDescent="0.25">
      <c r="A2854" s="74"/>
      <c r="B2854" s="45">
        <v>1471</v>
      </c>
      <c r="C2854" s="64" t="s">
        <v>1844</v>
      </c>
      <c r="D2854" s="74"/>
      <c r="E2854" s="208" t="s">
        <v>170</v>
      </c>
      <c r="F2854" s="209" t="s">
        <v>21</v>
      </c>
      <c r="G2854" s="209" t="s">
        <v>21</v>
      </c>
      <c r="H2854" s="209" t="s">
        <v>16</v>
      </c>
      <c r="I2854" s="210"/>
    </row>
    <row r="2855" spans="1:9" x14ac:dyDescent="0.25">
      <c r="A2855" s="74"/>
      <c r="B2855" s="45">
        <v>1472</v>
      </c>
      <c r="C2855" s="64" t="s">
        <v>1845</v>
      </c>
      <c r="D2855" s="74"/>
      <c r="E2855" s="208" t="s">
        <v>170</v>
      </c>
      <c r="F2855" s="209" t="s">
        <v>21</v>
      </c>
      <c r="G2855" s="209" t="s">
        <v>21</v>
      </c>
      <c r="H2855" s="209" t="s">
        <v>272</v>
      </c>
      <c r="I2855" s="210"/>
    </row>
    <row r="2856" spans="1:9" x14ac:dyDescent="0.25">
      <c r="A2856" s="74"/>
      <c r="B2856" s="45">
        <v>1473</v>
      </c>
      <c r="C2856" s="64" t="s">
        <v>1719</v>
      </c>
      <c r="D2856" s="74"/>
      <c r="E2856" s="208" t="s">
        <v>170</v>
      </c>
      <c r="F2856" s="209" t="s">
        <v>21</v>
      </c>
      <c r="G2856" s="209" t="s">
        <v>21</v>
      </c>
      <c r="H2856" s="209" t="s">
        <v>272</v>
      </c>
      <c r="I2856" s="210"/>
    </row>
    <row r="2857" spans="1:9" x14ac:dyDescent="0.25">
      <c r="A2857" s="74"/>
      <c r="B2857" s="45">
        <v>1474</v>
      </c>
      <c r="C2857" s="64" t="s">
        <v>1846</v>
      </c>
      <c r="D2857" s="74"/>
      <c r="E2857" s="208" t="s">
        <v>170</v>
      </c>
      <c r="F2857" s="209" t="s">
        <v>21</v>
      </c>
      <c r="G2857" s="209" t="s">
        <v>21</v>
      </c>
      <c r="H2857" s="209" t="s">
        <v>272</v>
      </c>
      <c r="I2857" s="210"/>
    </row>
    <row r="2858" spans="1:9" x14ac:dyDescent="0.25">
      <c r="A2858" s="74"/>
      <c r="B2858" s="45">
        <v>1475</v>
      </c>
      <c r="C2858" s="64" t="s">
        <v>1847</v>
      </c>
      <c r="D2858" s="74"/>
      <c r="E2858" s="208" t="s">
        <v>128</v>
      </c>
      <c r="F2858" s="209" t="s">
        <v>21</v>
      </c>
      <c r="G2858" s="209" t="s">
        <v>21</v>
      </c>
      <c r="H2858" s="209" t="s">
        <v>189</v>
      </c>
      <c r="I2858" s="210"/>
    </row>
    <row r="2859" spans="1:9" x14ac:dyDescent="0.25">
      <c r="A2859" s="74"/>
      <c r="B2859" s="45">
        <v>399</v>
      </c>
      <c r="C2859" s="64" t="s">
        <v>811</v>
      </c>
      <c r="D2859" s="74"/>
      <c r="E2859" s="208" t="s">
        <v>169</v>
      </c>
      <c r="F2859" s="209" t="s">
        <v>21</v>
      </c>
      <c r="G2859" s="209" t="s">
        <v>21</v>
      </c>
      <c r="H2859" s="209" t="s">
        <v>198</v>
      </c>
      <c r="I2859" s="210"/>
    </row>
    <row r="2860" spans="1:9" x14ac:dyDescent="0.25">
      <c r="A2860" s="74"/>
      <c r="B2860" s="45">
        <v>376</v>
      </c>
      <c r="C2860" s="64" t="s">
        <v>788</v>
      </c>
      <c r="D2860" s="74"/>
      <c r="E2860" s="208" t="s">
        <v>169</v>
      </c>
      <c r="F2860" s="209" t="s">
        <v>21</v>
      </c>
      <c r="G2860" s="209" t="s">
        <v>21</v>
      </c>
      <c r="H2860" s="209" t="s">
        <v>187</v>
      </c>
      <c r="I2860" s="210"/>
    </row>
    <row r="2861" spans="1:9" x14ac:dyDescent="0.25">
      <c r="A2861" s="74"/>
      <c r="B2861" s="45">
        <v>1476</v>
      </c>
      <c r="C2861" s="64" t="s">
        <v>1848</v>
      </c>
      <c r="D2861" s="74"/>
      <c r="E2861" s="208" t="s">
        <v>169</v>
      </c>
      <c r="F2861" s="209" t="s">
        <v>21</v>
      </c>
      <c r="G2861" s="209" t="s">
        <v>21</v>
      </c>
      <c r="H2861" s="209" t="s">
        <v>187</v>
      </c>
      <c r="I2861" s="210"/>
    </row>
    <row r="2862" spans="1:9" x14ac:dyDescent="0.25">
      <c r="A2862" s="74"/>
      <c r="B2862" s="45">
        <v>375</v>
      </c>
      <c r="C2862" s="64" t="s">
        <v>787</v>
      </c>
      <c r="D2862" s="74"/>
      <c r="E2862" s="208" t="s">
        <v>169</v>
      </c>
      <c r="F2862" s="209" t="s">
        <v>21</v>
      </c>
      <c r="G2862" s="209" t="s">
        <v>21</v>
      </c>
      <c r="H2862" s="209" t="s">
        <v>198</v>
      </c>
      <c r="I2862" s="210"/>
    </row>
    <row r="2863" spans="1:9" x14ac:dyDescent="0.25">
      <c r="A2863" s="74"/>
      <c r="B2863" s="45">
        <v>391</v>
      </c>
      <c r="C2863" s="64" t="s">
        <v>803</v>
      </c>
      <c r="D2863" s="74"/>
      <c r="E2863" s="208" t="s">
        <v>169</v>
      </c>
      <c r="F2863" s="209" t="s">
        <v>21</v>
      </c>
      <c r="G2863" s="209" t="s">
        <v>21</v>
      </c>
      <c r="H2863" s="209" t="s">
        <v>192</v>
      </c>
      <c r="I2863" s="210"/>
    </row>
    <row r="2864" spans="1:9" x14ac:dyDescent="0.25">
      <c r="A2864" s="74"/>
      <c r="B2864" s="45">
        <v>1477</v>
      </c>
      <c r="C2864" s="64" t="s">
        <v>1778</v>
      </c>
      <c r="D2864" s="74"/>
      <c r="E2864" s="208" t="s">
        <v>169</v>
      </c>
      <c r="F2864" s="209" t="s">
        <v>21</v>
      </c>
      <c r="G2864" s="209" t="s">
        <v>21</v>
      </c>
      <c r="H2864" s="209" t="s">
        <v>189</v>
      </c>
      <c r="I2864" s="210"/>
    </row>
    <row r="2865" spans="1:9" x14ac:dyDescent="0.25">
      <c r="A2865" s="74"/>
      <c r="B2865" s="45">
        <v>1478</v>
      </c>
      <c r="C2865" s="64" t="s">
        <v>1849</v>
      </c>
      <c r="D2865" s="74"/>
      <c r="E2865" s="208" t="s">
        <v>285</v>
      </c>
      <c r="F2865" s="209" t="s">
        <v>21</v>
      </c>
      <c r="G2865" s="209" t="s">
        <v>21</v>
      </c>
      <c r="H2865" s="209" t="s">
        <v>189</v>
      </c>
      <c r="I2865" s="210"/>
    </row>
    <row r="2866" spans="1:9" x14ac:dyDescent="0.25">
      <c r="A2866" s="74"/>
      <c r="B2866" s="45">
        <v>382</v>
      </c>
      <c r="C2866" s="64" t="s">
        <v>794</v>
      </c>
      <c r="D2866" s="74"/>
      <c r="E2866" s="208" t="s">
        <v>169</v>
      </c>
      <c r="F2866" s="209" t="s">
        <v>21</v>
      </c>
      <c r="G2866" s="209" t="s">
        <v>21</v>
      </c>
      <c r="H2866" s="209" t="s">
        <v>198</v>
      </c>
      <c r="I2866" s="210"/>
    </row>
    <row r="2867" spans="1:9" x14ac:dyDescent="0.25">
      <c r="A2867" s="74"/>
      <c r="B2867" s="45">
        <v>1479</v>
      </c>
      <c r="C2867" s="64" t="s">
        <v>1850</v>
      </c>
      <c r="D2867" s="74"/>
      <c r="E2867" s="208" t="s">
        <v>169</v>
      </c>
      <c r="F2867" s="209" t="s">
        <v>21</v>
      </c>
      <c r="G2867" s="209" t="s">
        <v>21</v>
      </c>
      <c r="H2867" s="209" t="s">
        <v>16</v>
      </c>
      <c r="I2867" s="210"/>
    </row>
    <row r="2868" spans="1:9" x14ac:dyDescent="0.25">
      <c r="A2868" s="74"/>
      <c r="B2868" s="45">
        <v>1480</v>
      </c>
      <c r="C2868" s="64" t="s">
        <v>1851</v>
      </c>
      <c r="D2868" s="74"/>
      <c r="E2868" s="208" t="s">
        <v>280</v>
      </c>
      <c r="F2868" s="209" t="s">
        <v>21</v>
      </c>
      <c r="G2868" s="209" t="s">
        <v>21</v>
      </c>
      <c r="H2868" s="209" t="s">
        <v>189</v>
      </c>
      <c r="I2868" s="210"/>
    </row>
    <row r="2869" spans="1:9" x14ac:dyDescent="0.25">
      <c r="A2869" s="74"/>
      <c r="B2869" s="45">
        <v>1481</v>
      </c>
      <c r="C2869" s="64" t="s">
        <v>1852</v>
      </c>
      <c r="D2869" s="74"/>
      <c r="E2869" s="208" t="s">
        <v>169</v>
      </c>
      <c r="F2869" s="209" t="s">
        <v>21</v>
      </c>
      <c r="G2869" s="209" t="s">
        <v>21</v>
      </c>
      <c r="H2869" s="209" t="s">
        <v>189</v>
      </c>
      <c r="I2869" s="210"/>
    </row>
    <row r="2870" spans="1:9" x14ac:dyDescent="0.25">
      <c r="A2870" s="74"/>
      <c r="B2870" s="45">
        <v>1482</v>
      </c>
      <c r="C2870" s="64" t="s">
        <v>1822</v>
      </c>
      <c r="D2870" s="74"/>
      <c r="E2870" s="208" t="s">
        <v>169</v>
      </c>
      <c r="F2870" s="209" t="s">
        <v>21</v>
      </c>
      <c r="G2870" s="209" t="s">
        <v>21</v>
      </c>
      <c r="H2870" s="209" t="s">
        <v>272</v>
      </c>
      <c r="I2870" s="210"/>
    </row>
    <row r="2871" spans="1:9" x14ac:dyDescent="0.25">
      <c r="A2871" s="74"/>
      <c r="B2871" s="45">
        <v>1483</v>
      </c>
      <c r="C2871" s="64" t="s">
        <v>1853</v>
      </c>
      <c r="D2871" s="74"/>
      <c r="E2871" s="208" t="s">
        <v>169</v>
      </c>
      <c r="F2871" s="209" t="s">
        <v>21</v>
      </c>
      <c r="G2871" s="209" t="s">
        <v>21</v>
      </c>
      <c r="H2871" s="209" t="s">
        <v>272</v>
      </c>
      <c r="I2871" s="210"/>
    </row>
    <row r="2872" spans="1:9" x14ac:dyDescent="0.25">
      <c r="A2872" s="74"/>
      <c r="B2872" s="45">
        <v>1484</v>
      </c>
      <c r="C2872" s="64" t="s">
        <v>1854</v>
      </c>
      <c r="D2872" s="74"/>
      <c r="E2872" s="208" t="s">
        <v>169</v>
      </c>
      <c r="F2872" s="209" t="s">
        <v>21</v>
      </c>
      <c r="G2872" s="209" t="s">
        <v>21</v>
      </c>
      <c r="H2872" s="209" t="s">
        <v>272</v>
      </c>
      <c r="I2872" s="210"/>
    </row>
    <row r="2873" spans="1:9" x14ac:dyDescent="0.25">
      <c r="A2873" s="74"/>
      <c r="B2873" s="45">
        <v>1485</v>
      </c>
      <c r="C2873" s="64" t="s">
        <v>1855</v>
      </c>
      <c r="D2873" s="74"/>
      <c r="E2873" s="208" t="s">
        <v>169</v>
      </c>
      <c r="F2873" s="209" t="s">
        <v>21</v>
      </c>
      <c r="G2873" s="209" t="s">
        <v>21</v>
      </c>
      <c r="H2873" s="209" t="s">
        <v>272</v>
      </c>
      <c r="I2873" s="210"/>
    </row>
    <row r="2874" spans="1:9" x14ac:dyDescent="0.25">
      <c r="A2874" s="74"/>
      <c r="B2874" s="45">
        <v>1482</v>
      </c>
      <c r="C2874" s="64" t="s">
        <v>1822</v>
      </c>
      <c r="D2874" s="74"/>
      <c r="E2874" s="208" t="s">
        <v>169</v>
      </c>
      <c r="F2874" s="209" t="s">
        <v>21</v>
      </c>
      <c r="G2874" s="209" t="s">
        <v>21</v>
      </c>
      <c r="H2874" s="209" t="s">
        <v>272</v>
      </c>
      <c r="I2874" s="210"/>
    </row>
    <row r="2875" spans="1:9" x14ac:dyDescent="0.25">
      <c r="A2875" s="74"/>
      <c r="B2875" s="45">
        <v>1483</v>
      </c>
      <c r="C2875" s="64" t="s">
        <v>1853</v>
      </c>
      <c r="D2875" s="74"/>
      <c r="E2875" s="208" t="s">
        <v>169</v>
      </c>
      <c r="F2875" s="209" t="s">
        <v>21</v>
      </c>
      <c r="G2875" s="209" t="s">
        <v>21</v>
      </c>
      <c r="H2875" s="209" t="s">
        <v>272</v>
      </c>
      <c r="I2875" s="210"/>
    </row>
    <row r="2876" spans="1:9" x14ac:dyDescent="0.25">
      <c r="A2876" s="74"/>
      <c r="B2876" s="45">
        <v>1484</v>
      </c>
      <c r="C2876" s="64" t="s">
        <v>1854</v>
      </c>
      <c r="D2876" s="74"/>
      <c r="E2876" s="208" t="s">
        <v>169</v>
      </c>
      <c r="F2876" s="209" t="s">
        <v>21</v>
      </c>
      <c r="G2876" s="209" t="s">
        <v>21</v>
      </c>
      <c r="H2876" s="209" t="s">
        <v>272</v>
      </c>
      <c r="I2876" s="210"/>
    </row>
    <row r="2877" spans="1:9" x14ac:dyDescent="0.25">
      <c r="A2877" s="74"/>
      <c r="B2877" s="45">
        <v>1485</v>
      </c>
      <c r="C2877" s="64" t="s">
        <v>1855</v>
      </c>
      <c r="D2877" s="74"/>
      <c r="E2877" s="208" t="s">
        <v>169</v>
      </c>
      <c r="F2877" s="209" t="s">
        <v>21</v>
      </c>
      <c r="G2877" s="209" t="s">
        <v>21</v>
      </c>
      <c r="H2877" s="209" t="s">
        <v>272</v>
      </c>
      <c r="I2877" s="210"/>
    </row>
    <row r="2878" spans="1:9" x14ac:dyDescent="0.25">
      <c r="A2878" s="74"/>
      <c r="B2878" s="45">
        <v>1482</v>
      </c>
      <c r="C2878" s="64" t="s">
        <v>1822</v>
      </c>
      <c r="D2878" s="74"/>
      <c r="E2878" s="208" t="s">
        <v>169</v>
      </c>
      <c r="F2878" s="209" t="s">
        <v>21</v>
      </c>
      <c r="G2878" s="209" t="s">
        <v>21</v>
      </c>
      <c r="H2878" s="209" t="s">
        <v>272</v>
      </c>
      <c r="I2878" s="210"/>
    </row>
    <row r="2879" spans="1:9" x14ac:dyDescent="0.25">
      <c r="A2879" s="74"/>
      <c r="B2879" s="45">
        <v>1483</v>
      </c>
      <c r="C2879" s="64" t="s">
        <v>1853</v>
      </c>
      <c r="D2879" s="74"/>
      <c r="E2879" s="208" t="s">
        <v>169</v>
      </c>
      <c r="F2879" s="209" t="s">
        <v>21</v>
      </c>
      <c r="G2879" s="209" t="s">
        <v>21</v>
      </c>
      <c r="H2879" s="209" t="s">
        <v>272</v>
      </c>
      <c r="I2879" s="210"/>
    </row>
    <row r="2880" spans="1:9" x14ac:dyDescent="0.25">
      <c r="A2880" s="74"/>
      <c r="B2880" s="45">
        <v>1484</v>
      </c>
      <c r="C2880" s="64" t="s">
        <v>1854</v>
      </c>
      <c r="D2880" s="74"/>
      <c r="E2880" s="208" t="s">
        <v>169</v>
      </c>
      <c r="F2880" s="209" t="s">
        <v>21</v>
      </c>
      <c r="G2880" s="209" t="s">
        <v>21</v>
      </c>
      <c r="H2880" s="209" t="s">
        <v>272</v>
      </c>
      <c r="I2880" s="210"/>
    </row>
    <row r="2881" spans="1:9" x14ac:dyDescent="0.25">
      <c r="A2881" s="74"/>
      <c r="B2881" s="45">
        <v>1485</v>
      </c>
      <c r="C2881" s="64" t="s">
        <v>1855</v>
      </c>
      <c r="D2881" s="74"/>
      <c r="E2881" s="208" t="s">
        <v>169</v>
      </c>
      <c r="F2881" s="209" t="s">
        <v>21</v>
      </c>
      <c r="G2881" s="209" t="s">
        <v>21</v>
      </c>
      <c r="H2881" s="209" t="s">
        <v>272</v>
      </c>
      <c r="I2881" s="210"/>
    </row>
    <row r="2882" spans="1:9" x14ac:dyDescent="0.25">
      <c r="A2882" s="74"/>
      <c r="B2882" s="45">
        <v>1482</v>
      </c>
      <c r="C2882" s="64" t="s">
        <v>1822</v>
      </c>
      <c r="D2882" s="74"/>
      <c r="E2882" s="208" t="s">
        <v>169</v>
      </c>
      <c r="F2882" s="209" t="s">
        <v>21</v>
      </c>
      <c r="G2882" s="209" t="s">
        <v>21</v>
      </c>
      <c r="H2882" s="209" t="s">
        <v>272</v>
      </c>
      <c r="I2882" s="210"/>
    </row>
    <row r="2883" spans="1:9" x14ac:dyDescent="0.25">
      <c r="A2883" s="74"/>
      <c r="B2883" s="45">
        <v>1483</v>
      </c>
      <c r="C2883" s="64" t="s">
        <v>1853</v>
      </c>
      <c r="D2883" s="74"/>
      <c r="E2883" s="208" t="s">
        <v>169</v>
      </c>
      <c r="F2883" s="209" t="s">
        <v>21</v>
      </c>
      <c r="G2883" s="209" t="s">
        <v>21</v>
      </c>
      <c r="H2883" s="209" t="s">
        <v>272</v>
      </c>
      <c r="I2883" s="210"/>
    </row>
    <row r="2884" spans="1:9" x14ac:dyDescent="0.25">
      <c r="A2884" s="74"/>
      <c r="B2884" s="45">
        <v>1484</v>
      </c>
      <c r="C2884" s="64" t="s">
        <v>1854</v>
      </c>
      <c r="D2884" s="74"/>
      <c r="E2884" s="208" t="s">
        <v>169</v>
      </c>
      <c r="F2884" s="209" t="s">
        <v>21</v>
      </c>
      <c r="G2884" s="209" t="s">
        <v>21</v>
      </c>
      <c r="H2884" s="209" t="s">
        <v>272</v>
      </c>
      <c r="I2884" s="210"/>
    </row>
    <row r="2885" spans="1:9" x14ac:dyDescent="0.25">
      <c r="A2885" s="74"/>
      <c r="B2885" s="45">
        <v>1485</v>
      </c>
      <c r="C2885" s="64" t="s">
        <v>1855</v>
      </c>
      <c r="D2885" s="74"/>
      <c r="E2885" s="208" t="s">
        <v>169</v>
      </c>
      <c r="F2885" s="209" t="s">
        <v>21</v>
      </c>
      <c r="G2885" s="209" t="s">
        <v>21</v>
      </c>
      <c r="H2885" s="209" t="s">
        <v>272</v>
      </c>
      <c r="I2885" s="210"/>
    </row>
    <row r="2886" spans="1:9" x14ac:dyDescent="0.25">
      <c r="A2886" s="74"/>
      <c r="B2886" s="45">
        <v>1486</v>
      </c>
      <c r="C2886" s="64" t="s">
        <v>1856</v>
      </c>
      <c r="D2886" s="74"/>
      <c r="E2886" s="208" t="s">
        <v>169</v>
      </c>
      <c r="F2886" s="209" t="s">
        <v>21</v>
      </c>
      <c r="G2886" s="209" t="s">
        <v>21</v>
      </c>
      <c r="H2886" s="209" t="s">
        <v>192</v>
      </c>
      <c r="I2886" s="210"/>
    </row>
    <row r="2887" spans="1:9" x14ac:dyDescent="0.25">
      <c r="A2887" s="74"/>
      <c r="B2887" s="45">
        <v>386</v>
      </c>
      <c r="C2887" s="64" t="s">
        <v>798</v>
      </c>
      <c r="D2887" s="74"/>
      <c r="E2887" s="208" t="s">
        <v>169</v>
      </c>
      <c r="F2887" s="209" t="s">
        <v>21</v>
      </c>
      <c r="G2887" s="209" t="s">
        <v>21</v>
      </c>
      <c r="H2887" s="209" t="s">
        <v>192</v>
      </c>
      <c r="I2887" s="210"/>
    </row>
    <row r="2888" spans="1:9" x14ac:dyDescent="0.25">
      <c r="A2888" s="74"/>
      <c r="B2888" s="45">
        <v>383</v>
      </c>
      <c r="C2888" s="64" t="s">
        <v>795</v>
      </c>
      <c r="D2888" s="74"/>
      <c r="E2888" s="208" t="s">
        <v>169</v>
      </c>
      <c r="F2888" s="209" t="s">
        <v>21</v>
      </c>
      <c r="G2888" s="209" t="s">
        <v>21</v>
      </c>
      <c r="H2888" s="209" t="s">
        <v>272</v>
      </c>
      <c r="I2888" s="210"/>
    </row>
    <row r="2889" spans="1:9" x14ac:dyDescent="0.25">
      <c r="A2889" s="74"/>
      <c r="B2889" s="45">
        <v>1488</v>
      </c>
      <c r="C2889" s="64" t="s">
        <v>1591</v>
      </c>
      <c r="D2889" s="74"/>
      <c r="E2889" s="208" t="s">
        <v>169</v>
      </c>
      <c r="F2889" s="209" t="s">
        <v>21</v>
      </c>
      <c r="G2889" s="209" t="s">
        <v>21</v>
      </c>
      <c r="H2889" s="209" t="s">
        <v>272</v>
      </c>
      <c r="I2889" s="210"/>
    </row>
    <row r="2890" spans="1:9" x14ac:dyDescent="0.25">
      <c r="A2890" s="74"/>
      <c r="B2890" s="45">
        <v>383</v>
      </c>
      <c r="C2890" s="64" t="s">
        <v>795</v>
      </c>
      <c r="D2890" s="74"/>
      <c r="E2890" s="208" t="s">
        <v>169</v>
      </c>
      <c r="F2890" s="209" t="s">
        <v>21</v>
      </c>
      <c r="G2890" s="209" t="s">
        <v>21</v>
      </c>
      <c r="H2890" s="209" t="s">
        <v>272</v>
      </c>
      <c r="I2890" s="210"/>
    </row>
    <row r="2891" spans="1:9" x14ac:dyDescent="0.25">
      <c r="A2891" s="74"/>
      <c r="B2891" s="45">
        <v>387</v>
      </c>
      <c r="C2891" s="64" t="s">
        <v>799</v>
      </c>
      <c r="D2891" s="74"/>
      <c r="E2891" s="208" t="s">
        <v>169</v>
      </c>
      <c r="F2891" s="209" t="s">
        <v>21</v>
      </c>
      <c r="G2891" s="209" t="s">
        <v>21</v>
      </c>
      <c r="H2891" s="209" t="s">
        <v>272</v>
      </c>
      <c r="I2891" s="210"/>
    </row>
    <row r="2892" spans="1:9" x14ac:dyDescent="0.25">
      <c r="A2892" s="74"/>
      <c r="B2892" s="45">
        <v>1489</v>
      </c>
      <c r="C2892" s="64" t="s">
        <v>1857</v>
      </c>
      <c r="D2892" s="74"/>
      <c r="E2892" s="208" t="s">
        <v>169</v>
      </c>
      <c r="F2892" s="209" t="s">
        <v>21</v>
      </c>
      <c r="G2892" s="209" t="s">
        <v>21</v>
      </c>
      <c r="H2892" s="209" t="s">
        <v>272</v>
      </c>
      <c r="I2892" s="210"/>
    </row>
    <row r="2893" spans="1:9" x14ac:dyDescent="0.25">
      <c r="A2893" s="74"/>
      <c r="B2893" s="45">
        <v>1490</v>
      </c>
      <c r="C2893" s="64" t="s">
        <v>1858</v>
      </c>
      <c r="D2893" s="74"/>
      <c r="E2893" s="208" t="s">
        <v>169</v>
      </c>
      <c r="F2893" s="209" t="s">
        <v>21</v>
      </c>
      <c r="G2893" s="209" t="s">
        <v>21</v>
      </c>
      <c r="H2893" s="209" t="s">
        <v>272</v>
      </c>
      <c r="I2893" s="210"/>
    </row>
    <row r="2894" spans="1:9" x14ac:dyDescent="0.25">
      <c r="A2894" s="74"/>
      <c r="B2894" s="45">
        <v>383</v>
      </c>
      <c r="C2894" s="64" t="s">
        <v>795</v>
      </c>
      <c r="D2894" s="74"/>
      <c r="E2894" s="208" t="s">
        <v>169</v>
      </c>
      <c r="F2894" s="209" t="s">
        <v>21</v>
      </c>
      <c r="G2894" s="209" t="s">
        <v>21</v>
      </c>
      <c r="H2894" s="209" t="s">
        <v>272</v>
      </c>
      <c r="I2894" s="210"/>
    </row>
    <row r="2895" spans="1:9" x14ac:dyDescent="0.25">
      <c r="A2895" s="74"/>
      <c r="B2895" s="45">
        <v>387</v>
      </c>
      <c r="C2895" s="64" t="s">
        <v>799</v>
      </c>
      <c r="D2895" s="74"/>
      <c r="E2895" s="208" t="s">
        <v>169</v>
      </c>
      <c r="F2895" s="209" t="s">
        <v>21</v>
      </c>
      <c r="G2895" s="209" t="s">
        <v>21</v>
      </c>
      <c r="H2895" s="209" t="s">
        <v>272</v>
      </c>
      <c r="I2895" s="210"/>
    </row>
    <row r="2896" spans="1:9" x14ac:dyDescent="0.25">
      <c r="A2896" s="74"/>
      <c r="B2896" s="45">
        <v>1489</v>
      </c>
      <c r="C2896" s="64" t="s">
        <v>1857</v>
      </c>
      <c r="D2896" s="74"/>
      <c r="E2896" s="208" t="s">
        <v>169</v>
      </c>
      <c r="F2896" s="209" t="s">
        <v>21</v>
      </c>
      <c r="G2896" s="209" t="s">
        <v>21</v>
      </c>
      <c r="H2896" s="209" t="s">
        <v>272</v>
      </c>
      <c r="I2896" s="210"/>
    </row>
    <row r="2897" spans="1:9" x14ac:dyDescent="0.25">
      <c r="A2897" s="74"/>
      <c r="B2897" s="45">
        <v>1490</v>
      </c>
      <c r="C2897" s="64" t="s">
        <v>1858</v>
      </c>
      <c r="D2897" s="74"/>
      <c r="E2897" s="208" t="s">
        <v>169</v>
      </c>
      <c r="F2897" s="209" t="s">
        <v>21</v>
      </c>
      <c r="G2897" s="209" t="s">
        <v>21</v>
      </c>
      <c r="H2897" s="209" t="s">
        <v>272</v>
      </c>
      <c r="I2897" s="210"/>
    </row>
    <row r="2898" spans="1:9" x14ac:dyDescent="0.25">
      <c r="A2898" s="74"/>
      <c r="B2898" s="45">
        <v>383</v>
      </c>
      <c r="C2898" s="64" t="s">
        <v>795</v>
      </c>
      <c r="D2898" s="74"/>
      <c r="E2898" s="208" t="s">
        <v>169</v>
      </c>
      <c r="F2898" s="209" t="s">
        <v>21</v>
      </c>
      <c r="G2898" s="209" t="s">
        <v>21</v>
      </c>
      <c r="H2898" s="209" t="s">
        <v>272</v>
      </c>
      <c r="I2898" s="210"/>
    </row>
    <row r="2899" spans="1:9" x14ac:dyDescent="0.25">
      <c r="A2899" s="74"/>
      <c r="B2899" s="45">
        <v>387</v>
      </c>
      <c r="C2899" s="64" t="s">
        <v>799</v>
      </c>
      <c r="D2899" s="74"/>
      <c r="E2899" s="208" t="s">
        <v>169</v>
      </c>
      <c r="F2899" s="209" t="s">
        <v>21</v>
      </c>
      <c r="G2899" s="209" t="s">
        <v>21</v>
      </c>
      <c r="H2899" s="209" t="s">
        <v>272</v>
      </c>
      <c r="I2899" s="210"/>
    </row>
    <row r="2900" spans="1:9" x14ac:dyDescent="0.25">
      <c r="A2900" s="74"/>
      <c r="B2900" s="45">
        <v>1489</v>
      </c>
      <c r="C2900" s="64" t="s">
        <v>1857</v>
      </c>
      <c r="D2900" s="74"/>
      <c r="E2900" s="208" t="s">
        <v>169</v>
      </c>
      <c r="F2900" s="209" t="s">
        <v>21</v>
      </c>
      <c r="G2900" s="209" t="s">
        <v>21</v>
      </c>
      <c r="H2900" s="209" t="s">
        <v>272</v>
      </c>
      <c r="I2900" s="210"/>
    </row>
    <row r="2901" spans="1:9" x14ac:dyDescent="0.25">
      <c r="A2901" s="74"/>
      <c r="B2901" s="45">
        <v>1490</v>
      </c>
      <c r="C2901" s="64" t="s">
        <v>1858</v>
      </c>
      <c r="D2901" s="74"/>
      <c r="E2901" s="208" t="s">
        <v>169</v>
      </c>
      <c r="F2901" s="209" t="s">
        <v>21</v>
      </c>
      <c r="G2901" s="209" t="s">
        <v>21</v>
      </c>
      <c r="H2901" s="209" t="s">
        <v>272</v>
      </c>
      <c r="I2901" s="210"/>
    </row>
    <row r="2902" spans="1:9" x14ac:dyDescent="0.25">
      <c r="A2902" s="74"/>
      <c r="B2902" s="45">
        <v>383</v>
      </c>
      <c r="C2902" s="64" t="s">
        <v>795</v>
      </c>
      <c r="D2902" s="74"/>
      <c r="E2902" s="208" t="s">
        <v>169</v>
      </c>
      <c r="F2902" s="209" t="s">
        <v>21</v>
      </c>
      <c r="G2902" s="209" t="s">
        <v>21</v>
      </c>
      <c r="H2902" s="209" t="s">
        <v>272</v>
      </c>
      <c r="I2902" s="210"/>
    </row>
    <row r="2903" spans="1:9" x14ac:dyDescent="0.25">
      <c r="A2903" s="74"/>
      <c r="B2903" s="45">
        <v>387</v>
      </c>
      <c r="C2903" s="64" t="s">
        <v>799</v>
      </c>
      <c r="D2903" s="74"/>
      <c r="E2903" s="208" t="s">
        <v>169</v>
      </c>
      <c r="F2903" s="209" t="s">
        <v>21</v>
      </c>
      <c r="G2903" s="209" t="s">
        <v>21</v>
      </c>
      <c r="H2903" s="209" t="s">
        <v>272</v>
      </c>
      <c r="I2903" s="210"/>
    </row>
    <row r="2904" spans="1:9" x14ac:dyDescent="0.25">
      <c r="A2904" s="74"/>
      <c r="B2904" s="45">
        <v>1489</v>
      </c>
      <c r="C2904" s="64" t="s">
        <v>1857</v>
      </c>
      <c r="D2904" s="74"/>
      <c r="E2904" s="208" t="s">
        <v>169</v>
      </c>
      <c r="F2904" s="209" t="s">
        <v>21</v>
      </c>
      <c r="G2904" s="209" t="s">
        <v>21</v>
      </c>
      <c r="H2904" s="209" t="s">
        <v>272</v>
      </c>
      <c r="I2904" s="210"/>
    </row>
    <row r="2905" spans="1:9" x14ac:dyDescent="0.25">
      <c r="A2905" s="74"/>
      <c r="B2905" s="45">
        <v>1490</v>
      </c>
      <c r="C2905" s="64" t="s">
        <v>1858</v>
      </c>
      <c r="D2905" s="74"/>
      <c r="E2905" s="208" t="s">
        <v>169</v>
      </c>
      <c r="F2905" s="209" t="s">
        <v>21</v>
      </c>
      <c r="G2905" s="209" t="s">
        <v>21</v>
      </c>
      <c r="H2905" s="209" t="s">
        <v>272</v>
      </c>
      <c r="I2905" s="210"/>
    </row>
    <row r="2906" spans="1:9" x14ac:dyDescent="0.25">
      <c r="A2906" s="74"/>
      <c r="B2906" s="45">
        <v>1491</v>
      </c>
      <c r="C2906" s="64" t="s">
        <v>1859</v>
      </c>
      <c r="D2906" s="74"/>
      <c r="E2906" s="208" t="s">
        <v>173</v>
      </c>
      <c r="F2906" s="209" t="s">
        <v>21</v>
      </c>
      <c r="G2906" s="209" t="s">
        <v>21</v>
      </c>
      <c r="H2906" s="209" t="s">
        <v>272</v>
      </c>
      <c r="I2906" s="210"/>
    </row>
    <row r="2907" spans="1:9" x14ac:dyDescent="0.25">
      <c r="A2907" s="74"/>
      <c r="B2907" s="45">
        <v>388</v>
      </c>
      <c r="C2907" s="64" t="s">
        <v>800</v>
      </c>
      <c r="D2907" s="74"/>
      <c r="E2907" s="208" t="s">
        <v>173</v>
      </c>
      <c r="F2907" s="209" t="s">
        <v>21</v>
      </c>
      <c r="G2907" s="209" t="s">
        <v>21</v>
      </c>
      <c r="H2907" s="209" t="s">
        <v>272</v>
      </c>
      <c r="I2907" s="210"/>
    </row>
    <row r="2908" spans="1:9" x14ac:dyDescent="0.25">
      <c r="A2908" s="74"/>
      <c r="B2908" s="45">
        <v>406</v>
      </c>
      <c r="C2908" s="64" t="s">
        <v>818</v>
      </c>
      <c r="D2908" s="74"/>
      <c r="E2908" s="208" t="s">
        <v>173</v>
      </c>
      <c r="F2908" s="209" t="s">
        <v>21</v>
      </c>
      <c r="G2908" s="209" t="s">
        <v>21</v>
      </c>
      <c r="H2908" s="209" t="s">
        <v>272</v>
      </c>
      <c r="I2908" s="210"/>
    </row>
    <row r="2909" spans="1:9" x14ac:dyDescent="0.25">
      <c r="A2909" s="74"/>
      <c r="B2909" s="45">
        <v>1372</v>
      </c>
      <c r="C2909" s="64" t="s">
        <v>1760</v>
      </c>
      <c r="D2909" s="74"/>
      <c r="E2909" s="208" t="s">
        <v>173</v>
      </c>
      <c r="F2909" s="209" t="s">
        <v>21</v>
      </c>
      <c r="G2909" s="209" t="s">
        <v>21</v>
      </c>
      <c r="H2909" s="209" t="s">
        <v>272</v>
      </c>
      <c r="I2909" s="210"/>
    </row>
    <row r="2910" spans="1:9" x14ac:dyDescent="0.25">
      <c r="A2910" s="74"/>
      <c r="B2910" s="45">
        <v>1492</v>
      </c>
      <c r="C2910" s="64" t="s">
        <v>1731</v>
      </c>
      <c r="D2910" s="74"/>
      <c r="E2910" s="208" t="s">
        <v>173</v>
      </c>
      <c r="F2910" s="209" t="s">
        <v>21</v>
      </c>
      <c r="G2910" s="209" t="s">
        <v>21</v>
      </c>
      <c r="H2910" s="209" t="s">
        <v>16</v>
      </c>
      <c r="I2910" s="210"/>
    </row>
    <row r="2911" spans="1:9" x14ac:dyDescent="0.25">
      <c r="A2911" s="74"/>
      <c r="B2911" s="45">
        <v>389</v>
      </c>
      <c r="C2911" s="64" t="s">
        <v>801</v>
      </c>
      <c r="D2911" s="74"/>
      <c r="E2911" s="208" t="s">
        <v>173</v>
      </c>
      <c r="F2911" s="209" t="s">
        <v>21</v>
      </c>
      <c r="G2911" s="209" t="s">
        <v>21</v>
      </c>
      <c r="H2911" s="209" t="s">
        <v>192</v>
      </c>
      <c r="I2911" s="210"/>
    </row>
    <row r="2912" spans="1:9" x14ac:dyDescent="0.25">
      <c r="A2912" s="74"/>
      <c r="B2912" s="45">
        <v>1493</v>
      </c>
      <c r="C2912" s="64" t="s">
        <v>1860</v>
      </c>
      <c r="D2912" s="74"/>
      <c r="E2912" s="208" t="s">
        <v>169</v>
      </c>
      <c r="F2912" s="209" t="s">
        <v>21</v>
      </c>
      <c r="G2912" s="209" t="s">
        <v>21</v>
      </c>
      <c r="H2912" s="209" t="s">
        <v>272</v>
      </c>
      <c r="I2912" s="210"/>
    </row>
    <row r="2913" spans="1:9" x14ac:dyDescent="0.25">
      <c r="A2913" s="74"/>
      <c r="B2913" s="45">
        <v>1494</v>
      </c>
      <c r="C2913" s="64" t="s">
        <v>1759</v>
      </c>
      <c r="D2913" s="74"/>
      <c r="E2913" s="208" t="s">
        <v>127</v>
      </c>
      <c r="F2913" s="209" t="s">
        <v>21</v>
      </c>
      <c r="G2913" s="209" t="s">
        <v>21</v>
      </c>
      <c r="H2913" s="209" t="s">
        <v>272</v>
      </c>
      <c r="I2913" s="210"/>
    </row>
    <row r="2914" spans="1:9" x14ac:dyDescent="0.25">
      <c r="A2914" s="74"/>
      <c r="B2914" s="45">
        <v>1493</v>
      </c>
      <c r="C2914" s="64" t="s">
        <v>1860</v>
      </c>
      <c r="D2914" s="74"/>
      <c r="E2914" s="208" t="s">
        <v>169</v>
      </c>
      <c r="F2914" s="209" t="s">
        <v>21</v>
      </c>
      <c r="G2914" s="209" t="s">
        <v>21</v>
      </c>
      <c r="H2914" s="209" t="s">
        <v>272</v>
      </c>
      <c r="I2914" s="210"/>
    </row>
    <row r="2915" spans="1:9" x14ac:dyDescent="0.25">
      <c r="A2915" s="74"/>
      <c r="B2915" s="45">
        <v>1494</v>
      </c>
      <c r="C2915" s="64" t="s">
        <v>1759</v>
      </c>
      <c r="D2915" s="74"/>
      <c r="E2915" s="208" t="s">
        <v>127</v>
      </c>
      <c r="F2915" s="209" t="s">
        <v>21</v>
      </c>
      <c r="G2915" s="209" t="s">
        <v>21</v>
      </c>
      <c r="H2915" s="209" t="s">
        <v>272</v>
      </c>
      <c r="I2915" s="210"/>
    </row>
    <row r="2916" spans="1:9" x14ac:dyDescent="0.25">
      <c r="A2916" s="74"/>
      <c r="B2916" s="45">
        <v>1493</v>
      </c>
      <c r="C2916" s="64" t="s">
        <v>1860</v>
      </c>
      <c r="D2916" s="74"/>
      <c r="E2916" s="208" t="s">
        <v>169</v>
      </c>
      <c r="F2916" s="209" t="s">
        <v>21</v>
      </c>
      <c r="G2916" s="209" t="s">
        <v>21</v>
      </c>
      <c r="H2916" s="209" t="s">
        <v>272</v>
      </c>
      <c r="I2916" s="210"/>
    </row>
    <row r="2917" spans="1:9" x14ac:dyDescent="0.25">
      <c r="A2917" s="74"/>
      <c r="B2917" s="45">
        <v>1494</v>
      </c>
      <c r="C2917" s="64" t="s">
        <v>1759</v>
      </c>
      <c r="D2917" s="74"/>
      <c r="E2917" s="208" t="s">
        <v>127</v>
      </c>
      <c r="F2917" s="209" t="s">
        <v>21</v>
      </c>
      <c r="G2917" s="209" t="s">
        <v>21</v>
      </c>
      <c r="H2917" s="209" t="s">
        <v>272</v>
      </c>
      <c r="I2917" s="210"/>
    </row>
    <row r="2918" spans="1:9" x14ac:dyDescent="0.25">
      <c r="A2918" s="74"/>
      <c r="B2918" s="45">
        <v>1493</v>
      </c>
      <c r="C2918" s="64" t="s">
        <v>1860</v>
      </c>
      <c r="D2918" s="74"/>
      <c r="E2918" s="208" t="s">
        <v>169</v>
      </c>
      <c r="F2918" s="209" t="s">
        <v>21</v>
      </c>
      <c r="G2918" s="209" t="s">
        <v>21</v>
      </c>
      <c r="H2918" s="209" t="s">
        <v>272</v>
      </c>
      <c r="I2918" s="210"/>
    </row>
    <row r="2919" spans="1:9" x14ac:dyDescent="0.25">
      <c r="A2919" s="74"/>
      <c r="B2919" s="45">
        <v>1494</v>
      </c>
      <c r="C2919" s="64" t="s">
        <v>1759</v>
      </c>
      <c r="D2919" s="74"/>
      <c r="E2919" s="208" t="s">
        <v>127</v>
      </c>
      <c r="F2919" s="209" t="s">
        <v>21</v>
      </c>
      <c r="G2919" s="209" t="s">
        <v>21</v>
      </c>
      <c r="H2919" s="209" t="s">
        <v>272</v>
      </c>
      <c r="I2919" s="210"/>
    </row>
    <row r="2920" spans="1:9" x14ac:dyDescent="0.25">
      <c r="A2920" s="74"/>
      <c r="B2920" s="45">
        <v>1495</v>
      </c>
      <c r="C2920" s="64" t="s">
        <v>1861</v>
      </c>
      <c r="D2920" s="74"/>
      <c r="E2920" s="208" t="s">
        <v>169</v>
      </c>
      <c r="F2920" s="209" t="s">
        <v>21</v>
      </c>
      <c r="G2920" s="209" t="s">
        <v>21</v>
      </c>
      <c r="H2920" s="209" t="s">
        <v>16</v>
      </c>
      <c r="I2920" s="210"/>
    </row>
    <row r="2921" spans="1:9" x14ac:dyDescent="0.25">
      <c r="A2921" s="74"/>
      <c r="B2921" s="45">
        <v>393</v>
      </c>
      <c r="C2921" s="64" t="s">
        <v>805</v>
      </c>
      <c r="D2921" s="74"/>
      <c r="E2921" s="208" t="s">
        <v>169</v>
      </c>
      <c r="F2921" s="209" t="s">
        <v>21</v>
      </c>
      <c r="G2921" s="209" t="s">
        <v>21</v>
      </c>
      <c r="H2921" s="209" t="s">
        <v>192</v>
      </c>
      <c r="I2921" s="210"/>
    </row>
    <row r="2922" spans="1:9" x14ac:dyDescent="0.25">
      <c r="A2922" s="74"/>
      <c r="B2922" s="45">
        <v>394</v>
      </c>
      <c r="C2922" s="64" t="s">
        <v>806</v>
      </c>
      <c r="D2922" s="74"/>
      <c r="E2922" s="208" t="s">
        <v>169</v>
      </c>
      <c r="F2922" s="209" t="s">
        <v>21</v>
      </c>
      <c r="G2922" s="209" t="s">
        <v>21</v>
      </c>
      <c r="H2922" s="209" t="s">
        <v>192</v>
      </c>
      <c r="I2922" s="210"/>
    </row>
    <row r="2923" spans="1:9" x14ac:dyDescent="0.25">
      <c r="A2923" s="74"/>
      <c r="B2923" s="45">
        <v>395</v>
      </c>
      <c r="C2923" s="64" t="s">
        <v>807</v>
      </c>
      <c r="D2923" s="74"/>
      <c r="E2923" s="208" t="s">
        <v>169</v>
      </c>
      <c r="F2923" s="209" t="s">
        <v>21</v>
      </c>
      <c r="G2923" s="209" t="s">
        <v>21</v>
      </c>
      <c r="H2923" s="209" t="s">
        <v>192</v>
      </c>
      <c r="I2923" s="210"/>
    </row>
    <row r="2924" spans="1:9" x14ac:dyDescent="0.25">
      <c r="A2924" s="74"/>
      <c r="B2924" s="45">
        <v>396</v>
      </c>
      <c r="C2924" s="64" t="s">
        <v>808</v>
      </c>
      <c r="D2924" s="74"/>
      <c r="E2924" s="208" t="s">
        <v>169</v>
      </c>
      <c r="F2924" s="209" t="s">
        <v>21</v>
      </c>
      <c r="G2924" s="209" t="s">
        <v>21</v>
      </c>
      <c r="H2924" s="209" t="s">
        <v>192</v>
      </c>
      <c r="I2924" s="210"/>
    </row>
    <row r="2925" spans="1:9" x14ac:dyDescent="0.25">
      <c r="A2925" s="74"/>
      <c r="B2925" s="45">
        <v>1496</v>
      </c>
      <c r="C2925" s="64" t="s">
        <v>1862</v>
      </c>
      <c r="D2925" s="74"/>
      <c r="E2925" s="208" t="s">
        <v>169</v>
      </c>
      <c r="F2925" s="209" t="s">
        <v>21</v>
      </c>
      <c r="G2925" s="209" t="s">
        <v>21</v>
      </c>
      <c r="H2925" s="209" t="s">
        <v>272</v>
      </c>
      <c r="I2925" s="210"/>
    </row>
    <row r="2926" spans="1:9" x14ac:dyDescent="0.25">
      <c r="A2926" s="74"/>
      <c r="B2926" s="45">
        <v>398</v>
      </c>
      <c r="C2926" s="64" t="s">
        <v>810</v>
      </c>
      <c r="D2926" s="74"/>
      <c r="E2926" s="208" t="s">
        <v>169</v>
      </c>
      <c r="F2926" s="209" t="s">
        <v>21</v>
      </c>
      <c r="G2926" s="209" t="s">
        <v>21</v>
      </c>
      <c r="H2926" s="209" t="s">
        <v>272</v>
      </c>
      <c r="I2926" s="210"/>
    </row>
    <row r="2927" spans="1:9" x14ac:dyDescent="0.25">
      <c r="A2927" s="74"/>
      <c r="B2927" s="45">
        <v>1496</v>
      </c>
      <c r="C2927" s="64" t="s">
        <v>1862</v>
      </c>
      <c r="D2927" s="74"/>
      <c r="E2927" s="208" t="s">
        <v>169</v>
      </c>
      <c r="F2927" s="209" t="s">
        <v>21</v>
      </c>
      <c r="G2927" s="209" t="s">
        <v>21</v>
      </c>
      <c r="H2927" s="209" t="s">
        <v>272</v>
      </c>
      <c r="I2927" s="210"/>
    </row>
    <row r="2928" spans="1:9" x14ac:dyDescent="0.25">
      <c r="A2928" s="74"/>
      <c r="B2928" s="45">
        <v>398</v>
      </c>
      <c r="C2928" s="64" t="s">
        <v>810</v>
      </c>
      <c r="D2928" s="74"/>
      <c r="E2928" s="208" t="s">
        <v>169</v>
      </c>
      <c r="F2928" s="209" t="s">
        <v>21</v>
      </c>
      <c r="G2928" s="209" t="s">
        <v>21</v>
      </c>
      <c r="H2928" s="209" t="s">
        <v>272</v>
      </c>
      <c r="I2928" s="210"/>
    </row>
    <row r="2929" spans="1:9" x14ac:dyDescent="0.25">
      <c r="A2929" s="74"/>
      <c r="B2929" s="45">
        <v>1496</v>
      </c>
      <c r="C2929" s="64" t="s">
        <v>1862</v>
      </c>
      <c r="D2929" s="74"/>
      <c r="E2929" s="208" t="s">
        <v>169</v>
      </c>
      <c r="F2929" s="209" t="s">
        <v>21</v>
      </c>
      <c r="G2929" s="209" t="s">
        <v>21</v>
      </c>
      <c r="H2929" s="209" t="s">
        <v>272</v>
      </c>
      <c r="I2929" s="210"/>
    </row>
    <row r="2930" spans="1:9" x14ac:dyDescent="0.25">
      <c r="A2930" s="74"/>
      <c r="B2930" s="45">
        <v>398</v>
      </c>
      <c r="C2930" s="64" t="s">
        <v>810</v>
      </c>
      <c r="D2930" s="74"/>
      <c r="E2930" s="208" t="s">
        <v>169</v>
      </c>
      <c r="F2930" s="209" t="s">
        <v>21</v>
      </c>
      <c r="G2930" s="209" t="s">
        <v>21</v>
      </c>
      <c r="H2930" s="209" t="s">
        <v>272</v>
      </c>
      <c r="I2930" s="210"/>
    </row>
    <row r="2931" spans="1:9" x14ac:dyDescent="0.25">
      <c r="A2931" s="74"/>
      <c r="B2931" s="45">
        <v>1496</v>
      </c>
      <c r="C2931" s="64" t="s">
        <v>1862</v>
      </c>
      <c r="D2931" s="74"/>
      <c r="E2931" s="208" t="s">
        <v>169</v>
      </c>
      <c r="F2931" s="209" t="s">
        <v>21</v>
      </c>
      <c r="G2931" s="209" t="s">
        <v>21</v>
      </c>
      <c r="H2931" s="209" t="s">
        <v>272</v>
      </c>
      <c r="I2931" s="210"/>
    </row>
    <row r="2932" spans="1:9" x14ac:dyDescent="0.25">
      <c r="A2932" s="74"/>
      <c r="B2932" s="45">
        <v>398</v>
      </c>
      <c r="C2932" s="64" t="s">
        <v>810</v>
      </c>
      <c r="D2932" s="74"/>
      <c r="E2932" s="208" t="s">
        <v>169</v>
      </c>
      <c r="F2932" s="209" t="s">
        <v>21</v>
      </c>
      <c r="G2932" s="209" t="s">
        <v>21</v>
      </c>
      <c r="H2932" s="209" t="s">
        <v>272</v>
      </c>
      <c r="I2932" s="210"/>
    </row>
    <row r="2933" spans="1:9" x14ac:dyDescent="0.25">
      <c r="A2933" s="74"/>
      <c r="B2933" s="45">
        <v>1497</v>
      </c>
      <c r="C2933" s="64" t="s">
        <v>1863</v>
      </c>
      <c r="D2933" s="74"/>
      <c r="E2933" s="208" t="s">
        <v>169</v>
      </c>
      <c r="F2933" s="209" t="s">
        <v>21</v>
      </c>
      <c r="G2933" s="209" t="s">
        <v>21</v>
      </c>
      <c r="H2933" s="209" t="s">
        <v>189</v>
      </c>
      <c r="I2933" s="210"/>
    </row>
    <row r="2934" spans="1:9" x14ac:dyDescent="0.25">
      <c r="A2934" s="74"/>
      <c r="B2934" s="45">
        <v>461</v>
      </c>
      <c r="C2934" s="64" t="s">
        <v>873</v>
      </c>
      <c r="D2934" s="74"/>
      <c r="E2934" s="208" t="s">
        <v>169</v>
      </c>
      <c r="F2934" s="209" t="s">
        <v>21</v>
      </c>
      <c r="G2934" s="209" t="s">
        <v>21</v>
      </c>
      <c r="H2934" s="209" t="s">
        <v>192</v>
      </c>
      <c r="I2934" s="210"/>
    </row>
    <row r="2935" spans="1:9" x14ac:dyDescent="0.25">
      <c r="A2935" s="74"/>
      <c r="B2935" s="45">
        <v>1498</v>
      </c>
      <c r="C2935" s="64" t="s">
        <v>1864</v>
      </c>
      <c r="D2935" s="74"/>
      <c r="E2935" s="208" t="s">
        <v>169</v>
      </c>
      <c r="F2935" s="209" t="s">
        <v>21</v>
      </c>
      <c r="G2935" s="209" t="s">
        <v>21</v>
      </c>
      <c r="H2935" s="209" t="s">
        <v>272</v>
      </c>
      <c r="I2935" s="210"/>
    </row>
    <row r="2936" spans="1:9" x14ac:dyDescent="0.25">
      <c r="A2936" s="74"/>
      <c r="B2936" s="45">
        <v>1499</v>
      </c>
      <c r="C2936" s="64" t="s">
        <v>1864</v>
      </c>
      <c r="D2936" s="74"/>
      <c r="E2936" s="208" t="s">
        <v>169</v>
      </c>
      <c r="F2936" s="209" t="s">
        <v>21</v>
      </c>
      <c r="G2936" s="209" t="s">
        <v>21</v>
      </c>
      <c r="H2936" s="209" t="s">
        <v>272</v>
      </c>
      <c r="I2936" s="210"/>
    </row>
    <row r="2937" spans="1:9" x14ac:dyDescent="0.25">
      <c r="A2937" s="74"/>
      <c r="B2937" s="45">
        <v>1500</v>
      </c>
      <c r="C2937" s="64" t="s">
        <v>1582</v>
      </c>
      <c r="D2937" s="74"/>
      <c r="E2937" s="208" t="s">
        <v>169</v>
      </c>
      <c r="F2937" s="209" t="s">
        <v>21</v>
      </c>
      <c r="G2937" s="209" t="s">
        <v>21</v>
      </c>
      <c r="H2937" s="209" t="s">
        <v>272</v>
      </c>
      <c r="I2937" s="210"/>
    </row>
    <row r="2938" spans="1:9" x14ac:dyDescent="0.25">
      <c r="A2938" s="74"/>
      <c r="B2938" s="45">
        <v>1501</v>
      </c>
      <c r="C2938" s="64" t="s">
        <v>1865</v>
      </c>
      <c r="D2938" s="74"/>
      <c r="E2938" s="208" t="s">
        <v>169</v>
      </c>
      <c r="F2938" s="209" t="s">
        <v>21</v>
      </c>
      <c r="G2938" s="209" t="s">
        <v>21</v>
      </c>
      <c r="H2938" s="209" t="s">
        <v>272</v>
      </c>
      <c r="I2938" s="210"/>
    </row>
    <row r="2939" spans="1:9" x14ac:dyDescent="0.25">
      <c r="A2939" s="74"/>
      <c r="B2939" s="45">
        <v>1502</v>
      </c>
      <c r="C2939" s="64" t="s">
        <v>1866</v>
      </c>
      <c r="D2939" s="74"/>
      <c r="E2939" s="208" t="s">
        <v>169</v>
      </c>
      <c r="F2939" s="209" t="s">
        <v>21</v>
      </c>
      <c r="G2939" s="209" t="s">
        <v>21</v>
      </c>
      <c r="H2939" s="209" t="s">
        <v>272</v>
      </c>
      <c r="I2939" s="210"/>
    </row>
    <row r="2940" spans="1:9" x14ac:dyDescent="0.25">
      <c r="A2940" s="74"/>
      <c r="B2940" s="45">
        <v>402</v>
      </c>
      <c r="C2940" s="64" t="s">
        <v>814</v>
      </c>
      <c r="D2940" s="74"/>
      <c r="E2940" s="208" t="s">
        <v>169</v>
      </c>
      <c r="F2940" s="209" t="s">
        <v>21</v>
      </c>
      <c r="G2940" s="209" t="s">
        <v>21</v>
      </c>
      <c r="H2940" s="209" t="s">
        <v>272</v>
      </c>
      <c r="I2940" s="210"/>
    </row>
    <row r="2941" spans="1:9" x14ac:dyDescent="0.25">
      <c r="A2941" s="74"/>
      <c r="B2941" s="45">
        <v>461</v>
      </c>
      <c r="C2941" s="64" t="s">
        <v>873</v>
      </c>
      <c r="D2941" s="74"/>
      <c r="E2941" s="208" t="s">
        <v>169</v>
      </c>
      <c r="F2941" s="209" t="s">
        <v>21</v>
      </c>
      <c r="G2941" s="209" t="s">
        <v>21</v>
      </c>
      <c r="H2941" s="209" t="s">
        <v>192</v>
      </c>
      <c r="I2941" s="210"/>
    </row>
    <row r="2942" spans="1:9" x14ac:dyDescent="0.25">
      <c r="A2942" s="74"/>
      <c r="B2942" s="45">
        <v>1498</v>
      </c>
      <c r="C2942" s="64" t="s">
        <v>1864</v>
      </c>
      <c r="D2942" s="74"/>
      <c r="E2942" s="208" t="s">
        <v>169</v>
      </c>
      <c r="F2942" s="209" t="s">
        <v>21</v>
      </c>
      <c r="G2942" s="209" t="s">
        <v>21</v>
      </c>
      <c r="H2942" s="209" t="s">
        <v>272</v>
      </c>
      <c r="I2942" s="210"/>
    </row>
    <row r="2943" spans="1:9" x14ac:dyDescent="0.25">
      <c r="A2943" s="74"/>
      <c r="B2943" s="45">
        <v>1499</v>
      </c>
      <c r="C2943" s="64" t="s">
        <v>1864</v>
      </c>
      <c r="D2943" s="74"/>
      <c r="E2943" s="208" t="s">
        <v>169</v>
      </c>
      <c r="F2943" s="209" t="s">
        <v>21</v>
      </c>
      <c r="G2943" s="209" t="s">
        <v>21</v>
      </c>
      <c r="H2943" s="209" t="s">
        <v>272</v>
      </c>
      <c r="I2943" s="210"/>
    </row>
    <row r="2944" spans="1:9" x14ac:dyDescent="0.25">
      <c r="A2944" s="74"/>
      <c r="B2944" s="45">
        <v>1500</v>
      </c>
      <c r="C2944" s="64" t="s">
        <v>1582</v>
      </c>
      <c r="D2944" s="74"/>
      <c r="E2944" s="208" t="s">
        <v>169</v>
      </c>
      <c r="F2944" s="209" t="s">
        <v>21</v>
      </c>
      <c r="G2944" s="209" t="s">
        <v>21</v>
      </c>
      <c r="H2944" s="209" t="s">
        <v>272</v>
      </c>
      <c r="I2944" s="210"/>
    </row>
    <row r="2945" spans="1:9" x14ac:dyDescent="0.25">
      <c r="A2945" s="74"/>
      <c r="B2945" s="45">
        <v>1501</v>
      </c>
      <c r="C2945" s="64" t="s">
        <v>1865</v>
      </c>
      <c r="D2945" s="74"/>
      <c r="E2945" s="208" t="s">
        <v>169</v>
      </c>
      <c r="F2945" s="209" t="s">
        <v>21</v>
      </c>
      <c r="G2945" s="209" t="s">
        <v>21</v>
      </c>
      <c r="H2945" s="209" t="s">
        <v>272</v>
      </c>
      <c r="I2945" s="210"/>
    </row>
    <row r="2946" spans="1:9" x14ac:dyDescent="0.25">
      <c r="A2946" s="74"/>
      <c r="B2946" s="45">
        <v>1502</v>
      </c>
      <c r="C2946" s="64" t="s">
        <v>1866</v>
      </c>
      <c r="D2946" s="74"/>
      <c r="E2946" s="208" t="s">
        <v>169</v>
      </c>
      <c r="F2946" s="209" t="s">
        <v>21</v>
      </c>
      <c r="G2946" s="209" t="s">
        <v>21</v>
      </c>
      <c r="H2946" s="209" t="s">
        <v>272</v>
      </c>
      <c r="I2946" s="210"/>
    </row>
    <row r="2947" spans="1:9" x14ac:dyDescent="0.25">
      <c r="A2947" s="74"/>
      <c r="B2947" s="45">
        <v>402</v>
      </c>
      <c r="C2947" s="64" t="s">
        <v>814</v>
      </c>
      <c r="D2947" s="74"/>
      <c r="E2947" s="208" t="s">
        <v>169</v>
      </c>
      <c r="F2947" s="209" t="s">
        <v>21</v>
      </c>
      <c r="G2947" s="209" t="s">
        <v>21</v>
      </c>
      <c r="H2947" s="209" t="s">
        <v>272</v>
      </c>
      <c r="I2947" s="210"/>
    </row>
    <row r="2948" spans="1:9" x14ac:dyDescent="0.25">
      <c r="A2948" s="74"/>
      <c r="B2948" s="45">
        <v>461</v>
      </c>
      <c r="C2948" s="64" t="s">
        <v>873</v>
      </c>
      <c r="D2948" s="74"/>
      <c r="E2948" s="208" t="s">
        <v>169</v>
      </c>
      <c r="F2948" s="209" t="s">
        <v>21</v>
      </c>
      <c r="G2948" s="209" t="s">
        <v>21</v>
      </c>
      <c r="H2948" s="209" t="s">
        <v>192</v>
      </c>
      <c r="I2948" s="210"/>
    </row>
    <row r="2949" spans="1:9" x14ac:dyDescent="0.25">
      <c r="A2949" s="74"/>
      <c r="B2949" s="45">
        <v>1498</v>
      </c>
      <c r="C2949" s="64" t="s">
        <v>1864</v>
      </c>
      <c r="D2949" s="74"/>
      <c r="E2949" s="208" t="s">
        <v>169</v>
      </c>
      <c r="F2949" s="209" t="s">
        <v>21</v>
      </c>
      <c r="G2949" s="209" t="s">
        <v>21</v>
      </c>
      <c r="H2949" s="209" t="s">
        <v>272</v>
      </c>
      <c r="I2949" s="210"/>
    </row>
    <row r="2950" spans="1:9" x14ac:dyDescent="0.25">
      <c r="A2950" s="74"/>
      <c r="B2950" s="45">
        <v>1499</v>
      </c>
      <c r="C2950" s="64" t="s">
        <v>1864</v>
      </c>
      <c r="D2950" s="74"/>
      <c r="E2950" s="208" t="s">
        <v>169</v>
      </c>
      <c r="F2950" s="209" t="s">
        <v>21</v>
      </c>
      <c r="G2950" s="209" t="s">
        <v>21</v>
      </c>
      <c r="H2950" s="209" t="s">
        <v>272</v>
      </c>
      <c r="I2950" s="210"/>
    </row>
    <row r="2951" spans="1:9" x14ac:dyDescent="0.25">
      <c r="A2951" s="74"/>
      <c r="B2951" s="45">
        <v>1500</v>
      </c>
      <c r="C2951" s="64" t="s">
        <v>1582</v>
      </c>
      <c r="D2951" s="74"/>
      <c r="E2951" s="208" t="s">
        <v>169</v>
      </c>
      <c r="F2951" s="209" t="s">
        <v>21</v>
      </c>
      <c r="G2951" s="209" t="s">
        <v>21</v>
      </c>
      <c r="H2951" s="209" t="s">
        <v>272</v>
      </c>
      <c r="I2951" s="210"/>
    </row>
    <row r="2952" spans="1:9" x14ac:dyDescent="0.25">
      <c r="A2952" s="74"/>
      <c r="B2952" s="45">
        <v>1501</v>
      </c>
      <c r="C2952" s="64" t="s">
        <v>1865</v>
      </c>
      <c r="D2952" s="74"/>
      <c r="E2952" s="208" t="s">
        <v>169</v>
      </c>
      <c r="F2952" s="209" t="s">
        <v>21</v>
      </c>
      <c r="G2952" s="209" t="s">
        <v>21</v>
      </c>
      <c r="H2952" s="209" t="s">
        <v>272</v>
      </c>
      <c r="I2952" s="210"/>
    </row>
    <row r="2953" spans="1:9" x14ac:dyDescent="0.25">
      <c r="A2953" s="74"/>
      <c r="B2953" s="45">
        <v>1502</v>
      </c>
      <c r="C2953" s="64" t="s">
        <v>1866</v>
      </c>
      <c r="D2953" s="74"/>
      <c r="E2953" s="208" t="s">
        <v>169</v>
      </c>
      <c r="F2953" s="209" t="s">
        <v>21</v>
      </c>
      <c r="G2953" s="209" t="s">
        <v>21</v>
      </c>
      <c r="H2953" s="209" t="s">
        <v>272</v>
      </c>
      <c r="I2953" s="210"/>
    </row>
    <row r="2954" spans="1:9" x14ac:dyDescent="0.25">
      <c r="A2954" s="74"/>
      <c r="B2954" s="45">
        <v>402</v>
      </c>
      <c r="C2954" s="64" t="s">
        <v>814</v>
      </c>
      <c r="D2954" s="74"/>
      <c r="E2954" s="208" t="s">
        <v>169</v>
      </c>
      <c r="F2954" s="209" t="s">
        <v>21</v>
      </c>
      <c r="G2954" s="209" t="s">
        <v>21</v>
      </c>
      <c r="H2954" s="209" t="s">
        <v>272</v>
      </c>
      <c r="I2954" s="210"/>
    </row>
    <row r="2955" spans="1:9" x14ac:dyDescent="0.25">
      <c r="A2955" s="74"/>
      <c r="B2955" s="45">
        <v>461</v>
      </c>
      <c r="C2955" s="64" t="s">
        <v>873</v>
      </c>
      <c r="D2955" s="74"/>
      <c r="E2955" s="208" t="s">
        <v>169</v>
      </c>
      <c r="F2955" s="209" t="s">
        <v>21</v>
      </c>
      <c r="G2955" s="209" t="s">
        <v>21</v>
      </c>
      <c r="H2955" s="209" t="s">
        <v>192</v>
      </c>
      <c r="I2955" s="210"/>
    </row>
    <row r="2956" spans="1:9" x14ac:dyDescent="0.25">
      <c r="A2956" s="74"/>
      <c r="B2956" s="45">
        <v>1498</v>
      </c>
      <c r="C2956" s="64" t="s">
        <v>1864</v>
      </c>
      <c r="D2956" s="74"/>
      <c r="E2956" s="208" t="s">
        <v>169</v>
      </c>
      <c r="F2956" s="209" t="s">
        <v>21</v>
      </c>
      <c r="G2956" s="209" t="s">
        <v>21</v>
      </c>
      <c r="H2956" s="209" t="s">
        <v>272</v>
      </c>
      <c r="I2956" s="210"/>
    </row>
    <row r="2957" spans="1:9" x14ac:dyDescent="0.25">
      <c r="A2957" s="74"/>
      <c r="B2957" s="45">
        <v>1499</v>
      </c>
      <c r="C2957" s="64" t="s">
        <v>1864</v>
      </c>
      <c r="D2957" s="74"/>
      <c r="E2957" s="208" t="s">
        <v>169</v>
      </c>
      <c r="F2957" s="209" t="s">
        <v>21</v>
      </c>
      <c r="G2957" s="209" t="s">
        <v>21</v>
      </c>
      <c r="H2957" s="209" t="s">
        <v>272</v>
      </c>
      <c r="I2957" s="210"/>
    </row>
    <row r="2958" spans="1:9" x14ac:dyDescent="0.25">
      <c r="A2958" s="74"/>
      <c r="B2958" s="45">
        <v>1500</v>
      </c>
      <c r="C2958" s="64" t="s">
        <v>1582</v>
      </c>
      <c r="D2958" s="74"/>
      <c r="E2958" s="208" t="s">
        <v>169</v>
      </c>
      <c r="F2958" s="209" t="s">
        <v>21</v>
      </c>
      <c r="G2958" s="209" t="s">
        <v>21</v>
      </c>
      <c r="H2958" s="209" t="s">
        <v>272</v>
      </c>
      <c r="I2958" s="210"/>
    </row>
    <row r="2959" spans="1:9" x14ac:dyDescent="0.25">
      <c r="A2959" s="74"/>
      <c r="B2959" s="45">
        <v>1501</v>
      </c>
      <c r="C2959" s="64" t="s">
        <v>1865</v>
      </c>
      <c r="D2959" s="74"/>
      <c r="E2959" s="208" t="s">
        <v>169</v>
      </c>
      <c r="F2959" s="209" t="s">
        <v>21</v>
      </c>
      <c r="G2959" s="209" t="s">
        <v>21</v>
      </c>
      <c r="H2959" s="209" t="s">
        <v>272</v>
      </c>
      <c r="I2959" s="210"/>
    </row>
    <row r="2960" spans="1:9" x14ac:dyDescent="0.25">
      <c r="A2960" s="74"/>
      <c r="B2960" s="45">
        <v>1502</v>
      </c>
      <c r="C2960" s="64" t="s">
        <v>1866</v>
      </c>
      <c r="D2960" s="74"/>
      <c r="E2960" s="208" t="s">
        <v>169</v>
      </c>
      <c r="F2960" s="209" t="s">
        <v>21</v>
      </c>
      <c r="G2960" s="209" t="s">
        <v>21</v>
      </c>
      <c r="H2960" s="209" t="s">
        <v>272</v>
      </c>
      <c r="I2960" s="210"/>
    </row>
    <row r="2961" spans="1:9" x14ac:dyDescent="0.25">
      <c r="A2961" s="74"/>
      <c r="B2961" s="45">
        <v>402</v>
      </c>
      <c r="C2961" s="64" t="s">
        <v>814</v>
      </c>
      <c r="D2961" s="74"/>
      <c r="E2961" s="208" t="s">
        <v>169</v>
      </c>
      <c r="F2961" s="209" t="s">
        <v>21</v>
      </c>
      <c r="G2961" s="209" t="s">
        <v>21</v>
      </c>
      <c r="H2961" s="209" t="s">
        <v>272</v>
      </c>
      <c r="I2961" s="210"/>
    </row>
    <row r="2962" spans="1:9" x14ac:dyDescent="0.25">
      <c r="A2962" s="74"/>
      <c r="B2962" s="45">
        <v>461</v>
      </c>
      <c r="C2962" s="64" t="s">
        <v>873</v>
      </c>
      <c r="D2962" s="74"/>
      <c r="E2962" s="208" t="s">
        <v>169</v>
      </c>
      <c r="F2962" s="209" t="s">
        <v>21</v>
      </c>
      <c r="G2962" s="209" t="s">
        <v>21</v>
      </c>
      <c r="H2962" s="209" t="s">
        <v>192</v>
      </c>
      <c r="I2962" s="210"/>
    </row>
    <row r="2963" spans="1:9" x14ac:dyDescent="0.25">
      <c r="A2963" s="74"/>
      <c r="B2963" s="45">
        <v>1503</v>
      </c>
      <c r="C2963" s="64" t="s">
        <v>1867</v>
      </c>
      <c r="D2963" s="74"/>
      <c r="E2963" s="208" t="s">
        <v>169</v>
      </c>
      <c r="F2963" s="209" t="s">
        <v>21</v>
      </c>
      <c r="G2963" s="209" t="s">
        <v>21</v>
      </c>
      <c r="H2963" s="209" t="s">
        <v>192</v>
      </c>
      <c r="I2963" s="210"/>
    </row>
    <row r="2964" spans="1:9" x14ac:dyDescent="0.25">
      <c r="A2964" s="74"/>
      <c r="B2964" s="45">
        <v>1504</v>
      </c>
      <c r="C2964" s="64" t="s">
        <v>1868</v>
      </c>
      <c r="D2964" s="74"/>
      <c r="E2964" s="208" t="s">
        <v>169</v>
      </c>
      <c r="F2964" s="209" t="s">
        <v>21</v>
      </c>
      <c r="G2964" s="209" t="s">
        <v>21</v>
      </c>
      <c r="H2964" s="209" t="s">
        <v>189</v>
      </c>
      <c r="I2964" s="210"/>
    </row>
    <row r="2965" spans="1:9" x14ac:dyDescent="0.25">
      <c r="A2965" s="74"/>
      <c r="B2965" s="45">
        <v>1505</v>
      </c>
      <c r="C2965" s="64" t="s">
        <v>1869</v>
      </c>
      <c r="D2965" s="74"/>
      <c r="E2965" s="208" t="s">
        <v>173</v>
      </c>
      <c r="F2965" s="209" t="s">
        <v>21</v>
      </c>
      <c r="G2965" s="209" t="s">
        <v>21</v>
      </c>
      <c r="H2965" s="209" t="s">
        <v>272</v>
      </c>
      <c r="I2965" s="210"/>
    </row>
    <row r="2966" spans="1:9" x14ac:dyDescent="0.25">
      <c r="A2966" s="74"/>
      <c r="B2966" s="45">
        <v>1506</v>
      </c>
      <c r="C2966" s="64" t="s">
        <v>1870</v>
      </c>
      <c r="D2966" s="74"/>
      <c r="E2966" s="208" t="s">
        <v>173</v>
      </c>
      <c r="F2966" s="209" t="s">
        <v>21</v>
      </c>
      <c r="G2966" s="209" t="s">
        <v>21</v>
      </c>
      <c r="H2966" s="209" t="s">
        <v>272</v>
      </c>
      <c r="I2966" s="210"/>
    </row>
    <row r="2967" spans="1:9" x14ac:dyDescent="0.25">
      <c r="A2967" s="74"/>
      <c r="B2967" s="45">
        <v>419</v>
      </c>
      <c r="C2967" s="64" t="s">
        <v>831</v>
      </c>
      <c r="D2967" s="74"/>
      <c r="E2967" s="208" t="s">
        <v>173</v>
      </c>
      <c r="F2967" s="209" t="s">
        <v>21</v>
      </c>
      <c r="G2967" s="209" t="s">
        <v>21</v>
      </c>
      <c r="H2967" s="209" t="s">
        <v>272</v>
      </c>
      <c r="I2967" s="210"/>
    </row>
    <row r="2968" spans="1:9" x14ac:dyDescent="0.25">
      <c r="A2968" s="74"/>
      <c r="B2968" s="45">
        <v>418</v>
      </c>
      <c r="C2968" s="64" t="s">
        <v>830</v>
      </c>
      <c r="D2968" s="74"/>
      <c r="E2968" s="208" t="s">
        <v>173</v>
      </c>
      <c r="F2968" s="209" t="s">
        <v>21</v>
      </c>
      <c r="G2968" s="209" t="s">
        <v>21</v>
      </c>
      <c r="H2968" s="209" t="s">
        <v>192</v>
      </c>
      <c r="I2968" s="210"/>
    </row>
    <row r="2969" spans="1:9" x14ac:dyDescent="0.25">
      <c r="A2969" s="74"/>
      <c r="B2969" s="45">
        <v>1507</v>
      </c>
      <c r="C2969" s="64" t="s">
        <v>1871</v>
      </c>
      <c r="D2969" s="74"/>
      <c r="E2969" s="208" t="s">
        <v>173</v>
      </c>
      <c r="F2969" s="209" t="s">
        <v>21</v>
      </c>
      <c r="G2969" s="209" t="s">
        <v>21</v>
      </c>
      <c r="H2969" s="209" t="s">
        <v>272</v>
      </c>
      <c r="I2969" s="210"/>
    </row>
    <row r="2970" spans="1:9" x14ac:dyDescent="0.25">
      <c r="A2970" s="74"/>
      <c r="B2970" s="45">
        <v>1508</v>
      </c>
      <c r="C2970" s="64" t="s">
        <v>1872</v>
      </c>
      <c r="D2970" s="74"/>
      <c r="E2970" s="208" t="s">
        <v>173</v>
      </c>
      <c r="F2970" s="209" t="s">
        <v>21</v>
      </c>
      <c r="G2970" s="209" t="s">
        <v>21</v>
      </c>
      <c r="H2970" s="209" t="s">
        <v>272</v>
      </c>
      <c r="I2970" s="210"/>
    </row>
    <row r="2971" spans="1:9" x14ac:dyDescent="0.25">
      <c r="A2971" s="74"/>
      <c r="B2971" s="45">
        <v>406</v>
      </c>
      <c r="C2971" s="64" t="s">
        <v>818</v>
      </c>
      <c r="D2971" s="74"/>
      <c r="E2971" s="208" t="s">
        <v>173</v>
      </c>
      <c r="F2971" s="209" t="s">
        <v>21</v>
      </c>
      <c r="G2971" s="209" t="s">
        <v>21</v>
      </c>
      <c r="H2971" s="209" t="s">
        <v>272</v>
      </c>
      <c r="I2971" s="210"/>
    </row>
    <row r="2972" spans="1:9" x14ac:dyDescent="0.25">
      <c r="A2972" s="74"/>
      <c r="B2972" s="45">
        <v>1352</v>
      </c>
      <c r="C2972" s="64" t="s">
        <v>1742</v>
      </c>
      <c r="D2972" s="74"/>
      <c r="E2972" s="208" t="s">
        <v>173</v>
      </c>
      <c r="F2972" s="209" t="s">
        <v>21</v>
      </c>
      <c r="G2972" s="209" t="s">
        <v>21</v>
      </c>
      <c r="H2972" s="209" t="s">
        <v>272</v>
      </c>
      <c r="I2972" s="210"/>
    </row>
    <row r="2973" spans="1:9" x14ac:dyDescent="0.25">
      <c r="A2973" s="74"/>
      <c r="B2973" s="45">
        <v>1353</v>
      </c>
      <c r="C2973" s="64" t="s">
        <v>1743</v>
      </c>
      <c r="D2973" s="74"/>
      <c r="E2973" s="208" t="s">
        <v>173</v>
      </c>
      <c r="F2973" s="209" t="s">
        <v>21</v>
      </c>
      <c r="G2973" s="209" t="s">
        <v>21</v>
      </c>
      <c r="H2973" s="209" t="s">
        <v>272</v>
      </c>
      <c r="I2973" s="210"/>
    </row>
    <row r="2974" spans="1:9" x14ac:dyDescent="0.25">
      <c r="A2974" s="74"/>
      <c r="B2974" s="45">
        <v>1354</v>
      </c>
      <c r="C2974" s="64" t="s">
        <v>1744</v>
      </c>
      <c r="D2974" s="74"/>
      <c r="E2974" s="208" t="s">
        <v>173</v>
      </c>
      <c r="F2974" s="209" t="s">
        <v>21</v>
      </c>
      <c r="G2974" s="209" t="s">
        <v>21</v>
      </c>
      <c r="H2974" s="209" t="s">
        <v>272</v>
      </c>
      <c r="I2974" s="210"/>
    </row>
    <row r="2975" spans="1:9" x14ac:dyDescent="0.25">
      <c r="A2975" s="74"/>
      <c r="B2975" s="45">
        <v>1355</v>
      </c>
      <c r="C2975" s="64" t="s">
        <v>1500</v>
      </c>
      <c r="D2975" s="74"/>
      <c r="E2975" s="208" t="s">
        <v>173</v>
      </c>
      <c r="F2975" s="209" t="s">
        <v>21</v>
      </c>
      <c r="G2975" s="209" t="s">
        <v>21</v>
      </c>
      <c r="H2975" s="209" t="s">
        <v>272</v>
      </c>
      <c r="I2975" s="210"/>
    </row>
    <row r="2976" spans="1:9" x14ac:dyDescent="0.25">
      <c r="A2976" s="74"/>
      <c r="B2976" s="45">
        <v>1356</v>
      </c>
      <c r="C2976" s="64" t="s">
        <v>1745</v>
      </c>
      <c r="D2976" s="74"/>
      <c r="E2976" s="208" t="s">
        <v>173</v>
      </c>
      <c r="F2976" s="209" t="s">
        <v>21</v>
      </c>
      <c r="G2976" s="209" t="s">
        <v>21</v>
      </c>
      <c r="H2976" s="209" t="s">
        <v>272</v>
      </c>
      <c r="I2976" s="210"/>
    </row>
    <row r="2977" spans="1:9" x14ac:dyDescent="0.25">
      <c r="A2977" s="74"/>
      <c r="B2977" s="45">
        <v>277</v>
      </c>
      <c r="C2977" s="64" t="s">
        <v>689</v>
      </c>
      <c r="D2977" s="74"/>
      <c r="E2977" s="208" t="s">
        <v>173</v>
      </c>
      <c r="F2977" s="209" t="s">
        <v>21</v>
      </c>
      <c r="G2977" s="209" t="s">
        <v>21</v>
      </c>
      <c r="H2977" s="209" t="s">
        <v>272</v>
      </c>
      <c r="I2977" s="210"/>
    </row>
    <row r="2978" spans="1:9" x14ac:dyDescent="0.25">
      <c r="A2978" s="74"/>
      <c r="B2978" s="45">
        <v>278</v>
      </c>
      <c r="C2978" s="64" t="s">
        <v>690</v>
      </c>
      <c r="D2978" s="74"/>
      <c r="E2978" s="208" t="s">
        <v>173</v>
      </c>
      <c r="F2978" s="209" t="s">
        <v>21</v>
      </c>
      <c r="G2978" s="209" t="s">
        <v>21</v>
      </c>
      <c r="H2978" s="209" t="s">
        <v>272</v>
      </c>
      <c r="I2978" s="210"/>
    </row>
    <row r="2979" spans="1:9" x14ac:dyDescent="0.25">
      <c r="A2979" s="74"/>
      <c r="B2979" s="45">
        <v>407</v>
      </c>
      <c r="C2979" s="64" t="s">
        <v>819</v>
      </c>
      <c r="D2979" s="74"/>
      <c r="E2979" s="208" t="s">
        <v>173</v>
      </c>
      <c r="F2979" s="209" t="s">
        <v>21</v>
      </c>
      <c r="G2979" s="209" t="s">
        <v>21</v>
      </c>
      <c r="H2979" s="209" t="s">
        <v>192</v>
      </c>
      <c r="I2979" s="210"/>
    </row>
    <row r="2980" spans="1:9" x14ac:dyDescent="0.25">
      <c r="A2980" s="74"/>
      <c r="B2980" s="45">
        <v>1357</v>
      </c>
      <c r="C2980" s="64" t="s">
        <v>1746</v>
      </c>
      <c r="D2980" s="74"/>
      <c r="E2980" s="208" t="s">
        <v>173</v>
      </c>
      <c r="F2980" s="209" t="s">
        <v>21</v>
      </c>
      <c r="G2980" s="209" t="s">
        <v>21</v>
      </c>
      <c r="H2980" s="209" t="s">
        <v>272</v>
      </c>
      <c r="I2980" s="210"/>
    </row>
    <row r="2981" spans="1:9" x14ac:dyDescent="0.25">
      <c r="A2981" s="74"/>
      <c r="B2981" s="45">
        <v>1396</v>
      </c>
      <c r="C2981" s="64" t="s">
        <v>1779</v>
      </c>
      <c r="D2981" s="74"/>
      <c r="E2981" s="208" t="s">
        <v>161</v>
      </c>
      <c r="F2981" s="209" t="s">
        <v>21</v>
      </c>
      <c r="G2981" s="209" t="s">
        <v>21</v>
      </c>
      <c r="H2981" s="209" t="s">
        <v>272</v>
      </c>
      <c r="I2981" s="210"/>
    </row>
    <row r="2982" spans="1:9" x14ac:dyDescent="0.25">
      <c r="A2982" s="74"/>
      <c r="B2982" s="45">
        <v>1397</v>
      </c>
      <c r="C2982" s="64" t="s">
        <v>1780</v>
      </c>
      <c r="D2982" s="74"/>
      <c r="E2982" s="208" t="s">
        <v>161</v>
      </c>
      <c r="F2982" s="209" t="s">
        <v>21</v>
      </c>
      <c r="G2982" s="209" t="s">
        <v>21</v>
      </c>
      <c r="H2982" s="209" t="s">
        <v>272</v>
      </c>
      <c r="I2982" s="210"/>
    </row>
    <row r="2983" spans="1:9" x14ac:dyDescent="0.25">
      <c r="A2983" s="74"/>
      <c r="B2983" s="45">
        <v>1398</v>
      </c>
      <c r="C2983" s="64" t="s">
        <v>1781</v>
      </c>
      <c r="D2983" s="74"/>
      <c r="E2983" s="208" t="s">
        <v>161</v>
      </c>
      <c r="F2983" s="209" t="s">
        <v>21</v>
      </c>
      <c r="G2983" s="209" t="s">
        <v>21</v>
      </c>
      <c r="H2983" s="209" t="s">
        <v>272</v>
      </c>
      <c r="I2983" s="210"/>
    </row>
    <row r="2984" spans="1:9" x14ac:dyDescent="0.25">
      <c r="A2984" s="74"/>
      <c r="B2984" s="45">
        <v>1399</v>
      </c>
      <c r="C2984" s="64" t="s">
        <v>1782</v>
      </c>
      <c r="D2984" s="74"/>
      <c r="E2984" s="208" t="s">
        <v>161</v>
      </c>
      <c r="F2984" s="209" t="s">
        <v>21</v>
      </c>
      <c r="G2984" s="209" t="s">
        <v>21</v>
      </c>
      <c r="H2984" s="209" t="s">
        <v>272</v>
      </c>
      <c r="I2984" s="210"/>
    </row>
    <row r="2985" spans="1:9" x14ac:dyDescent="0.25">
      <c r="A2985" s="74"/>
      <c r="B2985" s="45">
        <v>1400</v>
      </c>
      <c r="C2985" s="64" t="s">
        <v>1783</v>
      </c>
      <c r="D2985" s="74"/>
      <c r="E2985" s="208" t="s">
        <v>161</v>
      </c>
      <c r="F2985" s="209" t="s">
        <v>21</v>
      </c>
      <c r="G2985" s="209" t="s">
        <v>21</v>
      </c>
      <c r="H2985" s="209" t="s">
        <v>272</v>
      </c>
      <c r="I2985" s="210"/>
    </row>
    <row r="2986" spans="1:9" x14ac:dyDescent="0.25">
      <c r="A2986" s="74"/>
      <c r="B2986" s="45">
        <v>1401</v>
      </c>
      <c r="C2986" s="64" t="s">
        <v>1784</v>
      </c>
      <c r="D2986" s="74"/>
      <c r="E2986" s="208" t="s">
        <v>161</v>
      </c>
      <c r="F2986" s="209" t="s">
        <v>21</v>
      </c>
      <c r="G2986" s="209" t="s">
        <v>21</v>
      </c>
      <c r="H2986" s="209" t="s">
        <v>272</v>
      </c>
      <c r="I2986" s="210"/>
    </row>
    <row r="2987" spans="1:9" x14ac:dyDescent="0.25">
      <c r="A2987" s="74"/>
      <c r="B2987" s="45">
        <v>1402</v>
      </c>
      <c r="C2987" s="64" t="s">
        <v>1785</v>
      </c>
      <c r="D2987" s="74"/>
      <c r="E2987" s="208" t="s">
        <v>161</v>
      </c>
      <c r="F2987" s="209" t="s">
        <v>21</v>
      </c>
      <c r="G2987" s="209" t="s">
        <v>21</v>
      </c>
      <c r="H2987" s="209" t="s">
        <v>272</v>
      </c>
      <c r="I2987" s="210"/>
    </row>
    <row r="2988" spans="1:9" x14ac:dyDescent="0.25">
      <c r="A2988" s="74"/>
      <c r="B2988" s="45">
        <v>1403</v>
      </c>
      <c r="C2988" s="64" t="s">
        <v>1786</v>
      </c>
      <c r="D2988" s="74"/>
      <c r="E2988" s="208" t="s">
        <v>161</v>
      </c>
      <c r="F2988" s="209" t="s">
        <v>21</v>
      </c>
      <c r="G2988" s="209" t="s">
        <v>21</v>
      </c>
      <c r="H2988" s="209" t="s">
        <v>272</v>
      </c>
      <c r="I2988" s="210"/>
    </row>
    <row r="2989" spans="1:9" x14ac:dyDescent="0.25">
      <c r="A2989" s="74"/>
      <c r="B2989" s="45">
        <v>1404</v>
      </c>
      <c r="C2989" s="64" t="s">
        <v>1787</v>
      </c>
      <c r="D2989" s="74"/>
      <c r="E2989" s="208" t="s">
        <v>161</v>
      </c>
      <c r="F2989" s="209" t="s">
        <v>21</v>
      </c>
      <c r="G2989" s="209" t="s">
        <v>21</v>
      </c>
      <c r="H2989" s="209" t="s">
        <v>272</v>
      </c>
      <c r="I2989" s="210"/>
    </row>
    <row r="2990" spans="1:9" x14ac:dyDescent="0.25">
      <c r="A2990" s="74"/>
      <c r="B2990" s="45">
        <v>1405</v>
      </c>
      <c r="C2990" s="64" t="s">
        <v>1788</v>
      </c>
      <c r="D2990" s="74"/>
      <c r="E2990" s="208" t="s">
        <v>161</v>
      </c>
      <c r="F2990" s="209" t="s">
        <v>21</v>
      </c>
      <c r="G2990" s="209" t="s">
        <v>21</v>
      </c>
      <c r="H2990" s="209" t="s">
        <v>272</v>
      </c>
      <c r="I2990" s="210"/>
    </row>
    <row r="2991" spans="1:9" x14ac:dyDescent="0.25">
      <c r="A2991" s="74"/>
      <c r="B2991" s="45">
        <v>317</v>
      </c>
      <c r="C2991" s="64" t="s">
        <v>729</v>
      </c>
      <c r="D2991" s="74"/>
      <c r="E2991" s="208" t="s">
        <v>161</v>
      </c>
      <c r="F2991" s="209" t="s">
        <v>21</v>
      </c>
      <c r="G2991" s="209" t="s">
        <v>21</v>
      </c>
      <c r="H2991" s="209" t="s">
        <v>191</v>
      </c>
      <c r="I2991" s="210"/>
    </row>
    <row r="2992" spans="1:9" x14ac:dyDescent="0.25">
      <c r="A2992" s="74"/>
      <c r="B2992" s="45">
        <v>1418</v>
      </c>
      <c r="C2992" s="64" t="s">
        <v>1799</v>
      </c>
      <c r="D2992" s="74"/>
      <c r="E2992" s="208" t="s">
        <v>161</v>
      </c>
      <c r="F2992" s="209" t="s">
        <v>21</v>
      </c>
      <c r="G2992" s="209" t="s">
        <v>21</v>
      </c>
      <c r="H2992" s="209" t="s">
        <v>272</v>
      </c>
      <c r="I2992" s="210"/>
    </row>
    <row r="2993" spans="1:9" x14ac:dyDescent="0.25">
      <c r="A2993" s="74"/>
      <c r="B2993" s="45">
        <v>1419</v>
      </c>
      <c r="C2993" s="64" t="s">
        <v>1800</v>
      </c>
      <c r="D2993" s="74"/>
      <c r="E2993" s="208" t="s">
        <v>161</v>
      </c>
      <c r="F2993" s="209" t="s">
        <v>21</v>
      </c>
      <c r="G2993" s="209" t="s">
        <v>21</v>
      </c>
      <c r="H2993" s="209" t="s">
        <v>272</v>
      </c>
      <c r="I2993" s="210"/>
    </row>
    <row r="2994" spans="1:9" x14ac:dyDescent="0.25">
      <c r="A2994" s="74"/>
      <c r="B2994" s="45">
        <v>1420</v>
      </c>
      <c r="C2994" s="64" t="s">
        <v>1801</v>
      </c>
      <c r="D2994" s="74"/>
      <c r="E2994" s="208" t="s">
        <v>161</v>
      </c>
      <c r="F2994" s="209" t="s">
        <v>21</v>
      </c>
      <c r="G2994" s="209" t="s">
        <v>21</v>
      </c>
      <c r="H2994" s="209" t="s">
        <v>272</v>
      </c>
      <c r="I2994" s="210"/>
    </row>
    <row r="2995" spans="1:9" x14ac:dyDescent="0.25">
      <c r="A2995" s="74"/>
      <c r="B2995" s="45">
        <v>1421</v>
      </c>
      <c r="C2995" s="64" t="s">
        <v>1674</v>
      </c>
      <c r="D2995" s="74"/>
      <c r="E2995" s="208" t="s">
        <v>161</v>
      </c>
      <c r="F2995" s="209" t="s">
        <v>21</v>
      </c>
      <c r="G2995" s="209" t="s">
        <v>21</v>
      </c>
      <c r="H2995" s="209" t="s">
        <v>272</v>
      </c>
      <c r="I2995" s="210"/>
    </row>
    <row r="2996" spans="1:9" x14ac:dyDescent="0.25">
      <c r="A2996" s="74"/>
      <c r="B2996" s="45">
        <v>1422</v>
      </c>
      <c r="C2996" s="64" t="s">
        <v>1802</v>
      </c>
      <c r="D2996" s="74"/>
      <c r="E2996" s="208" t="s">
        <v>161</v>
      </c>
      <c r="F2996" s="209" t="s">
        <v>21</v>
      </c>
      <c r="G2996" s="209" t="s">
        <v>21</v>
      </c>
      <c r="H2996" s="209" t="s">
        <v>272</v>
      </c>
      <c r="I2996" s="210"/>
    </row>
    <row r="2997" spans="1:9" x14ac:dyDescent="0.25">
      <c r="A2997" s="74"/>
      <c r="B2997" s="45">
        <v>1509</v>
      </c>
      <c r="C2997" s="64" t="s">
        <v>1819</v>
      </c>
      <c r="D2997" s="74"/>
      <c r="E2997" s="208" t="s">
        <v>173</v>
      </c>
      <c r="F2997" s="209" t="s">
        <v>21</v>
      </c>
      <c r="G2997" s="209" t="s">
        <v>21</v>
      </c>
      <c r="H2997" s="209" t="s">
        <v>189</v>
      </c>
      <c r="I2997" s="210"/>
    </row>
    <row r="2998" spans="1:9" x14ac:dyDescent="0.25">
      <c r="A2998" s="74"/>
      <c r="B2998" s="45">
        <v>411</v>
      </c>
      <c r="C2998" s="64" t="s">
        <v>823</v>
      </c>
      <c r="D2998" s="74"/>
      <c r="E2998" s="208" t="s">
        <v>173</v>
      </c>
      <c r="F2998" s="209" t="s">
        <v>21</v>
      </c>
      <c r="G2998" s="209" t="s">
        <v>21</v>
      </c>
      <c r="H2998" s="209" t="s">
        <v>187</v>
      </c>
      <c r="I2998" s="210"/>
    </row>
    <row r="2999" spans="1:9" x14ac:dyDescent="0.25">
      <c r="A2999" s="74"/>
      <c r="B2999" s="45">
        <v>1510</v>
      </c>
      <c r="C2999" s="64" t="s">
        <v>1873</v>
      </c>
      <c r="D2999" s="74"/>
      <c r="E2999" s="208" t="s">
        <v>128</v>
      </c>
      <c r="F2999" s="209" t="s">
        <v>21</v>
      </c>
      <c r="G2999" s="209" t="s">
        <v>21</v>
      </c>
      <c r="H2999" s="209" t="s">
        <v>179</v>
      </c>
      <c r="I2999" s="210"/>
    </row>
    <row r="3000" spans="1:9" x14ac:dyDescent="0.25">
      <c r="A3000" s="74"/>
      <c r="B3000" s="45">
        <v>466</v>
      </c>
      <c r="C3000" s="64" t="s">
        <v>878</v>
      </c>
      <c r="D3000" s="74"/>
      <c r="E3000" s="208" t="s">
        <v>173</v>
      </c>
      <c r="F3000" s="209" t="s">
        <v>21</v>
      </c>
      <c r="G3000" s="209" t="s">
        <v>21</v>
      </c>
      <c r="H3000" s="209" t="s">
        <v>187</v>
      </c>
      <c r="I3000" s="210"/>
    </row>
    <row r="3001" spans="1:9" x14ac:dyDescent="0.25">
      <c r="A3001" s="74"/>
      <c r="B3001" s="45">
        <v>410</v>
      </c>
      <c r="C3001" s="64" t="s">
        <v>822</v>
      </c>
      <c r="D3001" s="74"/>
      <c r="E3001" s="208" t="s">
        <v>173</v>
      </c>
      <c r="F3001" s="209" t="s">
        <v>21</v>
      </c>
      <c r="G3001" s="209" t="s">
        <v>21</v>
      </c>
      <c r="H3001" s="209" t="s">
        <v>183</v>
      </c>
      <c r="I3001" s="210"/>
    </row>
    <row r="3002" spans="1:9" x14ac:dyDescent="0.25">
      <c r="A3002" s="74"/>
      <c r="B3002" s="45">
        <v>1511</v>
      </c>
      <c r="C3002" s="64" t="s">
        <v>1874</v>
      </c>
      <c r="D3002" s="74"/>
      <c r="E3002" s="208" t="s">
        <v>128</v>
      </c>
      <c r="F3002" s="209" t="s">
        <v>21</v>
      </c>
      <c r="G3002" s="209" t="s">
        <v>21</v>
      </c>
      <c r="H3002" s="209" t="s">
        <v>200</v>
      </c>
      <c r="I3002" s="210"/>
    </row>
    <row r="3003" spans="1:9" x14ac:dyDescent="0.25">
      <c r="A3003" s="74"/>
      <c r="B3003" s="45">
        <v>466</v>
      </c>
      <c r="C3003" s="64" t="s">
        <v>878</v>
      </c>
      <c r="D3003" s="74"/>
      <c r="E3003" s="208" t="s">
        <v>173</v>
      </c>
      <c r="F3003" s="209" t="s">
        <v>21</v>
      </c>
      <c r="G3003" s="209" t="s">
        <v>21</v>
      </c>
      <c r="H3003" s="209" t="s">
        <v>187</v>
      </c>
      <c r="I3003" s="210"/>
    </row>
    <row r="3004" spans="1:9" x14ac:dyDescent="0.25">
      <c r="A3004" s="74"/>
      <c r="B3004" s="45">
        <v>438</v>
      </c>
      <c r="C3004" s="64" t="s">
        <v>850</v>
      </c>
      <c r="D3004" s="74"/>
      <c r="E3004" s="208" t="s">
        <v>173</v>
      </c>
      <c r="F3004" s="209" t="s">
        <v>21</v>
      </c>
      <c r="G3004" s="209" t="s">
        <v>21</v>
      </c>
      <c r="H3004" s="209" t="s">
        <v>192</v>
      </c>
      <c r="I3004" s="210"/>
    </row>
    <row r="3005" spans="1:9" x14ac:dyDescent="0.25">
      <c r="A3005" s="74"/>
      <c r="B3005" s="45">
        <v>439</v>
      </c>
      <c r="C3005" s="64" t="s">
        <v>851</v>
      </c>
      <c r="D3005" s="74"/>
      <c r="E3005" s="208" t="s">
        <v>173</v>
      </c>
      <c r="F3005" s="209" t="s">
        <v>21</v>
      </c>
      <c r="G3005" s="209" t="s">
        <v>21</v>
      </c>
      <c r="H3005" s="209" t="s">
        <v>192</v>
      </c>
      <c r="I3005" s="210"/>
    </row>
    <row r="3006" spans="1:9" x14ac:dyDescent="0.25">
      <c r="A3006" s="74"/>
      <c r="B3006" s="45">
        <v>440</v>
      </c>
      <c r="C3006" s="64" t="s">
        <v>852</v>
      </c>
      <c r="D3006" s="74"/>
      <c r="E3006" s="208" t="s">
        <v>173</v>
      </c>
      <c r="F3006" s="209" t="s">
        <v>21</v>
      </c>
      <c r="G3006" s="209" t="s">
        <v>21</v>
      </c>
      <c r="H3006" s="209" t="s">
        <v>192</v>
      </c>
      <c r="I3006" s="210"/>
    </row>
    <row r="3007" spans="1:9" x14ac:dyDescent="0.25">
      <c r="A3007" s="74"/>
      <c r="B3007" s="45">
        <v>451</v>
      </c>
      <c r="C3007" s="64" t="s">
        <v>863</v>
      </c>
      <c r="D3007" s="74"/>
      <c r="E3007" s="208" t="s">
        <v>173</v>
      </c>
      <c r="F3007" s="209" t="s">
        <v>21</v>
      </c>
      <c r="G3007" s="209" t="s">
        <v>21</v>
      </c>
      <c r="H3007" s="209" t="s">
        <v>192</v>
      </c>
      <c r="I3007" s="210"/>
    </row>
    <row r="3008" spans="1:9" x14ac:dyDescent="0.25">
      <c r="A3008" s="74"/>
      <c r="B3008" s="45">
        <v>438</v>
      </c>
      <c r="C3008" s="64" t="s">
        <v>850</v>
      </c>
      <c r="D3008" s="74"/>
      <c r="E3008" s="208" t="s">
        <v>173</v>
      </c>
      <c r="F3008" s="209" t="s">
        <v>21</v>
      </c>
      <c r="G3008" s="209" t="s">
        <v>21</v>
      </c>
      <c r="H3008" s="209" t="s">
        <v>192</v>
      </c>
      <c r="I3008" s="210"/>
    </row>
    <row r="3009" spans="1:9" x14ac:dyDescent="0.25">
      <c r="A3009" s="74"/>
      <c r="B3009" s="45">
        <v>439</v>
      </c>
      <c r="C3009" s="64" t="s">
        <v>851</v>
      </c>
      <c r="D3009" s="74"/>
      <c r="E3009" s="208" t="s">
        <v>173</v>
      </c>
      <c r="F3009" s="209" t="s">
        <v>21</v>
      </c>
      <c r="G3009" s="209" t="s">
        <v>21</v>
      </c>
      <c r="H3009" s="209" t="s">
        <v>192</v>
      </c>
      <c r="I3009" s="210"/>
    </row>
    <row r="3010" spans="1:9" x14ac:dyDescent="0.25">
      <c r="A3010" s="74"/>
      <c r="B3010" s="45">
        <v>440</v>
      </c>
      <c r="C3010" s="64" t="s">
        <v>852</v>
      </c>
      <c r="D3010" s="74"/>
      <c r="E3010" s="208" t="s">
        <v>173</v>
      </c>
      <c r="F3010" s="209" t="s">
        <v>21</v>
      </c>
      <c r="G3010" s="209" t="s">
        <v>21</v>
      </c>
      <c r="H3010" s="209" t="s">
        <v>192</v>
      </c>
      <c r="I3010" s="210"/>
    </row>
    <row r="3011" spans="1:9" x14ac:dyDescent="0.25">
      <c r="A3011" s="74"/>
      <c r="B3011" s="45">
        <v>451</v>
      </c>
      <c r="C3011" s="64" t="s">
        <v>863</v>
      </c>
      <c r="D3011" s="74"/>
      <c r="E3011" s="208" t="s">
        <v>173</v>
      </c>
      <c r="F3011" s="209" t="s">
        <v>21</v>
      </c>
      <c r="G3011" s="209" t="s">
        <v>21</v>
      </c>
      <c r="H3011" s="209" t="s">
        <v>192</v>
      </c>
      <c r="I3011" s="210"/>
    </row>
    <row r="3012" spans="1:9" x14ac:dyDescent="0.25">
      <c r="A3012" s="74"/>
      <c r="B3012" s="45">
        <v>438</v>
      </c>
      <c r="C3012" s="64" t="s">
        <v>850</v>
      </c>
      <c r="D3012" s="74"/>
      <c r="E3012" s="208" t="s">
        <v>173</v>
      </c>
      <c r="F3012" s="209" t="s">
        <v>21</v>
      </c>
      <c r="G3012" s="209" t="s">
        <v>21</v>
      </c>
      <c r="H3012" s="209" t="s">
        <v>192</v>
      </c>
      <c r="I3012" s="210"/>
    </row>
    <row r="3013" spans="1:9" x14ac:dyDescent="0.25">
      <c r="A3013" s="74"/>
      <c r="B3013" s="45">
        <v>439</v>
      </c>
      <c r="C3013" s="64" t="s">
        <v>851</v>
      </c>
      <c r="D3013" s="74"/>
      <c r="E3013" s="208" t="s">
        <v>173</v>
      </c>
      <c r="F3013" s="209" t="s">
        <v>21</v>
      </c>
      <c r="G3013" s="209" t="s">
        <v>21</v>
      </c>
      <c r="H3013" s="209" t="s">
        <v>192</v>
      </c>
      <c r="I3013" s="210"/>
    </row>
    <row r="3014" spans="1:9" x14ac:dyDescent="0.25">
      <c r="A3014" s="74"/>
      <c r="B3014" s="45">
        <v>440</v>
      </c>
      <c r="C3014" s="64" t="s">
        <v>852</v>
      </c>
      <c r="D3014" s="74"/>
      <c r="E3014" s="208" t="s">
        <v>173</v>
      </c>
      <c r="F3014" s="209" t="s">
        <v>21</v>
      </c>
      <c r="G3014" s="209" t="s">
        <v>21</v>
      </c>
      <c r="H3014" s="209" t="s">
        <v>192</v>
      </c>
      <c r="I3014" s="210"/>
    </row>
    <row r="3015" spans="1:9" x14ac:dyDescent="0.25">
      <c r="A3015" s="74"/>
      <c r="B3015" s="45">
        <v>451</v>
      </c>
      <c r="C3015" s="64" t="s">
        <v>863</v>
      </c>
      <c r="D3015" s="74"/>
      <c r="E3015" s="208" t="s">
        <v>173</v>
      </c>
      <c r="F3015" s="209" t="s">
        <v>21</v>
      </c>
      <c r="G3015" s="209" t="s">
        <v>21</v>
      </c>
      <c r="H3015" s="209" t="s">
        <v>192</v>
      </c>
      <c r="I3015" s="210"/>
    </row>
    <row r="3016" spans="1:9" x14ac:dyDescent="0.25">
      <c r="A3016" s="74"/>
      <c r="B3016" s="45">
        <v>438</v>
      </c>
      <c r="C3016" s="64" t="s">
        <v>850</v>
      </c>
      <c r="D3016" s="74"/>
      <c r="E3016" s="208" t="s">
        <v>173</v>
      </c>
      <c r="F3016" s="209" t="s">
        <v>21</v>
      </c>
      <c r="G3016" s="209" t="s">
        <v>21</v>
      </c>
      <c r="H3016" s="209" t="s">
        <v>192</v>
      </c>
      <c r="I3016" s="210"/>
    </row>
    <row r="3017" spans="1:9" x14ac:dyDescent="0.25">
      <c r="A3017" s="74"/>
      <c r="B3017" s="45">
        <v>439</v>
      </c>
      <c r="C3017" s="64" t="s">
        <v>851</v>
      </c>
      <c r="D3017" s="74"/>
      <c r="E3017" s="208" t="s">
        <v>173</v>
      </c>
      <c r="F3017" s="209" t="s">
        <v>21</v>
      </c>
      <c r="G3017" s="209" t="s">
        <v>21</v>
      </c>
      <c r="H3017" s="209" t="s">
        <v>192</v>
      </c>
      <c r="I3017" s="210"/>
    </row>
    <row r="3018" spans="1:9" x14ac:dyDescent="0.25">
      <c r="A3018" s="74"/>
      <c r="B3018" s="45">
        <v>440</v>
      </c>
      <c r="C3018" s="64" t="s">
        <v>852</v>
      </c>
      <c r="D3018" s="74"/>
      <c r="E3018" s="208" t="s">
        <v>173</v>
      </c>
      <c r="F3018" s="209" t="s">
        <v>21</v>
      </c>
      <c r="G3018" s="209" t="s">
        <v>21</v>
      </c>
      <c r="H3018" s="209" t="s">
        <v>192</v>
      </c>
      <c r="I3018" s="210"/>
    </row>
    <row r="3019" spans="1:9" x14ac:dyDescent="0.25">
      <c r="A3019" s="74"/>
      <c r="B3019" s="45">
        <v>451</v>
      </c>
      <c r="C3019" s="64" t="s">
        <v>863</v>
      </c>
      <c r="D3019" s="74"/>
      <c r="E3019" s="208" t="s">
        <v>173</v>
      </c>
      <c r="F3019" s="209" t="s">
        <v>21</v>
      </c>
      <c r="G3019" s="209" t="s">
        <v>21</v>
      </c>
      <c r="H3019" s="209" t="s">
        <v>192</v>
      </c>
      <c r="I3019" s="210"/>
    </row>
    <row r="3020" spans="1:9" x14ac:dyDescent="0.25">
      <c r="A3020" s="74"/>
      <c r="B3020" s="45">
        <v>1512</v>
      </c>
      <c r="C3020" s="64" t="s">
        <v>1591</v>
      </c>
      <c r="D3020" s="74"/>
      <c r="E3020" s="208" t="s">
        <v>173</v>
      </c>
      <c r="F3020" s="209" t="s">
        <v>21</v>
      </c>
      <c r="G3020" s="209" t="s">
        <v>21</v>
      </c>
      <c r="H3020" s="209" t="s">
        <v>16</v>
      </c>
      <c r="I3020" s="210"/>
    </row>
    <row r="3021" spans="1:9" x14ac:dyDescent="0.25">
      <c r="A3021" s="74"/>
      <c r="B3021" s="45">
        <v>417</v>
      </c>
      <c r="C3021" s="64" t="s">
        <v>829</v>
      </c>
      <c r="D3021" s="74"/>
      <c r="E3021" s="208" t="s">
        <v>173</v>
      </c>
      <c r="F3021" s="209" t="s">
        <v>21</v>
      </c>
      <c r="G3021" s="209" t="s">
        <v>21</v>
      </c>
      <c r="H3021" s="209" t="s">
        <v>192</v>
      </c>
      <c r="I3021" s="210"/>
    </row>
    <row r="3022" spans="1:9" x14ac:dyDescent="0.25">
      <c r="A3022" s="74"/>
      <c r="B3022" s="45">
        <v>1513</v>
      </c>
      <c r="C3022" s="64" t="s">
        <v>1875</v>
      </c>
      <c r="D3022" s="74"/>
      <c r="E3022" s="208" t="s">
        <v>279</v>
      </c>
      <c r="F3022" s="209" t="s">
        <v>21</v>
      </c>
      <c r="G3022" s="209" t="s">
        <v>21</v>
      </c>
      <c r="H3022" s="209" t="s">
        <v>189</v>
      </c>
      <c r="I3022" s="210"/>
    </row>
    <row r="3023" spans="1:9" x14ac:dyDescent="0.25">
      <c r="A3023" s="74"/>
      <c r="B3023" s="45">
        <v>421</v>
      </c>
      <c r="C3023" s="64" t="s">
        <v>833</v>
      </c>
      <c r="D3023" s="74"/>
      <c r="E3023" s="208" t="s">
        <v>173</v>
      </c>
      <c r="F3023" s="209" t="s">
        <v>21</v>
      </c>
      <c r="G3023" s="209" t="s">
        <v>21</v>
      </c>
      <c r="H3023" s="209" t="s">
        <v>192</v>
      </c>
      <c r="I3023" s="210"/>
    </row>
    <row r="3024" spans="1:9" x14ac:dyDescent="0.25">
      <c r="A3024" s="74"/>
      <c r="B3024" s="45">
        <v>1514</v>
      </c>
      <c r="C3024" s="64" t="s">
        <v>1845</v>
      </c>
      <c r="D3024" s="74"/>
      <c r="E3024" s="208" t="s">
        <v>173</v>
      </c>
      <c r="F3024" s="209" t="s">
        <v>21</v>
      </c>
      <c r="G3024" s="209" t="s">
        <v>21</v>
      </c>
      <c r="H3024" s="209" t="s">
        <v>189</v>
      </c>
      <c r="I3024" s="210"/>
    </row>
    <row r="3025" spans="1:9" x14ac:dyDescent="0.25">
      <c r="A3025" s="74"/>
      <c r="B3025" s="45">
        <v>1515</v>
      </c>
      <c r="C3025" s="64" t="s">
        <v>1876</v>
      </c>
      <c r="D3025" s="74"/>
      <c r="E3025" s="208" t="s">
        <v>173</v>
      </c>
      <c r="F3025" s="209" t="s">
        <v>21</v>
      </c>
      <c r="G3025" s="209" t="s">
        <v>21</v>
      </c>
      <c r="H3025" s="209" t="s">
        <v>192</v>
      </c>
      <c r="I3025" s="210"/>
    </row>
    <row r="3026" spans="1:9" x14ac:dyDescent="0.25">
      <c r="A3026" s="74"/>
      <c r="B3026" s="45">
        <v>1505</v>
      </c>
      <c r="C3026" s="64" t="s">
        <v>1869</v>
      </c>
      <c r="D3026" s="74"/>
      <c r="E3026" s="208" t="s">
        <v>173</v>
      </c>
      <c r="F3026" s="209" t="s">
        <v>21</v>
      </c>
      <c r="G3026" s="209" t="s">
        <v>21</v>
      </c>
      <c r="H3026" s="209" t="s">
        <v>272</v>
      </c>
      <c r="I3026" s="210"/>
    </row>
    <row r="3027" spans="1:9" x14ac:dyDescent="0.25">
      <c r="A3027" s="74"/>
      <c r="B3027" s="45">
        <v>1506</v>
      </c>
      <c r="C3027" s="64" t="s">
        <v>1870</v>
      </c>
      <c r="D3027" s="74"/>
      <c r="E3027" s="208" t="s">
        <v>173</v>
      </c>
      <c r="F3027" s="209" t="s">
        <v>21</v>
      </c>
      <c r="G3027" s="209" t="s">
        <v>21</v>
      </c>
      <c r="H3027" s="209" t="s">
        <v>272</v>
      </c>
      <c r="I3027" s="210"/>
    </row>
    <row r="3028" spans="1:9" x14ac:dyDescent="0.25">
      <c r="A3028" s="74"/>
      <c r="B3028" s="45">
        <v>419</v>
      </c>
      <c r="C3028" s="64" t="s">
        <v>831</v>
      </c>
      <c r="D3028" s="74"/>
      <c r="E3028" s="208" t="s">
        <v>173</v>
      </c>
      <c r="F3028" s="209" t="s">
        <v>21</v>
      </c>
      <c r="G3028" s="209" t="s">
        <v>21</v>
      </c>
      <c r="H3028" s="209" t="s">
        <v>272</v>
      </c>
      <c r="I3028" s="210"/>
    </row>
    <row r="3029" spans="1:9" x14ac:dyDescent="0.25">
      <c r="A3029" s="74"/>
      <c r="B3029" s="45">
        <v>418</v>
      </c>
      <c r="C3029" s="64" t="s">
        <v>830</v>
      </c>
      <c r="D3029" s="74"/>
      <c r="E3029" s="208" t="s">
        <v>173</v>
      </c>
      <c r="F3029" s="209" t="s">
        <v>21</v>
      </c>
      <c r="G3029" s="209" t="s">
        <v>21</v>
      </c>
      <c r="H3029" s="209" t="s">
        <v>192</v>
      </c>
      <c r="I3029" s="210"/>
    </row>
    <row r="3030" spans="1:9" x14ac:dyDescent="0.25">
      <c r="A3030" s="74"/>
      <c r="B3030" s="45">
        <v>1507</v>
      </c>
      <c r="C3030" s="64" t="s">
        <v>1871</v>
      </c>
      <c r="D3030" s="74"/>
      <c r="E3030" s="208" t="s">
        <v>173</v>
      </c>
      <c r="F3030" s="209" t="s">
        <v>21</v>
      </c>
      <c r="G3030" s="209" t="s">
        <v>21</v>
      </c>
      <c r="H3030" s="209" t="s">
        <v>272</v>
      </c>
      <c r="I3030" s="210"/>
    </row>
    <row r="3031" spans="1:9" x14ac:dyDescent="0.25">
      <c r="A3031" s="74"/>
      <c r="B3031" s="45">
        <v>1505</v>
      </c>
      <c r="C3031" s="64" t="s">
        <v>1869</v>
      </c>
      <c r="D3031" s="74"/>
      <c r="E3031" s="208" t="s">
        <v>173</v>
      </c>
      <c r="F3031" s="209" t="s">
        <v>21</v>
      </c>
      <c r="G3031" s="209" t="s">
        <v>21</v>
      </c>
      <c r="H3031" s="209" t="s">
        <v>272</v>
      </c>
      <c r="I3031" s="210"/>
    </row>
    <row r="3032" spans="1:9" x14ac:dyDescent="0.25">
      <c r="A3032" s="74"/>
      <c r="B3032" s="45">
        <v>1506</v>
      </c>
      <c r="C3032" s="64" t="s">
        <v>1870</v>
      </c>
      <c r="D3032" s="74"/>
      <c r="E3032" s="208" t="s">
        <v>173</v>
      </c>
      <c r="F3032" s="209" t="s">
        <v>21</v>
      </c>
      <c r="G3032" s="209" t="s">
        <v>21</v>
      </c>
      <c r="H3032" s="209" t="s">
        <v>272</v>
      </c>
      <c r="I3032" s="210"/>
    </row>
    <row r="3033" spans="1:9" x14ac:dyDescent="0.25">
      <c r="A3033" s="74"/>
      <c r="B3033" s="45">
        <v>419</v>
      </c>
      <c r="C3033" s="64" t="s">
        <v>831</v>
      </c>
      <c r="D3033" s="74"/>
      <c r="E3033" s="208" t="s">
        <v>173</v>
      </c>
      <c r="F3033" s="209" t="s">
        <v>21</v>
      </c>
      <c r="G3033" s="209" t="s">
        <v>21</v>
      </c>
      <c r="H3033" s="209" t="s">
        <v>272</v>
      </c>
      <c r="I3033" s="210"/>
    </row>
    <row r="3034" spans="1:9" x14ac:dyDescent="0.25">
      <c r="A3034" s="74"/>
      <c r="B3034" s="45">
        <v>418</v>
      </c>
      <c r="C3034" s="64" t="s">
        <v>830</v>
      </c>
      <c r="D3034" s="74"/>
      <c r="E3034" s="208" t="s">
        <v>173</v>
      </c>
      <c r="F3034" s="209" t="s">
        <v>21</v>
      </c>
      <c r="G3034" s="209" t="s">
        <v>21</v>
      </c>
      <c r="H3034" s="209" t="s">
        <v>192</v>
      </c>
      <c r="I3034" s="210"/>
    </row>
    <row r="3035" spans="1:9" x14ac:dyDescent="0.25">
      <c r="A3035" s="74"/>
      <c r="B3035" s="45">
        <v>1507</v>
      </c>
      <c r="C3035" s="64" t="s">
        <v>1871</v>
      </c>
      <c r="D3035" s="74"/>
      <c r="E3035" s="208" t="s">
        <v>173</v>
      </c>
      <c r="F3035" s="209" t="s">
        <v>21</v>
      </c>
      <c r="G3035" s="209" t="s">
        <v>21</v>
      </c>
      <c r="H3035" s="209" t="s">
        <v>272</v>
      </c>
      <c r="I3035" s="210"/>
    </row>
    <row r="3036" spans="1:9" x14ac:dyDescent="0.25">
      <c r="A3036" s="74"/>
      <c r="B3036" s="45">
        <v>1505</v>
      </c>
      <c r="C3036" s="64" t="s">
        <v>1869</v>
      </c>
      <c r="D3036" s="74"/>
      <c r="E3036" s="208" t="s">
        <v>173</v>
      </c>
      <c r="F3036" s="209" t="s">
        <v>21</v>
      </c>
      <c r="G3036" s="209" t="s">
        <v>21</v>
      </c>
      <c r="H3036" s="209" t="s">
        <v>272</v>
      </c>
      <c r="I3036" s="210"/>
    </row>
    <row r="3037" spans="1:9" x14ac:dyDescent="0.25">
      <c r="A3037" s="74"/>
      <c r="B3037" s="45">
        <v>1506</v>
      </c>
      <c r="C3037" s="64" t="s">
        <v>1870</v>
      </c>
      <c r="D3037" s="74"/>
      <c r="E3037" s="208" t="s">
        <v>173</v>
      </c>
      <c r="F3037" s="209" t="s">
        <v>21</v>
      </c>
      <c r="G3037" s="209" t="s">
        <v>21</v>
      </c>
      <c r="H3037" s="209" t="s">
        <v>272</v>
      </c>
      <c r="I3037" s="210"/>
    </row>
    <row r="3038" spans="1:9" x14ac:dyDescent="0.25">
      <c r="A3038" s="74"/>
      <c r="B3038" s="45">
        <v>419</v>
      </c>
      <c r="C3038" s="64" t="s">
        <v>831</v>
      </c>
      <c r="D3038" s="74"/>
      <c r="E3038" s="208" t="s">
        <v>173</v>
      </c>
      <c r="F3038" s="209" t="s">
        <v>21</v>
      </c>
      <c r="G3038" s="209" t="s">
        <v>21</v>
      </c>
      <c r="H3038" s="209" t="s">
        <v>272</v>
      </c>
      <c r="I3038" s="210"/>
    </row>
    <row r="3039" spans="1:9" x14ac:dyDescent="0.25">
      <c r="A3039" s="74"/>
      <c r="B3039" s="45">
        <v>418</v>
      </c>
      <c r="C3039" s="64" t="s">
        <v>830</v>
      </c>
      <c r="D3039" s="74"/>
      <c r="E3039" s="208" t="s">
        <v>173</v>
      </c>
      <c r="F3039" s="209" t="s">
        <v>21</v>
      </c>
      <c r="G3039" s="209" t="s">
        <v>21</v>
      </c>
      <c r="H3039" s="209" t="s">
        <v>192</v>
      </c>
      <c r="I3039" s="210"/>
    </row>
    <row r="3040" spans="1:9" x14ac:dyDescent="0.25">
      <c r="A3040" s="74"/>
      <c r="B3040" s="45">
        <v>1507</v>
      </c>
      <c r="C3040" s="64" t="s">
        <v>1871</v>
      </c>
      <c r="D3040" s="74"/>
      <c r="E3040" s="208" t="s">
        <v>173</v>
      </c>
      <c r="F3040" s="209" t="s">
        <v>21</v>
      </c>
      <c r="G3040" s="209" t="s">
        <v>21</v>
      </c>
      <c r="H3040" s="209" t="s">
        <v>272</v>
      </c>
      <c r="I3040" s="210"/>
    </row>
    <row r="3041" spans="1:9" x14ac:dyDescent="0.25">
      <c r="A3041" s="74"/>
      <c r="B3041" s="45">
        <v>1505</v>
      </c>
      <c r="C3041" s="64" t="s">
        <v>1869</v>
      </c>
      <c r="D3041" s="74"/>
      <c r="E3041" s="208" t="s">
        <v>173</v>
      </c>
      <c r="F3041" s="209" t="s">
        <v>21</v>
      </c>
      <c r="G3041" s="209" t="s">
        <v>21</v>
      </c>
      <c r="H3041" s="209" t="s">
        <v>272</v>
      </c>
      <c r="I3041" s="210"/>
    </row>
    <row r="3042" spans="1:9" x14ac:dyDescent="0.25">
      <c r="A3042" s="74"/>
      <c r="B3042" s="45">
        <v>418</v>
      </c>
      <c r="C3042" s="64" t="s">
        <v>830</v>
      </c>
      <c r="D3042" s="74"/>
      <c r="E3042" s="208" t="s">
        <v>173</v>
      </c>
      <c r="F3042" s="209" t="s">
        <v>21</v>
      </c>
      <c r="G3042" s="209" t="s">
        <v>21</v>
      </c>
      <c r="H3042" s="209" t="s">
        <v>192</v>
      </c>
      <c r="I3042" s="210"/>
    </row>
    <row r="3043" spans="1:9" x14ac:dyDescent="0.25">
      <c r="A3043" s="74"/>
      <c r="B3043" s="45">
        <v>1514</v>
      </c>
      <c r="C3043" s="64" t="s">
        <v>1845</v>
      </c>
      <c r="D3043" s="74"/>
      <c r="E3043" s="208" t="s">
        <v>173</v>
      </c>
      <c r="F3043" s="209" t="s">
        <v>21</v>
      </c>
      <c r="G3043" s="209" t="s">
        <v>21</v>
      </c>
      <c r="H3043" s="209" t="s">
        <v>189</v>
      </c>
      <c r="I3043" s="210"/>
    </row>
    <row r="3044" spans="1:9" x14ac:dyDescent="0.25">
      <c r="A3044" s="74"/>
      <c r="B3044" s="45">
        <v>427</v>
      </c>
      <c r="C3044" s="64" t="s">
        <v>839</v>
      </c>
      <c r="D3044" s="74"/>
      <c r="E3044" s="208" t="s">
        <v>173</v>
      </c>
      <c r="F3044" s="209" t="s">
        <v>21</v>
      </c>
      <c r="G3044" s="209" t="s">
        <v>21</v>
      </c>
      <c r="H3044" s="209" t="s">
        <v>192</v>
      </c>
      <c r="I3044" s="210"/>
    </row>
    <row r="3045" spans="1:9" x14ac:dyDescent="0.25">
      <c r="A3045" s="74"/>
      <c r="B3045" s="45">
        <v>1516</v>
      </c>
      <c r="C3045" s="64" t="s">
        <v>1569</v>
      </c>
      <c r="D3045" s="74"/>
      <c r="E3045" s="208" t="s">
        <v>173</v>
      </c>
      <c r="F3045" s="209" t="s">
        <v>21</v>
      </c>
      <c r="G3045" s="209" t="s">
        <v>21</v>
      </c>
      <c r="H3045" s="209" t="s">
        <v>189</v>
      </c>
      <c r="I3045" s="210"/>
    </row>
    <row r="3046" spans="1:9" x14ac:dyDescent="0.25">
      <c r="A3046" s="74"/>
      <c r="B3046" s="45">
        <v>1517</v>
      </c>
      <c r="C3046" s="64" t="s">
        <v>1877</v>
      </c>
      <c r="D3046" s="74"/>
      <c r="E3046" s="208" t="s">
        <v>173</v>
      </c>
      <c r="F3046" s="209" t="s">
        <v>21</v>
      </c>
      <c r="G3046" s="209" t="s">
        <v>21</v>
      </c>
      <c r="H3046" s="209" t="s">
        <v>16</v>
      </c>
      <c r="I3046" s="210"/>
    </row>
    <row r="3047" spans="1:9" x14ac:dyDescent="0.25">
      <c r="A3047" s="74"/>
      <c r="B3047" s="45">
        <v>422</v>
      </c>
      <c r="C3047" s="64" t="s">
        <v>834</v>
      </c>
      <c r="D3047" s="74"/>
      <c r="E3047" s="208" t="s">
        <v>173</v>
      </c>
      <c r="F3047" s="209" t="s">
        <v>21</v>
      </c>
      <c r="G3047" s="209" t="s">
        <v>21</v>
      </c>
      <c r="H3047" s="209" t="s">
        <v>192</v>
      </c>
      <c r="I3047" s="210"/>
    </row>
    <row r="3048" spans="1:9" x14ac:dyDescent="0.25">
      <c r="A3048" s="74"/>
      <c r="B3048" s="45">
        <v>1368</v>
      </c>
      <c r="C3048" s="64" t="s">
        <v>1757</v>
      </c>
      <c r="D3048" s="74"/>
      <c r="E3048" s="208" t="s">
        <v>173</v>
      </c>
      <c r="F3048" s="209" t="s">
        <v>21</v>
      </c>
      <c r="G3048" s="209" t="s">
        <v>21</v>
      </c>
      <c r="H3048" s="209" t="s">
        <v>189</v>
      </c>
      <c r="I3048" s="210"/>
    </row>
    <row r="3049" spans="1:9" x14ac:dyDescent="0.25">
      <c r="A3049" s="74"/>
      <c r="B3049" s="45">
        <v>1518</v>
      </c>
      <c r="C3049" s="64" t="s">
        <v>1878</v>
      </c>
      <c r="D3049" s="74"/>
      <c r="E3049" s="208" t="s">
        <v>173</v>
      </c>
      <c r="F3049" s="209" t="s">
        <v>21</v>
      </c>
      <c r="G3049" s="209" t="s">
        <v>21</v>
      </c>
      <c r="H3049" s="209" t="s">
        <v>272</v>
      </c>
      <c r="I3049" s="210"/>
    </row>
    <row r="3050" spans="1:9" x14ac:dyDescent="0.25">
      <c r="A3050" s="74"/>
      <c r="B3050" s="45">
        <v>1519</v>
      </c>
      <c r="C3050" s="64" t="s">
        <v>1820</v>
      </c>
      <c r="D3050" s="74"/>
      <c r="E3050" s="208" t="s">
        <v>173</v>
      </c>
      <c r="F3050" s="209" t="s">
        <v>21</v>
      </c>
      <c r="G3050" s="209" t="s">
        <v>21</v>
      </c>
      <c r="H3050" s="209" t="s">
        <v>272</v>
      </c>
      <c r="I3050" s="210"/>
    </row>
    <row r="3051" spans="1:9" x14ac:dyDescent="0.25">
      <c r="A3051" s="74"/>
      <c r="B3051" s="45">
        <v>1520</v>
      </c>
      <c r="C3051" s="64" t="s">
        <v>1836</v>
      </c>
      <c r="D3051" s="74"/>
      <c r="E3051" s="208" t="s">
        <v>173</v>
      </c>
      <c r="F3051" s="209" t="s">
        <v>21</v>
      </c>
      <c r="G3051" s="209" t="s">
        <v>21</v>
      </c>
      <c r="H3051" s="209" t="s">
        <v>272</v>
      </c>
      <c r="I3051" s="210"/>
    </row>
    <row r="3052" spans="1:9" x14ac:dyDescent="0.25">
      <c r="A3052" s="74"/>
      <c r="B3052" s="45">
        <v>1518</v>
      </c>
      <c r="C3052" s="64" t="s">
        <v>1878</v>
      </c>
      <c r="D3052" s="74"/>
      <c r="E3052" s="208" t="s">
        <v>173</v>
      </c>
      <c r="F3052" s="209" t="s">
        <v>21</v>
      </c>
      <c r="G3052" s="209" t="s">
        <v>21</v>
      </c>
      <c r="H3052" s="209" t="s">
        <v>272</v>
      </c>
      <c r="I3052" s="210"/>
    </row>
    <row r="3053" spans="1:9" x14ac:dyDescent="0.25">
      <c r="A3053" s="74"/>
      <c r="B3053" s="45">
        <v>1519</v>
      </c>
      <c r="C3053" s="64" t="s">
        <v>1820</v>
      </c>
      <c r="D3053" s="74"/>
      <c r="E3053" s="208" t="s">
        <v>173</v>
      </c>
      <c r="F3053" s="209" t="s">
        <v>21</v>
      </c>
      <c r="G3053" s="209" t="s">
        <v>21</v>
      </c>
      <c r="H3053" s="209" t="s">
        <v>272</v>
      </c>
      <c r="I3053" s="210"/>
    </row>
    <row r="3054" spans="1:9" x14ac:dyDescent="0.25">
      <c r="A3054" s="74"/>
      <c r="B3054" s="45">
        <v>1520</v>
      </c>
      <c r="C3054" s="64" t="s">
        <v>1836</v>
      </c>
      <c r="D3054" s="74"/>
      <c r="E3054" s="208" t="s">
        <v>173</v>
      </c>
      <c r="F3054" s="209" t="s">
        <v>21</v>
      </c>
      <c r="G3054" s="209" t="s">
        <v>21</v>
      </c>
      <c r="H3054" s="209" t="s">
        <v>272</v>
      </c>
      <c r="I3054" s="210"/>
    </row>
    <row r="3055" spans="1:9" x14ac:dyDescent="0.25">
      <c r="A3055" s="74"/>
      <c r="B3055" s="45">
        <v>1518</v>
      </c>
      <c r="C3055" s="64" t="s">
        <v>1878</v>
      </c>
      <c r="D3055" s="74"/>
      <c r="E3055" s="208" t="s">
        <v>173</v>
      </c>
      <c r="F3055" s="209" t="s">
        <v>21</v>
      </c>
      <c r="G3055" s="209" t="s">
        <v>21</v>
      </c>
      <c r="H3055" s="209" t="s">
        <v>272</v>
      </c>
      <c r="I3055" s="210"/>
    </row>
    <row r="3056" spans="1:9" x14ac:dyDescent="0.25">
      <c r="A3056" s="74"/>
      <c r="B3056" s="45">
        <v>1519</v>
      </c>
      <c r="C3056" s="64" t="s">
        <v>1820</v>
      </c>
      <c r="D3056" s="74"/>
      <c r="E3056" s="208" t="s">
        <v>173</v>
      </c>
      <c r="F3056" s="209" t="s">
        <v>21</v>
      </c>
      <c r="G3056" s="209" t="s">
        <v>21</v>
      </c>
      <c r="H3056" s="209" t="s">
        <v>272</v>
      </c>
      <c r="I3056" s="210"/>
    </row>
    <row r="3057" spans="1:9" x14ac:dyDescent="0.25">
      <c r="A3057" s="74"/>
      <c r="B3057" s="45">
        <v>1520</v>
      </c>
      <c r="C3057" s="64" t="s">
        <v>1836</v>
      </c>
      <c r="D3057" s="74"/>
      <c r="E3057" s="208" t="s">
        <v>173</v>
      </c>
      <c r="F3057" s="209" t="s">
        <v>21</v>
      </c>
      <c r="G3057" s="209" t="s">
        <v>21</v>
      </c>
      <c r="H3057" s="209" t="s">
        <v>272</v>
      </c>
      <c r="I3057" s="210"/>
    </row>
    <row r="3058" spans="1:9" x14ac:dyDescent="0.25">
      <c r="A3058" s="74"/>
      <c r="B3058" s="45">
        <v>1518</v>
      </c>
      <c r="C3058" s="64" t="s">
        <v>1878</v>
      </c>
      <c r="D3058" s="74"/>
      <c r="E3058" s="208" t="s">
        <v>173</v>
      </c>
      <c r="F3058" s="209" t="s">
        <v>21</v>
      </c>
      <c r="G3058" s="209" t="s">
        <v>21</v>
      </c>
      <c r="H3058" s="209" t="s">
        <v>272</v>
      </c>
      <c r="I3058" s="210"/>
    </row>
    <row r="3059" spans="1:9" x14ac:dyDescent="0.25">
      <c r="A3059" s="74"/>
      <c r="B3059" s="45">
        <v>1519</v>
      </c>
      <c r="C3059" s="64" t="s">
        <v>1820</v>
      </c>
      <c r="D3059" s="74"/>
      <c r="E3059" s="208" t="s">
        <v>173</v>
      </c>
      <c r="F3059" s="209" t="s">
        <v>21</v>
      </c>
      <c r="G3059" s="209" t="s">
        <v>21</v>
      </c>
      <c r="H3059" s="209" t="s">
        <v>272</v>
      </c>
      <c r="I3059" s="210"/>
    </row>
    <row r="3060" spans="1:9" x14ac:dyDescent="0.25">
      <c r="A3060" s="74"/>
      <c r="B3060" s="45">
        <v>1520</v>
      </c>
      <c r="C3060" s="64" t="s">
        <v>1836</v>
      </c>
      <c r="D3060" s="74"/>
      <c r="E3060" s="208" t="s">
        <v>173</v>
      </c>
      <c r="F3060" s="209" t="s">
        <v>21</v>
      </c>
      <c r="G3060" s="209" t="s">
        <v>21</v>
      </c>
      <c r="H3060" s="209" t="s">
        <v>272</v>
      </c>
      <c r="I3060" s="210"/>
    </row>
    <row r="3061" spans="1:9" x14ac:dyDescent="0.25">
      <c r="A3061" s="74"/>
      <c r="B3061" s="45">
        <v>1517</v>
      </c>
      <c r="C3061" s="64" t="s">
        <v>1877</v>
      </c>
      <c r="D3061" s="74"/>
      <c r="E3061" s="208" t="s">
        <v>173</v>
      </c>
      <c r="F3061" s="209" t="s">
        <v>21</v>
      </c>
      <c r="G3061" s="209" t="s">
        <v>21</v>
      </c>
      <c r="H3061" s="209" t="s">
        <v>16</v>
      </c>
      <c r="I3061" s="210"/>
    </row>
    <row r="3062" spans="1:9" x14ac:dyDescent="0.25">
      <c r="A3062" s="74"/>
      <c r="B3062" s="45">
        <v>1521</v>
      </c>
      <c r="C3062" s="64" t="s">
        <v>1879</v>
      </c>
      <c r="D3062" s="74"/>
      <c r="E3062" s="208" t="s">
        <v>173</v>
      </c>
      <c r="F3062" s="209" t="s">
        <v>21</v>
      </c>
      <c r="G3062" s="209" t="s">
        <v>21</v>
      </c>
      <c r="H3062" s="209" t="s">
        <v>16</v>
      </c>
      <c r="I3062" s="210"/>
    </row>
    <row r="3063" spans="1:9" x14ac:dyDescent="0.25">
      <c r="A3063" s="74"/>
      <c r="B3063" s="45">
        <v>1522</v>
      </c>
      <c r="C3063" s="64" t="s">
        <v>1880</v>
      </c>
      <c r="D3063" s="74"/>
      <c r="E3063" s="208" t="s">
        <v>128</v>
      </c>
      <c r="F3063" s="209" t="s">
        <v>21</v>
      </c>
      <c r="G3063" s="209" t="s">
        <v>21</v>
      </c>
      <c r="H3063" s="209" t="s">
        <v>200</v>
      </c>
      <c r="I3063" s="210"/>
    </row>
    <row r="3064" spans="1:9" x14ac:dyDescent="0.25">
      <c r="A3064" s="74"/>
      <c r="B3064" s="45">
        <v>428</v>
      </c>
      <c r="C3064" s="64" t="s">
        <v>840</v>
      </c>
      <c r="D3064" s="74"/>
      <c r="E3064" s="208" t="s">
        <v>173</v>
      </c>
      <c r="F3064" s="209" t="s">
        <v>21</v>
      </c>
      <c r="G3064" s="209" t="s">
        <v>21</v>
      </c>
      <c r="H3064" s="209" t="s">
        <v>192</v>
      </c>
      <c r="I3064" s="210"/>
    </row>
    <row r="3065" spans="1:9" x14ac:dyDescent="0.25">
      <c r="A3065" s="74"/>
      <c r="B3065" s="45">
        <v>431</v>
      </c>
      <c r="C3065" s="64" t="s">
        <v>843</v>
      </c>
      <c r="D3065" s="74"/>
      <c r="E3065" s="208" t="s">
        <v>173</v>
      </c>
      <c r="F3065" s="209" t="s">
        <v>21</v>
      </c>
      <c r="G3065" s="209" t="s">
        <v>21</v>
      </c>
      <c r="H3065" s="209" t="s">
        <v>192</v>
      </c>
      <c r="I3065" s="210"/>
    </row>
    <row r="3066" spans="1:9" x14ac:dyDescent="0.25">
      <c r="A3066" s="74"/>
      <c r="B3066" s="45">
        <v>429</v>
      </c>
      <c r="C3066" s="64" t="s">
        <v>841</v>
      </c>
      <c r="D3066" s="74"/>
      <c r="E3066" s="208" t="s">
        <v>173</v>
      </c>
      <c r="F3066" s="209" t="s">
        <v>21</v>
      </c>
      <c r="G3066" s="209" t="s">
        <v>21</v>
      </c>
      <c r="H3066" s="209" t="s">
        <v>192</v>
      </c>
      <c r="I3066" s="210"/>
    </row>
    <row r="3067" spans="1:9" x14ac:dyDescent="0.25">
      <c r="A3067" s="74"/>
      <c r="B3067" s="45">
        <v>1523</v>
      </c>
      <c r="C3067" s="64" t="s">
        <v>1881</v>
      </c>
      <c r="D3067" s="74"/>
      <c r="E3067" s="208" t="s">
        <v>173</v>
      </c>
      <c r="F3067" s="209" t="s">
        <v>21</v>
      </c>
      <c r="G3067" s="209" t="s">
        <v>21</v>
      </c>
      <c r="H3067" s="209" t="s">
        <v>272</v>
      </c>
      <c r="I3067" s="210"/>
    </row>
    <row r="3068" spans="1:9" x14ac:dyDescent="0.25">
      <c r="A3068" s="74"/>
      <c r="B3068" s="45">
        <v>1524</v>
      </c>
      <c r="C3068" s="64" t="s">
        <v>1836</v>
      </c>
      <c r="D3068" s="74"/>
      <c r="E3068" s="208" t="s">
        <v>173</v>
      </c>
      <c r="F3068" s="209" t="s">
        <v>21</v>
      </c>
      <c r="G3068" s="209" t="s">
        <v>21</v>
      </c>
      <c r="H3068" s="209" t="s">
        <v>272</v>
      </c>
      <c r="I3068" s="210"/>
    </row>
    <row r="3069" spans="1:9" x14ac:dyDescent="0.25">
      <c r="A3069" s="74"/>
      <c r="B3069" s="45">
        <v>1508</v>
      </c>
      <c r="C3069" s="64" t="s">
        <v>1872</v>
      </c>
      <c r="D3069" s="74"/>
      <c r="E3069" s="208" t="s">
        <v>173</v>
      </c>
      <c r="F3069" s="209" t="s">
        <v>21</v>
      </c>
      <c r="G3069" s="209" t="s">
        <v>21</v>
      </c>
      <c r="H3069" s="209" t="s">
        <v>272</v>
      </c>
      <c r="I3069" s="210"/>
    </row>
    <row r="3070" spans="1:9" x14ac:dyDescent="0.25">
      <c r="A3070" s="74"/>
      <c r="B3070" s="45">
        <v>1525</v>
      </c>
      <c r="C3070" s="64" t="s">
        <v>1882</v>
      </c>
      <c r="D3070" s="74"/>
      <c r="E3070" s="208" t="s">
        <v>173</v>
      </c>
      <c r="F3070" s="209" t="s">
        <v>21</v>
      </c>
      <c r="G3070" s="209" t="s">
        <v>21</v>
      </c>
      <c r="H3070" s="209" t="s">
        <v>272</v>
      </c>
      <c r="I3070" s="210"/>
    </row>
    <row r="3071" spans="1:9" x14ac:dyDescent="0.25">
      <c r="A3071" s="74"/>
      <c r="B3071" s="45">
        <v>429</v>
      </c>
      <c r="C3071" s="64" t="s">
        <v>841</v>
      </c>
      <c r="D3071" s="74"/>
      <c r="E3071" s="208" t="s">
        <v>173</v>
      </c>
      <c r="F3071" s="209" t="s">
        <v>21</v>
      </c>
      <c r="G3071" s="209" t="s">
        <v>21</v>
      </c>
      <c r="H3071" s="209" t="s">
        <v>192</v>
      </c>
      <c r="I3071" s="210"/>
    </row>
    <row r="3072" spans="1:9" x14ac:dyDescent="0.25">
      <c r="A3072" s="74"/>
      <c r="B3072" s="45">
        <v>1526</v>
      </c>
      <c r="C3072" s="64" t="s">
        <v>1883</v>
      </c>
      <c r="D3072" s="74"/>
      <c r="E3072" s="208" t="s">
        <v>173</v>
      </c>
      <c r="F3072" s="209" t="s">
        <v>21</v>
      </c>
      <c r="G3072" s="209" t="s">
        <v>21</v>
      </c>
      <c r="H3072" s="209" t="s">
        <v>272</v>
      </c>
      <c r="I3072" s="210"/>
    </row>
    <row r="3073" spans="1:9" x14ac:dyDescent="0.25">
      <c r="A3073" s="74"/>
      <c r="B3073" s="45">
        <v>1523</v>
      </c>
      <c r="C3073" s="64" t="s">
        <v>1881</v>
      </c>
      <c r="D3073" s="74"/>
      <c r="E3073" s="208" t="s">
        <v>173</v>
      </c>
      <c r="F3073" s="209" t="s">
        <v>21</v>
      </c>
      <c r="G3073" s="209" t="s">
        <v>21</v>
      </c>
      <c r="H3073" s="209" t="s">
        <v>272</v>
      </c>
      <c r="I3073" s="210"/>
    </row>
    <row r="3074" spans="1:9" x14ac:dyDescent="0.25">
      <c r="A3074" s="74"/>
      <c r="B3074" s="45">
        <v>1524</v>
      </c>
      <c r="C3074" s="64" t="s">
        <v>1836</v>
      </c>
      <c r="D3074" s="74"/>
      <c r="E3074" s="208" t="s">
        <v>173</v>
      </c>
      <c r="F3074" s="209" t="s">
        <v>21</v>
      </c>
      <c r="G3074" s="209" t="s">
        <v>21</v>
      </c>
      <c r="H3074" s="209" t="s">
        <v>272</v>
      </c>
      <c r="I3074" s="210"/>
    </row>
    <row r="3075" spans="1:9" x14ac:dyDescent="0.25">
      <c r="A3075" s="74"/>
      <c r="B3075" s="45">
        <v>1508</v>
      </c>
      <c r="C3075" s="64" t="s">
        <v>1872</v>
      </c>
      <c r="D3075" s="74"/>
      <c r="E3075" s="208" t="s">
        <v>173</v>
      </c>
      <c r="F3075" s="209" t="s">
        <v>21</v>
      </c>
      <c r="G3075" s="209" t="s">
        <v>21</v>
      </c>
      <c r="H3075" s="209" t="s">
        <v>272</v>
      </c>
      <c r="I3075" s="210"/>
    </row>
    <row r="3076" spans="1:9" x14ac:dyDescent="0.25">
      <c r="A3076" s="74"/>
      <c r="B3076" s="45">
        <v>1525</v>
      </c>
      <c r="C3076" s="64" t="s">
        <v>1882</v>
      </c>
      <c r="D3076" s="74"/>
      <c r="E3076" s="208" t="s">
        <v>173</v>
      </c>
      <c r="F3076" s="209" t="s">
        <v>21</v>
      </c>
      <c r="G3076" s="209" t="s">
        <v>21</v>
      </c>
      <c r="H3076" s="209" t="s">
        <v>272</v>
      </c>
      <c r="I3076" s="210"/>
    </row>
    <row r="3077" spans="1:9" x14ac:dyDescent="0.25">
      <c r="A3077" s="74"/>
      <c r="B3077" s="45">
        <v>429</v>
      </c>
      <c r="C3077" s="64" t="s">
        <v>841</v>
      </c>
      <c r="D3077" s="74"/>
      <c r="E3077" s="208" t="s">
        <v>173</v>
      </c>
      <c r="F3077" s="209" t="s">
        <v>21</v>
      </c>
      <c r="G3077" s="209" t="s">
        <v>21</v>
      </c>
      <c r="H3077" s="209" t="s">
        <v>192</v>
      </c>
      <c r="I3077" s="210"/>
    </row>
    <row r="3078" spans="1:9" x14ac:dyDescent="0.25">
      <c r="A3078" s="74"/>
      <c r="B3078" s="45">
        <v>1526</v>
      </c>
      <c r="C3078" s="64" t="s">
        <v>1883</v>
      </c>
      <c r="D3078" s="74"/>
      <c r="E3078" s="208" t="s">
        <v>173</v>
      </c>
      <c r="F3078" s="209" t="s">
        <v>21</v>
      </c>
      <c r="G3078" s="209" t="s">
        <v>21</v>
      </c>
      <c r="H3078" s="209" t="s">
        <v>272</v>
      </c>
      <c r="I3078" s="210"/>
    </row>
    <row r="3079" spans="1:9" x14ac:dyDescent="0.25">
      <c r="A3079" s="74"/>
      <c r="B3079" s="45">
        <v>1523</v>
      </c>
      <c r="C3079" s="64" t="s">
        <v>1881</v>
      </c>
      <c r="D3079" s="74"/>
      <c r="E3079" s="208" t="s">
        <v>173</v>
      </c>
      <c r="F3079" s="209" t="s">
        <v>21</v>
      </c>
      <c r="G3079" s="209" t="s">
        <v>21</v>
      </c>
      <c r="H3079" s="209" t="s">
        <v>272</v>
      </c>
      <c r="I3079" s="210"/>
    </row>
    <row r="3080" spans="1:9" x14ac:dyDescent="0.25">
      <c r="A3080" s="74"/>
      <c r="B3080" s="45">
        <v>1524</v>
      </c>
      <c r="C3080" s="64" t="s">
        <v>1836</v>
      </c>
      <c r="D3080" s="74"/>
      <c r="E3080" s="208" t="s">
        <v>173</v>
      </c>
      <c r="F3080" s="209" t="s">
        <v>21</v>
      </c>
      <c r="G3080" s="209" t="s">
        <v>21</v>
      </c>
      <c r="H3080" s="209" t="s">
        <v>272</v>
      </c>
      <c r="I3080" s="210"/>
    </row>
    <row r="3081" spans="1:9" x14ac:dyDescent="0.25">
      <c r="A3081" s="74"/>
      <c r="B3081" s="45">
        <v>1508</v>
      </c>
      <c r="C3081" s="64" t="s">
        <v>1872</v>
      </c>
      <c r="D3081" s="74"/>
      <c r="E3081" s="208" t="s">
        <v>173</v>
      </c>
      <c r="F3081" s="209" t="s">
        <v>21</v>
      </c>
      <c r="G3081" s="209" t="s">
        <v>21</v>
      </c>
      <c r="H3081" s="209" t="s">
        <v>272</v>
      </c>
      <c r="I3081" s="210"/>
    </row>
    <row r="3082" spans="1:9" x14ac:dyDescent="0.25">
      <c r="A3082" s="74"/>
      <c r="B3082" s="45">
        <v>1525</v>
      </c>
      <c r="C3082" s="64" t="s">
        <v>1882</v>
      </c>
      <c r="D3082" s="74"/>
      <c r="E3082" s="208" t="s">
        <v>173</v>
      </c>
      <c r="F3082" s="209" t="s">
        <v>21</v>
      </c>
      <c r="G3082" s="209" t="s">
        <v>21</v>
      </c>
      <c r="H3082" s="209" t="s">
        <v>272</v>
      </c>
      <c r="I3082" s="210"/>
    </row>
    <row r="3083" spans="1:9" x14ac:dyDescent="0.25">
      <c r="A3083" s="74"/>
      <c r="B3083" s="45">
        <v>429</v>
      </c>
      <c r="C3083" s="64" t="s">
        <v>841</v>
      </c>
      <c r="D3083" s="74"/>
      <c r="E3083" s="208" t="s">
        <v>173</v>
      </c>
      <c r="F3083" s="209" t="s">
        <v>21</v>
      </c>
      <c r="G3083" s="209" t="s">
        <v>21</v>
      </c>
      <c r="H3083" s="209" t="s">
        <v>192</v>
      </c>
      <c r="I3083" s="210"/>
    </row>
    <row r="3084" spans="1:9" x14ac:dyDescent="0.25">
      <c r="A3084" s="74"/>
      <c r="B3084" s="45">
        <v>1526</v>
      </c>
      <c r="C3084" s="64" t="s">
        <v>1883</v>
      </c>
      <c r="D3084" s="74"/>
      <c r="E3084" s="208" t="s">
        <v>173</v>
      </c>
      <c r="F3084" s="209" t="s">
        <v>21</v>
      </c>
      <c r="G3084" s="209" t="s">
        <v>21</v>
      </c>
      <c r="H3084" s="209" t="s">
        <v>272</v>
      </c>
      <c r="I3084" s="210"/>
    </row>
    <row r="3085" spans="1:9" x14ac:dyDescent="0.25">
      <c r="A3085" s="74"/>
      <c r="B3085" s="45">
        <v>1523</v>
      </c>
      <c r="C3085" s="64" t="s">
        <v>1881</v>
      </c>
      <c r="D3085" s="74"/>
      <c r="E3085" s="208" t="s">
        <v>173</v>
      </c>
      <c r="F3085" s="209" t="s">
        <v>21</v>
      </c>
      <c r="G3085" s="209" t="s">
        <v>21</v>
      </c>
      <c r="H3085" s="209" t="s">
        <v>272</v>
      </c>
      <c r="I3085" s="210"/>
    </row>
    <row r="3086" spans="1:9" x14ac:dyDescent="0.25">
      <c r="A3086" s="74"/>
      <c r="B3086" s="45">
        <v>1524</v>
      </c>
      <c r="C3086" s="64" t="s">
        <v>1836</v>
      </c>
      <c r="D3086" s="74"/>
      <c r="E3086" s="208" t="s">
        <v>173</v>
      </c>
      <c r="F3086" s="209" t="s">
        <v>21</v>
      </c>
      <c r="G3086" s="209" t="s">
        <v>21</v>
      </c>
      <c r="H3086" s="209" t="s">
        <v>272</v>
      </c>
      <c r="I3086" s="210"/>
    </row>
    <row r="3087" spans="1:9" x14ac:dyDescent="0.25">
      <c r="A3087" s="74"/>
      <c r="B3087" s="45">
        <v>1508</v>
      </c>
      <c r="C3087" s="64" t="s">
        <v>1872</v>
      </c>
      <c r="D3087" s="74"/>
      <c r="E3087" s="208" t="s">
        <v>173</v>
      </c>
      <c r="F3087" s="209" t="s">
        <v>21</v>
      </c>
      <c r="G3087" s="209" t="s">
        <v>21</v>
      </c>
      <c r="H3087" s="209" t="s">
        <v>272</v>
      </c>
      <c r="I3087" s="210"/>
    </row>
    <row r="3088" spans="1:9" x14ac:dyDescent="0.25">
      <c r="A3088" s="74"/>
      <c r="B3088" s="45">
        <v>1525</v>
      </c>
      <c r="C3088" s="64" t="s">
        <v>1882</v>
      </c>
      <c r="D3088" s="74"/>
      <c r="E3088" s="208" t="s">
        <v>173</v>
      </c>
      <c r="F3088" s="209" t="s">
        <v>21</v>
      </c>
      <c r="G3088" s="209" t="s">
        <v>21</v>
      </c>
      <c r="H3088" s="209" t="s">
        <v>272</v>
      </c>
      <c r="I3088" s="210"/>
    </row>
    <row r="3089" spans="1:9" x14ac:dyDescent="0.25">
      <c r="A3089" s="74"/>
      <c r="B3089" s="45">
        <v>429</v>
      </c>
      <c r="C3089" s="64" t="s">
        <v>841</v>
      </c>
      <c r="D3089" s="74"/>
      <c r="E3089" s="208" t="s">
        <v>173</v>
      </c>
      <c r="F3089" s="209" t="s">
        <v>21</v>
      </c>
      <c r="G3089" s="209" t="s">
        <v>21</v>
      </c>
      <c r="H3089" s="209" t="s">
        <v>192</v>
      </c>
      <c r="I3089" s="210"/>
    </row>
    <row r="3090" spans="1:9" x14ac:dyDescent="0.25">
      <c r="A3090" s="74"/>
      <c r="B3090" s="45">
        <v>1526</v>
      </c>
      <c r="C3090" s="64" t="s">
        <v>1883</v>
      </c>
      <c r="D3090" s="74"/>
      <c r="E3090" s="208" t="s">
        <v>173</v>
      </c>
      <c r="F3090" s="209" t="s">
        <v>21</v>
      </c>
      <c r="G3090" s="209" t="s">
        <v>21</v>
      </c>
      <c r="H3090" s="209" t="s">
        <v>272</v>
      </c>
      <c r="I3090" s="210"/>
    </row>
    <row r="3091" spans="1:9" x14ac:dyDescent="0.25">
      <c r="A3091" s="74"/>
      <c r="B3091" s="45">
        <v>429</v>
      </c>
      <c r="C3091" s="64" t="s">
        <v>841</v>
      </c>
      <c r="D3091" s="74"/>
      <c r="E3091" s="208" t="s">
        <v>173</v>
      </c>
      <c r="F3091" s="209" t="s">
        <v>21</v>
      </c>
      <c r="G3091" s="209" t="s">
        <v>21</v>
      </c>
      <c r="H3091" s="209" t="s">
        <v>192</v>
      </c>
      <c r="I3091" s="210"/>
    </row>
    <row r="3092" spans="1:9" x14ac:dyDescent="0.25">
      <c r="A3092" s="74"/>
      <c r="B3092" s="45">
        <v>1508</v>
      </c>
      <c r="C3092" s="64" t="s">
        <v>1872</v>
      </c>
      <c r="D3092" s="74"/>
      <c r="E3092" s="208" t="s">
        <v>173</v>
      </c>
      <c r="F3092" s="209" t="s">
        <v>21</v>
      </c>
      <c r="G3092" s="209" t="s">
        <v>21</v>
      </c>
      <c r="H3092" s="209" t="s">
        <v>272</v>
      </c>
      <c r="I3092" s="210"/>
    </row>
    <row r="3093" spans="1:9" x14ac:dyDescent="0.25">
      <c r="A3093" s="74"/>
      <c r="B3093" s="45">
        <v>406</v>
      </c>
      <c r="C3093" s="64" t="s">
        <v>818</v>
      </c>
      <c r="D3093" s="74"/>
      <c r="E3093" s="208" t="s">
        <v>173</v>
      </c>
      <c r="F3093" s="209" t="s">
        <v>21</v>
      </c>
      <c r="G3093" s="209" t="s">
        <v>21</v>
      </c>
      <c r="H3093" s="209" t="s">
        <v>272</v>
      </c>
      <c r="I3093" s="210"/>
    </row>
    <row r="3094" spans="1:9" x14ac:dyDescent="0.25">
      <c r="A3094" s="74"/>
      <c r="B3094" s="45">
        <v>439</v>
      </c>
      <c r="C3094" s="64" t="s">
        <v>851</v>
      </c>
      <c r="D3094" s="74"/>
      <c r="E3094" s="208" t="s">
        <v>173</v>
      </c>
      <c r="F3094" s="209" t="s">
        <v>21</v>
      </c>
      <c r="G3094" s="209" t="s">
        <v>21</v>
      </c>
      <c r="H3094" s="209" t="s">
        <v>192</v>
      </c>
      <c r="I3094" s="210"/>
    </row>
    <row r="3095" spans="1:9" x14ac:dyDescent="0.25">
      <c r="A3095" s="74"/>
      <c r="B3095" s="45">
        <v>445</v>
      </c>
      <c r="C3095" s="64" t="s">
        <v>857</v>
      </c>
      <c r="D3095" s="74"/>
      <c r="E3095" s="208" t="s">
        <v>173</v>
      </c>
      <c r="F3095" s="209" t="s">
        <v>21</v>
      </c>
      <c r="G3095" s="209" t="s">
        <v>21</v>
      </c>
      <c r="H3095" s="209" t="s">
        <v>192</v>
      </c>
      <c r="I3095" s="210"/>
    </row>
    <row r="3096" spans="1:9" x14ac:dyDescent="0.25">
      <c r="A3096" s="74"/>
      <c r="B3096" s="45">
        <v>436</v>
      </c>
      <c r="C3096" s="64" t="s">
        <v>848</v>
      </c>
      <c r="D3096" s="74"/>
      <c r="E3096" s="208" t="s">
        <v>173</v>
      </c>
      <c r="F3096" s="209" t="s">
        <v>21</v>
      </c>
      <c r="G3096" s="209" t="s">
        <v>21</v>
      </c>
      <c r="H3096" s="209" t="s">
        <v>192</v>
      </c>
      <c r="I3096" s="210"/>
    </row>
    <row r="3097" spans="1:9" x14ac:dyDescent="0.25">
      <c r="A3097" s="74"/>
      <c r="B3097" s="45">
        <v>433</v>
      </c>
      <c r="C3097" s="64" t="s">
        <v>845</v>
      </c>
      <c r="D3097" s="74"/>
      <c r="E3097" s="208" t="s">
        <v>173</v>
      </c>
      <c r="F3097" s="209" t="s">
        <v>21</v>
      </c>
      <c r="G3097" s="209" t="s">
        <v>21</v>
      </c>
      <c r="H3097" s="209" t="s">
        <v>192</v>
      </c>
      <c r="I3097" s="210"/>
    </row>
    <row r="3098" spans="1:9" x14ac:dyDescent="0.25">
      <c r="A3098" s="74"/>
      <c r="B3098" s="45">
        <v>1527</v>
      </c>
      <c r="C3098" s="64" t="s">
        <v>1884</v>
      </c>
      <c r="D3098" s="74"/>
      <c r="E3098" s="208" t="s">
        <v>173</v>
      </c>
      <c r="F3098" s="209" t="s">
        <v>21</v>
      </c>
      <c r="G3098" s="209" t="s">
        <v>21</v>
      </c>
      <c r="H3098" s="209" t="s">
        <v>272</v>
      </c>
      <c r="I3098" s="210"/>
    </row>
    <row r="3099" spans="1:9" x14ac:dyDescent="0.25">
      <c r="A3099" s="74"/>
      <c r="B3099" s="45">
        <v>1528</v>
      </c>
      <c r="C3099" s="64" t="s">
        <v>1885</v>
      </c>
      <c r="D3099" s="74"/>
      <c r="E3099" s="208" t="s">
        <v>173</v>
      </c>
      <c r="F3099" s="209" t="s">
        <v>21</v>
      </c>
      <c r="G3099" s="209" t="s">
        <v>21</v>
      </c>
      <c r="H3099" s="209" t="s">
        <v>272</v>
      </c>
      <c r="I3099" s="210"/>
    </row>
    <row r="3100" spans="1:9" x14ac:dyDescent="0.25">
      <c r="A3100" s="74"/>
      <c r="B3100" s="45">
        <v>1529</v>
      </c>
      <c r="C3100" s="64" t="s">
        <v>1886</v>
      </c>
      <c r="D3100" s="74"/>
      <c r="E3100" s="208" t="s">
        <v>173</v>
      </c>
      <c r="F3100" s="209" t="s">
        <v>21</v>
      </c>
      <c r="G3100" s="209" t="s">
        <v>21</v>
      </c>
      <c r="H3100" s="209" t="s">
        <v>272</v>
      </c>
      <c r="I3100" s="210"/>
    </row>
    <row r="3101" spans="1:9" x14ac:dyDescent="0.25">
      <c r="A3101" s="74"/>
      <c r="B3101" s="45">
        <v>1530</v>
      </c>
      <c r="C3101" s="64" t="s">
        <v>1887</v>
      </c>
      <c r="D3101" s="74"/>
      <c r="E3101" s="208" t="s">
        <v>173</v>
      </c>
      <c r="F3101" s="209" t="s">
        <v>21</v>
      </c>
      <c r="G3101" s="209" t="s">
        <v>21</v>
      </c>
      <c r="H3101" s="209" t="s">
        <v>272</v>
      </c>
      <c r="I3101" s="210"/>
    </row>
    <row r="3102" spans="1:9" x14ac:dyDescent="0.25">
      <c r="A3102" s="74"/>
      <c r="B3102" s="45">
        <v>1531</v>
      </c>
      <c r="C3102" s="64" t="s">
        <v>1575</v>
      </c>
      <c r="D3102" s="74"/>
      <c r="E3102" s="208" t="s">
        <v>173</v>
      </c>
      <c r="F3102" s="209" t="s">
        <v>21</v>
      </c>
      <c r="G3102" s="209" t="s">
        <v>21</v>
      </c>
      <c r="H3102" s="209" t="s">
        <v>272</v>
      </c>
      <c r="I3102" s="210"/>
    </row>
    <row r="3103" spans="1:9" x14ac:dyDescent="0.25">
      <c r="A3103" s="74"/>
      <c r="B3103" s="45">
        <v>1532</v>
      </c>
      <c r="C3103" s="64" t="s">
        <v>1888</v>
      </c>
      <c r="D3103" s="74"/>
      <c r="E3103" s="208" t="s">
        <v>173</v>
      </c>
      <c r="F3103" s="209" t="s">
        <v>21</v>
      </c>
      <c r="G3103" s="209" t="s">
        <v>21</v>
      </c>
      <c r="H3103" s="209" t="s">
        <v>272</v>
      </c>
      <c r="I3103" s="210"/>
    </row>
    <row r="3104" spans="1:9" x14ac:dyDescent="0.25">
      <c r="A3104" s="74"/>
      <c r="B3104" s="45">
        <v>1533</v>
      </c>
      <c r="C3104" s="64" t="s">
        <v>1889</v>
      </c>
      <c r="D3104" s="74"/>
      <c r="E3104" s="208" t="s">
        <v>173</v>
      </c>
      <c r="F3104" s="209" t="s">
        <v>21</v>
      </c>
      <c r="G3104" s="209" t="s">
        <v>21</v>
      </c>
      <c r="H3104" s="209" t="s">
        <v>272</v>
      </c>
      <c r="I3104" s="210"/>
    </row>
    <row r="3105" spans="1:9" x14ac:dyDescent="0.25">
      <c r="A3105" s="74"/>
      <c r="B3105" s="45">
        <v>1534</v>
      </c>
      <c r="C3105" s="64" t="s">
        <v>1890</v>
      </c>
      <c r="D3105" s="74"/>
      <c r="E3105" s="208" t="s">
        <v>173</v>
      </c>
      <c r="F3105" s="209" t="s">
        <v>21</v>
      </c>
      <c r="G3105" s="209" t="s">
        <v>21</v>
      </c>
      <c r="H3105" s="209" t="s">
        <v>272</v>
      </c>
      <c r="I3105" s="210"/>
    </row>
    <row r="3106" spans="1:9" x14ac:dyDescent="0.25">
      <c r="A3106" s="74"/>
      <c r="B3106" s="45">
        <v>1535</v>
      </c>
      <c r="C3106" s="64" t="s">
        <v>1634</v>
      </c>
      <c r="D3106" s="74"/>
      <c r="E3106" s="208" t="s">
        <v>173</v>
      </c>
      <c r="F3106" s="209" t="s">
        <v>21</v>
      </c>
      <c r="G3106" s="209" t="s">
        <v>21</v>
      </c>
      <c r="H3106" s="209" t="s">
        <v>272</v>
      </c>
      <c r="I3106" s="210"/>
    </row>
    <row r="3107" spans="1:9" x14ac:dyDescent="0.25">
      <c r="A3107" s="74"/>
      <c r="B3107" s="45">
        <v>1536</v>
      </c>
      <c r="C3107" s="64" t="s">
        <v>1891</v>
      </c>
      <c r="D3107" s="74"/>
      <c r="E3107" s="208" t="s">
        <v>173</v>
      </c>
      <c r="F3107" s="209" t="s">
        <v>21</v>
      </c>
      <c r="G3107" s="209" t="s">
        <v>21</v>
      </c>
      <c r="H3107" s="209" t="s">
        <v>272</v>
      </c>
      <c r="I3107" s="210"/>
    </row>
    <row r="3108" spans="1:9" x14ac:dyDescent="0.25">
      <c r="A3108" s="74"/>
      <c r="B3108" s="45">
        <v>1537</v>
      </c>
      <c r="C3108" s="64" t="s">
        <v>1892</v>
      </c>
      <c r="D3108" s="74"/>
      <c r="E3108" s="208" t="s">
        <v>173</v>
      </c>
      <c r="F3108" s="209" t="s">
        <v>21</v>
      </c>
      <c r="G3108" s="209" t="s">
        <v>21</v>
      </c>
      <c r="H3108" s="209" t="s">
        <v>272</v>
      </c>
      <c r="I3108" s="210"/>
    </row>
    <row r="3109" spans="1:9" x14ac:dyDescent="0.25">
      <c r="A3109" s="74"/>
      <c r="B3109" s="45">
        <v>1538</v>
      </c>
      <c r="C3109" s="64" t="s">
        <v>1893</v>
      </c>
      <c r="D3109" s="74"/>
      <c r="E3109" s="208" t="s">
        <v>173</v>
      </c>
      <c r="F3109" s="209" t="s">
        <v>21</v>
      </c>
      <c r="G3109" s="209" t="s">
        <v>21</v>
      </c>
      <c r="H3109" s="209" t="s">
        <v>272</v>
      </c>
      <c r="I3109" s="210"/>
    </row>
    <row r="3110" spans="1:9" x14ac:dyDescent="0.25">
      <c r="A3110" s="74"/>
      <c r="B3110" s="45">
        <v>1537</v>
      </c>
      <c r="C3110" s="64" t="s">
        <v>1892</v>
      </c>
      <c r="D3110" s="74"/>
      <c r="E3110" s="208" t="s">
        <v>173</v>
      </c>
      <c r="F3110" s="209" t="s">
        <v>21</v>
      </c>
      <c r="G3110" s="209" t="s">
        <v>21</v>
      </c>
      <c r="H3110" s="209" t="s">
        <v>272</v>
      </c>
      <c r="I3110" s="210"/>
    </row>
    <row r="3111" spans="1:9" x14ac:dyDescent="0.25">
      <c r="A3111" s="74"/>
      <c r="B3111" s="45">
        <v>1527</v>
      </c>
      <c r="C3111" s="64" t="s">
        <v>1884</v>
      </c>
      <c r="D3111" s="74"/>
      <c r="E3111" s="208" t="s">
        <v>173</v>
      </c>
      <c r="F3111" s="209" t="s">
        <v>21</v>
      </c>
      <c r="G3111" s="209" t="s">
        <v>21</v>
      </c>
      <c r="H3111" s="209" t="s">
        <v>272</v>
      </c>
      <c r="I3111" s="210"/>
    </row>
    <row r="3112" spans="1:9" x14ac:dyDescent="0.25">
      <c r="A3112" s="74"/>
      <c r="B3112" s="45">
        <v>1528</v>
      </c>
      <c r="C3112" s="64" t="s">
        <v>1885</v>
      </c>
      <c r="D3112" s="74"/>
      <c r="E3112" s="208" t="s">
        <v>173</v>
      </c>
      <c r="F3112" s="209" t="s">
        <v>21</v>
      </c>
      <c r="G3112" s="209" t="s">
        <v>21</v>
      </c>
      <c r="H3112" s="209" t="s">
        <v>272</v>
      </c>
      <c r="I3112" s="210"/>
    </row>
    <row r="3113" spans="1:9" x14ac:dyDescent="0.25">
      <c r="A3113" s="74"/>
      <c r="B3113" s="45">
        <v>1529</v>
      </c>
      <c r="C3113" s="64" t="s">
        <v>1886</v>
      </c>
      <c r="D3113" s="74"/>
      <c r="E3113" s="208" t="s">
        <v>173</v>
      </c>
      <c r="F3113" s="209" t="s">
        <v>21</v>
      </c>
      <c r="G3113" s="209" t="s">
        <v>21</v>
      </c>
      <c r="H3113" s="209" t="s">
        <v>272</v>
      </c>
      <c r="I3113" s="210"/>
    </row>
    <row r="3114" spans="1:9" x14ac:dyDescent="0.25">
      <c r="A3114" s="74"/>
      <c r="B3114" s="45">
        <v>1530</v>
      </c>
      <c r="C3114" s="64" t="s">
        <v>1887</v>
      </c>
      <c r="D3114" s="74"/>
      <c r="E3114" s="208" t="s">
        <v>173</v>
      </c>
      <c r="F3114" s="209" t="s">
        <v>21</v>
      </c>
      <c r="G3114" s="209" t="s">
        <v>21</v>
      </c>
      <c r="H3114" s="209" t="s">
        <v>272</v>
      </c>
      <c r="I3114" s="210"/>
    </row>
    <row r="3115" spans="1:9" x14ac:dyDescent="0.25">
      <c r="A3115" s="74"/>
      <c r="B3115" s="45">
        <v>1531</v>
      </c>
      <c r="C3115" s="64" t="s">
        <v>1575</v>
      </c>
      <c r="D3115" s="74"/>
      <c r="E3115" s="208" t="s">
        <v>173</v>
      </c>
      <c r="F3115" s="209" t="s">
        <v>21</v>
      </c>
      <c r="G3115" s="209" t="s">
        <v>21</v>
      </c>
      <c r="H3115" s="209" t="s">
        <v>272</v>
      </c>
      <c r="I3115" s="210"/>
    </row>
    <row r="3116" spans="1:9" x14ac:dyDescent="0.25">
      <c r="A3116" s="74"/>
      <c r="B3116" s="45">
        <v>1538</v>
      </c>
      <c r="C3116" s="64" t="s">
        <v>1893</v>
      </c>
      <c r="D3116" s="74"/>
      <c r="E3116" s="208" t="s">
        <v>173</v>
      </c>
      <c r="F3116" s="209" t="s">
        <v>21</v>
      </c>
      <c r="G3116" s="209" t="s">
        <v>21</v>
      </c>
      <c r="H3116" s="209" t="s">
        <v>272</v>
      </c>
      <c r="I3116" s="210"/>
    </row>
    <row r="3117" spans="1:9" x14ac:dyDescent="0.25">
      <c r="A3117" s="74"/>
      <c r="B3117" s="45">
        <v>1537</v>
      </c>
      <c r="C3117" s="64" t="s">
        <v>1892</v>
      </c>
      <c r="D3117" s="74"/>
      <c r="E3117" s="208" t="s">
        <v>173</v>
      </c>
      <c r="F3117" s="209" t="s">
        <v>21</v>
      </c>
      <c r="G3117" s="209" t="s">
        <v>21</v>
      </c>
      <c r="H3117" s="209" t="s">
        <v>272</v>
      </c>
      <c r="I3117" s="210"/>
    </row>
    <row r="3118" spans="1:9" x14ac:dyDescent="0.25">
      <c r="A3118" s="74"/>
      <c r="B3118" s="45">
        <v>1527</v>
      </c>
      <c r="C3118" s="64" t="s">
        <v>1884</v>
      </c>
      <c r="D3118" s="74"/>
      <c r="E3118" s="208" t="s">
        <v>173</v>
      </c>
      <c r="F3118" s="209" t="s">
        <v>21</v>
      </c>
      <c r="G3118" s="209" t="s">
        <v>21</v>
      </c>
      <c r="H3118" s="209" t="s">
        <v>272</v>
      </c>
      <c r="I3118" s="210"/>
    </row>
    <row r="3119" spans="1:9" x14ac:dyDescent="0.25">
      <c r="A3119" s="74"/>
      <c r="B3119" s="45">
        <v>1528</v>
      </c>
      <c r="C3119" s="64" t="s">
        <v>1885</v>
      </c>
      <c r="D3119" s="74"/>
      <c r="E3119" s="208" t="s">
        <v>173</v>
      </c>
      <c r="F3119" s="209" t="s">
        <v>21</v>
      </c>
      <c r="G3119" s="209" t="s">
        <v>21</v>
      </c>
      <c r="H3119" s="209" t="s">
        <v>272</v>
      </c>
      <c r="I3119" s="210"/>
    </row>
    <row r="3120" spans="1:9" x14ac:dyDescent="0.25">
      <c r="A3120" s="74"/>
      <c r="B3120" s="45">
        <v>1529</v>
      </c>
      <c r="C3120" s="64" t="s">
        <v>1886</v>
      </c>
      <c r="D3120" s="74"/>
      <c r="E3120" s="208" t="s">
        <v>173</v>
      </c>
      <c r="F3120" s="209" t="s">
        <v>21</v>
      </c>
      <c r="G3120" s="209" t="s">
        <v>21</v>
      </c>
      <c r="H3120" s="209" t="s">
        <v>272</v>
      </c>
      <c r="I3120" s="210"/>
    </row>
    <row r="3121" spans="1:9" x14ac:dyDescent="0.25">
      <c r="A3121" s="74"/>
      <c r="B3121" s="45">
        <v>1530</v>
      </c>
      <c r="C3121" s="64" t="s">
        <v>1887</v>
      </c>
      <c r="D3121" s="74"/>
      <c r="E3121" s="208" t="s">
        <v>173</v>
      </c>
      <c r="F3121" s="209" t="s">
        <v>21</v>
      </c>
      <c r="G3121" s="209" t="s">
        <v>21</v>
      </c>
      <c r="H3121" s="209" t="s">
        <v>272</v>
      </c>
      <c r="I3121" s="210"/>
    </row>
    <row r="3122" spans="1:9" x14ac:dyDescent="0.25">
      <c r="A3122" s="74"/>
      <c r="B3122" s="45">
        <v>1531</v>
      </c>
      <c r="C3122" s="64" t="s">
        <v>1575</v>
      </c>
      <c r="D3122" s="74"/>
      <c r="E3122" s="208" t="s">
        <v>173</v>
      </c>
      <c r="F3122" s="209" t="s">
        <v>21</v>
      </c>
      <c r="G3122" s="209" t="s">
        <v>21</v>
      </c>
      <c r="H3122" s="209" t="s">
        <v>272</v>
      </c>
      <c r="I3122" s="210"/>
    </row>
    <row r="3123" spans="1:9" x14ac:dyDescent="0.25">
      <c r="A3123" s="74"/>
      <c r="B3123" s="45">
        <v>1538</v>
      </c>
      <c r="C3123" s="64" t="s">
        <v>1893</v>
      </c>
      <c r="D3123" s="74"/>
      <c r="E3123" s="208" t="s">
        <v>173</v>
      </c>
      <c r="F3123" s="209" t="s">
        <v>21</v>
      </c>
      <c r="G3123" s="209" t="s">
        <v>21</v>
      </c>
      <c r="H3123" s="209" t="s">
        <v>272</v>
      </c>
      <c r="I3123" s="210"/>
    </row>
    <row r="3124" spans="1:9" x14ac:dyDescent="0.25">
      <c r="A3124" s="74"/>
      <c r="B3124" s="45">
        <v>1527</v>
      </c>
      <c r="C3124" s="64" t="s">
        <v>1884</v>
      </c>
      <c r="D3124" s="74"/>
      <c r="E3124" s="208" t="s">
        <v>173</v>
      </c>
      <c r="F3124" s="209" t="s">
        <v>21</v>
      </c>
      <c r="G3124" s="209" t="s">
        <v>21</v>
      </c>
      <c r="H3124" s="209" t="s">
        <v>272</v>
      </c>
      <c r="I3124" s="210"/>
    </row>
    <row r="3125" spans="1:9" x14ac:dyDescent="0.25">
      <c r="A3125" s="74"/>
      <c r="B3125" s="45">
        <v>1528</v>
      </c>
      <c r="C3125" s="64" t="s">
        <v>1885</v>
      </c>
      <c r="D3125" s="74"/>
      <c r="E3125" s="208" t="s">
        <v>173</v>
      </c>
      <c r="F3125" s="209" t="s">
        <v>21</v>
      </c>
      <c r="G3125" s="209" t="s">
        <v>21</v>
      </c>
      <c r="H3125" s="209" t="s">
        <v>272</v>
      </c>
      <c r="I3125" s="210"/>
    </row>
    <row r="3126" spans="1:9" x14ac:dyDescent="0.25">
      <c r="A3126" s="74"/>
      <c r="B3126" s="45">
        <v>1529</v>
      </c>
      <c r="C3126" s="64" t="s">
        <v>1886</v>
      </c>
      <c r="D3126" s="74"/>
      <c r="E3126" s="208" t="s">
        <v>173</v>
      </c>
      <c r="F3126" s="209" t="s">
        <v>21</v>
      </c>
      <c r="G3126" s="209" t="s">
        <v>21</v>
      </c>
      <c r="H3126" s="209" t="s">
        <v>272</v>
      </c>
      <c r="I3126" s="210"/>
    </row>
    <row r="3127" spans="1:9" x14ac:dyDescent="0.25">
      <c r="A3127" s="74"/>
      <c r="B3127" s="45">
        <v>1530</v>
      </c>
      <c r="C3127" s="64" t="s">
        <v>1887</v>
      </c>
      <c r="D3127" s="74"/>
      <c r="E3127" s="208" t="s">
        <v>173</v>
      </c>
      <c r="F3127" s="209" t="s">
        <v>21</v>
      </c>
      <c r="G3127" s="209" t="s">
        <v>21</v>
      </c>
      <c r="H3127" s="209" t="s">
        <v>272</v>
      </c>
      <c r="I3127" s="210"/>
    </row>
    <row r="3128" spans="1:9" x14ac:dyDescent="0.25">
      <c r="A3128" s="74"/>
      <c r="B3128" s="45">
        <v>1531</v>
      </c>
      <c r="C3128" s="64" t="s">
        <v>1575</v>
      </c>
      <c r="D3128" s="74"/>
      <c r="E3128" s="208" t="s">
        <v>173</v>
      </c>
      <c r="F3128" s="209" t="s">
        <v>21</v>
      </c>
      <c r="G3128" s="209" t="s">
        <v>21</v>
      </c>
      <c r="H3128" s="209" t="s">
        <v>272</v>
      </c>
      <c r="I3128" s="210"/>
    </row>
    <row r="3129" spans="1:9" x14ac:dyDescent="0.25">
      <c r="A3129" s="74"/>
      <c r="B3129" s="45">
        <v>1532</v>
      </c>
      <c r="C3129" s="64" t="s">
        <v>1888</v>
      </c>
      <c r="D3129" s="74"/>
      <c r="E3129" s="208" t="s">
        <v>173</v>
      </c>
      <c r="F3129" s="209" t="s">
        <v>21</v>
      </c>
      <c r="G3129" s="209" t="s">
        <v>21</v>
      </c>
      <c r="H3129" s="209" t="s">
        <v>272</v>
      </c>
      <c r="I3129" s="210"/>
    </row>
    <row r="3130" spans="1:9" x14ac:dyDescent="0.25">
      <c r="A3130" s="74"/>
      <c r="B3130" s="45">
        <v>1533</v>
      </c>
      <c r="C3130" s="64" t="s">
        <v>1889</v>
      </c>
      <c r="D3130" s="74"/>
      <c r="E3130" s="208" t="s">
        <v>173</v>
      </c>
      <c r="F3130" s="209" t="s">
        <v>21</v>
      </c>
      <c r="G3130" s="209" t="s">
        <v>21</v>
      </c>
      <c r="H3130" s="209" t="s">
        <v>272</v>
      </c>
      <c r="I3130" s="210"/>
    </row>
    <row r="3131" spans="1:9" x14ac:dyDescent="0.25">
      <c r="A3131" s="74"/>
      <c r="B3131" s="45">
        <v>1534</v>
      </c>
      <c r="C3131" s="64" t="s">
        <v>1890</v>
      </c>
      <c r="D3131" s="74"/>
      <c r="E3131" s="208" t="s">
        <v>173</v>
      </c>
      <c r="F3131" s="209" t="s">
        <v>21</v>
      </c>
      <c r="G3131" s="209" t="s">
        <v>21</v>
      </c>
      <c r="H3131" s="209" t="s">
        <v>272</v>
      </c>
      <c r="I3131" s="210"/>
    </row>
    <row r="3132" spans="1:9" x14ac:dyDescent="0.25">
      <c r="A3132" s="74"/>
      <c r="B3132" s="45">
        <v>1535</v>
      </c>
      <c r="C3132" s="64" t="s">
        <v>1634</v>
      </c>
      <c r="D3132" s="74"/>
      <c r="E3132" s="208" t="s">
        <v>173</v>
      </c>
      <c r="F3132" s="209" t="s">
        <v>21</v>
      </c>
      <c r="G3132" s="209" t="s">
        <v>21</v>
      </c>
      <c r="H3132" s="209" t="s">
        <v>272</v>
      </c>
      <c r="I3132" s="210"/>
    </row>
    <row r="3133" spans="1:9" x14ac:dyDescent="0.25">
      <c r="A3133" s="74"/>
      <c r="B3133" s="45">
        <v>1536</v>
      </c>
      <c r="C3133" s="64" t="s">
        <v>1891</v>
      </c>
      <c r="D3133" s="74"/>
      <c r="E3133" s="208" t="s">
        <v>173</v>
      </c>
      <c r="F3133" s="209" t="s">
        <v>21</v>
      </c>
      <c r="G3133" s="209" t="s">
        <v>21</v>
      </c>
      <c r="H3133" s="209" t="s">
        <v>272</v>
      </c>
      <c r="I3133" s="210"/>
    </row>
    <row r="3134" spans="1:9" x14ac:dyDescent="0.25">
      <c r="A3134" s="74"/>
      <c r="B3134" s="45">
        <v>1537</v>
      </c>
      <c r="C3134" s="64" t="s">
        <v>1892</v>
      </c>
      <c r="D3134" s="74"/>
      <c r="E3134" s="208" t="s">
        <v>173</v>
      </c>
      <c r="F3134" s="209" t="s">
        <v>21</v>
      </c>
      <c r="G3134" s="209" t="s">
        <v>21</v>
      </c>
      <c r="H3134" s="209" t="s">
        <v>272</v>
      </c>
      <c r="I3134" s="210"/>
    </row>
    <row r="3135" spans="1:9" x14ac:dyDescent="0.25">
      <c r="A3135" s="74"/>
      <c r="B3135" s="45">
        <v>1538</v>
      </c>
      <c r="C3135" s="64" t="s">
        <v>1893</v>
      </c>
      <c r="D3135" s="74"/>
      <c r="E3135" s="208" t="s">
        <v>173</v>
      </c>
      <c r="F3135" s="209" t="s">
        <v>21</v>
      </c>
      <c r="G3135" s="209" t="s">
        <v>21</v>
      </c>
      <c r="H3135" s="209" t="s">
        <v>272</v>
      </c>
      <c r="I3135" s="210"/>
    </row>
    <row r="3136" spans="1:9" x14ac:dyDescent="0.25">
      <c r="A3136" s="74"/>
      <c r="B3136" s="45">
        <v>1527</v>
      </c>
      <c r="C3136" s="64" t="s">
        <v>1884</v>
      </c>
      <c r="D3136" s="74"/>
      <c r="E3136" s="208" t="s">
        <v>173</v>
      </c>
      <c r="F3136" s="209" t="s">
        <v>21</v>
      </c>
      <c r="G3136" s="209" t="s">
        <v>21</v>
      </c>
      <c r="H3136" s="209" t="s">
        <v>272</v>
      </c>
      <c r="I3136" s="210"/>
    </row>
    <row r="3137" spans="1:9" x14ac:dyDescent="0.25">
      <c r="A3137" s="74"/>
      <c r="B3137" s="45">
        <v>1528</v>
      </c>
      <c r="C3137" s="64" t="s">
        <v>1885</v>
      </c>
      <c r="D3137" s="74"/>
      <c r="E3137" s="208" t="s">
        <v>173</v>
      </c>
      <c r="F3137" s="209" t="s">
        <v>21</v>
      </c>
      <c r="G3137" s="209" t="s">
        <v>21</v>
      </c>
      <c r="H3137" s="209" t="s">
        <v>272</v>
      </c>
      <c r="I3137" s="210"/>
    </row>
    <row r="3138" spans="1:9" x14ac:dyDescent="0.25">
      <c r="A3138" s="74"/>
      <c r="B3138" s="45">
        <v>1529</v>
      </c>
      <c r="C3138" s="64" t="s">
        <v>1886</v>
      </c>
      <c r="D3138" s="74"/>
      <c r="E3138" s="208" t="s">
        <v>173</v>
      </c>
      <c r="F3138" s="209" t="s">
        <v>21</v>
      </c>
      <c r="G3138" s="209" t="s">
        <v>21</v>
      </c>
      <c r="H3138" s="209" t="s">
        <v>272</v>
      </c>
      <c r="I3138" s="210"/>
    </row>
    <row r="3139" spans="1:9" x14ac:dyDescent="0.25">
      <c r="A3139" s="74"/>
      <c r="B3139" s="45">
        <v>1530</v>
      </c>
      <c r="C3139" s="64" t="s">
        <v>1887</v>
      </c>
      <c r="D3139" s="74"/>
      <c r="E3139" s="208" t="s">
        <v>173</v>
      </c>
      <c r="F3139" s="209" t="s">
        <v>21</v>
      </c>
      <c r="G3139" s="209" t="s">
        <v>21</v>
      </c>
      <c r="H3139" s="209" t="s">
        <v>272</v>
      </c>
      <c r="I3139" s="210"/>
    </row>
    <row r="3140" spans="1:9" x14ac:dyDescent="0.25">
      <c r="A3140" s="74"/>
      <c r="B3140" s="45">
        <v>1531</v>
      </c>
      <c r="C3140" s="64" t="s">
        <v>1575</v>
      </c>
      <c r="D3140" s="74"/>
      <c r="E3140" s="208" t="s">
        <v>173</v>
      </c>
      <c r="F3140" s="209" t="s">
        <v>21</v>
      </c>
      <c r="G3140" s="209" t="s">
        <v>21</v>
      </c>
      <c r="H3140" s="209" t="s">
        <v>272</v>
      </c>
      <c r="I3140" s="210"/>
    </row>
    <row r="3141" spans="1:9" x14ac:dyDescent="0.25">
      <c r="A3141" s="74"/>
      <c r="B3141" s="45">
        <v>1532</v>
      </c>
      <c r="C3141" s="64" t="s">
        <v>1888</v>
      </c>
      <c r="D3141" s="74"/>
      <c r="E3141" s="208" t="s">
        <v>173</v>
      </c>
      <c r="F3141" s="209" t="s">
        <v>21</v>
      </c>
      <c r="G3141" s="209" t="s">
        <v>21</v>
      </c>
      <c r="H3141" s="209" t="s">
        <v>272</v>
      </c>
      <c r="I3141" s="210"/>
    </row>
    <row r="3142" spans="1:9" x14ac:dyDescent="0.25">
      <c r="A3142" s="74"/>
      <c r="B3142" s="45">
        <v>1533</v>
      </c>
      <c r="C3142" s="64" t="s">
        <v>1889</v>
      </c>
      <c r="D3142" s="74"/>
      <c r="E3142" s="208" t="s">
        <v>173</v>
      </c>
      <c r="F3142" s="209" t="s">
        <v>21</v>
      </c>
      <c r="G3142" s="209" t="s">
        <v>21</v>
      </c>
      <c r="H3142" s="209" t="s">
        <v>272</v>
      </c>
      <c r="I3142" s="210"/>
    </row>
    <row r="3143" spans="1:9" x14ac:dyDescent="0.25">
      <c r="A3143" s="74"/>
      <c r="B3143" s="45">
        <v>1534</v>
      </c>
      <c r="C3143" s="64" t="s">
        <v>1890</v>
      </c>
      <c r="D3143" s="74"/>
      <c r="E3143" s="208" t="s">
        <v>173</v>
      </c>
      <c r="F3143" s="209" t="s">
        <v>21</v>
      </c>
      <c r="G3143" s="209" t="s">
        <v>21</v>
      </c>
      <c r="H3143" s="209" t="s">
        <v>272</v>
      </c>
      <c r="I3143" s="210"/>
    </row>
    <row r="3144" spans="1:9" x14ac:dyDescent="0.25">
      <c r="A3144" s="74"/>
      <c r="B3144" s="45">
        <v>1535</v>
      </c>
      <c r="C3144" s="64" t="s">
        <v>1634</v>
      </c>
      <c r="D3144" s="74"/>
      <c r="E3144" s="208" t="s">
        <v>173</v>
      </c>
      <c r="F3144" s="209" t="s">
        <v>21</v>
      </c>
      <c r="G3144" s="209" t="s">
        <v>21</v>
      </c>
      <c r="H3144" s="209" t="s">
        <v>272</v>
      </c>
      <c r="I3144" s="210"/>
    </row>
    <row r="3145" spans="1:9" x14ac:dyDescent="0.25">
      <c r="A3145" s="74"/>
      <c r="B3145" s="45">
        <v>1536</v>
      </c>
      <c r="C3145" s="64" t="s">
        <v>1891</v>
      </c>
      <c r="D3145" s="74"/>
      <c r="E3145" s="208" t="s">
        <v>173</v>
      </c>
      <c r="F3145" s="209" t="s">
        <v>21</v>
      </c>
      <c r="G3145" s="209" t="s">
        <v>21</v>
      </c>
      <c r="H3145" s="209" t="s">
        <v>272</v>
      </c>
      <c r="I3145" s="210"/>
    </row>
    <row r="3146" spans="1:9" x14ac:dyDescent="0.25">
      <c r="A3146" s="74"/>
      <c r="B3146" s="45">
        <v>1537</v>
      </c>
      <c r="C3146" s="64" t="s">
        <v>1892</v>
      </c>
      <c r="D3146" s="74"/>
      <c r="E3146" s="208" t="s">
        <v>173</v>
      </c>
      <c r="F3146" s="209" t="s">
        <v>21</v>
      </c>
      <c r="G3146" s="209" t="s">
        <v>21</v>
      </c>
      <c r="H3146" s="209" t="s">
        <v>272</v>
      </c>
      <c r="I3146" s="210"/>
    </row>
    <row r="3147" spans="1:9" x14ac:dyDescent="0.25">
      <c r="A3147" s="74"/>
      <c r="B3147" s="45">
        <v>1538</v>
      </c>
      <c r="C3147" s="64" t="s">
        <v>1893</v>
      </c>
      <c r="D3147" s="74"/>
      <c r="E3147" s="208" t="s">
        <v>173</v>
      </c>
      <c r="F3147" s="209" t="s">
        <v>21</v>
      </c>
      <c r="G3147" s="209" t="s">
        <v>21</v>
      </c>
      <c r="H3147" s="209" t="s">
        <v>272</v>
      </c>
      <c r="I3147" s="210"/>
    </row>
    <row r="3148" spans="1:9" x14ac:dyDescent="0.25">
      <c r="A3148" s="74"/>
      <c r="B3148" s="45">
        <v>1527</v>
      </c>
      <c r="C3148" s="64" t="s">
        <v>1884</v>
      </c>
      <c r="D3148" s="74"/>
      <c r="E3148" s="208" t="s">
        <v>173</v>
      </c>
      <c r="F3148" s="209" t="s">
        <v>21</v>
      </c>
      <c r="G3148" s="209" t="s">
        <v>21</v>
      </c>
      <c r="H3148" s="209" t="s">
        <v>272</v>
      </c>
      <c r="I3148" s="210"/>
    </row>
    <row r="3149" spans="1:9" x14ac:dyDescent="0.25">
      <c r="A3149" s="74"/>
      <c r="B3149" s="45">
        <v>1528</v>
      </c>
      <c r="C3149" s="64" t="s">
        <v>1885</v>
      </c>
      <c r="D3149" s="74"/>
      <c r="E3149" s="208" t="s">
        <v>173</v>
      </c>
      <c r="F3149" s="209" t="s">
        <v>21</v>
      </c>
      <c r="G3149" s="209" t="s">
        <v>21</v>
      </c>
      <c r="H3149" s="209" t="s">
        <v>272</v>
      </c>
      <c r="I3149" s="210"/>
    </row>
    <row r="3150" spans="1:9" x14ac:dyDescent="0.25">
      <c r="A3150" s="74"/>
      <c r="B3150" s="45">
        <v>1529</v>
      </c>
      <c r="C3150" s="64" t="s">
        <v>1886</v>
      </c>
      <c r="D3150" s="74"/>
      <c r="E3150" s="208" t="s">
        <v>173</v>
      </c>
      <c r="F3150" s="209" t="s">
        <v>21</v>
      </c>
      <c r="G3150" s="209" t="s">
        <v>21</v>
      </c>
      <c r="H3150" s="209" t="s">
        <v>272</v>
      </c>
      <c r="I3150" s="210"/>
    </row>
    <row r="3151" spans="1:9" x14ac:dyDescent="0.25">
      <c r="A3151" s="74"/>
      <c r="B3151" s="45">
        <v>1530</v>
      </c>
      <c r="C3151" s="64" t="s">
        <v>1887</v>
      </c>
      <c r="D3151" s="74"/>
      <c r="E3151" s="208" t="s">
        <v>173</v>
      </c>
      <c r="F3151" s="209" t="s">
        <v>21</v>
      </c>
      <c r="G3151" s="209" t="s">
        <v>21</v>
      </c>
      <c r="H3151" s="209" t="s">
        <v>272</v>
      </c>
      <c r="I3151" s="210"/>
    </row>
    <row r="3152" spans="1:9" x14ac:dyDescent="0.25">
      <c r="A3152" s="74"/>
      <c r="B3152" s="45">
        <v>1531</v>
      </c>
      <c r="C3152" s="64" t="s">
        <v>1575</v>
      </c>
      <c r="D3152" s="74"/>
      <c r="E3152" s="208" t="s">
        <v>173</v>
      </c>
      <c r="F3152" s="209" t="s">
        <v>21</v>
      </c>
      <c r="G3152" s="209" t="s">
        <v>21</v>
      </c>
      <c r="H3152" s="209" t="s">
        <v>272</v>
      </c>
      <c r="I3152" s="210"/>
    </row>
    <row r="3153" spans="1:9" x14ac:dyDescent="0.25">
      <c r="A3153" s="74"/>
      <c r="B3153" s="45">
        <v>1532</v>
      </c>
      <c r="C3153" s="64" t="s">
        <v>1888</v>
      </c>
      <c r="D3153" s="74"/>
      <c r="E3153" s="208" t="s">
        <v>173</v>
      </c>
      <c r="F3153" s="209" t="s">
        <v>21</v>
      </c>
      <c r="G3153" s="209" t="s">
        <v>21</v>
      </c>
      <c r="H3153" s="209" t="s">
        <v>272</v>
      </c>
      <c r="I3153" s="210"/>
    </row>
    <row r="3154" spans="1:9" x14ac:dyDescent="0.25">
      <c r="A3154" s="74"/>
      <c r="B3154" s="45">
        <v>1533</v>
      </c>
      <c r="C3154" s="64" t="s">
        <v>1889</v>
      </c>
      <c r="D3154" s="74"/>
      <c r="E3154" s="208" t="s">
        <v>173</v>
      </c>
      <c r="F3154" s="209" t="s">
        <v>21</v>
      </c>
      <c r="G3154" s="209" t="s">
        <v>21</v>
      </c>
      <c r="H3154" s="209" t="s">
        <v>272</v>
      </c>
      <c r="I3154" s="210"/>
    </row>
    <row r="3155" spans="1:9" x14ac:dyDescent="0.25">
      <c r="A3155" s="74"/>
      <c r="B3155" s="45">
        <v>1534</v>
      </c>
      <c r="C3155" s="64" t="s">
        <v>1890</v>
      </c>
      <c r="D3155" s="74"/>
      <c r="E3155" s="208" t="s">
        <v>173</v>
      </c>
      <c r="F3155" s="209" t="s">
        <v>21</v>
      </c>
      <c r="G3155" s="209" t="s">
        <v>21</v>
      </c>
      <c r="H3155" s="209" t="s">
        <v>272</v>
      </c>
      <c r="I3155" s="210"/>
    </row>
    <row r="3156" spans="1:9" x14ac:dyDescent="0.25">
      <c r="A3156" s="74"/>
      <c r="B3156" s="45">
        <v>1535</v>
      </c>
      <c r="C3156" s="64" t="s">
        <v>1634</v>
      </c>
      <c r="D3156" s="74"/>
      <c r="E3156" s="208" t="s">
        <v>173</v>
      </c>
      <c r="F3156" s="209" t="s">
        <v>21</v>
      </c>
      <c r="G3156" s="209" t="s">
        <v>21</v>
      </c>
      <c r="H3156" s="209" t="s">
        <v>272</v>
      </c>
      <c r="I3156" s="210"/>
    </row>
    <row r="3157" spans="1:9" x14ac:dyDescent="0.25">
      <c r="A3157" s="74"/>
      <c r="B3157" s="45">
        <v>1536</v>
      </c>
      <c r="C3157" s="64" t="s">
        <v>1891</v>
      </c>
      <c r="D3157" s="74"/>
      <c r="E3157" s="208" t="s">
        <v>173</v>
      </c>
      <c r="F3157" s="209" t="s">
        <v>21</v>
      </c>
      <c r="G3157" s="209" t="s">
        <v>21</v>
      </c>
      <c r="H3157" s="209" t="s">
        <v>272</v>
      </c>
      <c r="I3157" s="210"/>
    </row>
    <row r="3158" spans="1:9" x14ac:dyDescent="0.25">
      <c r="A3158" s="74"/>
      <c r="B3158" s="45">
        <v>1537</v>
      </c>
      <c r="C3158" s="64" t="s">
        <v>1892</v>
      </c>
      <c r="D3158" s="74"/>
      <c r="E3158" s="208" t="s">
        <v>173</v>
      </c>
      <c r="F3158" s="209" t="s">
        <v>21</v>
      </c>
      <c r="G3158" s="209" t="s">
        <v>21</v>
      </c>
      <c r="H3158" s="209" t="s">
        <v>272</v>
      </c>
      <c r="I3158" s="210"/>
    </row>
    <row r="3159" spans="1:9" x14ac:dyDescent="0.25">
      <c r="A3159" s="74"/>
      <c r="B3159" s="45">
        <v>1538</v>
      </c>
      <c r="C3159" s="64" t="s">
        <v>1893</v>
      </c>
      <c r="D3159" s="74"/>
      <c r="E3159" s="208" t="s">
        <v>173</v>
      </c>
      <c r="F3159" s="209" t="s">
        <v>21</v>
      </c>
      <c r="G3159" s="209" t="s">
        <v>21</v>
      </c>
      <c r="H3159" s="209" t="s">
        <v>272</v>
      </c>
      <c r="I3159" s="210"/>
    </row>
    <row r="3160" spans="1:9" x14ac:dyDescent="0.25">
      <c r="A3160" s="74"/>
      <c r="B3160" s="45">
        <v>1527</v>
      </c>
      <c r="C3160" s="64" t="s">
        <v>1884</v>
      </c>
      <c r="D3160" s="74"/>
      <c r="E3160" s="208" t="s">
        <v>173</v>
      </c>
      <c r="F3160" s="209" t="s">
        <v>21</v>
      </c>
      <c r="G3160" s="209" t="s">
        <v>21</v>
      </c>
      <c r="H3160" s="209" t="s">
        <v>272</v>
      </c>
      <c r="I3160" s="210"/>
    </row>
    <row r="3161" spans="1:9" x14ac:dyDescent="0.25">
      <c r="A3161" s="74"/>
      <c r="B3161" s="45">
        <v>1528</v>
      </c>
      <c r="C3161" s="64" t="s">
        <v>1885</v>
      </c>
      <c r="D3161" s="74"/>
      <c r="E3161" s="208" t="s">
        <v>173</v>
      </c>
      <c r="F3161" s="209" t="s">
        <v>21</v>
      </c>
      <c r="G3161" s="209" t="s">
        <v>21</v>
      </c>
      <c r="H3161" s="209" t="s">
        <v>272</v>
      </c>
      <c r="I3161" s="210"/>
    </row>
    <row r="3162" spans="1:9" x14ac:dyDescent="0.25">
      <c r="A3162" s="74"/>
      <c r="B3162" s="45">
        <v>1529</v>
      </c>
      <c r="C3162" s="64" t="s">
        <v>1886</v>
      </c>
      <c r="D3162" s="74"/>
      <c r="E3162" s="208" t="s">
        <v>173</v>
      </c>
      <c r="F3162" s="209" t="s">
        <v>21</v>
      </c>
      <c r="G3162" s="209" t="s">
        <v>21</v>
      </c>
      <c r="H3162" s="209" t="s">
        <v>272</v>
      </c>
      <c r="I3162" s="210"/>
    </row>
    <row r="3163" spans="1:9" x14ac:dyDescent="0.25">
      <c r="A3163" s="74"/>
      <c r="B3163" s="45">
        <v>1530</v>
      </c>
      <c r="C3163" s="64" t="s">
        <v>1887</v>
      </c>
      <c r="D3163" s="74"/>
      <c r="E3163" s="208" t="s">
        <v>173</v>
      </c>
      <c r="F3163" s="209" t="s">
        <v>21</v>
      </c>
      <c r="G3163" s="209" t="s">
        <v>21</v>
      </c>
      <c r="H3163" s="209" t="s">
        <v>272</v>
      </c>
      <c r="I3163" s="210"/>
    </row>
    <row r="3164" spans="1:9" x14ac:dyDescent="0.25">
      <c r="A3164" s="74"/>
      <c r="B3164" s="45">
        <v>1531</v>
      </c>
      <c r="C3164" s="64" t="s">
        <v>1575</v>
      </c>
      <c r="D3164" s="74"/>
      <c r="E3164" s="208" t="s">
        <v>173</v>
      </c>
      <c r="F3164" s="209" t="s">
        <v>21</v>
      </c>
      <c r="G3164" s="209" t="s">
        <v>21</v>
      </c>
      <c r="H3164" s="209" t="s">
        <v>272</v>
      </c>
      <c r="I3164" s="210"/>
    </row>
    <row r="3165" spans="1:9" x14ac:dyDescent="0.25">
      <c r="A3165" s="74"/>
      <c r="B3165" s="45">
        <v>1532</v>
      </c>
      <c r="C3165" s="64" t="s">
        <v>1888</v>
      </c>
      <c r="D3165" s="74"/>
      <c r="E3165" s="208" t="s">
        <v>173</v>
      </c>
      <c r="F3165" s="209" t="s">
        <v>21</v>
      </c>
      <c r="G3165" s="209" t="s">
        <v>21</v>
      </c>
      <c r="H3165" s="209" t="s">
        <v>272</v>
      </c>
      <c r="I3165" s="210"/>
    </row>
    <row r="3166" spans="1:9" x14ac:dyDescent="0.25">
      <c r="A3166" s="74"/>
      <c r="B3166" s="45">
        <v>1533</v>
      </c>
      <c r="C3166" s="64" t="s">
        <v>1889</v>
      </c>
      <c r="D3166" s="74"/>
      <c r="E3166" s="208" t="s">
        <v>173</v>
      </c>
      <c r="F3166" s="209" t="s">
        <v>21</v>
      </c>
      <c r="G3166" s="209" t="s">
        <v>21</v>
      </c>
      <c r="H3166" s="209" t="s">
        <v>272</v>
      </c>
      <c r="I3166" s="210"/>
    </row>
    <row r="3167" spans="1:9" x14ac:dyDescent="0.25">
      <c r="A3167" s="74"/>
      <c r="B3167" s="45">
        <v>1534</v>
      </c>
      <c r="C3167" s="64" t="s">
        <v>1890</v>
      </c>
      <c r="D3167" s="74"/>
      <c r="E3167" s="208" t="s">
        <v>173</v>
      </c>
      <c r="F3167" s="209" t="s">
        <v>21</v>
      </c>
      <c r="G3167" s="209" t="s">
        <v>21</v>
      </c>
      <c r="H3167" s="209" t="s">
        <v>272</v>
      </c>
      <c r="I3167" s="210"/>
    </row>
    <row r="3168" spans="1:9" x14ac:dyDescent="0.25">
      <c r="A3168" s="74"/>
      <c r="B3168" s="45">
        <v>1535</v>
      </c>
      <c r="C3168" s="64" t="s">
        <v>1634</v>
      </c>
      <c r="D3168" s="74"/>
      <c r="E3168" s="208" t="s">
        <v>173</v>
      </c>
      <c r="F3168" s="209" t="s">
        <v>21</v>
      </c>
      <c r="G3168" s="209" t="s">
        <v>21</v>
      </c>
      <c r="H3168" s="209" t="s">
        <v>272</v>
      </c>
      <c r="I3168" s="210"/>
    </row>
    <row r="3169" spans="1:9" x14ac:dyDescent="0.25">
      <c r="A3169" s="74"/>
      <c r="B3169" s="45">
        <v>1536</v>
      </c>
      <c r="C3169" s="64" t="s">
        <v>1891</v>
      </c>
      <c r="D3169" s="74"/>
      <c r="E3169" s="208" t="s">
        <v>173</v>
      </c>
      <c r="F3169" s="209" t="s">
        <v>21</v>
      </c>
      <c r="G3169" s="209" t="s">
        <v>21</v>
      </c>
      <c r="H3169" s="209" t="s">
        <v>272</v>
      </c>
      <c r="I3169" s="210"/>
    </row>
    <row r="3170" spans="1:9" x14ac:dyDescent="0.25">
      <c r="A3170" s="74"/>
      <c r="B3170" s="45">
        <v>1537</v>
      </c>
      <c r="C3170" s="64" t="s">
        <v>1892</v>
      </c>
      <c r="D3170" s="74"/>
      <c r="E3170" s="208" t="s">
        <v>173</v>
      </c>
      <c r="F3170" s="209" t="s">
        <v>21</v>
      </c>
      <c r="G3170" s="209" t="s">
        <v>21</v>
      </c>
      <c r="H3170" s="209" t="s">
        <v>272</v>
      </c>
      <c r="I3170" s="210"/>
    </row>
    <row r="3171" spans="1:9" x14ac:dyDescent="0.25">
      <c r="A3171" s="74"/>
      <c r="B3171" s="45">
        <v>1538</v>
      </c>
      <c r="C3171" s="64" t="s">
        <v>1893</v>
      </c>
      <c r="D3171" s="74"/>
      <c r="E3171" s="208" t="s">
        <v>173</v>
      </c>
      <c r="F3171" s="209" t="s">
        <v>21</v>
      </c>
      <c r="G3171" s="209" t="s">
        <v>21</v>
      </c>
      <c r="H3171" s="209" t="s">
        <v>272</v>
      </c>
      <c r="I3171" s="210"/>
    </row>
    <row r="3172" spans="1:9" x14ac:dyDescent="0.25">
      <c r="A3172" s="74"/>
      <c r="B3172" s="45">
        <v>1527</v>
      </c>
      <c r="C3172" s="64" t="s">
        <v>1884</v>
      </c>
      <c r="D3172" s="74"/>
      <c r="E3172" s="208" t="s">
        <v>173</v>
      </c>
      <c r="F3172" s="209" t="s">
        <v>21</v>
      </c>
      <c r="G3172" s="209" t="s">
        <v>21</v>
      </c>
      <c r="H3172" s="209" t="s">
        <v>272</v>
      </c>
      <c r="I3172" s="210"/>
    </row>
    <row r="3173" spans="1:9" x14ac:dyDescent="0.25">
      <c r="A3173" s="74"/>
      <c r="B3173" s="45">
        <v>1528</v>
      </c>
      <c r="C3173" s="64" t="s">
        <v>1885</v>
      </c>
      <c r="D3173" s="74"/>
      <c r="E3173" s="208" t="s">
        <v>173</v>
      </c>
      <c r="F3173" s="209" t="s">
        <v>21</v>
      </c>
      <c r="G3173" s="209" t="s">
        <v>21</v>
      </c>
      <c r="H3173" s="209" t="s">
        <v>272</v>
      </c>
      <c r="I3173" s="210"/>
    </row>
    <row r="3174" spans="1:9" x14ac:dyDescent="0.25">
      <c r="A3174" s="74"/>
      <c r="B3174" s="45">
        <v>1529</v>
      </c>
      <c r="C3174" s="64" t="s">
        <v>1886</v>
      </c>
      <c r="D3174" s="74"/>
      <c r="E3174" s="208" t="s">
        <v>173</v>
      </c>
      <c r="F3174" s="209" t="s">
        <v>21</v>
      </c>
      <c r="G3174" s="209" t="s">
        <v>21</v>
      </c>
      <c r="H3174" s="209" t="s">
        <v>272</v>
      </c>
      <c r="I3174" s="210"/>
    </row>
    <row r="3175" spans="1:9" x14ac:dyDescent="0.25">
      <c r="A3175" s="74"/>
      <c r="B3175" s="45">
        <v>1530</v>
      </c>
      <c r="C3175" s="64" t="s">
        <v>1887</v>
      </c>
      <c r="D3175" s="74"/>
      <c r="E3175" s="208" t="s">
        <v>173</v>
      </c>
      <c r="F3175" s="209" t="s">
        <v>21</v>
      </c>
      <c r="G3175" s="209" t="s">
        <v>21</v>
      </c>
      <c r="H3175" s="209" t="s">
        <v>272</v>
      </c>
      <c r="I3175" s="210"/>
    </row>
    <row r="3176" spans="1:9" x14ac:dyDescent="0.25">
      <c r="A3176" s="74"/>
      <c r="B3176" s="45">
        <v>1531</v>
      </c>
      <c r="C3176" s="64" t="s">
        <v>1575</v>
      </c>
      <c r="D3176" s="74"/>
      <c r="E3176" s="208" t="s">
        <v>173</v>
      </c>
      <c r="F3176" s="209" t="s">
        <v>21</v>
      </c>
      <c r="G3176" s="209" t="s">
        <v>21</v>
      </c>
      <c r="H3176" s="209" t="s">
        <v>272</v>
      </c>
      <c r="I3176" s="210"/>
    </row>
    <row r="3177" spans="1:9" x14ac:dyDescent="0.25">
      <c r="A3177" s="74"/>
      <c r="B3177" s="45">
        <v>1532</v>
      </c>
      <c r="C3177" s="64" t="s">
        <v>1888</v>
      </c>
      <c r="D3177" s="74"/>
      <c r="E3177" s="208" t="s">
        <v>173</v>
      </c>
      <c r="F3177" s="209" t="s">
        <v>21</v>
      </c>
      <c r="G3177" s="209" t="s">
        <v>21</v>
      </c>
      <c r="H3177" s="209" t="s">
        <v>272</v>
      </c>
      <c r="I3177" s="210"/>
    </row>
    <row r="3178" spans="1:9" x14ac:dyDescent="0.25">
      <c r="A3178" s="74"/>
      <c r="B3178" s="45">
        <v>1533</v>
      </c>
      <c r="C3178" s="64" t="s">
        <v>1889</v>
      </c>
      <c r="D3178" s="74"/>
      <c r="E3178" s="208" t="s">
        <v>173</v>
      </c>
      <c r="F3178" s="209" t="s">
        <v>21</v>
      </c>
      <c r="G3178" s="209" t="s">
        <v>21</v>
      </c>
      <c r="H3178" s="209" t="s">
        <v>272</v>
      </c>
      <c r="I3178" s="210"/>
    </row>
    <row r="3179" spans="1:9" x14ac:dyDescent="0.25">
      <c r="A3179" s="74"/>
      <c r="B3179" s="45">
        <v>1534</v>
      </c>
      <c r="C3179" s="64" t="s">
        <v>1890</v>
      </c>
      <c r="D3179" s="74"/>
      <c r="E3179" s="208" t="s">
        <v>173</v>
      </c>
      <c r="F3179" s="209" t="s">
        <v>21</v>
      </c>
      <c r="G3179" s="209" t="s">
        <v>21</v>
      </c>
      <c r="H3179" s="209" t="s">
        <v>272</v>
      </c>
      <c r="I3179" s="210"/>
    </row>
    <row r="3180" spans="1:9" x14ac:dyDescent="0.25">
      <c r="A3180" s="74"/>
      <c r="B3180" s="45">
        <v>1535</v>
      </c>
      <c r="C3180" s="64" t="s">
        <v>1634</v>
      </c>
      <c r="D3180" s="74"/>
      <c r="E3180" s="208" t="s">
        <v>173</v>
      </c>
      <c r="F3180" s="209" t="s">
        <v>21</v>
      </c>
      <c r="G3180" s="209" t="s">
        <v>21</v>
      </c>
      <c r="H3180" s="209" t="s">
        <v>272</v>
      </c>
      <c r="I3180" s="210"/>
    </row>
    <row r="3181" spans="1:9" x14ac:dyDescent="0.25">
      <c r="A3181" s="74"/>
      <c r="B3181" s="45">
        <v>1536</v>
      </c>
      <c r="C3181" s="64" t="s">
        <v>1891</v>
      </c>
      <c r="D3181" s="74"/>
      <c r="E3181" s="208" t="s">
        <v>173</v>
      </c>
      <c r="F3181" s="209" t="s">
        <v>21</v>
      </c>
      <c r="G3181" s="209" t="s">
        <v>21</v>
      </c>
      <c r="H3181" s="209" t="s">
        <v>272</v>
      </c>
      <c r="I3181" s="210"/>
    </row>
    <row r="3182" spans="1:9" x14ac:dyDescent="0.25">
      <c r="A3182" s="74"/>
      <c r="B3182" s="45">
        <v>1537</v>
      </c>
      <c r="C3182" s="64" t="s">
        <v>1892</v>
      </c>
      <c r="D3182" s="74"/>
      <c r="E3182" s="208" t="s">
        <v>173</v>
      </c>
      <c r="F3182" s="209" t="s">
        <v>21</v>
      </c>
      <c r="G3182" s="209" t="s">
        <v>21</v>
      </c>
      <c r="H3182" s="209" t="s">
        <v>272</v>
      </c>
      <c r="I3182" s="210"/>
    </row>
    <row r="3183" spans="1:9" x14ac:dyDescent="0.25">
      <c r="A3183" s="74"/>
      <c r="B3183" s="45">
        <v>1538</v>
      </c>
      <c r="C3183" s="64" t="s">
        <v>1893</v>
      </c>
      <c r="D3183" s="74"/>
      <c r="E3183" s="208" t="s">
        <v>173</v>
      </c>
      <c r="F3183" s="209" t="s">
        <v>21</v>
      </c>
      <c r="G3183" s="209" t="s">
        <v>21</v>
      </c>
      <c r="H3183" s="209" t="s">
        <v>272</v>
      </c>
      <c r="I3183" s="210"/>
    </row>
    <row r="3184" spans="1:9" x14ac:dyDescent="0.25">
      <c r="A3184" s="74"/>
      <c r="B3184" s="45">
        <v>1527</v>
      </c>
      <c r="C3184" s="64" t="s">
        <v>1884</v>
      </c>
      <c r="D3184" s="74"/>
      <c r="E3184" s="208" t="s">
        <v>173</v>
      </c>
      <c r="F3184" s="209" t="s">
        <v>21</v>
      </c>
      <c r="G3184" s="209" t="s">
        <v>21</v>
      </c>
      <c r="H3184" s="209" t="s">
        <v>272</v>
      </c>
      <c r="I3184" s="210"/>
    </row>
    <row r="3185" spans="1:9" x14ac:dyDescent="0.25">
      <c r="A3185" s="74"/>
      <c r="B3185" s="45">
        <v>1528</v>
      </c>
      <c r="C3185" s="64" t="s">
        <v>1885</v>
      </c>
      <c r="D3185" s="74"/>
      <c r="E3185" s="208" t="s">
        <v>173</v>
      </c>
      <c r="F3185" s="209" t="s">
        <v>21</v>
      </c>
      <c r="G3185" s="209" t="s">
        <v>21</v>
      </c>
      <c r="H3185" s="209" t="s">
        <v>272</v>
      </c>
      <c r="I3185" s="210"/>
    </row>
    <row r="3186" spans="1:9" x14ac:dyDescent="0.25">
      <c r="A3186" s="74"/>
      <c r="B3186" s="45">
        <v>1529</v>
      </c>
      <c r="C3186" s="64" t="s">
        <v>1886</v>
      </c>
      <c r="D3186" s="74"/>
      <c r="E3186" s="208" t="s">
        <v>173</v>
      </c>
      <c r="F3186" s="209" t="s">
        <v>21</v>
      </c>
      <c r="G3186" s="209" t="s">
        <v>21</v>
      </c>
      <c r="H3186" s="209" t="s">
        <v>272</v>
      </c>
      <c r="I3186" s="210"/>
    </row>
    <row r="3187" spans="1:9" x14ac:dyDescent="0.25">
      <c r="A3187" s="74"/>
      <c r="B3187" s="45">
        <v>1530</v>
      </c>
      <c r="C3187" s="64" t="s">
        <v>1887</v>
      </c>
      <c r="D3187" s="74"/>
      <c r="E3187" s="208" t="s">
        <v>173</v>
      </c>
      <c r="F3187" s="209" t="s">
        <v>21</v>
      </c>
      <c r="G3187" s="209" t="s">
        <v>21</v>
      </c>
      <c r="H3187" s="209" t="s">
        <v>272</v>
      </c>
      <c r="I3187" s="210"/>
    </row>
    <row r="3188" spans="1:9" x14ac:dyDescent="0.25">
      <c r="A3188" s="74"/>
      <c r="B3188" s="45">
        <v>1531</v>
      </c>
      <c r="C3188" s="64" t="s">
        <v>1575</v>
      </c>
      <c r="D3188" s="74"/>
      <c r="E3188" s="208" t="s">
        <v>173</v>
      </c>
      <c r="F3188" s="209" t="s">
        <v>21</v>
      </c>
      <c r="G3188" s="209" t="s">
        <v>21</v>
      </c>
      <c r="H3188" s="209" t="s">
        <v>272</v>
      </c>
      <c r="I3188" s="210"/>
    </row>
    <row r="3189" spans="1:9" x14ac:dyDescent="0.25">
      <c r="A3189" s="74"/>
      <c r="B3189" s="45">
        <v>1532</v>
      </c>
      <c r="C3189" s="64" t="s">
        <v>1888</v>
      </c>
      <c r="D3189" s="74"/>
      <c r="E3189" s="208" t="s">
        <v>173</v>
      </c>
      <c r="F3189" s="209" t="s">
        <v>21</v>
      </c>
      <c r="G3189" s="209" t="s">
        <v>21</v>
      </c>
      <c r="H3189" s="209" t="s">
        <v>272</v>
      </c>
      <c r="I3189" s="210"/>
    </row>
    <row r="3190" spans="1:9" x14ac:dyDescent="0.25">
      <c r="A3190" s="74"/>
      <c r="B3190" s="45">
        <v>1533</v>
      </c>
      <c r="C3190" s="64" t="s">
        <v>1889</v>
      </c>
      <c r="D3190" s="74"/>
      <c r="E3190" s="208" t="s">
        <v>173</v>
      </c>
      <c r="F3190" s="209" t="s">
        <v>21</v>
      </c>
      <c r="G3190" s="209" t="s">
        <v>21</v>
      </c>
      <c r="H3190" s="209" t="s">
        <v>272</v>
      </c>
      <c r="I3190" s="210"/>
    </row>
    <row r="3191" spans="1:9" x14ac:dyDescent="0.25">
      <c r="A3191" s="74"/>
      <c r="B3191" s="45">
        <v>1534</v>
      </c>
      <c r="C3191" s="64" t="s">
        <v>1890</v>
      </c>
      <c r="D3191" s="74"/>
      <c r="E3191" s="208" t="s">
        <v>173</v>
      </c>
      <c r="F3191" s="209" t="s">
        <v>21</v>
      </c>
      <c r="G3191" s="209" t="s">
        <v>21</v>
      </c>
      <c r="H3191" s="209" t="s">
        <v>272</v>
      </c>
      <c r="I3191" s="210"/>
    </row>
    <row r="3192" spans="1:9" x14ac:dyDescent="0.25">
      <c r="A3192" s="74"/>
      <c r="B3192" s="45">
        <v>1535</v>
      </c>
      <c r="C3192" s="64" t="s">
        <v>1634</v>
      </c>
      <c r="D3192" s="74"/>
      <c r="E3192" s="208" t="s">
        <v>173</v>
      </c>
      <c r="F3192" s="209" t="s">
        <v>21</v>
      </c>
      <c r="G3192" s="209" t="s">
        <v>21</v>
      </c>
      <c r="H3192" s="209" t="s">
        <v>272</v>
      </c>
      <c r="I3192" s="210"/>
    </row>
    <row r="3193" spans="1:9" x14ac:dyDescent="0.25">
      <c r="A3193" s="74"/>
      <c r="B3193" s="45">
        <v>1536</v>
      </c>
      <c r="C3193" s="64" t="s">
        <v>1891</v>
      </c>
      <c r="D3193" s="74"/>
      <c r="E3193" s="208" t="s">
        <v>173</v>
      </c>
      <c r="F3193" s="209" t="s">
        <v>21</v>
      </c>
      <c r="G3193" s="209" t="s">
        <v>21</v>
      </c>
      <c r="H3193" s="209" t="s">
        <v>272</v>
      </c>
      <c r="I3193" s="210"/>
    </row>
    <row r="3194" spans="1:9" x14ac:dyDescent="0.25">
      <c r="A3194" s="74"/>
      <c r="B3194" s="45">
        <v>1537</v>
      </c>
      <c r="C3194" s="64" t="s">
        <v>1892</v>
      </c>
      <c r="D3194" s="74"/>
      <c r="E3194" s="208" t="s">
        <v>173</v>
      </c>
      <c r="F3194" s="209" t="s">
        <v>21</v>
      </c>
      <c r="G3194" s="209" t="s">
        <v>21</v>
      </c>
      <c r="H3194" s="209" t="s">
        <v>272</v>
      </c>
      <c r="I3194" s="210"/>
    </row>
    <row r="3195" spans="1:9" x14ac:dyDescent="0.25">
      <c r="A3195" s="74"/>
      <c r="B3195" s="45">
        <v>1538</v>
      </c>
      <c r="C3195" s="64" t="s">
        <v>1893</v>
      </c>
      <c r="D3195" s="74"/>
      <c r="E3195" s="208" t="s">
        <v>173</v>
      </c>
      <c r="F3195" s="209" t="s">
        <v>21</v>
      </c>
      <c r="G3195" s="209" t="s">
        <v>21</v>
      </c>
      <c r="H3195" s="209" t="s">
        <v>272</v>
      </c>
      <c r="I3195" s="210"/>
    </row>
    <row r="3196" spans="1:9" x14ac:dyDescent="0.25">
      <c r="A3196" s="74"/>
      <c r="B3196" s="45">
        <v>1527</v>
      </c>
      <c r="C3196" s="64" t="s">
        <v>1884</v>
      </c>
      <c r="D3196" s="74"/>
      <c r="E3196" s="208" t="s">
        <v>173</v>
      </c>
      <c r="F3196" s="209" t="s">
        <v>21</v>
      </c>
      <c r="G3196" s="209" t="s">
        <v>21</v>
      </c>
      <c r="H3196" s="209" t="s">
        <v>272</v>
      </c>
      <c r="I3196" s="210"/>
    </row>
    <row r="3197" spans="1:9" x14ac:dyDescent="0.25">
      <c r="A3197" s="74"/>
      <c r="B3197" s="45">
        <v>1528</v>
      </c>
      <c r="C3197" s="64" t="s">
        <v>1885</v>
      </c>
      <c r="D3197" s="74"/>
      <c r="E3197" s="208" t="s">
        <v>173</v>
      </c>
      <c r="F3197" s="209" t="s">
        <v>21</v>
      </c>
      <c r="G3197" s="209" t="s">
        <v>21</v>
      </c>
      <c r="H3197" s="209" t="s">
        <v>272</v>
      </c>
      <c r="I3197" s="210"/>
    </row>
    <row r="3198" spans="1:9" x14ac:dyDescent="0.25">
      <c r="A3198" s="74"/>
      <c r="B3198" s="45">
        <v>1529</v>
      </c>
      <c r="C3198" s="64" t="s">
        <v>1886</v>
      </c>
      <c r="D3198" s="74"/>
      <c r="E3198" s="208" t="s">
        <v>173</v>
      </c>
      <c r="F3198" s="209" t="s">
        <v>21</v>
      </c>
      <c r="G3198" s="209" t="s">
        <v>21</v>
      </c>
      <c r="H3198" s="209" t="s">
        <v>272</v>
      </c>
      <c r="I3198" s="210"/>
    </row>
    <row r="3199" spans="1:9" x14ac:dyDescent="0.25">
      <c r="A3199" s="74"/>
      <c r="B3199" s="45">
        <v>1530</v>
      </c>
      <c r="C3199" s="64" t="s">
        <v>1887</v>
      </c>
      <c r="D3199" s="74"/>
      <c r="E3199" s="208" t="s">
        <v>173</v>
      </c>
      <c r="F3199" s="209" t="s">
        <v>21</v>
      </c>
      <c r="G3199" s="209" t="s">
        <v>21</v>
      </c>
      <c r="H3199" s="209" t="s">
        <v>272</v>
      </c>
      <c r="I3199" s="210"/>
    </row>
    <row r="3200" spans="1:9" x14ac:dyDescent="0.25">
      <c r="A3200" s="74"/>
      <c r="B3200" s="45">
        <v>1531</v>
      </c>
      <c r="C3200" s="64" t="s">
        <v>1575</v>
      </c>
      <c r="D3200" s="74"/>
      <c r="E3200" s="208" t="s">
        <v>173</v>
      </c>
      <c r="F3200" s="209" t="s">
        <v>21</v>
      </c>
      <c r="G3200" s="209" t="s">
        <v>21</v>
      </c>
      <c r="H3200" s="209" t="s">
        <v>272</v>
      </c>
      <c r="I3200" s="210"/>
    </row>
    <row r="3201" spans="1:9" x14ac:dyDescent="0.25">
      <c r="A3201" s="74"/>
      <c r="B3201" s="45">
        <v>1532</v>
      </c>
      <c r="C3201" s="64" t="s">
        <v>1888</v>
      </c>
      <c r="D3201" s="74"/>
      <c r="E3201" s="208" t="s">
        <v>173</v>
      </c>
      <c r="F3201" s="209" t="s">
        <v>21</v>
      </c>
      <c r="G3201" s="209" t="s">
        <v>21</v>
      </c>
      <c r="H3201" s="209" t="s">
        <v>272</v>
      </c>
      <c r="I3201" s="210"/>
    </row>
    <row r="3202" spans="1:9" x14ac:dyDescent="0.25">
      <c r="A3202" s="74"/>
      <c r="B3202" s="45">
        <v>1533</v>
      </c>
      <c r="C3202" s="64" t="s">
        <v>1889</v>
      </c>
      <c r="D3202" s="74"/>
      <c r="E3202" s="208" t="s">
        <v>173</v>
      </c>
      <c r="F3202" s="209" t="s">
        <v>21</v>
      </c>
      <c r="G3202" s="209" t="s">
        <v>21</v>
      </c>
      <c r="H3202" s="209" t="s">
        <v>272</v>
      </c>
      <c r="I3202" s="210"/>
    </row>
    <row r="3203" spans="1:9" x14ac:dyDescent="0.25">
      <c r="A3203" s="74"/>
      <c r="B3203" s="45">
        <v>1534</v>
      </c>
      <c r="C3203" s="64" t="s">
        <v>1890</v>
      </c>
      <c r="D3203" s="74"/>
      <c r="E3203" s="208" t="s">
        <v>173</v>
      </c>
      <c r="F3203" s="209" t="s">
        <v>21</v>
      </c>
      <c r="G3203" s="209" t="s">
        <v>21</v>
      </c>
      <c r="H3203" s="209" t="s">
        <v>272</v>
      </c>
      <c r="I3203" s="210"/>
    </row>
    <row r="3204" spans="1:9" x14ac:dyDescent="0.25">
      <c r="A3204" s="74"/>
      <c r="B3204" s="45">
        <v>1535</v>
      </c>
      <c r="C3204" s="64" t="s">
        <v>1634</v>
      </c>
      <c r="D3204" s="74"/>
      <c r="E3204" s="208" t="s">
        <v>173</v>
      </c>
      <c r="F3204" s="209" t="s">
        <v>21</v>
      </c>
      <c r="G3204" s="209" t="s">
        <v>21</v>
      </c>
      <c r="H3204" s="209" t="s">
        <v>272</v>
      </c>
      <c r="I3204" s="210"/>
    </row>
    <row r="3205" spans="1:9" x14ac:dyDescent="0.25">
      <c r="A3205" s="74"/>
      <c r="B3205" s="45">
        <v>1536</v>
      </c>
      <c r="C3205" s="64" t="s">
        <v>1891</v>
      </c>
      <c r="D3205" s="74"/>
      <c r="E3205" s="208" t="s">
        <v>173</v>
      </c>
      <c r="F3205" s="209" t="s">
        <v>21</v>
      </c>
      <c r="G3205" s="209" t="s">
        <v>21</v>
      </c>
      <c r="H3205" s="209" t="s">
        <v>272</v>
      </c>
      <c r="I3205" s="210"/>
    </row>
    <row r="3206" spans="1:9" x14ac:dyDescent="0.25">
      <c r="A3206" s="74"/>
      <c r="B3206" s="45">
        <v>1537</v>
      </c>
      <c r="C3206" s="64" t="s">
        <v>1892</v>
      </c>
      <c r="D3206" s="74"/>
      <c r="E3206" s="208" t="s">
        <v>173</v>
      </c>
      <c r="F3206" s="209" t="s">
        <v>21</v>
      </c>
      <c r="G3206" s="209" t="s">
        <v>21</v>
      </c>
      <c r="H3206" s="209" t="s">
        <v>272</v>
      </c>
      <c r="I3206" s="210"/>
    </row>
    <row r="3207" spans="1:9" x14ac:dyDescent="0.25">
      <c r="A3207" s="74"/>
      <c r="B3207" s="45">
        <v>1538</v>
      </c>
      <c r="C3207" s="64" t="s">
        <v>1893</v>
      </c>
      <c r="D3207" s="74"/>
      <c r="E3207" s="208" t="s">
        <v>173</v>
      </c>
      <c r="F3207" s="209" t="s">
        <v>21</v>
      </c>
      <c r="G3207" s="209" t="s">
        <v>21</v>
      </c>
      <c r="H3207" s="209" t="s">
        <v>272</v>
      </c>
      <c r="I3207" s="210"/>
    </row>
    <row r="3208" spans="1:9" x14ac:dyDescent="0.25">
      <c r="A3208" s="74"/>
      <c r="B3208" s="45">
        <v>1539</v>
      </c>
      <c r="C3208" s="64" t="s">
        <v>1894</v>
      </c>
      <c r="D3208" s="74"/>
      <c r="E3208" s="208" t="s">
        <v>173</v>
      </c>
      <c r="F3208" s="209" t="s">
        <v>21</v>
      </c>
      <c r="G3208" s="209" t="s">
        <v>21</v>
      </c>
      <c r="H3208" s="209" t="s">
        <v>272</v>
      </c>
      <c r="I3208" s="210"/>
    </row>
    <row r="3209" spans="1:9" x14ac:dyDescent="0.25">
      <c r="A3209" s="74"/>
      <c r="B3209" s="45">
        <v>1540</v>
      </c>
      <c r="C3209" s="64" t="s">
        <v>1895</v>
      </c>
      <c r="D3209" s="74"/>
      <c r="E3209" s="208" t="s">
        <v>173</v>
      </c>
      <c r="F3209" s="209" t="s">
        <v>21</v>
      </c>
      <c r="G3209" s="209" t="s">
        <v>21</v>
      </c>
      <c r="H3209" s="209" t="s">
        <v>272</v>
      </c>
      <c r="I3209" s="210"/>
    </row>
    <row r="3210" spans="1:9" x14ac:dyDescent="0.25">
      <c r="A3210" s="74"/>
      <c r="B3210" s="45">
        <v>1541</v>
      </c>
      <c r="C3210" s="64" t="s">
        <v>1896</v>
      </c>
      <c r="D3210" s="74"/>
      <c r="E3210" s="208" t="s">
        <v>173</v>
      </c>
      <c r="F3210" s="209" t="s">
        <v>21</v>
      </c>
      <c r="G3210" s="209" t="s">
        <v>21</v>
      </c>
      <c r="H3210" s="209" t="s">
        <v>272</v>
      </c>
      <c r="I3210" s="210"/>
    </row>
    <row r="3211" spans="1:9" x14ac:dyDescent="0.25">
      <c r="A3211" s="74"/>
      <c r="B3211" s="45">
        <v>1527</v>
      </c>
      <c r="C3211" s="64" t="s">
        <v>1884</v>
      </c>
      <c r="D3211" s="74"/>
      <c r="E3211" s="208" t="s">
        <v>173</v>
      </c>
      <c r="F3211" s="209" t="s">
        <v>21</v>
      </c>
      <c r="G3211" s="209" t="s">
        <v>21</v>
      </c>
      <c r="H3211" s="209" t="s">
        <v>272</v>
      </c>
      <c r="I3211" s="210"/>
    </row>
    <row r="3212" spans="1:9" x14ac:dyDescent="0.25">
      <c r="A3212" s="74"/>
      <c r="B3212" s="45">
        <v>1528</v>
      </c>
      <c r="C3212" s="64" t="s">
        <v>1885</v>
      </c>
      <c r="D3212" s="74"/>
      <c r="E3212" s="208" t="s">
        <v>173</v>
      </c>
      <c r="F3212" s="209" t="s">
        <v>21</v>
      </c>
      <c r="G3212" s="209" t="s">
        <v>21</v>
      </c>
      <c r="H3212" s="209" t="s">
        <v>272</v>
      </c>
      <c r="I3212" s="210"/>
    </row>
    <row r="3213" spans="1:9" x14ac:dyDescent="0.25">
      <c r="A3213" s="74"/>
      <c r="B3213" s="45">
        <v>1529</v>
      </c>
      <c r="C3213" s="64" t="s">
        <v>1886</v>
      </c>
      <c r="D3213" s="74"/>
      <c r="E3213" s="208" t="s">
        <v>173</v>
      </c>
      <c r="F3213" s="209" t="s">
        <v>21</v>
      </c>
      <c r="G3213" s="209" t="s">
        <v>21</v>
      </c>
      <c r="H3213" s="209" t="s">
        <v>272</v>
      </c>
      <c r="I3213" s="210"/>
    </row>
    <row r="3214" spans="1:9" x14ac:dyDescent="0.25">
      <c r="A3214" s="74"/>
      <c r="B3214" s="45">
        <v>1530</v>
      </c>
      <c r="C3214" s="64" t="s">
        <v>1887</v>
      </c>
      <c r="D3214" s="74"/>
      <c r="E3214" s="208" t="s">
        <v>173</v>
      </c>
      <c r="F3214" s="209" t="s">
        <v>21</v>
      </c>
      <c r="G3214" s="209" t="s">
        <v>21</v>
      </c>
      <c r="H3214" s="209" t="s">
        <v>272</v>
      </c>
      <c r="I3214" s="210"/>
    </row>
    <row r="3215" spans="1:9" x14ac:dyDescent="0.25">
      <c r="A3215" s="74"/>
      <c r="B3215" s="45">
        <v>1531</v>
      </c>
      <c r="C3215" s="64" t="s">
        <v>1575</v>
      </c>
      <c r="D3215" s="74"/>
      <c r="E3215" s="208" t="s">
        <v>173</v>
      </c>
      <c r="F3215" s="209" t="s">
        <v>21</v>
      </c>
      <c r="G3215" s="209" t="s">
        <v>21</v>
      </c>
      <c r="H3215" s="209" t="s">
        <v>272</v>
      </c>
      <c r="I3215" s="210"/>
    </row>
    <row r="3216" spans="1:9" x14ac:dyDescent="0.25">
      <c r="A3216" s="74"/>
      <c r="B3216" s="45">
        <v>1532</v>
      </c>
      <c r="C3216" s="64" t="s">
        <v>1888</v>
      </c>
      <c r="D3216" s="74"/>
      <c r="E3216" s="208" t="s">
        <v>173</v>
      </c>
      <c r="F3216" s="209" t="s">
        <v>21</v>
      </c>
      <c r="G3216" s="209" t="s">
        <v>21</v>
      </c>
      <c r="H3216" s="209" t="s">
        <v>272</v>
      </c>
      <c r="I3216" s="210"/>
    </row>
    <row r="3217" spans="1:9" x14ac:dyDescent="0.25">
      <c r="A3217" s="74"/>
      <c r="B3217" s="45">
        <v>1533</v>
      </c>
      <c r="C3217" s="64" t="s">
        <v>1889</v>
      </c>
      <c r="D3217" s="74"/>
      <c r="E3217" s="208" t="s">
        <v>173</v>
      </c>
      <c r="F3217" s="209" t="s">
        <v>21</v>
      </c>
      <c r="G3217" s="209" t="s">
        <v>21</v>
      </c>
      <c r="H3217" s="209" t="s">
        <v>272</v>
      </c>
      <c r="I3217" s="210"/>
    </row>
    <row r="3218" spans="1:9" x14ac:dyDescent="0.25">
      <c r="A3218" s="74"/>
      <c r="B3218" s="45">
        <v>1534</v>
      </c>
      <c r="C3218" s="64" t="s">
        <v>1890</v>
      </c>
      <c r="D3218" s="74"/>
      <c r="E3218" s="208" t="s">
        <v>173</v>
      </c>
      <c r="F3218" s="209" t="s">
        <v>21</v>
      </c>
      <c r="G3218" s="209" t="s">
        <v>21</v>
      </c>
      <c r="H3218" s="209" t="s">
        <v>272</v>
      </c>
      <c r="I3218" s="210"/>
    </row>
    <row r="3219" spans="1:9" x14ac:dyDescent="0.25">
      <c r="A3219" s="74"/>
      <c r="B3219" s="45">
        <v>1535</v>
      </c>
      <c r="C3219" s="64" t="s">
        <v>1634</v>
      </c>
      <c r="D3219" s="74"/>
      <c r="E3219" s="208" t="s">
        <v>173</v>
      </c>
      <c r="F3219" s="209" t="s">
        <v>21</v>
      </c>
      <c r="G3219" s="209" t="s">
        <v>21</v>
      </c>
      <c r="H3219" s="209" t="s">
        <v>272</v>
      </c>
      <c r="I3219" s="210"/>
    </row>
    <row r="3220" spans="1:9" x14ac:dyDescent="0.25">
      <c r="A3220" s="74"/>
      <c r="B3220" s="45">
        <v>1536</v>
      </c>
      <c r="C3220" s="64" t="s">
        <v>1891</v>
      </c>
      <c r="D3220" s="74"/>
      <c r="E3220" s="208" t="s">
        <v>173</v>
      </c>
      <c r="F3220" s="209" t="s">
        <v>21</v>
      </c>
      <c r="G3220" s="209" t="s">
        <v>21</v>
      </c>
      <c r="H3220" s="209" t="s">
        <v>272</v>
      </c>
      <c r="I3220" s="210"/>
    </row>
    <row r="3221" spans="1:9" x14ac:dyDescent="0.25">
      <c r="A3221" s="74"/>
      <c r="B3221" s="45">
        <v>1537</v>
      </c>
      <c r="C3221" s="64" t="s">
        <v>1892</v>
      </c>
      <c r="D3221" s="74"/>
      <c r="E3221" s="208" t="s">
        <v>173</v>
      </c>
      <c r="F3221" s="209" t="s">
        <v>21</v>
      </c>
      <c r="G3221" s="209" t="s">
        <v>21</v>
      </c>
      <c r="H3221" s="209" t="s">
        <v>272</v>
      </c>
      <c r="I3221" s="210"/>
    </row>
    <row r="3222" spans="1:9" x14ac:dyDescent="0.25">
      <c r="A3222" s="74"/>
      <c r="B3222" s="45">
        <v>1538</v>
      </c>
      <c r="C3222" s="64" t="s">
        <v>1893</v>
      </c>
      <c r="D3222" s="74"/>
      <c r="E3222" s="208" t="s">
        <v>173</v>
      </c>
      <c r="F3222" s="209" t="s">
        <v>21</v>
      </c>
      <c r="G3222" s="209" t="s">
        <v>21</v>
      </c>
      <c r="H3222" s="209" t="s">
        <v>272</v>
      </c>
      <c r="I3222" s="210"/>
    </row>
    <row r="3223" spans="1:9" x14ac:dyDescent="0.25">
      <c r="A3223" s="74"/>
      <c r="B3223" s="45">
        <v>1527</v>
      </c>
      <c r="C3223" s="64" t="s">
        <v>1884</v>
      </c>
      <c r="D3223" s="74"/>
      <c r="E3223" s="208" t="s">
        <v>173</v>
      </c>
      <c r="F3223" s="209" t="s">
        <v>21</v>
      </c>
      <c r="G3223" s="209" t="s">
        <v>21</v>
      </c>
      <c r="H3223" s="209" t="s">
        <v>272</v>
      </c>
      <c r="I3223" s="210"/>
    </row>
    <row r="3224" spans="1:9" x14ac:dyDescent="0.25">
      <c r="A3224" s="74"/>
      <c r="B3224" s="45">
        <v>1528</v>
      </c>
      <c r="C3224" s="64" t="s">
        <v>1885</v>
      </c>
      <c r="D3224" s="74"/>
      <c r="E3224" s="208" t="s">
        <v>173</v>
      </c>
      <c r="F3224" s="209" t="s">
        <v>21</v>
      </c>
      <c r="G3224" s="209" t="s">
        <v>21</v>
      </c>
      <c r="H3224" s="209" t="s">
        <v>272</v>
      </c>
      <c r="I3224" s="210"/>
    </row>
    <row r="3225" spans="1:9" x14ac:dyDescent="0.25">
      <c r="A3225" s="74"/>
      <c r="B3225" s="45">
        <v>1529</v>
      </c>
      <c r="C3225" s="64" t="s">
        <v>1886</v>
      </c>
      <c r="D3225" s="74"/>
      <c r="E3225" s="208" t="s">
        <v>173</v>
      </c>
      <c r="F3225" s="209" t="s">
        <v>21</v>
      </c>
      <c r="G3225" s="209" t="s">
        <v>21</v>
      </c>
      <c r="H3225" s="209" t="s">
        <v>272</v>
      </c>
      <c r="I3225" s="210"/>
    </row>
    <row r="3226" spans="1:9" x14ac:dyDescent="0.25">
      <c r="A3226" s="74"/>
      <c r="B3226" s="45">
        <v>1530</v>
      </c>
      <c r="C3226" s="64" t="s">
        <v>1887</v>
      </c>
      <c r="D3226" s="74"/>
      <c r="E3226" s="208" t="s">
        <v>173</v>
      </c>
      <c r="F3226" s="209" t="s">
        <v>21</v>
      </c>
      <c r="G3226" s="209" t="s">
        <v>21</v>
      </c>
      <c r="H3226" s="209" t="s">
        <v>272</v>
      </c>
      <c r="I3226" s="210"/>
    </row>
    <row r="3227" spans="1:9" x14ac:dyDescent="0.25">
      <c r="A3227" s="74"/>
      <c r="B3227" s="45">
        <v>1531</v>
      </c>
      <c r="C3227" s="64" t="s">
        <v>1575</v>
      </c>
      <c r="D3227" s="74"/>
      <c r="E3227" s="208" t="s">
        <v>173</v>
      </c>
      <c r="F3227" s="209" t="s">
        <v>21</v>
      </c>
      <c r="G3227" s="209" t="s">
        <v>21</v>
      </c>
      <c r="H3227" s="209" t="s">
        <v>272</v>
      </c>
      <c r="I3227" s="210"/>
    </row>
    <row r="3228" spans="1:9" x14ac:dyDescent="0.25">
      <c r="A3228" s="74"/>
      <c r="B3228" s="45">
        <v>1532</v>
      </c>
      <c r="C3228" s="64" t="s">
        <v>1888</v>
      </c>
      <c r="D3228" s="74"/>
      <c r="E3228" s="208" t="s">
        <v>173</v>
      </c>
      <c r="F3228" s="209" t="s">
        <v>21</v>
      </c>
      <c r="G3228" s="209" t="s">
        <v>21</v>
      </c>
      <c r="H3228" s="209" t="s">
        <v>272</v>
      </c>
      <c r="I3228" s="210"/>
    </row>
    <row r="3229" spans="1:9" x14ac:dyDescent="0.25">
      <c r="A3229" s="74"/>
      <c r="B3229" s="45">
        <v>1533</v>
      </c>
      <c r="C3229" s="64" t="s">
        <v>1889</v>
      </c>
      <c r="D3229" s="74"/>
      <c r="E3229" s="208" t="s">
        <v>173</v>
      </c>
      <c r="F3229" s="209" t="s">
        <v>21</v>
      </c>
      <c r="G3229" s="209" t="s">
        <v>21</v>
      </c>
      <c r="H3229" s="209" t="s">
        <v>272</v>
      </c>
      <c r="I3229" s="210"/>
    </row>
    <row r="3230" spans="1:9" x14ac:dyDescent="0.25">
      <c r="A3230" s="74"/>
      <c r="B3230" s="45">
        <v>1534</v>
      </c>
      <c r="C3230" s="64" t="s">
        <v>1890</v>
      </c>
      <c r="D3230" s="74"/>
      <c r="E3230" s="208" t="s">
        <v>173</v>
      </c>
      <c r="F3230" s="209" t="s">
        <v>21</v>
      </c>
      <c r="G3230" s="209" t="s">
        <v>21</v>
      </c>
      <c r="H3230" s="209" t="s">
        <v>272</v>
      </c>
      <c r="I3230" s="210"/>
    </row>
    <row r="3231" spans="1:9" x14ac:dyDescent="0.25">
      <c r="A3231" s="74"/>
      <c r="B3231" s="45">
        <v>1535</v>
      </c>
      <c r="C3231" s="64" t="s">
        <v>1634</v>
      </c>
      <c r="D3231" s="74"/>
      <c r="E3231" s="208" t="s">
        <v>173</v>
      </c>
      <c r="F3231" s="209" t="s">
        <v>21</v>
      </c>
      <c r="G3231" s="209" t="s">
        <v>21</v>
      </c>
      <c r="H3231" s="209" t="s">
        <v>272</v>
      </c>
      <c r="I3231" s="210"/>
    </row>
    <row r="3232" spans="1:9" x14ac:dyDescent="0.25">
      <c r="A3232" s="74"/>
      <c r="B3232" s="45">
        <v>1536</v>
      </c>
      <c r="C3232" s="64" t="s">
        <v>1891</v>
      </c>
      <c r="D3232" s="74"/>
      <c r="E3232" s="208" t="s">
        <v>173</v>
      </c>
      <c r="F3232" s="209" t="s">
        <v>21</v>
      </c>
      <c r="G3232" s="209" t="s">
        <v>21</v>
      </c>
      <c r="H3232" s="209" t="s">
        <v>272</v>
      </c>
      <c r="I3232" s="210"/>
    </row>
    <row r="3233" spans="1:9" x14ac:dyDescent="0.25">
      <c r="A3233" s="74"/>
      <c r="B3233" s="45">
        <v>1537</v>
      </c>
      <c r="C3233" s="64" t="s">
        <v>1892</v>
      </c>
      <c r="D3233" s="74"/>
      <c r="E3233" s="208" t="s">
        <v>173</v>
      </c>
      <c r="F3233" s="209" t="s">
        <v>21</v>
      </c>
      <c r="G3233" s="209" t="s">
        <v>21</v>
      </c>
      <c r="H3233" s="209" t="s">
        <v>272</v>
      </c>
      <c r="I3233" s="210"/>
    </row>
    <row r="3234" spans="1:9" x14ac:dyDescent="0.25">
      <c r="A3234" s="74"/>
      <c r="B3234" s="45">
        <v>1538</v>
      </c>
      <c r="C3234" s="64" t="s">
        <v>1893</v>
      </c>
      <c r="D3234" s="74"/>
      <c r="E3234" s="208" t="s">
        <v>173</v>
      </c>
      <c r="F3234" s="209" t="s">
        <v>21</v>
      </c>
      <c r="G3234" s="209" t="s">
        <v>21</v>
      </c>
      <c r="H3234" s="209" t="s">
        <v>272</v>
      </c>
      <c r="I3234" s="210"/>
    </row>
    <row r="3235" spans="1:9" x14ac:dyDescent="0.25">
      <c r="A3235" s="74"/>
      <c r="B3235" s="45">
        <v>1527</v>
      </c>
      <c r="C3235" s="64" t="s">
        <v>1884</v>
      </c>
      <c r="D3235" s="74"/>
      <c r="E3235" s="208" t="s">
        <v>173</v>
      </c>
      <c r="F3235" s="209" t="s">
        <v>21</v>
      </c>
      <c r="G3235" s="209" t="s">
        <v>21</v>
      </c>
      <c r="H3235" s="209" t="s">
        <v>272</v>
      </c>
      <c r="I3235" s="210"/>
    </row>
    <row r="3236" spans="1:9" x14ac:dyDescent="0.25">
      <c r="A3236" s="74"/>
      <c r="B3236" s="45">
        <v>1528</v>
      </c>
      <c r="C3236" s="64" t="s">
        <v>1885</v>
      </c>
      <c r="D3236" s="74"/>
      <c r="E3236" s="208" t="s">
        <v>173</v>
      </c>
      <c r="F3236" s="209" t="s">
        <v>21</v>
      </c>
      <c r="G3236" s="209" t="s">
        <v>21</v>
      </c>
      <c r="H3236" s="209" t="s">
        <v>272</v>
      </c>
      <c r="I3236" s="210"/>
    </row>
    <row r="3237" spans="1:9" x14ac:dyDescent="0.25">
      <c r="A3237" s="74"/>
      <c r="B3237" s="45">
        <v>1529</v>
      </c>
      <c r="C3237" s="64" t="s">
        <v>1886</v>
      </c>
      <c r="D3237" s="74"/>
      <c r="E3237" s="208" t="s">
        <v>173</v>
      </c>
      <c r="F3237" s="209" t="s">
        <v>21</v>
      </c>
      <c r="G3237" s="209" t="s">
        <v>21</v>
      </c>
      <c r="H3237" s="209" t="s">
        <v>272</v>
      </c>
      <c r="I3237" s="210"/>
    </row>
    <row r="3238" spans="1:9" x14ac:dyDescent="0.25">
      <c r="A3238" s="74"/>
      <c r="B3238" s="45">
        <v>1530</v>
      </c>
      <c r="C3238" s="64" t="s">
        <v>1887</v>
      </c>
      <c r="D3238" s="74"/>
      <c r="E3238" s="208" t="s">
        <v>173</v>
      </c>
      <c r="F3238" s="209" t="s">
        <v>21</v>
      </c>
      <c r="G3238" s="209" t="s">
        <v>21</v>
      </c>
      <c r="H3238" s="209" t="s">
        <v>272</v>
      </c>
      <c r="I3238" s="210"/>
    </row>
    <row r="3239" spans="1:9" x14ac:dyDescent="0.25">
      <c r="A3239" s="74"/>
      <c r="B3239" s="45">
        <v>1531</v>
      </c>
      <c r="C3239" s="64" t="s">
        <v>1575</v>
      </c>
      <c r="D3239" s="74"/>
      <c r="E3239" s="208" t="s">
        <v>173</v>
      </c>
      <c r="F3239" s="209" t="s">
        <v>21</v>
      </c>
      <c r="G3239" s="209" t="s">
        <v>21</v>
      </c>
      <c r="H3239" s="209" t="s">
        <v>272</v>
      </c>
      <c r="I3239" s="210"/>
    </row>
    <row r="3240" spans="1:9" x14ac:dyDescent="0.25">
      <c r="A3240" s="74"/>
      <c r="B3240" s="45">
        <v>1532</v>
      </c>
      <c r="C3240" s="64" t="s">
        <v>1888</v>
      </c>
      <c r="D3240" s="74"/>
      <c r="E3240" s="208" t="s">
        <v>173</v>
      </c>
      <c r="F3240" s="209" t="s">
        <v>21</v>
      </c>
      <c r="G3240" s="209" t="s">
        <v>21</v>
      </c>
      <c r="H3240" s="209" t="s">
        <v>272</v>
      </c>
      <c r="I3240" s="210"/>
    </row>
    <row r="3241" spans="1:9" x14ac:dyDescent="0.25">
      <c r="A3241" s="74"/>
      <c r="B3241" s="45">
        <v>1533</v>
      </c>
      <c r="C3241" s="64" t="s">
        <v>1889</v>
      </c>
      <c r="D3241" s="74"/>
      <c r="E3241" s="208" t="s">
        <v>173</v>
      </c>
      <c r="F3241" s="209" t="s">
        <v>21</v>
      </c>
      <c r="G3241" s="209" t="s">
        <v>21</v>
      </c>
      <c r="H3241" s="209" t="s">
        <v>272</v>
      </c>
      <c r="I3241" s="210"/>
    </row>
    <row r="3242" spans="1:9" x14ac:dyDescent="0.25">
      <c r="A3242" s="74"/>
      <c r="B3242" s="45">
        <v>1534</v>
      </c>
      <c r="C3242" s="64" t="s">
        <v>1890</v>
      </c>
      <c r="D3242" s="74"/>
      <c r="E3242" s="208" t="s">
        <v>173</v>
      </c>
      <c r="F3242" s="209" t="s">
        <v>21</v>
      </c>
      <c r="G3242" s="209" t="s">
        <v>21</v>
      </c>
      <c r="H3242" s="209" t="s">
        <v>272</v>
      </c>
      <c r="I3242" s="210"/>
    </row>
    <row r="3243" spans="1:9" x14ac:dyDescent="0.25">
      <c r="A3243" s="74"/>
      <c r="B3243" s="45">
        <v>1535</v>
      </c>
      <c r="C3243" s="64" t="s">
        <v>1634</v>
      </c>
      <c r="D3243" s="74"/>
      <c r="E3243" s="208" t="s">
        <v>173</v>
      </c>
      <c r="F3243" s="209" t="s">
        <v>21</v>
      </c>
      <c r="G3243" s="209" t="s">
        <v>21</v>
      </c>
      <c r="H3243" s="209" t="s">
        <v>272</v>
      </c>
      <c r="I3243" s="210"/>
    </row>
    <row r="3244" spans="1:9" x14ac:dyDescent="0.25">
      <c r="A3244" s="74"/>
      <c r="B3244" s="45">
        <v>1536</v>
      </c>
      <c r="C3244" s="64" t="s">
        <v>1891</v>
      </c>
      <c r="D3244" s="74"/>
      <c r="E3244" s="208" t="s">
        <v>173</v>
      </c>
      <c r="F3244" s="209" t="s">
        <v>21</v>
      </c>
      <c r="G3244" s="209" t="s">
        <v>21</v>
      </c>
      <c r="H3244" s="209" t="s">
        <v>272</v>
      </c>
      <c r="I3244" s="210"/>
    </row>
    <row r="3245" spans="1:9" x14ac:dyDescent="0.25">
      <c r="A3245" s="74"/>
      <c r="B3245" s="45">
        <v>1537</v>
      </c>
      <c r="C3245" s="64" t="s">
        <v>1892</v>
      </c>
      <c r="D3245" s="74"/>
      <c r="E3245" s="208" t="s">
        <v>173</v>
      </c>
      <c r="F3245" s="209" t="s">
        <v>21</v>
      </c>
      <c r="G3245" s="209" t="s">
        <v>21</v>
      </c>
      <c r="H3245" s="209" t="s">
        <v>272</v>
      </c>
      <c r="I3245" s="210"/>
    </row>
    <row r="3246" spans="1:9" x14ac:dyDescent="0.25">
      <c r="A3246" s="74"/>
      <c r="B3246" s="45">
        <v>1538</v>
      </c>
      <c r="C3246" s="64" t="s">
        <v>1893</v>
      </c>
      <c r="D3246" s="74"/>
      <c r="E3246" s="208" t="s">
        <v>173</v>
      </c>
      <c r="F3246" s="209" t="s">
        <v>21</v>
      </c>
      <c r="G3246" s="209" t="s">
        <v>21</v>
      </c>
      <c r="H3246" s="209" t="s">
        <v>272</v>
      </c>
      <c r="I3246" s="210"/>
    </row>
    <row r="3247" spans="1:9" x14ac:dyDescent="0.25">
      <c r="A3247" s="74"/>
      <c r="B3247" s="45">
        <v>1527</v>
      </c>
      <c r="C3247" s="64" t="s">
        <v>1884</v>
      </c>
      <c r="D3247" s="74"/>
      <c r="E3247" s="208" t="s">
        <v>173</v>
      </c>
      <c r="F3247" s="209" t="s">
        <v>21</v>
      </c>
      <c r="G3247" s="209" t="s">
        <v>21</v>
      </c>
      <c r="H3247" s="209" t="s">
        <v>272</v>
      </c>
      <c r="I3247" s="210"/>
    </row>
    <row r="3248" spans="1:9" x14ac:dyDescent="0.25">
      <c r="A3248" s="74"/>
      <c r="B3248" s="45">
        <v>1528</v>
      </c>
      <c r="C3248" s="64" t="s">
        <v>1885</v>
      </c>
      <c r="D3248" s="74"/>
      <c r="E3248" s="208" t="s">
        <v>173</v>
      </c>
      <c r="F3248" s="209" t="s">
        <v>21</v>
      </c>
      <c r="G3248" s="209" t="s">
        <v>21</v>
      </c>
      <c r="H3248" s="209" t="s">
        <v>272</v>
      </c>
      <c r="I3248" s="210"/>
    </row>
    <row r="3249" spans="1:9" x14ac:dyDescent="0.25">
      <c r="A3249" s="74"/>
      <c r="B3249" s="45">
        <v>1529</v>
      </c>
      <c r="C3249" s="64" t="s">
        <v>1886</v>
      </c>
      <c r="D3249" s="74"/>
      <c r="E3249" s="208" t="s">
        <v>173</v>
      </c>
      <c r="F3249" s="209" t="s">
        <v>21</v>
      </c>
      <c r="G3249" s="209" t="s">
        <v>21</v>
      </c>
      <c r="H3249" s="209" t="s">
        <v>272</v>
      </c>
      <c r="I3249" s="210"/>
    </row>
    <row r="3250" spans="1:9" x14ac:dyDescent="0.25">
      <c r="A3250" s="74"/>
      <c r="B3250" s="45">
        <v>1530</v>
      </c>
      <c r="C3250" s="64" t="s">
        <v>1887</v>
      </c>
      <c r="D3250" s="74"/>
      <c r="E3250" s="208" t="s">
        <v>173</v>
      </c>
      <c r="F3250" s="209" t="s">
        <v>21</v>
      </c>
      <c r="G3250" s="209" t="s">
        <v>21</v>
      </c>
      <c r="H3250" s="209" t="s">
        <v>272</v>
      </c>
      <c r="I3250" s="210"/>
    </row>
    <row r="3251" spans="1:9" x14ac:dyDescent="0.25">
      <c r="A3251" s="74"/>
      <c r="B3251" s="45">
        <v>1531</v>
      </c>
      <c r="C3251" s="64" t="s">
        <v>1575</v>
      </c>
      <c r="D3251" s="74"/>
      <c r="E3251" s="208" t="s">
        <v>173</v>
      </c>
      <c r="F3251" s="209" t="s">
        <v>21</v>
      </c>
      <c r="G3251" s="209" t="s">
        <v>21</v>
      </c>
      <c r="H3251" s="209" t="s">
        <v>272</v>
      </c>
      <c r="I3251" s="210"/>
    </row>
    <row r="3252" spans="1:9" x14ac:dyDescent="0.25">
      <c r="A3252" s="74"/>
      <c r="B3252" s="45">
        <v>1532</v>
      </c>
      <c r="C3252" s="64" t="s">
        <v>1888</v>
      </c>
      <c r="D3252" s="74"/>
      <c r="E3252" s="208" t="s">
        <v>173</v>
      </c>
      <c r="F3252" s="209" t="s">
        <v>21</v>
      </c>
      <c r="G3252" s="209" t="s">
        <v>21</v>
      </c>
      <c r="H3252" s="209" t="s">
        <v>272</v>
      </c>
      <c r="I3252" s="210"/>
    </row>
    <row r="3253" spans="1:9" x14ac:dyDescent="0.25">
      <c r="A3253" s="74"/>
      <c r="B3253" s="45">
        <v>1533</v>
      </c>
      <c r="C3253" s="64" t="s">
        <v>1889</v>
      </c>
      <c r="D3253" s="74"/>
      <c r="E3253" s="208" t="s">
        <v>173</v>
      </c>
      <c r="F3253" s="209" t="s">
        <v>21</v>
      </c>
      <c r="G3253" s="209" t="s">
        <v>21</v>
      </c>
      <c r="H3253" s="209" t="s">
        <v>272</v>
      </c>
      <c r="I3253" s="210"/>
    </row>
    <row r="3254" spans="1:9" x14ac:dyDescent="0.25">
      <c r="A3254" s="74"/>
      <c r="B3254" s="45">
        <v>1534</v>
      </c>
      <c r="C3254" s="64" t="s">
        <v>1890</v>
      </c>
      <c r="D3254" s="74"/>
      <c r="E3254" s="208" t="s">
        <v>173</v>
      </c>
      <c r="F3254" s="209" t="s">
        <v>21</v>
      </c>
      <c r="G3254" s="209" t="s">
        <v>21</v>
      </c>
      <c r="H3254" s="209" t="s">
        <v>272</v>
      </c>
      <c r="I3254" s="210"/>
    </row>
    <row r="3255" spans="1:9" x14ac:dyDescent="0.25">
      <c r="A3255" s="74"/>
      <c r="B3255" s="45">
        <v>1535</v>
      </c>
      <c r="C3255" s="64" t="s">
        <v>1634</v>
      </c>
      <c r="D3255" s="74"/>
      <c r="E3255" s="208" t="s">
        <v>173</v>
      </c>
      <c r="F3255" s="209" t="s">
        <v>21</v>
      </c>
      <c r="G3255" s="209" t="s">
        <v>21</v>
      </c>
      <c r="H3255" s="209" t="s">
        <v>272</v>
      </c>
      <c r="I3255" s="210"/>
    </row>
    <row r="3256" spans="1:9" x14ac:dyDescent="0.25">
      <c r="A3256" s="74"/>
      <c r="B3256" s="45">
        <v>1536</v>
      </c>
      <c r="C3256" s="64" t="s">
        <v>1891</v>
      </c>
      <c r="D3256" s="74"/>
      <c r="E3256" s="208" t="s">
        <v>173</v>
      </c>
      <c r="F3256" s="209" t="s">
        <v>21</v>
      </c>
      <c r="G3256" s="209" t="s">
        <v>21</v>
      </c>
      <c r="H3256" s="209" t="s">
        <v>272</v>
      </c>
      <c r="I3256" s="210"/>
    </row>
    <row r="3257" spans="1:9" x14ac:dyDescent="0.25">
      <c r="A3257" s="74"/>
      <c r="B3257" s="45">
        <v>1537</v>
      </c>
      <c r="C3257" s="64" t="s">
        <v>1892</v>
      </c>
      <c r="D3257" s="74"/>
      <c r="E3257" s="208" t="s">
        <v>173</v>
      </c>
      <c r="F3257" s="209" t="s">
        <v>21</v>
      </c>
      <c r="G3257" s="209" t="s">
        <v>21</v>
      </c>
      <c r="H3257" s="209" t="s">
        <v>272</v>
      </c>
      <c r="I3257" s="210"/>
    </row>
    <row r="3258" spans="1:9" x14ac:dyDescent="0.25">
      <c r="A3258" s="74"/>
      <c r="B3258" s="45">
        <v>1538</v>
      </c>
      <c r="C3258" s="64" t="s">
        <v>1893</v>
      </c>
      <c r="D3258" s="74"/>
      <c r="E3258" s="208" t="s">
        <v>173</v>
      </c>
      <c r="F3258" s="209" t="s">
        <v>21</v>
      </c>
      <c r="G3258" s="209" t="s">
        <v>21</v>
      </c>
      <c r="H3258" s="209" t="s">
        <v>272</v>
      </c>
      <c r="I3258" s="210"/>
    </row>
    <row r="3259" spans="1:9" x14ac:dyDescent="0.25">
      <c r="A3259" s="74"/>
      <c r="B3259" s="45">
        <v>1527</v>
      </c>
      <c r="C3259" s="64" t="s">
        <v>1884</v>
      </c>
      <c r="D3259" s="74"/>
      <c r="E3259" s="208" t="s">
        <v>173</v>
      </c>
      <c r="F3259" s="209" t="s">
        <v>21</v>
      </c>
      <c r="G3259" s="209" t="s">
        <v>21</v>
      </c>
      <c r="H3259" s="209" t="s">
        <v>272</v>
      </c>
      <c r="I3259" s="210"/>
    </row>
    <row r="3260" spans="1:9" x14ac:dyDescent="0.25">
      <c r="A3260" s="74"/>
      <c r="B3260" s="45">
        <v>1528</v>
      </c>
      <c r="C3260" s="64" t="s">
        <v>1885</v>
      </c>
      <c r="D3260" s="74"/>
      <c r="E3260" s="208" t="s">
        <v>173</v>
      </c>
      <c r="F3260" s="209" t="s">
        <v>21</v>
      </c>
      <c r="G3260" s="209" t="s">
        <v>21</v>
      </c>
      <c r="H3260" s="209" t="s">
        <v>272</v>
      </c>
      <c r="I3260" s="210"/>
    </row>
    <row r="3261" spans="1:9" x14ac:dyDescent="0.25">
      <c r="A3261" s="74"/>
      <c r="B3261" s="45">
        <v>1529</v>
      </c>
      <c r="C3261" s="64" t="s">
        <v>1886</v>
      </c>
      <c r="D3261" s="74"/>
      <c r="E3261" s="208" t="s">
        <v>173</v>
      </c>
      <c r="F3261" s="209" t="s">
        <v>21</v>
      </c>
      <c r="G3261" s="209" t="s">
        <v>21</v>
      </c>
      <c r="H3261" s="209" t="s">
        <v>272</v>
      </c>
      <c r="I3261" s="210"/>
    </row>
    <row r="3262" spans="1:9" x14ac:dyDescent="0.25">
      <c r="A3262" s="74"/>
      <c r="B3262" s="45">
        <v>1530</v>
      </c>
      <c r="C3262" s="64" t="s">
        <v>1887</v>
      </c>
      <c r="D3262" s="74"/>
      <c r="E3262" s="208" t="s">
        <v>173</v>
      </c>
      <c r="F3262" s="209" t="s">
        <v>21</v>
      </c>
      <c r="G3262" s="209" t="s">
        <v>21</v>
      </c>
      <c r="H3262" s="209" t="s">
        <v>272</v>
      </c>
      <c r="I3262" s="210"/>
    </row>
    <row r="3263" spans="1:9" x14ac:dyDescent="0.25">
      <c r="A3263" s="74"/>
      <c r="B3263" s="45">
        <v>1531</v>
      </c>
      <c r="C3263" s="64" t="s">
        <v>1575</v>
      </c>
      <c r="D3263" s="74"/>
      <c r="E3263" s="208" t="s">
        <v>173</v>
      </c>
      <c r="F3263" s="209" t="s">
        <v>21</v>
      </c>
      <c r="G3263" s="209" t="s">
        <v>21</v>
      </c>
      <c r="H3263" s="209" t="s">
        <v>272</v>
      </c>
      <c r="I3263" s="210"/>
    </row>
    <row r="3264" spans="1:9" x14ac:dyDescent="0.25">
      <c r="A3264" s="74"/>
      <c r="B3264" s="45">
        <v>1532</v>
      </c>
      <c r="C3264" s="64" t="s">
        <v>1888</v>
      </c>
      <c r="D3264" s="74"/>
      <c r="E3264" s="208" t="s">
        <v>173</v>
      </c>
      <c r="F3264" s="209" t="s">
        <v>21</v>
      </c>
      <c r="G3264" s="209" t="s">
        <v>21</v>
      </c>
      <c r="H3264" s="209" t="s">
        <v>272</v>
      </c>
      <c r="I3264" s="210"/>
    </row>
    <row r="3265" spans="1:9" x14ac:dyDescent="0.25">
      <c r="A3265" s="74"/>
      <c r="B3265" s="45">
        <v>1533</v>
      </c>
      <c r="C3265" s="64" t="s">
        <v>1889</v>
      </c>
      <c r="D3265" s="74"/>
      <c r="E3265" s="208" t="s">
        <v>173</v>
      </c>
      <c r="F3265" s="209" t="s">
        <v>21</v>
      </c>
      <c r="G3265" s="209" t="s">
        <v>21</v>
      </c>
      <c r="H3265" s="209" t="s">
        <v>272</v>
      </c>
      <c r="I3265" s="210"/>
    </row>
    <row r="3266" spans="1:9" x14ac:dyDescent="0.25">
      <c r="A3266" s="74"/>
      <c r="B3266" s="45">
        <v>1534</v>
      </c>
      <c r="C3266" s="64" t="s">
        <v>1890</v>
      </c>
      <c r="D3266" s="74"/>
      <c r="E3266" s="208" t="s">
        <v>173</v>
      </c>
      <c r="F3266" s="209" t="s">
        <v>21</v>
      </c>
      <c r="G3266" s="209" t="s">
        <v>21</v>
      </c>
      <c r="H3266" s="209" t="s">
        <v>272</v>
      </c>
      <c r="I3266" s="210"/>
    </row>
    <row r="3267" spans="1:9" x14ac:dyDescent="0.25">
      <c r="A3267" s="74"/>
      <c r="B3267" s="45">
        <v>1535</v>
      </c>
      <c r="C3267" s="64" t="s">
        <v>1634</v>
      </c>
      <c r="D3267" s="74"/>
      <c r="E3267" s="208" t="s">
        <v>173</v>
      </c>
      <c r="F3267" s="209" t="s">
        <v>21</v>
      </c>
      <c r="G3267" s="209" t="s">
        <v>21</v>
      </c>
      <c r="H3267" s="209" t="s">
        <v>272</v>
      </c>
      <c r="I3267" s="210"/>
    </row>
    <row r="3268" spans="1:9" x14ac:dyDescent="0.25">
      <c r="A3268" s="74"/>
      <c r="B3268" s="45">
        <v>1536</v>
      </c>
      <c r="C3268" s="64" t="s">
        <v>1891</v>
      </c>
      <c r="D3268" s="74"/>
      <c r="E3268" s="208" t="s">
        <v>173</v>
      </c>
      <c r="F3268" s="209" t="s">
        <v>21</v>
      </c>
      <c r="G3268" s="209" t="s">
        <v>21</v>
      </c>
      <c r="H3268" s="209" t="s">
        <v>272</v>
      </c>
      <c r="I3268" s="210"/>
    </row>
    <row r="3269" spans="1:9" x14ac:dyDescent="0.25">
      <c r="A3269" s="74"/>
      <c r="B3269" s="45">
        <v>1537</v>
      </c>
      <c r="C3269" s="64" t="s">
        <v>1892</v>
      </c>
      <c r="D3269" s="74"/>
      <c r="E3269" s="208" t="s">
        <v>173</v>
      </c>
      <c r="F3269" s="209" t="s">
        <v>21</v>
      </c>
      <c r="G3269" s="209" t="s">
        <v>21</v>
      </c>
      <c r="H3269" s="209" t="s">
        <v>272</v>
      </c>
      <c r="I3269" s="210"/>
    </row>
    <row r="3270" spans="1:9" x14ac:dyDescent="0.25">
      <c r="A3270" s="74"/>
      <c r="B3270" s="45">
        <v>1538</v>
      </c>
      <c r="C3270" s="64" t="s">
        <v>1893</v>
      </c>
      <c r="D3270" s="74"/>
      <c r="E3270" s="208" t="s">
        <v>173</v>
      </c>
      <c r="F3270" s="209" t="s">
        <v>21</v>
      </c>
      <c r="G3270" s="209" t="s">
        <v>21</v>
      </c>
      <c r="H3270" s="209" t="s">
        <v>272</v>
      </c>
      <c r="I3270" s="210"/>
    </row>
    <row r="3271" spans="1:9" x14ac:dyDescent="0.25">
      <c r="A3271" s="74"/>
      <c r="B3271" s="45">
        <v>293</v>
      </c>
      <c r="C3271" s="64" t="s">
        <v>705</v>
      </c>
      <c r="D3271" s="74"/>
      <c r="E3271" s="208" t="s">
        <v>161</v>
      </c>
      <c r="F3271" s="209" t="s">
        <v>21</v>
      </c>
      <c r="G3271" s="209" t="s">
        <v>21</v>
      </c>
      <c r="H3271" s="209" t="s">
        <v>183</v>
      </c>
      <c r="I3271" s="210"/>
    </row>
    <row r="3272" spans="1:9" x14ac:dyDescent="0.25">
      <c r="A3272" s="74"/>
      <c r="B3272" s="45">
        <v>410</v>
      </c>
      <c r="C3272" s="64" t="s">
        <v>822</v>
      </c>
      <c r="D3272" s="74"/>
      <c r="E3272" s="208" t="s">
        <v>173</v>
      </c>
      <c r="F3272" s="209" t="s">
        <v>21</v>
      </c>
      <c r="G3272" s="209" t="s">
        <v>21</v>
      </c>
      <c r="H3272" s="209" t="s">
        <v>183</v>
      </c>
      <c r="I3272" s="210"/>
    </row>
    <row r="3273" spans="1:9" x14ac:dyDescent="0.25">
      <c r="A3273" s="74"/>
      <c r="B3273" s="45">
        <v>450</v>
      </c>
      <c r="C3273" s="64" t="s">
        <v>862</v>
      </c>
      <c r="D3273" s="74"/>
      <c r="E3273" s="208" t="s">
        <v>128</v>
      </c>
      <c r="F3273" s="209" t="s">
        <v>21</v>
      </c>
      <c r="G3273" s="209" t="s">
        <v>21</v>
      </c>
      <c r="H3273" s="209" t="s">
        <v>183</v>
      </c>
      <c r="I3273" s="210"/>
    </row>
    <row r="3274" spans="1:9" x14ac:dyDescent="0.25">
      <c r="A3274" s="74"/>
      <c r="B3274" s="45">
        <v>463</v>
      </c>
      <c r="C3274" s="64" t="s">
        <v>875</v>
      </c>
      <c r="D3274" s="74"/>
      <c r="E3274" s="208" t="s">
        <v>128</v>
      </c>
      <c r="F3274" s="209" t="s">
        <v>21</v>
      </c>
      <c r="G3274" s="209" t="s">
        <v>21</v>
      </c>
      <c r="H3274" s="209" t="s">
        <v>183</v>
      </c>
      <c r="I3274" s="210"/>
    </row>
    <row r="3275" spans="1:9" x14ac:dyDescent="0.25">
      <c r="A3275" s="74"/>
      <c r="B3275" s="45">
        <v>1527</v>
      </c>
      <c r="C3275" s="64" t="s">
        <v>1884</v>
      </c>
      <c r="D3275" s="74"/>
      <c r="E3275" s="208" t="s">
        <v>173</v>
      </c>
      <c r="F3275" s="209" t="s">
        <v>21</v>
      </c>
      <c r="G3275" s="209" t="s">
        <v>21</v>
      </c>
      <c r="H3275" s="209" t="s">
        <v>272</v>
      </c>
      <c r="I3275" s="210"/>
    </row>
    <row r="3276" spans="1:9" x14ac:dyDescent="0.25">
      <c r="A3276" s="74"/>
      <c r="B3276" s="45">
        <v>1528</v>
      </c>
      <c r="C3276" s="64" t="s">
        <v>1885</v>
      </c>
      <c r="D3276" s="74"/>
      <c r="E3276" s="208" t="s">
        <v>173</v>
      </c>
      <c r="F3276" s="209" t="s">
        <v>21</v>
      </c>
      <c r="G3276" s="209" t="s">
        <v>21</v>
      </c>
      <c r="H3276" s="209" t="s">
        <v>272</v>
      </c>
      <c r="I3276" s="210"/>
    </row>
    <row r="3277" spans="1:9" x14ac:dyDescent="0.25">
      <c r="A3277" s="74"/>
      <c r="B3277" s="45">
        <v>1529</v>
      </c>
      <c r="C3277" s="64" t="s">
        <v>1886</v>
      </c>
      <c r="D3277" s="74"/>
      <c r="E3277" s="208" t="s">
        <v>173</v>
      </c>
      <c r="F3277" s="209" t="s">
        <v>21</v>
      </c>
      <c r="G3277" s="209" t="s">
        <v>21</v>
      </c>
      <c r="H3277" s="209" t="s">
        <v>272</v>
      </c>
      <c r="I3277" s="210"/>
    </row>
    <row r="3278" spans="1:9" x14ac:dyDescent="0.25">
      <c r="A3278" s="74"/>
      <c r="B3278" s="45">
        <v>1530</v>
      </c>
      <c r="C3278" s="64" t="s">
        <v>1887</v>
      </c>
      <c r="D3278" s="74"/>
      <c r="E3278" s="208" t="s">
        <v>173</v>
      </c>
      <c r="F3278" s="209" t="s">
        <v>21</v>
      </c>
      <c r="G3278" s="209" t="s">
        <v>21</v>
      </c>
      <c r="H3278" s="209" t="s">
        <v>272</v>
      </c>
      <c r="I3278" s="210"/>
    </row>
    <row r="3279" spans="1:9" x14ac:dyDescent="0.25">
      <c r="A3279" s="74"/>
      <c r="B3279" s="45">
        <v>1531</v>
      </c>
      <c r="C3279" s="64" t="s">
        <v>1575</v>
      </c>
      <c r="D3279" s="74"/>
      <c r="E3279" s="208" t="s">
        <v>173</v>
      </c>
      <c r="F3279" s="209" t="s">
        <v>21</v>
      </c>
      <c r="G3279" s="209" t="s">
        <v>21</v>
      </c>
      <c r="H3279" s="209" t="s">
        <v>272</v>
      </c>
      <c r="I3279" s="210"/>
    </row>
    <row r="3280" spans="1:9" x14ac:dyDescent="0.25">
      <c r="A3280" s="74"/>
      <c r="B3280" s="45">
        <v>1532</v>
      </c>
      <c r="C3280" s="64" t="s">
        <v>1888</v>
      </c>
      <c r="D3280" s="74"/>
      <c r="E3280" s="208" t="s">
        <v>173</v>
      </c>
      <c r="F3280" s="209" t="s">
        <v>21</v>
      </c>
      <c r="G3280" s="209" t="s">
        <v>21</v>
      </c>
      <c r="H3280" s="209" t="s">
        <v>272</v>
      </c>
      <c r="I3280" s="210"/>
    </row>
    <row r="3281" spans="1:9" x14ac:dyDescent="0.25">
      <c r="A3281" s="74"/>
      <c r="B3281" s="45">
        <v>1533</v>
      </c>
      <c r="C3281" s="64" t="s">
        <v>1889</v>
      </c>
      <c r="D3281" s="74"/>
      <c r="E3281" s="208" t="s">
        <v>173</v>
      </c>
      <c r="F3281" s="209" t="s">
        <v>21</v>
      </c>
      <c r="G3281" s="209" t="s">
        <v>21</v>
      </c>
      <c r="H3281" s="209" t="s">
        <v>272</v>
      </c>
      <c r="I3281" s="210"/>
    </row>
    <row r="3282" spans="1:9" x14ac:dyDescent="0.25">
      <c r="A3282" s="74"/>
      <c r="B3282" s="45">
        <v>1534</v>
      </c>
      <c r="C3282" s="64" t="s">
        <v>1890</v>
      </c>
      <c r="D3282" s="74"/>
      <c r="E3282" s="208" t="s">
        <v>173</v>
      </c>
      <c r="F3282" s="209" t="s">
        <v>21</v>
      </c>
      <c r="G3282" s="209" t="s">
        <v>21</v>
      </c>
      <c r="H3282" s="209" t="s">
        <v>272</v>
      </c>
      <c r="I3282" s="210"/>
    </row>
    <row r="3283" spans="1:9" x14ac:dyDescent="0.25">
      <c r="A3283" s="74"/>
      <c r="B3283" s="45">
        <v>1535</v>
      </c>
      <c r="C3283" s="64" t="s">
        <v>1634</v>
      </c>
      <c r="D3283" s="74"/>
      <c r="E3283" s="208" t="s">
        <v>173</v>
      </c>
      <c r="F3283" s="209" t="s">
        <v>21</v>
      </c>
      <c r="G3283" s="209" t="s">
        <v>21</v>
      </c>
      <c r="H3283" s="209" t="s">
        <v>272</v>
      </c>
      <c r="I3283" s="210"/>
    </row>
    <row r="3284" spans="1:9" x14ac:dyDescent="0.25">
      <c r="A3284" s="74"/>
      <c r="B3284" s="45">
        <v>1536</v>
      </c>
      <c r="C3284" s="64" t="s">
        <v>1891</v>
      </c>
      <c r="D3284" s="74"/>
      <c r="E3284" s="208" t="s">
        <v>173</v>
      </c>
      <c r="F3284" s="209" t="s">
        <v>21</v>
      </c>
      <c r="G3284" s="209" t="s">
        <v>21</v>
      </c>
      <c r="H3284" s="209" t="s">
        <v>272</v>
      </c>
      <c r="I3284" s="210"/>
    </row>
    <row r="3285" spans="1:9" x14ac:dyDescent="0.25">
      <c r="A3285" s="74"/>
      <c r="B3285" s="45">
        <v>1537</v>
      </c>
      <c r="C3285" s="64" t="s">
        <v>1892</v>
      </c>
      <c r="D3285" s="74"/>
      <c r="E3285" s="208" t="s">
        <v>173</v>
      </c>
      <c r="F3285" s="209" t="s">
        <v>21</v>
      </c>
      <c r="G3285" s="209" t="s">
        <v>21</v>
      </c>
      <c r="H3285" s="209" t="s">
        <v>272</v>
      </c>
      <c r="I3285" s="210"/>
    </row>
    <row r="3286" spans="1:9" x14ac:dyDescent="0.25">
      <c r="A3286" s="74"/>
      <c r="B3286" s="45">
        <v>1538</v>
      </c>
      <c r="C3286" s="64" t="s">
        <v>1893</v>
      </c>
      <c r="D3286" s="74"/>
      <c r="E3286" s="208" t="s">
        <v>173</v>
      </c>
      <c r="F3286" s="209" t="s">
        <v>21</v>
      </c>
      <c r="G3286" s="209" t="s">
        <v>21</v>
      </c>
      <c r="H3286" s="209" t="s">
        <v>272</v>
      </c>
      <c r="I3286" s="210"/>
    </row>
    <row r="3287" spans="1:9" x14ac:dyDescent="0.25">
      <c r="A3287" s="74"/>
      <c r="B3287" s="45">
        <v>1527</v>
      </c>
      <c r="C3287" s="64" t="s">
        <v>1884</v>
      </c>
      <c r="D3287" s="74"/>
      <c r="E3287" s="208" t="s">
        <v>173</v>
      </c>
      <c r="F3287" s="209" t="s">
        <v>21</v>
      </c>
      <c r="G3287" s="209" t="s">
        <v>21</v>
      </c>
      <c r="H3287" s="209" t="s">
        <v>272</v>
      </c>
      <c r="I3287" s="210"/>
    </row>
    <row r="3288" spans="1:9" x14ac:dyDescent="0.25">
      <c r="A3288" s="74"/>
      <c r="B3288" s="45">
        <v>1528</v>
      </c>
      <c r="C3288" s="64" t="s">
        <v>1885</v>
      </c>
      <c r="D3288" s="74"/>
      <c r="E3288" s="208" t="s">
        <v>173</v>
      </c>
      <c r="F3288" s="209" t="s">
        <v>21</v>
      </c>
      <c r="G3288" s="209" t="s">
        <v>21</v>
      </c>
      <c r="H3288" s="209" t="s">
        <v>272</v>
      </c>
      <c r="I3288" s="210"/>
    </row>
    <row r="3289" spans="1:9" x14ac:dyDescent="0.25">
      <c r="A3289" s="74"/>
      <c r="B3289" s="45">
        <v>1529</v>
      </c>
      <c r="C3289" s="64" t="s">
        <v>1886</v>
      </c>
      <c r="D3289" s="74"/>
      <c r="E3289" s="208" t="s">
        <v>173</v>
      </c>
      <c r="F3289" s="209" t="s">
        <v>21</v>
      </c>
      <c r="G3289" s="209" t="s">
        <v>21</v>
      </c>
      <c r="H3289" s="209" t="s">
        <v>272</v>
      </c>
      <c r="I3289" s="210"/>
    </row>
    <row r="3290" spans="1:9" x14ac:dyDescent="0.25">
      <c r="A3290" s="74"/>
      <c r="B3290" s="45">
        <v>1530</v>
      </c>
      <c r="C3290" s="64" t="s">
        <v>1887</v>
      </c>
      <c r="D3290" s="74"/>
      <c r="E3290" s="208" t="s">
        <v>173</v>
      </c>
      <c r="F3290" s="209" t="s">
        <v>21</v>
      </c>
      <c r="G3290" s="209" t="s">
        <v>21</v>
      </c>
      <c r="H3290" s="209" t="s">
        <v>272</v>
      </c>
      <c r="I3290" s="210"/>
    </row>
    <row r="3291" spans="1:9" x14ac:dyDescent="0.25">
      <c r="A3291" s="74"/>
      <c r="B3291" s="45">
        <v>1531</v>
      </c>
      <c r="C3291" s="64" t="s">
        <v>1575</v>
      </c>
      <c r="D3291" s="74"/>
      <c r="E3291" s="208" t="s">
        <v>173</v>
      </c>
      <c r="F3291" s="209" t="s">
        <v>21</v>
      </c>
      <c r="G3291" s="209" t="s">
        <v>21</v>
      </c>
      <c r="H3291" s="209" t="s">
        <v>272</v>
      </c>
      <c r="I3291" s="210"/>
    </row>
    <row r="3292" spans="1:9" x14ac:dyDescent="0.25">
      <c r="A3292" s="74"/>
      <c r="B3292" s="45">
        <v>1532</v>
      </c>
      <c r="C3292" s="64" t="s">
        <v>1888</v>
      </c>
      <c r="D3292" s="74"/>
      <c r="E3292" s="208" t="s">
        <v>173</v>
      </c>
      <c r="F3292" s="209" t="s">
        <v>21</v>
      </c>
      <c r="G3292" s="209" t="s">
        <v>21</v>
      </c>
      <c r="H3292" s="209" t="s">
        <v>272</v>
      </c>
      <c r="I3292" s="210"/>
    </row>
    <row r="3293" spans="1:9" x14ac:dyDescent="0.25">
      <c r="A3293" s="74"/>
      <c r="B3293" s="45">
        <v>1533</v>
      </c>
      <c r="C3293" s="64" t="s">
        <v>1889</v>
      </c>
      <c r="D3293" s="74"/>
      <c r="E3293" s="208" t="s">
        <v>173</v>
      </c>
      <c r="F3293" s="209" t="s">
        <v>21</v>
      </c>
      <c r="G3293" s="209" t="s">
        <v>21</v>
      </c>
      <c r="H3293" s="209" t="s">
        <v>272</v>
      </c>
      <c r="I3293" s="210"/>
    </row>
    <row r="3294" spans="1:9" x14ac:dyDescent="0.25">
      <c r="A3294" s="74"/>
      <c r="B3294" s="45">
        <v>1534</v>
      </c>
      <c r="C3294" s="64" t="s">
        <v>1890</v>
      </c>
      <c r="D3294" s="74"/>
      <c r="E3294" s="208" t="s">
        <v>173</v>
      </c>
      <c r="F3294" s="209" t="s">
        <v>21</v>
      </c>
      <c r="G3294" s="209" t="s">
        <v>21</v>
      </c>
      <c r="H3294" s="209" t="s">
        <v>272</v>
      </c>
      <c r="I3294" s="210"/>
    </row>
    <row r="3295" spans="1:9" x14ac:dyDescent="0.25">
      <c r="A3295" s="74"/>
      <c r="B3295" s="45">
        <v>1535</v>
      </c>
      <c r="C3295" s="64" t="s">
        <v>1634</v>
      </c>
      <c r="D3295" s="74"/>
      <c r="E3295" s="208" t="s">
        <v>173</v>
      </c>
      <c r="F3295" s="209" t="s">
        <v>21</v>
      </c>
      <c r="G3295" s="209" t="s">
        <v>21</v>
      </c>
      <c r="H3295" s="209" t="s">
        <v>272</v>
      </c>
      <c r="I3295" s="210"/>
    </row>
    <row r="3296" spans="1:9" x14ac:dyDescent="0.25">
      <c r="A3296" s="74"/>
      <c r="B3296" s="45">
        <v>1536</v>
      </c>
      <c r="C3296" s="64" t="s">
        <v>1891</v>
      </c>
      <c r="D3296" s="74"/>
      <c r="E3296" s="208" t="s">
        <v>173</v>
      </c>
      <c r="F3296" s="209" t="s">
        <v>21</v>
      </c>
      <c r="G3296" s="209" t="s">
        <v>21</v>
      </c>
      <c r="H3296" s="209" t="s">
        <v>272</v>
      </c>
      <c r="I3296" s="210"/>
    </row>
    <row r="3297" spans="1:9" x14ac:dyDescent="0.25">
      <c r="A3297" s="74"/>
      <c r="B3297" s="45">
        <v>1537</v>
      </c>
      <c r="C3297" s="64" t="s">
        <v>1892</v>
      </c>
      <c r="D3297" s="74"/>
      <c r="E3297" s="208" t="s">
        <v>173</v>
      </c>
      <c r="F3297" s="209" t="s">
        <v>21</v>
      </c>
      <c r="G3297" s="209" t="s">
        <v>21</v>
      </c>
      <c r="H3297" s="209" t="s">
        <v>272</v>
      </c>
      <c r="I3297" s="210"/>
    </row>
    <row r="3298" spans="1:9" x14ac:dyDescent="0.25">
      <c r="A3298" s="74"/>
      <c r="B3298" s="45">
        <v>1538</v>
      </c>
      <c r="C3298" s="64" t="s">
        <v>1893</v>
      </c>
      <c r="D3298" s="74"/>
      <c r="E3298" s="208" t="s">
        <v>173</v>
      </c>
      <c r="F3298" s="209" t="s">
        <v>21</v>
      </c>
      <c r="G3298" s="209" t="s">
        <v>21</v>
      </c>
      <c r="H3298" s="209" t="s">
        <v>272</v>
      </c>
      <c r="I3298" s="210"/>
    </row>
    <row r="3299" spans="1:9" x14ac:dyDescent="0.25">
      <c r="A3299" s="74"/>
      <c r="B3299" s="45">
        <v>454</v>
      </c>
      <c r="C3299" s="64" t="s">
        <v>866</v>
      </c>
      <c r="D3299" s="74"/>
      <c r="E3299" s="208" t="s">
        <v>170</v>
      </c>
      <c r="F3299" s="209" t="s">
        <v>21</v>
      </c>
      <c r="G3299" s="209" t="s">
        <v>21</v>
      </c>
      <c r="H3299" s="209" t="s">
        <v>192</v>
      </c>
      <c r="I3299" s="210"/>
    </row>
    <row r="3300" spans="1:9" x14ac:dyDescent="0.25">
      <c r="A3300" s="74"/>
      <c r="B3300" s="45">
        <v>455</v>
      </c>
      <c r="C3300" s="64" t="s">
        <v>867</v>
      </c>
      <c r="D3300" s="74"/>
      <c r="E3300" s="208" t="s">
        <v>170</v>
      </c>
      <c r="F3300" s="209" t="s">
        <v>21</v>
      </c>
      <c r="G3300" s="209" t="s">
        <v>21</v>
      </c>
      <c r="H3300" s="209" t="s">
        <v>192</v>
      </c>
      <c r="I3300" s="210"/>
    </row>
    <row r="3301" spans="1:9" x14ac:dyDescent="0.25">
      <c r="A3301" s="74"/>
      <c r="B3301" s="45">
        <v>1542</v>
      </c>
      <c r="C3301" s="64" t="s">
        <v>1626</v>
      </c>
      <c r="D3301" s="74"/>
      <c r="E3301" s="208" t="s">
        <v>170</v>
      </c>
      <c r="F3301" s="209" t="s">
        <v>21</v>
      </c>
      <c r="G3301" s="209" t="s">
        <v>21</v>
      </c>
      <c r="H3301" s="209" t="s">
        <v>192</v>
      </c>
      <c r="I3301" s="210"/>
    </row>
    <row r="3302" spans="1:9" x14ac:dyDescent="0.25">
      <c r="A3302" s="74"/>
      <c r="B3302" s="45">
        <v>1543</v>
      </c>
      <c r="C3302" s="64" t="s">
        <v>1885</v>
      </c>
      <c r="D3302" s="74"/>
      <c r="E3302" s="208" t="s">
        <v>170</v>
      </c>
      <c r="F3302" s="209" t="s">
        <v>21</v>
      </c>
      <c r="G3302" s="209" t="s">
        <v>21</v>
      </c>
      <c r="H3302" s="209" t="s">
        <v>272</v>
      </c>
      <c r="I3302" s="210"/>
    </row>
    <row r="3303" spans="1:9" x14ac:dyDescent="0.25">
      <c r="A3303" s="74"/>
      <c r="B3303" s="45">
        <v>1544</v>
      </c>
      <c r="C3303" s="64" t="s">
        <v>1897</v>
      </c>
      <c r="D3303" s="74"/>
      <c r="E3303" s="208" t="s">
        <v>170</v>
      </c>
      <c r="F3303" s="209" t="s">
        <v>21</v>
      </c>
      <c r="G3303" s="209" t="s">
        <v>21</v>
      </c>
      <c r="H3303" s="209" t="s">
        <v>272</v>
      </c>
      <c r="I3303" s="210"/>
    </row>
    <row r="3304" spans="1:9" x14ac:dyDescent="0.25">
      <c r="A3304" s="74"/>
      <c r="B3304" s="45">
        <v>1545</v>
      </c>
      <c r="C3304" s="64" t="s">
        <v>1793</v>
      </c>
      <c r="D3304" s="74"/>
      <c r="E3304" s="208" t="s">
        <v>170</v>
      </c>
      <c r="F3304" s="209" t="s">
        <v>21</v>
      </c>
      <c r="G3304" s="209" t="s">
        <v>21</v>
      </c>
      <c r="H3304" s="209" t="s">
        <v>272</v>
      </c>
      <c r="I3304" s="210"/>
    </row>
    <row r="3305" spans="1:9" x14ac:dyDescent="0.25">
      <c r="A3305" s="74"/>
      <c r="B3305" s="45">
        <v>1445</v>
      </c>
      <c r="C3305" s="64" t="s">
        <v>1823</v>
      </c>
      <c r="D3305" s="74"/>
      <c r="E3305" s="208" t="s">
        <v>160</v>
      </c>
      <c r="F3305" s="209" t="s">
        <v>21</v>
      </c>
      <c r="G3305" s="209" t="s">
        <v>21</v>
      </c>
      <c r="H3305" s="209" t="s">
        <v>272</v>
      </c>
      <c r="I3305" s="210"/>
    </row>
    <row r="3306" spans="1:9" x14ac:dyDescent="0.25">
      <c r="A3306" s="74"/>
      <c r="B3306" s="45">
        <v>1446</v>
      </c>
      <c r="C3306" s="64" t="s">
        <v>1824</v>
      </c>
      <c r="D3306" s="74"/>
      <c r="E3306" s="208" t="s">
        <v>160</v>
      </c>
      <c r="F3306" s="209" t="s">
        <v>21</v>
      </c>
      <c r="G3306" s="209" t="s">
        <v>21</v>
      </c>
      <c r="H3306" s="209" t="s">
        <v>16</v>
      </c>
      <c r="I3306" s="210"/>
    </row>
    <row r="3307" spans="1:9" x14ac:dyDescent="0.25">
      <c r="A3307" s="74"/>
      <c r="B3307" s="45">
        <v>1447</v>
      </c>
      <c r="C3307" s="64" t="s">
        <v>1825</v>
      </c>
      <c r="D3307" s="74"/>
      <c r="E3307" s="208" t="s">
        <v>160</v>
      </c>
      <c r="F3307" s="209" t="s">
        <v>21</v>
      </c>
      <c r="G3307" s="209" t="s">
        <v>21</v>
      </c>
      <c r="H3307" s="209" t="s">
        <v>272</v>
      </c>
      <c r="I3307" s="210"/>
    </row>
    <row r="3308" spans="1:9" x14ac:dyDescent="0.25">
      <c r="A3308" s="74"/>
      <c r="B3308" s="45">
        <v>1448</v>
      </c>
      <c r="C3308" s="64" t="s">
        <v>1826</v>
      </c>
      <c r="D3308" s="74"/>
      <c r="E3308" s="208" t="s">
        <v>160</v>
      </c>
      <c r="F3308" s="209" t="s">
        <v>21</v>
      </c>
      <c r="G3308" s="209" t="s">
        <v>21</v>
      </c>
      <c r="H3308" s="209" t="s">
        <v>272</v>
      </c>
      <c r="I3308" s="210"/>
    </row>
    <row r="3309" spans="1:9" x14ac:dyDescent="0.25">
      <c r="A3309" s="74"/>
      <c r="B3309" s="45">
        <v>1449</v>
      </c>
      <c r="C3309" s="64" t="s">
        <v>1827</v>
      </c>
      <c r="D3309" s="74"/>
      <c r="E3309" s="208" t="s">
        <v>160</v>
      </c>
      <c r="F3309" s="209" t="s">
        <v>21</v>
      </c>
      <c r="G3309" s="209" t="s">
        <v>21</v>
      </c>
      <c r="H3309" s="209" t="s">
        <v>272</v>
      </c>
      <c r="I3309" s="210"/>
    </row>
    <row r="3310" spans="1:9" x14ac:dyDescent="0.25">
      <c r="A3310" s="74"/>
      <c r="B3310" s="45">
        <v>1450</v>
      </c>
      <c r="C3310" s="64" t="s">
        <v>1828</v>
      </c>
      <c r="D3310" s="74"/>
      <c r="E3310" s="208" t="s">
        <v>160</v>
      </c>
      <c r="F3310" s="209" t="s">
        <v>21</v>
      </c>
      <c r="G3310" s="209" t="s">
        <v>21</v>
      </c>
      <c r="H3310" s="209" t="s">
        <v>272</v>
      </c>
      <c r="I3310" s="210"/>
    </row>
    <row r="3311" spans="1:9" x14ac:dyDescent="0.25">
      <c r="A3311" s="74"/>
      <c r="B3311" s="45">
        <v>1451</v>
      </c>
      <c r="C3311" s="64" t="s">
        <v>1606</v>
      </c>
      <c r="D3311" s="74"/>
      <c r="E3311" s="208" t="s">
        <v>160</v>
      </c>
      <c r="F3311" s="209" t="s">
        <v>21</v>
      </c>
      <c r="G3311" s="209" t="s">
        <v>21</v>
      </c>
      <c r="H3311" s="209" t="s">
        <v>272</v>
      </c>
      <c r="I3311" s="210"/>
    </row>
    <row r="3312" spans="1:9" x14ac:dyDescent="0.25">
      <c r="A3312" s="74"/>
      <c r="B3312" s="45">
        <v>1452</v>
      </c>
      <c r="C3312" s="64" t="s">
        <v>1829</v>
      </c>
      <c r="D3312" s="74"/>
      <c r="E3312" s="208" t="s">
        <v>160</v>
      </c>
      <c r="F3312" s="209" t="s">
        <v>21</v>
      </c>
      <c r="G3312" s="209" t="s">
        <v>21</v>
      </c>
      <c r="H3312" s="209" t="s">
        <v>272</v>
      </c>
      <c r="I3312" s="210"/>
    </row>
    <row r="3313" spans="1:9" x14ac:dyDescent="0.25">
      <c r="A3313" s="74"/>
      <c r="B3313" s="45">
        <v>1453</v>
      </c>
      <c r="C3313" s="64" t="s">
        <v>1830</v>
      </c>
      <c r="D3313" s="74"/>
      <c r="E3313" s="208" t="s">
        <v>160</v>
      </c>
      <c r="F3313" s="209" t="s">
        <v>21</v>
      </c>
      <c r="G3313" s="209" t="s">
        <v>21</v>
      </c>
      <c r="H3313" s="209" t="s">
        <v>272</v>
      </c>
      <c r="I3313" s="210"/>
    </row>
    <row r="3314" spans="1:9" x14ac:dyDescent="0.25">
      <c r="A3314" s="74"/>
      <c r="B3314" s="45">
        <v>1454</v>
      </c>
      <c r="C3314" s="64" t="s">
        <v>1831</v>
      </c>
      <c r="D3314" s="74"/>
      <c r="E3314" s="208" t="s">
        <v>160</v>
      </c>
      <c r="F3314" s="209" t="s">
        <v>21</v>
      </c>
      <c r="G3314" s="209" t="s">
        <v>21</v>
      </c>
      <c r="H3314" s="209" t="s">
        <v>272</v>
      </c>
      <c r="I3314" s="210"/>
    </row>
    <row r="3315" spans="1:9" x14ac:dyDescent="0.25">
      <c r="A3315" s="74"/>
      <c r="B3315" s="45">
        <v>1445</v>
      </c>
      <c r="C3315" s="64" t="s">
        <v>1823</v>
      </c>
      <c r="D3315" s="74"/>
      <c r="E3315" s="208" t="s">
        <v>160</v>
      </c>
      <c r="F3315" s="209" t="s">
        <v>21</v>
      </c>
      <c r="G3315" s="209" t="s">
        <v>21</v>
      </c>
      <c r="H3315" s="209" t="s">
        <v>272</v>
      </c>
      <c r="I3315" s="210"/>
    </row>
    <row r="3316" spans="1:9" x14ac:dyDescent="0.25">
      <c r="A3316" s="74"/>
      <c r="B3316" s="45">
        <v>1446</v>
      </c>
      <c r="C3316" s="64" t="s">
        <v>1824</v>
      </c>
      <c r="D3316" s="74"/>
      <c r="E3316" s="208" t="s">
        <v>160</v>
      </c>
      <c r="F3316" s="209" t="s">
        <v>21</v>
      </c>
      <c r="G3316" s="209" t="s">
        <v>21</v>
      </c>
      <c r="H3316" s="209" t="s">
        <v>16</v>
      </c>
      <c r="I3316" s="210"/>
    </row>
    <row r="3317" spans="1:9" x14ac:dyDescent="0.25">
      <c r="A3317" s="74"/>
      <c r="B3317" s="45">
        <v>1447</v>
      </c>
      <c r="C3317" s="64" t="s">
        <v>1825</v>
      </c>
      <c r="D3317" s="74"/>
      <c r="E3317" s="208" t="s">
        <v>160</v>
      </c>
      <c r="F3317" s="209" t="s">
        <v>21</v>
      </c>
      <c r="G3317" s="209" t="s">
        <v>21</v>
      </c>
      <c r="H3317" s="209" t="s">
        <v>272</v>
      </c>
      <c r="I3317" s="210"/>
    </row>
    <row r="3318" spans="1:9" x14ac:dyDescent="0.25">
      <c r="A3318" s="74"/>
      <c r="B3318" s="45">
        <v>1448</v>
      </c>
      <c r="C3318" s="64" t="s">
        <v>1826</v>
      </c>
      <c r="D3318" s="74"/>
      <c r="E3318" s="208" t="s">
        <v>160</v>
      </c>
      <c r="F3318" s="209" t="s">
        <v>21</v>
      </c>
      <c r="G3318" s="209" t="s">
        <v>21</v>
      </c>
      <c r="H3318" s="209" t="s">
        <v>272</v>
      </c>
      <c r="I3318" s="210"/>
    </row>
    <row r="3319" spans="1:9" x14ac:dyDescent="0.25">
      <c r="A3319" s="74"/>
      <c r="B3319" s="45">
        <v>1449</v>
      </c>
      <c r="C3319" s="64" t="s">
        <v>1827</v>
      </c>
      <c r="D3319" s="74"/>
      <c r="E3319" s="208" t="s">
        <v>160</v>
      </c>
      <c r="F3319" s="209" t="s">
        <v>21</v>
      </c>
      <c r="G3319" s="209" t="s">
        <v>21</v>
      </c>
      <c r="H3319" s="209" t="s">
        <v>272</v>
      </c>
      <c r="I3319" s="210"/>
    </row>
    <row r="3320" spans="1:9" x14ac:dyDescent="0.25">
      <c r="A3320" s="74"/>
      <c r="B3320" s="45">
        <v>1450</v>
      </c>
      <c r="C3320" s="64" t="s">
        <v>1828</v>
      </c>
      <c r="D3320" s="74"/>
      <c r="E3320" s="208" t="s">
        <v>160</v>
      </c>
      <c r="F3320" s="209" t="s">
        <v>21</v>
      </c>
      <c r="G3320" s="209" t="s">
        <v>21</v>
      </c>
      <c r="H3320" s="209" t="s">
        <v>272</v>
      </c>
      <c r="I3320" s="210"/>
    </row>
    <row r="3321" spans="1:9" x14ac:dyDescent="0.25">
      <c r="A3321" s="74"/>
      <c r="B3321" s="45">
        <v>1451</v>
      </c>
      <c r="C3321" s="64" t="s">
        <v>1606</v>
      </c>
      <c r="D3321" s="74"/>
      <c r="E3321" s="208" t="s">
        <v>160</v>
      </c>
      <c r="F3321" s="209" t="s">
        <v>21</v>
      </c>
      <c r="G3321" s="209" t="s">
        <v>21</v>
      </c>
      <c r="H3321" s="209" t="s">
        <v>272</v>
      </c>
      <c r="I3321" s="210"/>
    </row>
    <row r="3322" spans="1:9" x14ac:dyDescent="0.25">
      <c r="A3322" s="74"/>
      <c r="B3322" s="45">
        <v>1452</v>
      </c>
      <c r="C3322" s="64" t="s">
        <v>1829</v>
      </c>
      <c r="D3322" s="74"/>
      <c r="E3322" s="208" t="s">
        <v>160</v>
      </c>
      <c r="F3322" s="209" t="s">
        <v>21</v>
      </c>
      <c r="G3322" s="209" t="s">
        <v>21</v>
      </c>
      <c r="H3322" s="209" t="s">
        <v>272</v>
      </c>
      <c r="I3322" s="210"/>
    </row>
    <row r="3323" spans="1:9" x14ac:dyDescent="0.25">
      <c r="A3323" s="74"/>
      <c r="B3323" s="45">
        <v>1453</v>
      </c>
      <c r="C3323" s="64" t="s">
        <v>1830</v>
      </c>
      <c r="D3323" s="74"/>
      <c r="E3323" s="208" t="s">
        <v>160</v>
      </c>
      <c r="F3323" s="209" t="s">
        <v>21</v>
      </c>
      <c r="G3323" s="209" t="s">
        <v>21</v>
      </c>
      <c r="H3323" s="209" t="s">
        <v>272</v>
      </c>
      <c r="I3323" s="210"/>
    </row>
    <row r="3324" spans="1:9" x14ac:dyDescent="0.25">
      <c r="A3324" s="74"/>
      <c r="B3324" s="45">
        <v>1454</v>
      </c>
      <c r="C3324" s="64" t="s">
        <v>1831</v>
      </c>
      <c r="D3324" s="74"/>
      <c r="E3324" s="208" t="s">
        <v>160</v>
      </c>
      <c r="F3324" s="209" t="s">
        <v>21</v>
      </c>
      <c r="G3324" s="209" t="s">
        <v>21</v>
      </c>
      <c r="H3324" s="209" t="s">
        <v>272</v>
      </c>
      <c r="I3324" s="210"/>
    </row>
    <row r="3325" spans="1:9" x14ac:dyDescent="0.25">
      <c r="A3325" s="74"/>
      <c r="B3325" s="45">
        <v>1445</v>
      </c>
      <c r="C3325" s="64" t="s">
        <v>1823</v>
      </c>
      <c r="D3325" s="74"/>
      <c r="E3325" s="208" t="s">
        <v>160</v>
      </c>
      <c r="F3325" s="209" t="s">
        <v>21</v>
      </c>
      <c r="G3325" s="209" t="s">
        <v>21</v>
      </c>
      <c r="H3325" s="209" t="s">
        <v>272</v>
      </c>
      <c r="I3325" s="210"/>
    </row>
    <row r="3326" spans="1:9" x14ac:dyDescent="0.25">
      <c r="A3326" s="74"/>
      <c r="B3326" s="45">
        <v>1446</v>
      </c>
      <c r="C3326" s="64" t="s">
        <v>1824</v>
      </c>
      <c r="D3326" s="74"/>
      <c r="E3326" s="208" t="s">
        <v>160</v>
      </c>
      <c r="F3326" s="209" t="s">
        <v>21</v>
      </c>
      <c r="G3326" s="209" t="s">
        <v>21</v>
      </c>
      <c r="H3326" s="209" t="s">
        <v>16</v>
      </c>
      <c r="I3326" s="210"/>
    </row>
    <row r="3327" spans="1:9" x14ac:dyDescent="0.25">
      <c r="A3327" s="74"/>
      <c r="B3327" s="45">
        <v>1447</v>
      </c>
      <c r="C3327" s="64" t="s">
        <v>1825</v>
      </c>
      <c r="D3327" s="74"/>
      <c r="E3327" s="208" t="s">
        <v>160</v>
      </c>
      <c r="F3327" s="209" t="s">
        <v>21</v>
      </c>
      <c r="G3327" s="209" t="s">
        <v>21</v>
      </c>
      <c r="H3327" s="209" t="s">
        <v>272</v>
      </c>
      <c r="I3327" s="210"/>
    </row>
    <row r="3328" spans="1:9" x14ac:dyDescent="0.25">
      <c r="A3328" s="74"/>
      <c r="B3328" s="45">
        <v>1448</v>
      </c>
      <c r="C3328" s="64" t="s">
        <v>1826</v>
      </c>
      <c r="D3328" s="74"/>
      <c r="E3328" s="208" t="s">
        <v>160</v>
      </c>
      <c r="F3328" s="209" t="s">
        <v>21</v>
      </c>
      <c r="G3328" s="209" t="s">
        <v>21</v>
      </c>
      <c r="H3328" s="209" t="s">
        <v>272</v>
      </c>
      <c r="I3328" s="210"/>
    </row>
    <row r="3329" spans="1:9" x14ac:dyDescent="0.25">
      <c r="A3329" s="74"/>
      <c r="B3329" s="45">
        <v>1449</v>
      </c>
      <c r="C3329" s="64" t="s">
        <v>1827</v>
      </c>
      <c r="D3329" s="74"/>
      <c r="E3329" s="208" t="s">
        <v>160</v>
      </c>
      <c r="F3329" s="209" t="s">
        <v>21</v>
      </c>
      <c r="G3329" s="209" t="s">
        <v>21</v>
      </c>
      <c r="H3329" s="209" t="s">
        <v>272</v>
      </c>
      <c r="I3329" s="210"/>
    </row>
    <row r="3330" spans="1:9" x14ac:dyDescent="0.25">
      <c r="A3330" s="74"/>
      <c r="B3330" s="45">
        <v>1450</v>
      </c>
      <c r="C3330" s="64" t="s">
        <v>1828</v>
      </c>
      <c r="D3330" s="74"/>
      <c r="E3330" s="208" t="s">
        <v>160</v>
      </c>
      <c r="F3330" s="209" t="s">
        <v>21</v>
      </c>
      <c r="G3330" s="209" t="s">
        <v>21</v>
      </c>
      <c r="H3330" s="209" t="s">
        <v>272</v>
      </c>
      <c r="I3330" s="210"/>
    </row>
    <row r="3331" spans="1:9" x14ac:dyDescent="0.25">
      <c r="A3331" s="74"/>
      <c r="B3331" s="45">
        <v>1451</v>
      </c>
      <c r="C3331" s="64" t="s">
        <v>1606</v>
      </c>
      <c r="D3331" s="74"/>
      <c r="E3331" s="208" t="s">
        <v>160</v>
      </c>
      <c r="F3331" s="209" t="s">
        <v>21</v>
      </c>
      <c r="G3331" s="209" t="s">
        <v>21</v>
      </c>
      <c r="H3331" s="209" t="s">
        <v>272</v>
      </c>
      <c r="I3331" s="210"/>
    </row>
    <row r="3332" spans="1:9" x14ac:dyDescent="0.25">
      <c r="A3332" s="74"/>
      <c r="B3332" s="45">
        <v>1452</v>
      </c>
      <c r="C3332" s="64" t="s">
        <v>1829</v>
      </c>
      <c r="D3332" s="74"/>
      <c r="E3332" s="208" t="s">
        <v>160</v>
      </c>
      <c r="F3332" s="209" t="s">
        <v>21</v>
      </c>
      <c r="G3332" s="209" t="s">
        <v>21</v>
      </c>
      <c r="H3332" s="209" t="s">
        <v>272</v>
      </c>
      <c r="I3332" s="210"/>
    </row>
    <row r="3333" spans="1:9" x14ac:dyDescent="0.25">
      <c r="A3333" s="74"/>
      <c r="B3333" s="45">
        <v>1453</v>
      </c>
      <c r="C3333" s="64" t="s">
        <v>1830</v>
      </c>
      <c r="D3333" s="74"/>
      <c r="E3333" s="208" t="s">
        <v>160</v>
      </c>
      <c r="F3333" s="209" t="s">
        <v>21</v>
      </c>
      <c r="G3333" s="209" t="s">
        <v>21</v>
      </c>
      <c r="H3333" s="209" t="s">
        <v>272</v>
      </c>
      <c r="I3333" s="210"/>
    </row>
    <row r="3334" spans="1:9" x14ac:dyDescent="0.25">
      <c r="A3334" s="74"/>
      <c r="B3334" s="45">
        <v>1454</v>
      </c>
      <c r="C3334" s="64" t="s">
        <v>1831</v>
      </c>
      <c r="D3334" s="74"/>
      <c r="E3334" s="208" t="s">
        <v>160</v>
      </c>
      <c r="F3334" s="209" t="s">
        <v>21</v>
      </c>
      <c r="G3334" s="209" t="s">
        <v>21</v>
      </c>
      <c r="H3334" s="209" t="s">
        <v>272</v>
      </c>
      <c r="I3334" s="210"/>
    </row>
    <row r="3335" spans="1:9" x14ac:dyDescent="0.25">
      <c r="A3335" s="74"/>
      <c r="B3335" s="45">
        <v>1445</v>
      </c>
      <c r="C3335" s="64" t="s">
        <v>1823</v>
      </c>
      <c r="D3335" s="74"/>
      <c r="E3335" s="208" t="s">
        <v>160</v>
      </c>
      <c r="F3335" s="209" t="s">
        <v>21</v>
      </c>
      <c r="G3335" s="209" t="s">
        <v>21</v>
      </c>
      <c r="H3335" s="209" t="s">
        <v>272</v>
      </c>
      <c r="I3335" s="210"/>
    </row>
    <row r="3336" spans="1:9" x14ac:dyDescent="0.25">
      <c r="A3336" s="74"/>
      <c r="B3336" s="45">
        <v>1446</v>
      </c>
      <c r="C3336" s="64" t="s">
        <v>1824</v>
      </c>
      <c r="D3336" s="74"/>
      <c r="E3336" s="208" t="s">
        <v>160</v>
      </c>
      <c r="F3336" s="209" t="s">
        <v>21</v>
      </c>
      <c r="G3336" s="209" t="s">
        <v>21</v>
      </c>
      <c r="H3336" s="209" t="s">
        <v>16</v>
      </c>
      <c r="I3336" s="210"/>
    </row>
    <row r="3337" spans="1:9" x14ac:dyDescent="0.25">
      <c r="A3337" s="74"/>
      <c r="B3337" s="45">
        <v>1447</v>
      </c>
      <c r="C3337" s="64" t="s">
        <v>1825</v>
      </c>
      <c r="D3337" s="74"/>
      <c r="E3337" s="208" t="s">
        <v>160</v>
      </c>
      <c r="F3337" s="209" t="s">
        <v>21</v>
      </c>
      <c r="G3337" s="209" t="s">
        <v>21</v>
      </c>
      <c r="H3337" s="209" t="s">
        <v>272</v>
      </c>
      <c r="I3337" s="210"/>
    </row>
    <row r="3338" spans="1:9" x14ac:dyDescent="0.25">
      <c r="A3338" s="74"/>
      <c r="B3338" s="45">
        <v>1448</v>
      </c>
      <c r="C3338" s="64" t="s">
        <v>1826</v>
      </c>
      <c r="D3338" s="74"/>
      <c r="E3338" s="208" t="s">
        <v>160</v>
      </c>
      <c r="F3338" s="209" t="s">
        <v>21</v>
      </c>
      <c r="G3338" s="209" t="s">
        <v>21</v>
      </c>
      <c r="H3338" s="209" t="s">
        <v>272</v>
      </c>
      <c r="I3338" s="210"/>
    </row>
    <row r="3339" spans="1:9" x14ac:dyDescent="0.25">
      <c r="A3339" s="74"/>
      <c r="B3339" s="45">
        <v>1449</v>
      </c>
      <c r="C3339" s="64" t="s">
        <v>1827</v>
      </c>
      <c r="D3339" s="74"/>
      <c r="E3339" s="208" t="s">
        <v>160</v>
      </c>
      <c r="F3339" s="209" t="s">
        <v>21</v>
      </c>
      <c r="G3339" s="209" t="s">
        <v>21</v>
      </c>
      <c r="H3339" s="209" t="s">
        <v>272</v>
      </c>
      <c r="I3339" s="210"/>
    </row>
    <row r="3340" spans="1:9" x14ac:dyDescent="0.25">
      <c r="A3340" s="74"/>
      <c r="B3340" s="45">
        <v>1450</v>
      </c>
      <c r="C3340" s="64" t="s">
        <v>1828</v>
      </c>
      <c r="D3340" s="74"/>
      <c r="E3340" s="208" t="s">
        <v>160</v>
      </c>
      <c r="F3340" s="209" t="s">
        <v>21</v>
      </c>
      <c r="G3340" s="209" t="s">
        <v>21</v>
      </c>
      <c r="H3340" s="209" t="s">
        <v>272</v>
      </c>
      <c r="I3340" s="210"/>
    </row>
    <row r="3341" spans="1:9" x14ac:dyDescent="0.25">
      <c r="A3341" s="74"/>
      <c r="B3341" s="45">
        <v>1451</v>
      </c>
      <c r="C3341" s="64" t="s">
        <v>1606</v>
      </c>
      <c r="D3341" s="74"/>
      <c r="E3341" s="208" t="s">
        <v>160</v>
      </c>
      <c r="F3341" s="209" t="s">
        <v>21</v>
      </c>
      <c r="G3341" s="209" t="s">
        <v>21</v>
      </c>
      <c r="H3341" s="209" t="s">
        <v>272</v>
      </c>
      <c r="I3341" s="210"/>
    </row>
    <row r="3342" spans="1:9" x14ac:dyDescent="0.25">
      <c r="A3342" s="74"/>
      <c r="B3342" s="45">
        <v>1452</v>
      </c>
      <c r="C3342" s="64" t="s">
        <v>1829</v>
      </c>
      <c r="D3342" s="74"/>
      <c r="E3342" s="208" t="s">
        <v>160</v>
      </c>
      <c r="F3342" s="209" t="s">
        <v>21</v>
      </c>
      <c r="G3342" s="209" t="s">
        <v>21</v>
      </c>
      <c r="H3342" s="209" t="s">
        <v>272</v>
      </c>
      <c r="I3342" s="210"/>
    </row>
    <row r="3343" spans="1:9" x14ac:dyDescent="0.25">
      <c r="A3343" s="74"/>
      <c r="B3343" s="45">
        <v>1453</v>
      </c>
      <c r="C3343" s="64" t="s">
        <v>1830</v>
      </c>
      <c r="D3343" s="74"/>
      <c r="E3343" s="208" t="s">
        <v>160</v>
      </c>
      <c r="F3343" s="209" t="s">
        <v>21</v>
      </c>
      <c r="G3343" s="209" t="s">
        <v>21</v>
      </c>
      <c r="H3343" s="209" t="s">
        <v>272</v>
      </c>
      <c r="I3343" s="210"/>
    </row>
    <row r="3344" spans="1:9" x14ac:dyDescent="0.25">
      <c r="A3344" s="74"/>
      <c r="B3344" s="45">
        <v>1454</v>
      </c>
      <c r="C3344" s="64" t="s">
        <v>1831</v>
      </c>
      <c r="D3344" s="74"/>
      <c r="E3344" s="208" t="s">
        <v>160</v>
      </c>
      <c r="F3344" s="209" t="s">
        <v>21</v>
      </c>
      <c r="G3344" s="209" t="s">
        <v>21</v>
      </c>
      <c r="H3344" s="209" t="s">
        <v>272</v>
      </c>
      <c r="I3344" s="210"/>
    </row>
    <row r="3345" spans="1:9" x14ac:dyDescent="0.25">
      <c r="A3345" s="74"/>
      <c r="B3345" s="45">
        <v>1498</v>
      </c>
      <c r="C3345" s="64" t="s">
        <v>1864</v>
      </c>
      <c r="D3345" s="74"/>
      <c r="E3345" s="208" t="s">
        <v>169</v>
      </c>
      <c r="F3345" s="209" t="s">
        <v>21</v>
      </c>
      <c r="G3345" s="209" t="s">
        <v>21</v>
      </c>
      <c r="H3345" s="209" t="s">
        <v>272</v>
      </c>
      <c r="I3345" s="210"/>
    </row>
    <row r="3346" spans="1:9" x14ac:dyDescent="0.25">
      <c r="A3346" s="74"/>
      <c r="B3346" s="45">
        <v>401</v>
      </c>
      <c r="C3346" s="64" t="s">
        <v>813</v>
      </c>
      <c r="D3346" s="74"/>
      <c r="E3346" s="208" t="s">
        <v>169</v>
      </c>
      <c r="F3346" s="209" t="s">
        <v>21</v>
      </c>
      <c r="G3346" s="209" t="s">
        <v>21</v>
      </c>
      <c r="H3346" s="209" t="s">
        <v>192</v>
      </c>
      <c r="I3346" s="210"/>
    </row>
    <row r="3347" spans="1:9" x14ac:dyDescent="0.25">
      <c r="A3347" s="74"/>
      <c r="B3347" s="45">
        <v>1546</v>
      </c>
      <c r="C3347" s="64" t="s">
        <v>1898</v>
      </c>
      <c r="D3347" s="74"/>
      <c r="E3347" s="208" t="s">
        <v>161</v>
      </c>
      <c r="F3347" s="209" t="s">
        <v>21</v>
      </c>
      <c r="G3347" s="209" t="s">
        <v>21</v>
      </c>
      <c r="H3347" s="209" t="s">
        <v>16</v>
      </c>
      <c r="I3347" s="210"/>
    </row>
    <row r="3348" spans="1:9" x14ac:dyDescent="0.25">
      <c r="A3348" s="74"/>
      <c r="B3348" s="45">
        <v>1547</v>
      </c>
      <c r="C3348" s="64" t="s">
        <v>1899</v>
      </c>
      <c r="D3348" s="74"/>
      <c r="E3348" s="208" t="s">
        <v>161</v>
      </c>
      <c r="F3348" s="209" t="s">
        <v>21</v>
      </c>
      <c r="G3348" s="209" t="s">
        <v>21</v>
      </c>
      <c r="H3348" s="209" t="s">
        <v>189</v>
      </c>
      <c r="I3348" s="210"/>
    </row>
    <row r="3349" spans="1:9" x14ac:dyDescent="0.25">
      <c r="A3349" s="74"/>
      <c r="B3349" s="45">
        <v>315</v>
      </c>
      <c r="C3349" s="64" t="s">
        <v>727</v>
      </c>
      <c r="D3349" s="74"/>
      <c r="E3349" s="208" t="s">
        <v>161</v>
      </c>
      <c r="F3349" s="209" t="s">
        <v>21</v>
      </c>
      <c r="G3349" s="209" t="s">
        <v>21</v>
      </c>
      <c r="H3349" s="209" t="s">
        <v>186</v>
      </c>
      <c r="I3349" s="210"/>
    </row>
    <row r="3350" spans="1:9" x14ac:dyDescent="0.25">
      <c r="A3350" s="74"/>
      <c r="B3350" s="45">
        <v>1548</v>
      </c>
      <c r="C3350" s="64" t="s">
        <v>1753</v>
      </c>
      <c r="D3350" s="74"/>
      <c r="E3350" s="208" t="s">
        <v>128</v>
      </c>
      <c r="F3350" s="209" t="s">
        <v>21</v>
      </c>
      <c r="G3350" s="209" t="s">
        <v>21</v>
      </c>
      <c r="H3350" s="209" t="s">
        <v>200</v>
      </c>
      <c r="I3350" s="210"/>
    </row>
    <row r="3351" spans="1:9" x14ac:dyDescent="0.25">
      <c r="A3351" s="74"/>
      <c r="B3351" s="45">
        <v>1549</v>
      </c>
      <c r="C3351" s="64" t="s">
        <v>1900</v>
      </c>
      <c r="D3351" s="74"/>
      <c r="E3351" s="208" t="s">
        <v>160</v>
      </c>
      <c r="F3351" s="209" t="s">
        <v>21</v>
      </c>
      <c r="G3351" s="209" t="s">
        <v>21</v>
      </c>
      <c r="H3351" s="209" t="s">
        <v>189</v>
      </c>
      <c r="I3351" s="210"/>
    </row>
    <row r="3352" spans="1:9" x14ac:dyDescent="0.25">
      <c r="A3352" s="74"/>
      <c r="B3352" s="45">
        <v>1550</v>
      </c>
      <c r="C3352" s="64" t="s">
        <v>1869</v>
      </c>
      <c r="D3352" s="74"/>
      <c r="E3352" s="208" t="s">
        <v>128</v>
      </c>
      <c r="F3352" s="209" t="s">
        <v>21</v>
      </c>
      <c r="G3352" s="209" t="s">
        <v>21</v>
      </c>
      <c r="H3352" s="209" t="s">
        <v>189</v>
      </c>
      <c r="I3352" s="210"/>
    </row>
    <row r="3353" spans="1:9" x14ac:dyDescent="0.25">
      <c r="A3353" s="74"/>
      <c r="B3353" s="45">
        <v>1551</v>
      </c>
      <c r="C3353" s="64" t="s">
        <v>1901</v>
      </c>
      <c r="D3353" s="74"/>
      <c r="E3353" s="208" t="s">
        <v>173</v>
      </c>
      <c r="F3353" s="209" t="s">
        <v>21</v>
      </c>
      <c r="G3353" s="209" t="s">
        <v>21</v>
      </c>
      <c r="H3353" s="209" t="s">
        <v>189</v>
      </c>
      <c r="I3353" s="210"/>
    </row>
    <row r="3354" spans="1:9" x14ac:dyDescent="0.25">
      <c r="A3354" s="74"/>
      <c r="B3354" s="45">
        <v>1552</v>
      </c>
      <c r="C3354" s="64" t="s">
        <v>1902</v>
      </c>
      <c r="D3354" s="74"/>
      <c r="E3354" s="208" t="s">
        <v>173</v>
      </c>
      <c r="F3354" s="209" t="s">
        <v>21</v>
      </c>
      <c r="G3354" s="209" t="s">
        <v>21</v>
      </c>
      <c r="H3354" s="209" t="s">
        <v>189</v>
      </c>
      <c r="I3354" s="210"/>
    </row>
    <row r="3355" spans="1:9" x14ac:dyDescent="0.25">
      <c r="A3355" s="74"/>
      <c r="B3355" s="45">
        <v>1553</v>
      </c>
      <c r="C3355" s="64" t="s">
        <v>1903</v>
      </c>
      <c r="D3355" s="74"/>
      <c r="E3355" s="208" t="s">
        <v>173</v>
      </c>
      <c r="F3355" s="209" t="s">
        <v>21</v>
      </c>
      <c r="G3355" s="209" t="s">
        <v>21</v>
      </c>
      <c r="H3355" s="209" t="s">
        <v>189</v>
      </c>
      <c r="I3355" s="210"/>
    </row>
    <row r="3356" spans="1:9" x14ac:dyDescent="0.25">
      <c r="A3356" s="74"/>
      <c r="B3356" s="45">
        <v>1510</v>
      </c>
      <c r="C3356" s="64" t="s">
        <v>1873</v>
      </c>
      <c r="D3356" s="74"/>
      <c r="E3356" s="208" t="s">
        <v>128</v>
      </c>
      <c r="F3356" s="209" t="s">
        <v>21</v>
      </c>
      <c r="G3356" s="209" t="s">
        <v>21</v>
      </c>
      <c r="H3356" s="209" t="s">
        <v>179</v>
      </c>
      <c r="I3356" s="210"/>
    </row>
    <row r="3357" spans="1:9" x14ac:dyDescent="0.25">
      <c r="A3357" s="74"/>
      <c r="B3357" s="45">
        <v>1554</v>
      </c>
      <c r="C3357" s="64" t="s">
        <v>1845</v>
      </c>
      <c r="D3357" s="74"/>
      <c r="E3357" s="208" t="s">
        <v>177</v>
      </c>
      <c r="F3357" s="209" t="s">
        <v>21</v>
      </c>
      <c r="G3357" s="209" t="s">
        <v>21</v>
      </c>
      <c r="H3357" s="209" t="s">
        <v>189</v>
      </c>
      <c r="I3357" s="210"/>
    </row>
    <row r="3358" spans="1:9" x14ac:dyDescent="0.25">
      <c r="A3358" s="74"/>
      <c r="B3358" s="45">
        <v>1555</v>
      </c>
      <c r="C3358" s="64" t="s">
        <v>1904</v>
      </c>
      <c r="D3358" s="74"/>
      <c r="E3358" s="208" t="s">
        <v>177</v>
      </c>
      <c r="F3358" s="209" t="s">
        <v>21</v>
      </c>
      <c r="G3358" s="209" t="s">
        <v>21</v>
      </c>
      <c r="H3358" s="209" t="s">
        <v>189</v>
      </c>
      <c r="I3358" s="210"/>
    </row>
    <row r="3359" spans="1:9" x14ac:dyDescent="0.25">
      <c r="A3359" s="74"/>
      <c r="B3359" s="45">
        <v>1556</v>
      </c>
      <c r="C3359" s="64" t="s">
        <v>1905</v>
      </c>
      <c r="D3359" s="74"/>
      <c r="E3359" s="208" t="s">
        <v>156</v>
      </c>
      <c r="F3359" s="209" t="s">
        <v>21</v>
      </c>
      <c r="G3359" s="209" t="s">
        <v>21</v>
      </c>
      <c r="H3359" s="209" t="s">
        <v>272</v>
      </c>
      <c r="I3359" s="210"/>
    </row>
    <row r="3360" spans="1:9" x14ac:dyDescent="0.25">
      <c r="A3360" s="74"/>
      <c r="B3360" s="45">
        <v>1557</v>
      </c>
      <c r="C3360" s="64" t="s">
        <v>1906</v>
      </c>
      <c r="D3360" s="74"/>
      <c r="E3360" s="208" t="s">
        <v>156</v>
      </c>
      <c r="F3360" s="209" t="s">
        <v>21</v>
      </c>
      <c r="G3360" s="209" t="s">
        <v>21</v>
      </c>
      <c r="H3360" s="209" t="s">
        <v>272</v>
      </c>
      <c r="I3360" s="210"/>
    </row>
    <row r="3361" spans="1:9" x14ac:dyDescent="0.25">
      <c r="A3361" s="74"/>
      <c r="B3361" s="45">
        <v>1558</v>
      </c>
      <c r="C3361" s="64" t="s">
        <v>1853</v>
      </c>
      <c r="D3361" s="74"/>
      <c r="E3361" s="208" t="s">
        <v>144</v>
      </c>
      <c r="F3361" s="209" t="s">
        <v>21</v>
      </c>
      <c r="G3361" s="209" t="s">
        <v>21</v>
      </c>
      <c r="H3361" s="209" t="s">
        <v>272</v>
      </c>
      <c r="I3361" s="210"/>
    </row>
    <row r="3362" spans="1:9" x14ac:dyDescent="0.25">
      <c r="A3362" s="74"/>
      <c r="B3362" s="45">
        <v>1559</v>
      </c>
      <c r="C3362" s="64" t="s">
        <v>1907</v>
      </c>
      <c r="D3362" s="74"/>
      <c r="E3362" s="208" t="s">
        <v>144</v>
      </c>
      <c r="F3362" s="209" t="s">
        <v>21</v>
      </c>
      <c r="G3362" s="209" t="s">
        <v>21</v>
      </c>
      <c r="H3362" s="209" t="s">
        <v>272</v>
      </c>
      <c r="I3362" s="210"/>
    </row>
    <row r="3363" spans="1:9" x14ac:dyDescent="0.25">
      <c r="A3363" s="74"/>
      <c r="B3363" s="45">
        <v>567</v>
      </c>
      <c r="C3363" s="64" t="s">
        <v>976</v>
      </c>
      <c r="D3363" s="74"/>
      <c r="E3363" s="208" t="s">
        <v>144</v>
      </c>
      <c r="F3363" s="209" t="s">
        <v>21</v>
      </c>
      <c r="G3363" s="209" t="s">
        <v>21</v>
      </c>
      <c r="H3363" s="209" t="s">
        <v>192</v>
      </c>
      <c r="I3363" s="210"/>
    </row>
    <row r="3364" spans="1:9" x14ac:dyDescent="0.25">
      <c r="A3364" s="74"/>
      <c r="B3364" s="45">
        <v>1560</v>
      </c>
      <c r="C3364" s="64" t="s">
        <v>1908</v>
      </c>
      <c r="D3364" s="74"/>
      <c r="E3364" s="208" t="s">
        <v>275</v>
      </c>
      <c r="F3364" s="209" t="s">
        <v>21</v>
      </c>
      <c r="G3364" s="209" t="s">
        <v>21</v>
      </c>
      <c r="H3364" s="209" t="s">
        <v>16</v>
      </c>
      <c r="I3364" s="210"/>
    </row>
    <row r="3365" spans="1:9" x14ac:dyDescent="0.25">
      <c r="A3365" s="74"/>
      <c r="B3365" s="45">
        <v>585</v>
      </c>
      <c r="C3365" s="64" t="s">
        <v>994</v>
      </c>
      <c r="D3365" s="74"/>
      <c r="E3365" s="208" t="s">
        <v>144</v>
      </c>
      <c r="F3365" s="209" t="s">
        <v>21</v>
      </c>
      <c r="G3365" s="209" t="s">
        <v>21</v>
      </c>
      <c r="H3365" s="209" t="s">
        <v>192</v>
      </c>
      <c r="I3365" s="210"/>
    </row>
    <row r="3366" spans="1:9" x14ac:dyDescent="0.25">
      <c r="A3366" s="74"/>
      <c r="B3366" s="45">
        <v>1561</v>
      </c>
      <c r="C3366" s="64" t="s">
        <v>1909</v>
      </c>
      <c r="D3366" s="74"/>
      <c r="E3366" s="208" t="s">
        <v>144</v>
      </c>
      <c r="F3366" s="209" t="s">
        <v>21</v>
      </c>
      <c r="G3366" s="209" t="s">
        <v>21</v>
      </c>
      <c r="H3366" s="209" t="s">
        <v>16</v>
      </c>
      <c r="I3366" s="210"/>
    </row>
    <row r="3367" spans="1:9" x14ac:dyDescent="0.25">
      <c r="A3367" s="74"/>
      <c r="B3367" s="45">
        <v>1562</v>
      </c>
      <c r="C3367" s="64" t="s">
        <v>1910</v>
      </c>
      <c r="D3367" s="74"/>
      <c r="E3367" s="208" t="s">
        <v>144</v>
      </c>
      <c r="F3367" s="209" t="s">
        <v>21</v>
      </c>
      <c r="G3367" s="209" t="s">
        <v>21</v>
      </c>
      <c r="H3367" s="209" t="s">
        <v>272</v>
      </c>
      <c r="I3367" s="210"/>
    </row>
    <row r="3368" spans="1:9" x14ac:dyDescent="0.25">
      <c r="A3368" s="74"/>
      <c r="B3368" s="45">
        <v>1563</v>
      </c>
      <c r="C3368" s="64" t="s">
        <v>1911</v>
      </c>
      <c r="D3368" s="74"/>
      <c r="E3368" s="208" t="s">
        <v>144</v>
      </c>
      <c r="F3368" s="209" t="s">
        <v>21</v>
      </c>
      <c r="G3368" s="209" t="s">
        <v>21</v>
      </c>
      <c r="H3368" s="209" t="s">
        <v>272</v>
      </c>
      <c r="I3368" s="210"/>
    </row>
    <row r="3369" spans="1:9" x14ac:dyDescent="0.25">
      <c r="A3369" s="74"/>
      <c r="B3369" s="45">
        <v>621</v>
      </c>
      <c r="C3369" s="64" t="s">
        <v>1030</v>
      </c>
      <c r="D3369" s="74"/>
      <c r="E3369" s="208" t="s">
        <v>144</v>
      </c>
      <c r="F3369" s="209" t="s">
        <v>21</v>
      </c>
      <c r="G3369" s="209" t="s">
        <v>21</v>
      </c>
      <c r="H3369" s="209" t="s">
        <v>192</v>
      </c>
      <c r="I3369" s="210"/>
    </row>
    <row r="3370" spans="1:9" x14ac:dyDescent="0.25">
      <c r="A3370" s="74"/>
      <c r="B3370" s="45">
        <v>473</v>
      </c>
      <c r="C3370" s="64" t="s">
        <v>885</v>
      </c>
      <c r="D3370" s="74"/>
      <c r="E3370" s="208" t="s">
        <v>144</v>
      </c>
      <c r="F3370" s="209" t="s">
        <v>21</v>
      </c>
      <c r="G3370" s="209" t="s">
        <v>21</v>
      </c>
      <c r="H3370" s="209" t="s">
        <v>272</v>
      </c>
      <c r="I3370" s="210"/>
    </row>
    <row r="3371" spans="1:9" x14ac:dyDescent="0.25">
      <c r="A3371" s="74"/>
      <c r="B3371" s="45">
        <v>1562</v>
      </c>
      <c r="C3371" s="64" t="s">
        <v>1910</v>
      </c>
      <c r="D3371" s="74"/>
      <c r="E3371" s="208" t="s">
        <v>144</v>
      </c>
      <c r="F3371" s="209" t="s">
        <v>21</v>
      </c>
      <c r="G3371" s="209" t="s">
        <v>21</v>
      </c>
      <c r="H3371" s="209" t="s">
        <v>272</v>
      </c>
      <c r="I3371" s="210"/>
    </row>
    <row r="3372" spans="1:9" x14ac:dyDescent="0.25">
      <c r="A3372" s="74"/>
      <c r="B3372" s="45">
        <v>1563</v>
      </c>
      <c r="C3372" s="64" t="s">
        <v>1911</v>
      </c>
      <c r="D3372" s="74"/>
      <c r="E3372" s="208" t="s">
        <v>144</v>
      </c>
      <c r="F3372" s="209" t="s">
        <v>21</v>
      </c>
      <c r="G3372" s="209" t="s">
        <v>21</v>
      </c>
      <c r="H3372" s="209" t="s">
        <v>272</v>
      </c>
      <c r="I3372" s="210"/>
    </row>
    <row r="3373" spans="1:9" x14ac:dyDescent="0.25">
      <c r="A3373" s="74"/>
      <c r="B3373" s="45">
        <v>621</v>
      </c>
      <c r="C3373" s="64" t="s">
        <v>1030</v>
      </c>
      <c r="D3373" s="74"/>
      <c r="E3373" s="208" t="s">
        <v>144</v>
      </c>
      <c r="F3373" s="209" t="s">
        <v>21</v>
      </c>
      <c r="G3373" s="209" t="s">
        <v>21</v>
      </c>
      <c r="H3373" s="209" t="s">
        <v>192</v>
      </c>
      <c r="I3373" s="210"/>
    </row>
    <row r="3374" spans="1:9" x14ac:dyDescent="0.25">
      <c r="A3374" s="74"/>
      <c r="B3374" s="45">
        <v>473</v>
      </c>
      <c r="C3374" s="64" t="s">
        <v>885</v>
      </c>
      <c r="D3374" s="74"/>
      <c r="E3374" s="208" t="s">
        <v>144</v>
      </c>
      <c r="F3374" s="209" t="s">
        <v>21</v>
      </c>
      <c r="G3374" s="209" t="s">
        <v>21</v>
      </c>
      <c r="H3374" s="209" t="s">
        <v>272</v>
      </c>
      <c r="I3374" s="210"/>
    </row>
    <row r="3375" spans="1:9" x14ac:dyDescent="0.25">
      <c r="A3375" s="74"/>
      <c r="B3375" s="45">
        <v>621</v>
      </c>
      <c r="C3375" s="64" t="s">
        <v>1030</v>
      </c>
      <c r="D3375" s="74"/>
      <c r="E3375" s="208" t="s">
        <v>144</v>
      </c>
      <c r="F3375" s="209" t="s">
        <v>21</v>
      </c>
      <c r="G3375" s="209" t="s">
        <v>21</v>
      </c>
      <c r="H3375" s="209" t="s">
        <v>16</v>
      </c>
      <c r="I3375" s="210"/>
    </row>
    <row r="3376" spans="1:9" x14ac:dyDescent="0.25">
      <c r="A3376" s="74"/>
      <c r="B3376" s="45">
        <v>602</v>
      </c>
      <c r="C3376" s="64" t="s">
        <v>1011</v>
      </c>
      <c r="D3376" s="74"/>
      <c r="E3376" s="208" t="s">
        <v>144</v>
      </c>
      <c r="F3376" s="209" t="s">
        <v>21</v>
      </c>
      <c r="G3376" s="209" t="s">
        <v>21</v>
      </c>
      <c r="H3376" s="209" t="s">
        <v>192</v>
      </c>
      <c r="I3376" s="210"/>
    </row>
    <row r="3377" spans="1:9" x14ac:dyDescent="0.25">
      <c r="A3377" s="74"/>
      <c r="B3377" s="45">
        <v>475</v>
      </c>
      <c r="C3377" s="64" t="s">
        <v>887</v>
      </c>
      <c r="D3377" s="74"/>
      <c r="E3377" s="208" t="s">
        <v>144</v>
      </c>
      <c r="F3377" s="209" t="s">
        <v>21</v>
      </c>
      <c r="G3377" s="209" t="s">
        <v>21</v>
      </c>
      <c r="H3377" s="209" t="s">
        <v>192</v>
      </c>
      <c r="I3377" s="210"/>
    </row>
    <row r="3378" spans="1:9" x14ac:dyDescent="0.25">
      <c r="A3378" s="74"/>
      <c r="B3378" s="45">
        <v>487</v>
      </c>
      <c r="C3378" s="64" t="s">
        <v>898</v>
      </c>
      <c r="D3378" s="74"/>
      <c r="E3378" s="208" t="s">
        <v>146</v>
      </c>
      <c r="F3378" s="209" t="s">
        <v>21</v>
      </c>
      <c r="G3378" s="209" t="s">
        <v>21</v>
      </c>
      <c r="H3378" s="209" t="s">
        <v>186</v>
      </c>
      <c r="I3378" s="210"/>
    </row>
    <row r="3379" spans="1:9" x14ac:dyDescent="0.25">
      <c r="A3379" s="74"/>
      <c r="B3379" s="45">
        <v>1564</v>
      </c>
      <c r="C3379" s="64" t="s">
        <v>1912</v>
      </c>
      <c r="D3379" s="74"/>
      <c r="E3379" s="208" t="s">
        <v>146</v>
      </c>
      <c r="F3379" s="209" t="s">
        <v>21</v>
      </c>
      <c r="G3379" s="209" t="s">
        <v>21</v>
      </c>
      <c r="H3379" s="209" t="s">
        <v>198</v>
      </c>
      <c r="I3379" s="210"/>
    </row>
    <row r="3380" spans="1:9" x14ac:dyDescent="0.25">
      <c r="A3380" s="74"/>
      <c r="B3380" s="45">
        <v>479</v>
      </c>
      <c r="C3380" s="64" t="s">
        <v>890</v>
      </c>
      <c r="D3380" s="74"/>
      <c r="E3380" s="208" t="s">
        <v>146</v>
      </c>
      <c r="F3380" s="209" t="s">
        <v>21</v>
      </c>
      <c r="G3380" s="209" t="s">
        <v>21</v>
      </c>
      <c r="H3380" s="209" t="s">
        <v>186</v>
      </c>
      <c r="I3380" s="210"/>
    </row>
    <row r="3381" spans="1:9" x14ac:dyDescent="0.25">
      <c r="A3381" s="74"/>
      <c r="B3381" s="45">
        <v>529</v>
      </c>
      <c r="C3381" s="64" t="s">
        <v>939</v>
      </c>
      <c r="D3381" s="74"/>
      <c r="E3381" s="208" t="s">
        <v>163</v>
      </c>
      <c r="F3381" s="209" t="s">
        <v>21</v>
      </c>
      <c r="G3381" s="209" t="s">
        <v>21</v>
      </c>
      <c r="H3381" s="209" t="s">
        <v>198</v>
      </c>
      <c r="I3381" s="210"/>
    </row>
    <row r="3382" spans="1:9" x14ac:dyDescent="0.25">
      <c r="A3382" s="74"/>
      <c r="B3382" s="45">
        <v>517</v>
      </c>
      <c r="C3382" s="64" t="s">
        <v>927</v>
      </c>
      <c r="D3382" s="74"/>
      <c r="E3382" s="208" t="s">
        <v>163</v>
      </c>
      <c r="F3382" s="209" t="s">
        <v>21</v>
      </c>
      <c r="G3382" s="209" t="s">
        <v>21</v>
      </c>
      <c r="H3382" s="209" t="s">
        <v>187</v>
      </c>
      <c r="I3382" s="210"/>
    </row>
    <row r="3383" spans="1:9" x14ac:dyDescent="0.25">
      <c r="A3383" s="74"/>
      <c r="B3383" s="45">
        <v>1565</v>
      </c>
      <c r="C3383" s="64" t="s">
        <v>1770</v>
      </c>
      <c r="D3383" s="74"/>
      <c r="E3383" s="208" t="s">
        <v>146</v>
      </c>
      <c r="F3383" s="209" t="s">
        <v>21</v>
      </c>
      <c r="G3383" s="209" t="s">
        <v>21</v>
      </c>
      <c r="H3383" s="209" t="s">
        <v>198</v>
      </c>
      <c r="I3383" s="210"/>
    </row>
    <row r="3384" spans="1:9" x14ac:dyDescent="0.25">
      <c r="A3384" s="74"/>
      <c r="B3384" s="45">
        <v>1566</v>
      </c>
      <c r="C3384" s="64" t="s">
        <v>1818</v>
      </c>
      <c r="D3384" s="74"/>
      <c r="E3384" s="208" t="s">
        <v>146</v>
      </c>
      <c r="F3384" s="209" t="s">
        <v>21</v>
      </c>
      <c r="G3384" s="209" t="s">
        <v>21</v>
      </c>
      <c r="H3384" s="209" t="s">
        <v>198</v>
      </c>
      <c r="I3384" s="210"/>
    </row>
    <row r="3385" spans="1:9" x14ac:dyDescent="0.25">
      <c r="A3385" s="74"/>
      <c r="B3385" s="45">
        <v>1567</v>
      </c>
      <c r="C3385" s="64" t="s">
        <v>1913</v>
      </c>
      <c r="D3385" s="74"/>
      <c r="E3385" s="208" t="s">
        <v>165</v>
      </c>
      <c r="F3385" s="209" t="s">
        <v>21</v>
      </c>
      <c r="G3385" s="209" t="s">
        <v>21</v>
      </c>
      <c r="H3385" s="209" t="s">
        <v>187</v>
      </c>
      <c r="I3385" s="210"/>
    </row>
    <row r="3386" spans="1:9" x14ac:dyDescent="0.25">
      <c r="A3386" s="74"/>
      <c r="B3386" s="45">
        <v>578</v>
      </c>
      <c r="C3386" s="64" t="s">
        <v>987</v>
      </c>
      <c r="D3386" s="74"/>
      <c r="E3386" s="208" t="s">
        <v>165</v>
      </c>
      <c r="F3386" s="209" t="s">
        <v>21</v>
      </c>
      <c r="G3386" s="209" t="s">
        <v>21</v>
      </c>
      <c r="H3386" s="209" t="s">
        <v>186</v>
      </c>
      <c r="I3386" s="210"/>
    </row>
    <row r="3387" spans="1:9" x14ac:dyDescent="0.25">
      <c r="A3387" s="74"/>
      <c r="B3387" s="45">
        <v>625</v>
      </c>
      <c r="C3387" s="64" t="s">
        <v>1034</v>
      </c>
      <c r="D3387" s="74"/>
      <c r="E3387" s="208" t="s">
        <v>165</v>
      </c>
      <c r="F3387" s="209" t="s">
        <v>21</v>
      </c>
      <c r="G3387" s="209" t="s">
        <v>21</v>
      </c>
      <c r="H3387" s="209" t="s">
        <v>186</v>
      </c>
      <c r="I3387" s="210"/>
    </row>
    <row r="3388" spans="1:9" x14ac:dyDescent="0.25">
      <c r="A3388" s="74"/>
      <c r="B3388" s="45">
        <v>570</v>
      </c>
      <c r="C3388" s="64" t="s">
        <v>979</v>
      </c>
      <c r="D3388" s="74"/>
      <c r="E3388" s="208" t="s">
        <v>167</v>
      </c>
      <c r="F3388" s="209" t="s">
        <v>21</v>
      </c>
      <c r="G3388" s="209" t="s">
        <v>21</v>
      </c>
      <c r="H3388" s="209" t="s">
        <v>186</v>
      </c>
      <c r="I3388" s="210"/>
    </row>
    <row r="3389" spans="1:9" x14ac:dyDescent="0.25">
      <c r="A3389" s="74"/>
      <c r="B3389" s="45">
        <v>1568</v>
      </c>
      <c r="C3389" s="64" t="s">
        <v>1914</v>
      </c>
      <c r="D3389" s="74"/>
      <c r="E3389" s="208" t="s">
        <v>167</v>
      </c>
      <c r="F3389" s="209" t="s">
        <v>21</v>
      </c>
      <c r="G3389" s="209" t="s">
        <v>21</v>
      </c>
      <c r="H3389" s="209" t="s">
        <v>187</v>
      </c>
      <c r="I3389" s="210"/>
    </row>
    <row r="3390" spans="1:9" x14ac:dyDescent="0.25">
      <c r="A3390" s="74"/>
      <c r="B3390" s="45">
        <v>574</v>
      </c>
      <c r="C3390" s="64" t="s">
        <v>983</v>
      </c>
      <c r="D3390" s="74"/>
      <c r="E3390" s="208" t="s">
        <v>167</v>
      </c>
      <c r="F3390" s="209" t="s">
        <v>21</v>
      </c>
      <c r="G3390" s="209" t="s">
        <v>21</v>
      </c>
      <c r="H3390" s="209" t="s">
        <v>186</v>
      </c>
      <c r="I3390" s="210"/>
    </row>
    <row r="3391" spans="1:9" x14ac:dyDescent="0.25">
      <c r="A3391" s="74"/>
      <c r="B3391" s="45">
        <v>1569</v>
      </c>
      <c r="C3391" s="64" t="s">
        <v>1915</v>
      </c>
      <c r="D3391" s="74"/>
      <c r="E3391" s="208" t="s">
        <v>167</v>
      </c>
      <c r="F3391" s="209" t="s">
        <v>21</v>
      </c>
      <c r="G3391" s="209" t="s">
        <v>21</v>
      </c>
      <c r="H3391" s="209" t="s">
        <v>200</v>
      </c>
      <c r="I3391" s="210"/>
    </row>
    <row r="3392" spans="1:9" x14ac:dyDescent="0.25">
      <c r="A3392" s="74"/>
      <c r="B3392" s="45">
        <v>568</v>
      </c>
      <c r="C3392" s="64" t="s">
        <v>977</v>
      </c>
      <c r="D3392" s="74"/>
      <c r="E3392" s="208" t="s">
        <v>166</v>
      </c>
      <c r="F3392" s="209" t="s">
        <v>21</v>
      </c>
      <c r="G3392" s="209" t="s">
        <v>21</v>
      </c>
      <c r="H3392" s="209" t="s">
        <v>186</v>
      </c>
      <c r="I3392" s="210"/>
    </row>
    <row r="3393" spans="1:9" x14ac:dyDescent="0.25">
      <c r="A3393" s="74"/>
      <c r="B3393" s="45">
        <v>572</v>
      </c>
      <c r="C3393" s="64" t="s">
        <v>981</v>
      </c>
      <c r="D3393" s="74"/>
      <c r="E3393" s="208" t="s">
        <v>166</v>
      </c>
      <c r="F3393" s="209" t="s">
        <v>21</v>
      </c>
      <c r="G3393" s="209" t="s">
        <v>21</v>
      </c>
      <c r="H3393" s="209" t="s">
        <v>186</v>
      </c>
      <c r="I3393" s="210"/>
    </row>
    <row r="3394" spans="1:9" x14ac:dyDescent="0.25">
      <c r="A3394" s="74"/>
      <c r="B3394" s="45">
        <v>1571</v>
      </c>
      <c r="C3394" s="64" t="s">
        <v>1916</v>
      </c>
      <c r="D3394" s="74"/>
      <c r="E3394" s="208" t="s">
        <v>273</v>
      </c>
      <c r="F3394" s="209" t="s">
        <v>21</v>
      </c>
      <c r="G3394" s="209" t="s">
        <v>21</v>
      </c>
      <c r="H3394" s="209" t="s">
        <v>183</v>
      </c>
      <c r="I3394" s="210"/>
    </row>
    <row r="3395" spans="1:9" x14ac:dyDescent="0.25">
      <c r="A3395" s="74"/>
      <c r="B3395" s="45">
        <v>472</v>
      </c>
      <c r="C3395" s="64" t="s">
        <v>884</v>
      </c>
      <c r="D3395" s="74"/>
      <c r="E3395" s="208" t="s">
        <v>144</v>
      </c>
      <c r="F3395" s="209" t="s">
        <v>21</v>
      </c>
      <c r="G3395" s="209" t="s">
        <v>21</v>
      </c>
      <c r="H3395" s="209" t="s">
        <v>198</v>
      </c>
      <c r="I3395" s="210"/>
    </row>
    <row r="3396" spans="1:9" x14ac:dyDescent="0.25">
      <c r="A3396" s="74"/>
      <c r="B3396" s="45">
        <v>471</v>
      </c>
      <c r="C3396" s="64" t="s">
        <v>883</v>
      </c>
      <c r="D3396" s="74"/>
      <c r="E3396" s="208" t="s">
        <v>144</v>
      </c>
      <c r="F3396" s="209" t="s">
        <v>21</v>
      </c>
      <c r="G3396" s="209" t="s">
        <v>21</v>
      </c>
      <c r="H3396" s="209" t="s">
        <v>198</v>
      </c>
      <c r="I3396" s="210"/>
    </row>
    <row r="3397" spans="1:9" x14ac:dyDescent="0.25">
      <c r="A3397" s="74"/>
      <c r="B3397" s="45">
        <v>1572</v>
      </c>
      <c r="C3397" s="64" t="s">
        <v>1917</v>
      </c>
      <c r="D3397" s="74"/>
      <c r="E3397" s="208" t="s">
        <v>146</v>
      </c>
      <c r="F3397" s="209" t="s">
        <v>21</v>
      </c>
      <c r="G3397" s="209" t="s">
        <v>21</v>
      </c>
      <c r="H3397" s="209" t="s">
        <v>198</v>
      </c>
      <c r="I3397" s="210"/>
    </row>
    <row r="3398" spans="1:9" x14ac:dyDescent="0.25">
      <c r="A3398" s="74"/>
      <c r="B3398" s="45">
        <v>1573</v>
      </c>
      <c r="C3398" s="64" t="s">
        <v>1918</v>
      </c>
      <c r="D3398" s="74"/>
      <c r="E3398" s="208" t="s">
        <v>146</v>
      </c>
      <c r="F3398" s="209" t="s">
        <v>21</v>
      </c>
      <c r="G3398" s="209" t="s">
        <v>21</v>
      </c>
      <c r="H3398" s="209" t="s">
        <v>189</v>
      </c>
      <c r="I3398" s="210"/>
    </row>
    <row r="3399" spans="1:9" x14ac:dyDescent="0.25">
      <c r="A3399" s="74"/>
      <c r="B3399" s="45">
        <v>1574</v>
      </c>
      <c r="C3399" s="64" t="s">
        <v>1919</v>
      </c>
      <c r="D3399" s="74"/>
      <c r="E3399" s="208" t="s">
        <v>141</v>
      </c>
      <c r="F3399" s="209" t="s">
        <v>21</v>
      </c>
      <c r="G3399" s="209" t="s">
        <v>21</v>
      </c>
      <c r="H3399" s="209" t="s">
        <v>272</v>
      </c>
      <c r="I3399" s="210"/>
    </row>
    <row r="3400" spans="1:9" x14ac:dyDescent="0.25">
      <c r="A3400" s="74"/>
      <c r="B3400" s="45">
        <v>614</v>
      </c>
      <c r="C3400" s="64" t="s">
        <v>1023</v>
      </c>
      <c r="D3400" s="74"/>
      <c r="E3400" s="208" t="s">
        <v>145</v>
      </c>
      <c r="F3400" s="209" t="s">
        <v>21</v>
      </c>
      <c r="G3400" s="209" t="s">
        <v>21</v>
      </c>
      <c r="H3400" s="209" t="s">
        <v>187</v>
      </c>
      <c r="I3400" s="210"/>
    </row>
    <row r="3401" spans="1:9" x14ac:dyDescent="0.25">
      <c r="A3401" s="74"/>
      <c r="B3401" s="45">
        <v>1575</v>
      </c>
      <c r="C3401" s="64" t="s">
        <v>1871</v>
      </c>
      <c r="D3401" s="74"/>
      <c r="E3401" s="208" t="s">
        <v>141</v>
      </c>
      <c r="F3401" s="209" t="s">
        <v>21</v>
      </c>
      <c r="G3401" s="209" t="s">
        <v>21</v>
      </c>
      <c r="H3401" s="209" t="s">
        <v>198</v>
      </c>
      <c r="I3401" s="210"/>
    </row>
    <row r="3402" spans="1:9" x14ac:dyDescent="0.25">
      <c r="A3402" s="74"/>
      <c r="B3402" s="45">
        <v>485</v>
      </c>
      <c r="C3402" s="64" t="s">
        <v>896</v>
      </c>
      <c r="D3402" s="74"/>
      <c r="E3402" s="208" t="s">
        <v>141</v>
      </c>
      <c r="F3402" s="209" t="s">
        <v>21</v>
      </c>
      <c r="G3402" s="209" t="s">
        <v>21</v>
      </c>
      <c r="H3402" s="209" t="s">
        <v>198</v>
      </c>
      <c r="I3402" s="210"/>
    </row>
    <row r="3403" spans="1:9" x14ac:dyDescent="0.25">
      <c r="A3403" s="74"/>
      <c r="B3403" s="45">
        <v>497</v>
      </c>
      <c r="C3403" s="64" t="s">
        <v>907</v>
      </c>
      <c r="D3403" s="74"/>
      <c r="E3403" s="208" t="s">
        <v>145</v>
      </c>
      <c r="F3403" s="209" t="s">
        <v>21</v>
      </c>
      <c r="G3403" s="209" t="s">
        <v>21</v>
      </c>
      <c r="H3403" s="209" t="s">
        <v>189</v>
      </c>
      <c r="I3403" s="210"/>
    </row>
    <row r="3404" spans="1:9" x14ac:dyDescent="0.25">
      <c r="A3404" s="74"/>
      <c r="B3404" s="45">
        <v>1576</v>
      </c>
      <c r="C3404" s="64" t="s">
        <v>1920</v>
      </c>
      <c r="D3404" s="74"/>
      <c r="E3404" s="208" t="s">
        <v>140</v>
      </c>
      <c r="F3404" s="209" t="s">
        <v>21</v>
      </c>
      <c r="G3404" s="209" t="s">
        <v>21</v>
      </c>
      <c r="H3404" s="209" t="s">
        <v>198</v>
      </c>
      <c r="I3404" s="210"/>
    </row>
    <row r="3405" spans="1:9" x14ac:dyDescent="0.25">
      <c r="A3405" s="74"/>
      <c r="B3405" s="45">
        <v>486</v>
      </c>
      <c r="C3405" s="64" t="s">
        <v>897</v>
      </c>
      <c r="D3405" s="74"/>
      <c r="E3405" s="208" t="s">
        <v>140</v>
      </c>
      <c r="F3405" s="209" t="s">
        <v>21</v>
      </c>
      <c r="G3405" s="209" t="s">
        <v>21</v>
      </c>
      <c r="H3405" s="209" t="s">
        <v>187</v>
      </c>
      <c r="I3405" s="210"/>
    </row>
    <row r="3406" spans="1:9" x14ac:dyDescent="0.25">
      <c r="A3406" s="74"/>
      <c r="B3406" s="45">
        <v>1566</v>
      </c>
      <c r="C3406" s="64" t="s">
        <v>1818</v>
      </c>
      <c r="D3406" s="74"/>
      <c r="E3406" s="208" t="s">
        <v>146</v>
      </c>
      <c r="F3406" s="209" t="s">
        <v>21</v>
      </c>
      <c r="G3406" s="209" t="s">
        <v>21</v>
      </c>
      <c r="H3406" s="209" t="s">
        <v>198</v>
      </c>
      <c r="I3406" s="210"/>
    </row>
    <row r="3407" spans="1:9" x14ac:dyDescent="0.25">
      <c r="A3407" s="74"/>
      <c r="B3407" s="45">
        <v>1577</v>
      </c>
      <c r="C3407" s="64" t="s">
        <v>1625</v>
      </c>
      <c r="D3407" s="74"/>
      <c r="E3407" s="208" t="s">
        <v>146</v>
      </c>
      <c r="F3407" s="209" t="s">
        <v>21</v>
      </c>
      <c r="G3407" s="209" t="s">
        <v>21</v>
      </c>
      <c r="H3407" s="209" t="s">
        <v>198</v>
      </c>
      <c r="I3407" s="210"/>
    </row>
    <row r="3408" spans="1:9" x14ac:dyDescent="0.25">
      <c r="A3408" s="74"/>
      <c r="B3408" s="45">
        <v>468</v>
      </c>
      <c r="C3408" s="64" t="s">
        <v>880</v>
      </c>
      <c r="D3408" s="74"/>
      <c r="E3408" s="208" t="s">
        <v>156</v>
      </c>
      <c r="F3408" s="209" t="s">
        <v>21</v>
      </c>
      <c r="G3408" s="209" t="s">
        <v>21</v>
      </c>
      <c r="H3408" s="209" t="s">
        <v>192</v>
      </c>
      <c r="I3408" s="210"/>
    </row>
    <row r="3409" spans="1:9" x14ac:dyDescent="0.25">
      <c r="A3409" s="74"/>
      <c r="B3409" s="45">
        <v>613</v>
      </c>
      <c r="C3409" s="64" t="s">
        <v>1022</v>
      </c>
      <c r="D3409" s="74"/>
      <c r="E3409" s="208" t="s">
        <v>131</v>
      </c>
      <c r="F3409" s="209" t="s">
        <v>21</v>
      </c>
      <c r="G3409" s="209" t="s">
        <v>21</v>
      </c>
      <c r="H3409" s="209" t="s">
        <v>179</v>
      </c>
      <c r="I3409" s="210"/>
    </row>
    <row r="3410" spans="1:9" x14ac:dyDescent="0.25">
      <c r="A3410" s="74"/>
      <c r="B3410" s="45">
        <v>482</v>
      </c>
      <c r="C3410" s="64" t="s">
        <v>893</v>
      </c>
      <c r="D3410" s="74"/>
      <c r="E3410" s="208" t="s">
        <v>166</v>
      </c>
      <c r="F3410" s="209" t="s">
        <v>21</v>
      </c>
      <c r="G3410" s="209" t="s">
        <v>21</v>
      </c>
      <c r="H3410" s="209" t="s">
        <v>183</v>
      </c>
      <c r="I3410" s="210"/>
    </row>
    <row r="3411" spans="1:9" x14ac:dyDescent="0.25">
      <c r="A3411" s="74"/>
      <c r="B3411" s="45">
        <v>587</v>
      </c>
      <c r="C3411" s="64" t="s">
        <v>996</v>
      </c>
      <c r="D3411" s="74"/>
      <c r="E3411" s="208" t="s">
        <v>151</v>
      </c>
      <c r="F3411" s="209" t="s">
        <v>21</v>
      </c>
      <c r="G3411" s="209" t="s">
        <v>21</v>
      </c>
      <c r="H3411" s="209" t="s">
        <v>179</v>
      </c>
      <c r="I3411" s="210"/>
    </row>
    <row r="3412" spans="1:9" x14ac:dyDescent="0.25">
      <c r="A3412" s="74"/>
      <c r="B3412" s="45">
        <v>606</v>
      </c>
      <c r="C3412" s="64" t="s">
        <v>1015</v>
      </c>
      <c r="D3412" s="74"/>
      <c r="E3412" s="208" t="s">
        <v>155</v>
      </c>
      <c r="F3412" s="209" t="s">
        <v>21</v>
      </c>
      <c r="G3412" s="209" t="s">
        <v>21</v>
      </c>
      <c r="H3412" s="209" t="s">
        <v>179</v>
      </c>
      <c r="I3412" s="210"/>
    </row>
    <row r="3413" spans="1:9" x14ac:dyDescent="0.25">
      <c r="A3413" s="74"/>
      <c r="B3413" s="45">
        <v>546</v>
      </c>
      <c r="C3413" s="64" t="s">
        <v>956</v>
      </c>
      <c r="D3413" s="74"/>
      <c r="E3413" s="208" t="s">
        <v>156</v>
      </c>
      <c r="F3413" s="209" t="s">
        <v>21</v>
      </c>
      <c r="G3413" s="209" t="s">
        <v>21</v>
      </c>
      <c r="H3413" s="209" t="s">
        <v>198</v>
      </c>
      <c r="I3413" s="210"/>
    </row>
    <row r="3414" spans="1:9" x14ac:dyDescent="0.25">
      <c r="A3414" s="74"/>
      <c r="B3414" s="45">
        <v>500</v>
      </c>
      <c r="C3414" s="64" t="s">
        <v>910</v>
      </c>
      <c r="D3414" s="74"/>
      <c r="E3414" s="208" t="s">
        <v>145</v>
      </c>
      <c r="F3414" s="209" t="s">
        <v>21</v>
      </c>
      <c r="G3414" s="209" t="s">
        <v>21</v>
      </c>
      <c r="H3414" s="209" t="s">
        <v>189</v>
      </c>
      <c r="I3414" s="210"/>
    </row>
    <row r="3415" spans="1:9" x14ac:dyDescent="0.25">
      <c r="A3415" s="74"/>
      <c r="B3415" s="45">
        <v>539</v>
      </c>
      <c r="C3415" s="64" t="s">
        <v>949</v>
      </c>
      <c r="D3415" s="74"/>
      <c r="E3415" s="208" t="s">
        <v>156</v>
      </c>
      <c r="F3415" s="209" t="s">
        <v>21</v>
      </c>
      <c r="G3415" s="209" t="s">
        <v>21</v>
      </c>
      <c r="H3415" s="209" t="s">
        <v>189</v>
      </c>
      <c r="I3415" s="210"/>
    </row>
    <row r="3416" spans="1:9" x14ac:dyDescent="0.25">
      <c r="A3416" s="74"/>
      <c r="B3416" s="45">
        <v>509</v>
      </c>
      <c r="C3416" s="64" t="s">
        <v>919</v>
      </c>
      <c r="D3416" s="74"/>
      <c r="E3416" s="208" t="s">
        <v>145</v>
      </c>
      <c r="F3416" s="209" t="s">
        <v>21</v>
      </c>
      <c r="G3416" s="209" t="s">
        <v>21</v>
      </c>
      <c r="H3416" s="209" t="s">
        <v>193</v>
      </c>
      <c r="I3416" s="210"/>
    </row>
    <row r="3417" spans="1:9" x14ac:dyDescent="0.25">
      <c r="A3417" s="74"/>
      <c r="B3417" s="45">
        <v>1579</v>
      </c>
      <c r="C3417" s="64" t="s">
        <v>1921</v>
      </c>
      <c r="D3417" s="74"/>
      <c r="E3417" s="208" t="s">
        <v>286</v>
      </c>
      <c r="F3417" s="209" t="s">
        <v>21</v>
      </c>
      <c r="G3417" s="209" t="s">
        <v>21</v>
      </c>
      <c r="H3417" s="209" t="s">
        <v>179</v>
      </c>
      <c r="I3417" s="210"/>
    </row>
    <row r="3418" spans="1:9" x14ac:dyDescent="0.25">
      <c r="A3418" s="74"/>
      <c r="B3418" s="45">
        <v>490</v>
      </c>
      <c r="C3418" s="64" t="s">
        <v>901</v>
      </c>
      <c r="D3418" s="74"/>
      <c r="E3418" s="208" t="s">
        <v>156</v>
      </c>
      <c r="F3418" s="209" t="s">
        <v>21</v>
      </c>
      <c r="G3418" s="209" t="s">
        <v>21</v>
      </c>
      <c r="H3418" s="209" t="s">
        <v>183</v>
      </c>
      <c r="I3418" s="210"/>
    </row>
    <row r="3419" spans="1:9" x14ac:dyDescent="0.25">
      <c r="A3419" s="74"/>
      <c r="B3419" s="45">
        <v>1580</v>
      </c>
      <c r="C3419" s="64" t="s">
        <v>1918</v>
      </c>
      <c r="D3419" s="74"/>
      <c r="E3419" s="208" t="s">
        <v>287</v>
      </c>
      <c r="F3419" s="209" t="s">
        <v>21</v>
      </c>
      <c r="G3419" s="209" t="s">
        <v>21</v>
      </c>
      <c r="H3419" s="209" t="s">
        <v>180</v>
      </c>
      <c r="I3419" s="210"/>
    </row>
    <row r="3420" spans="1:9" x14ac:dyDescent="0.25">
      <c r="A3420" s="74"/>
      <c r="B3420" s="45">
        <v>483</v>
      </c>
      <c r="C3420" s="64" t="s">
        <v>894</v>
      </c>
      <c r="D3420" s="74"/>
      <c r="E3420" s="208" t="s">
        <v>144</v>
      </c>
      <c r="F3420" s="209" t="s">
        <v>21</v>
      </c>
      <c r="G3420" s="209" t="s">
        <v>21</v>
      </c>
      <c r="H3420" s="209" t="s">
        <v>183</v>
      </c>
      <c r="I3420" s="210"/>
    </row>
    <row r="3421" spans="1:9" x14ac:dyDescent="0.25">
      <c r="A3421" s="74"/>
      <c r="B3421" s="45">
        <v>622</v>
      </c>
      <c r="C3421" s="64" t="s">
        <v>1031</v>
      </c>
      <c r="D3421" s="74"/>
      <c r="E3421" s="208" t="s">
        <v>145</v>
      </c>
      <c r="F3421" s="209" t="s">
        <v>21</v>
      </c>
      <c r="G3421" s="209" t="s">
        <v>21</v>
      </c>
      <c r="H3421" s="209" t="s">
        <v>180</v>
      </c>
      <c r="I3421" s="210"/>
    </row>
    <row r="3422" spans="1:9" x14ac:dyDescent="0.25">
      <c r="A3422" s="74"/>
      <c r="B3422" s="45">
        <v>1581</v>
      </c>
      <c r="C3422" s="64" t="s">
        <v>1922</v>
      </c>
      <c r="D3422" s="74"/>
      <c r="E3422" s="208" t="s">
        <v>145</v>
      </c>
      <c r="F3422" s="209" t="s">
        <v>21</v>
      </c>
      <c r="G3422" s="209" t="s">
        <v>21</v>
      </c>
      <c r="H3422" s="209" t="s">
        <v>16</v>
      </c>
      <c r="I3422" s="210"/>
    </row>
    <row r="3423" spans="1:9" x14ac:dyDescent="0.25">
      <c r="A3423" s="74"/>
      <c r="B3423" s="45">
        <v>1582</v>
      </c>
      <c r="C3423" s="64" t="s">
        <v>1923</v>
      </c>
      <c r="D3423" s="74"/>
      <c r="E3423" s="208" t="s">
        <v>167</v>
      </c>
      <c r="F3423" s="209" t="s">
        <v>21</v>
      </c>
      <c r="G3423" s="209" t="s">
        <v>21</v>
      </c>
      <c r="H3423" s="209" t="s">
        <v>16</v>
      </c>
      <c r="I3423" s="210"/>
    </row>
    <row r="3424" spans="1:9" x14ac:dyDescent="0.25">
      <c r="A3424" s="74"/>
      <c r="B3424" s="45">
        <v>1583</v>
      </c>
      <c r="C3424" s="64" t="s">
        <v>1867</v>
      </c>
      <c r="D3424" s="74"/>
      <c r="E3424" s="208" t="s">
        <v>145</v>
      </c>
      <c r="F3424" s="209" t="s">
        <v>21</v>
      </c>
      <c r="G3424" s="209" t="s">
        <v>21</v>
      </c>
      <c r="H3424" s="209" t="s">
        <v>16</v>
      </c>
      <c r="I3424" s="210"/>
    </row>
    <row r="3425" spans="1:9" x14ac:dyDescent="0.25">
      <c r="A3425" s="74"/>
      <c r="B3425" s="45">
        <v>1584</v>
      </c>
      <c r="C3425" s="64" t="s">
        <v>1924</v>
      </c>
      <c r="D3425" s="74"/>
      <c r="E3425" s="208" t="s">
        <v>131</v>
      </c>
      <c r="F3425" s="209" t="s">
        <v>21</v>
      </c>
      <c r="G3425" s="209" t="s">
        <v>21</v>
      </c>
      <c r="H3425" s="209" t="s">
        <v>16</v>
      </c>
      <c r="I3425" s="210"/>
    </row>
    <row r="3426" spans="1:9" x14ac:dyDescent="0.25">
      <c r="A3426" s="74"/>
      <c r="B3426" s="45">
        <v>561</v>
      </c>
      <c r="C3426" s="64" t="s">
        <v>970</v>
      </c>
      <c r="D3426" s="74"/>
      <c r="E3426" s="208" t="s">
        <v>144</v>
      </c>
      <c r="F3426" s="209" t="s">
        <v>21</v>
      </c>
      <c r="G3426" s="209" t="s">
        <v>21</v>
      </c>
      <c r="H3426" s="209" t="s">
        <v>272</v>
      </c>
      <c r="I3426" s="210"/>
    </row>
    <row r="3427" spans="1:9" x14ac:dyDescent="0.25">
      <c r="A3427" s="74"/>
      <c r="B3427" s="45">
        <v>1585</v>
      </c>
      <c r="C3427" s="64" t="s">
        <v>1790</v>
      </c>
      <c r="D3427" s="74"/>
      <c r="E3427" s="208" t="s">
        <v>141</v>
      </c>
      <c r="F3427" s="209" t="s">
        <v>21</v>
      </c>
      <c r="G3427" s="209" t="s">
        <v>21</v>
      </c>
      <c r="H3427" s="209" t="s">
        <v>192</v>
      </c>
      <c r="I3427" s="210"/>
    </row>
    <row r="3428" spans="1:9" x14ac:dyDescent="0.25">
      <c r="A3428" s="74"/>
      <c r="B3428" s="45">
        <v>1586</v>
      </c>
      <c r="C3428" s="64" t="s">
        <v>1925</v>
      </c>
      <c r="D3428" s="74"/>
      <c r="E3428" s="208" t="s">
        <v>141</v>
      </c>
      <c r="F3428" s="209" t="s">
        <v>21</v>
      </c>
      <c r="G3428" s="209" t="s">
        <v>21</v>
      </c>
      <c r="H3428" s="209" t="s">
        <v>16</v>
      </c>
      <c r="I3428" s="210"/>
    </row>
    <row r="3429" spans="1:9" x14ac:dyDescent="0.25">
      <c r="A3429" s="74"/>
      <c r="B3429" s="45">
        <v>614</v>
      </c>
      <c r="C3429" s="64" t="s">
        <v>1023</v>
      </c>
      <c r="D3429" s="74"/>
      <c r="E3429" s="208" t="s">
        <v>145</v>
      </c>
      <c r="F3429" s="209" t="s">
        <v>21</v>
      </c>
      <c r="G3429" s="209" t="s">
        <v>21</v>
      </c>
      <c r="H3429" s="209" t="s">
        <v>187</v>
      </c>
      <c r="I3429" s="210"/>
    </row>
    <row r="3430" spans="1:9" x14ac:dyDescent="0.25">
      <c r="A3430" s="74"/>
      <c r="B3430" s="45">
        <v>1587</v>
      </c>
      <c r="C3430" s="64" t="s">
        <v>1926</v>
      </c>
      <c r="D3430" s="74"/>
      <c r="E3430" s="208" t="s">
        <v>140</v>
      </c>
      <c r="F3430" s="209" t="s">
        <v>21</v>
      </c>
      <c r="G3430" s="209" t="s">
        <v>21</v>
      </c>
      <c r="H3430" s="209" t="s">
        <v>192</v>
      </c>
      <c r="I3430" s="210"/>
    </row>
    <row r="3431" spans="1:9" x14ac:dyDescent="0.25">
      <c r="A3431" s="74"/>
      <c r="B3431" s="45">
        <v>1588</v>
      </c>
      <c r="C3431" s="64" t="s">
        <v>1582</v>
      </c>
      <c r="D3431" s="74"/>
      <c r="E3431" s="208" t="s">
        <v>286</v>
      </c>
      <c r="F3431" s="209" t="s">
        <v>21</v>
      </c>
      <c r="G3431" s="209" t="s">
        <v>21</v>
      </c>
      <c r="H3431" s="209" t="s">
        <v>200</v>
      </c>
      <c r="I3431" s="210"/>
    </row>
    <row r="3432" spans="1:9" x14ac:dyDescent="0.25">
      <c r="A3432" s="74"/>
      <c r="B3432" s="45">
        <v>1589</v>
      </c>
      <c r="C3432" s="64" t="s">
        <v>1927</v>
      </c>
      <c r="D3432" s="74"/>
      <c r="E3432" s="208" t="s">
        <v>140</v>
      </c>
      <c r="F3432" s="209" t="s">
        <v>21</v>
      </c>
      <c r="G3432" s="209" t="s">
        <v>21</v>
      </c>
      <c r="H3432" s="209" t="s">
        <v>198</v>
      </c>
      <c r="I3432" s="210"/>
    </row>
    <row r="3433" spans="1:9" x14ac:dyDescent="0.25">
      <c r="A3433" s="74"/>
      <c r="B3433" s="45">
        <v>513</v>
      </c>
      <c r="C3433" s="64" t="s">
        <v>923</v>
      </c>
      <c r="D3433" s="74"/>
      <c r="E3433" s="208" t="s">
        <v>145</v>
      </c>
      <c r="F3433" s="209" t="s">
        <v>21</v>
      </c>
      <c r="G3433" s="209" t="s">
        <v>21</v>
      </c>
      <c r="H3433" s="209" t="s">
        <v>193</v>
      </c>
      <c r="I3433" s="210"/>
    </row>
    <row r="3434" spans="1:9" x14ac:dyDescent="0.25">
      <c r="A3434" s="74"/>
      <c r="B3434" s="45">
        <v>1590</v>
      </c>
      <c r="C3434" s="64" t="s">
        <v>1928</v>
      </c>
      <c r="D3434" s="74"/>
      <c r="E3434" s="208" t="s">
        <v>286</v>
      </c>
      <c r="F3434" s="209" t="s">
        <v>21</v>
      </c>
      <c r="G3434" s="209" t="s">
        <v>21</v>
      </c>
      <c r="H3434" s="209" t="s">
        <v>200</v>
      </c>
      <c r="I3434" s="210"/>
    </row>
    <row r="3435" spans="1:9" x14ac:dyDescent="0.25">
      <c r="A3435" s="74"/>
      <c r="B3435" s="45">
        <v>1591</v>
      </c>
      <c r="C3435" s="64" t="s">
        <v>1929</v>
      </c>
      <c r="D3435" s="74"/>
      <c r="E3435" s="208" t="s">
        <v>145</v>
      </c>
      <c r="F3435" s="209" t="s">
        <v>21</v>
      </c>
      <c r="G3435" s="209" t="s">
        <v>21</v>
      </c>
      <c r="H3435" s="209" t="s">
        <v>16</v>
      </c>
      <c r="I3435" s="210"/>
    </row>
    <row r="3436" spans="1:9" x14ac:dyDescent="0.25">
      <c r="A3436" s="74"/>
      <c r="B3436" s="45">
        <v>1592</v>
      </c>
      <c r="C3436" s="64" t="s">
        <v>1786</v>
      </c>
      <c r="D3436" s="74"/>
      <c r="E3436" s="208" t="s">
        <v>163</v>
      </c>
      <c r="F3436" s="209" t="s">
        <v>21</v>
      </c>
      <c r="G3436" s="209" t="s">
        <v>21</v>
      </c>
      <c r="H3436" s="209" t="s">
        <v>272</v>
      </c>
      <c r="I3436" s="210"/>
    </row>
    <row r="3437" spans="1:9" x14ac:dyDescent="0.25">
      <c r="A3437" s="74"/>
      <c r="B3437" s="45">
        <v>588</v>
      </c>
      <c r="C3437" s="64" t="s">
        <v>997</v>
      </c>
      <c r="D3437" s="74"/>
      <c r="E3437" s="208" t="s">
        <v>145</v>
      </c>
      <c r="F3437" s="209" t="s">
        <v>21</v>
      </c>
      <c r="G3437" s="209" t="s">
        <v>21</v>
      </c>
      <c r="H3437" s="209" t="s">
        <v>193</v>
      </c>
      <c r="I3437" s="210"/>
    </row>
    <row r="3438" spans="1:9" x14ac:dyDescent="0.25">
      <c r="A3438" s="74"/>
      <c r="B3438" s="45">
        <v>1593</v>
      </c>
      <c r="C3438" s="64" t="s">
        <v>1930</v>
      </c>
      <c r="D3438" s="74"/>
      <c r="E3438" s="208" t="s">
        <v>145</v>
      </c>
      <c r="F3438" s="209" t="s">
        <v>21</v>
      </c>
      <c r="G3438" s="209" t="s">
        <v>21</v>
      </c>
      <c r="H3438" s="209" t="s">
        <v>16</v>
      </c>
      <c r="I3438" s="210"/>
    </row>
    <row r="3439" spans="1:9" x14ac:dyDescent="0.25">
      <c r="A3439" s="74"/>
      <c r="B3439" s="45">
        <v>1594</v>
      </c>
      <c r="C3439" s="64" t="s">
        <v>1931</v>
      </c>
      <c r="D3439" s="74"/>
      <c r="E3439" s="208" t="s">
        <v>141</v>
      </c>
      <c r="F3439" s="209" t="s">
        <v>21</v>
      </c>
      <c r="G3439" s="209" t="s">
        <v>21</v>
      </c>
      <c r="H3439" s="209" t="s">
        <v>16</v>
      </c>
      <c r="I3439" s="210"/>
    </row>
    <row r="3440" spans="1:9" x14ac:dyDescent="0.25">
      <c r="A3440" s="74"/>
      <c r="B3440" s="45">
        <v>538</v>
      </c>
      <c r="C3440" s="64" t="s">
        <v>948</v>
      </c>
      <c r="D3440" s="74"/>
      <c r="E3440" s="208" t="s">
        <v>156</v>
      </c>
      <c r="F3440" s="209" t="s">
        <v>21</v>
      </c>
      <c r="G3440" s="209" t="s">
        <v>21</v>
      </c>
      <c r="H3440" s="209" t="s">
        <v>189</v>
      </c>
      <c r="I3440" s="210"/>
    </row>
    <row r="3441" spans="1:9" x14ac:dyDescent="0.25">
      <c r="A3441" s="74"/>
      <c r="B3441" s="45">
        <v>1595</v>
      </c>
      <c r="C3441" s="64" t="s">
        <v>1932</v>
      </c>
      <c r="D3441" s="74"/>
      <c r="E3441" s="208" t="s">
        <v>144</v>
      </c>
      <c r="F3441" s="209" t="s">
        <v>21</v>
      </c>
      <c r="G3441" s="209" t="s">
        <v>21</v>
      </c>
      <c r="H3441" s="209" t="s">
        <v>272</v>
      </c>
      <c r="I3441" s="210"/>
    </row>
    <row r="3442" spans="1:9" x14ac:dyDescent="0.25">
      <c r="A3442" s="74"/>
      <c r="B3442" s="45">
        <v>1596</v>
      </c>
      <c r="C3442" s="64" t="s">
        <v>1582</v>
      </c>
      <c r="D3442" s="74"/>
      <c r="E3442" s="208" t="s">
        <v>145</v>
      </c>
      <c r="F3442" s="209" t="s">
        <v>21</v>
      </c>
      <c r="G3442" s="209" t="s">
        <v>21</v>
      </c>
      <c r="H3442" s="209" t="s">
        <v>16</v>
      </c>
      <c r="I3442" s="210"/>
    </row>
    <row r="3443" spans="1:9" x14ac:dyDescent="0.25">
      <c r="A3443" s="74"/>
      <c r="B3443" s="45">
        <v>472</v>
      </c>
      <c r="C3443" s="64" t="s">
        <v>884</v>
      </c>
      <c r="D3443" s="74"/>
      <c r="E3443" s="208" t="s">
        <v>144</v>
      </c>
      <c r="F3443" s="209" t="s">
        <v>21</v>
      </c>
      <c r="G3443" s="209" t="s">
        <v>21</v>
      </c>
      <c r="H3443" s="209" t="s">
        <v>198</v>
      </c>
      <c r="I3443" s="210"/>
    </row>
    <row r="3444" spans="1:9" x14ac:dyDescent="0.25">
      <c r="A3444" s="74"/>
      <c r="B3444" s="45">
        <v>1574</v>
      </c>
      <c r="C3444" s="64" t="s">
        <v>1919</v>
      </c>
      <c r="D3444" s="74"/>
      <c r="E3444" s="208" t="s">
        <v>141</v>
      </c>
      <c r="F3444" s="209" t="s">
        <v>21</v>
      </c>
      <c r="G3444" s="209" t="s">
        <v>21</v>
      </c>
      <c r="H3444" s="209" t="s">
        <v>272</v>
      </c>
      <c r="I3444" s="210"/>
    </row>
    <row r="3445" spans="1:9" x14ac:dyDescent="0.25">
      <c r="A3445" s="74"/>
      <c r="B3445" s="45">
        <v>1597</v>
      </c>
      <c r="C3445" s="64" t="s">
        <v>1790</v>
      </c>
      <c r="D3445" s="74"/>
      <c r="E3445" s="208" t="s">
        <v>145</v>
      </c>
      <c r="F3445" s="209" t="s">
        <v>21</v>
      </c>
      <c r="G3445" s="209" t="s">
        <v>21</v>
      </c>
      <c r="H3445" s="209" t="s">
        <v>16</v>
      </c>
      <c r="I3445" s="210"/>
    </row>
    <row r="3446" spans="1:9" x14ac:dyDescent="0.25">
      <c r="A3446" s="74"/>
      <c r="B3446" s="45">
        <v>539</v>
      </c>
      <c r="C3446" s="64" t="s">
        <v>949</v>
      </c>
      <c r="D3446" s="74"/>
      <c r="E3446" s="208" t="s">
        <v>156</v>
      </c>
      <c r="F3446" s="209" t="s">
        <v>21</v>
      </c>
      <c r="G3446" s="209" t="s">
        <v>21</v>
      </c>
      <c r="H3446" s="209" t="s">
        <v>189</v>
      </c>
      <c r="I3446" s="210"/>
    </row>
    <row r="3447" spans="1:9" x14ac:dyDescent="0.25">
      <c r="A3447" s="74"/>
      <c r="B3447" s="45">
        <v>505</v>
      </c>
      <c r="C3447" s="64" t="s">
        <v>915</v>
      </c>
      <c r="D3447" s="74"/>
      <c r="E3447" s="208" t="s">
        <v>145</v>
      </c>
      <c r="F3447" s="209" t="s">
        <v>21</v>
      </c>
      <c r="G3447" s="209" t="s">
        <v>21</v>
      </c>
      <c r="H3447" s="209" t="s">
        <v>193</v>
      </c>
      <c r="I3447" s="210"/>
    </row>
    <row r="3448" spans="1:9" x14ac:dyDescent="0.25">
      <c r="A3448" s="74"/>
      <c r="B3448" s="45">
        <v>1598</v>
      </c>
      <c r="C3448" s="64" t="s">
        <v>1933</v>
      </c>
      <c r="D3448" s="74"/>
      <c r="E3448" s="208" t="s">
        <v>286</v>
      </c>
      <c r="F3448" s="209" t="s">
        <v>21</v>
      </c>
      <c r="G3448" s="209" t="s">
        <v>21</v>
      </c>
      <c r="H3448" s="209" t="s">
        <v>200</v>
      </c>
      <c r="I3448" s="210"/>
    </row>
    <row r="3449" spans="1:9" x14ac:dyDescent="0.25">
      <c r="A3449" s="74"/>
      <c r="B3449" s="45">
        <v>588</v>
      </c>
      <c r="C3449" s="64" t="s">
        <v>997</v>
      </c>
      <c r="D3449" s="74"/>
      <c r="E3449" s="208" t="s">
        <v>145</v>
      </c>
      <c r="F3449" s="209" t="s">
        <v>21</v>
      </c>
      <c r="G3449" s="209" t="s">
        <v>21</v>
      </c>
      <c r="H3449" s="209" t="s">
        <v>193</v>
      </c>
      <c r="I3449" s="210"/>
    </row>
    <row r="3450" spans="1:9" x14ac:dyDescent="0.25">
      <c r="A3450" s="74"/>
      <c r="B3450" s="45">
        <v>1599</v>
      </c>
      <c r="C3450" s="64" t="s">
        <v>1818</v>
      </c>
      <c r="D3450" s="74"/>
      <c r="E3450" s="208" t="s">
        <v>145</v>
      </c>
      <c r="F3450" s="209" t="s">
        <v>21</v>
      </c>
      <c r="G3450" s="209" t="s">
        <v>21</v>
      </c>
      <c r="H3450" s="209" t="s">
        <v>16</v>
      </c>
      <c r="I3450" s="210"/>
    </row>
    <row r="3451" spans="1:9" x14ac:dyDescent="0.25">
      <c r="A3451" s="74"/>
      <c r="B3451" s="45">
        <v>1600</v>
      </c>
      <c r="C3451" s="64" t="s">
        <v>1833</v>
      </c>
      <c r="D3451" s="74"/>
      <c r="E3451" s="208" t="s">
        <v>145</v>
      </c>
      <c r="F3451" s="209" t="s">
        <v>21</v>
      </c>
      <c r="G3451" s="209" t="s">
        <v>21</v>
      </c>
      <c r="H3451" s="209" t="s">
        <v>16</v>
      </c>
      <c r="I3451" s="210"/>
    </row>
    <row r="3452" spans="1:9" x14ac:dyDescent="0.25">
      <c r="A3452" s="74"/>
      <c r="B3452" s="45">
        <v>1601</v>
      </c>
      <c r="C3452" s="64" t="s">
        <v>1934</v>
      </c>
      <c r="D3452" s="74"/>
      <c r="E3452" s="208" t="s">
        <v>145</v>
      </c>
      <c r="F3452" s="209" t="s">
        <v>21</v>
      </c>
      <c r="G3452" s="209" t="s">
        <v>21</v>
      </c>
      <c r="H3452" s="209" t="s">
        <v>193</v>
      </c>
      <c r="I3452" s="210"/>
    </row>
    <row r="3453" spans="1:9" x14ac:dyDescent="0.25">
      <c r="A3453" s="74"/>
      <c r="B3453" s="45">
        <v>1602</v>
      </c>
      <c r="C3453" s="64" t="s">
        <v>1935</v>
      </c>
      <c r="D3453" s="74"/>
      <c r="E3453" s="208" t="s">
        <v>145</v>
      </c>
      <c r="F3453" s="209" t="s">
        <v>21</v>
      </c>
      <c r="G3453" s="209" t="s">
        <v>21</v>
      </c>
      <c r="H3453" s="209" t="s">
        <v>16</v>
      </c>
      <c r="I3453" s="210"/>
    </row>
    <row r="3454" spans="1:9" x14ac:dyDescent="0.25">
      <c r="A3454" s="74"/>
      <c r="B3454" s="45">
        <v>1603</v>
      </c>
      <c r="C3454" s="64" t="s">
        <v>1936</v>
      </c>
      <c r="D3454" s="74"/>
      <c r="E3454" s="208" t="s">
        <v>145</v>
      </c>
      <c r="F3454" s="209" t="s">
        <v>21</v>
      </c>
      <c r="G3454" s="209" t="s">
        <v>21</v>
      </c>
      <c r="H3454" s="209" t="s">
        <v>16</v>
      </c>
      <c r="I3454" s="210"/>
    </row>
    <row r="3455" spans="1:9" x14ac:dyDescent="0.25">
      <c r="A3455" s="74"/>
      <c r="B3455" s="45">
        <v>1604</v>
      </c>
      <c r="C3455" s="64" t="s">
        <v>1937</v>
      </c>
      <c r="D3455" s="74"/>
      <c r="E3455" s="208" t="s">
        <v>145</v>
      </c>
      <c r="F3455" s="209" t="s">
        <v>21</v>
      </c>
      <c r="G3455" s="209" t="s">
        <v>21</v>
      </c>
      <c r="H3455" s="209" t="s">
        <v>16</v>
      </c>
      <c r="I3455" s="210"/>
    </row>
    <row r="3456" spans="1:9" x14ac:dyDescent="0.25">
      <c r="A3456" s="74"/>
      <c r="B3456" s="45">
        <v>510</v>
      </c>
      <c r="C3456" s="64" t="s">
        <v>920</v>
      </c>
      <c r="D3456" s="74"/>
      <c r="E3456" s="208" t="s">
        <v>145</v>
      </c>
      <c r="F3456" s="209" t="s">
        <v>21</v>
      </c>
      <c r="G3456" s="209" t="s">
        <v>21</v>
      </c>
      <c r="H3456" s="209" t="s">
        <v>16</v>
      </c>
      <c r="I3456" s="210"/>
    </row>
    <row r="3457" spans="1:9" x14ac:dyDescent="0.25">
      <c r="A3457" s="74"/>
      <c r="B3457" s="45">
        <v>514</v>
      </c>
      <c r="C3457" s="64" t="s">
        <v>924</v>
      </c>
      <c r="D3457" s="74"/>
      <c r="E3457" s="208" t="s">
        <v>145</v>
      </c>
      <c r="F3457" s="209" t="s">
        <v>21</v>
      </c>
      <c r="G3457" s="209" t="s">
        <v>21</v>
      </c>
      <c r="H3457" s="209" t="s">
        <v>193</v>
      </c>
      <c r="I3457" s="210"/>
    </row>
    <row r="3458" spans="1:9" x14ac:dyDescent="0.25">
      <c r="A3458" s="74"/>
      <c r="B3458" s="45">
        <v>513</v>
      </c>
      <c r="C3458" s="64" t="s">
        <v>923</v>
      </c>
      <c r="D3458" s="74"/>
      <c r="E3458" s="208" t="s">
        <v>145</v>
      </c>
      <c r="F3458" s="209" t="s">
        <v>21</v>
      </c>
      <c r="G3458" s="209" t="s">
        <v>21</v>
      </c>
      <c r="H3458" s="209" t="s">
        <v>193</v>
      </c>
      <c r="I3458" s="210"/>
    </row>
    <row r="3459" spans="1:9" x14ac:dyDescent="0.25">
      <c r="A3459" s="74"/>
      <c r="B3459" s="45">
        <v>511</v>
      </c>
      <c r="C3459" s="64" t="s">
        <v>921</v>
      </c>
      <c r="D3459" s="74"/>
      <c r="E3459" s="208" t="s">
        <v>145</v>
      </c>
      <c r="F3459" s="209" t="s">
        <v>21</v>
      </c>
      <c r="G3459" s="209" t="s">
        <v>21</v>
      </c>
      <c r="H3459" s="209" t="s">
        <v>187</v>
      </c>
      <c r="I3459" s="210"/>
    </row>
    <row r="3460" spans="1:9" x14ac:dyDescent="0.25">
      <c r="A3460" s="74"/>
      <c r="B3460" s="45">
        <v>1605</v>
      </c>
      <c r="C3460" s="64" t="s">
        <v>1938</v>
      </c>
      <c r="D3460" s="74"/>
      <c r="E3460" s="208" t="s">
        <v>145</v>
      </c>
      <c r="F3460" s="209" t="s">
        <v>21</v>
      </c>
      <c r="G3460" s="209" t="s">
        <v>21</v>
      </c>
      <c r="H3460" s="209" t="s">
        <v>16</v>
      </c>
      <c r="I3460" s="210"/>
    </row>
    <row r="3461" spans="1:9" x14ac:dyDescent="0.25">
      <c r="A3461" s="74"/>
      <c r="B3461" s="45">
        <v>1606</v>
      </c>
      <c r="C3461" s="64" t="s">
        <v>1939</v>
      </c>
      <c r="D3461" s="74"/>
      <c r="E3461" s="208" t="s">
        <v>145</v>
      </c>
      <c r="F3461" s="209" t="s">
        <v>21</v>
      </c>
      <c r="G3461" s="209" t="s">
        <v>21</v>
      </c>
      <c r="H3461" s="209" t="s">
        <v>16</v>
      </c>
      <c r="I3461" s="210"/>
    </row>
    <row r="3462" spans="1:9" x14ac:dyDescent="0.25">
      <c r="A3462" s="74"/>
      <c r="B3462" s="45">
        <v>1607</v>
      </c>
      <c r="C3462" s="64" t="s">
        <v>1940</v>
      </c>
      <c r="D3462" s="74"/>
      <c r="E3462" s="208" t="s">
        <v>145</v>
      </c>
      <c r="F3462" s="209" t="s">
        <v>21</v>
      </c>
      <c r="G3462" s="209" t="s">
        <v>21</v>
      </c>
      <c r="H3462" s="209" t="s">
        <v>16</v>
      </c>
      <c r="I3462" s="210"/>
    </row>
    <row r="3463" spans="1:9" x14ac:dyDescent="0.25">
      <c r="A3463" s="74"/>
      <c r="B3463" s="45">
        <v>513</v>
      </c>
      <c r="C3463" s="64" t="s">
        <v>923</v>
      </c>
      <c r="D3463" s="74"/>
      <c r="E3463" s="208" t="s">
        <v>145</v>
      </c>
      <c r="F3463" s="209" t="s">
        <v>21</v>
      </c>
      <c r="G3463" s="209" t="s">
        <v>21</v>
      </c>
      <c r="H3463" s="209" t="s">
        <v>193</v>
      </c>
      <c r="I3463" s="210"/>
    </row>
    <row r="3464" spans="1:9" x14ac:dyDescent="0.25">
      <c r="A3464" s="74"/>
      <c r="B3464" s="45">
        <v>1608</v>
      </c>
      <c r="C3464" s="64" t="s">
        <v>1941</v>
      </c>
      <c r="D3464" s="74"/>
      <c r="E3464" s="208" t="s">
        <v>145</v>
      </c>
      <c r="F3464" s="209" t="s">
        <v>21</v>
      </c>
      <c r="G3464" s="209" t="s">
        <v>21</v>
      </c>
      <c r="H3464" s="209" t="s">
        <v>193</v>
      </c>
      <c r="I3464" s="210"/>
    </row>
    <row r="3465" spans="1:9" x14ac:dyDescent="0.25">
      <c r="A3465" s="74"/>
      <c r="B3465" s="45">
        <v>1609</v>
      </c>
      <c r="C3465" s="64" t="s">
        <v>1738</v>
      </c>
      <c r="D3465" s="74"/>
      <c r="E3465" s="208" t="s">
        <v>145</v>
      </c>
      <c r="F3465" s="209" t="s">
        <v>21</v>
      </c>
      <c r="G3465" s="209" t="s">
        <v>21</v>
      </c>
      <c r="H3465" s="209" t="s">
        <v>16</v>
      </c>
      <c r="I3465" s="210"/>
    </row>
    <row r="3466" spans="1:9" x14ac:dyDescent="0.25">
      <c r="A3466" s="74"/>
      <c r="B3466" s="45">
        <v>515</v>
      </c>
      <c r="C3466" s="64" t="s">
        <v>925</v>
      </c>
      <c r="D3466" s="74"/>
      <c r="E3466" s="208" t="s">
        <v>145</v>
      </c>
      <c r="F3466" s="209" t="s">
        <v>21</v>
      </c>
      <c r="G3466" s="209" t="s">
        <v>21</v>
      </c>
      <c r="H3466" s="209" t="s">
        <v>16</v>
      </c>
      <c r="I3466" s="210"/>
    </row>
    <row r="3467" spans="1:9" x14ac:dyDescent="0.25">
      <c r="A3467" s="74"/>
      <c r="B3467" s="45">
        <v>1581</v>
      </c>
      <c r="C3467" s="64" t="s">
        <v>1922</v>
      </c>
      <c r="D3467" s="74"/>
      <c r="E3467" s="208" t="s">
        <v>145</v>
      </c>
      <c r="F3467" s="209" t="s">
        <v>21</v>
      </c>
      <c r="G3467" s="209" t="s">
        <v>21</v>
      </c>
      <c r="H3467" s="209" t="s">
        <v>16</v>
      </c>
      <c r="I3467" s="210"/>
    </row>
    <row r="3468" spans="1:9" x14ac:dyDescent="0.25">
      <c r="A3468" s="74"/>
      <c r="B3468" s="45">
        <v>1581</v>
      </c>
      <c r="C3468" s="64" t="s">
        <v>1922</v>
      </c>
      <c r="D3468" s="74"/>
      <c r="E3468" s="208" t="s">
        <v>145</v>
      </c>
      <c r="F3468" s="209" t="s">
        <v>21</v>
      </c>
      <c r="G3468" s="209" t="s">
        <v>21</v>
      </c>
      <c r="H3468" s="209" t="s">
        <v>16</v>
      </c>
      <c r="I3468" s="210"/>
    </row>
    <row r="3469" spans="1:9" x14ac:dyDescent="0.25">
      <c r="A3469" s="74"/>
      <c r="B3469" s="45">
        <v>520</v>
      </c>
      <c r="C3469" s="64" t="s">
        <v>930</v>
      </c>
      <c r="D3469" s="74"/>
      <c r="E3469" s="208" t="s">
        <v>163</v>
      </c>
      <c r="F3469" s="209" t="s">
        <v>21</v>
      </c>
      <c r="G3469" s="209" t="s">
        <v>21</v>
      </c>
      <c r="H3469" s="209" t="s">
        <v>192</v>
      </c>
      <c r="I3469" s="210"/>
    </row>
    <row r="3470" spans="1:9" x14ac:dyDescent="0.25">
      <c r="A3470" s="74"/>
      <c r="B3470" s="45">
        <v>1610</v>
      </c>
      <c r="C3470" s="64" t="s">
        <v>1942</v>
      </c>
      <c r="D3470" s="74"/>
      <c r="E3470" s="208" t="s">
        <v>163</v>
      </c>
      <c r="F3470" s="209" t="s">
        <v>21</v>
      </c>
      <c r="G3470" s="209" t="s">
        <v>21</v>
      </c>
      <c r="H3470" s="209" t="s">
        <v>272</v>
      </c>
      <c r="I3470" s="210"/>
    </row>
    <row r="3471" spans="1:9" x14ac:dyDescent="0.25">
      <c r="A3471" s="74"/>
      <c r="B3471" s="45">
        <v>1611</v>
      </c>
      <c r="C3471" s="64" t="s">
        <v>1804</v>
      </c>
      <c r="D3471" s="74"/>
      <c r="E3471" s="208" t="s">
        <v>141</v>
      </c>
      <c r="F3471" s="209" t="s">
        <v>21</v>
      </c>
      <c r="G3471" s="209" t="s">
        <v>21</v>
      </c>
      <c r="H3471" s="209" t="s">
        <v>272</v>
      </c>
      <c r="I3471" s="210"/>
    </row>
    <row r="3472" spans="1:9" x14ac:dyDescent="0.25">
      <c r="A3472" s="74"/>
      <c r="B3472" s="45">
        <v>1610</v>
      </c>
      <c r="C3472" s="64" t="s">
        <v>1942</v>
      </c>
      <c r="D3472" s="74"/>
      <c r="E3472" s="208" t="s">
        <v>163</v>
      </c>
      <c r="F3472" s="209" t="s">
        <v>21</v>
      </c>
      <c r="G3472" s="209" t="s">
        <v>21</v>
      </c>
      <c r="H3472" s="209" t="s">
        <v>272</v>
      </c>
      <c r="I3472" s="210"/>
    </row>
    <row r="3473" spans="1:9" x14ac:dyDescent="0.25">
      <c r="A3473" s="74"/>
      <c r="B3473" s="45">
        <v>1613</v>
      </c>
      <c r="C3473" s="64" t="s">
        <v>1943</v>
      </c>
      <c r="D3473" s="74"/>
      <c r="E3473" s="208" t="s">
        <v>163</v>
      </c>
      <c r="F3473" s="209" t="s">
        <v>21</v>
      </c>
      <c r="G3473" s="209" t="s">
        <v>21</v>
      </c>
      <c r="H3473" s="209" t="s">
        <v>272</v>
      </c>
      <c r="I3473" s="210"/>
    </row>
    <row r="3474" spans="1:9" x14ac:dyDescent="0.25">
      <c r="A3474" s="74"/>
      <c r="B3474" s="45">
        <v>525</v>
      </c>
      <c r="C3474" s="64" t="s">
        <v>935</v>
      </c>
      <c r="D3474" s="74"/>
      <c r="E3474" s="208" t="s">
        <v>163</v>
      </c>
      <c r="F3474" s="209" t="s">
        <v>21</v>
      </c>
      <c r="G3474" s="209" t="s">
        <v>21</v>
      </c>
      <c r="H3474" s="209" t="s">
        <v>192</v>
      </c>
      <c r="I3474" s="210"/>
    </row>
    <row r="3475" spans="1:9" x14ac:dyDescent="0.25">
      <c r="A3475" s="74"/>
      <c r="B3475" s="45">
        <v>522</v>
      </c>
      <c r="C3475" s="64" t="s">
        <v>932</v>
      </c>
      <c r="D3475" s="74"/>
      <c r="E3475" s="208" t="s">
        <v>163</v>
      </c>
      <c r="F3475" s="209" t="s">
        <v>21</v>
      </c>
      <c r="G3475" s="209" t="s">
        <v>21</v>
      </c>
      <c r="H3475" s="209" t="s">
        <v>192</v>
      </c>
      <c r="I3475" s="210"/>
    </row>
    <row r="3476" spans="1:9" x14ac:dyDescent="0.25">
      <c r="A3476" s="74"/>
      <c r="B3476" s="45">
        <v>1614</v>
      </c>
      <c r="C3476" s="64" t="s">
        <v>1944</v>
      </c>
      <c r="D3476" s="74"/>
      <c r="E3476" s="208" t="s">
        <v>163</v>
      </c>
      <c r="F3476" s="209" t="s">
        <v>21</v>
      </c>
      <c r="G3476" s="209" t="s">
        <v>21</v>
      </c>
      <c r="H3476" s="209" t="s">
        <v>272</v>
      </c>
      <c r="I3476" s="210"/>
    </row>
    <row r="3477" spans="1:9" x14ac:dyDescent="0.25">
      <c r="A3477" s="74"/>
      <c r="B3477" s="45">
        <v>1614</v>
      </c>
      <c r="C3477" s="64" t="s">
        <v>1944</v>
      </c>
      <c r="D3477" s="74"/>
      <c r="E3477" s="208" t="s">
        <v>163</v>
      </c>
      <c r="F3477" s="209" t="s">
        <v>21</v>
      </c>
      <c r="G3477" s="209" t="s">
        <v>21</v>
      </c>
      <c r="H3477" s="209" t="s">
        <v>272</v>
      </c>
      <c r="I3477" s="210"/>
    </row>
    <row r="3478" spans="1:9" x14ac:dyDescent="0.25">
      <c r="A3478" s="74"/>
      <c r="B3478" s="45">
        <v>1615</v>
      </c>
      <c r="C3478" s="64" t="s">
        <v>1866</v>
      </c>
      <c r="D3478" s="74"/>
      <c r="E3478" s="208" t="s">
        <v>163</v>
      </c>
      <c r="F3478" s="209" t="s">
        <v>21</v>
      </c>
      <c r="G3478" s="209" t="s">
        <v>21</v>
      </c>
      <c r="H3478" s="209" t="s">
        <v>272</v>
      </c>
      <c r="I3478" s="210"/>
    </row>
    <row r="3479" spans="1:9" x14ac:dyDescent="0.25">
      <c r="A3479" s="74"/>
      <c r="B3479" s="45">
        <v>1616</v>
      </c>
      <c r="C3479" s="64" t="s">
        <v>1945</v>
      </c>
      <c r="D3479" s="74"/>
      <c r="E3479" s="208" t="s">
        <v>163</v>
      </c>
      <c r="F3479" s="209" t="s">
        <v>21</v>
      </c>
      <c r="G3479" s="209" t="s">
        <v>21</v>
      </c>
      <c r="H3479" s="209" t="s">
        <v>272</v>
      </c>
      <c r="I3479" s="210"/>
    </row>
    <row r="3480" spans="1:9" x14ac:dyDescent="0.25">
      <c r="A3480" s="74"/>
      <c r="B3480" s="45">
        <v>1615</v>
      </c>
      <c r="C3480" s="64" t="s">
        <v>1866</v>
      </c>
      <c r="D3480" s="74"/>
      <c r="E3480" s="208" t="s">
        <v>163</v>
      </c>
      <c r="F3480" s="209" t="s">
        <v>21</v>
      </c>
      <c r="G3480" s="209" t="s">
        <v>21</v>
      </c>
      <c r="H3480" s="209" t="s">
        <v>272</v>
      </c>
      <c r="I3480" s="210"/>
    </row>
    <row r="3481" spans="1:9" x14ac:dyDescent="0.25">
      <c r="A3481" s="74"/>
      <c r="B3481" s="45">
        <v>1616</v>
      </c>
      <c r="C3481" s="64" t="s">
        <v>1945</v>
      </c>
      <c r="D3481" s="74"/>
      <c r="E3481" s="208" t="s">
        <v>163</v>
      </c>
      <c r="F3481" s="209" t="s">
        <v>21</v>
      </c>
      <c r="G3481" s="209" t="s">
        <v>21</v>
      </c>
      <c r="H3481" s="209" t="s">
        <v>272</v>
      </c>
      <c r="I3481" s="210"/>
    </row>
    <row r="3482" spans="1:9" x14ac:dyDescent="0.25">
      <c r="A3482" s="74"/>
      <c r="B3482" s="45">
        <v>1615</v>
      </c>
      <c r="C3482" s="64" t="s">
        <v>1866</v>
      </c>
      <c r="D3482" s="74"/>
      <c r="E3482" s="208" t="s">
        <v>163</v>
      </c>
      <c r="F3482" s="209" t="s">
        <v>21</v>
      </c>
      <c r="G3482" s="209" t="s">
        <v>21</v>
      </c>
      <c r="H3482" s="209" t="s">
        <v>272</v>
      </c>
      <c r="I3482" s="210"/>
    </row>
    <row r="3483" spans="1:9" x14ac:dyDescent="0.25">
      <c r="A3483" s="74"/>
      <c r="B3483" s="45">
        <v>1616</v>
      </c>
      <c r="C3483" s="64" t="s">
        <v>1945</v>
      </c>
      <c r="D3483" s="74"/>
      <c r="E3483" s="208" t="s">
        <v>163</v>
      </c>
      <c r="F3483" s="209" t="s">
        <v>21</v>
      </c>
      <c r="G3483" s="209" t="s">
        <v>21</v>
      </c>
      <c r="H3483" s="209" t="s">
        <v>272</v>
      </c>
      <c r="I3483" s="210"/>
    </row>
    <row r="3484" spans="1:9" x14ac:dyDescent="0.25">
      <c r="A3484" s="74"/>
      <c r="B3484" s="45">
        <v>1615</v>
      </c>
      <c r="C3484" s="64" t="s">
        <v>1866</v>
      </c>
      <c r="D3484" s="74"/>
      <c r="E3484" s="208" t="s">
        <v>163</v>
      </c>
      <c r="F3484" s="209" t="s">
        <v>21</v>
      </c>
      <c r="G3484" s="209" t="s">
        <v>21</v>
      </c>
      <c r="H3484" s="209" t="s">
        <v>272</v>
      </c>
      <c r="I3484" s="210"/>
    </row>
    <row r="3485" spans="1:9" x14ac:dyDescent="0.25">
      <c r="A3485" s="74"/>
      <c r="B3485" s="45">
        <v>1616</v>
      </c>
      <c r="C3485" s="64" t="s">
        <v>1945</v>
      </c>
      <c r="D3485" s="74"/>
      <c r="E3485" s="208" t="s">
        <v>163</v>
      </c>
      <c r="F3485" s="209" t="s">
        <v>21</v>
      </c>
      <c r="G3485" s="209" t="s">
        <v>21</v>
      </c>
      <c r="H3485" s="209" t="s">
        <v>272</v>
      </c>
      <c r="I3485" s="210"/>
    </row>
    <row r="3486" spans="1:9" x14ac:dyDescent="0.25">
      <c r="A3486" s="74"/>
      <c r="B3486" s="45">
        <v>535</v>
      </c>
      <c r="C3486" s="64" t="s">
        <v>945</v>
      </c>
      <c r="D3486" s="74"/>
      <c r="E3486" s="208" t="s">
        <v>163</v>
      </c>
      <c r="F3486" s="209" t="s">
        <v>21</v>
      </c>
      <c r="G3486" s="209" t="s">
        <v>21</v>
      </c>
      <c r="H3486" s="209" t="s">
        <v>192</v>
      </c>
      <c r="I3486" s="210"/>
    </row>
    <row r="3487" spans="1:9" x14ac:dyDescent="0.25">
      <c r="A3487" s="74"/>
      <c r="B3487" s="45">
        <v>1617</v>
      </c>
      <c r="C3487" s="64" t="s">
        <v>1946</v>
      </c>
      <c r="D3487" s="74"/>
      <c r="E3487" s="208" t="s">
        <v>163</v>
      </c>
      <c r="F3487" s="209" t="s">
        <v>21</v>
      </c>
      <c r="G3487" s="209" t="s">
        <v>21</v>
      </c>
      <c r="H3487" s="209" t="s">
        <v>272</v>
      </c>
      <c r="I3487" s="210"/>
    </row>
    <row r="3488" spans="1:9" x14ac:dyDescent="0.25">
      <c r="A3488" s="74"/>
      <c r="B3488" s="45">
        <v>1618</v>
      </c>
      <c r="C3488" s="64" t="s">
        <v>1947</v>
      </c>
      <c r="D3488" s="74"/>
      <c r="E3488" s="208" t="s">
        <v>163</v>
      </c>
      <c r="F3488" s="209" t="s">
        <v>21</v>
      </c>
      <c r="G3488" s="209" t="s">
        <v>21</v>
      </c>
      <c r="H3488" s="209" t="s">
        <v>272</v>
      </c>
      <c r="I3488" s="210"/>
    </row>
    <row r="3489" spans="1:9" x14ac:dyDescent="0.25">
      <c r="A3489" s="74"/>
      <c r="B3489" s="45">
        <v>530</v>
      </c>
      <c r="C3489" s="64" t="s">
        <v>940</v>
      </c>
      <c r="D3489" s="74"/>
      <c r="E3489" s="208" t="s">
        <v>163</v>
      </c>
      <c r="F3489" s="209" t="s">
        <v>21</v>
      </c>
      <c r="G3489" s="209" t="s">
        <v>21</v>
      </c>
      <c r="H3489" s="209" t="s">
        <v>272</v>
      </c>
      <c r="I3489" s="210"/>
    </row>
    <row r="3490" spans="1:9" x14ac:dyDescent="0.25">
      <c r="A3490" s="74"/>
      <c r="B3490" s="45">
        <v>1618</v>
      </c>
      <c r="C3490" s="64" t="s">
        <v>1947</v>
      </c>
      <c r="D3490" s="74"/>
      <c r="E3490" s="208" t="s">
        <v>163</v>
      </c>
      <c r="F3490" s="209" t="s">
        <v>21</v>
      </c>
      <c r="G3490" s="209" t="s">
        <v>21</v>
      </c>
      <c r="H3490" s="209" t="s">
        <v>272</v>
      </c>
      <c r="I3490" s="210"/>
    </row>
    <row r="3491" spans="1:9" x14ac:dyDescent="0.25">
      <c r="A3491" s="74"/>
      <c r="B3491" s="45">
        <v>1617</v>
      </c>
      <c r="C3491" s="64" t="s">
        <v>1946</v>
      </c>
      <c r="D3491" s="74"/>
      <c r="E3491" s="208" t="s">
        <v>163</v>
      </c>
      <c r="F3491" s="209" t="s">
        <v>21</v>
      </c>
      <c r="G3491" s="209" t="s">
        <v>21</v>
      </c>
      <c r="H3491" s="209" t="s">
        <v>272</v>
      </c>
      <c r="I3491" s="210"/>
    </row>
    <row r="3492" spans="1:9" x14ac:dyDescent="0.25">
      <c r="A3492" s="74"/>
      <c r="B3492" s="45">
        <v>530</v>
      </c>
      <c r="C3492" s="64" t="s">
        <v>940</v>
      </c>
      <c r="D3492" s="74"/>
      <c r="E3492" s="208" t="s">
        <v>163</v>
      </c>
      <c r="F3492" s="209" t="s">
        <v>21</v>
      </c>
      <c r="G3492" s="209" t="s">
        <v>21</v>
      </c>
      <c r="H3492" s="209" t="s">
        <v>272</v>
      </c>
      <c r="I3492" s="210"/>
    </row>
    <row r="3493" spans="1:9" x14ac:dyDescent="0.25">
      <c r="A3493" s="74"/>
      <c r="B3493" s="45">
        <v>1619</v>
      </c>
      <c r="C3493" s="64" t="s">
        <v>1948</v>
      </c>
      <c r="D3493" s="74"/>
      <c r="E3493" s="208" t="s">
        <v>163</v>
      </c>
      <c r="F3493" s="209" t="s">
        <v>21</v>
      </c>
      <c r="G3493" s="209" t="s">
        <v>21</v>
      </c>
      <c r="H3493" s="209" t="s">
        <v>272</v>
      </c>
      <c r="I3493" s="210"/>
    </row>
    <row r="3494" spans="1:9" x14ac:dyDescent="0.25">
      <c r="A3494" s="74"/>
      <c r="B3494" s="45">
        <v>1592</v>
      </c>
      <c r="C3494" s="64" t="s">
        <v>1786</v>
      </c>
      <c r="D3494" s="74"/>
      <c r="E3494" s="208" t="s">
        <v>163</v>
      </c>
      <c r="F3494" s="209" t="s">
        <v>21</v>
      </c>
      <c r="G3494" s="209" t="s">
        <v>21</v>
      </c>
      <c r="H3494" s="209" t="s">
        <v>272</v>
      </c>
      <c r="I3494" s="210"/>
    </row>
    <row r="3495" spans="1:9" x14ac:dyDescent="0.25">
      <c r="A3495" s="74"/>
      <c r="B3495" s="45">
        <v>1619</v>
      </c>
      <c r="C3495" s="64" t="s">
        <v>1948</v>
      </c>
      <c r="D3495" s="74"/>
      <c r="E3495" s="208" t="s">
        <v>163</v>
      </c>
      <c r="F3495" s="209" t="s">
        <v>21</v>
      </c>
      <c r="G3495" s="209" t="s">
        <v>21</v>
      </c>
      <c r="H3495" s="209" t="s">
        <v>272</v>
      </c>
      <c r="I3495" s="210"/>
    </row>
    <row r="3496" spans="1:9" x14ac:dyDescent="0.25">
      <c r="A3496" s="74"/>
      <c r="B3496" s="45">
        <v>1592</v>
      </c>
      <c r="C3496" s="64" t="s">
        <v>1786</v>
      </c>
      <c r="D3496" s="74"/>
      <c r="E3496" s="208" t="s">
        <v>163</v>
      </c>
      <c r="F3496" s="209" t="s">
        <v>21</v>
      </c>
      <c r="G3496" s="209" t="s">
        <v>21</v>
      </c>
      <c r="H3496" s="209" t="s">
        <v>272</v>
      </c>
      <c r="I3496" s="210"/>
    </row>
    <row r="3497" spans="1:9" x14ac:dyDescent="0.25">
      <c r="A3497" s="74"/>
      <c r="B3497" s="45">
        <v>1619</v>
      </c>
      <c r="C3497" s="64" t="s">
        <v>1948</v>
      </c>
      <c r="D3497" s="74"/>
      <c r="E3497" s="208" t="s">
        <v>163</v>
      </c>
      <c r="F3497" s="209" t="s">
        <v>21</v>
      </c>
      <c r="G3497" s="209" t="s">
        <v>21</v>
      </c>
      <c r="H3497" s="209" t="s">
        <v>272</v>
      </c>
      <c r="I3497" s="210"/>
    </row>
    <row r="3498" spans="1:9" x14ac:dyDescent="0.25">
      <c r="A3498" s="74"/>
      <c r="B3498" s="45">
        <v>1592</v>
      </c>
      <c r="C3498" s="64" t="s">
        <v>1786</v>
      </c>
      <c r="D3498" s="74"/>
      <c r="E3498" s="208" t="s">
        <v>163</v>
      </c>
      <c r="F3498" s="209" t="s">
        <v>21</v>
      </c>
      <c r="G3498" s="209" t="s">
        <v>21</v>
      </c>
      <c r="H3498" s="209" t="s">
        <v>272</v>
      </c>
      <c r="I3498" s="210"/>
    </row>
    <row r="3499" spans="1:9" x14ac:dyDescent="0.25">
      <c r="A3499" s="74"/>
      <c r="B3499" s="45">
        <v>1619</v>
      </c>
      <c r="C3499" s="64" t="s">
        <v>1948</v>
      </c>
      <c r="D3499" s="74"/>
      <c r="E3499" s="208" t="s">
        <v>163</v>
      </c>
      <c r="F3499" s="209" t="s">
        <v>21</v>
      </c>
      <c r="G3499" s="209" t="s">
        <v>21</v>
      </c>
      <c r="H3499" s="209" t="s">
        <v>272</v>
      </c>
      <c r="I3499" s="210"/>
    </row>
    <row r="3500" spans="1:9" x14ac:dyDescent="0.25">
      <c r="A3500" s="74"/>
      <c r="B3500" s="45">
        <v>1592</v>
      </c>
      <c r="C3500" s="64" t="s">
        <v>1786</v>
      </c>
      <c r="D3500" s="74"/>
      <c r="E3500" s="208" t="s">
        <v>163</v>
      </c>
      <c r="F3500" s="209" t="s">
        <v>21</v>
      </c>
      <c r="G3500" s="209" t="s">
        <v>21</v>
      </c>
      <c r="H3500" s="209" t="s">
        <v>272</v>
      </c>
      <c r="I3500" s="210"/>
    </row>
    <row r="3501" spans="1:9" x14ac:dyDescent="0.25">
      <c r="A3501" s="74"/>
      <c r="B3501" s="45">
        <v>556</v>
      </c>
      <c r="C3501" s="64" t="s">
        <v>965</v>
      </c>
      <c r="D3501" s="74"/>
      <c r="E3501" s="208" t="s">
        <v>156</v>
      </c>
      <c r="F3501" s="209" t="s">
        <v>21</v>
      </c>
      <c r="G3501" s="209" t="s">
        <v>21</v>
      </c>
      <c r="H3501" s="209" t="s">
        <v>192</v>
      </c>
      <c r="I3501" s="210"/>
    </row>
    <row r="3502" spans="1:9" x14ac:dyDescent="0.25">
      <c r="A3502" s="74"/>
      <c r="B3502" s="45">
        <v>543</v>
      </c>
      <c r="C3502" s="64" t="s">
        <v>953</v>
      </c>
      <c r="D3502" s="74"/>
      <c r="E3502" s="208" t="s">
        <v>156</v>
      </c>
      <c r="F3502" s="209" t="s">
        <v>21</v>
      </c>
      <c r="G3502" s="209" t="s">
        <v>21</v>
      </c>
      <c r="H3502" s="209" t="s">
        <v>192</v>
      </c>
      <c r="I3502" s="210"/>
    </row>
    <row r="3503" spans="1:9" x14ac:dyDescent="0.25">
      <c r="A3503" s="74"/>
      <c r="B3503" s="45">
        <v>1582</v>
      </c>
      <c r="C3503" s="64" t="s">
        <v>1923</v>
      </c>
      <c r="D3503" s="74"/>
      <c r="E3503" s="208" t="s">
        <v>167</v>
      </c>
      <c r="F3503" s="209" t="s">
        <v>21</v>
      </c>
      <c r="G3503" s="209" t="s">
        <v>21</v>
      </c>
      <c r="H3503" s="209" t="s">
        <v>16</v>
      </c>
      <c r="I3503" s="210"/>
    </row>
    <row r="3504" spans="1:9" x14ac:dyDescent="0.25">
      <c r="A3504" s="74"/>
      <c r="B3504" s="45">
        <v>539</v>
      </c>
      <c r="C3504" s="64" t="s">
        <v>949</v>
      </c>
      <c r="D3504" s="74"/>
      <c r="E3504" s="208" t="s">
        <v>156</v>
      </c>
      <c r="F3504" s="209" t="s">
        <v>21</v>
      </c>
      <c r="G3504" s="209" t="s">
        <v>21</v>
      </c>
      <c r="H3504" s="209" t="s">
        <v>189</v>
      </c>
      <c r="I3504" s="210"/>
    </row>
    <row r="3505" spans="1:9" x14ac:dyDescent="0.25">
      <c r="A3505" s="74"/>
      <c r="B3505" s="45">
        <v>1621</v>
      </c>
      <c r="C3505" s="64" t="s">
        <v>1925</v>
      </c>
      <c r="D3505" s="74"/>
      <c r="E3505" s="208" t="s">
        <v>156</v>
      </c>
      <c r="F3505" s="209" t="s">
        <v>21</v>
      </c>
      <c r="G3505" s="209" t="s">
        <v>21</v>
      </c>
      <c r="H3505" s="209" t="s">
        <v>16</v>
      </c>
      <c r="I3505" s="210"/>
    </row>
    <row r="3506" spans="1:9" x14ac:dyDescent="0.25">
      <c r="A3506" s="74"/>
      <c r="B3506" s="45">
        <v>1622</v>
      </c>
      <c r="C3506" s="64" t="s">
        <v>1938</v>
      </c>
      <c r="D3506" s="74"/>
      <c r="E3506" s="208" t="s">
        <v>156</v>
      </c>
      <c r="F3506" s="209" t="s">
        <v>21</v>
      </c>
      <c r="G3506" s="209" t="s">
        <v>21</v>
      </c>
      <c r="H3506" s="209" t="s">
        <v>16</v>
      </c>
      <c r="I3506" s="210"/>
    </row>
    <row r="3507" spans="1:9" x14ac:dyDescent="0.25">
      <c r="A3507" s="74"/>
      <c r="B3507" s="45">
        <v>538</v>
      </c>
      <c r="C3507" s="64" t="s">
        <v>948</v>
      </c>
      <c r="D3507" s="74"/>
      <c r="E3507" s="208" t="s">
        <v>156</v>
      </c>
      <c r="F3507" s="209" t="s">
        <v>21</v>
      </c>
      <c r="G3507" s="209" t="s">
        <v>21</v>
      </c>
      <c r="H3507" s="209" t="s">
        <v>189</v>
      </c>
      <c r="I3507" s="210"/>
    </row>
    <row r="3508" spans="1:9" x14ac:dyDescent="0.25">
      <c r="A3508" s="74"/>
      <c r="B3508" s="45">
        <v>1623</v>
      </c>
      <c r="C3508" s="64" t="s">
        <v>1949</v>
      </c>
      <c r="D3508" s="74"/>
      <c r="E3508" s="208" t="s">
        <v>156</v>
      </c>
      <c r="F3508" s="209" t="s">
        <v>21</v>
      </c>
      <c r="G3508" s="209" t="s">
        <v>21</v>
      </c>
      <c r="H3508" s="209" t="s">
        <v>16</v>
      </c>
      <c r="I3508" s="210"/>
    </row>
    <row r="3509" spans="1:9" x14ac:dyDescent="0.25">
      <c r="A3509" s="74"/>
      <c r="B3509" s="45">
        <v>1621</v>
      </c>
      <c r="C3509" s="64" t="s">
        <v>1925</v>
      </c>
      <c r="D3509" s="74"/>
      <c r="E3509" s="208" t="s">
        <v>156</v>
      </c>
      <c r="F3509" s="209" t="s">
        <v>21</v>
      </c>
      <c r="G3509" s="209" t="s">
        <v>21</v>
      </c>
      <c r="H3509" s="209" t="s">
        <v>16</v>
      </c>
      <c r="I3509" s="210"/>
    </row>
    <row r="3510" spans="1:9" x14ac:dyDescent="0.25">
      <c r="A3510" s="74"/>
      <c r="B3510" s="45">
        <v>544</v>
      </c>
      <c r="C3510" s="64" t="s">
        <v>954</v>
      </c>
      <c r="D3510" s="74"/>
      <c r="E3510" s="208" t="s">
        <v>156</v>
      </c>
      <c r="F3510" s="209" t="s">
        <v>21</v>
      </c>
      <c r="G3510" s="209" t="s">
        <v>21</v>
      </c>
      <c r="H3510" s="209" t="s">
        <v>192</v>
      </c>
      <c r="I3510" s="210"/>
    </row>
    <row r="3511" spans="1:9" x14ac:dyDescent="0.25">
      <c r="A3511" s="74"/>
      <c r="B3511" s="45">
        <v>1624</v>
      </c>
      <c r="C3511" s="64" t="s">
        <v>1950</v>
      </c>
      <c r="D3511" s="74"/>
      <c r="E3511" s="208" t="s">
        <v>156</v>
      </c>
      <c r="F3511" s="209" t="s">
        <v>21</v>
      </c>
      <c r="G3511" s="209" t="s">
        <v>21</v>
      </c>
      <c r="H3511" s="209" t="s">
        <v>272</v>
      </c>
      <c r="I3511" s="210"/>
    </row>
    <row r="3512" spans="1:9" x14ac:dyDescent="0.25">
      <c r="A3512" s="74"/>
      <c r="B3512" s="45">
        <v>1625</v>
      </c>
      <c r="C3512" s="64" t="s">
        <v>1951</v>
      </c>
      <c r="D3512" s="74"/>
      <c r="E3512" s="208" t="s">
        <v>156</v>
      </c>
      <c r="F3512" s="209" t="s">
        <v>21</v>
      </c>
      <c r="G3512" s="209" t="s">
        <v>21</v>
      </c>
      <c r="H3512" s="209" t="s">
        <v>272</v>
      </c>
      <c r="I3512" s="210"/>
    </row>
    <row r="3513" spans="1:9" x14ac:dyDescent="0.25">
      <c r="A3513" s="74"/>
      <c r="B3513" s="45">
        <v>1626</v>
      </c>
      <c r="C3513" s="64" t="s">
        <v>1952</v>
      </c>
      <c r="D3513" s="74"/>
      <c r="E3513" s="208" t="s">
        <v>156</v>
      </c>
      <c r="F3513" s="209" t="s">
        <v>21</v>
      </c>
      <c r="G3513" s="209" t="s">
        <v>21</v>
      </c>
      <c r="H3513" s="209" t="s">
        <v>272</v>
      </c>
      <c r="I3513" s="210"/>
    </row>
    <row r="3514" spans="1:9" x14ac:dyDescent="0.25">
      <c r="A3514" s="74"/>
      <c r="B3514" s="45">
        <v>626</v>
      </c>
      <c r="C3514" s="64" t="s">
        <v>1035</v>
      </c>
      <c r="D3514" s="74"/>
      <c r="E3514" s="208" t="s">
        <v>156</v>
      </c>
      <c r="F3514" s="209" t="s">
        <v>21</v>
      </c>
      <c r="G3514" s="209" t="s">
        <v>21</v>
      </c>
      <c r="H3514" s="209" t="s">
        <v>192</v>
      </c>
      <c r="I3514" s="210"/>
    </row>
    <row r="3515" spans="1:9" x14ac:dyDescent="0.25">
      <c r="A3515" s="74"/>
      <c r="B3515" s="45">
        <v>1624</v>
      </c>
      <c r="C3515" s="64" t="s">
        <v>1950</v>
      </c>
      <c r="D3515" s="74"/>
      <c r="E3515" s="208" t="s">
        <v>156</v>
      </c>
      <c r="F3515" s="209" t="s">
        <v>21</v>
      </c>
      <c r="G3515" s="209" t="s">
        <v>21</v>
      </c>
      <c r="H3515" s="209" t="s">
        <v>272</v>
      </c>
      <c r="I3515" s="210"/>
    </row>
    <row r="3516" spans="1:9" x14ac:dyDescent="0.25">
      <c r="A3516" s="74"/>
      <c r="B3516" s="45">
        <v>1625</v>
      </c>
      <c r="C3516" s="64" t="s">
        <v>1951</v>
      </c>
      <c r="D3516" s="74"/>
      <c r="E3516" s="208" t="s">
        <v>156</v>
      </c>
      <c r="F3516" s="209" t="s">
        <v>21</v>
      </c>
      <c r="G3516" s="209" t="s">
        <v>21</v>
      </c>
      <c r="H3516" s="209" t="s">
        <v>272</v>
      </c>
      <c r="I3516" s="210"/>
    </row>
    <row r="3517" spans="1:9" x14ac:dyDescent="0.25">
      <c r="A3517" s="74"/>
      <c r="B3517" s="45">
        <v>1626</v>
      </c>
      <c r="C3517" s="64" t="s">
        <v>1952</v>
      </c>
      <c r="D3517" s="74"/>
      <c r="E3517" s="208" t="s">
        <v>156</v>
      </c>
      <c r="F3517" s="209" t="s">
        <v>21</v>
      </c>
      <c r="G3517" s="209" t="s">
        <v>21</v>
      </c>
      <c r="H3517" s="209" t="s">
        <v>272</v>
      </c>
      <c r="I3517" s="210"/>
    </row>
    <row r="3518" spans="1:9" x14ac:dyDescent="0.25">
      <c r="A3518" s="74"/>
      <c r="B3518" s="45">
        <v>626</v>
      </c>
      <c r="C3518" s="64" t="s">
        <v>1035</v>
      </c>
      <c r="D3518" s="74"/>
      <c r="E3518" s="208" t="s">
        <v>156</v>
      </c>
      <c r="F3518" s="209" t="s">
        <v>21</v>
      </c>
      <c r="G3518" s="209" t="s">
        <v>21</v>
      </c>
      <c r="H3518" s="209" t="s">
        <v>192</v>
      </c>
      <c r="I3518" s="210"/>
    </row>
    <row r="3519" spans="1:9" x14ac:dyDescent="0.25">
      <c r="A3519" s="74"/>
      <c r="B3519" s="45">
        <v>1624</v>
      </c>
      <c r="C3519" s="64" t="s">
        <v>1950</v>
      </c>
      <c r="D3519" s="74"/>
      <c r="E3519" s="208" t="s">
        <v>156</v>
      </c>
      <c r="F3519" s="209" t="s">
        <v>21</v>
      </c>
      <c r="G3519" s="209" t="s">
        <v>21</v>
      </c>
      <c r="H3519" s="209" t="s">
        <v>272</v>
      </c>
      <c r="I3519" s="210"/>
    </row>
    <row r="3520" spans="1:9" x14ac:dyDescent="0.25">
      <c r="A3520" s="74"/>
      <c r="B3520" s="45">
        <v>626</v>
      </c>
      <c r="C3520" s="64" t="s">
        <v>1035</v>
      </c>
      <c r="D3520" s="74"/>
      <c r="E3520" s="208" t="s">
        <v>156</v>
      </c>
      <c r="F3520" s="209" t="s">
        <v>21</v>
      </c>
      <c r="G3520" s="209" t="s">
        <v>21</v>
      </c>
      <c r="H3520" s="209" t="s">
        <v>192</v>
      </c>
      <c r="I3520" s="210"/>
    </row>
    <row r="3521" spans="1:9" x14ac:dyDescent="0.25">
      <c r="A3521" s="74"/>
      <c r="B3521" s="45">
        <v>1625</v>
      </c>
      <c r="C3521" s="64" t="s">
        <v>1951</v>
      </c>
      <c r="D3521" s="74"/>
      <c r="E3521" s="208" t="s">
        <v>156</v>
      </c>
      <c r="F3521" s="209" t="s">
        <v>21</v>
      </c>
      <c r="G3521" s="209" t="s">
        <v>21</v>
      </c>
      <c r="H3521" s="209" t="s">
        <v>272</v>
      </c>
      <c r="I3521" s="210"/>
    </row>
    <row r="3522" spans="1:9" x14ac:dyDescent="0.25">
      <c r="A3522" s="74"/>
      <c r="B3522" s="45">
        <v>1626</v>
      </c>
      <c r="C3522" s="64" t="s">
        <v>1952</v>
      </c>
      <c r="D3522" s="74"/>
      <c r="E3522" s="208" t="s">
        <v>156</v>
      </c>
      <c r="F3522" s="209" t="s">
        <v>21</v>
      </c>
      <c r="G3522" s="209" t="s">
        <v>21</v>
      </c>
      <c r="H3522" s="209" t="s">
        <v>272</v>
      </c>
      <c r="I3522" s="210"/>
    </row>
    <row r="3523" spans="1:9" x14ac:dyDescent="0.25">
      <c r="A3523" s="74"/>
      <c r="B3523" s="45">
        <v>1626</v>
      </c>
      <c r="C3523" s="64" t="s">
        <v>1952</v>
      </c>
      <c r="D3523" s="74"/>
      <c r="E3523" s="208" t="s">
        <v>156</v>
      </c>
      <c r="F3523" s="209" t="s">
        <v>21</v>
      </c>
      <c r="G3523" s="209" t="s">
        <v>21</v>
      </c>
      <c r="H3523" s="209" t="s">
        <v>272</v>
      </c>
      <c r="I3523" s="210"/>
    </row>
    <row r="3524" spans="1:9" x14ac:dyDescent="0.25">
      <c r="A3524" s="74"/>
      <c r="B3524" s="45">
        <v>1627</v>
      </c>
      <c r="C3524" s="64" t="s">
        <v>1819</v>
      </c>
      <c r="D3524" s="74"/>
      <c r="E3524" s="208" t="s">
        <v>156</v>
      </c>
      <c r="F3524" s="209" t="s">
        <v>21</v>
      </c>
      <c r="G3524" s="209" t="s">
        <v>21</v>
      </c>
      <c r="H3524" s="209" t="s">
        <v>272</v>
      </c>
      <c r="I3524" s="210"/>
    </row>
    <row r="3525" spans="1:9" x14ac:dyDescent="0.25">
      <c r="A3525" s="74"/>
      <c r="B3525" s="45">
        <v>1628</v>
      </c>
      <c r="C3525" s="64" t="s">
        <v>1884</v>
      </c>
      <c r="D3525" s="74"/>
      <c r="E3525" s="208" t="s">
        <v>156</v>
      </c>
      <c r="F3525" s="209" t="s">
        <v>21</v>
      </c>
      <c r="G3525" s="209" t="s">
        <v>21</v>
      </c>
      <c r="H3525" s="209" t="s">
        <v>272</v>
      </c>
      <c r="I3525" s="210"/>
    </row>
    <row r="3526" spans="1:9" x14ac:dyDescent="0.25">
      <c r="A3526" s="74"/>
      <c r="B3526" s="45">
        <v>1628</v>
      </c>
      <c r="C3526" s="64" t="s">
        <v>1884</v>
      </c>
      <c r="D3526" s="74"/>
      <c r="E3526" s="208" t="s">
        <v>156</v>
      </c>
      <c r="F3526" s="209" t="s">
        <v>21</v>
      </c>
      <c r="G3526" s="209" t="s">
        <v>21</v>
      </c>
      <c r="H3526" s="209" t="s">
        <v>272</v>
      </c>
      <c r="I3526" s="210"/>
    </row>
    <row r="3527" spans="1:9" x14ac:dyDescent="0.25">
      <c r="A3527" s="74"/>
      <c r="B3527" s="45">
        <v>1626</v>
      </c>
      <c r="C3527" s="64" t="s">
        <v>1952</v>
      </c>
      <c r="D3527" s="74"/>
      <c r="E3527" s="208" t="s">
        <v>156</v>
      </c>
      <c r="F3527" s="209" t="s">
        <v>21</v>
      </c>
      <c r="G3527" s="209" t="s">
        <v>21</v>
      </c>
      <c r="H3527" s="209" t="s">
        <v>272</v>
      </c>
      <c r="I3527" s="210"/>
    </row>
    <row r="3528" spans="1:9" x14ac:dyDescent="0.25">
      <c r="A3528" s="74"/>
      <c r="B3528" s="45">
        <v>550</v>
      </c>
      <c r="C3528" s="64" t="s">
        <v>959</v>
      </c>
      <c r="D3528" s="74"/>
      <c r="E3528" s="208" t="s">
        <v>156</v>
      </c>
      <c r="F3528" s="209" t="s">
        <v>21</v>
      </c>
      <c r="G3528" s="209" t="s">
        <v>21</v>
      </c>
      <c r="H3528" s="209" t="s">
        <v>192</v>
      </c>
      <c r="I3528" s="210"/>
    </row>
    <row r="3529" spans="1:9" x14ac:dyDescent="0.25">
      <c r="A3529" s="74"/>
      <c r="B3529" s="45">
        <v>548</v>
      </c>
      <c r="C3529" s="64" t="s">
        <v>957</v>
      </c>
      <c r="D3529" s="74"/>
      <c r="E3529" s="208" t="s">
        <v>156</v>
      </c>
      <c r="F3529" s="209" t="s">
        <v>21</v>
      </c>
      <c r="G3529" s="209" t="s">
        <v>21</v>
      </c>
      <c r="H3529" s="209" t="s">
        <v>192</v>
      </c>
      <c r="I3529" s="210"/>
    </row>
    <row r="3530" spans="1:9" x14ac:dyDescent="0.25">
      <c r="A3530" s="74"/>
      <c r="B3530" s="45">
        <v>1630</v>
      </c>
      <c r="C3530" s="64" t="s">
        <v>1953</v>
      </c>
      <c r="D3530" s="74"/>
      <c r="E3530" s="208" t="s">
        <v>156</v>
      </c>
      <c r="F3530" s="209" t="s">
        <v>21</v>
      </c>
      <c r="G3530" s="209" t="s">
        <v>21</v>
      </c>
      <c r="H3530" s="209" t="s">
        <v>272</v>
      </c>
      <c r="I3530" s="210"/>
    </row>
    <row r="3531" spans="1:9" x14ac:dyDescent="0.25">
      <c r="A3531" s="74"/>
      <c r="B3531" s="45">
        <v>1631</v>
      </c>
      <c r="C3531" s="64" t="s">
        <v>1796</v>
      </c>
      <c r="D3531" s="74"/>
      <c r="E3531" s="208" t="s">
        <v>156</v>
      </c>
      <c r="F3531" s="209" t="s">
        <v>21</v>
      </c>
      <c r="G3531" s="209" t="s">
        <v>21</v>
      </c>
      <c r="H3531" s="209" t="s">
        <v>272</v>
      </c>
      <c r="I3531" s="210"/>
    </row>
    <row r="3532" spans="1:9" x14ac:dyDescent="0.25">
      <c r="A3532" s="74"/>
      <c r="B3532" s="45">
        <v>1630</v>
      </c>
      <c r="C3532" s="64" t="s">
        <v>1953</v>
      </c>
      <c r="D3532" s="74"/>
      <c r="E3532" s="208" t="s">
        <v>156</v>
      </c>
      <c r="F3532" s="209" t="s">
        <v>21</v>
      </c>
      <c r="G3532" s="209" t="s">
        <v>21</v>
      </c>
      <c r="H3532" s="209" t="s">
        <v>272</v>
      </c>
      <c r="I3532" s="210"/>
    </row>
    <row r="3533" spans="1:9" x14ac:dyDescent="0.25">
      <c r="A3533" s="74"/>
      <c r="B3533" s="45">
        <v>1631</v>
      </c>
      <c r="C3533" s="64" t="s">
        <v>1796</v>
      </c>
      <c r="D3533" s="74"/>
      <c r="E3533" s="208" t="s">
        <v>156</v>
      </c>
      <c r="F3533" s="209" t="s">
        <v>21</v>
      </c>
      <c r="G3533" s="209" t="s">
        <v>21</v>
      </c>
      <c r="H3533" s="209" t="s">
        <v>272</v>
      </c>
      <c r="I3533" s="210"/>
    </row>
    <row r="3534" spans="1:9" x14ac:dyDescent="0.25">
      <c r="A3534" s="74"/>
      <c r="B3534" s="45">
        <v>1630</v>
      </c>
      <c r="C3534" s="64" t="s">
        <v>1953</v>
      </c>
      <c r="D3534" s="74"/>
      <c r="E3534" s="208" t="s">
        <v>156</v>
      </c>
      <c r="F3534" s="209" t="s">
        <v>21</v>
      </c>
      <c r="G3534" s="209" t="s">
        <v>21</v>
      </c>
      <c r="H3534" s="209" t="s">
        <v>272</v>
      </c>
      <c r="I3534" s="210"/>
    </row>
    <row r="3535" spans="1:9" x14ac:dyDescent="0.25">
      <c r="A3535" s="74"/>
      <c r="B3535" s="45">
        <v>1631</v>
      </c>
      <c r="C3535" s="64" t="s">
        <v>1796</v>
      </c>
      <c r="D3535" s="74"/>
      <c r="E3535" s="208" t="s">
        <v>156</v>
      </c>
      <c r="F3535" s="209" t="s">
        <v>21</v>
      </c>
      <c r="G3535" s="209" t="s">
        <v>21</v>
      </c>
      <c r="H3535" s="209" t="s">
        <v>272</v>
      </c>
      <c r="I3535" s="210"/>
    </row>
    <row r="3536" spans="1:9" x14ac:dyDescent="0.25">
      <c r="A3536" s="74"/>
      <c r="B3536" s="45">
        <v>552</v>
      </c>
      <c r="C3536" s="64" t="s">
        <v>961</v>
      </c>
      <c r="D3536" s="74"/>
      <c r="E3536" s="208" t="s">
        <v>156</v>
      </c>
      <c r="F3536" s="209" t="s">
        <v>21</v>
      </c>
      <c r="G3536" s="209" t="s">
        <v>21</v>
      </c>
      <c r="H3536" s="209" t="s">
        <v>192</v>
      </c>
      <c r="I3536" s="210"/>
    </row>
    <row r="3537" spans="1:9" x14ac:dyDescent="0.25">
      <c r="A3537" s="74"/>
      <c r="B3537" s="45">
        <v>554</v>
      </c>
      <c r="C3537" s="64" t="s">
        <v>963</v>
      </c>
      <c r="D3537" s="74"/>
      <c r="E3537" s="208" t="s">
        <v>156</v>
      </c>
      <c r="F3537" s="209" t="s">
        <v>21</v>
      </c>
      <c r="G3537" s="209" t="s">
        <v>21</v>
      </c>
      <c r="H3537" s="209" t="s">
        <v>272</v>
      </c>
      <c r="I3537" s="210"/>
    </row>
    <row r="3538" spans="1:9" x14ac:dyDescent="0.25">
      <c r="A3538" s="74"/>
      <c r="B3538" s="45">
        <v>1632</v>
      </c>
      <c r="C3538" s="64" t="s">
        <v>1954</v>
      </c>
      <c r="D3538" s="74"/>
      <c r="E3538" s="208" t="s">
        <v>156</v>
      </c>
      <c r="F3538" s="209" t="s">
        <v>21</v>
      </c>
      <c r="G3538" s="209" t="s">
        <v>21</v>
      </c>
      <c r="H3538" s="209" t="s">
        <v>272</v>
      </c>
      <c r="I3538" s="210"/>
    </row>
    <row r="3539" spans="1:9" x14ac:dyDescent="0.25">
      <c r="A3539" s="74"/>
      <c r="B3539" s="45">
        <v>1633</v>
      </c>
      <c r="C3539" s="64" t="s">
        <v>1886</v>
      </c>
      <c r="D3539" s="74"/>
      <c r="E3539" s="208" t="s">
        <v>156</v>
      </c>
      <c r="F3539" s="209" t="s">
        <v>21</v>
      </c>
      <c r="G3539" s="209" t="s">
        <v>21</v>
      </c>
      <c r="H3539" s="209" t="s">
        <v>272</v>
      </c>
      <c r="I3539" s="210"/>
    </row>
    <row r="3540" spans="1:9" x14ac:dyDescent="0.25">
      <c r="A3540" s="74"/>
      <c r="B3540" s="45">
        <v>1634</v>
      </c>
      <c r="C3540" s="64" t="s">
        <v>1955</v>
      </c>
      <c r="D3540" s="74"/>
      <c r="E3540" s="208" t="s">
        <v>156</v>
      </c>
      <c r="F3540" s="209" t="s">
        <v>21</v>
      </c>
      <c r="G3540" s="209" t="s">
        <v>21</v>
      </c>
      <c r="H3540" s="209" t="s">
        <v>272</v>
      </c>
      <c r="I3540" s="210"/>
    </row>
    <row r="3541" spans="1:9" x14ac:dyDescent="0.25">
      <c r="A3541" s="74"/>
      <c r="B3541" s="45">
        <v>553</v>
      </c>
      <c r="C3541" s="64" t="s">
        <v>962</v>
      </c>
      <c r="D3541" s="74"/>
      <c r="E3541" s="208" t="s">
        <v>156</v>
      </c>
      <c r="F3541" s="209" t="s">
        <v>21</v>
      </c>
      <c r="G3541" s="209" t="s">
        <v>21</v>
      </c>
      <c r="H3541" s="209" t="s">
        <v>192</v>
      </c>
      <c r="I3541" s="210"/>
    </row>
    <row r="3542" spans="1:9" x14ac:dyDescent="0.25">
      <c r="A3542" s="74"/>
      <c r="B3542" s="45">
        <v>553</v>
      </c>
      <c r="C3542" s="64" t="s">
        <v>962</v>
      </c>
      <c r="D3542" s="74"/>
      <c r="E3542" s="208" t="s">
        <v>156</v>
      </c>
      <c r="F3542" s="209" t="s">
        <v>21</v>
      </c>
      <c r="G3542" s="209" t="s">
        <v>21</v>
      </c>
      <c r="H3542" s="209" t="s">
        <v>192</v>
      </c>
      <c r="I3542" s="210"/>
    </row>
    <row r="3543" spans="1:9" x14ac:dyDescent="0.25">
      <c r="A3543" s="74"/>
      <c r="B3543" s="45">
        <v>554</v>
      </c>
      <c r="C3543" s="64" t="s">
        <v>963</v>
      </c>
      <c r="D3543" s="74"/>
      <c r="E3543" s="208" t="s">
        <v>156</v>
      </c>
      <c r="F3543" s="209" t="s">
        <v>21</v>
      </c>
      <c r="G3543" s="209" t="s">
        <v>21</v>
      </c>
      <c r="H3543" s="209" t="s">
        <v>272</v>
      </c>
      <c r="I3543" s="210"/>
    </row>
    <row r="3544" spans="1:9" x14ac:dyDescent="0.25">
      <c r="A3544" s="74"/>
      <c r="B3544" s="45">
        <v>1632</v>
      </c>
      <c r="C3544" s="64" t="s">
        <v>1954</v>
      </c>
      <c r="D3544" s="74"/>
      <c r="E3544" s="208" t="s">
        <v>156</v>
      </c>
      <c r="F3544" s="209" t="s">
        <v>21</v>
      </c>
      <c r="G3544" s="209" t="s">
        <v>21</v>
      </c>
      <c r="H3544" s="209" t="s">
        <v>272</v>
      </c>
      <c r="I3544" s="210"/>
    </row>
    <row r="3545" spans="1:9" x14ac:dyDescent="0.25">
      <c r="A3545" s="74"/>
      <c r="B3545" s="45">
        <v>1633</v>
      </c>
      <c r="C3545" s="64" t="s">
        <v>1886</v>
      </c>
      <c r="D3545" s="74"/>
      <c r="E3545" s="208" t="s">
        <v>156</v>
      </c>
      <c r="F3545" s="209" t="s">
        <v>21</v>
      </c>
      <c r="G3545" s="209" t="s">
        <v>21</v>
      </c>
      <c r="H3545" s="209" t="s">
        <v>272</v>
      </c>
      <c r="I3545" s="210"/>
    </row>
    <row r="3546" spans="1:9" x14ac:dyDescent="0.25">
      <c r="A3546" s="74"/>
      <c r="B3546" s="45">
        <v>1634</v>
      </c>
      <c r="C3546" s="64" t="s">
        <v>1955</v>
      </c>
      <c r="D3546" s="74"/>
      <c r="E3546" s="208" t="s">
        <v>156</v>
      </c>
      <c r="F3546" s="209" t="s">
        <v>21</v>
      </c>
      <c r="G3546" s="209" t="s">
        <v>21</v>
      </c>
      <c r="H3546" s="209" t="s">
        <v>272</v>
      </c>
      <c r="I3546" s="210"/>
    </row>
    <row r="3547" spans="1:9" x14ac:dyDescent="0.25">
      <c r="A3547" s="74"/>
      <c r="B3547" s="45">
        <v>554</v>
      </c>
      <c r="C3547" s="64" t="s">
        <v>963</v>
      </c>
      <c r="D3547" s="74"/>
      <c r="E3547" s="208" t="s">
        <v>156</v>
      </c>
      <c r="F3547" s="209" t="s">
        <v>21</v>
      </c>
      <c r="G3547" s="209" t="s">
        <v>21</v>
      </c>
      <c r="H3547" s="209" t="s">
        <v>272</v>
      </c>
      <c r="I3547" s="210"/>
    </row>
    <row r="3548" spans="1:9" x14ac:dyDescent="0.25">
      <c r="A3548" s="74"/>
      <c r="B3548" s="45">
        <v>1632</v>
      </c>
      <c r="C3548" s="64" t="s">
        <v>1954</v>
      </c>
      <c r="D3548" s="74"/>
      <c r="E3548" s="208" t="s">
        <v>156</v>
      </c>
      <c r="F3548" s="209" t="s">
        <v>21</v>
      </c>
      <c r="G3548" s="209" t="s">
        <v>21</v>
      </c>
      <c r="H3548" s="209" t="s">
        <v>272</v>
      </c>
      <c r="I3548" s="210"/>
    </row>
    <row r="3549" spans="1:9" x14ac:dyDescent="0.25">
      <c r="A3549" s="74"/>
      <c r="B3549" s="45">
        <v>1633</v>
      </c>
      <c r="C3549" s="64" t="s">
        <v>1886</v>
      </c>
      <c r="D3549" s="74"/>
      <c r="E3549" s="208" t="s">
        <v>156</v>
      </c>
      <c r="F3549" s="209" t="s">
        <v>21</v>
      </c>
      <c r="G3549" s="209" t="s">
        <v>21</v>
      </c>
      <c r="H3549" s="209" t="s">
        <v>272</v>
      </c>
      <c r="I3549" s="210"/>
    </row>
    <row r="3550" spans="1:9" x14ac:dyDescent="0.25">
      <c r="A3550" s="74"/>
      <c r="B3550" s="45">
        <v>1634</v>
      </c>
      <c r="C3550" s="64" t="s">
        <v>1955</v>
      </c>
      <c r="D3550" s="74"/>
      <c r="E3550" s="208" t="s">
        <v>156</v>
      </c>
      <c r="F3550" s="209" t="s">
        <v>21</v>
      </c>
      <c r="G3550" s="209" t="s">
        <v>21</v>
      </c>
      <c r="H3550" s="209" t="s">
        <v>272</v>
      </c>
      <c r="I3550" s="210"/>
    </row>
    <row r="3551" spans="1:9" x14ac:dyDescent="0.25">
      <c r="A3551" s="74"/>
      <c r="B3551" s="45">
        <v>553</v>
      </c>
      <c r="C3551" s="64" t="s">
        <v>962</v>
      </c>
      <c r="D3551" s="74"/>
      <c r="E3551" s="208" t="s">
        <v>156</v>
      </c>
      <c r="F3551" s="209" t="s">
        <v>21</v>
      </c>
      <c r="G3551" s="209" t="s">
        <v>21</v>
      </c>
      <c r="H3551" s="209" t="s">
        <v>192</v>
      </c>
      <c r="I3551" s="210"/>
    </row>
    <row r="3552" spans="1:9" x14ac:dyDescent="0.25">
      <c r="A3552" s="74"/>
      <c r="B3552" s="45">
        <v>554</v>
      </c>
      <c r="C3552" s="64" t="s">
        <v>963</v>
      </c>
      <c r="D3552" s="74"/>
      <c r="E3552" s="208" t="s">
        <v>156</v>
      </c>
      <c r="F3552" s="209" t="s">
        <v>21</v>
      </c>
      <c r="G3552" s="209" t="s">
        <v>21</v>
      </c>
      <c r="H3552" s="209" t="s">
        <v>272</v>
      </c>
      <c r="I3552" s="210"/>
    </row>
    <row r="3553" spans="1:9" x14ac:dyDescent="0.25">
      <c r="A3553" s="74"/>
      <c r="B3553" s="45">
        <v>1632</v>
      </c>
      <c r="C3553" s="64" t="s">
        <v>1954</v>
      </c>
      <c r="D3553" s="74"/>
      <c r="E3553" s="208" t="s">
        <v>156</v>
      </c>
      <c r="F3553" s="209" t="s">
        <v>21</v>
      </c>
      <c r="G3553" s="209" t="s">
        <v>21</v>
      </c>
      <c r="H3553" s="209" t="s">
        <v>272</v>
      </c>
      <c r="I3553" s="210"/>
    </row>
    <row r="3554" spans="1:9" x14ac:dyDescent="0.25">
      <c r="A3554" s="74"/>
      <c r="B3554" s="45">
        <v>1633</v>
      </c>
      <c r="C3554" s="64" t="s">
        <v>1886</v>
      </c>
      <c r="D3554" s="74"/>
      <c r="E3554" s="208" t="s">
        <v>156</v>
      </c>
      <c r="F3554" s="209" t="s">
        <v>21</v>
      </c>
      <c r="G3554" s="209" t="s">
        <v>21</v>
      </c>
      <c r="H3554" s="209" t="s">
        <v>272</v>
      </c>
      <c r="I3554" s="210"/>
    </row>
    <row r="3555" spans="1:9" x14ac:dyDescent="0.25">
      <c r="A3555" s="74"/>
      <c r="B3555" s="45">
        <v>1634</v>
      </c>
      <c r="C3555" s="64" t="s">
        <v>1955</v>
      </c>
      <c r="D3555" s="74"/>
      <c r="E3555" s="208" t="s">
        <v>156</v>
      </c>
      <c r="F3555" s="209" t="s">
        <v>21</v>
      </c>
      <c r="G3555" s="209" t="s">
        <v>21</v>
      </c>
      <c r="H3555" s="209" t="s">
        <v>272</v>
      </c>
      <c r="I3555" s="210"/>
    </row>
    <row r="3556" spans="1:9" x14ac:dyDescent="0.25">
      <c r="A3556" s="74"/>
      <c r="B3556" s="45">
        <v>553</v>
      </c>
      <c r="C3556" s="64" t="s">
        <v>962</v>
      </c>
      <c r="D3556" s="74"/>
      <c r="E3556" s="208" t="s">
        <v>156</v>
      </c>
      <c r="F3556" s="209" t="s">
        <v>21</v>
      </c>
      <c r="G3556" s="209" t="s">
        <v>21</v>
      </c>
      <c r="H3556" s="209" t="s">
        <v>192</v>
      </c>
      <c r="I3556" s="210"/>
    </row>
    <row r="3557" spans="1:9" x14ac:dyDescent="0.25">
      <c r="A3557" s="74"/>
      <c r="B3557" s="45">
        <v>1635</v>
      </c>
      <c r="C3557" s="64" t="s">
        <v>1956</v>
      </c>
      <c r="D3557" s="74"/>
      <c r="E3557" s="208" t="s">
        <v>156</v>
      </c>
      <c r="F3557" s="209" t="s">
        <v>21</v>
      </c>
      <c r="G3557" s="209" t="s">
        <v>21</v>
      </c>
      <c r="H3557" s="209" t="s">
        <v>272</v>
      </c>
      <c r="I3557" s="210"/>
    </row>
    <row r="3558" spans="1:9" x14ac:dyDescent="0.25">
      <c r="A3558" s="74"/>
      <c r="B3558" s="45">
        <v>1636</v>
      </c>
      <c r="C3558" s="64" t="s">
        <v>1928</v>
      </c>
      <c r="D3558" s="74"/>
      <c r="E3558" s="208" t="s">
        <v>156</v>
      </c>
      <c r="F3558" s="209" t="s">
        <v>21</v>
      </c>
      <c r="G3558" s="209" t="s">
        <v>21</v>
      </c>
      <c r="H3558" s="209" t="s">
        <v>272</v>
      </c>
      <c r="I3558" s="210"/>
    </row>
    <row r="3559" spans="1:9" x14ac:dyDescent="0.25">
      <c r="A3559" s="74"/>
      <c r="B3559" s="45">
        <v>555</v>
      </c>
      <c r="C3559" s="64" t="s">
        <v>964</v>
      </c>
      <c r="D3559" s="74"/>
      <c r="E3559" s="208" t="s">
        <v>156</v>
      </c>
      <c r="F3559" s="209" t="s">
        <v>21</v>
      </c>
      <c r="G3559" s="209" t="s">
        <v>21</v>
      </c>
      <c r="H3559" s="209" t="s">
        <v>272</v>
      </c>
      <c r="I3559" s="210"/>
    </row>
    <row r="3560" spans="1:9" x14ac:dyDescent="0.25">
      <c r="A3560" s="74"/>
      <c r="B3560" s="45">
        <v>553</v>
      </c>
      <c r="C3560" s="64" t="s">
        <v>962</v>
      </c>
      <c r="D3560" s="74"/>
      <c r="E3560" s="208" t="s">
        <v>156</v>
      </c>
      <c r="F3560" s="209" t="s">
        <v>21</v>
      </c>
      <c r="G3560" s="209" t="s">
        <v>21</v>
      </c>
      <c r="H3560" s="209" t="s">
        <v>192</v>
      </c>
      <c r="I3560" s="210"/>
    </row>
    <row r="3561" spans="1:9" x14ac:dyDescent="0.25">
      <c r="A3561" s="74"/>
      <c r="B3561" s="45">
        <v>1637</v>
      </c>
      <c r="C3561" s="64" t="s">
        <v>1957</v>
      </c>
      <c r="D3561" s="74"/>
      <c r="E3561" s="208" t="s">
        <v>156</v>
      </c>
      <c r="F3561" s="209" t="s">
        <v>21</v>
      </c>
      <c r="G3561" s="209" t="s">
        <v>21</v>
      </c>
      <c r="H3561" s="209" t="s">
        <v>272</v>
      </c>
      <c r="I3561" s="210"/>
    </row>
    <row r="3562" spans="1:9" x14ac:dyDescent="0.25">
      <c r="A3562" s="74"/>
      <c r="B3562" s="45">
        <v>556</v>
      </c>
      <c r="C3562" s="64" t="s">
        <v>965</v>
      </c>
      <c r="D3562" s="74"/>
      <c r="E3562" s="208" t="s">
        <v>156</v>
      </c>
      <c r="F3562" s="209" t="s">
        <v>21</v>
      </c>
      <c r="G3562" s="209" t="s">
        <v>21</v>
      </c>
      <c r="H3562" s="209" t="s">
        <v>192</v>
      </c>
      <c r="I3562" s="210"/>
    </row>
    <row r="3563" spans="1:9" x14ac:dyDescent="0.25">
      <c r="A3563" s="74"/>
      <c r="B3563" s="45">
        <v>559</v>
      </c>
      <c r="C3563" s="64" t="s">
        <v>968</v>
      </c>
      <c r="D3563" s="74"/>
      <c r="E3563" s="208" t="s">
        <v>156</v>
      </c>
      <c r="F3563" s="209" t="s">
        <v>21</v>
      </c>
      <c r="G3563" s="209" t="s">
        <v>21</v>
      </c>
      <c r="H3563" s="209" t="s">
        <v>192</v>
      </c>
      <c r="I3563" s="210"/>
    </row>
    <row r="3564" spans="1:9" x14ac:dyDescent="0.25">
      <c r="A3564" s="74"/>
      <c r="B3564" s="45">
        <v>558</v>
      </c>
      <c r="C3564" s="64" t="s">
        <v>967</v>
      </c>
      <c r="D3564" s="74"/>
      <c r="E3564" s="208" t="s">
        <v>156</v>
      </c>
      <c r="F3564" s="209" t="s">
        <v>21</v>
      </c>
      <c r="G3564" s="209" t="s">
        <v>21</v>
      </c>
      <c r="H3564" s="209" t="s">
        <v>192</v>
      </c>
      <c r="I3564" s="210"/>
    </row>
    <row r="3565" spans="1:9" x14ac:dyDescent="0.25">
      <c r="A3565" s="74"/>
      <c r="B3565" s="45">
        <v>558</v>
      </c>
      <c r="C3565" s="64" t="s">
        <v>967</v>
      </c>
      <c r="D3565" s="74"/>
      <c r="E3565" s="208" t="s">
        <v>156</v>
      </c>
      <c r="F3565" s="209" t="s">
        <v>21</v>
      </c>
      <c r="G3565" s="209" t="s">
        <v>21</v>
      </c>
      <c r="H3565" s="209" t="s">
        <v>192</v>
      </c>
      <c r="I3565" s="210"/>
    </row>
    <row r="3566" spans="1:9" x14ac:dyDescent="0.25">
      <c r="A3566" s="74"/>
      <c r="B3566" s="45">
        <v>612</v>
      </c>
      <c r="C3566" s="64" t="s">
        <v>1021</v>
      </c>
      <c r="D3566" s="74"/>
      <c r="E3566" s="208" t="s">
        <v>156</v>
      </c>
      <c r="F3566" s="209" t="s">
        <v>21</v>
      </c>
      <c r="G3566" s="209" t="s">
        <v>21</v>
      </c>
      <c r="H3566" s="209" t="s">
        <v>272</v>
      </c>
      <c r="I3566" s="210"/>
    </row>
    <row r="3567" spans="1:9" x14ac:dyDescent="0.25">
      <c r="A3567" s="74"/>
      <c r="B3567" s="45">
        <v>612</v>
      </c>
      <c r="C3567" s="64" t="s">
        <v>1021</v>
      </c>
      <c r="D3567" s="74"/>
      <c r="E3567" s="208" t="s">
        <v>156</v>
      </c>
      <c r="F3567" s="209" t="s">
        <v>21</v>
      </c>
      <c r="G3567" s="209" t="s">
        <v>21</v>
      </c>
      <c r="H3567" s="209" t="s">
        <v>272</v>
      </c>
      <c r="I3567" s="210"/>
    </row>
    <row r="3568" spans="1:9" x14ac:dyDescent="0.25">
      <c r="A3568" s="74"/>
      <c r="B3568" s="45">
        <v>558</v>
      </c>
      <c r="C3568" s="64" t="s">
        <v>967</v>
      </c>
      <c r="D3568" s="74"/>
      <c r="E3568" s="208" t="s">
        <v>156</v>
      </c>
      <c r="F3568" s="209" t="s">
        <v>21</v>
      </c>
      <c r="G3568" s="209" t="s">
        <v>21</v>
      </c>
      <c r="H3568" s="209" t="s">
        <v>192</v>
      </c>
      <c r="I3568" s="210"/>
    </row>
    <row r="3569" spans="1:9" x14ac:dyDescent="0.25">
      <c r="A3569" s="74"/>
      <c r="B3569" s="45">
        <v>1638</v>
      </c>
      <c r="C3569" s="64" t="s">
        <v>1958</v>
      </c>
      <c r="D3569" s="74"/>
      <c r="E3569" s="208" t="s">
        <v>156</v>
      </c>
      <c r="F3569" s="209" t="s">
        <v>21</v>
      </c>
      <c r="G3569" s="209" t="s">
        <v>21</v>
      </c>
      <c r="H3569" s="209" t="s">
        <v>192</v>
      </c>
      <c r="I3569" s="210"/>
    </row>
    <row r="3570" spans="1:9" x14ac:dyDescent="0.25">
      <c r="A3570" s="74"/>
      <c r="B3570" s="45">
        <v>615</v>
      </c>
      <c r="C3570" s="64" t="s">
        <v>1024</v>
      </c>
      <c r="D3570" s="74"/>
      <c r="E3570" s="208" t="s">
        <v>156</v>
      </c>
      <c r="F3570" s="209" t="s">
        <v>21</v>
      </c>
      <c r="G3570" s="209" t="s">
        <v>21</v>
      </c>
      <c r="H3570" s="209" t="s">
        <v>192</v>
      </c>
      <c r="I3570" s="210"/>
    </row>
    <row r="3571" spans="1:9" x14ac:dyDescent="0.25">
      <c r="A3571" s="74"/>
      <c r="B3571" s="45">
        <v>567</v>
      </c>
      <c r="C3571" s="64" t="s">
        <v>976</v>
      </c>
      <c r="D3571" s="74"/>
      <c r="E3571" s="208" t="s">
        <v>144</v>
      </c>
      <c r="F3571" s="209" t="s">
        <v>21</v>
      </c>
      <c r="G3571" s="209" t="s">
        <v>21</v>
      </c>
      <c r="H3571" s="209" t="s">
        <v>192</v>
      </c>
      <c r="I3571" s="210"/>
    </row>
    <row r="3572" spans="1:9" x14ac:dyDescent="0.25">
      <c r="A3572" s="74"/>
      <c r="B3572" s="45">
        <v>1639</v>
      </c>
      <c r="C3572" s="64" t="s">
        <v>1959</v>
      </c>
      <c r="D3572" s="74"/>
      <c r="E3572" s="208" t="s">
        <v>279</v>
      </c>
      <c r="F3572" s="209" t="s">
        <v>21</v>
      </c>
      <c r="G3572" s="209" t="s">
        <v>21</v>
      </c>
      <c r="H3572" s="209" t="s">
        <v>16</v>
      </c>
      <c r="I3572" s="210"/>
    </row>
    <row r="3573" spans="1:9" x14ac:dyDescent="0.25">
      <c r="A3573" s="74"/>
      <c r="B3573" s="45">
        <v>617</v>
      </c>
      <c r="C3573" s="64" t="s">
        <v>1026</v>
      </c>
      <c r="D3573" s="74"/>
      <c r="E3573" s="208" t="s">
        <v>144</v>
      </c>
      <c r="F3573" s="209" t="s">
        <v>21</v>
      </c>
      <c r="G3573" s="209" t="s">
        <v>21</v>
      </c>
      <c r="H3573" s="209" t="s">
        <v>189</v>
      </c>
      <c r="I3573" s="210"/>
    </row>
    <row r="3574" spans="1:9" x14ac:dyDescent="0.25">
      <c r="A3574" s="74"/>
      <c r="B3574" s="45">
        <v>594</v>
      </c>
      <c r="C3574" s="64" t="s">
        <v>1003</v>
      </c>
      <c r="D3574" s="74"/>
      <c r="E3574" s="208" t="s">
        <v>144</v>
      </c>
      <c r="F3574" s="209" t="s">
        <v>21</v>
      </c>
      <c r="G3574" s="209" t="s">
        <v>21</v>
      </c>
      <c r="H3574" s="209" t="s">
        <v>192</v>
      </c>
      <c r="I3574" s="210"/>
    </row>
    <row r="3575" spans="1:9" x14ac:dyDescent="0.25">
      <c r="A3575" s="74"/>
      <c r="B3575" s="45">
        <v>1640</v>
      </c>
      <c r="C3575" s="64" t="s">
        <v>1960</v>
      </c>
      <c r="D3575" s="74"/>
      <c r="E3575" s="208" t="s">
        <v>144</v>
      </c>
      <c r="F3575" s="209" t="s">
        <v>21</v>
      </c>
      <c r="G3575" s="209" t="s">
        <v>21</v>
      </c>
      <c r="H3575" s="209" t="s">
        <v>272</v>
      </c>
      <c r="I3575" s="210"/>
    </row>
    <row r="3576" spans="1:9" x14ac:dyDescent="0.25">
      <c r="A3576" s="74"/>
      <c r="B3576" s="45">
        <v>1641</v>
      </c>
      <c r="C3576" s="64" t="s">
        <v>1961</v>
      </c>
      <c r="D3576" s="74"/>
      <c r="E3576" s="208" t="s">
        <v>144</v>
      </c>
      <c r="F3576" s="209" t="s">
        <v>21</v>
      </c>
      <c r="G3576" s="209" t="s">
        <v>21</v>
      </c>
      <c r="H3576" s="209" t="s">
        <v>272</v>
      </c>
      <c r="I3576" s="210"/>
    </row>
    <row r="3577" spans="1:9" x14ac:dyDescent="0.25">
      <c r="A3577" s="74"/>
      <c r="B3577" s="45">
        <v>1642</v>
      </c>
      <c r="C3577" s="64" t="s">
        <v>1962</v>
      </c>
      <c r="D3577" s="74"/>
      <c r="E3577" s="208" t="s">
        <v>144</v>
      </c>
      <c r="F3577" s="209" t="s">
        <v>21</v>
      </c>
      <c r="G3577" s="209" t="s">
        <v>21</v>
      </c>
      <c r="H3577" s="209" t="s">
        <v>272</v>
      </c>
      <c r="I3577" s="210"/>
    </row>
    <row r="3578" spans="1:9" x14ac:dyDescent="0.25">
      <c r="A3578" s="74"/>
      <c r="B3578" s="45">
        <v>1643</v>
      </c>
      <c r="C3578" s="64" t="s">
        <v>1963</v>
      </c>
      <c r="D3578" s="74"/>
      <c r="E3578" s="208" t="s">
        <v>144</v>
      </c>
      <c r="F3578" s="209" t="s">
        <v>21</v>
      </c>
      <c r="G3578" s="209" t="s">
        <v>21</v>
      </c>
      <c r="H3578" s="209" t="s">
        <v>272</v>
      </c>
      <c r="I3578" s="210"/>
    </row>
    <row r="3579" spans="1:9" x14ac:dyDescent="0.25">
      <c r="A3579" s="74"/>
      <c r="B3579" s="45">
        <v>621</v>
      </c>
      <c r="C3579" s="64" t="s">
        <v>1030</v>
      </c>
      <c r="D3579" s="74"/>
      <c r="E3579" s="208" t="s">
        <v>144</v>
      </c>
      <c r="F3579" s="209" t="s">
        <v>21</v>
      </c>
      <c r="G3579" s="209" t="s">
        <v>21</v>
      </c>
      <c r="H3579" s="209" t="s">
        <v>192</v>
      </c>
      <c r="I3579" s="210"/>
    </row>
    <row r="3580" spans="1:9" x14ac:dyDescent="0.25">
      <c r="A3580" s="74"/>
      <c r="B3580" s="45">
        <v>1640</v>
      </c>
      <c r="C3580" s="64" t="s">
        <v>1960</v>
      </c>
      <c r="D3580" s="74"/>
      <c r="E3580" s="208" t="s">
        <v>144</v>
      </c>
      <c r="F3580" s="209" t="s">
        <v>21</v>
      </c>
      <c r="G3580" s="209" t="s">
        <v>21</v>
      </c>
      <c r="H3580" s="209" t="s">
        <v>272</v>
      </c>
      <c r="I3580" s="210"/>
    </row>
    <row r="3581" spans="1:9" x14ac:dyDescent="0.25">
      <c r="A3581" s="74"/>
      <c r="B3581" s="45">
        <v>1641</v>
      </c>
      <c r="C3581" s="64" t="s">
        <v>1961</v>
      </c>
      <c r="D3581" s="74"/>
      <c r="E3581" s="208" t="s">
        <v>144</v>
      </c>
      <c r="F3581" s="209" t="s">
        <v>21</v>
      </c>
      <c r="G3581" s="209" t="s">
        <v>21</v>
      </c>
      <c r="H3581" s="209" t="s">
        <v>272</v>
      </c>
      <c r="I3581" s="210"/>
    </row>
    <row r="3582" spans="1:9" x14ac:dyDescent="0.25">
      <c r="A3582" s="74"/>
      <c r="B3582" s="45">
        <v>1642</v>
      </c>
      <c r="C3582" s="64" t="s">
        <v>1962</v>
      </c>
      <c r="D3582" s="74"/>
      <c r="E3582" s="208" t="s">
        <v>144</v>
      </c>
      <c r="F3582" s="209" t="s">
        <v>21</v>
      </c>
      <c r="G3582" s="209" t="s">
        <v>21</v>
      </c>
      <c r="H3582" s="209" t="s">
        <v>272</v>
      </c>
      <c r="I3582" s="210"/>
    </row>
    <row r="3583" spans="1:9" x14ac:dyDescent="0.25">
      <c r="A3583" s="74"/>
      <c r="B3583" s="45">
        <v>1643</v>
      </c>
      <c r="C3583" s="64" t="s">
        <v>1963</v>
      </c>
      <c r="D3583" s="74"/>
      <c r="E3583" s="208" t="s">
        <v>144</v>
      </c>
      <c r="F3583" s="209" t="s">
        <v>21</v>
      </c>
      <c r="G3583" s="209" t="s">
        <v>21</v>
      </c>
      <c r="H3583" s="209" t="s">
        <v>272</v>
      </c>
      <c r="I3583" s="210"/>
    </row>
    <row r="3584" spans="1:9" x14ac:dyDescent="0.25">
      <c r="A3584" s="74"/>
      <c r="B3584" s="45">
        <v>621</v>
      </c>
      <c r="C3584" s="64" t="s">
        <v>1030</v>
      </c>
      <c r="D3584" s="74"/>
      <c r="E3584" s="208" t="s">
        <v>144</v>
      </c>
      <c r="F3584" s="209" t="s">
        <v>21</v>
      </c>
      <c r="G3584" s="209" t="s">
        <v>21</v>
      </c>
      <c r="H3584" s="209" t="s">
        <v>192</v>
      </c>
      <c r="I3584" s="210"/>
    </row>
    <row r="3585" spans="1:9" x14ac:dyDescent="0.25">
      <c r="A3585" s="74"/>
      <c r="B3585" s="45">
        <v>599</v>
      </c>
      <c r="C3585" s="64" t="s">
        <v>1008</v>
      </c>
      <c r="D3585" s="74"/>
      <c r="E3585" s="208" t="s">
        <v>144</v>
      </c>
      <c r="F3585" s="209" t="s">
        <v>21</v>
      </c>
      <c r="G3585" s="209" t="s">
        <v>21</v>
      </c>
      <c r="H3585" s="209" t="s">
        <v>192</v>
      </c>
      <c r="I3585" s="210"/>
    </row>
    <row r="3586" spans="1:9" x14ac:dyDescent="0.25">
      <c r="A3586" s="74"/>
      <c r="B3586" s="45">
        <v>564</v>
      </c>
      <c r="C3586" s="64" t="s">
        <v>973</v>
      </c>
      <c r="D3586" s="74"/>
      <c r="E3586" s="208" t="s">
        <v>144</v>
      </c>
      <c r="F3586" s="209" t="s">
        <v>21</v>
      </c>
      <c r="G3586" s="209" t="s">
        <v>21</v>
      </c>
      <c r="H3586" s="209" t="s">
        <v>192</v>
      </c>
      <c r="I3586" s="210"/>
    </row>
    <row r="3587" spans="1:9" x14ac:dyDescent="0.25">
      <c r="A3587" s="74"/>
      <c r="B3587" s="45">
        <v>585</v>
      </c>
      <c r="C3587" s="64" t="s">
        <v>994</v>
      </c>
      <c r="D3587" s="74"/>
      <c r="E3587" s="208" t="s">
        <v>144</v>
      </c>
      <c r="F3587" s="209" t="s">
        <v>21</v>
      </c>
      <c r="G3587" s="209" t="s">
        <v>21</v>
      </c>
      <c r="H3587" s="209" t="s">
        <v>192</v>
      </c>
      <c r="I3587" s="210"/>
    </row>
    <row r="3588" spans="1:9" x14ac:dyDescent="0.25">
      <c r="A3588" s="74"/>
      <c r="B3588" s="45">
        <v>567</v>
      </c>
      <c r="C3588" s="64" t="s">
        <v>976</v>
      </c>
      <c r="D3588" s="74"/>
      <c r="E3588" s="208" t="s">
        <v>144</v>
      </c>
      <c r="F3588" s="209" t="s">
        <v>21</v>
      </c>
      <c r="G3588" s="209" t="s">
        <v>21</v>
      </c>
      <c r="H3588" s="209" t="s">
        <v>192</v>
      </c>
      <c r="I3588" s="210"/>
    </row>
    <row r="3589" spans="1:9" x14ac:dyDescent="0.25">
      <c r="A3589" s="74"/>
      <c r="B3589" s="45">
        <v>1644</v>
      </c>
      <c r="C3589" s="64" t="s">
        <v>1429</v>
      </c>
      <c r="D3589" s="74"/>
      <c r="E3589" s="208" t="s">
        <v>144</v>
      </c>
      <c r="F3589" s="209" t="s">
        <v>21</v>
      </c>
      <c r="G3589" s="209" t="s">
        <v>21</v>
      </c>
      <c r="H3589" s="209" t="s">
        <v>272</v>
      </c>
      <c r="I3589" s="210"/>
    </row>
    <row r="3590" spans="1:9" x14ac:dyDescent="0.25">
      <c r="A3590" s="74"/>
      <c r="B3590" s="45">
        <v>1645</v>
      </c>
      <c r="C3590" s="64" t="s">
        <v>1964</v>
      </c>
      <c r="D3590" s="74"/>
      <c r="E3590" s="208" t="s">
        <v>144</v>
      </c>
      <c r="F3590" s="209" t="s">
        <v>21</v>
      </c>
      <c r="G3590" s="209" t="s">
        <v>21</v>
      </c>
      <c r="H3590" s="209" t="s">
        <v>272</v>
      </c>
      <c r="I3590" s="210"/>
    </row>
    <row r="3591" spans="1:9" x14ac:dyDescent="0.25">
      <c r="A3591" s="74"/>
      <c r="B3591" s="45">
        <v>1646</v>
      </c>
      <c r="C3591" s="64" t="s">
        <v>1796</v>
      </c>
      <c r="D3591" s="74"/>
      <c r="E3591" s="208" t="s">
        <v>144</v>
      </c>
      <c r="F3591" s="209" t="s">
        <v>21</v>
      </c>
      <c r="G3591" s="209" t="s">
        <v>21</v>
      </c>
      <c r="H3591" s="209" t="s">
        <v>272</v>
      </c>
      <c r="I3591" s="210"/>
    </row>
    <row r="3592" spans="1:9" x14ac:dyDescent="0.25">
      <c r="A3592" s="74"/>
      <c r="B3592" s="45">
        <v>1647</v>
      </c>
      <c r="C3592" s="64" t="s">
        <v>1965</v>
      </c>
      <c r="D3592" s="74"/>
      <c r="E3592" s="208" t="s">
        <v>166</v>
      </c>
      <c r="F3592" s="209" t="s">
        <v>21</v>
      </c>
      <c r="G3592" s="209" t="s">
        <v>21</v>
      </c>
      <c r="H3592" s="209" t="s">
        <v>187</v>
      </c>
      <c r="I3592" s="210"/>
    </row>
    <row r="3593" spans="1:9" x14ac:dyDescent="0.25">
      <c r="A3593" s="74"/>
      <c r="B3593" s="45">
        <v>1648</v>
      </c>
      <c r="C3593" s="64" t="s">
        <v>1910</v>
      </c>
      <c r="D3593" s="74"/>
      <c r="E3593" s="208" t="s">
        <v>166</v>
      </c>
      <c r="F3593" s="209" t="s">
        <v>21</v>
      </c>
      <c r="G3593" s="209" t="s">
        <v>21</v>
      </c>
      <c r="H3593" s="209" t="s">
        <v>198</v>
      </c>
      <c r="I3593" s="210"/>
    </row>
    <row r="3594" spans="1:9" x14ac:dyDescent="0.25">
      <c r="A3594" s="74"/>
      <c r="B3594" s="45">
        <v>1649</v>
      </c>
      <c r="C3594" s="64" t="s">
        <v>1966</v>
      </c>
      <c r="D3594" s="74"/>
      <c r="E3594" s="208" t="s">
        <v>273</v>
      </c>
      <c r="F3594" s="209" t="s">
        <v>21</v>
      </c>
      <c r="G3594" s="209" t="s">
        <v>21</v>
      </c>
      <c r="H3594" s="209" t="s">
        <v>272</v>
      </c>
      <c r="I3594" s="210"/>
    </row>
    <row r="3595" spans="1:9" x14ac:dyDescent="0.25">
      <c r="A3595" s="74"/>
      <c r="B3595" s="45">
        <v>1650</v>
      </c>
      <c r="C3595" s="64" t="s">
        <v>1967</v>
      </c>
      <c r="D3595" s="74"/>
      <c r="E3595" s="208" t="s">
        <v>166</v>
      </c>
      <c r="F3595" s="209" t="s">
        <v>21</v>
      </c>
      <c r="G3595" s="209" t="s">
        <v>21</v>
      </c>
      <c r="H3595" s="209" t="s">
        <v>187</v>
      </c>
      <c r="I3595" s="210"/>
    </row>
    <row r="3596" spans="1:9" x14ac:dyDescent="0.25">
      <c r="A3596" s="74"/>
      <c r="B3596" s="45">
        <v>1651</v>
      </c>
      <c r="C3596" s="64" t="s">
        <v>1770</v>
      </c>
      <c r="D3596" s="74"/>
      <c r="E3596" s="208" t="s">
        <v>167</v>
      </c>
      <c r="F3596" s="209" t="s">
        <v>21</v>
      </c>
      <c r="G3596" s="209" t="s">
        <v>21</v>
      </c>
      <c r="H3596" s="209" t="s">
        <v>187</v>
      </c>
      <c r="I3596" s="210"/>
    </row>
    <row r="3597" spans="1:9" x14ac:dyDescent="0.25">
      <c r="A3597" s="74"/>
      <c r="B3597" s="45">
        <v>1652</v>
      </c>
      <c r="C3597" s="64" t="s">
        <v>1968</v>
      </c>
      <c r="D3597" s="74"/>
      <c r="E3597" s="208" t="s">
        <v>288</v>
      </c>
      <c r="F3597" s="209" t="s">
        <v>21</v>
      </c>
      <c r="G3597" s="209" t="s">
        <v>21</v>
      </c>
      <c r="H3597" s="209" t="s">
        <v>198</v>
      </c>
      <c r="I3597" s="210"/>
    </row>
    <row r="3598" spans="1:9" x14ac:dyDescent="0.25">
      <c r="A3598" s="74"/>
      <c r="B3598" s="45">
        <v>1653</v>
      </c>
      <c r="C3598" s="64" t="s">
        <v>1969</v>
      </c>
      <c r="D3598" s="74"/>
      <c r="E3598" s="208" t="s">
        <v>167</v>
      </c>
      <c r="F3598" s="209" t="s">
        <v>21</v>
      </c>
      <c r="G3598" s="209" t="s">
        <v>21</v>
      </c>
      <c r="H3598" s="209" t="s">
        <v>187</v>
      </c>
      <c r="I3598" s="210"/>
    </row>
    <row r="3599" spans="1:9" x14ac:dyDescent="0.25">
      <c r="A3599" s="74"/>
      <c r="B3599" s="45">
        <v>1654</v>
      </c>
      <c r="C3599" s="64" t="s">
        <v>1970</v>
      </c>
      <c r="D3599" s="74"/>
      <c r="E3599" s="208" t="s">
        <v>288</v>
      </c>
      <c r="F3599" s="209" t="s">
        <v>21</v>
      </c>
      <c r="G3599" s="209" t="s">
        <v>21</v>
      </c>
      <c r="H3599" s="209" t="s">
        <v>198</v>
      </c>
      <c r="I3599" s="210"/>
    </row>
    <row r="3600" spans="1:9" x14ac:dyDescent="0.25">
      <c r="A3600" s="74"/>
      <c r="B3600" s="45">
        <v>1655</v>
      </c>
      <c r="C3600" s="64" t="s">
        <v>1971</v>
      </c>
      <c r="D3600" s="74"/>
      <c r="E3600" s="208" t="s">
        <v>167</v>
      </c>
      <c r="F3600" s="209" t="s">
        <v>21</v>
      </c>
      <c r="G3600" s="209" t="s">
        <v>21</v>
      </c>
      <c r="H3600" s="209" t="s">
        <v>187</v>
      </c>
      <c r="I3600" s="210"/>
    </row>
    <row r="3601" spans="1:9" x14ac:dyDescent="0.25">
      <c r="A3601" s="74"/>
      <c r="B3601" s="45">
        <v>1656</v>
      </c>
      <c r="C3601" s="64" t="s">
        <v>1859</v>
      </c>
      <c r="D3601" s="74"/>
      <c r="E3601" s="208" t="s">
        <v>165</v>
      </c>
      <c r="F3601" s="209" t="s">
        <v>21</v>
      </c>
      <c r="G3601" s="209" t="s">
        <v>21</v>
      </c>
      <c r="H3601" s="209" t="s">
        <v>198</v>
      </c>
      <c r="I3601" s="210"/>
    </row>
    <row r="3602" spans="1:9" x14ac:dyDescent="0.25">
      <c r="A3602" s="74"/>
      <c r="B3602" s="45">
        <v>1657</v>
      </c>
      <c r="C3602" s="64" t="s">
        <v>1972</v>
      </c>
      <c r="D3602" s="74"/>
      <c r="E3602" s="208" t="s">
        <v>165</v>
      </c>
      <c r="F3602" s="209" t="s">
        <v>21</v>
      </c>
      <c r="G3602" s="209" t="s">
        <v>21</v>
      </c>
      <c r="H3602" s="209" t="s">
        <v>198</v>
      </c>
      <c r="I3602" s="210"/>
    </row>
    <row r="3603" spans="1:9" x14ac:dyDescent="0.25">
      <c r="A3603" s="74"/>
      <c r="B3603" s="45">
        <v>1658</v>
      </c>
      <c r="C3603" s="64" t="s">
        <v>1973</v>
      </c>
      <c r="D3603" s="74"/>
      <c r="E3603" s="208" t="s">
        <v>165</v>
      </c>
      <c r="F3603" s="209" t="s">
        <v>21</v>
      </c>
      <c r="G3603" s="209" t="s">
        <v>21</v>
      </c>
      <c r="H3603" s="209" t="s">
        <v>187</v>
      </c>
      <c r="I3603" s="210"/>
    </row>
    <row r="3604" spans="1:9" x14ac:dyDescent="0.25">
      <c r="A3604" s="74"/>
      <c r="B3604" s="45">
        <v>1659</v>
      </c>
      <c r="C3604" s="64" t="s">
        <v>1974</v>
      </c>
      <c r="D3604" s="74"/>
      <c r="E3604" s="208" t="s">
        <v>166</v>
      </c>
      <c r="F3604" s="209" t="s">
        <v>21</v>
      </c>
      <c r="G3604" s="209" t="s">
        <v>21</v>
      </c>
      <c r="H3604" s="209" t="s">
        <v>198</v>
      </c>
      <c r="I3604" s="210"/>
    </row>
    <row r="3605" spans="1:9" x14ac:dyDescent="0.25">
      <c r="A3605" s="74"/>
      <c r="B3605" s="45">
        <v>1660</v>
      </c>
      <c r="C3605" s="64" t="s">
        <v>1975</v>
      </c>
      <c r="D3605" s="74"/>
      <c r="E3605" s="208" t="s">
        <v>167</v>
      </c>
      <c r="F3605" s="209" t="s">
        <v>21</v>
      </c>
      <c r="G3605" s="209" t="s">
        <v>21</v>
      </c>
      <c r="H3605" s="209" t="s">
        <v>187</v>
      </c>
      <c r="I3605" s="210"/>
    </row>
    <row r="3606" spans="1:9" x14ac:dyDescent="0.25">
      <c r="A3606" s="74"/>
      <c r="B3606" s="45">
        <v>1661</v>
      </c>
      <c r="C3606" s="64" t="s">
        <v>1896</v>
      </c>
      <c r="D3606" s="74"/>
      <c r="E3606" s="208" t="s">
        <v>167</v>
      </c>
      <c r="F3606" s="209" t="s">
        <v>21</v>
      </c>
      <c r="G3606" s="209" t="s">
        <v>21</v>
      </c>
      <c r="H3606" s="209" t="s">
        <v>187</v>
      </c>
      <c r="I3606" s="210"/>
    </row>
    <row r="3607" spans="1:9" x14ac:dyDescent="0.25">
      <c r="A3607" s="74"/>
      <c r="B3607" s="45">
        <v>1662</v>
      </c>
      <c r="C3607" s="64" t="s">
        <v>1976</v>
      </c>
      <c r="D3607" s="74"/>
      <c r="E3607" s="208" t="s">
        <v>288</v>
      </c>
      <c r="F3607" s="209" t="s">
        <v>21</v>
      </c>
      <c r="G3607" s="209" t="s">
        <v>21</v>
      </c>
      <c r="H3607" s="209" t="s">
        <v>198</v>
      </c>
      <c r="I3607" s="210"/>
    </row>
    <row r="3608" spans="1:9" x14ac:dyDescent="0.25">
      <c r="A3608" s="74"/>
      <c r="B3608" s="45">
        <v>1663</v>
      </c>
      <c r="C3608" s="64" t="s">
        <v>1977</v>
      </c>
      <c r="D3608" s="74"/>
      <c r="E3608" s="208" t="s">
        <v>166</v>
      </c>
      <c r="F3608" s="209" t="s">
        <v>21</v>
      </c>
      <c r="G3608" s="209" t="s">
        <v>21</v>
      </c>
      <c r="H3608" s="209" t="s">
        <v>187</v>
      </c>
      <c r="I3608" s="210"/>
    </row>
    <row r="3609" spans="1:9" x14ac:dyDescent="0.25">
      <c r="A3609" s="74"/>
      <c r="B3609" s="45">
        <v>1664</v>
      </c>
      <c r="C3609" s="64" t="s">
        <v>1978</v>
      </c>
      <c r="D3609" s="74"/>
      <c r="E3609" s="208" t="s">
        <v>273</v>
      </c>
      <c r="F3609" s="209" t="s">
        <v>21</v>
      </c>
      <c r="G3609" s="209" t="s">
        <v>21</v>
      </c>
      <c r="H3609" s="209" t="s">
        <v>198</v>
      </c>
      <c r="I3609" s="210"/>
    </row>
    <row r="3610" spans="1:9" x14ac:dyDescent="0.25">
      <c r="A3610" s="74"/>
      <c r="B3610" s="45">
        <v>1665</v>
      </c>
      <c r="C3610" s="64" t="s">
        <v>1850</v>
      </c>
      <c r="D3610" s="74"/>
      <c r="E3610" s="208" t="s">
        <v>167</v>
      </c>
      <c r="F3610" s="209" t="s">
        <v>21</v>
      </c>
      <c r="G3610" s="209" t="s">
        <v>21</v>
      </c>
      <c r="H3610" s="209" t="s">
        <v>187</v>
      </c>
      <c r="I3610" s="210"/>
    </row>
    <row r="3611" spans="1:9" x14ac:dyDescent="0.25">
      <c r="A3611" s="74"/>
      <c r="B3611" s="45">
        <v>1666</v>
      </c>
      <c r="C3611" s="64" t="s">
        <v>1979</v>
      </c>
      <c r="D3611" s="74"/>
      <c r="E3611" s="208" t="s">
        <v>279</v>
      </c>
      <c r="F3611" s="209" t="s">
        <v>21</v>
      </c>
      <c r="G3611" s="209" t="s">
        <v>21</v>
      </c>
      <c r="H3611" s="209" t="s">
        <v>187</v>
      </c>
      <c r="I3611" s="210"/>
    </row>
    <row r="3612" spans="1:9" x14ac:dyDescent="0.25">
      <c r="A3612" s="74"/>
      <c r="B3612" s="45">
        <v>1667</v>
      </c>
      <c r="C3612" s="64" t="s">
        <v>1980</v>
      </c>
      <c r="D3612" s="74"/>
      <c r="E3612" s="208" t="s">
        <v>166</v>
      </c>
      <c r="F3612" s="209" t="s">
        <v>21</v>
      </c>
      <c r="G3612" s="209" t="s">
        <v>21</v>
      </c>
      <c r="H3612" s="209" t="s">
        <v>189</v>
      </c>
      <c r="I3612" s="210"/>
    </row>
    <row r="3613" spans="1:9" x14ac:dyDescent="0.25">
      <c r="A3613" s="74"/>
      <c r="B3613" s="45">
        <v>1668</v>
      </c>
      <c r="C3613" s="64" t="s">
        <v>1981</v>
      </c>
      <c r="D3613" s="74"/>
      <c r="E3613" s="208" t="s">
        <v>166</v>
      </c>
      <c r="F3613" s="209" t="s">
        <v>21</v>
      </c>
      <c r="G3613" s="209" t="s">
        <v>21</v>
      </c>
      <c r="H3613" s="209" t="s">
        <v>187</v>
      </c>
      <c r="I3613" s="210"/>
    </row>
    <row r="3614" spans="1:9" x14ac:dyDescent="0.25">
      <c r="A3614" s="74"/>
      <c r="B3614" s="45">
        <v>1669</v>
      </c>
      <c r="C3614" s="64" t="s">
        <v>1982</v>
      </c>
      <c r="D3614" s="74"/>
      <c r="E3614" s="208" t="s">
        <v>166</v>
      </c>
      <c r="F3614" s="209" t="s">
        <v>21</v>
      </c>
      <c r="G3614" s="209" t="s">
        <v>21</v>
      </c>
      <c r="H3614" s="209" t="s">
        <v>198</v>
      </c>
      <c r="I3614" s="210"/>
    </row>
    <row r="3615" spans="1:9" x14ac:dyDescent="0.25">
      <c r="A3615" s="74"/>
      <c r="B3615" s="45">
        <v>1670</v>
      </c>
      <c r="C3615" s="64" t="s">
        <v>1983</v>
      </c>
      <c r="D3615" s="74"/>
      <c r="E3615" s="208" t="s">
        <v>273</v>
      </c>
      <c r="F3615" s="209" t="s">
        <v>21</v>
      </c>
      <c r="G3615" s="209" t="s">
        <v>21</v>
      </c>
      <c r="H3615" s="209" t="s">
        <v>198</v>
      </c>
      <c r="I3615" s="210"/>
    </row>
    <row r="3616" spans="1:9" x14ac:dyDescent="0.25">
      <c r="A3616" s="74"/>
      <c r="B3616" s="45">
        <v>1671</v>
      </c>
      <c r="C3616" s="64" t="s">
        <v>1984</v>
      </c>
      <c r="D3616" s="74"/>
      <c r="E3616" s="208" t="s">
        <v>165</v>
      </c>
      <c r="F3616" s="209" t="s">
        <v>21</v>
      </c>
      <c r="G3616" s="209" t="s">
        <v>21</v>
      </c>
      <c r="H3616" s="209" t="s">
        <v>198</v>
      </c>
      <c r="I3616" s="210"/>
    </row>
    <row r="3617" spans="1:9" x14ac:dyDescent="0.25">
      <c r="A3617" s="74"/>
      <c r="B3617" s="45">
        <v>1672</v>
      </c>
      <c r="C3617" s="64" t="s">
        <v>1739</v>
      </c>
      <c r="D3617" s="74"/>
      <c r="E3617" s="208" t="s">
        <v>289</v>
      </c>
      <c r="F3617" s="209" t="s">
        <v>21</v>
      </c>
      <c r="G3617" s="209" t="s">
        <v>21</v>
      </c>
      <c r="H3617" s="209" t="s">
        <v>198</v>
      </c>
      <c r="I3617" s="210"/>
    </row>
    <row r="3618" spans="1:9" x14ac:dyDescent="0.25">
      <c r="A3618" s="74"/>
      <c r="B3618" s="45">
        <v>1673</v>
      </c>
      <c r="C3618" s="64" t="s">
        <v>1985</v>
      </c>
      <c r="D3618" s="74"/>
      <c r="E3618" s="208" t="s">
        <v>165</v>
      </c>
      <c r="F3618" s="209" t="s">
        <v>21</v>
      </c>
      <c r="G3618" s="209" t="s">
        <v>21</v>
      </c>
      <c r="H3618" s="209" t="s">
        <v>187</v>
      </c>
      <c r="I3618" s="210"/>
    </row>
    <row r="3619" spans="1:9" x14ac:dyDescent="0.25">
      <c r="A3619" s="74"/>
      <c r="B3619" s="45">
        <v>1674</v>
      </c>
      <c r="C3619" s="64" t="s">
        <v>1986</v>
      </c>
      <c r="D3619" s="74"/>
      <c r="E3619" s="208" t="s">
        <v>289</v>
      </c>
      <c r="F3619" s="209" t="s">
        <v>21</v>
      </c>
      <c r="G3619" s="209" t="s">
        <v>21</v>
      </c>
      <c r="H3619" s="209" t="s">
        <v>187</v>
      </c>
      <c r="I3619" s="210"/>
    </row>
    <row r="3620" spans="1:9" x14ac:dyDescent="0.25">
      <c r="A3620" s="74"/>
      <c r="B3620" s="45">
        <v>1675</v>
      </c>
      <c r="C3620" s="64" t="s">
        <v>1647</v>
      </c>
      <c r="D3620" s="74"/>
      <c r="E3620" s="208" t="s">
        <v>165</v>
      </c>
      <c r="F3620" s="209" t="s">
        <v>21</v>
      </c>
      <c r="G3620" s="209" t="s">
        <v>21</v>
      </c>
      <c r="H3620" s="209" t="s">
        <v>187</v>
      </c>
      <c r="I3620" s="210"/>
    </row>
    <row r="3621" spans="1:9" x14ac:dyDescent="0.25">
      <c r="A3621" s="74"/>
      <c r="B3621" s="45">
        <v>1676</v>
      </c>
      <c r="C3621" s="64" t="s">
        <v>1987</v>
      </c>
      <c r="D3621" s="74"/>
      <c r="E3621" s="208" t="s">
        <v>165</v>
      </c>
      <c r="F3621" s="209" t="s">
        <v>21</v>
      </c>
      <c r="G3621" s="209" t="s">
        <v>21</v>
      </c>
      <c r="H3621" s="209" t="s">
        <v>198</v>
      </c>
      <c r="I3621" s="210"/>
    </row>
    <row r="3622" spans="1:9" x14ac:dyDescent="0.25">
      <c r="A3622" s="74"/>
      <c r="B3622" s="45">
        <v>1677</v>
      </c>
      <c r="C3622" s="64" t="s">
        <v>1988</v>
      </c>
      <c r="D3622" s="74"/>
      <c r="E3622" s="208" t="s">
        <v>144</v>
      </c>
      <c r="F3622" s="209" t="s">
        <v>21</v>
      </c>
      <c r="G3622" s="209" t="s">
        <v>21</v>
      </c>
      <c r="H3622" s="209" t="s">
        <v>272</v>
      </c>
      <c r="I3622" s="210"/>
    </row>
    <row r="3623" spans="1:9" x14ac:dyDescent="0.25">
      <c r="A3623" s="74"/>
      <c r="B3623" s="45">
        <v>1644</v>
      </c>
      <c r="C3623" s="64" t="s">
        <v>1429</v>
      </c>
      <c r="D3623" s="74"/>
      <c r="E3623" s="208" t="s">
        <v>144</v>
      </c>
      <c r="F3623" s="209" t="s">
        <v>21</v>
      </c>
      <c r="G3623" s="209" t="s">
        <v>21</v>
      </c>
      <c r="H3623" s="209" t="s">
        <v>272</v>
      </c>
      <c r="I3623" s="210"/>
    </row>
    <row r="3624" spans="1:9" x14ac:dyDescent="0.25">
      <c r="A3624" s="74"/>
      <c r="B3624" s="45">
        <v>1677</v>
      </c>
      <c r="C3624" s="64" t="s">
        <v>1988</v>
      </c>
      <c r="D3624" s="74"/>
      <c r="E3624" s="208" t="s">
        <v>144</v>
      </c>
      <c r="F3624" s="209" t="s">
        <v>21</v>
      </c>
      <c r="G3624" s="209" t="s">
        <v>21</v>
      </c>
      <c r="H3624" s="209" t="s">
        <v>272</v>
      </c>
      <c r="I3624" s="210"/>
    </row>
    <row r="3625" spans="1:9" x14ac:dyDescent="0.25">
      <c r="A3625" s="74"/>
      <c r="B3625" s="45">
        <v>1644</v>
      </c>
      <c r="C3625" s="64" t="s">
        <v>1429</v>
      </c>
      <c r="D3625" s="74"/>
      <c r="E3625" s="208" t="s">
        <v>144</v>
      </c>
      <c r="F3625" s="209" t="s">
        <v>21</v>
      </c>
      <c r="G3625" s="209" t="s">
        <v>21</v>
      </c>
      <c r="H3625" s="209" t="s">
        <v>272</v>
      </c>
      <c r="I3625" s="210"/>
    </row>
    <row r="3626" spans="1:9" x14ac:dyDescent="0.25">
      <c r="A3626" s="74"/>
      <c r="B3626" s="45">
        <v>1677</v>
      </c>
      <c r="C3626" s="64" t="s">
        <v>1988</v>
      </c>
      <c r="D3626" s="74"/>
      <c r="E3626" s="208" t="s">
        <v>144</v>
      </c>
      <c r="F3626" s="209" t="s">
        <v>21</v>
      </c>
      <c r="G3626" s="209" t="s">
        <v>21</v>
      </c>
      <c r="H3626" s="209" t="s">
        <v>272</v>
      </c>
      <c r="I3626" s="210"/>
    </row>
    <row r="3627" spans="1:9" x14ac:dyDescent="0.25">
      <c r="A3627" s="74"/>
      <c r="B3627" s="45">
        <v>1644</v>
      </c>
      <c r="C3627" s="64" t="s">
        <v>1429</v>
      </c>
      <c r="D3627" s="74"/>
      <c r="E3627" s="208" t="s">
        <v>144</v>
      </c>
      <c r="F3627" s="209" t="s">
        <v>21</v>
      </c>
      <c r="G3627" s="209" t="s">
        <v>21</v>
      </c>
      <c r="H3627" s="209" t="s">
        <v>272</v>
      </c>
      <c r="I3627" s="210"/>
    </row>
    <row r="3628" spans="1:9" x14ac:dyDescent="0.25">
      <c r="A3628" s="74"/>
      <c r="B3628" s="45">
        <v>1677</v>
      </c>
      <c r="C3628" s="64" t="s">
        <v>1988</v>
      </c>
      <c r="D3628" s="74"/>
      <c r="E3628" s="208" t="s">
        <v>144</v>
      </c>
      <c r="F3628" s="209" t="s">
        <v>21</v>
      </c>
      <c r="G3628" s="209" t="s">
        <v>21</v>
      </c>
      <c r="H3628" s="209" t="s">
        <v>272</v>
      </c>
      <c r="I3628" s="210"/>
    </row>
    <row r="3629" spans="1:9" x14ac:dyDescent="0.25">
      <c r="A3629" s="74"/>
      <c r="B3629" s="45">
        <v>1644</v>
      </c>
      <c r="C3629" s="64" t="s">
        <v>1429</v>
      </c>
      <c r="D3629" s="74"/>
      <c r="E3629" s="208" t="s">
        <v>144</v>
      </c>
      <c r="F3629" s="209" t="s">
        <v>21</v>
      </c>
      <c r="G3629" s="209" t="s">
        <v>21</v>
      </c>
      <c r="H3629" s="209" t="s">
        <v>272</v>
      </c>
      <c r="I3629" s="210"/>
    </row>
    <row r="3630" spans="1:9" x14ac:dyDescent="0.25">
      <c r="A3630" s="74"/>
      <c r="B3630" s="45">
        <v>1677</v>
      </c>
      <c r="C3630" s="64" t="s">
        <v>1988</v>
      </c>
      <c r="D3630" s="74"/>
      <c r="E3630" s="208" t="s">
        <v>144</v>
      </c>
      <c r="F3630" s="209" t="s">
        <v>21</v>
      </c>
      <c r="G3630" s="209" t="s">
        <v>21</v>
      </c>
      <c r="H3630" s="209" t="s">
        <v>272</v>
      </c>
      <c r="I3630" s="210"/>
    </row>
    <row r="3631" spans="1:9" x14ac:dyDescent="0.25">
      <c r="A3631" s="74"/>
      <c r="B3631" s="45">
        <v>1644</v>
      </c>
      <c r="C3631" s="64" t="s">
        <v>1429</v>
      </c>
      <c r="D3631" s="74"/>
      <c r="E3631" s="208" t="s">
        <v>144</v>
      </c>
      <c r="F3631" s="209" t="s">
        <v>21</v>
      </c>
      <c r="G3631" s="209" t="s">
        <v>21</v>
      </c>
      <c r="H3631" s="209" t="s">
        <v>272</v>
      </c>
      <c r="I3631" s="210"/>
    </row>
    <row r="3632" spans="1:9" x14ac:dyDescent="0.25">
      <c r="A3632" s="74"/>
      <c r="B3632" s="45">
        <v>1677</v>
      </c>
      <c r="C3632" s="64" t="s">
        <v>1988</v>
      </c>
      <c r="D3632" s="74"/>
      <c r="E3632" s="208" t="s">
        <v>144</v>
      </c>
      <c r="F3632" s="209" t="s">
        <v>21</v>
      </c>
      <c r="G3632" s="209" t="s">
        <v>21</v>
      </c>
      <c r="H3632" s="209" t="s">
        <v>272</v>
      </c>
      <c r="I3632" s="210"/>
    </row>
    <row r="3633" spans="1:9" x14ac:dyDescent="0.25">
      <c r="A3633" s="74"/>
      <c r="B3633" s="45">
        <v>1644</v>
      </c>
      <c r="C3633" s="64" t="s">
        <v>1429</v>
      </c>
      <c r="D3633" s="74"/>
      <c r="E3633" s="208" t="s">
        <v>144</v>
      </c>
      <c r="F3633" s="209" t="s">
        <v>21</v>
      </c>
      <c r="G3633" s="209" t="s">
        <v>21</v>
      </c>
      <c r="H3633" s="209" t="s">
        <v>272</v>
      </c>
      <c r="I3633" s="210"/>
    </row>
    <row r="3634" spans="1:9" x14ac:dyDescent="0.25">
      <c r="A3634" s="74"/>
      <c r="B3634" s="45">
        <v>1678</v>
      </c>
      <c r="C3634" s="64" t="s">
        <v>1700</v>
      </c>
      <c r="D3634" s="74"/>
      <c r="E3634" s="208" t="s">
        <v>145</v>
      </c>
      <c r="F3634" s="209" t="s">
        <v>21</v>
      </c>
      <c r="G3634" s="209" t="s">
        <v>21</v>
      </c>
      <c r="H3634" s="209" t="s">
        <v>272</v>
      </c>
      <c r="I3634" s="210"/>
    </row>
    <row r="3635" spans="1:9" x14ac:dyDescent="0.25">
      <c r="A3635" s="74"/>
      <c r="B3635" s="45">
        <v>1679</v>
      </c>
      <c r="C3635" s="64" t="s">
        <v>1989</v>
      </c>
      <c r="D3635" s="74"/>
      <c r="E3635" s="208" t="s">
        <v>290</v>
      </c>
      <c r="F3635" s="209" t="s">
        <v>21</v>
      </c>
      <c r="G3635" s="209" t="s">
        <v>21</v>
      </c>
      <c r="H3635" s="209" t="s">
        <v>187</v>
      </c>
      <c r="I3635" s="210"/>
    </row>
    <row r="3636" spans="1:9" x14ac:dyDescent="0.25">
      <c r="A3636" s="74"/>
      <c r="B3636" s="45">
        <v>1680</v>
      </c>
      <c r="C3636" s="64" t="s">
        <v>1990</v>
      </c>
      <c r="D3636" s="74"/>
      <c r="E3636" s="208" t="s">
        <v>166</v>
      </c>
      <c r="F3636" s="209" t="s">
        <v>21</v>
      </c>
      <c r="G3636" s="209" t="s">
        <v>21</v>
      </c>
      <c r="H3636" s="209" t="s">
        <v>187</v>
      </c>
      <c r="I3636" s="210"/>
    </row>
    <row r="3637" spans="1:9" x14ac:dyDescent="0.25">
      <c r="A3637" s="74"/>
      <c r="B3637" s="45">
        <v>1681</v>
      </c>
      <c r="C3637" s="64" t="s">
        <v>1817</v>
      </c>
      <c r="D3637" s="74"/>
      <c r="E3637" s="208" t="s">
        <v>151</v>
      </c>
      <c r="F3637" s="209" t="s">
        <v>21</v>
      </c>
      <c r="G3637" s="209" t="s">
        <v>21</v>
      </c>
      <c r="H3637" s="209" t="s">
        <v>189</v>
      </c>
      <c r="I3637" s="210"/>
    </row>
    <row r="3638" spans="1:9" x14ac:dyDescent="0.25">
      <c r="A3638" s="74"/>
      <c r="B3638" s="45">
        <v>1599</v>
      </c>
      <c r="C3638" s="64" t="s">
        <v>1818</v>
      </c>
      <c r="D3638" s="74"/>
      <c r="E3638" s="208" t="s">
        <v>145</v>
      </c>
      <c r="F3638" s="209" t="s">
        <v>21</v>
      </c>
      <c r="G3638" s="209" t="s">
        <v>21</v>
      </c>
      <c r="H3638" s="209" t="s">
        <v>16</v>
      </c>
      <c r="I3638" s="210"/>
    </row>
    <row r="3639" spans="1:9" x14ac:dyDescent="0.25">
      <c r="A3639" s="74"/>
      <c r="B3639" s="45">
        <v>588</v>
      </c>
      <c r="C3639" s="64" t="s">
        <v>997</v>
      </c>
      <c r="D3639" s="74"/>
      <c r="E3639" s="208" t="s">
        <v>145</v>
      </c>
      <c r="F3639" s="209" t="s">
        <v>21</v>
      </c>
      <c r="G3639" s="209" t="s">
        <v>21</v>
      </c>
      <c r="H3639" s="209" t="s">
        <v>193</v>
      </c>
      <c r="I3639" s="210"/>
    </row>
    <row r="3640" spans="1:9" x14ac:dyDescent="0.25">
      <c r="A3640" s="74"/>
      <c r="B3640" s="45">
        <v>591</v>
      </c>
      <c r="C3640" s="64" t="s">
        <v>1000</v>
      </c>
      <c r="D3640" s="74"/>
      <c r="E3640" s="208" t="s">
        <v>152</v>
      </c>
      <c r="F3640" s="209" t="s">
        <v>21</v>
      </c>
      <c r="G3640" s="209" t="s">
        <v>21</v>
      </c>
      <c r="H3640" s="209" t="s">
        <v>187</v>
      </c>
      <c r="I3640" s="210"/>
    </row>
    <row r="3641" spans="1:9" x14ac:dyDescent="0.25">
      <c r="A3641" s="74"/>
      <c r="B3641" s="45">
        <v>590</v>
      </c>
      <c r="C3641" s="64" t="s">
        <v>999</v>
      </c>
      <c r="D3641" s="74"/>
      <c r="E3641" s="208" t="s">
        <v>152</v>
      </c>
      <c r="F3641" s="209" t="s">
        <v>21</v>
      </c>
      <c r="G3641" s="209" t="s">
        <v>21</v>
      </c>
      <c r="H3641" s="209" t="s">
        <v>187</v>
      </c>
      <c r="I3641" s="210"/>
    </row>
    <row r="3642" spans="1:9" x14ac:dyDescent="0.25">
      <c r="A3642" s="74"/>
      <c r="B3642" s="45">
        <v>1682</v>
      </c>
      <c r="C3642" s="64" t="s">
        <v>1991</v>
      </c>
      <c r="D3642" s="74"/>
      <c r="E3642" s="208" t="s">
        <v>152</v>
      </c>
      <c r="F3642" s="209" t="s">
        <v>21</v>
      </c>
      <c r="G3642" s="209" t="s">
        <v>21</v>
      </c>
      <c r="H3642" s="209" t="s">
        <v>189</v>
      </c>
      <c r="I3642" s="210"/>
    </row>
    <row r="3643" spans="1:9" x14ac:dyDescent="0.25">
      <c r="A3643" s="74"/>
      <c r="B3643" s="45">
        <v>1683</v>
      </c>
      <c r="C3643" s="64" t="s">
        <v>1992</v>
      </c>
      <c r="D3643" s="74"/>
      <c r="E3643" s="208" t="s">
        <v>152</v>
      </c>
      <c r="F3643" s="209" t="s">
        <v>21</v>
      </c>
      <c r="G3643" s="209" t="s">
        <v>21</v>
      </c>
      <c r="H3643" s="209" t="s">
        <v>16</v>
      </c>
      <c r="I3643" s="210"/>
    </row>
    <row r="3644" spans="1:9" x14ac:dyDescent="0.25">
      <c r="A3644" s="74"/>
      <c r="B3644" s="45">
        <v>1684</v>
      </c>
      <c r="C3644" s="64" t="s">
        <v>1910</v>
      </c>
      <c r="D3644" s="74"/>
      <c r="E3644" s="208" t="s">
        <v>152</v>
      </c>
      <c r="F3644" s="209" t="s">
        <v>21</v>
      </c>
      <c r="G3644" s="209" t="s">
        <v>21</v>
      </c>
      <c r="H3644" s="209" t="s">
        <v>16</v>
      </c>
      <c r="I3644" s="210"/>
    </row>
    <row r="3645" spans="1:9" x14ac:dyDescent="0.25">
      <c r="A3645" s="74"/>
      <c r="B3645" s="45">
        <v>1685</v>
      </c>
      <c r="C3645" s="64" t="s">
        <v>1582</v>
      </c>
      <c r="D3645" s="74"/>
      <c r="E3645" s="208" t="s">
        <v>139</v>
      </c>
      <c r="F3645" s="209" t="s">
        <v>21</v>
      </c>
      <c r="G3645" s="209" t="s">
        <v>21</v>
      </c>
      <c r="H3645" s="209" t="s">
        <v>198</v>
      </c>
      <c r="I3645" s="210"/>
    </row>
    <row r="3646" spans="1:9" x14ac:dyDescent="0.25">
      <c r="A3646" s="74"/>
      <c r="B3646" s="45">
        <v>1686</v>
      </c>
      <c r="C3646" s="64" t="s">
        <v>1881</v>
      </c>
      <c r="D3646" s="74"/>
      <c r="E3646" s="208" t="s">
        <v>139</v>
      </c>
      <c r="F3646" s="209" t="s">
        <v>21</v>
      </c>
      <c r="G3646" s="209" t="s">
        <v>21</v>
      </c>
      <c r="H3646" s="209" t="s">
        <v>198</v>
      </c>
      <c r="I3646" s="210"/>
    </row>
    <row r="3647" spans="1:9" x14ac:dyDescent="0.25">
      <c r="A3647" s="74"/>
      <c r="B3647" s="45">
        <v>1640</v>
      </c>
      <c r="C3647" s="64" t="s">
        <v>1960</v>
      </c>
      <c r="D3647" s="74"/>
      <c r="E3647" s="208" t="s">
        <v>144</v>
      </c>
      <c r="F3647" s="209" t="s">
        <v>21</v>
      </c>
      <c r="G3647" s="209" t="s">
        <v>21</v>
      </c>
      <c r="H3647" s="209" t="s">
        <v>272</v>
      </c>
      <c r="I3647" s="210"/>
    </row>
    <row r="3648" spans="1:9" x14ac:dyDescent="0.25">
      <c r="A3648" s="74"/>
      <c r="B3648" s="45">
        <v>1641</v>
      </c>
      <c r="C3648" s="64" t="s">
        <v>1961</v>
      </c>
      <c r="D3648" s="74"/>
      <c r="E3648" s="208" t="s">
        <v>144</v>
      </c>
      <c r="F3648" s="209" t="s">
        <v>21</v>
      </c>
      <c r="G3648" s="209" t="s">
        <v>21</v>
      </c>
      <c r="H3648" s="209" t="s">
        <v>272</v>
      </c>
      <c r="I3648" s="210"/>
    </row>
    <row r="3649" spans="1:9" x14ac:dyDescent="0.25">
      <c r="A3649" s="74"/>
      <c r="B3649" s="45">
        <v>1642</v>
      </c>
      <c r="C3649" s="64" t="s">
        <v>1962</v>
      </c>
      <c r="D3649" s="74"/>
      <c r="E3649" s="208" t="s">
        <v>144</v>
      </c>
      <c r="F3649" s="209" t="s">
        <v>21</v>
      </c>
      <c r="G3649" s="209" t="s">
        <v>21</v>
      </c>
      <c r="H3649" s="209" t="s">
        <v>272</v>
      </c>
      <c r="I3649" s="210"/>
    </row>
    <row r="3650" spans="1:9" x14ac:dyDescent="0.25">
      <c r="A3650" s="74"/>
      <c r="B3650" s="45">
        <v>1643</v>
      </c>
      <c r="C3650" s="64" t="s">
        <v>1963</v>
      </c>
      <c r="D3650" s="74"/>
      <c r="E3650" s="208" t="s">
        <v>144</v>
      </c>
      <c r="F3650" s="209" t="s">
        <v>21</v>
      </c>
      <c r="G3650" s="209" t="s">
        <v>21</v>
      </c>
      <c r="H3650" s="209" t="s">
        <v>272</v>
      </c>
      <c r="I3650" s="210"/>
    </row>
    <row r="3651" spans="1:9" x14ac:dyDescent="0.25">
      <c r="A3651" s="74"/>
      <c r="B3651" s="45">
        <v>621</v>
      </c>
      <c r="C3651" s="64" t="s">
        <v>1030</v>
      </c>
      <c r="D3651" s="74"/>
      <c r="E3651" s="208" t="s">
        <v>144</v>
      </c>
      <c r="F3651" s="209" t="s">
        <v>21</v>
      </c>
      <c r="G3651" s="209" t="s">
        <v>21</v>
      </c>
      <c r="H3651" s="209" t="s">
        <v>192</v>
      </c>
      <c r="I3651" s="210"/>
    </row>
    <row r="3652" spans="1:9" x14ac:dyDescent="0.25">
      <c r="A3652" s="74"/>
      <c r="B3652" s="45">
        <v>1640</v>
      </c>
      <c r="C3652" s="64" t="s">
        <v>1960</v>
      </c>
      <c r="D3652" s="74"/>
      <c r="E3652" s="208" t="s">
        <v>144</v>
      </c>
      <c r="F3652" s="209" t="s">
        <v>21</v>
      </c>
      <c r="G3652" s="209" t="s">
        <v>21</v>
      </c>
      <c r="H3652" s="209" t="s">
        <v>272</v>
      </c>
      <c r="I3652" s="210"/>
    </row>
    <row r="3653" spans="1:9" x14ac:dyDescent="0.25">
      <c r="A3653" s="74"/>
      <c r="B3653" s="45">
        <v>1641</v>
      </c>
      <c r="C3653" s="64" t="s">
        <v>1961</v>
      </c>
      <c r="D3653" s="74"/>
      <c r="E3653" s="208" t="s">
        <v>144</v>
      </c>
      <c r="F3653" s="209" t="s">
        <v>21</v>
      </c>
      <c r="G3653" s="209" t="s">
        <v>21</v>
      </c>
      <c r="H3653" s="209" t="s">
        <v>272</v>
      </c>
      <c r="I3653" s="210"/>
    </row>
    <row r="3654" spans="1:9" x14ac:dyDescent="0.25">
      <c r="A3654" s="74"/>
      <c r="B3654" s="45">
        <v>1642</v>
      </c>
      <c r="C3654" s="64" t="s">
        <v>1962</v>
      </c>
      <c r="D3654" s="74"/>
      <c r="E3654" s="208" t="s">
        <v>144</v>
      </c>
      <c r="F3654" s="209" t="s">
        <v>21</v>
      </c>
      <c r="G3654" s="209" t="s">
        <v>21</v>
      </c>
      <c r="H3654" s="209" t="s">
        <v>272</v>
      </c>
      <c r="I3654" s="210"/>
    </row>
    <row r="3655" spans="1:9" x14ac:dyDescent="0.25">
      <c r="A3655" s="74"/>
      <c r="B3655" s="45">
        <v>1643</v>
      </c>
      <c r="C3655" s="64" t="s">
        <v>1963</v>
      </c>
      <c r="D3655" s="74"/>
      <c r="E3655" s="208" t="s">
        <v>144</v>
      </c>
      <c r="F3655" s="209" t="s">
        <v>21</v>
      </c>
      <c r="G3655" s="209" t="s">
        <v>21</v>
      </c>
      <c r="H3655" s="209" t="s">
        <v>272</v>
      </c>
      <c r="I3655" s="210"/>
    </row>
    <row r="3656" spans="1:9" x14ac:dyDescent="0.25">
      <c r="A3656" s="74"/>
      <c r="B3656" s="45">
        <v>621</v>
      </c>
      <c r="C3656" s="64" t="s">
        <v>1030</v>
      </c>
      <c r="D3656" s="74"/>
      <c r="E3656" s="208" t="s">
        <v>144</v>
      </c>
      <c r="F3656" s="209" t="s">
        <v>21</v>
      </c>
      <c r="G3656" s="209" t="s">
        <v>21</v>
      </c>
      <c r="H3656" s="209" t="s">
        <v>192</v>
      </c>
      <c r="I3656" s="210"/>
    </row>
    <row r="3657" spans="1:9" x14ac:dyDescent="0.25">
      <c r="A3657" s="74"/>
      <c r="B3657" s="45">
        <v>1687</v>
      </c>
      <c r="C3657" s="64" t="s">
        <v>1993</v>
      </c>
      <c r="D3657" s="74"/>
      <c r="E3657" s="208" t="s">
        <v>144</v>
      </c>
      <c r="F3657" s="209" t="s">
        <v>21</v>
      </c>
      <c r="G3657" s="209" t="s">
        <v>21</v>
      </c>
      <c r="H3657" s="209" t="s">
        <v>16</v>
      </c>
      <c r="I3657" s="210"/>
    </row>
    <row r="3658" spans="1:9" x14ac:dyDescent="0.25">
      <c r="A3658" s="74"/>
      <c r="B3658" s="45">
        <v>1688</v>
      </c>
      <c r="C3658" s="64" t="s">
        <v>1994</v>
      </c>
      <c r="D3658" s="74"/>
      <c r="E3658" s="208" t="s">
        <v>286</v>
      </c>
      <c r="F3658" s="209" t="s">
        <v>21</v>
      </c>
      <c r="G3658" s="209" t="s">
        <v>21</v>
      </c>
      <c r="H3658" s="209" t="s">
        <v>189</v>
      </c>
      <c r="I3658" s="210"/>
    </row>
    <row r="3659" spans="1:9" x14ac:dyDescent="0.25">
      <c r="A3659" s="74"/>
      <c r="B3659" s="45">
        <v>1689</v>
      </c>
      <c r="C3659" s="64" t="s">
        <v>1911</v>
      </c>
      <c r="D3659" s="74"/>
      <c r="E3659" s="208" t="s">
        <v>144</v>
      </c>
      <c r="F3659" s="209" t="s">
        <v>21</v>
      </c>
      <c r="G3659" s="209" t="s">
        <v>21</v>
      </c>
      <c r="H3659" s="209" t="s">
        <v>272</v>
      </c>
      <c r="I3659" s="210"/>
    </row>
    <row r="3660" spans="1:9" x14ac:dyDescent="0.25">
      <c r="A3660" s="74"/>
      <c r="B3660" s="45">
        <v>596</v>
      </c>
      <c r="C3660" s="64" t="s">
        <v>1005</v>
      </c>
      <c r="D3660" s="74"/>
      <c r="E3660" s="208" t="s">
        <v>144</v>
      </c>
      <c r="F3660" s="209" t="s">
        <v>21</v>
      </c>
      <c r="G3660" s="209" t="s">
        <v>21</v>
      </c>
      <c r="H3660" s="209" t="s">
        <v>272</v>
      </c>
      <c r="I3660" s="210"/>
    </row>
    <row r="3661" spans="1:9" x14ac:dyDescent="0.25">
      <c r="A3661" s="74"/>
      <c r="B3661" s="45">
        <v>1690</v>
      </c>
      <c r="C3661" s="64" t="s">
        <v>1582</v>
      </c>
      <c r="D3661" s="74"/>
      <c r="E3661" s="208" t="s">
        <v>144</v>
      </c>
      <c r="F3661" s="209" t="s">
        <v>21</v>
      </c>
      <c r="G3661" s="209" t="s">
        <v>21</v>
      </c>
      <c r="H3661" s="209" t="s">
        <v>272</v>
      </c>
      <c r="I3661" s="210"/>
    </row>
    <row r="3662" spans="1:9" x14ac:dyDescent="0.25">
      <c r="A3662" s="74"/>
      <c r="B3662" s="45">
        <v>1691</v>
      </c>
      <c r="C3662" s="64" t="s">
        <v>1700</v>
      </c>
      <c r="D3662" s="74"/>
      <c r="E3662" s="208" t="s">
        <v>144</v>
      </c>
      <c r="F3662" s="209" t="s">
        <v>21</v>
      </c>
      <c r="G3662" s="209" t="s">
        <v>21</v>
      </c>
      <c r="H3662" s="209" t="s">
        <v>272</v>
      </c>
      <c r="I3662" s="210"/>
    </row>
    <row r="3663" spans="1:9" x14ac:dyDescent="0.25">
      <c r="A3663" s="74"/>
      <c r="B3663" s="45">
        <v>1690</v>
      </c>
      <c r="C3663" s="64" t="s">
        <v>1582</v>
      </c>
      <c r="D3663" s="74"/>
      <c r="E3663" s="208" t="s">
        <v>144</v>
      </c>
      <c r="F3663" s="209" t="s">
        <v>21</v>
      </c>
      <c r="G3663" s="209" t="s">
        <v>21</v>
      </c>
      <c r="H3663" s="209" t="s">
        <v>272</v>
      </c>
      <c r="I3663" s="210"/>
    </row>
    <row r="3664" spans="1:9" x14ac:dyDescent="0.25">
      <c r="A3664" s="74"/>
      <c r="B3664" s="45">
        <v>1691</v>
      </c>
      <c r="C3664" s="64" t="s">
        <v>1700</v>
      </c>
      <c r="D3664" s="74"/>
      <c r="E3664" s="208" t="s">
        <v>144</v>
      </c>
      <c r="F3664" s="209" t="s">
        <v>21</v>
      </c>
      <c r="G3664" s="209" t="s">
        <v>21</v>
      </c>
      <c r="H3664" s="209" t="s">
        <v>272</v>
      </c>
      <c r="I3664" s="210"/>
    </row>
    <row r="3665" spans="1:9" x14ac:dyDescent="0.25">
      <c r="A3665" s="74"/>
      <c r="B3665" s="45">
        <v>1692</v>
      </c>
      <c r="C3665" s="64" t="s">
        <v>1938</v>
      </c>
      <c r="D3665" s="74"/>
      <c r="E3665" s="208" t="s">
        <v>144</v>
      </c>
      <c r="F3665" s="209" t="s">
        <v>21</v>
      </c>
      <c r="G3665" s="209" t="s">
        <v>21</v>
      </c>
      <c r="H3665" s="209" t="s">
        <v>272</v>
      </c>
      <c r="I3665" s="210"/>
    </row>
    <row r="3666" spans="1:9" x14ac:dyDescent="0.25">
      <c r="A3666" s="74"/>
      <c r="B3666" s="45">
        <v>1693</v>
      </c>
      <c r="C3666" s="64" t="s">
        <v>1995</v>
      </c>
      <c r="D3666" s="74"/>
      <c r="E3666" s="208" t="s">
        <v>144</v>
      </c>
      <c r="F3666" s="209" t="s">
        <v>21</v>
      </c>
      <c r="G3666" s="209" t="s">
        <v>21</v>
      </c>
      <c r="H3666" s="209" t="s">
        <v>272</v>
      </c>
      <c r="I3666" s="210"/>
    </row>
    <row r="3667" spans="1:9" x14ac:dyDescent="0.25">
      <c r="A3667" s="74"/>
      <c r="B3667" s="45">
        <v>561</v>
      </c>
      <c r="C3667" s="64" t="s">
        <v>970</v>
      </c>
      <c r="D3667" s="74"/>
      <c r="E3667" s="208" t="s">
        <v>144</v>
      </c>
      <c r="F3667" s="209" t="s">
        <v>21</v>
      </c>
      <c r="G3667" s="209" t="s">
        <v>21</v>
      </c>
      <c r="H3667" s="209" t="s">
        <v>272</v>
      </c>
      <c r="I3667" s="210"/>
    </row>
    <row r="3668" spans="1:9" x14ac:dyDescent="0.25">
      <c r="A3668" s="74"/>
      <c r="B3668" s="45">
        <v>1694</v>
      </c>
      <c r="C3668" s="64" t="s">
        <v>1996</v>
      </c>
      <c r="D3668" s="74"/>
      <c r="E3668" s="208" t="s">
        <v>144</v>
      </c>
      <c r="F3668" s="209" t="s">
        <v>21</v>
      </c>
      <c r="G3668" s="209" t="s">
        <v>21</v>
      </c>
      <c r="H3668" s="209" t="s">
        <v>272</v>
      </c>
      <c r="I3668" s="210"/>
    </row>
    <row r="3669" spans="1:9" x14ac:dyDescent="0.25">
      <c r="A3669" s="74"/>
      <c r="B3669" s="45">
        <v>1695</v>
      </c>
      <c r="C3669" s="64" t="s">
        <v>1997</v>
      </c>
      <c r="D3669" s="74"/>
      <c r="E3669" s="208" t="s">
        <v>144</v>
      </c>
      <c r="F3669" s="209" t="s">
        <v>21</v>
      </c>
      <c r="G3669" s="209" t="s">
        <v>21</v>
      </c>
      <c r="H3669" s="209" t="s">
        <v>272</v>
      </c>
      <c r="I3669" s="210"/>
    </row>
    <row r="3670" spans="1:9" x14ac:dyDescent="0.25">
      <c r="A3670" s="74"/>
      <c r="B3670" s="45">
        <v>1695</v>
      </c>
      <c r="C3670" s="64" t="s">
        <v>1997</v>
      </c>
      <c r="D3670" s="74"/>
      <c r="E3670" s="208" t="s">
        <v>144</v>
      </c>
      <c r="F3670" s="209" t="s">
        <v>21</v>
      </c>
      <c r="G3670" s="209" t="s">
        <v>21</v>
      </c>
      <c r="H3670" s="209" t="s">
        <v>272</v>
      </c>
      <c r="I3670" s="210"/>
    </row>
    <row r="3671" spans="1:9" x14ac:dyDescent="0.25">
      <c r="A3671" s="74"/>
      <c r="B3671" s="45">
        <v>600</v>
      </c>
      <c r="C3671" s="64" t="s">
        <v>1009</v>
      </c>
      <c r="D3671" s="74"/>
      <c r="E3671" s="208" t="s">
        <v>144</v>
      </c>
      <c r="F3671" s="209" t="s">
        <v>21</v>
      </c>
      <c r="G3671" s="209" t="s">
        <v>21</v>
      </c>
      <c r="H3671" s="209" t="s">
        <v>272</v>
      </c>
      <c r="I3671" s="210"/>
    </row>
    <row r="3672" spans="1:9" x14ac:dyDescent="0.25">
      <c r="A3672" s="74"/>
      <c r="B3672" s="45">
        <v>1694</v>
      </c>
      <c r="C3672" s="64" t="s">
        <v>1996</v>
      </c>
      <c r="D3672" s="74"/>
      <c r="E3672" s="208" t="s">
        <v>144</v>
      </c>
      <c r="F3672" s="209" t="s">
        <v>21</v>
      </c>
      <c r="G3672" s="209" t="s">
        <v>21</v>
      </c>
      <c r="H3672" s="209" t="s">
        <v>272</v>
      </c>
      <c r="I3672" s="210"/>
    </row>
    <row r="3673" spans="1:9" x14ac:dyDescent="0.25">
      <c r="A3673" s="74"/>
      <c r="B3673" s="45">
        <v>600</v>
      </c>
      <c r="C3673" s="64" t="s">
        <v>1009</v>
      </c>
      <c r="D3673" s="74"/>
      <c r="E3673" s="208" t="s">
        <v>144</v>
      </c>
      <c r="F3673" s="209" t="s">
        <v>21</v>
      </c>
      <c r="G3673" s="209" t="s">
        <v>21</v>
      </c>
      <c r="H3673" s="209" t="s">
        <v>272</v>
      </c>
      <c r="I3673" s="210"/>
    </row>
    <row r="3674" spans="1:9" x14ac:dyDescent="0.25">
      <c r="A3674" s="74"/>
      <c r="B3674" s="45">
        <v>1696</v>
      </c>
      <c r="C3674" s="64" t="s">
        <v>1985</v>
      </c>
      <c r="D3674" s="74"/>
      <c r="E3674" s="208" t="s">
        <v>144</v>
      </c>
      <c r="F3674" s="209" t="s">
        <v>21</v>
      </c>
      <c r="G3674" s="209" t="s">
        <v>21</v>
      </c>
      <c r="H3674" s="209" t="s">
        <v>272</v>
      </c>
      <c r="I3674" s="210"/>
    </row>
    <row r="3675" spans="1:9" x14ac:dyDescent="0.25">
      <c r="A3675" s="74"/>
      <c r="B3675" s="45">
        <v>1697</v>
      </c>
      <c r="C3675" s="64" t="s">
        <v>1998</v>
      </c>
      <c r="D3675" s="74"/>
      <c r="E3675" s="208" t="s">
        <v>144</v>
      </c>
      <c r="F3675" s="209" t="s">
        <v>21</v>
      </c>
      <c r="G3675" s="209" t="s">
        <v>21</v>
      </c>
      <c r="H3675" s="209" t="s">
        <v>272</v>
      </c>
      <c r="I3675" s="210"/>
    </row>
    <row r="3676" spans="1:9" x14ac:dyDescent="0.25">
      <c r="A3676" s="74"/>
      <c r="B3676" s="45">
        <v>1646</v>
      </c>
      <c r="C3676" s="64" t="s">
        <v>1796</v>
      </c>
      <c r="D3676" s="74"/>
      <c r="E3676" s="208" t="s">
        <v>144</v>
      </c>
      <c r="F3676" s="209" t="s">
        <v>21</v>
      </c>
      <c r="G3676" s="209" t="s">
        <v>21</v>
      </c>
      <c r="H3676" s="209" t="s">
        <v>272</v>
      </c>
      <c r="I3676" s="210"/>
    </row>
    <row r="3677" spans="1:9" x14ac:dyDescent="0.25">
      <c r="A3677" s="74"/>
      <c r="B3677" s="45">
        <v>1698</v>
      </c>
      <c r="C3677" s="64" t="s">
        <v>1999</v>
      </c>
      <c r="D3677" s="74"/>
      <c r="E3677" s="208" t="s">
        <v>144</v>
      </c>
      <c r="F3677" s="209" t="s">
        <v>21</v>
      </c>
      <c r="G3677" s="209" t="s">
        <v>21</v>
      </c>
      <c r="H3677" s="209" t="s">
        <v>272</v>
      </c>
      <c r="I3677" s="210"/>
    </row>
    <row r="3678" spans="1:9" x14ac:dyDescent="0.25">
      <c r="A3678" s="74"/>
      <c r="B3678" s="45">
        <v>1699</v>
      </c>
      <c r="C3678" s="64" t="s">
        <v>1949</v>
      </c>
      <c r="D3678" s="74"/>
      <c r="E3678" s="208" t="s">
        <v>144</v>
      </c>
      <c r="F3678" s="209" t="s">
        <v>21</v>
      </c>
      <c r="G3678" s="209" t="s">
        <v>21</v>
      </c>
      <c r="H3678" s="209" t="s">
        <v>272</v>
      </c>
      <c r="I3678" s="210"/>
    </row>
    <row r="3679" spans="1:9" x14ac:dyDescent="0.25">
      <c r="A3679" s="74"/>
      <c r="B3679" s="45">
        <v>1700</v>
      </c>
      <c r="C3679" s="64" t="s">
        <v>2000</v>
      </c>
      <c r="D3679" s="74"/>
      <c r="E3679" s="208" t="s">
        <v>144</v>
      </c>
      <c r="F3679" s="209" t="s">
        <v>21</v>
      </c>
      <c r="G3679" s="209" t="s">
        <v>21</v>
      </c>
      <c r="H3679" s="209" t="s">
        <v>272</v>
      </c>
      <c r="I3679" s="210"/>
    </row>
    <row r="3680" spans="1:9" x14ac:dyDescent="0.25">
      <c r="A3680" s="74"/>
      <c r="B3680" s="45">
        <v>1701</v>
      </c>
      <c r="C3680" s="64" t="s">
        <v>1659</v>
      </c>
      <c r="D3680" s="74"/>
      <c r="E3680" s="208" t="s">
        <v>144</v>
      </c>
      <c r="F3680" s="209" t="s">
        <v>21</v>
      </c>
      <c r="G3680" s="209" t="s">
        <v>21</v>
      </c>
      <c r="H3680" s="209" t="s">
        <v>272</v>
      </c>
      <c r="I3680" s="210"/>
    </row>
    <row r="3681" spans="1:9" x14ac:dyDescent="0.25">
      <c r="A3681" s="74"/>
      <c r="B3681" s="45">
        <v>1702</v>
      </c>
      <c r="C3681" s="64" t="s">
        <v>2001</v>
      </c>
      <c r="D3681" s="74"/>
      <c r="E3681" s="208" t="s">
        <v>144</v>
      </c>
      <c r="F3681" s="209" t="s">
        <v>21</v>
      </c>
      <c r="G3681" s="209" t="s">
        <v>21</v>
      </c>
      <c r="H3681" s="209" t="s">
        <v>272</v>
      </c>
      <c r="I3681" s="210"/>
    </row>
    <row r="3682" spans="1:9" x14ac:dyDescent="0.25">
      <c r="A3682" s="74"/>
      <c r="B3682" s="45">
        <v>1703</v>
      </c>
      <c r="C3682" s="64" t="s">
        <v>2002</v>
      </c>
      <c r="D3682" s="74"/>
      <c r="E3682" s="208" t="s">
        <v>144</v>
      </c>
      <c r="F3682" s="209" t="s">
        <v>21</v>
      </c>
      <c r="G3682" s="209" t="s">
        <v>21</v>
      </c>
      <c r="H3682" s="209" t="s">
        <v>272</v>
      </c>
      <c r="I3682" s="210"/>
    </row>
    <row r="3683" spans="1:9" x14ac:dyDescent="0.25">
      <c r="A3683" s="74"/>
      <c r="B3683" s="45">
        <v>1704</v>
      </c>
      <c r="C3683" s="64" t="s">
        <v>2003</v>
      </c>
      <c r="D3683" s="74"/>
      <c r="E3683" s="208" t="s">
        <v>155</v>
      </c>
      <c r="F3683" s="209" t="s">
        <v>21</v>
      </c>
      <c r="G3683" s="209" t="s">
        <v>21</v>
      </c>
      <c r="H3683" s="209" t="s">
        <v>189</v>
      </c>
      <c r="I3683" s="210"/>
    </row>
    <row r="3684" spans="1:9" x14ac:dyDescent="0.25">
      <c r="A3684" s="74"/>
      <c r="B3684" s="45">
        <v>1705</v>
      </c>
      <c r="C3684" s="64" t="s">
        <v>1868</v>
      </c>
      <c r="D3684" s="74"/>
      <c r="E3684" s="208" t="s">
        <v>155</v>
      </c>
      <c r="F3684" s="209" t="s">
        <v>21</v>
      </c>
      <c r="G3684" s="209" t="s">
        <v>21</v>
      </c>
      <c r="H3684" s="209" t="s">
        <v>189</v>
      </c>
      <c r="I3684" s="210"/>
    </row>
    <row r="3685" spans="1:9" x14ac:dyDescent="0.25">
      <c r="A3685" s="74"/>
      <c r="B3685" s="45">
        <v>1706</v>
      </c>
      <c r="C3685" s="64" t="s">
        <v>2004</v>
      </c>
      <c r="D3685" s="74"/>
      <c r="E3685" s="208" t="s">
        <v>287</v>
      </c>
      <c r="F3685" s="209" t="s">
        <v>21</v>
      </c>
      <c r="G3685" s="209" t="s">
        <v>21</v>
      </c>
      <c r="H3685" s="209" t="s">
        <v>180</v>
      </c>
      <c r="I3685" s="210"/>
    </row>
    <row r="3686" spans="1:9" x14ac:dyDescent="0.25">
      <c r="A3686" s="74"/>
      <c r="B3686" s="45">
        <v>1705</v>
      </c>
      <c r="C3686" s="64" t="s">
        <v>1868</v>
      </c>
      <c r="D3686" s="74"/>
      <c r="E3686" s="208" t="s">
        <v>155</v>
      </c>
      <c r="F3686" s="209" t="s">
        <v>21</v>
      </c>
      <c r="G3686" s="209" t="s">
        <v>21</v>
      </c>
      <c r="H3686" s="209" t="s">
        <v>189</v>
      </c>
      <c r="I3686" s="210"/>
    </row>
    <row r="3687" spans="1:9" x14ac:dyDescent="0.25">
      <c r="A3687" s="74"/>
      <c r="B3687" s="45">
        <v>1707</v>
      </c>
      <c r="C3687" s="64" t="s">
        <v>1925</v>
      </c>
      <c r="D3687" s="74"/>
      <c r="E3687" s="208" t="s">
        <v>155</v>
      </c>
      <c r="F3687" s="209" t="s">
        <v>21</v>
      </c>
      <c r="G3687" s="209" t="s">
        <v>21</v>
      </c>
      <c r="H3687" s="209" t="s">
        <v>16</v>
      </c>
      <c r="I3687" s="210"/>
    </row>
    <row r="3688" spans="1:9" x14ac:dyDescent="0.25">
      <c r="A3688" s="74"/>
      <c r="B3688" s="45">
        <v>1708</v>
      </c>
      <c r="C3688" s="64" t="s">
        <v>2005</v>
      </c>
      <c r="D3688" s="74"/>
      <c r="E3688" s="208" t="s">
        <v>155</v>
      </c>
      <c r="F3688" s="209" t="s">
        <v>21</v>
      </c>
      <c r="G3688" s="209" t="s">
        <v>21</v>
      </c>
      <c r="H3688" s="209" t="s">
        <v>16</v>
      </c>
      <c r="I3688" s="210"/>
    </row>
    <row r="3689" spans="1:9" x14ac:dyDescent="0.25">
      <c r="A3689" s="74"/>
      <c r="B3689" s="45">
        <v>1709</v>
      </c>
      <c r="C3689" s="64" t="s">
        <v>2006</v>
      </c>
      <c r="D3689" s="74"/>
      <c r="E3689" s="208" t="s">
        <v>142</v>
      </c>
      <c r="F3689" s="209" t="s">
        <v>21</v>
      </c>
      <c r="G3689" s="209" t="s">
        <v>21</v>
      </c>
      <c r="H3689" s="209" t="s">
        <v>189</v>
      </c>
      <c r="I3689" s="210"/>
    </row>
    <row r="3690" spans="1:9" x14ac:dyDescent="0.25">
      <c r="A3690" s="74"/>
      <c r="B3690" s="45">
        <v>611</v>
      </c>
      <c r="C3690" s="64" t="s">
        <v>1020</v>
      </c>
      <c r="D3690" s="74"/>
      <c r="E3690" s="208" t="s">
        <v>156</v>
      </c>
      <c r="F3690" s="209" t="s">
        <v>21</v>
      </c>
      <c r="G3690" s="209" t="s">
        <v>21</v>
      </c>
      <c r="H3690" s="209" t="s">
        <v>192</v>
      </c>
      <c r="I3690" s="210"/>
    </row>
    <row r="3691" spans="1:9" x14ac:dyDescent="0.25">
      <c r="A3691" s="74"/>
      <c r="B3691" s="45">
        <v>1710</v>
      </c>
      <c r="C3691" s="64" t="s">
        <v>1770</v>
      </c>
      <c r="D3691" s="74"/>
      <c r="E3691" s="208" t="s">
        <v>156</v>
      </c>
      <c r="F3691" s="209" t="s">
        <v>21</v>
      </c>
      <c r="G3691" s="209" t="s">
        <v>21</v>
      </c>
      <c r="H3691" s="209" t="s">
        <v>16</v>
      </c>
      <c r="I3691" s="210"/>
    </row>
    <row r="3692" spans="1:9" x14ac:dyDescent="0.25">
      <c r="A3692" s="74"/>
      <c r="B3692" s="45">
        <v>1711</v>
      </c>
      <c r="C3692" s="64" t="s">
        <v>2007</v>
      </c>
      <c r="D3692" s="74"/>
      <c r="E3692" s="208" t="s">
        <v>156</v>
      </c>
      <c r="F3692" s="209" t="s">
        <v>21</v>
      </c>
      <c r="G3692" s="209" t="s">
        <v>21</v>
      </c>
      <c r="H3692" s="209" t="s">
        <v>272</v>
      </c>
      <c r="I3692" s="210"/>
    </row>
    <row r="3693" spans="1:9" x14ac:dyDescent="0.25">
      <c r="A3693" s="74"/>
      <c r="B3693" s="45">
        <v>626</v>
      </c>
      <c r="C3693" s="64" t="s">
        <v>1035</v>
      </c>
      <c r="D3693" s="74"/>
      <c r="E3693" s="208" t="s">
        <v>156</v>
      </c>
      <c r="F3693" s="209" t="s">
        <v>21</v>
      </c>
      <c r="G3693" s="209" t="s">
        <v>21</v>
      </c>
      <c r="H3693" s="209" t="s">
        <v>272</v>
      </c>
      <c r="I3693" s="210"/>
    </row>
    <row r="3694" spans="1:9" x14ac:dyDescent="0.25">
      <c r="A3694" s="74"/>
      <c r="B3694" s="45">
        <v>1711</v>
      </c>
      <c r="C3694" s="64" t="s">
        <v>2007</v>
      </c>
      <c r="D3694" s="74"/>
      <c r="E3694" s="208" t="s">
        <v>156</v>
      </c>
      <c r="F3694" s="209" t="s">
        <v>21</v>
      </c>
      <c r="G3694" s="209" t="s">
        <v>21</v>
      </c>
      <c r="H3694" s="209" t="s">
        <v>272</v>
      </c>
      <c r="I3694" s="210"/>
    </row>
    <row r="3695" spans="1:9" x14ac:dyDescent="0.25">
      <c r="A3695" s="74"/>
      <c r="B3695" s="45">
        <v>612</v>
      </c>
      <c r="C3695" s="64" t="s">
        <v>1021</v>
      </c>
      <c r="D3695" s="74"/>
      <c r="E3695" s="208" t="s">
        <v>156</v>
      </c>
      <c r="F3695" s="209" t="s">
        <v>21</v>
      </c>
      <c r="G3695" s="209" t="s">
        <v>21</v>
      </c>
      <c r="H3695" s="209" t="s">
        <v>272</v>
      </c>
      <c r="I3695" s="210"/>
    </row>
    <row r="3696" spans="1:9" x14ac:dyDescent="0.25">
      <c r="A3696" s="74"/>
      <c r="B3696" s="45">
        <v>626</v>
      </c>
      <c r="C3696" s="64" t="s">
        <v>1035</v>
      </c>
      <c r="D3696" s="74"/>
      <c r="E3696" s="208" t="s">
        <v>156</v>
      </c>
      <c r="F3696" s="209" t="s">
        <v>21</v>
      </c>
      <c r="G3696" s="209" t="s">
        <v>21</v>
      </c>
      <c r="H3696" s="209" t="s">
        <v>272</v>
      </c>
      <c r="I3696" s="210"/>
    </row>
    <row r="3697" spans="1:9" x14ac:dyDescent="0.25">
      <c r="A3697" s="74"/>
      <c r="B3697" s="45">
        <v>1712</v>
      </c>
      <c r="C3697" s="64" t="s">
        <v>2008</v>
      </c>
      <c r="D3697" s="74"/>
      <c r="E3697" s="208" t="s">
        <v>131</v>
      </c>
      <c r="F3697" s="209" t="s">
        <v>21</v>
      </c>
      <c r="G3697" s="209" t="s">
        <v>21</v>
      </c>
      <c r="H3697" s="209" t="s">
        <v>180</v>
      </c>
      <c r="I3697" s="210"/>
    </row>
    <row r="3698" spans="1:9" x14ac:dyDescent="0.25">
      <c r="A3698" s="74"/>
      <c r="B3698" s="45">
        <v>1594</v>
      </c>
      <c r="C3698" s="64" t="s">
        <v>1931</v>
      </c>
      <c r="D3698" s="74"/>
      <c r="E3698" s="208" t="s">
        <v>141</v>
      </c>
      <c r="F3698" s="209" t="s">
        <v>21</v>
      </c>
      <c r="G3698" s="209" t="s">
        <v>21</v>
      </c>
      <c r="H3698" s="209" t="s">
        <v>16</v>
      </c>
      <c r="I3698" s="210"/>
    </row>
    <row r="3699" spans="1:9" x14ac:dyDescent="0.25">
      <c r="A3699" s="74"/>
      <c r="B3699" s="45">
        <v>1713</v>
      </c>
      <c r="C3699" s="64" t="s">
        <v>2009</v>
      </c>
      <c r="D3699" s="74"/>
      <c r="E3699" s="208" t="s">
        <v>156</v>
      </c>
      <c r="F3699" s="209" t="s">
        <v>21</v>
      </c>
      <c r="G3699" s="209" t="s">
        <v>21</v>
      </c>
      <c r="H3699" s="209" t="s">
        <v>272</v>
      </c>
      <c r="I3699" s="210"/>
    </row>
    <row r="3700" spans="1:9" x14ac:dyDescent="0.25">
      <c r="A3700" s="74"/>
      <c r="B3700" s="45">
        <v>616</v>
      </c>
      <c r="C3700" s="64" t="s">
        <v>1025</v>
      </c>
      <c r="D3700" s="74"/>
      <c r="E3700" s="208" t="s">
        <v>156</v>
      </c>
      <c r="F3700" s="209" t="s">
        <v>21</v>
      </c>
      <c r="G3700" s="209" t="s">
        <v>21</v>
      </c>
      <c r="H3700" s="209" t="s">
        <v>272</v>
      </c>
      <c r="I3700" s="210"/>
    </row>
    <row r="3701" spans="1:9" x14ac:dyDescent="0.25">
      <c r="A3701" s="74"/>
      <c r="B3701" s="45">
        <v>1714</v>
      </c>
      <c r="C3701" s="64" t="s">
        <v>2010</v>
      </c>
      <c r="D3701" s="74"/>
      <c r="E3701" s="208" t="s">
        <v>156</v>
      </c>
      <c r="F3701" s="209" t="s">
        <v>21</v>
      </c>
      <c r="G3701" s="209" t="s">
        <v>21</v>
      </c>
      <c r="H3701" s="209" t="s">
        <v>272</v>
      </c>
      <c r="I3701" s="210"/>
    </row>
    <row r="3702" spans="1:9" x14ac:dyDescent="0.25">
      <c r="A3702" s="74"/>
      <c r="B3702" s="45">
        <v>1713</v>
      </c>
      <c r="C3702" s="64" t="s">
        <v>2009</v>
      </c>
      <c r="D3702" s="74"/>
      <c r="E3702" s="208" t="s">
        <v>156</v>
      </c>
      <c r="F3702" s="209" t="s">
        <v>21</v>
      </c>
      <c r="G3702" s="209" t="s">
        <v>21</v>
      </c>
      <c r="H3702" s="209" t="s">
        <v>272</v>
      </c>
      <c r="I3702" s="210"/>
    </row>
    <row r="3703" spans="1:9" x14ac:dyDescent="0.25">
      <c r="A3703" s="74"/>
      <c r="B3703" s="45">
        <v>616</v>
      </c>
      <c r="C3703" s="64" t="s">
        <v>1025</v>
      </c>
      <c r="D3703" s="74"/>
      <c r="E3703" s="208" t="s">
        <v>156</v>
      </c>
      <c r="F3703" s="209" t="s">
        <v>21</v>
      </c>
      <c r="G3703" s="209" t="s">
        <v>21</v>
      </c>
      <c r="H3703" s="209" t="s">
        <v>272</v>
      </c>
      <c r="I3703" s="210"/>
    </row>
    <row r="3704" spans="1:9" x14ac:dyDescent="0.25">
      <c r="A3704" s="74"/>
      <c r="B3704" s="45">
        <v>1714</v>
      </c>
      <c r="C3704" s="64" t="s">
        <v>2010</v>
      </c>
      <c r="D3704" s="74"/>
      <c r="E3704" s="208" t="s">
        <v>156</v>
      </c>
      <c r="F3704" s="209" t="s">
        <v>21</v>
      </c>
      <c r="G3704" s="209" t="s">
        <v>21</v>
      </c>
      <c r="H3704" s="209" t="s">
        <v>272</v>
      </c>
      <c r="I3704" s="210"/>
    </row>
    <row r="3705" spans="1:9" x14ac:dyDescent="0.25">
      <c r="A3705" s="74"/>
      <c r="B3705" s="45">
        <v>1713</v>
      </c>
      <c r="C3705" s="64" t="s">
        <v>2009</v>
      </c>
      <c r="D3705" s="74"/>
      <c r="E3705" s="208" t="s">
        <v>156</v>
      </c>
      <c r="F3705" s="209" t="s">
        <v>21</v>
      </c>
      <c r="G3705" s="209" t="s">
        <v>21</v>
      </c>
      <c r="H3705" s="209" t="s">
        <v>272</v>
      </c>
      <c r="I3705" s="210"/>
    </row>
    <row r="3706" spans="1:9" x14ac:dyDescent="0.25">
      <c r="A3706" s="74"/>
      <c r="B3706" s="45">
        <v>616</v>
      </c>
      <c r="C3706" s="64" t="s">
        <v>1025</v>
      </c>
      <c r="D3706" s="74"/>
      <c r="E3706" s="208" t="s">
        <v>156</v>
      </c>
      <c r="F3706" s="209" t="s">
        <v>21</v>
      </c>
      <c r="G3706" s="209" t="s">
        <v>21</v>
      </c>
      <c r="H3706" s="209" t="s">
        <v>272</v>
      </c>
      <c r="I3706" s="210"/>
    </row>
    <row r="3707" spans="1:9" x14ac:dyDescent="0.25">
      <c r="A3707" s="74"/>
      <c r="B3707" s="45">
        <v>1714</v>
      </c>
      <c r="C3707" s="64" t="s">
        <v>2010</v>
      </c>
      <c r="D3707" s="74"/>
      <c r="E3707" s="208" t="s">
        <v>156</v>
      </c>
      <c r="F3707" s="209" t="s">
        <v>21</v>
      </c>
      <c r="G3707" s="209" t="s">
        <v>21</v>
      </c>
      <c r="H3707" s="209" t="s">
        <v>272</v>
      </c>
      <c r="I3707" s="210"/>
    </row>
    <row r="3708" spans="1:9" x14ac:dyDescent="0.25">
      <c r="A3708" s="74"/>
      <c r="B3708" s="45">
        <v>1713</v>
      </c>
      <c r="C3708" s="64" t="s">
        <v>2009</v>
      </c>
      <c r="D3708" s="74"/>
      <c r="E3708" s="208" t="s">
        <v>156</v>
      </c>
      <c r="F3708" s="209" t="s">
        <v>21</v>
      </c>
      <c r="G3708" s="209" t="s">
        <v>21</v>
      </c>
      <c r="H3708" s="209" t="s">
        <v>272</v>
      </c>
      <c r="I3708" s="210"/>
    </row>
    <row r="3709" spans="1:9" x14ac:dyDescent="0.25">
      <c r="A3709" s="74"/>
      <c r="B3709" s="45">
        <v>616</v>
      </c>
      <c r="C3709" s="64" t="s">
        <v>1025</v>
      </c>
      <c r="D3709" s="74"/>
      <c r="E3709" s="208" t="s">
        <v>156</v>
      </c>
      <c r="F3709" s="209" t="s">
        <v>21</v>
      </c>
      <c r="G3709" s="209" t="s">
        <v>21</v>
      </c>
      <c r="H3709" s="209" t="s">
        <v>272</v>
      </c>
      <c r="I3709" s="210"/>
    </row>
    <row r="3710" spans="1:9" x14ac:dyDescent="0.25">
      <c r="A3710" s="74"/>
      <c r="B3710" s="45">
        <v>1714</v>
      </c>
      <c r="C3710" s="64" t="s">
        <v>2010</v>
      </c>
      <c r="D3710" s="74"/>
      <c r="E3710" s="208" t="s">
        <v>156</v>
      </c>
      <c r="F3710" s="209" t="s">
        <v>21</v>
      </c>
      <c r="G3710" s="209" t="s">
        <v>21</v>
      </c>
      <c r="H3710" s="209" t="s">
        <v>272</v>
      </c>
      <c r="I3710" s="210"/>
    </row>
    <row r="3711" spans="1:9" x14ac:dyDescent="0.25">
      <c r="A3711" s="74"/>
      <c r="B3711" s="45">
        <v>1558</v>
      </c>
      <c r="C3711" s="64" t="s">
        <v>1853</v>
      </c>
      <c r="D3711" s="74"/>
      <c r="E3711" s="208" t="s">
        <v>144</v>
      </c>
      <c r="F3711" s="209" t="s">
        <v>21</v>
      </c>
      <c r="G3711" s="209" t="s">
        <v>21</v>
      </c>
      <c r="H3711" s="209" t="s">
        <v>272</v>
      </c>
      <c r="I3711" s="210"/>
    </row>
    <row r="3712" spans="1:9" x14ac:dyDescent="0.25">
      <c r="A3712" s="74"/>
      <c r="B3712" s="45">
        <v>1640</v>
      </c>
      <c r="C3712" s="64" t="s">
        <v>1960</v>
      </c>
      <c r="D3712" s="74"/>
      <c r="E3712" s="208" t="s">
        <v>144</v>
      </c>
      <c r="F3712" s="209" t="s">
        <v>21</v>
      </c>
      <c r="G3712" s="209" t="s">
        <v>21</v>
      </c>
      <c r="H3712" s="209" t="s">
        <v>272</v>
      </c>
      <c r="I3712" s="210"/>
    </row>
    <row r="3713" spans="1:9" x14ac:dyDescent="0.25">
      <c r="A3713" s="74"/>
      <c r="B3713" s="45">
        <v>1641</v>
      </c>
      <c r="C3713" s="64" t="s">
        <v>1961</v>
      </c>
      <c r="D3713" s="74"/>
      <c r="E3713" s="208" t="s">
        <v>144</v>
      </c>
      <c r="F3713" s="209" t="s">
        <v>21</v>
      </c>
      <c r="G3713" s="209" t="s">
        <v>21</v>
      </c>
      <c r="H3713" s="209" t="s">
        <v>272</v>
      </c>
      <c r="I3713" s="210"/>
    </row>
    <row r="3714" spans="1:9" x14ac:dyDescent="0.25">
      <c r="A3714" s="74"/>
      <c r="B3714" s="45">
        <v>1642</v>
      </c>
      <c r="C3714" s="64" t="s">
        <v>1962</v>
      </c>
      <c r="D3714" s="74"/>
      <c r="E3714" s="208" t="s">
        <v>144</v>
      </c>
      <c r="F3714" s="209" t="s">
        <v>21</v>
      </c>
      <c r="G3714" s="209" t="s">
        <v>21</v>
      </c>
      <c r="H3714" s="209" t="s">
        <v>272</v>
      </c>
      <c r="I3714" s="210"/>
    </row>
    <row r="3715" spans="1:9" x14ac:dyDescent="0.25">
      <c r="A3715" s="74"/>
      <c r="B3715" s="45">
        <v>1643</v>
      </c>
      <c r="C3715" s="64" t="s">
        <v>1963</v>
      </c>
      <c r="D3715" s="74"/>
      <c r="E3715" s="208" t="s">
        <v>144</v>
      </c>
      <c r="F3715" s="209" t="s">
        <v>21</v>
      </c>
      <c r="G3715" s="209" t="s">
        <v>21</v>
      </c>
      <c r="H3715" s="209" t="s">
        <v>272</v>
      </c>
      <c r="I3715" s="210"/>
    </row>
    <row r="3716" spans="1:9" x14ac:dyDescent="0.25">
      <c r="A3716" s="74"/>
      <c r="B3716" s="45">
        <v>621</v>
      </c>
      <c r="C3716" s="64" t="s">
        <v>1030</v>
      </c>
      <c r="D3716" s="74"/>
      <c r="E3716" s="208" t="s">
        <v>144</v>
      </c>
      <c r="F3716" s="209" t="s">
        <v>21</v>
      </c>
      <c r="G3716" s="209" t="s">
        <v>21</v>
      </c>
      <c r="H3716" s="209" t="s">
        <v>192</v>
      </c>
      <c r="I3716" s="210"/>
    </row>
    <row r="3717" spans="1:9" x14ac:dyDescent="0.25">
      <c r="A3717" s="74"/>
      <c r="B3717" s="45">
        <v>1640</v>
      </c>
      <c r="C3717" s="64" t="s">
        <v>1960</v>
      </c>
      <c r="D3717" s="74"/>
      <c r="E3717" s="208" t="s">
        <v>144</v>
      </c>
      <c r="F3717" s="209" t="s">
        <v>21</v>
      </c>
      <c r="G3717" s="209" t="s">
        <v>21</v>
      </c>
      <c r="H3717" s="209" t="s">
        <v>272</v>
      </c>
      <c r="I3717" s="210"/>
    </row>
    <row r="3718" spans="1:9" x14ac:dyDescent="0.25">
      <c r="A3718" s="74"/>
      <c r="B3718" s="45">
        <v>1641</v>
      </c>
      <c r="C3718" s="64" t="s">
        <v>1961</v>
      </c>
      <c r="D3718" s="74"/>
      <c r="E3718" s="208" t="s">
        <v>144</v>
      </c>
      <c r="F3718" s="209" t="s">
        <v>21</v>
      </c>
      <c r="G3718" s="209" t="s">
        <v>21</v>
      </c>
      <c r="H3718" s="209" t="s">
        <v>272</v>
      </c>
      <c r="I3718" s="210"/>
    </row>
    <row r="3719" spans="1:9" x14ac:dyDescent="0.25">
      <c r="A3719" s="74"/>
      <c r="B3719" s="45">
        <v>1642</v>
      </c>
      <c r="C3719" s="64" t="s">
        <v>1962</v>
      </c>
      <c r="D3719" s="74"/>
      <c r="E3719" s="208" t="s">
        <v>144</v>
      </c>
      <c r="F3719" s="209" t="s">
        <v>21</v>
      </c>
      <c r="G3719" s="209" t="s">
        <v>21</v>
      </c>
      <c r="H3719" s="209" t="s">
        <v>272</v>
      </c>
      <c r="I3719" s="210"/>
    </row>
    <row r="3720" spans="1:9" x14ac:dyDescent="0.25">
      <c r="A3720" s="74"/>
      <c r="B3720" s="45">
        <v>1643</v>
      </c>
      <c r="C3720" s="64" t="s">
        <v>1963</v>
      </c>
      <c r="D3720" s="74"/>
      <c r="E3720" s="208" t="s">
        <v>144</v>
      </c>
      <c r="F3720" s="209" t="s">
        <v>21</v>
      </c>
      <c r="G3720" s="209" t="s">
        <v>21</v>
      </c>
      <c r="H3720" s="209" t="s">
        <v>272</v>
      </c>
      <c r="I3720" s="210"/>
    </row>
    <row r="3721" spans="1:9" x14ac:dyDescent="0.25">
      <c r="A3721" s="74"/>
      <c r="B3721" s="45">
        <v>621</v>
      </c>
      <c r="C3721" s="64" t="s">
        <v>1030</v>
      </c>
      <c r="D3721" s="74"/>
      <c r="E3721" s="208" t="s">
        <v>144</v>
      </c>
      <c r="F3721" s="209" t="s">
        <v>21</v>
      </c>
      <c r="G3721" s="209" t="s">
        <v>21</v>
      </c>
      <c r="H3721" s="209" t="s">
        <v>192</v>
      </c>
      <c r="I3721" s="210"/>
    </row>
    <row r="3722" spans="1:9" x14ac:dyDescent="0.25">
      <c r="A3722" s="74"/>
      <c r="B3722" s="45">
        <v>1640</v>
      </c>
      <c r="C3722" s="64" t="s">
        <v>1960</v>
      </c>
      <c r="D3722" s="74"/>
      <c r="E3722" s="208" t="s">
        <v>144</v>
      </c>
      <c r="F3722" s="209" t="s">
        <v>21</v>
      </c>
      <c r="G3722" s="209" t="s">
        <v>21</v>
      </c>
      <c r="H3722" s="209" t="s">
        <v>272</v>
      </c>
      <c r="I3722" s="210"/>
    </row>
    <row r="3723" spans="1:9" x14ac:dyDescent="0.25">
      <c r="A3723" s="74"/>
      <c r="B3723" s="45">
        <v>1641</v>
      </c>
      <c r="C3723" s="64" t="s">
        <v>1961</v>
      </c>
      <c r="D3723" s="74"/>
      <c r="E3723" s="208" t="s">
        <v>144</v>
      </c>
      <c r="F3723" s="209" t="s">
        <v>21</v>
      </c>
      <c r="G3723" s="209" t="s">
        <v>21</v>
      </c>
      <c r="H3723" s="209" t="s">
        <v>272</v>
      </c>
      <c r="I3723" s="210"/>
    </row>
    <row r="3724" spans="1:9" x14ac:dyDescent="0.25">
      <c r="A3724" s="74"/>
      <c r="B3724" s="45">
        <v>1642</v>
      </c>
      <c r="C3724" s="64" t="s">
        <v>1962</v>
      </c>
      <c r="D3724" s="74"/>
      <c r="E3724" s="208" t="s">
        <v>144</v>
      </c>
      <c r="F3724" s="209" t="s">
        <v>21</v>
      </c>
      <c r="G3724" s="209" t="s">
        <v>21</v>
      </c>
      <c r="H3724" s="209" t="s">
        <v>272</v>
      </c>
      <c r="I3724" s="210"/>
    </row>
    <row r="3725" spans="1:9" x14ac:dyDescent="0.25">
      <c r="A3725" s="74"/>
      <c r="B3725" s="45">
        <v>1643</v>
      </c>
      <c r="C3725" s="64" t="s">
        <v>1963</v>
      </c>
      <c r="D3725" s="74"/>
      <c r="E3725" s="208" t="s">
        <v>144</v>
      </c>
      <c r="F3725" s="209" t="s">
        <v>21</v>
      </c>
      <c r="G3725" s="209" t="s">
        <v>21</v>
      </c>
      <c r="H3725" s="209" t="s">
        <v>272</v>
      </c>
      <c r="I3725" s="210"/>
    </row>
    <row r="3726" spans="1:9" x14ac:dyDescent="0.25">
      <c r="A3726" s="74"/>
      <c r="B3726" s="45">
        <v>621</v>
      </c>
      <c r="C3726" s="64" t="s">
        <v>1030</v>
      </c>
      <c r="D3726" s="74"/>
      <c r="E3726" s="208" t="s">
        <v>144</v>
      </c>
      <c r="F3726" s="209" t="s">
        <v>21</v>
      </c>
      <c r="G3726" s="209" t="s">
        <v>21</v>
      </c>
      <c r="H3726" s="209" t="s">
        <v>192</v>
      </c>
      <c r="I3726" s="210"/>
    </row>
    <row r="3727" spans="1:9" x14ac:dyDescent="0.25">
      <c r="A3727" s="74"/>
      <c r="B3727" s="45">
        <v>1640</v>
      </c>
      <c r="C3727" s="64" t="s">
        <v>1960</v>
      </c>
      <c r="D3727" s="74"/>
      <c r="E3727" s="208" t="s">
        <v>144</v>
      </c>
      <c r="F3727" s="209" t="s">
        <v>21</v>
      </c>
      <c r="G3727" s="209" t="s">
        <v>21</v>
      </c>
      <c r="H3727" s="209" t="s">
        <v>272</v>
      </c>
      <c r="I3727" s="210"/>
    </row>
    <row r="3728" spans="1:9" x14ac:dyDescent="0.25">
      <c r="A3728" s="74"/>
      <c r="B3728" s="45">
        <v>1641</v>
      </c>
      <c r="C3728" s="64" t="s">
        <v>1961</v>
      </c>
      <c r="D3728" s="74"/>
      <c r="E3728" s="208" t="s">
        <v>144</v>
      </c>
      <c r="F3728" s="209" t="s">
        <v>21</v>
      </c>
      <c r="G3728" s="209" t="s">
        <v>21</v>
      </c>
      <c r="H3728" s="209" t="s">
        <v>272</v>
      </c>
      <c r="I3728" s="210"/>
    </row>
    <row r="3729" spans="1:9" x14ac:dyDescent="0.25">
      <c r="A3729" s="74"/>
      <c r="B3729" s="45">
        <v>1642</v>
      </c>
      <c r="C3729" s="64" t="s">
        <v>1962</v>
      </c>
      <c r="D3729" s="74"/>
      <c r="E3729" s="208" t="s">
        <v>144</v>
      </c>
      <c r="F3729" s="209" t="s">
        <v>21</v>
      </c>
      <c r="G3729" s="209" t="s">
        <v>21</v>
      </c>
      <c r="H3729" s="209" t="s">
        <v>272</v>
      </c>
      <c r="I3729" s="210"/>
    </row>
    <row r="3730" spans="1:9" x14ac:dyDescent="0.25">
      <c r="A3730" s="74"/>
      <c r="B3730" s="45">
        <v>1643</v>
      </c>
      <c r="C3730" s="64" t="s">
        <v>1963</v>
      </c>
      <c r="D3730" s="74"/>
      <c r="E3730" s="208" t="s">
        <v>144</v>
      </c>
      <c r="F3730" s="209" t="s">
        <v>21</v>
      </c>
      <c r="G3730" s="209" t="s">
        <v>21</v>
      </c>
      <c r="H3730" s="209" t="s">
        <v>272</v>
      </c>
      <c r="I3730" s="210"/>
    </row>
    <row r="3731" spans="1:9" x14ac:dyDescent="0.25">
      <c r="A3731" s="74"/>
      <c r="B3731" s="45">
        <v>621</v>
      </c>
      <c r="C3731" s="64" t="s">
        <v>1030</v>
      </c>
      <c r="D3731" s="74"/>
      <c r="E3731" s="208" t="s">
        <v>144</v>
      </c>
      <c r="F3731" s="209" t="s">
        <v>21</v>
      </c>
      <c r="G3731" s="209" t="s">
        <v>21</v>
      </c>
      <c r="H3731" s="209" t="s">
        <v>192</v>
      </c>
      <c r="I3731" s="210"/>
    </row>
    <row r="3732" spans="1:9" x14ac:dyDescent="0.25">
      <c r="A3732" s="74"/>
      <c r="B3732" s="45">
        <v>496</v>
      </c>
      <c r="C3732" s="64" t="s">
        <v>906</v>
      </c>
      <c r="D3732" s="74"/>
      <c r="E3732" s="208" t="s">
        <v>145</v>
      </c>
      <c r="F3732" s="209" t="s">
        <v>21</v>
      </c>
      <c r="G3732" s="209" t="s">
        <v>21</v>
      </c>
      <c r="H3732" s="209" t="s">
        <v>189</v>
      </c>
      <c r="I3732" s="210"/>
    </row>
    <row r="3733" spans="1:9" x14ac:dyDescent="0.25">
      <c r="A3733" s="74"/>
      <c r="B3733" s="45">
        <v>499</v>
      </c>
      <c r="C3733" s="64" t="s">
        <v>909</v>
      </c>
      <c r="D3733" s="74"/>
      <c r="E3733" s="208" t="s">
        <v>145</v>
      </c>
      <c r="F3733" s="209" t="s">
        <v>21</v>
      </c>
      <c r="G3733" s="209" t="s">
        <v>21</v>
      </c>
      <c r="H3733" s="209" t="s">
        <v>189</v>
      </c>
      <c r="I3733" s="210"/>
    </row>
    <row r="3734" spans="1:9" x14ac:dyDescent="0.25">
      <c r="A3734" s="74"/>
      <c r="B3734" s="45">
        <v>500</v>
      </c>
      <c r="C3734" s="64" t="s">
        <v>910</v>
      </c>
      <c r="D3734" s="74"/>
      <c r="E3734" s="208" t="s">
        <v>145</v>
      </c>
      <c r="F3734" s="209" t="s">
        <v>21</v>
      </c>
      <c r="G3734" s="209" t="s">
        <v>21</v>
      </c>
      <c r="H3734" s="209" t="s">
        <v>189</v>
      </c>
      <c r="I3734" s="210"/>
    </row>
    <row r="3735" spans="1:9" x14ac:dyDescent="0.25">
      <c r="A3735" s="74"/>
      <c r="B3735" s="45">
        <v>498</v>
      </c>
      <c r="C3735" s="64" t="s">
        <v>908</v>
      </c>
      <c r="D3735" s="74"/>
      <c r="E3735" s="208" t="s">
        <v>145</v>
      </c>
      <c r="F3735" s="209" t="s">
        <v>21</v>
      </c>
      <c r="G3735" s="209" t="s">
        <v>21</v>
      </c>
      <c r="H3735" s="209" t="s">
        <v>189</v>
      </c>
      <c r="I3735" s="210"/>
    </row>
    <row r="3736" spans="1:9" x14ac:dyDescent="0.25">
      <c r="A3736" s="74"/>
      <c r="B3736" s="45">
        <v>1715</v>
      </c>
      <c r="C3736" s="64" t="s">
        <v>2011</v>
      </c>
      <c r="D3736" s="74"/>
      <c r="E3736" s="208" t="s">
        <v>131</v>
      </c>
      <c r="F3736" s="209" t="s">
        <v>21</v>
      </c>
      <c r="G3736" s="209" t="s">
        <v>21</v>
      </c>
      <c r="H3736" s="209" t="s">
        <v>180</v>
      </c>
      <c r="I3736" s="210"/>
    </row>
    <row r="3737" spans="1:9" x14ac:dyDescent="0.25">
      <c r="A3737" s="74"/>
      <c r="B3737" s="45">
        <v>1716</v>
      </c>
      <c r="C3737" s="64" t="s">
        <v>1918</v>
      </c>
      <c r="D3737" s="74"/>
      <c r="E3737" s="208" t="s">
        <v>131</v>
      </c>
      <c r="F3737" s="209" t="s">
        <v>21</v>
      </c>
      <c r="G3737" s="209" t="s">
        <v>21</v>
      </c>
      <c r="H3737" s="209" t="s">
        <v>200</v>
      </c>
      <c r="I3737" s="210"/>
    </row>
    <row r="3738" spans="1:9" x14ac:dyDescent="0.25">
      <c r="A3738" s="74"/>
      <c r="B3738" s="45">
        <v>1717</v>
      </c>
      <c r="C3738" s="64" t="s">
        <v>2012</v>
      </c>
      <c r="D3738" s="74"/>
      <c r="E3738" s="208" t="s">
        <v>131</v>
      </c>
      <c r="F3738" s="209" t="s">
        <v>21</v>
      </c>
      <c r="G3738" s="209" t="s">
        <v>21</v>
      </c>
      <c r="H3738" s="209" t="s">
        <v>180</v>
      </c>
      <c r="I3738" s="210"/>
    </row>
    <row r="3739" spans="1:9" x14ac:dyDescent="0.25">
      <c r="A3739" s="74"/>
      <c r="B3739" s="45">
        <v>1718</v>
      </c>
      <c r="C3739" s="64" t="s">
        <v>1839</v>
      </c>
      <c r="D3739" s="74"/>
      <c r="E3739" s="208" t="s">
        <v>289</v>
      </c>
      <c r="F3739" s="209" t="s">
        <v>21</v>
      </c>
      <c r="G3739" s="209" t="s">
        <v>21</v>
      </c>
      <c r="H3739" s="209" t="s">
        <v>198</v>
      </c>
      <c r="I3739" s="210"/>
    </row>
    <row r="3740" spans="1:9" x14ac:dyDescent="0.25">
      <c r="A3740" s="74"/>
      <c r="B3740" s="45">
        <v>1719</v>
      </c>
      <c r="C3740" s="64" t="s">
        <v>2013</v>
      </c>
      <c r="D3740" s="74"/>
      <c r="E3740" s="208" t="s">
        <v>131</v>
      </c>
      <c r="F3740" s="209" t="s">
        <v>21</v>
      </c>
      <c r="G3740" s="209" t="s">
        <v>21</v>
      </c>
      <c r="H3740" s="209" t="s">
        <v>187</v>
      </c>
      <c r="I3740" s="210"/>
    </row>
    <row r="3741" spans="1:9" x14ac:dyDescent="0.25">
      <c r="A3741" s="74"/>
      <c r="B3741" s="45">
        <v>1711</v>
      </c>
      <c r="C3741" s="64" t="s">
        <v>2007</v>
      </c>
      <c r="D3741" s="74"/>
      <c r="E3741" s="208" t="s">
        <v>156</v>
      </c>
      <c r="F3741" s="209" t="s">
        <v>21</v>
      </c>
      <c r="G3741" s="209" t="s">
        <v>21</v>
      </c>
      <c r="H3741" s="209" t="s">
        <v>272</v>
      </c>
      <c r="I3741" s="210"/>
    </row>
    <row r="3742" spans="1:9" x14ac:dyDescent="0.25">
      <c r="A3742" s="74"/>
      <c r="B3742" s="45">
        <v>626</v>
      </c>
      <c r="C3742" s="64" t="s">
        <v>1035</v>
      </c>
      <c r="D3742" s="74"/>
      <c r="E3742" s="208" t="s">
        <v>156</v>
      </c>
      <c r="F3742" s="209" t="s">
        <v>21</v>
      </c>
      <c r="G3742" s="209" t="s">
        <v>21</v>
      </c>
      <c r="H3742" s="209" t="s">
        <v>272</v>
      </c>
      <c r="I3742" s="210"/>
    </row>
    <row r="3743" spans="1:9" x14ac:dyDescent="0.25">
      <c r="A3743" s="74"/>
      <c r="B3743" s="45">
        <v>633</v>
      </c>
      <c r="C3743" s="64" t="s">
        <v>1042</v>
      </c>
      <c r="D3743" s="74"/>
      <c r="E3743" s="208" t="s">
        <v>143</v>
      </c>
      <c r="F3743" s="209" t="s">
        <v>21</v>
      </c>
      <c r="G3743" s="209" t="s">
        <v>21</v>
      </c>
      <c r="H3743" s="209" t="s">
        <v>189</v>
      </c>
      <c r="I3743" s="210"/>
    </row>
    <row r="3744" spans="1:9" x14ac:dyDescent="0.25">
      <c r="A3744" s="74"/>
      <c r="B3744" s="45">
        <v>634</v>
      </c>
      <c r="C3744" s="64" t="s">
        <v>1043</v>
      </c>
      <c r="D3744" s="74"/>
      <c r="E3744" s="208" t="s">
        <v>143</v>
      </c>
      <c r="F3744" s="209" t="s">
        <v>21</v>
      </c>
      <c r="G3744" s="209" t="s">
        <v>21</v>
      </c>
      <c r="H3744" s="209" t="s">
        <v>187</v>
      </c>
      <c r="I3744" s="210"/>
    </row>
    <row r="3745" spans="1:9" x14ac:dyDescent="0.25">
      <c r="A3745" s="74"/>
      <c r="B3745" s="45">
        <v>1720</v>
      </c>
      <c r="C3745" s="64" t="s">
        <v>1889</v>
      </c>
      <c r="D3745" s="74"/>
      <c r="E3745" s="208" t="s">
        <v>143</v>
      </c>
      <c r="F3745" s="209" t="s">
        <v>21</v>
      </c>
      <c r="G3745" s="209" t="s">
        <v>21</v>
      </c>
      <c r="H3745" s="209" t="s">
        <v>189</v>
      </c>
      <c r="I3745" s="210"/>
    </row>
    <row r="3746" spans="1:9" x14ac:dyDescent="0.25">
      <c r="A3746" s="74"/>
      <c r="B3746" s="45">
        <v>630</v>
      </c>
      <c r="C3746" s="64" t="s">
        <v>1039</v>
      </c>
      <c r="D3746" s="74"/>
      <c r="E3746" s="208" t="s">
        <v>143</v>
      </c>
      <c r="F3746" s="209" t="s">
        <v>21</v>
      </c>
      <c r="G3746" s="209" t="s">
        <v>21</v>
      </c>
      <c r="H3746" s="209" t="s">
        <v>198</v>
      </c>
      <c r="I3746" s="210"/>
    </row>
    <row r="3747" spans="1:9" x14ac:dyDescent="0.25">
      <c r="A3747" s="74"/>
      <c r="B3747" s="45">
        <v>719</v>
      </c>
      <c r="C3747" s="64" t="s">
        <v>1128</v>
      </c>
      <c r="D3747" s="74"/>
      <c r="E3747" s="208" t="s">
        <v>138</v>
      </c>
      <c r="F3747" s="209" t="s">
        <v>21</v>
      </c>
      <c r="G3747" s="209" t="s">
        <v>21</v>
      </c>
      <c r="H3747" s="209" t="s">
        <v>192</v>
      </c>
      <c r="I3747" s="210"/>
    </row>
    <row r="3748" spans="1:9" x14ac:dyDescent="0.25">
      <c r="A3748" s="74"/>
      <c r="B3748" s="45">
        <v>720</v>
      </c>
      <c r="C3748" s="64" t="s">
        <v>1129</v>
      </c>
      <c r="D3748" s="74"/>
      <c r="E3748" s="208" t="s">
        <v>138</v>
      </c>
      <c r="F3748" s="209" t="s">
        <v>21</v>
      </c>
      <c r="G3748" s="209" t="s">
        <v>21</v>
      </c>
      <c r="H3748" s="209" t="s">
        <v>192</v>
      </c>
      <c r="I3748" s="210"/>
    </row>
    <row r="3749" spans="1:9" x14ac:dyDescent="0.25">
      <c r="A3749" s="74"/>
      <c r="B3749" s="45">
        <v>1722</v>
      </c>
      <c r="C3749" s="64" t="s">
        <v>2014</v>
      </c>
      <c r="D3749" s="74"/>
      <c r="E3749" s="208" t="s">
        <v>278</v>
      </c>
      <c r="F3749" s="209" t="s">
        <v>21</v>
      </c>
      <c r="G3749" s="209" t="s">
        <v>21</v>
      </c>
      <c r="H3749" s="209" t="s">
        <v>192</v>
      </c>
      <c r="I3749" s="210"/>
    </row>
    <row r="3750" spans="1:9" x14ac:dyDescent="0.25">
      <c r="A3750" s="74"/>
      <c r="B3750" s="45">
        <v>731</v>
      </c>
      <c r="C3750" s="64" t="s">
        <v>1140</v>
      </c>
      <c r="D3750" s="74"/>
      <c r="E3750" s="208" t="s">
        <v>138</v>
      </c>
      <c r="F3750" s="209" t="s">
        <v>21</v>
      </c>
      <c r="G3750" s="209" t="s">
        <v>21</v>
      </c>
      <c r="H3750" s="209" t="s">
        <v>187</v>
      </c>
      <c r="I3750" s="210"/>
    </row>
    <row r="3751" spans="1:9" x14ac:dyDescent="0.25">
      <c r="A3751" s="74"/>
      <c r="B3751" s="45">
        <v>1723</v>
      </c>
      <c r="C3751" s="64" t="s">
        <v>2015</v>
      </c>
      <c r="D3751" s="74"/>
      <c r="E3751" s="208" t="s">
        <v>138</v>
      </c>
      <c r="F3751" s="209" t="s">
        <v>21</v>
      </c>
      <c r="G3751" s="209" t="s">
        <v>21</v>
      </c>
      <c r="H3751" s="209" t="s">
        <v>187</v>
      </c>
      <c r="I3751" s="210"/>
    </row>
    <row r="3752" spans="1:9" x14ac:dyDescent="0.25">
      <c r="A3752" s="74"/>
      <c r="B3752" s="45">
        <v>629</v>
      </c>
      <c r="C3752" s="64" t="s">
        <v>1038</v>
      </c>
      <c r="D3752" s="74"/>
      <c r="E3752" s="208" t="s">
        <v>138</v>
      </c>
      <c r="F3752" s="209" t="s">
        <v>21</v>
      </c>
      <c r="G3752" s="209" t="s">
        <v>21</v>
      </c>
      <c r="H3752" s="209" t="s">
        <v>187</v>
      </c>
      <c r="I3752" s="210"/>
    </row>
    <row r="3753" spans="1:9" x14ac:dyDescent="0.25">
      <c r="A3753" s="74"/>
      <c r="B3753" s="45">
        <v>1724</v>
      </c>
      <c r="C3753" s="64" t="s">
        <v>1868</v>
      </c>
      <c r="D3753" s="74"/>
      <c r="E3753" s="208" t="s">
        <v>143</v>
      </c>
      <c r="F3753" s="209" t="s">
        <v>21</v>
      </c>
      <c r="G3753" s="209" t="s">
        <v>21</v>
      </c>
      <c r="H3753" s="209" t="s">
        <v>189</v>
      </c>
      <c r="I3753" s="210"/>
    </row>
    <row r="3754" spans="1:9" x14ac:dyDescent="0.25">
      <c r="A3754" s="74"/>
      <c r="B3754" s="45">
        <v>1725</v>
      </c>
      <c r="C3754" s="64" t="s">
        <v>1868</v>
      </c>
      <c r="D3754" s="74"/>
      <c r="E3754" s="208" t="s">
        <v>143</v>
      </c>
      <c r="F3754" s="209" t="s">
        <v>21</v>
      </c>
      <c r="G3754" s="209" t="s">
        <v>21</v>
      </c>
      <c r="H3754" s="209" t="s">
        <v>192</v>
      </c>
      <c r="I3754" s="210"/>
    </row>
    <row r="3755" spans="1:9" x14ac:dyDescent="0.25">
      <c r="A3755" s="74"/>
      <c r="B3755" s="45">
        <v>635</v>
      </c>
      <c r="C3755" s="64" t="s">
        <v>1044</v>
      </c>
      <c r="D3755" s="74"/>
      <c r="E3755" s="208" t="s">
        <v>157</v>
      </c>
      <c r="F3755" s="209" t="s">
        <v>21</v>
      </c>
      <c r="G3755" s="209" t="s">
        <v>21</v>
      </c>
      <c r="H3755" s="209" t="s">
        <v>189</v>
      </c>
      <c r="I3755" s="210"/>
    </row>
    <row r="3756" spans="1:9" x14ac:dyDescent="0.25">
      <c r="A3756" s="74"/>
      <c r="B3756" s="45">
        <v>632</v>
      </c>
      <c r="C3756" s="64" t="s">
        <v>1041</v>
      </c>
      <c r="D3756" s="74"/>
      <c r="E3756" s="208" t="s">
        <v>157</v>
      </c>
      <c r="F3756" s="209" t="s">
        <v>21</v>
      </c>
      <c r="G3756" s="209" t="s">
        <v>21</v>
      </c>
      <c r="H3756" s="209" t="s">
        <v>189</v>
      </c>
      <c r="I3756" s="210"/>
    </row>
    <row r="3757" spans="1:9" x14ac:dyDescent="0.25">
      <c r="A3757" s="74"/>
      <c r="B3757" s="45">
        <v>1726</v>
      </c>
      <c r="C3757" s="64" t="s">
        <v>1957</v>
      </c>
      <c r="D3757" s="74"/>
      <c r="E3757" s="208" t="s">
        <v>279</v>
      </c>
      <c r="F3757" s="209" t="s">
        <v>21</v>
      </c>
      <c r="G3757" s="209" t="s">
        <v>21</v>
      </c>
      <c r="H3757" s="209" t="s">
        <v>180</v>
      </c>
      <c r="I3757" s="210"/>
    </row>
    <row r="3758" spans="1:9" x14ac:dyDescent="0.25">
      <c r="A3758" s="74"/>
      <c r="B3758" s="45">
        <v>640</v>
      </c>
      <c r="C3758" s="64" t="s">
        <v>1049</v>
      </c>
      <c r="D3758" s="74"/>
      <c r="E3758" s="208" t="s">
        <v>157</v>
      </c>
      <c r="F3758" s="209" t="s">
        <v>21</v>
      </c>
      <c r="G3758" s="209" t="s">
        <v>21</v>
      </c>
      <c r="H3758" s="209" t="s">
        <v>192</v>
      </c>
      <c r="I3758" s="210"/>
    </row>
    <row r="3759" spans="1:9" x14ac:dyDescent="0.25">
      <c r="A3759" s="74"/>
      <c r="B3759" s="45">
        <v>1727</v>
      </c>
      <c r="C3759" s="64" t="s">
        <v>1892</v>
      </c>
      <c r="D3759" s="74"/>
      <c r="E3759" s="208" t="s">
        <v>157</v>
      </c>
      <c r="F3759" s="209" t="s">
        <v>21</v>
      </c>
      <c r="G3759" s="209" t="s">
        <v>21</v>
      </c>
      <c r="H3759" s="209" t="s">
        <v>272</v>
      </c>
      <c r="I3759" s="210"/>
    </row>
    <row r="3760" spans="1:9" x14ac:dyDescent="0.25">
      <c r="A3760" s="74"/>
      <c r="B3760" s="45">
        <v>653</v>
      </c>
      <c r="C3760" s="64" t="s">
        <v>1062</v>
      </c>
      <c r="D3760" s="74"/>
      <c r="E3760" s="208" t="s">
        <v>143</v>
      </c>
      <c r="F3760" s="209" t="s">
        <v>21</v>
      </c>
      <c r="G3760" s="209" t="s">
        <v>21</v>
      </c>
      <c r="H3760" s="209" t="s">
        <v>192</v>
      </c>
      <c r="I3760" s="210"/>
    </row>
    <row r="3761" spans="1:9" x14ac:dyDescent="0.25">
      <c r="A3761" s="74"/>
      <c r="B3761" s="45">
        <v>1728</v>
      </c>
      <c r="C3761" s="64" t="s">
        <v>2016</v>
      </c>
      <c r="D3761" s="74"/>
      <c r="E3761" s="208" t="s">
        <v>143</v>
      </c>
      <c r="F3761" s="209" t="s">
        <v>21</v>
      </c>
      <c r="G3761" s="209" t="s">
        <v>21</v>
      </c>
      <c r="H3761" s="209" t="s">
        <v>16</v>
      </c>
      <c r="I3761" s="210"/>
    </row>
    <row r="3762" spans="1:9" x14ac:dyDescent="0.25">
      <c r="A3762" s="74"/>
      <c r="B3762" s="45">
        <v>802</v>
      </c>
      <c r="C3762" s="64" t="s">
        <v>1211</v>
      </c>
      <c r="D3762" s="74"/>
      <c r="E3762" s="208" t="s">
        <v>143</v>
      </c>
      <c r="F3762" s="209" t="s">
        <v>21</v>
      </c>
      <c r="G3762" s="209" t="s">
        <v>21</v>
      </c>
      <c r="H3762" s="209" t="s">
        <v>198</v>
      </c>
      <c r="I3762" s="210"/>
    </row>
    <row r="3763" spans="1:9" x14ac:dyDescent="0.25">
      <c r="A3763" s="74"/>
      <c r="B3763" s="45">
        <v>633</v>
      </c>
      <c r="C3763" s="64" t="s">
        <v>1042</v>
      </c>
      <c r="D3763" s="74"/>
      <c r="E3763" s="208" t="s">
        <v>143</v>
      </c>
      <c r="F3763" s="209" t="s">
        <v>21</v>
      </c>
      <c r="G3763" s="209" t="s">
        <v>21</v>
      </c>
      <c r="H3763" s="209" t="s">
        <v>189</v>
      </c>
      <c r="I3763" s="210"/>
    </row>
    <row r="3764" spans="1:9" x14ac:dyDescent="0.25">
      <c r="A3764" s="74"/>
      <c r="B3764" s="45">
        <v>1720</v>
      </c>
      <c r="C3764" s="64" t="s">
        <v>1889</v>
      </c>
      <c r="D3764" s="74"/>
      <c r="E3764" s="208" t="s">
        <v>143</v>
      </c>
      <c r="F3764" s="209" t="s">
        <v>21</v>
      </c>
      <c r="G3764" s="209" t="s">
        <v>21</v>
      </c>
      <c r="H3764" s="209" t="s">
        <v>189</v>
      </c>
      <c r="I3764" s="210"/>
    </row>
    <row r="3765" spans="1:9" x14ac:dyDescent="0.25">
      <c r="A3765" s="74"/>
      <c r="B3765" s="45">
        <v>646</v>
      </c>
      <c r="C3765" s="64" t="s">
        <v>1055</v>
      </c>
      <c r="D3765" s="74"/>
      <c r="E3765" s="208" t="s">
        <v>157</v>
      </c>
      <c r="F3765" s="209" t="s">
        <v>21</v>
      </c>
      <c r="G3765" s="209" t="s">
        <v>21</v>
      </c>
      <c r="H3765" s="209" t="s">
        <v>192</v>
      </c>
      <c r="I3765" s="210"/>
    </row>
    <row r="3766" spans="1:9" x14ac:dyDescent="0.25">
      <c r="A3766" s="74"/>
      <c r="B3766" s="45">
        <v>635</v>
      </c>
      <c r="C3766" s="64" t="s">
        <v>1044</v>
      </c>
      <c r="D3766" s="74"/>
      <c r="E3766" s="208" t="s">
        <v>157</v>
      </c>
      <c r="F3766" s="209" t="s">
        <v>21</v>
      </c>
      <c r="G3766" s="209" t="s">
        <v>21</v>
      </c>
      <c r="H3766" s="209" t="s">
        <v>189</v>
      </c>
      <c r="I3766" s="210"/>
    </row>
    <row r="3767" spans="1:9" x14ac:dyDescent="0.25">
      <c r="A3767" s="74"/>
      <c r="B3767" s="45">
        <v>1730</v>
      </c>
      <c r="C3767" s="64" t="s">
        <v>2017</v>
      </c>
      <c r="D3767" s="74"/>
      <c r="E3767" s="208" t="s">
        <v>157</v>
      </c>
      <c r="F3767" s="209" t="s">
        <v>21</v>
      </c>
      <c r="G3767" s="209" t="s">
        <v>21</v>
      </c>
      <c r="H3767" s="209" t="s">
        <v>272</v>
      </c>
      <c r="I3767" s="210"/>
    </row>
    <row r="3768" spans="1:9" x14ac:dyDescent="0.25">
      <c r="A3768" s="74"/>
      <c r="B3768" s="45">
        <v>1731</v>
      </c>
      <c r="C3768" s="64" t="s">
        <v>2018</v>
      </c>
      <c r="D3768" s="74"/>
      <c r="E3768" s="208" t="s">
        <v>157</v>
      </c>
      <c r="F3768" s="209" t="s">
        <v>21</v>
      </c>
      <c r="G3768" s="209" t="s">
        <v>21</v>
      </c>
      <c r="H3768" s="209" t="s">
        <v>272</v>
      </c>
      <c r="I3768" s="210"/>
    </row>
    <row r="3769" spans="1:9" x14ac:dyDescent="0.25">
      <c r="A3769" s="74"/>
      <c r="B3769" s="45">
        <v>1732</v>
      </c>
      <c r="C3769" s="64" t="s">
        <v>1970</v>
      </c>
      <c r="D3769" s="74"/>
      <c r="E3769" s="208" t="s">
        <v>157</v>
      </c>
      <c r="F3769" s="209" t="s">
        <v>21</v>
      </c>
      <c r="G3769" s="209" t="s">
        <v>21</v>
      </c>
      <c r="H3769" s="209" t="s">
        <v>272</v>
      </c>
      <c r="I3769" s="210"/>
    </row>
    <row r="3770" spans="1:9" x14ac:dyDescent="0.25">
      <c r="A3770" s="74"/>
      <c r="B3770" s="45">
        <v>1733</v>
      </c>
      <c r="C3770" s="64" t="s">
        <v>2019</v>
      </c>
      <c r="D3770" s="74"/>
      <c r="E3770" s="208" t="s">
        <v>157</v>
      </c>
      <c r="F3770" s="209" t="s">
        <v>21</v>
      </c>
      <c r="G3770" s="209" t="s">
        <v>21</v>
      </c>
      <c r="H3770" s="209" t="s">
        <v>272</v>
      </c>
      <c r="I3770" s="210"/>
    </row>
    <row r="3771" spans="1:9" x14ac:dyDescent="0.25">
      <c r="A3771" s="74"/>
      <c r="B3771" s="45">
        <v>1730</v>
      </c>
      <c r="C3771" s="64" t="s">
        <v>2017</v>
      </c>
      <c r="D3771" s="74"/>
      <c r="E3771" s="208" t="s">
        <v>157</v>
      </c>
      <c r="F3771" s="209" t="s">
        <v>21</v>
      </c>
      <c r="G3771" s="209" t="s">
        <v>21</v>
      </c>
      <c r="H3771" s="209" t="s">
        <v>272</v>
      </c>
      <c r="I3771" s="210"/>
    </row>
    <row r="3772" spans="1:9" x14ac:dyDescent="0.25">
      <c r="A3772" s="74"/>
      <c r="B3772" s="45">
        <v>1731</v>
      </c>
      <c r="C3772" s="64" t="s">
        <v>2018</v>
      </c>
      <c r="D3772" s="74"/>
      <c r="E3772" s="208" t="s">
        <v>157</v>
      </c>
      <c r="F3772" s="209" t="s">
        <v>21</v>
      </c>
      <c r="G3772" s="209" t="s">
        <v>21</v>
      </c>
      <c r="H3772" s="209" t="s">
        <v>272</v>
      </c>
      <c r="I3772" s="210"/>
    </row>
    <row r="3773" spans="1:9" x14ac:dyDescent="0.25">
      <c r="A3773" s="74"/>
      <c r="B3773" s="45">
        <v>1732</v>
      </c>
      <c r="C3773" s="64" t="s">
        <v>1970</v>
      </c>
      <c r="D3773" s="74"/>
      <c r="E3773" s="208" t="s">
        <v>157</v>
      </c>
      <c r="F3773" s="209" t="s">
        <v>21</v>
      </c>
      <c r="G3773" s="209" t="s">
        <v>21</v>
      </c>
      <c r="H3773" s="209" t="s">
        <v>272</v>
      </c>
      <c r="I3773" s="210"/>
    </row>
    <row r="3774" spans="1:9" x14ac:dyDescent="0.25">
      <c r="A3774" s="74"/>
      <c r="B3774" s="45">
        <v>1733</v>
      </c>
      <c r="C3774" s="64" t="s">
        <v>2019</v>
      </c>
      <c r="D3774" s="74"/>
      <c r="E3774" s="208" t="s">
        <v>157</v>
      </c>
      <c r="F3774" s="209" t="s">
        <v>21</v>
      </c>
      <c r="G3774" s="209" t="s">
        <v>21</v>
      </c>
      <c r="H3774" s="209" t="s">
        <v>272</v>
      </c>
      <c r="I3774" s="210"/>
    </row>
    <row r="3775" spans="1:9" x14ac:dyDescent="0.25">
      <c r="A3775" s="74"/>
      <c r="B3775" s="45">
        <v>1730</v>
      </c>
      <c r="C3775" s="64" t="s">
        <v>2017</v>
      </c>
      <c r="D3775" s="74"/>
      <c r="E3775" s="208" t="s">
        <v>157</v>
      </c>
      <c r="F3775" s="209" t="s">
        <v>21</v>
      </c>
      <c r="G3775" s="209" t="s">
        <v>21</v>
      </c>
      <c r="H3775" s="209" t="s">
        <v>272</v>
      </c>
      <c r="I3775" s="210"/>
    </row>
    <row r="3776" spans="1:9" x14ac:dyDescent="0.25">
      <c r="A3776" s="74"/>
      <c r="B3776" s="45">
        <v>1731</v>
      </c>
      <c r="C3776" s="64" t="s">
        <v>2018</v>
      </c>
      <c r="D3776" s="74"/>
      <c r="E3776" s="208" t="s">
        <v>157</v>
      </c>
      <c r="F3776" s="209" t="s">
        <v>21</v>
      </c>
      <c r="G3776" s="209" t="s">
        <v>21</v>
      </c>
      <c r="H3776" s="209" t="s">
        <v>272</v>
      </c>
      <c r="I3776" s="210"/>
    </row>
    <row r="3777" spans="1:9" x14ac:dyDescent="0.25">
      <c r="A3777" s="74"/>
      <c r="B3777" s="45">
        <v>1732</v>
      </c>
      <c r="C3777" s="64" t="s">
        <v>1970</v>
      </c>
      <c r="D3777" s="74"/>
      <c r="E3777" s="208" t="s">
        <v>157</v>
      </c>
      <c r="F3777" s="209" t="s">
        <v>21</v>
      </c>
      <c r="G3777" s="209" t="s">
        <v>21</v>
      </c>
      <c r="H3777" s="209" t="s">
        <v>272</v>
      </c>
      <c r="I3777" s="210"/>
    </row>
    <row r="3778" spans="1:9" x14ac:dyDescent="0.25">
      <c r="A3778" s="74"/>
      <c r="B3778" s="45">
        <v>1733</v>
      </c>
      <c r="C3778" s="64" t="s">
        <v>2019</v>
      </c>
      <c r="D3778" s="74"/>
      <c r="E3778" s="208" t="s">
        <v>157</v>
      </c>
      <c r="F3778" s="209" t="s">
        <v>21</v>
      </c>
      <c r="G3778" s="209" t="s">
        <v>21</v>
      </c>
      <c r="H3778" s="209" t="s">
        <v>272</v>
      </c>
      <c r="I3778" s="210"/>
    </row>
    <row r="3779" spans="1:9" x14ac:dyDescent="0.25">
      <c r="A3779" s="74"/>
      <c r="B3779" s="45">
        <v>1730</v>
      </c>
      <c r="C3779" s="64" t="s">
        <v>2017</v>
      </c>
      <c r="D3779" s="74"/>
      <c r="E3779" s="208" t="s">
        <v>157</v>
      </c>
      <c r="F3779" s="209" t="s">
        <v>21</v>
      </c>
      <c r="G3779" s="209" t="s">
        <v>21</v>
      </c>
      <c r="H3779" s="209" t="s">
        <v>272</v>
      </c>
      <c r="I3779" s="210"/>
    </row>
    <row r="3780" spans="1:9" x14ac:dyDescent="0.25">
      <c r="A3780" s="74"/>
      <c r="B3780" s="45">
        <v>1731</v>
      </c>
      <c r="C3780" s="64" t="s">
        <v>2018</v>
      </c>
      <c r="D3780" s="74"/>
      <c r="E3780" s="208" t="s">
        <v>157</v>
      </c>
      <c r="F3780" s="209" t="s">
        <v>21</v>
      </c>
      <c r="G3780" s="209" t="s">
        <v>21</v>
      </c>
      <c r="H3780" s="209" t="s">
        <v>272</v>
      </c>
      <c r="I3780" s="210"/>
    </row>
    <row r="3781" spans="1:9" x14ac:dyDescent="0.25">
      <c r="A3781" s="74"/>
      <c r="B3781" s="45">
        <v>1732</v>
      </c>
      <c r="C3781" s="64" t="s">
        <v>1970</v>
      </c>
      <c r="D3781" s="74"/>
      <c r="E3781" s="208" t="s">
        <v>157</v>
      </c>
      <c r="F3781" s="209" t="s">
        <v>21</v>
      </c>
      <c r="G3781" s="209" t="s">
        <v>21</v>
      </c>
      <c r="H3781" s="209" t="s">
        <v>272</v>
      </c>
      <c r="I3781" s="210"/>
    </row>
    <row r="3782" spans="1:9" x14ac:dyDescent="0.25">
      <c r="A3782" s="74"/>
      <c r="B3782" s="45">
        <v>1733</v>
      </c>
      <c r="C3782" s="64" t="s">
        <v>2019</v>
      </c>
      <c r="D3782" s="74"/>
      <c r="E3782" s="208" t="s">
        <v>157</v>
      </c>
      <c r="F3782" s="209" t="s">
        <v>21</v>
      </c>
      <c r="G3782" s="209" t="s">
        <v>21</v>
      </c>
      <c r="H3782" s="209" t="s">
        <v>272</v>
      </c>
      <c r="I3782" s="210"/>
    </row>
    <row r="3783" spans="1:9" x14ac:dyDescent="0.25">
      <c r="A3783" s="74"/>
      <c r="B3783" s="45">
        <v>1731</v>
      </c>
      <c r="C3783" s="64" t="s">
        <v>2018</v>
      </c>
      <c r="D3783" s="74"/>
      <c r="E3783" s="208" t="s">
        <v>157</v>
      </c>
      <c r="F3783" s="209" t="s">
        <v>21</v>
      </c>
      <c r="G3783" s="209" t="s">
        <v>21</v>
      </c>
      <c r="H3783" s="209" t="s">
        <v>272</v>
      </c>
      <c r="I3783" s="210"/>
    </row>
    <row r="3784" spans="1:9" x14ac:dyDescent="0.25">
      <c r="A3784" s="74"/>
      <c r="B3784" s="45">
        <v>1734</v>
      </c>
      <c r="C3784" s="64" t="s">
        <v>2020</v>
      </c>
      <c r="D3784" s="74"/>
      <c r="E3784" s="208" t="s">
        <v>157</v>
      </c>
      <c r="F3784" s="209" t="s">
        <v>21</v>
      </c>
      <c r="G3784" s="209" t="s">
        <v>21</v>
      </c>
      <c r="H3784" s="209" t="s">
        <v>272</v>
      </c>
      <c r="I3784" s="210"/>
    </row>
    <row r="3785" spans="1:9" x14ac:dyDescent="0.25">
      <c r="A3785" s="74"/>
      <c r="B3785" s="45">
        <v>1735</v>
      </c>
      <c r="C3785" s="64" t="s">
        <v>1660</v>
      </c>
      <c r="D3785" s="74"/>
      <c r="E3785" s="208" t="s">
        <v>157</v>
      </c>
      <c r="F3785" s="209" t="s">
        <v>21</v>
      </c>
      <c r="G3785" s="209" t="s">
        <v>21</v>
      </c>
      <c r="H3785" s="209" t="s">
        <v>272</v>
      </c>
      <c r="I3785" s="210"/>
    </row>
    <row r="3786" spans="1:9" x14ac:dyDescent="0.25">
      <c r="A3786" s="74"/>
      <c r="B3786" s="45">
        <v>1736</v>
      </c>
      <c r="C3786" s="64" t="s">
        <v>1959</v>
      </c>
      <c r="D3786" s="74"/>
      <c r="E3786" s="208" t="s">
        <v>157</v>
      </c>
      <c r="F3786" s="209" t="s">
        <v>21</v>
      </c>
      <c r="G3786" s="209" t="s">
        <v>21</v>
      </c>
      <c r="H3786" s="209" t="s">
        <v>272</v>
      </c>
      <c r="I3786" s="210"/>
    </row>
    <row r="3787" spans="1:9" x14ac:dyDescent="0.25">
      <c r="A3787" s="74"/>
      <c r="B3787" s="45">
        <v>1737</v>
      </c>
      <c r="C3787" s="64" t="s">
        <v>1826</v>
      </c>
      <c r="D3787" s="74"/>
      <c r="E3787" s="208" t="s">
        <v>157</v>
      </c>
      <c r="F3787" s="209" t="s">
        <v>21</v>
      </c>
      <c r="G3787" s="209" t="s">
        <v>21</v>
      </c>
      <c r="H3787" s="209" t="s">
        <v>272</v>
      </c>
      <c r="I3787" s="210"/>
    </row>
    <row r="3788" spans="1:9" x14ac:dyDescent="0.25">
      <c r="A3788" s="74"/>
      <c r="B3788" s="45">
        <v>1738</v>
      </c>
      <c r="C3788" s="64" t="s">
        <v>1565</v>
      </c>
      <c r="D3788" s="74"/>
      <c r="E3788" s="208" t="s">
        <v>157</v>
      </c>
      <c r="F3788" s="209" t="s">
        <v>21</v>
      </c>
      <c r="G3788" s="209" t="s">
        <v>21</v>
      </c>
      <c r="H3788" s="209" t="s">
        <v>272</v>
      </c>
      <c r="I3788" s="210"/>
    </row>
    <row r="3789" spans="1:9" x14ac:dyDescent="0.25">
      <c r="A3789" s="74"/>
      <c r="B3789" s="45">
        <v>1727</v>
      </c>
      <c r="C3789" s="64" t="s">
        <v>1892</v>
      </c>
      <c r="D3789" s="74"/>
      <c r="E3789" s="208" t="s">
        <v>157</v>
      </c>
      <c r="F3789" s="209" t="s">
        <v>21</v>
      </c>
      <c r="G3789" s="209" t="s">
        <v>21</v>
      </c>
      <c r="H3789" s="209" t="s">
        <v>272</v>
      </c>
      <c r="I3789" s="210"/>
    </row>
    <row r="3790" spans="1:9" x14ac:dyDescent="0.25">
      <c r="A3790" s="74"/>
      <c r="B3790" s="45">
        <v>642</v>
      </c>
      <c r="C3790" s="64" t="s">
        <v>1051</v>
      </c>
      <c r="D3790" s="74"/>
      <c r="E3790" s="208" t="s">
        <v>157</v>
      </c>
      <c r="F3790" s="209" t="s">
        <v>21</v>
      </c>
      <c r="G3790" s="209" t="s">
        <v>21</v>
      </c>
      <c r="H3790" s="209" t="s">
        <v>272</v>
      </c>
      <c r="I3790" s="210"/>
    </row>
    <row r="3791" spans="1:9" x14ac:dyDescent="0.25">
      <c r="A3791" s="74"/>
      <c r="B3791" s="45">
        <v>1735</v>
      </c>
      <c r="C3791" s="64" t="s">
        <v>1660</v>
      </c>
      <c r="D3791" s="74"/>
      <c r="E3791" s="208" t="s">
        <v>157</v>
      </c>
      <c r="F3791" s="209" t="s">
        <v>21</v>
      </c>
      <c r="G3791" s="209" t="s">
        <v>21</v>
      </c>
      <c r="H3791" s="209" t="s">
        <v>272</v>
      </c>
      <c r="I3791" s="210"/>
    </row>
    <row r="3792" spans="1:9" x14ac:dyDescent="0.25">
      <c r="A3792" s="74"/>
      <c r="B3792" s="45">
        <v>1736</v>
      </c>
      <c r="C3792" s="64" t="s">
        <v>1959</v>
      </c>
      <c r="D3792" s="74"/>
      <c r="E3792" s="208" t="s">
        <v>157</v>
      </c>
      <c r="F3792" s="209" t="s">
        <v>21</v>
      </c>
      <c r="G3792" s="209" t="s">
        <v>21</v>
      </c>
      <c r="H3792" s="209" t="s">
        <v>272</v>
      </c>
      <c r="I3792" s="210"/>
    </row>
    <row r="3793" spans="1:9" x14ac:dyDescent="0.25">
      <c r="A3793" s="74"/>
      <c r="B3793" s="45">
        <v>1737</v>
      </c>
      <c r="C3793" s="64" t="s">
        <v>1826</v>
      </c>
      <c r="D3793" s="74"/>
      <c r="E3793" s="208" t="s">
        <v>157</v>
      </c>
      <c r="F3793" s="209" t="s">
        <v>21</v>
      </c>
      <c r="G3793" s="209" t="s">
        <v>21</v>
      </c>
      <c r="H3793" s="209" t="s">
        <v>272</v>
      </c>
      <c r="I3793" s="210"/>
    </row>
    <row r="3794" spans="1:9" x14ac:dyDescent="0.25">
      <c r="A3794" s="74"/>
      <c r="B3794" s="45">
        <v>1738</v>
      </c>
      <c r="C3794" s="64" t="s">
        <v>1565</v>
      </c>
      <c r="D3794" s="74"/>
      <c r="E3794" s="208" t="s">
        <v>157</v>
      </c>
      <c r="F3794" s="209" t="s">
        <v>21</v>
      </c>
      <c r="G3794" s="209" t="s">
        <v>21</v>
      </c>
      <c r="H3794" s="209" t="s">
        <v>272</v>
      </c>
      <c r="I3794" s="210"/>
    </row>
    <row r="3795" spans="1:9" x14ac:dyDescent="0.25">
      <c r="A3795" s="74"/>
      <c r="B3795" s="45">
        <v>1727</v>
      </c>
      <c r="C3795" s="64" t="s">
        <v>1892</v>
      </c>
      <c r="D3795" s="74"/>
      <c r="E3795" s="208" t="s">
        <v>157</v>
      </c>
      <c r="F3795" s="209" t="s">
        <v>21</v>
      </c>
      <c r="G3795" s="209" t="s">
        <v>21</v>
      </c>
      <c r="H3795" s="209" t="s">
        <v>272</v>
      </c>
      <c r="I3795" s="210"/>
    </row>
    <row r="3796" spans="1:9" x14ac:dyDescent="0.25">
      <c r="A3796" s="74"/>
      <c r="B3796" s="45">
        <v>642</v>
      </c>
      <c r="C3796" s="64" t="s">
        <v>1051</v>
      </c>
      <c r="D3796" s="74"/>
      <c r="E3796" s="208" t="s">
        <v>157</v>
      </c>
      <c r="F3796" s="209" t="s">
        <v>21</v>
      </c>
      <c r="G3796" s="209" t="s">
        <v>21</v>
      </c>
      <c r="H3796" s="209" t="s">
        <v>272</v>
      </c>
      <c r="I3796" s="210"/>
    </row>
    <row r="3797" spans="1:9" x14ac:dyDescent="0.25">
      <c r="A3797" s="74"/>
      <c r="B3797" s="45">
        <v>1735</v>
      </c>
      <c r="C3797" s="64" t="s">
        <v>1660</v>
      </c>
      <c r="D3797" s="74"/>
      <c r="E3797" s="208" t="s">
        <v>157</v>
      </c>
      <c r="F3797" s="209" t="s">
        <v>21</v>
      </c>
      <c r="G3797" s="209" t="s">
        <v>21</v>
      </c>
      <c r="H3797" s="209" t="s">
        <v>272</v>
      </c>
      <c r="I3797" s="210"/>
    </row>
    <row r="3798" spans="1:9" x14ac:dyDescent="0.25">
      <c r="A3798" s="74"/>
      <c r="B3798" s="45">
        <v>1736</v>
      </c>
      <c r="C3798" s="64" t="s">
        <v>1959</v>
      </c>
      <c r="D3798" s="74"/>
      <c r="E3798" s="208" t="s">
        <v>157</v>
      </c>
      <c r="F3798" s="209" t="s">
        <v>21</v>
      </c>
      <c r="G3798" s="209" t="s">
        <v>21</v>
      </c>
      <c r="H3798" s="209" t="s">
        <v>272</v>
      </c>
      <c r="I3798" s="210"/>
    </row>
    <row r="3799" spans="1:9" x14ac:dyDescent="0.25">
      <c r="A3799" s="74"/>
      <c r="B3799" s="45">
        <v>1737</v>
      </c>
      <c r="C3799" s="64" t="s">
        <v>1826</v>
      </c>
      <c r="D3799" s="74"/>
      <c r="E3799" s="208" t="s">
        <v>157</v>
      </c>
      <c r="F3799" s="209" t="s">
        <v>21</v>
      </c>
      <c r="G3799" s="209" t="s">
        <v>21</v>
      </c>
      <c r="H3799" s="209" t="s">
        <v>272</v>
      </c>
      <c r="I3799" s="210"/>
    </row>
    <row r="3800" spans="1:9" x14ac:dyDescent="0.25">
      <c r="A3800" s="74"/>
      <c r="B3800" s="45">
        <v>1738</v>
      </c>
      <c r="C3800" s="64" t="s">
        <v>1565</v>
      </c>
      <c r="D3800" s="74"/>
      <c r="E3800" s="208" t="s">
        <v>157</v>
      </c>
      <c r="F3800" s="209" t="s">
        <v>21</v>
      </c>
      <c r="G3800" s="209" t="s">
        <v>21</v>
      </c>
      <c r="H3800" s="209" t="s">
        <v>272</v>
      </c>
      <c r="I3800" s="210"/>
    </row>
    <row r="3801" spans="1:9" x14ac:dyDescent="0.25">
      <c r="A3801" s="74"/>
      <c r="B3801" s="45">
        <v>1727</v>
      </c>
      <c r="C3801" s="64" t="s">
        <v>1892</v>
      </c>
      <c r="D3801" s="74"/>
      <c r="E3801" s="208" t="s">
        <v>157</v>
      </c>
      <c r="F3801" s="209" t="s">
        <v>21</v>
      </c>
      <c r="G3801" s="209" t="s">
        <v>21</v>
      </c>
      <c r="H3801" s="209" t="s">
        <v>272</v>
      </c>
      <c r="I3801" s="210"/>
    </row>
    <row r="3802" spans="1:9" x14ac:dyDescent="0.25">
      <c r="A3802" s="74"/>
      <c r="B3802" s="45">
        <v>642</v>
      </c>
      <c r="C3802" s="64" t="s">
        <v>1051</v>
      </c>
      <c r="D3802" s="74"/>
      <c r="E3802" s="208" t="s">
        <v>157</v>
      </c>
      <c r="F3802" s="209" t="s">
        <v>21</v>
      </c>
      <c r="G3802" s="209" t="s">
        <v>21</v>
      </c>
      <c r="H3802" s="209" t="s">
        <v>272</v>
      </c>
      <c r="I3802" s="210"/>
    </row>
    <row r="3803" spans="1:9" x14ac:dyDescent="0.25">
      <c r="A3803" s="74"/>
      <c r="B3803" s="45">
        <v>1735</v>
      </c>
      <c r="C3803" s="64" t="s">
        <v>1660</v>
      </c>
      <c r="D3803" s="74"/>
      <c r="E3803" s="208" t="s">
        <v>157</v>
      </c>
      <c r="F3803" s="209" t="s">
        <v>21</v>
      </c>
      <c r="G3803" s="209" t="s">
        <v>21</v>
      </c>
      <c r="H3803" s="209" t="s">
        <v>272</v>
      </c>
      <c r="I3803" s="210"/>
    </row>
    <row r="3804" spans="1:9" x14ac:dyDescent="0.25">
      <c r="A3804" s="74"/>
      <c r="B3804" s="45">
        <v>1736</v>
      </c>
      <c r="C3804" s="64" t="s">
        <v>1959</v>
      </c>
      <c r="D3804" s="74"/>
      <c r="E3804" s="208" t="s">
        <v>157</v>
      </c>
      <c r="F3804" s="209" t="s">
        <v>21</v>
      </c>
      <c r="G3804" s="209" t="s">
        <v>21</v>
      </c>
      <c r="H3804" s="209" t="s">
        <v>272</v>
      </c>
      <c r="I3804" s="210"/>
    </row>
    <row r="3805" spans="1:9" x14ac:dyDescent="0.25">
      <c r="A3805" s="74"/>
      <c r="B3805" s="45">
        <v>1737</v>
      </c>
      <c r="C3805" s="64" t="s">
        <v>1826</v>
      </c>
      <c r="D3805" s="74"/>
      <c r="E3805" s="208" t="s">
        <v>157</v>
      </c>
      <c r="F3805" s="209" t="s">
        <v>21</v>
      </c>
      <c r="G3805" s="209" t="s">
        <v>21</v>
      </c>
      <c r="H3805" s="209" t="s">
        <v>272</v>
      </c>
      <c r="I3805" s="210"/>
    </row>
    <row r="3806" spans="1:9" x14ac:dyDescent="0.25">
      <c r="A3806" s="74"/>
      <c r="B3806" s="45">
        <v>1738</v>
      </c>
      <c r="C3806" s="64" t="s">
        <v>1565</v>
      </c>
      <c r="D3806" s="74"/>
      <c r="E3806" s="208" t="s">
        <v>157</v>
      </c>
      <c r="F3806" s="209" t="s">
        <v>21</v>
      </c>
      <c r="G3806" s="209" t="s">
        <v>21</v>
      </c>
      <c r="H3806" s="209" t="s">
        <v>272</v>
      </c>
      <c r="I3806" s="210"/>
    </row>
    <row r="3807" spans="1:9" x14ac:dyDescent="0.25">
      <c r="A3807" s="74"/>
      <c r="B3807" s="45">
        <v>1727</v>
      </c>
      <c r="C3807" s="64" t="s">
        <v>1892</v>
      </c>
      <c r="D3807" s="74"/>
      <c r="E3807" s="208" t="s">
        <v>157</v>
      </c>
      <c r="F3807" s="209" t="s">
        <v>21</v>
      </c>
      <c r="G3807" s="209" t="s">
        <v>21</v>
      </c>
      <c r="H3807" s="209" t="s">
        <v>272</v>
      </c>
      <c r="I3807" s="210"/>
    </row>
    <row r="3808" spans="1:9" x14ac:dyDescent="0.25">
      <c r="A3808" s="74"/>
      <c r="B3808" s="45">
        <v>642</v>
      </c>
      <c r="C3808" s="64" t="s">
        <v>1051</v>
      </c>
      <c r="D3808" s="74"/>
      <c r="E3808" s="208" t="s">
        <v>157</v>
      </c>
      <c r="F3808" s="209" t="s">
        <v>21</v>
      </c>
      <c r="G3808" s="209" t="s">
        <v>21</v>
      </c>
      <c r="H3808" s="209" t="s">
        <v>272</v>
      </c>
      <c r="I3808" s="210"/>
    </row>
    <row r="3809" spans="1:9" x14ac:dyDescent="0.25">
      <c r="A3809" s="74"/>
      <c r="B3809" s="45">
        <v>1739</v>
      </c>
      <c r="C3809" s="64" t="s">
        <v>2021</v>
      </c>
      <c r="D3809" s="74"/>
      <c r="E3809" s="208" t="s">
        <v>157</v>
      </c>
      <c r="F3809" s="209" t="s">
        <v>21</v>
      </c>
      <c r="G3809" s="209" t="s">
        <v>21</v>
      </c>
      <c r="H3809" s="209" t="s">
        <v>272</v>
      </c>
      <c r="I3809" s="210"/>
    </row>
    <row r="3810" spans="1:9" x14ac:dyDescent="0.25">
      <c r="A3810" s="74"/>
      <c r="B3810" s="45">
        <v>1740</v>
      </c>
      <c r="C3810" s="64" t="s">
        <v>2022</v>
      </c>
      <c r="D3810" s="74"/>
      <c r="E3810" s="208" t="s">
        <v>157</v>
      </c>
      <c r="F3810" s="209" t="s">
        <v>21</v>
      </c>
      <c r="G3810" s="209" t="s">
        <v>21</v>
      </c>
      <c r="H3810" s="209" t="s">
        <v>272</v>
      </c>
      <c r="I3810" s="210"/>
    </row>
    <row r="3811" spans="1:9" x14ac:dyDescent="0.25">
      <c r="A3811" s="74"/>
      <c r="B3811" s="45">
        <v>1727</v>
      </c>
      <c r="C3811" s="64" t="s">
        <v>1892</v>
      </c>
      <c r="D3811" s="74"/>
      <c r="E3811" s="208" t="s">
        <v>157</v>
      </c>
      <c r="F3811" s="209" t="s">
        <v>21</v>
      </c>
      <c r="G3811" s="209" t="s">
        <v>21</v>
      </c>
      <c r="H3811" s="209" t="s">
        <v>272</v>
      </c>
      <c r="I3811" s="210"/>
    </row>
    <row r="3812" spans="1:9" x14ac:dyDescent="0.25">
      <c r="A3812" s="74"/>
      <c r="B3812" s="45">
        <v>1741</v>
      </c>
      <c r="C3812" s="64" t="s">
        <v>1582</v>
      </c>
      <c r="D3812" s="74"/>
      <c r="E3812" s="208" t="s">
        <v>143</v>
      </c>
      <c r="F3812" s="209" t="s">
        <v>21</v>
      </c>
      <c r="G3812" s="209" t="s">
        <v>21</v>
      </c>
      <c r="H3812" s="209" t="s">
        <v>272</v>
      </c>
      <c r="I3812" s="210"/>
    </row>
    <row r="3813" spans="1:9" x14ac:dyDescent="0.25">
      <c r="A3813" s="74"/>
      <c r="B3813" s="45">
        <v>1742</v>
      </c>
      <c r="C3813" s="64" t="s">
        <v>1582</v>
      </c>
      <c r="D3813" s="74"/>
      <c r="E3813" s="208" t="s">
        <v>143</v>
      </c>
      <c r="F3813" s="209" t="s">
        <v>21</v>
      </c>
      <c r="G3813" s="209" t="s">
        <v>21</v>
      </c>
      <c r="H3813" s="209" t="s">
        <v>272</v>
      </c>
      <c r="I3813" s="210"/>
    </row>
    <row r="3814" spans="1:9" x14ac:dyDescent="0.25">
      <c r="A3814" s="74"/>
      <c r="B3814" s="45">
        <v>1743</v>
      </c>
      <c r="C3814" s="64" t="s">
        <v>2023</v>
      </c>
      <c r="D3814" s="74"/>
      <c r="E3814" s="208" t="s">
        <v>143</v>
      </c>
      <c r="F3814" s="209" t="s">
        <v>21</v>
      </c>
      <c r="G3814" s="209" t="s">
        <v>21</v>
      </c>
      <c r="H3814" s="209" t="s">
        <v>272</v>
      </c>
      <c r="I3814" s="210"/>
    </row>
    <row r="3815" spans="1:9" x14ac:dyDescent="0.25">
      <c r="A3815" s="74"/>
      <c r="B3815" s="45">
        <v>1744</v>
      </c>
      <c r="C3815" s="64" t="s">
        <v>2024</v>
      </c>
      <c r="D3815" s="74"/>
      <c r="E3815" s="208" t="s">
        <v>143</v>
      </c>
      <c r="F3815" s="209" t="s">
        <v>21</v>
      </c>
      <c r="G3815" s="209" t="s">
        <v>21</v>
      </c>
      <c r="H3815" s="209" t="s">
        <v>272</v>
      </c>
      <c r="I3815" s="210"/>
    </row>
    <row r="3816" spans="1:9" x14ac:dyDescent="0.25">
      <c r="A3816" s="74"/>
      <c r="B3816" s="45">
        <v>1745</v>
      </c>
      <c r="C3816" s="64" t="s">
        <v>2011</v>
      </c>
      <c r="D3816" s="74"/>
      <c r="E3816" s="208" t="s">
        <v>143</v>
      </c>
      <c r="F3816" s="209" t="s">
        <v>21</v>
      </c>
      <c r="G3816" s="209" t="s">
        <v>21</v>
      </c>
      <c r="H3816" s="209" t="s">
        <v>272</v>
      </c>
      <c r="I3816" s="210"/>
    </row>
    <row r="3817" spans="1:9" x14ac:dyDescent="0.25">
      <c r="A3817" s="74"/>
      <c r="B3817" s="45">
        <v>1746</v>
      </c>
      <c r="C3817" s="64" t="s">
        <v>1956</v>
      </c>
      <c r="D3817" s="74"/>
      <c r="E3817" s="208" t="s">
        <v>143</v>
      </c>
      <c r="F3817" s="209" t="s">
        <v>21</v>
      </c>
      <c r="G3817" s="209" t="s">
        <v>21</v>
      </c>
      <c r="H3817" s="209" t="s">
        <v>272</v>
      </c>
      <c r="I3817" s="210"/>
    </row>
    <row r="3818" spans="1:9" x14ac:dyDescent="0.25">
      <c r="A3818" s="74"/>
      <c r="B3818" s="45">
        <v>1747</v>
      </c>
      <c r="C3818" s="64" t="s">
        <v>1967</v>
      </c>
      <c r="D3818" s="74"/>
      <c r="E3818" s="208" t="s">
        <v>143</v>
      </c>
      <c r="F3818" s="209" t="s">
        <v>21</v>
      </c>
      <c r="G3818" s="209" t="s">
        <v>21</v>
      </c>
      <c r="H3818" s="209" t="s">
        <v>272</v>
      </c>
      <c r="I3818" s="210"/>
    </row>
    <row r="3819" spans="1:9" x14ac:dyDescent="0.25">
      <c r="A3819" s="74"/>
      <c r="B3819" s="45">
        <v>1748</v>
      </c>
      <c r="C3819" s="64" t="s">
        <v>2011</v>
      </c>
      <c r="D3819" s="74"/>
      <c r="E3819" s="208" t="s">
        <v>143</v>
      </c>
      <c r="F3819" s="209" t="s">
        <v>21</v>
      </c>
      <c r="G3819" s="209" t="s">
        <v>21</v>
      </c>
      <c r="H3819" s="209" t="s">
        <v>272</v>
      </c>
      <c r="I3819" s="210"/>
    </row>
    <row r="3820" spans="1:9" x14ac:dyDescent="0.25">
      <c r="A3820" s="74"/>
      <c r="B3820" s="45">
        <v>1749</v>
      </c>
      <c r="C3820" s="64" t="s">
        <v>2025</v>
      </c>
      <c r="D3820" s="74"/>
      <c r="E3820" s="208" t="s">
        <v>143</v>
      </c>
      <c r="F3820" s="209" t="s">
        <v>21</v>
      </c>
      <c r="G3820" s="209" t="s">
        <v>21</v>
      </c>
      <c r="H3820" s="209" t="s">
        <v>272</v>
      </c>
      <c r="I3820" s="210"/>
    </row>
    <row r="3821" spans="1:9" x14ac:dyDescent="0.25">
      <c r="A3821" s="74"/>
      <c r="B3821" s="45">
        <v>1750</v>
      </c>
      <c r="C3821" s="64" t="s">
        <v>2026</v>
      </c>
      <c r="D3821" s="74"/>
      <c r="E3821" s="208" t="s">
        <v>143</v>
      </c>
      <c r="F3821" s="209" t="s">
        <v>21</v>
      </c>
      <c r="G3821" s="209" t="s">
        <v>21</v>
      </c>
      <c r="H3821" s="209" t="s">
        <v>272</v>
      </c>
      <c r="I3821" s="210"/>
    </row>
    <row r="3822" spans="1:9" x14ac:dyDescent="0.25">
      <c r="A3822" s="74"/>
      <c r="B3822" s="45">
        <v>1743</v>
      </c>
      <c r="C3822" s="64" t="s">
        <v>2023</v>
      </c>
      <c r="D3822" s="74"/>
      <c r="E3822" s="208" t="s">
        <v>143</v>
      </c>
      <c r="F3822" s="209" t="s">
        <v>21</v>
      </c>
      <c r="G3822" s="209" t="s">
        <v>21</v>
      </c>
      <c r="H3822" s="209" t="s">
        <v>272</v>
      </c>
      <c r="I3822" s="210"/>
    </row>
    <row r="3823" spans="1:9" x14ac:dyDescent="0.25">
      <c r="A3823" s="74"/>
      <c r="B3823" s="45">
        <v>1744</v>
      </c>
      <c r="C3823" s="64" t="s">
        <v>2024</v>
      </c>
      <c r="D3823" s="74"/>
      <c r="E3823" s="208" t="s">
        <v>143</v>
      </c>
      <c r="F3823" s="209" t="s">
        <v>21</v>
      </c>
      <c r="G3823" s="209" t="s">
        <v>21</v>
      </c>
      <c r="H3823" s="209" t="s">
        <v>272</v>
      </c>
      <c r="I3823" s="210"/>
    </row>
    <row r="3824" spans="1:9" x14ac:dyDescent="0.25">
      <c r="A3824" s="74"/>
      <c r="B3824" s="45">
        <v>1745</v>
      </c>
      <c r="C3824" s="64" t="s">
        <v>2011</v>
      </c>
      <c r="D3824" s="74"/>
      <c r="E3824" s="208" t="s">
        <v>143</v>
      </c>
      <c r="F3824" s="209" t="s">
        <v>21</v>
      </c>
      <c r="G3824" s="209" t="s">
        <v>21</v>
      </c>
      <c r="H3824" s="209" t="s">
        <v>272</v>
      </c>
      <c r="I3824" s="210"/>
    </row>
    <row r="3825" spans="1:9" x14ac:dyDescent="0.25">
      <c r="A3825" s="74"/>
      <c r="B3825" s="45">
        <v>1746</v>
      </c>
      <c r="C3825" s="64" t="s">
        <v>1956</v>
      </c>
      <c r="D3825" s="74"/>
      <c r="E3825" s="208" t="s">
        <v>143</v>
      </c>
      <c r="F3825" s="209" t="s">
        <v>21</v>
      </c>
      <c r="G3825" s="209" t="s">
        <v>21</v>
      </c>
      <c r="H3825" s="209" t="s">
        <v>272</v>
      </c>
      <c r="I3825" s="210"/>
    </row>
    <row r="3826" spans="1:9" x14ac:dyDescent="0.25">
      <c r="A3826" s="74"/>
      <c r="B3826" s="45">
        <v>1747</v>
      </c>
      <c r="C3826" s="64" t="s">
        <v>1967</v>
      </c>
      <c r="D3826" s="74"/>
      <c r="E3826" s="208" t="s">
        <v>143</v>
      </c>
      <c r="F3826" s="209" t="s">
        <v>21</v>
      </c>
      <c r="G3826" s="209" t="s">
        <v>21</v>
      </c>
      <c r="H3826" s="209" t="s">
        <v>272</v>
      </c>
      <c r="I3826" s="210"/>
    </row>
    <row r="3827" spans="1:9" x14ac:dyDescent="0.25">
      <c r="A3827" s="74"/>
      <c r="B3827" s="45">
        <v>1748</v>
      </c>
      <c r="C3827" s="64" t="s">
        <v>2011</v>
      </c>
      <c r="D3827" s="74"/>
      <c r="E3827" s="208" t="s">
        <v>143</v>
      </c>
      <c r="F3827" s="209" t="s">
        <v>21</v>
      </c>
      <c r="G3827" s="209" t="s">
        <v>21</v>
      </c>
      <c r="H3827" s="209" t="s">
        <v>272</v>
      </c>
      <c r="I3827" s="210"/>
    </row>
    <row r="3828" spans="1:9" x14ac:dyDescent="0.25">
      <c r="A3828" s="74"/>
      <c r="B3828" s="45">
        <v>1749</v>
      </c>
      <c r="C3828" s="64" t="s">
        <v>2025</v>
      </c>
      <c r="D3828" s="74"/>
      <c r="E3828" s="208" t="s">
        <v>143</v>
      </c>
      <c r="F3828" s="209" t="s">
        <v>21</v>
      </c>
      <c r="G3828" s="209" t="s">
        <v>21</v>
      </c>
      <c r="H3828" s="209" t="s">
        <v>272</v>
      </c>
      <c r="I3828" s="210"/>
    </row>
    <row r="3829" spans="1:9" x14ac:dyDescent="0.25">
      <c r="A3829" s="74"/>
      <c r="B3829" s="45">
        <v>1750</v>
      </c>
      <c r="C3829" s="64" t="s">
        <v>2026</v>
      </c>
      <c r="D3829" s="74"/>
      <c r="E3829" s="208" t="s">
        <v>143</v>
      </c>
      <c r="F3829" s="209" t="s">
        <v>21</v>
      </c>
      <c r="G3829" s="209" t="s">
        <v>21</v>
      </c>
      <c r="H3829" s="209" t="s">
        <v>272</v>
      </c>
      <c r="I3829" s="210"/>
    </row>
    <row r="3830" spans="1:9" x14ac:dyDescent="0.25">
      <c r="A3830" s="74"/>
      <c r="B3830" s="45">
        <v>649</v>
      </c>
      <c r="C3830" s="64" t="s">
        <v>1058</v>
      </c>
      <c r="D3830" s="74"/>
      <c r="E3830" s="208" t="s">
        <v>143</v>
      </c>
      <c r="F3830" s="209" t="s">
        <v>21</v>
      </c>
      <c r="G3830" s="209" t="s">
        <v>21</v>
      </c>
      <c r="H3830" s="209" t="s">
        <v>192</v>
      </c>
      <c r="I3830" s="210"/>
    </row>
    <row r="3831" spans="1:9" x14ac:dyDescent="0.25">
      <c r="A3831" s="74"/>
      <c r="B3831" s="45">
        <v>1743</v>
      </c>
      <c r="C3831" s="64" t="s">
        <v>2023</v>
      </c>
      <c r="D3831" s="74"/>
      <c r="E3831" s="208" t="s">
        <v>143</v>
      </c>
      <c r="F3831" s="209" t="s">
        <v>21</v>
      </c>
      <c r="G3831" s="209" t="s">
        <v>21</v>
      </c>
      <c r="H3831" s="209" t="s">
        <v>272</v>
      </c>
      <c r="I3831" s="210"/>
    </row>
    <row r="3832" spans="1:9" x14ac:dyDescent="0.25">
      <c r="A3832" s="74"/>
      <c r="B3832" s="45">
        <v>1744</v>
      </c>
      <c r="C3832" s="64" t="s">
        <v>2024</v>
      </c>
      <c r="D3832" s="74"/>
      <c r="E3832" s="208" t="s">
        <v>143</v>
      </c>
      <c r="F3832" s="209" t="s">
        <v>21</v>
      </c>
      <c r="G3832" s="209" t="s">
        <v>21</v>
      </c>
      <c r="H3832" s="209" t="s">
        <v>272</v>
      </c>
      <c r="I3832" s="210"/>
    </row>
    <row r="3833" spans="1:9" x14ac:dyDescent="0.25">
      <c r="A3833" s="74"/>
      <c r="B3833" s="45">
        <v>1745</v>
      </c>
      <c r="C3833" s="64" t="s">
        <v>2011</v>
      </c>
      <c r="D3833" s="74"/>
      <c r="E3833" s="208" t="s">
        <v>143</v>
      </c>
      <c r="F3833" s="209" t="s">
        <v>21</v>
      </c>
      <c r="G3833" s="209" t="s">
        <v>21</v>
      </c>
      <c r="H3833" s="209" t="s">
        <v>272</v>
      </c>
      <c r="I3833" s="210"/>
    </row>
    <row r="3834" spans="1:9" x14ac:dyDescent="0.25">
      <c r="A3834" s="74"/>
      <c r="B3834" s="45">
        <v>1746</v>
      </c>
      <c r="C3834" s="64" t="s">
        <v>1956</v>
      </c>
      <c r="D3834" s="74"/>
      <c r="E3834" s="208" t="s">
        <v>143</v>
      </c>
      <c r="F3834" s="209" t="s">
        <v>21</v>
      </c>
      <c r="G3834" s="209" t="s">
        <v>21</v>
      </c>
      <c r="H3834" s="209" t="s">
        <v>272</v>
      </c>
      <c r="I3834" s="210"/>
    </row>
    <row r="3835" spans="1:9" x14ac:dyDescent="0.25">
      <c r="A3835" s="74"/>
      <c r="B3835" s="45">
        <v>1747</v>
      </c>
      <c r="C3835" s="64" t="s">
        <v>1967</v>
      </c>
      <c r="D3835" s="74"/>
      <c r="E3835" s="208" t="s">
        <v>143</v>
      </c>
      <c r="F3835" s="209" t="s">
        <v>21</v>
      </c>
      <c r="G3835" s="209" t="s">
        <v>21</v>
      </c>
      <c r="H3835" s="209" t="s">
        <v>272</v>
      </c>
      <c r="I3835" s="210"/>
    </row>
    <row r="3836" spans="1:9" x14ac:dyDescent="0.25">
      <c r="A3836" s="74"/>
      <c r="B3836" s="45">
        <v>1748</v>
      </c>
      <c r="C3836" s="64" t="s">
        <v>2011</v>
      </c>
      <c r="D3836" s="74"/>
      <c r="E3836" s="208" t="s">
        <v>143</v>
      </c>
      <c r="F3836" s="209" t="s">
        <v>21</v>
      </c>
      <c r="G3836" s="209" t="s">
        <v>21</v>
      </c>
      <c r="H3836" s="209" t="s">
        <v>272</v>
      </c>
      <c r="I3836" s="210"/>
    </row>
    <row r="3837" spans="1:9" x14ac:dyDescent="0.25">
      <c r="A3837" s="74"/>
      <c r="B3837" s="45">
        <v>1749</v>
      </c>
      <c r="C3837" s="64" t="s">
        <v>2025</v>
      </c>
      <c r="D3837" s="74"/>
      <c r="E3837" s="208" t="s">
        <v>143</v>
      </c>
      <c r="F3837" s="209" t="s">
        <v>21</v>
      </c>
      <c r="G3837" s="209" t="s">
        <v>21</v>
      </c>
      <c r="H3837" s="209" t="s">
        <v>272</v>
      </c>
      <c r="I3837" s="210"/>
    </row>
    <row r="3838" spans="1:9" x14ac:dyDescent="0.25">
      <c r="A3838" s="74"/>
      <c r="B3838" s="45">
        <v>1750</v>
      </c>
      <c r="C3838" s="64" t="s">
        <v>2026</v>
      </c>
      <c r="D3838" s="74"/>
      <c r="E3838" s="208" t="s">
        <v>143</v>
      </c>
      <c r="F3838" s="209" t="s">
        <v>21</v>
      </c>
      <c r="G3838" s="209" t="s">
        <v>21</v>
      </c>
      <c r="H3838" s="209" t="s">
        <v>272</v>
      </c>
      <c r="I3838" s="210"/>
    </row>
    <row r="3839" spans="1:9" x14ac:dyDescent="0.25">
      <c r="A3839" s="74"/>
      <c r="B3839" s="45">
        <v>650</v>
      </c>
      <c r="C3839" s="64" t="s">
        <v>1059</v>
      </c>
      <c r="D3839" s="74"/>
      <c r="E3839" s="208" t="s">
        <v>143</v>
      </c>
      <c r="F3839" s="209" t="s">
        <v>21</v>
      </c>
      <c r="G3839" s="209" t="s">
        <v>21</v>
      </c>
      <c r="H3839" s="209" t="s">
        <v>192</v>
      </c>
      <c r="I3839" s="210"/>
    </row>
    <row r="3840" spans="1:9" x14ac:dyDescent="0.25">
      <c r="A3840" s="74"/>
      <c r="B3840" s="45">
        <v>1743</v>
      </c>
      <c r="C3840" s="64" t="s">
        <v>2023</v>
      </c>
      <c r="D3840" s="74"/>
      <c r="E3840" s="208" t="s">
        <v>143</v>
      </c>
      <c r="F3840" s="209" t="s">
        <v>21</v>
      </c>
      <c r="G3840" s="209" t="s">
        <v>21</v>
      </c>
      <c r="H3840" s="209" t="s">
        <v>272</v>
      </c>
      <c r="I3840" s="210"/>
    </row>
    <row r="3841" spans="1:9" x14ac:dyDescent="0.25">
      <c r="A3841" s="74"/>
      <c r="B3841" s="45">
        <v>1744</v>
      </c>
      <c r="C3841" s="64" t="s">
        <v>2024</v>
      </c>
      <c r="D3841" s="74"/>
      <c r="E3841" s="208" t="s">
        <v>143</v>
      </c>
      <c r="F3841" s="209" t="s">
        <v>21</v>
      </c>
      <c r="G3841" s="209" t="s">
        <v>21</v>
      </c>
      <c r="H3841" s="209" t="s">
        <v>272</v>
      </c>
      <c r="I3841" s="210"/>
    </row>
    <row r="3842" spans="1:9" x14ac:dyDescent="0.25">
      <c r="A3842" s="74"/>
      <c r="B3842" s="45">
        <v>1745</v>
      </c>
      <c r="C3842" s="64" t="s">
        <v>2011</v>
      </c>
      <c r="D3842" s="74"/>
      <c r="E3842" s="208" t="s">
        <v>143</v>
      </c>
      <c r="F3842" s="209" t="s">
        <v>21</v>
      </c>
      <c r="G3842" s="209" t="s">
        <v>21</v>
      </c>
      <c r="H3842" s="209" t="s">
        <v>272</v>
      </c>
      <c r="I3842" s="210"/>
    </row>
    <row r="3843" spans="1:9" x14ac:dyDescent="0.25">
      <c r="A3843" s="74"/>
      <c r="B3843" s="45">
        <v>1746</v>
      </c>
      <c r="C3843" s="64" t="s">
        <v>1956</v>
      </c>
      <c r="D3843" s="74"/>
      <c r="E3843" s="208" t="s">
        <v>143</v>
      </c>
      <c r="F3843" s="209" t="s">
        <v>21</v>
      </c>
      <c r="G3843" s="209" t="s">
        <v>21</v>
      </c>
      <c r="H3843" s="209" t="s">
        <v>272</v>
      </c>
      <c r="I3843" s="210"/>
    </row>
    <row r="3844" spans="1:9" x14ac:dyDescent="0.25">
      <c r="A3844" s="74"/>
      <c r="B3844" s="45">
        <v>1747</v>
      </c>
      <c r="C3844" s="64" t="s">
        <v>1967</v>
      </c>
      <c r="D3844" s="74"/>
      <c r="E3844" s="208" t="s">
        <v>143</v>
      </c>
      <c r="F3844" s="209" t="s">
        <v>21</v>
      </c>
      <c r="G3844" s="209" t="s">
        <v>21</v>
      </c>
      <c r="H3844" s="209" t="s">
        <v>272</v>
      </c>
      <c r="I3844" s="210"/>
    </row>
    <row r="3845" spans="1:9" x14ac:dyDescent="0.25">
      <c r="A3845" s="74"/>
      <c r="B3845" s="45">
        <v>1748</v>
      </c>
      <c r="C3845" s="64" t="s">
        <v>2011</v>
      </c>
      <c r="D3845" s="74"/>
      <c r="E3845" s="208" t="s">
        <v>143</v>
      </c>
      <c r="F3845" s="209" t="s">
        <v>21</v>
      </c>
      <c r="G3845" s="209" t="s">
        <v>21</v>
      </c>
      <c r="H3845" s="209" t="s">
        <v>272</v>
      </c>
      <c r="I3845" s="210"/>
    </row>
    <row r="3846" spans="1:9" x14ac:dyDescent="0.25">
      <c r="A3846" s="74"/>
      <c r="B3846" s="45">
        <v>1749</v>
      </c>
      <c r="C3846" s="64" t="s">
        <v>2025</v>
      </c>
      <c r="D3846" s="74"/>
      <c r="E3846" s="208" t="s">
        <v>143</v>
      </c>
      <c r="F3846" s="209" t="s">
        <v>21</v>
      </c>
      <c r="G3846" s="209" t="s">
        <v>21</v>
      </c>
      <c r="H3846" s="209" t="s">
        <v>272</v>
      </c>
      <c r="I3846" s="210"/>
    </row>
    <row r="3847" spans="1:9" x14ac:dyDescent="0.25">
      <c r="A3847" s="74"/>
      <c r="B3847" s="45">
        <v>1750</v>
      </c>
      <c r="C3847" s="64" t="s">
        <v>2026</v>
      </c>
      <c r="D3847" s="74"/>
      <c r="E3847" s="208" t="s">
        <v>143</v>
      </c>
      <c r="F3847" s="209" t="s">
        <v>21</v>
      </c>
      <c r="G3847" s="209" t="s">
        <v>21</v>
      </c>
      <c r="H3847" s="209" t="s">
        <v>272</v>
      </c>
      <c r="I3847" s="210"/>
    </row>
    <row r="3848" spans="1:9" x14ac:dyDescent="0.25">
      <c r="A3848" s="74"/>
      <c r="B3848" s="45">
        <v>666</v>
      </c>
      <c r="C3848" s="64" t="s">
        <v>1075</v>
      </c>
      <c r="D3848" s="74"/>
      <c r="E3848" s="208" t="s">
        <v>136</v>
      </c>
      <c r="F3848" s="209" t="s">
        <v>21</v>
      </c>
      <c r="G3848" s="209" t="s">
        <v>21</v>
      </c>
      <c r="H3848" s="209" t="s">
        <v>187</v>
      </c>
      <c r="I3848" s="210"/>
    </row>
    <row r="3849" spans="1:9" x14ac:dyDescent="0.25">
      <c r="A3849" s="74"/>
      <c r="B3849" s="45">
        <v>652</v>
      </c>
      <c r="C3849" s="64" t="s">
        <v>1061</v>
      </c>
      <c r="D3849" s="74"/>
      <c r="E3849" s="208" t="s">
        <v>136</v>
      </c>
      <c r="F3849" s="209" t="s">
        <v>21</v>
      </c>
      <c r="G3849" s="209" t="s">
        <v>21</v>
      </c>
      <c r="H3849" s="209" t="s">
        <v>179</v>
      </c>
      <c r="I3849" s="210"/>
    </row>
    <row r="3850" spans="1:9" x14ac:dyDescent="0.25">
      <c r="A3850" s="74"/>
      <c r="B3850" s="45">
        <v>659</v>
      </c>
      <c r="C3850" s="64" t="s">
        <v>1068</v>
      </c>
      <c r="D3850" s="74"/>
      <c r="E3850" s="208" t="s">
        <v>136</v>
      </c>
      <c r="F3850" s="209" t="s">
        <v>21</v>
      </c>
      <c r="G3850" s="209" t="s">
        <v>21</v>
      </c>
      <c r="H3850" s="209" t="s">
        <v>187</v>
      </c>
      <c r="I3850" s="210"/>
    </row>
    <row r="3851" spans="1:9" x14ac:dyDescent="0.25">
      <c r="A3851" s="74"/>
      <c r="B3851" s="45">
        <v>669</v>
      </c>
      <c r="C3851" s="64" t="s">
        <v>1078</v>
      </c>
      <c r="D3851" s="74"/>
      <c r="E3851" s="208" t="s">
        <v>136</v>
      </c>
      <c r="F3851" s="209" t="s">
        <v>21</v>
      </c>
      <c r="G3851" s="209" t="s">
        <v>21</v>
      </c>
      <c r="H3851" s="209" t="s">
        <v>189</v>
      </c>
      <c r="I3851" s="210"/>
    </row>
    <row r="3852" spans="1:9" x14ac:dyDescent="0.25">
      <c r="A3852" s="74"/>
      <c r="B3852" s="45">
        <v>1743</v>
      </c>
      <c r="C3852" s="64" t="s">
        <v>2023</v>
      </c>
      <c r="D3852" s="74"/>
      <c r="E3852" s="208" t="s">
        <v>143</v>
      </c>
      <c r="F3852" s="209" t="s">
        <v>21</v>
      </c>
      <c r="G3852" s="209" t="s">
        <v>21</v>
      </c>
      <c r="H3852" s="209" t="s">
        <v>272</v>
      </c>
      <c r="I3852" s="210"/>
    </row>
    <row r="3853" spans="1:9" x14ac:dyDescent="0.25">
      <c r="A3853" s="74"/>
      <c r="B3853" s="45">
        <v>1744</v>
      </c>
      <c r="C3853" s="64" t="s">
        <v>2024</v>
      </c>
      <c r="D3853" s="74"/>
      <c r="E3853" s="208" t="s">
        <v>143</v>
      </c>
      <c r="F3853" s="209" t="s">
        <v>21</v>
      </c>
      <c r="G3853" s="209" t="s">
        <v>21</v>
      </c>
      <c r="H3853" s="209" t="s">
        <v>272</v>
      </c>
      <c r="I3853" s="210"/>
    </row>
    <row r="3854" spans="1:9" x14ac:dyDescent="0.25">
      <c r="A3854" s="74"/>
      <c r="B3854" s="45">
        <v>1745</v>
      </c>
      <c r="C3854" s="64" t="s">
        <v>2011</v>
      </c>
      <c r="D3854" s="74"/>
      <c r="E3854" s="208" t="s">
        <v>143</v>
      </c>
      <c r="F3854" s="209" t="s">
        <v>21</v>
      </c>
      <c r="G3854" s="209" t="s">
        <v>21</v>
      </c>
      <c r="H3854" s="209" t="s">
        <v>272</v>
      </c>
      <c r="I3854" s="210"/>
    </row>
    <row r="3855" spans="1:9" x14ac:dyDescent="0.25">
      <c r="A3855" s="74"/>
      <c r="B3855" s="45">
        <v>1746</v>
      </c>
      <c r="C3855" s="64" t="s">
        <v>1956</v>
      </c>
      <c r="D3855" s="74"/>
      <c r="E3855" s="208" t="s">
        <v>143</v>
      </c>
      <c r="F3855" s="209" t="s">
        <v>21</v>
      </c>
      <c r="G3855" s="209" t="s">
        <v>21</v>
      </c>
      <c r="H3855" s="209" t="s">
        <v>272</v>
      </c>
      <c r="I3855" s="210"/>
    </row>
    <row r="3856" spans="1:9" x14ac:dyDescent="0.25">
      <c r="A3856" s="74"/>
      <c r="B3856" s="45">
        <v>1747</v>
      </c>
      <c r="C3856" s="64" t="s">
        <v>1967</v>
      </c>
      <c r="D3856" s="74"/>
      <c r="E3856" s="208" t="s">
        <v>143</v>
      </c>
      <c r="F3856" s="209" t="s">
        <v>21</v>
      </c>
      <c r="G3856" s="209" t="s">
        <v>21</v>
      </c>
      <c r="H3856" s="209" t="s">
        <v>272</v>
      </c>
      <c r="I3856" s="210"/>
    </row>
    <row r="3857" spans="1:9" x14ac:dyDescent="0.25">
      <c r="A3857" s="74"/>
      <c r="B3857" s="45">
        <v>1748</v>
      </c>
      <c r="C3857" s="64" t="s">
        <v>2011</v>
      </c>
      <c r="D3857" s="74"/>
      <c r="E3857" s="208" t="s">
        <v>143</v>
      </c>
      <c r="F3857" s="209" t="s">
        <v>21</v>
      </c>
      <c r="G3857" s="209" t="s">
        <v>21</v>
      </c>
      <c r="H3857" s="209" t="s">
        <v>272</v>
      </c>
      <c r="I3857" s="210"/>
    </row>
    <row r="3858" spans="1:9" x14ac:dyDescent="0.25">
      <c r="A3858" s="74"/>
      <c r="B3858" s="45">
        <v>1749</v>
      </c>
      <c r="C3858" s="64" t="s">
        <v>2025</v>
      </c>
      <c r="D3858" s="74"/>
      <c r="E3858" s="208" t="s">
        <v>143</v>
      </c>
      <c r="F3858" s="209" t="s">
        <v>21</v>
      </c>
      <c r="G3858" s="209" t="s">
        <v>21</v>
      </c>
      <c r="H3858" s="209" t="s">
        <v>272</v>
      </c>
      <c r="I3858" s="210"/>
    </row>
    <row r="3859" spans="1:9" x14ac:dyDescent="0.25">
      <c r="A3859" s="74"/>
      <c r="B3859" s="45">
        <v>1750</v>
      </c>
      <c r="C3859" s="64" t="s">
        <v>2026</v>
      </c>
      <c r="D3859" s="74"/>
      <c r="E3859" s="208" t="s">
        <v>143</v>
      </c>
      <c r="F3859" s="209" t="s">
        <v>21</v>
      </c>
      <c r="G3859" s="209" t="s">
        <v>21</v>
      </c>
      <c r="H3859" s="209" t="s">
        <v>272</v>
      </c>
      <c r="I3859" s="210"/>
    </row>
    <row r="3860" spans="1:9" x14ac:dyDescent="0.25">
      <c r="A3860" s="74"/>
      <c r="B3860" s="45">
        <v>1743</v>
      </c>
      <c r="C3860" s="64" t="s">
        <v>2023</v>
      </c>
      <c r="D3860" s="74"/>
      <c r="E3860" s="208" t="s">
        <v>143</v>
      </c>
      <c r="F3860" s="209" t="s">
        <v>21</v>
      </c>
      <c r="G3860" s="209" t="s">
        <v>21</v>
      </c>
      <c r="H3860" s="209" t="s">
        <v>272</v>
      </c>
      <c r="I3860" s="210"/>
    </row>
    <row r="3861" spans="1:9" x14ac:dyDescent="0.25">
      <c r="A3861" s="74"/>
      <c r="B3861" s="45">
        <v>1744</v>
      </c>
      <c r="C3861" s="64" t="s">
        <v>2024</v>
      </c>
      <c r="D3861" s="74"/>
      <c r="E3861" s="208" t="s">
        <v>143</v>
      </c>
      <c r="F3861" s="209" t="s">
        <v>21</v>
      </c>
      <c r="G3861" s="209" t="s">
        <v>21</v>
      </c>
      <c r="H3861" s="209" t="s">
        <v>272</v>
      </c>
      <c r="I3861" s="210"/>
    </row>
    <row r="3862" spans="1:9" x14ac:dyDescent="0.25">
      <c r="A3862" s="74"/>
      <c r="B3862" s="45">
        <v>1745</v>
      </c>
      <c r="C3862" s="64" t="s">
        <v>2011</v>
      </c>
      <c r="D3862" s="74"/>
      <c r="E3862" s="208" t="s">
        <v>143</v>
      </c>
      <c r="F3862" s="209" t="s">
        <v>21</v>
      </c>
      <c r="G3862" s="209" t="s">
        <v>21</v>
      </c>
      <c r="H3862" s="209" t="s">
        <v>272</v>
      </c>
      <c r="I3862" s="210"/>
    </row>
    <row r="3863" spans="1:9" x14ac:dyDescent="0.25">
      <c r="A3863" s="74"/>
      <c r="B3863" s="45">
        <v>1746</v>
      </c>
      <c r="C3863" s="64" t="s">
        <v>1956</v>
      </c>
      <c r="D3863" s="74"/>
      <c r="E3863" s="208" t="s">
        <v>143</v>
      </c>
      <c r="F3863" s="209" t="s">
        <v>21</v>
      </c>
      <c r="G3863" s="209" t="s">
        <v>21</v>
      </c>
      <c r="H3863" s="209" t="s">
        <v>272</v>
      </c>
      <c r="I3863" s="210"/>
    </row>
    <row r="3864" spans="1:9" x14ac:dyDescent="0.25">
      <c r="A3864" s="74"/>
      <c r="B3864" s="45">
        <v>1747</v>
      </c>
      <c r="C3864" s="64" t="s">
        <v>1967</v>
      </c>
      <c r="D3864" s="74"/>
      <c r="E3864" s="208" t="s">
        <v>143</v>
      </c>
      <c r="F3864" s="209" t="s">
        <v>21</v>
      </c>
      <c r="G3864" s="209" t="s">
        <v>21</v>
      </c>
      <c r="H3864" s="209" t="s">
        <v>272</v>
      </c>
      <c r="I3864" s="210"/>
    </row>
    <row r="3865" spans="1:9" x14ac:dyDescent="0.25">
      <c r="A3865" s="74"/>
      <c r="B3865" s="45">
        <v>1748</v>
      </c>
      <c r="C3865" s="64" t="s">
        <v>2011</v>
      </c>
      <c r="D3865" s="74"/>
      <c r="E3865" s="208" t="s">
        <v>143</v>
      </c>
      <c r="F3865" s="209" t="s">
        <v>21</v>
      </c>
      <c r="G3865" s="209" t="s">
        <v>21</v>
      </c>
      <c r="H3865" s="209" t="s">
        <v>272</v>
      </c>
      <c r="I3865" s="210"/>
    </row>
    <row r="3866" spans="1:9" x14ac:dyDescent="0.25">
      <c r="A3866" s="74"/>
      <c r="B3866" s="45">
        <v>1749</v>
      </c>
      <c r="C3866" s="64" t="s">
        <v>2025</v>
      </c>
      <c r="D3866" s="74"/>
      <c r="E3866" s="208" t="s">
        <v>143</v>
      </c>
      <c r="F3866" s="209" t="s">
        <v>21</v>
      </c>
      <c r="G3866" s="209" t="s">
        <v>21</v>
      </c>
      <c r="H3866" s="209" t="s">
        <v>272</v>
      </c>
      <c r="I3866" s="210"/>
    </row>
    <row r="3867" spans="1:9" x14ac:dyDescent="0.25">
      <c r="A3867" s="74"/>
      <c r="B3867" s="45">
        <v>1750</v>
      </c>
      <c r="C3867" s="64" t="s">
        <v>2026</v>
      </c>
      <c r="D3867" s="74"/>
      <c r="E3867" s="208" t="s">
        <v>143</v>
      </c>
      <c r="F3867" s="209" t="s">
        <v>21</v>
      </c>
      <c r="G3867" s="209" t="s">
        <v>21</v>
      </c>
      <c r="H3867" s="209" t="s">
        <v>272</v>
      </c>
      <c r="I3867" s="210"/>
    </row>
    <row r="3868" spans="1:9" x14ac:dyDescent="0.25">
      <c r="A3868" s="74"/>
      <c r="B3868" s="45">
        <v>1743</v>
      </c>
      <c r="C3868" s="64" t="s">
        <v>2023</v>
      </c>
      <c r="D3868" s="74"/>
      <c r="E3868" s="208" t="s">
        <v>143</v>
      </c>
      <c r="F3868" s="209" t="s">
        <v>21</v>
      </c>
      <c r="G3868" s="209" t="s">
        <v>21</v>
      </c>
      <c r="H3868" s="209" t="s">
        <v>272</v>
      </c>
      <c r="I3868" s="210"/>
    </row>
    <row r="3869" spans="1:9" x14ac:dyDescent="0.25">
      <c r="A3869" s="74"/>
      <c r="B3869" s="45">
        <v>1744</v>
      </c>
      <c r="C3869" s="64" t="s">
        <v>2024</v>
      </c>
      <c r="D3869" s="74"/>
      <c r="E3869" s="208" t="s">
        <v>143</v>
      </c>
      <c r="F3869" s="209" t="s">
        <v>21</v>
      </c>
      <c r="G3869" s="209" t="s">
        <v>21</v>
      </c>
      <c r="H3869" s="209" t="s">
        <v>272</v>
      </c>
      <c r="I3869" s="210"/>
    </row>
    <row r="3870" spans="1:9" x14ac:dyDescent="0.25">
      <c r="A3870" s="74"/>
      <c r="B3870" s="45">
        <v>1745</v>
      </c>
      <c r="C3870" s="64" t="s">
        <v>2011</v>
      </c>
      <c r="D3870" s="74"/>
      <c r="E3870" s="208" t="s">
        <v>143</v>
      </c>
      <c r="F3870" s="209" t="s">
        <v>21</v>
      </c>
      <c r="G3870" s="209" t="s">
        <v>21</v>
      </c>
      <c r="H3870" s="209" t="s">
        <v>272</v>
      </c>
      <c r="I3870" s="210"/>
    </row>
    <row r="3871" spans="1:9" x14ac:dyDescent="0.25">
      <c r="A3871" s="74"/>
      <c r="B3871" s="45">
        <v>1746</v>
      </c>
      <c r="C3871" s="64" t="s">
        <v>1956</v>
      </c>
      <c r="D3871" s="74"/>
      <c r="E3871" s="208" t="s">
        <v>143</v>
      </c>
      <c r="F3871" s="209" t="s">
        <v>21</v>
      </c>
      <c r="G3871" s="209" t="s">
        <v>21</v>
      </c>
      <c r="H3871" s="209" t="s">
        <v>272</v>
      </c>
      <c r="I3871" s="210"/>
    </row>
    <row r="3872" spans="1:9" x14ac:dyDescent="0.25">
      <c r="A3872" s="74"/>
      <c r="B3872" s="45">
        <v>1747</v>
      </c>
      <c r="C3872" s="64" t="s">
        <v>1967</v>
      </c>
      <c r="D3872" s="74"/>
      <c r="E3872" s="208" t="s">
        <v>143</v>
      </c>
      <c r="F3872" s="209" t="s">
        <v>21</v>
      </c>
      <c r="G3872" s="209" t="s">
        <v>21</v>
      </c>
      <c r="H3872" s="209" t="s">
        <v>272</v>
      </c>
      <c r="I3872" s="210"/>
    </row>
    <row r="3873" spans="1:9" x14ac:dyDescent="0.25">
      <c r="A3873" s="74"/>
      <c r="B3873" s="45">
        <v>1748</v>
      </c>
      <c r="C3873" s="64" t="s">
        <v>2011</v>
      </c>
      <c r="D3873" s="74"/>
      <c r="E3873" s="208" t="s">
        <v>143</v>
      </c>
      <c r="F3873" s="209" t="s">
        <v>21</v>
      </c>
      <c r="G3873" s="209" t="s">
        <v>21</v>
      </c>
      <c r="H3873" s="209" t="s">
        <v>272</v>
      </c>
      <c r="I3873" s="210"/>
    </row>
    <row r="3874" spans="1:9" x14ac:dyDescent="0.25">
      <c r="A3874" s="74"/>
      <c r="B3874" s="45">
        <v>1749</v>
      </c>
      <c r="C3874" s="64" t="s">
        <v>2025</v>
      </c>
      <c r="D3874" s="74"/>
      <c r="E3874" s="208" t="s">
        <v>143</v>
      </c>
      <c r="F3874" s="209" t="s">
        <v>21</v>
      </c>
      <c r="G3874" s="209" t="s">
        <v>21</v>
      </c>
      <c r="H3874" s="209" t="s">
        <v>272</v>
      </c>
      <c r="I3874" s="210"/>
    </row>
    <row r="3875" spans="1:9" x14ac:dyDescent="0.25">
      <c r="A3875" s="74"/>
      <c r="B3875" s="45">
        <v>1750</v>
      </c>
      <c r="C3875" s="64" t="s">
        <v>2026</v>
      </c>
      <c r="D3875" s="74"/>
      <c r="E3875" s="208" t="s">
        <v>143</v>
      </c>
      <c r="F3875" s="209" t="s">
        <v>21</v>
      </c>
      <c r="G3875" s="209" t="s">
        <v>21</v>
      </c>
      <c r="H3875" s="209" t="s">
        <v>272</v>
      </c>
      <c r="I3875" s="210"/>
    </row>
    <row r="3876" spans="1:9" x14ac:dyDescent="0.25">
      <c r="A3876" s="74"/>
      <c r="B3876" s="45">
        <v>1743</v>
      </c>
      <c r="C3876" s="64" t="s">
        <v>2023</v>
      </c>
      <c r="D3876" s="74"/>
      <c r="E3876" s="208" t="s">
        <v>143</v>
      </c>
      <c r="F3876" s="209" t="s">
        <v>21</v>
      </c>
      <c r="G3876" s="209" t="s">
        <v>21</v>
      </c>
      <c r="H3876" s="209" t="s">
        <v>272</v>
      </c>
      <c r="I3876" s="210"/>
    </row>
    <row r="3877" spans="1:9" x14ac:dyDescent="0.25">
      <c r="A3877" s="74"/>
      <c r="B3877" s="45">
        <v>1744</v>
      </c>
      <c r="C3877" s="64" t="s">
        <v>2024</v>
      </c>
      <c r="D3877" s="74"/>
      <c r="E3877" s="208" t="s">
        <v>143</v>
      </c>
      <c r="F3877" s="209" t="s">
        <v>21</v>
      </c>
      <c r="G3877" s="209" t="s">
        <v>21</v>
      </c>
      <c r="H3877" s="209" t="s">
        <v>272</v>
      </c>
      <c r="I3877" s="210"/>
    </row>
    <row r="3878" spans="1:9" x14ac:dyDescent="0.25">
      <c r="A3878" s="74"/>
      <c r="B3878" s="45">
        <v>1745</v>
      </c>
      <c r="C3878" s="64" t="s">
        <v>2011</v>
      </c>
      <c r="D3878" s="74"/>
      <c r="E3878" s="208" t="s">
        <v>143</v>
      </c>
      <c r="F3878" s="209" t="s">
        <v>21</v>
      </c>
      <c r="G3878" s="209" t="s">
        <v>21</v>
      </c>
      <c r="H3878" s="209" t="s">
        <v>272</v>
      </c>
      <c r="I3878" s="210"/>
    </row>
    <row r="3879" spans="1:9" x14ac:dyDescent="0.25">
      <c r="A3879" s="74"/>
      <c r="B3879" s="45">
        <v>1746</v>
      </c>
      <c r="C3879" s="64" t="s">
        <v>1956</v>
      </c>
      <c r="D3879" s="74"/>
      <c r="E3879" s="208" t="s">
        <v>143</v>
      </c>
      <c r="F3879" s="209" t="s">
        <v>21</v>
      </c>
      <c r="G3879" s="209" t="s">
        <v>21</v>
      </c>
      <c r="H3879" s="209" t="s">
        <v>272</v>
      </c>
      <c r="I3879" s="210"/>
    </row>
    <row r="3880" spans="1:9" x14ac:dyDescent="0.25">
      <c r="A3880" s="74"/>
      <c r="B3880" s="45">
        <v>1747</v>
      </c>
      <c r="C3880" s="64" t="s">
        <v>1967</v>
      </c>
      <c r="D3880" s="74"/>
      <c r="E3880" s="208" t="s">
        <v>143</v>
      </c>
      <c r="F3880" s="209" t="s">
        <v>21</v>
      </c>
      <c r="G3880" s="209" t="s">
        <v>21</v>
      </c>
      <c r="H3880" s="209" t="s">
        <v>272</v>
      </c>
      <c r="I3880" s="210"/>
    </row>
    <row r="3881" spans="1:9" x14ac:dyDescent="0.25">
      <c r="A3881" s="74"/>
      <c r="B3881" s="45">
        <v>1748</v>
      </c>
      <c r="C3881" s="64" t="s">
        <v>2011</v>
      </c>
      <c r="D3881" s="74"/>
      <c r="E3881" s="208" t="s">
        <v>143</v>
      </c>
      <c r="F3881" s="209" t="s">
        <v>21</v>
      </c>
      <c r="G3881" s="209" t="s">
        <v>21</v>
      </c>
      <c r="H3881" s="209" t="s">
        <v>272</v>
      </c>
      <c r="I3881" s="210"/>
    </row>
    <row r="3882" spans="1:9" x14ac:dyDescent="0.25">
      <c r="A3882" s="74"/>
      <c r="B3882" s="45">
        <v>1749</v>
      </c>
      <c r="C3882" s="64" t="s">
        <v>2025</v>
      </c>
      <c r="D3882" s="74"/>
      <c r="E3882" s="208" t="s">
        <v>143</v>
      </c>
      <c r="F3882" s="209" t="s">
        <v>21</v>
      </c>
      <c r="G3882" s="209" t="s">
        <v>21</v>
      </c>
      <c r="H3882" s="209" t="s">
        <v>272</v>
      </c>
      <c r="I3882" s="210"/>
    </row>
    <row r="3883" spans="1:9" x14ac:dyDescent="0.25">
      <c r="A3883" s="74"/>
      <c r="B3883" s="45">
        <v>1750</v>
      </c>
      <c r="C3883" s="64" t="s">
        <v>2026</v>
      </c>
      <c r="D3883" s="74"/>
      <c r="E3883" s="208" t="s">
        <v>143</v>
      </c>
      <c r="F3883" s="209" t="s">
        <v>21</v>
      </c>
      <c r="G3883" s="209" t="s">
        <v>21</v>
      </c>
      <c r="H3883" s="209" t="s">
        <v>272</v>
      </c>
      <c r="I3883" s="210"/>
    </row>
    <row r="3884" spans="1:9" x14ac:dyDescent="0.25">
      <c r="A3884" s="74"/>
      <c r="B3884" s="45">
        <v>656</v>
      </c>
      <c r="C3884" s="64" t="s">
        <v>1065</v>
      </c>
      <c r="D3884" s="74"/>
      <c r="E3884" s="208" t="s">
        <v>143</v>
      </c>
      <c r="F3884" s="209" t="s">
        <v>21</v>
      </c>
      <c r="G3884" s="209" t="s">
        <v>21</v>
      </c>
      <c r="H3884" s="209" t="s">
        <v>192</v>
      </c>
      <c r="I3884" s="210"/>
    </row>
    <row r="3885" spans="1:9" x14ac:dyDescent="0.25">
      <c r="A3885" s="74"/>
      <c r="B3885" s="45">
        <v>656</v>
      </c>
      <c r="C3885" s="64" t="s">
        <v>1065</v>
      </c>
      <c r="D3885" s="74"/>
      <c r="E3885" s="208" t="s">
        <v>143</v>
      </c>
      <c r="F3885" s="209" t="s">
        <v>21</v>
      </c>
      <c r="G3885" s="209" t="s">
        <v>21</v>
      </c>
      <c r="H3885" s="209" t="s">
        <v>192</v>
      </c>
      <c r="I3885" s="210"/>
    </row>
    <row r="3886" spans="1:9" x14ac:dyDescent="0.25">
      <c r="A3886" s="74"/>
      <c r="B3886" s="45">
        <v>1743</v>
      </c>
      <c r="C3886" s="64" t="s">
        <v>2023</v>
      </c>
      <c r="D3886" s="74"/>
      <c r="E3886" s="208" t="s">
        <v>143</v>
      </c>
      <c r="F3886" s="209" t="s">
        <v>21</v>
      </c>
      <c r="G3886" s="209" t="s">
        <v>21</v>
      </c>
      <c r="H3886" s="209" t="s">
        <v>272</v>
      </c>
      <c r="I3886" s="210"/>
    </row>
    <row r="3887" spans="1:9" x14ac:dyDescent="0.25">
      <c r="A3887" s="74"/>
      <c r="B3887" s="45">
        <v>649</v>
      </c>
      <c r="C3887" s="64" t="s">
        <v>1058</v>
      </c>
      <c r="D3887" s="74"/>
      <c r="E3887" s="208" t="s">
        <v>143</v>
      </c>
      <c r="F3887" s="209" t="s">
        <v>21</v>
      </c>
      <c r="G3887" s="209" t="s">
        <v>21</v>
      </c>
      <c r="H3887" s="209" t="s">
        <v>192</v>
      </c>
      <c r="I3887" s="210"/>
    </row>
    <row r="3888" spans="1:9" x14ac:dyDescent="0.25">
      <c r="A3888" s="74"/>
      <c r="B3888" s="45">
        <v>1744</v>
      </c>
      <c r="C3888" s="64" t="s">
        <v>2024</v>
      </c>
      <c r="D3888" s="74"/>
      <c r="E3888" s="208" t="s">
        <v>143</v>
      </c>
      <c r="F3888" s="209" t="s">
        <v>21</v>
      </c>
      <c r="G3888" s="209" t="s">
        <v>21</v>
      </c>
      <c r="H3888" s="209" t="s">
        <v>272</v>
      </c>
      <c r="I3888" s="210"/>
    </row>
    <row r="3889" spans="1:9" x14ac:dyDescent="0.25">
      <c r="A3889" s="74"/>
      <c r="B3889" s="45">
        <v>1745</v>
      </c>
      <c r="C3889" s="64" t="s">
        <v>2011</v>
      </c>
      <c r="D3889" s="74"/>
      <c r="E3889" s="208" t="s">
        <v>143</v>
      </c>
      <c r="F3889" s="209" t="s">
        <v>21</v>
      </c>
      <c r="G3889" s="209" t="s">
        <v>21</v>
      </c>
      <c r="H3889" s="209" t="s">
        <v>272</v>
      </c>
      <c r="I3889" s="210"/>
    </row>
    <row r="3890" spans="1:9" x14ac:dyDescent="0.25">
      <c r="A3890" s="74"/>
      <c r="B3890" s="45">
        <v>1746</v>
      </c>
      <c r="C3890" s="64" t="s">
        <v>1956</v>
      </c>
      <c r="D3890" s="74"/>
      <c r="E3890" s="208" t="s">
        <v>143</v>
      </c>
      <c r="F3890" s="209" t="s">
        <v>21</v>
      </c>
      <c r="G3890" s="209" t="s">
        <v>21</v>
      </c>
      <c r="H3890" s="209" t="s">
        <v>272</v>
      </c>
      <c r="I3890" s="210"/>
    </row>
    <row r="3891" spans="1:9" x14ac:dyDescent="0.25">
      <c r="A3891" s="74"/>
      <c r="B3891" s="45">
        <v>1747</v>
      </c>
      <c r="C3891" s="64" t="s">
        <v>1967</v>
      </c>
      <c r="D3891" s="74"/>
      <c r="E3891" s="208" t="s">
        <v>143</v>
      </c>
      <c r="F3891" s="209" t="s">
        <v>21</v>
      </c>
      <c r="G3891" s="209" t="s">
        <v>21</v>
      </c>
      <c r="H3891" s="209" t="s">
        <v>272</v>
      </c>
      <c r="I3891" s="210"/>
    </row>
    <row r="3892" spans="1:9" x14ac:dyDescent="0.25">
      <c r="A3892" s="74"/>
      <c r="B3892" s="45">
        <v>1748</v>
      </c>
      <c r="C3892" s="64" t="s">
        <v>2011</v>
      </c>
      <c r="D3892" s="74"/>
      <c r="E3892" s="208" t="s">
        <v>143</v>
      </c>
      <c r="F3892" s="209" t="s">
        <v>21</v>
      </c>
      <c r="G3892" s="209" t="s">
        <v>21</v>
      </c>
      <c r="H3892" s="209" t="s">
        <v>272</v>
      </c>
      <c r="I3892" s="210"/>
    </row>
    <row r="3893" spans="1:9" x14ac:dyDescent="0.25">
      <c r="A3893" s="74"/>
      <c r="B3893" s="45">
        <v>1749</v>
      </c>
      <c r="C3893" s="64" t="s">
        <v>2025</v>
      </c>
      <c r="D3893" s="74"/>
      <c r="E3893" s="208" t="s">
        <v>143</v>
      </c>
      <c r="F3893" s="209" t="s">
        <v>21</v>
      </c>
      <c r="G3893" s="209" t="s">
        <v>21</v>
      </c>
      <c r="H3893" s="209" t="s">
        <v>272</v>
      </c>
      <c r="I3893" s="210"/>
    </row>
    <row r="3894" spans="1:9" x14ac:dyDescent="0.25">
      <c r="A3894" s="74"/>
      <c r="B3894" s="45">
        <v>650</v>
      </c>
      <c r="C3894" s="64" t="s">
        <v>1059</v>
      </c>
      <c r="D3894" s="74"/>
      <c r="E3894" s="208" t="s">
        <v>143</v>
      </c>
      <c r="F3894" s="209" t="s">
        <v>21</v>
      </c>
      <c r="G3894" s="209" t="s">
        <v>21</v>
      </c>
      <c r="H3894" s="209" t="s">
        <v>192</v>
      </c>
      <c r="I3894" s="210"/>
    </row>
    <row r="3895" spans="1:9" x14ac:dyDescent="0.25">
      <c r="A3895" s="74"/>
      <c r="B3895" s="45">
        <v>1750</v>
      </c>
      <c r="C3895" s="64" t="s">
        <v>2026</v>
      </c>
      <c r="D3895" s="74"/>
      <c r="E3895" s="208" t="s">
        <v>143</v>
      </c>
      <c r="F3895" s="209" t="s">
        <v>21</v>
      </c>
      <c r="G3895" s="209" t="s">
        <v>21</v>
      </c>
      <c r="H3895" s="209" t="s">
        <v>272</v>
      </c>
      <c r="I3895" s="210"/>
    </row>
    <row r="3896" spans="1:9" x14ac:dyDescent="0.25">
      <c r="A3896" s="74"/>
      <c r="B3896" s="45">
        <v>1750</v>
      </c>
      <c r="C3896" s="64" t="s">
        <v>2026</v>
      </c>
      <c r="D3896" s="74"/>
      <c r="E3896" s="208" t="s">
        <v>143</v>
      </c>
      <c r="F3896" s="209" t="s">
        <v>21</v>
      </c>
      <c r="G3896" s="209" t="s">
        <v>21</v>
      </c>
      <c r="H3896" s="209" t="s">
        <v>272</v>
      </c>
      <c r="I3896" s="210"/>
    </row>
    <row r="3897" spans="1:9" x14ac:dyDescent="0.25">
      <c r="A3897" s="74"/>
      <c r="B3897" s="45">
        <v>669</v>
      </c>
      <c r="C3897" s="64" t="s">
        <v>1078</v>
      </c>
      <c r="D3897" s="74"/>
      <c r="E3897" s="208" t="s">
        <v>136</v>
      </c>
      <c r="F3897" s="209" t="s">
        <v>21</v>
      </c>
      <c r="G3897" s="209" t="s">
        <v>21</v>
      </c>
      <c r="H3897" s="209" t="s">
        <v>189</v>
      </c>
      <c r="I3897" s="210"/>
    </row>
    <row r="3898" spans="1:9" x14ac:dyDescent="0.25">
      <c r="A3898" s="74"/>
      <c r="B3898" s="45">
        <v>668</v>
      </c>
      <c r="C3898" s="64" t="s">
        <v>1077</v>
      </c>
      <c r="D3898" s="74"/>
      <c r="E3898" s="208" t="s">
        <v>136</v>
      </c>
      <c r="F3898" s="209" t="s">
        <v>21</v>
      </c>
      <c r="G3898" s="209" t="s">
        <v>21</v>
      </c>
      <c r="H3898" s="209" t="s">
        <v>189</v>
      </c>
      <c r="I3898" s="210"/>
    </row>
    <row r="3899" spans="1:9" x14ac:dyDescent="0.25">
      <c r="A3899" s="74"/>
      <c r="B3899" s="45">
        <v>1753</v>
      </c>
      <c r="C3899" s="64" t="s">
        <v>1908</v>
      </c>
      <c r="D3899" s="74"/>
      <c r="E3899" s="208" t="s">
        <v>136</v>
      </c>
      <c r="F3899" s="209" t="s">
        <v>21</v>
      </c>
      <c r="G3899" s="209" t="s">
        <v>21</v>
      </c>
      <c r="H3899" s="209" t="s">
        <v>194</v>
      </c>
      <c r="I3899" s="210"/>
    </row>
    <row r="3900" spans="1:9" x14ac:dyDescent="0.25">
      <c r="A3900" s="74"/>
      <c r="B3900" s="45">
        <v>1754</v>
      </c>
      <c r="C3900" s="64" t="s">
        <v>2027</v>
      </c>
      <c r="D3900" s="74"/>
      <c r="E3900" s="208" t="s">
        <v>129</v>
      </c>
      <c r="F3900" s="209" t="s">
        <v>21</v>
      </c>
      <c r="G3900" s="209" t="s">
        <v>21</v>
      </c>
      <c r="H3900" s="209" t="s">
        <v>189</v>
      </c>
      <c r="I3900" s="210"/>
    </row>
    <row r="3901" spans="1:9" x14ac:dyDescent="0.25">
      <c r="A3901" s="74"/>
      <c r="B3901" s="45">
        <v>1755</v>
      </c>
      <c r="C3901" s="64" t="s">
        <v>1647</v>
      </c>
      <c r="D3901" s="74"/>
      <c r="E3901" s="208" t="s">
        <v>136</v>
      </c>
      <c r="F3901" s="209" t="s">
        <v>21</v>
      </c>
      <c r="G3901" s="209" t="s">
        <v>21</v>
      </c>
      <c r="H3901" s="209" t="s">
        <v>16</v>
      </c>
      <c r="I3901" s="210"/>
    </row>
    <row r="3902" spans="1:9" x14ac:dyDescent="0.25">
      <c r="A3902" s="74"/>
      <c r="B3902" s="45">
        <v>674</v>
      </c>
      <c r="C3902" s="64" t="s">
        <v>1083</v>
      </c>
      <c r="D3902" s="74"/>
      <c r="E3902" s="208" t="s">
        <v>136</v>
      </c>
      <c r="F3902" s="209" t="s">
        <v>21</v>
      </c>
      <c r="G3902" s="209" t="s">
        <v>21</v>
      </c>
      <c r="H3902" s="209" t="s">
        <v>192</v>
      </c>
      <c r="I3902" s="210"/>
    </row>
    <row r="3903" spans="1:9" x14ac:dyDescent="0.25">
      <c r="A3903" s="74"/>
      <c r="B3903" s="45">
        <v>1755</v>
      </c>
      <c r="C3903" s="64" t="s">
        <v>1647</v>
      </c>
      <c r="D3903" s="74"/>
      <c r="E3903" s="208" t="s">
        <v>136</v>
      </c>
      <c r="F3903" s="209" t="s">
        <v>21</v>
      </c>
      <c r="G3903" s="209" t="s">
        <v>21</v>
      </c>
      <c r="H3903" s="209" t="s">
        <v>16</v>
      </c>
      <c r="I3903" s="210"/>
    </row>
    <row r="3904" spans="1:9" x14ac:dyDescent="0.25">
      <c r="A3904" s="74"/>
      <c r="B3904" s="45">
        <v>674</v>
      </c>
      <c r="C3904" s="64" t="s">
        <v>1083</v>
      </c>
      <c r="D3904" s="74"/>
      <c r="E3904" s="208" t="s">
        <v>136</v>
      </c>
      <c r="F3904" s="209" t="s">
        <v>21</v>
      </c>
      <c r="G3904" s="209" t="s">
        <v>21</v>
      </c>
      <c r="H3904" s="209" t="s">
        <v>192</v>
      </c>
      <c r="I3904" s="210"/>
    </row>
    <row r="3905" spans="1:9" x14ac:dyDescent="0.25">
      <c r="A3905" s="74"/>
      <c r="B3905" s="45">
        <v>1755</v>
      </c>
      <c r="C3905" s="64" t="s">
        <v>1647</v>
      </c>
      <c r="D3905" s="74"/>
      <c r="E3905" s="208" t="s">
        <v>136</v>
      </c>
      <c r="F3905" s="209" t="s">
        <v>21</v>
      </c>
      <c r="G3905" s="209" t="s">
        <v>21</v>
      </c>
      <c r="H3905" s="209" t="s">
        <v>16</v>
      </c>
      <c r="I3905" s="210"/>
    </row>
    <row r="3906" spans="1:9" x14ac:dyDescent="0.25">
      <c r="A3906" s="74"/>
      <c r="B3906" s="45">
        <v>674</v>
      </c>
      <c r="C3906" s="64" t="s">
        <v>1083</v>
      </c>
      <c r="D3906" s="74"/>
      <c r="E3906" s="208" t="s">
        <v>136</v>
      </c>
      <c r="F3906" s="209" t="s">
        <v>21</v>
      </c>
      <c r="G3906" s="209" t="s">
        <v>21</v>
      </c>
      <c r="H3906" s="209" t="s">
        <v>192</v>
      </c>
      <c r="I3906" s="210"/>
    </row>
    <row r="3907" spans="1:9" x14ac:dyDescent="0.25">
      <c r="A3907" s="74"/>
      <c r="B3907" s="45">
        <v>1755</v>
      </c>
      <c r="C3907" s="64" t="s">
        <v>1647</v>
      </c>
      <c r="D3907" s="74"/>
      <c r="E3907" s="208" t="s">
        <v>136</v>
      </c>
      <c r="F3907" s="209" t="s">
        <v>21</v>
      </c>
      <c r="G3907" s="209" t="s">
        <v>21</v>
      </c>
      <c r="H3907" s="209" t="s">
        <v>16</v>
      </c>
      <c r="I3907" s="210"/>
    </row>
    <row r="3908" spans="1:9" x14ac:dyDescent="0.25">
      <c r="A3908" s="74"/>
      <c r="B3908" s="45">
        <v>674</v>
      </c>
      <c r="C3908" s="64" t="s">
        <v>1083</v>
      </c>
      <c r="D3908" s="74"/>
      <c r="E3908" s="208" t="s">
        <v>136</v>
      </c>
      <c r="F3908" s="209" t="s">
        <v>21</v>
      </c>
      <c r="G3908" s="209" t="s">
        <v>21</v>
      </c>
      <c r="H3908" s="209" t="s">
        <v>192</v>
      </c>
      <c r="I3908" s="210"/>
    </row>
    <row r="3909" spans="1:9" x14ac:dyDescent="0.25">
      <c r="A3909" s="74"/>
      <c r="B3909" s="45">
        <v>1756</v>
      </c>
      <c r="C3909" s="64" t="s">
        <v>1833</v>
      </c>
      <c r="D3909" s="74"/>
      <c r="E3909" s="208" t="s">
        <v>136</v>
      </c>
      <c r="F3909" s="209" t="s">
        <v>21</v>
      </c>
      <c r="G3909" s="209" t="s">
        <v>21</v>
      </c>
      <c r="H3909" s="209" t="s">
        <v>272</v>
      </c>
      <c r="I3909" s="210"/>
    </row>
    <row r="3910" spans="1:9" x14ac:dyDescent="0.25">
      <c r="A3910" s="74"/>
      <c r="B3910" s="45">
        <v>1757</v>
      </c>
      <c r="C3910" s="64" t="s">
        <v>1829</v>
      </c>
      <c r="D3910" s="74"/>
      <c r="E3910" s="208" t="s">
        <v>136</v>
      </c>
      <c r="F3910" s="209" t="s">
        <v>21</v>
      </c>
      <c r="G3910" s="209" t="s">
        <v>21</v>
      </c>
      <c r="H3910" s="209" t="s">
        <v>272</v>
      </c>
      <c r="I3910" s="210"/>
    </row>
    <row r="3911" spans="1:9" x14ac:dyDescent="0.25">
      <c r="A3911" s="74"/>
      <c r="B3911" s="45">
        <v>664</v>
      </c>
      <c r="C3911" s="64" t="s">
        <v>1073</v>
      </c>
      <c r="D3911" s="74"/>
      <c r="E3911" s="208" t="s">
        <v>136</v>
      </c>
      <c r="F3911" s="209" t="s">
        <v>21</v>
      </c>
      <c r="G3911" s="209" t="s">
        <v>21</v>
      </c>
      <c r="H3911" s="209" t="s">
        <v>272</v>
      </c>
      <c r="I3911" s="210"/>
    </row>
    <row r="3912" spans="1:9" x14ac:dyDescent="0.25">
      <c r="A3912" s="74"/>
      <c r="B3912" s="45">
        <v>1758</v>
      </c>
      <c r="C3912" s="64" t="s">
        <v>1868</v>
      </c>
      <c r="D3912" s="74"/>
      <c r="E3912" s="208" t="s">
        <v>136</v>
      </c>
      <c r="F3912" s="209" t="s">
        <v>21</v>
      </c>
      <c r="G3912" s="209" t="s">
        <v>21</v>
      </c>
      <c r="H3912" s="209" t="s">
        <v>272</v>
      </c>
      <c r="I3912" s="210"/>
    </row>
    <row r="3913" spans="1:9" x14ac:dyDescent="0.25">
      <c r="A3913" s="74"/>
      <c r="B3913" s="45">
        <v>1759</v>
      </c>
      <c r="C3913" s="64" t="s">
        <v>1925</v>
      </c>
      <c r="D3913" s="74"/>
      <c r="E3913" s="208" t="s">
        <v>136</v>
      </c>
      <c r="F3913" s="209" t="s">
        <v>21</v>
      </c>
      <c r="G3913" s="209" t="s">
        <v>21</v>
      </c>
      <c r="H3913" s="209" t="s">
        <v>272</v>
      </c>
      <c r="I3913" s="210"/>
    </row>
    <row r="3914" spans="1:9" x14ac:dyDescent="0.25">
      <c r="A3914" s="74"/>
      <c r="B3914" s="45">
        <v>821</v>
      </c>
      <c r="C3914" s="64" t="s">
        <v>1230</v>
      </c>
      <c r="D3914" s="74"/>
      <c r="E3914" s="208" t="s">
        <v>136</v>
      </c>
      <c r="F3914" s="209" t="s">
        <v>21</v>
      </c>
      <c r="G3914" s="209" t="s">
        <v>21</v>
      </c>
      <c r="H3914" s="209" t="s">
        <v>198</v>
      </c>
      <c r="I3914" s="210"/>
    </row>
    <row r="3915" spans="1:9" x14ac:dyDescent="0.25">
      <c r="A3915" s="74"/>
      <c r="B3915" s="45">
        <v>669</v>
      </c>
      <c r="C3915" s="64" t="s">
        <v>1078</v>
      </c>
      <c r="D3915" s="74"/>
      <c r="E3915" s="208" t="s">
        <v>136</v>
      </c>
      <c r="F3915" s="209" t="s">
        <v>21</v>
      </c>
      <c r="G3915" s="209" t="s">
        <v>21</v>
      </c>
      <c r="H3915" s="209" t="s">
        <v>189</v>
      </c>
      <c r="I3915" s="210"/>
    </row>
    <row r="3916" spans="1:9" x14ac:dyDescent="0.25">
      <c r="A3916" s="74"/>
      <c r="B3916" s="45">
        <v>670</v>
      </c>
      <c r="C3916" s="64" t="s">
        <v>1079</v>
      </c>
      <c r="D3916" s="74"/>
      <c r="E3916" s="208" t="s">
        <v>136</v>
      </c>
      <c r="F3916" s="209" t="s">
        <v>21</v>
      </c>
      <c r="G3916" s="209" t="s">
        <v>21</v>
      </c>
      <c r="H3916" s="209" t="s">
        <v>193</v>
      </c>
      <c r="I3916" s="210"/>
    </row>
    <row r="3917" spans="1:9" x14ac:dyDescent="0.25">
      <c r="A3917" s="74"/>
      <c r="B3917" s="45">
        <v>1760</v>
      </c>
      <c r="C3917" s="64" t="s">
        <v>2028</v>
      </c>
      <c r="D3917" s="74"/>
      <c r="E3917" s="208" t="s">
        <v>279</v>
      </c>
      <c r="F3917" s="209" t="s">
        <v>21</v>
      </c>
      <c r="G3917" s="209" t="s">
        <v>21</v>
      </c>
      <c r="H3917" s="209" t="s">
        <v>16</v>
      </c>
      <c r="I3917" s="210"/>
    </row>
    <row r="3918" spans="1:9" x14ac:dyDescent="0.25">
      <c r="A3918" s="74"/>
      <c r="B3918" s="45">
        <v>667</v>
      </c>
      <c r="C3918" s="64" t="s">
        <v>1076</v>
      </c>
      <c r="D3918" s="74"/>
      <c r="E3918" s="208" t="s">
        <v>136</v>
      </c>
      <c r="F3918" s="209" t="s">
        <v>21</v>
      </c>
      <c r="G3918" s="209" t="s">
        <v>21</v>
      </c>
      <c r="H3918" s="209" t="s">
        <v>198</v>
      </c>
      <c r="I3918" s="210"/>
    </row>
    <row r="3919" spans="1:9" x14ac:dyDescent="0.25">
      <c r="A3919" s="74"/>
      <c r="B3919" s="45">
        <v>816</v>
      </c>
      <c r="C3919" s="64" t="s">
        <v>1225</v>
      </c>
      <c r="D3919" s="74"/>
      <c r="E3919" s="208" t="s">
        <v>136</v>
      </c>
      <c r="F3919" s="209" t="s">
        <v>21</v>
      </c>
      <c r="G3919" s="209" t="s">
        <v>21</v>
      </c>
      <c r="H3919" s="209" t="s">
        <v>192</v>
      </c>
      <c r="I3919" s="210"/>
    </row>
    <row r="3920" spans="1:9" x14ac:dyDescent="0.25">
      <c r="A3920" s="74"/>
      <c r="B3920" s="45">
        <v>1761</v>
      </c>
      <c r="C3920" s="64" t="s">
        <v>2029</v>
      </c>
      <c r="D3920" s="74"/>
      <c r="E3920" s="208" t="s">
        <v>136</v>
      </c>
      <c r="F3920" s="209" t="s">
        <v>21</v>
      </c>
      <c r="G3920" s="209" t="s">
        <v>21</v>
      </c>
      <c r="H3920" s="209" t="s">
        <v>192</v>
      </c>
      <c r="I3920" s="210"/>
    </row>
    <row r="3921" spans="1:9" x14ac:dyDescent="0.25">
      <c r="A3921" s="74"/>
      <c r="B3921" s="45">
        <v>716</v>
      </c>
      <c r="C3921" s="64" t="s">
        <v>1125</v>
      </c>
      <c r="D3921" s="74"/>
      <c r="E3921" s="208" t="s">
        <v>136</v>
      </c>
      <c r="F3921" s="209" t="s">
        <v>21</v>
      </c>
      <c r="G3921" s="209" t="s">
        <v>21</v>
      </c>
      <c r="H3921" s="209" t="s">
        <v>198</v>
      </c>
      <c r="I3921" s="210"/>
    </row>
    <row r="3922" spans="1:9" x14ac:dyDescent="0.25">
      <c r="A3922" s="74"/>
      <c r="B3922" s="45">
        <v>1762</v>
      </c>
      <c r="C3922" s="64" t="s">
        <v>1994</v>
      </c>
      <c r="D3922" s="74"/>
      <c r="E3922" s="208" t="s">
        <v>136</v>
      </c>
      <c r="F3922" s="209" t="s">
        <v>21</v>
      </c>
      <c r="G3922" s="209" t="s">
        <v>21</v>
      </c>
      <c r="H3922" s="209" t="s">
        <v>272</v>
      </c>
      <c r="I3922" s="210"/>
    </row>
    <row r="3923" spans="1:9" x14ac:dyDescent="0.25">
      <c r="A3923" s="74"/>
      <c r="B3923" s="45">
        <v>819</v>
      </c>
      <c r="C3923" s="64" t="s">
        <v>1228</v>
      </c>
      <c r="D3923" s="74"/>
      <c r="E3923" s="208" t="s">
        <v>136</v>
      </c>
      <c r="F3923" s="209" t="s">
        <v>21</v>
      </c>
      <c r="G3923" s="209" t="s">
        <v>21</v>
      </c>
      <c r="H3923" s="209" t="s">
        <v>198</v>
      </c>
      <c r="I3923" s="210"/>
    </row>
    <row r="3924" spans="1:9" x14ac:dyDescent="0.25">
      <c r="A3924" s="74"/>
      <c r="B3924" s="45">
        <v>818</v>
      </c>
      <c r="C3924" s="64" t="s">
        <v>1227</v>
      </c>
      <c r="D3924" s="74"/>
      <c r="E3924" s="208" t="s">
        <v>136</v>
      </c>
      <c r="F3924" s="209" t="s">
        <v>21</v>
      </c>
      <c r="G3924" s="209" t="s">
        <v>21</v>
      </c>
      <c r="H3924" s="209" t="s">
        <v>198</v>
      </c>
      <c r="I3924" s="210"/>
    </row>
    <row r="3925" spans="1:9" x14ac:dyDescent="0.25">
      <c r="A3925" s="74"/>
      <c r="B3925" s="45">
        <v>1760</v>
      </c>
      <c r="C3925" s="64" t="s">
        <v>2028</v>
      </c>
      <c r="D3925" s="74"/>
      <c r="E3925" s="208" t="s">
        <v>279</v>
      </c>
      <c r="F3925" s="209" t="s">
        <v>21</v>
      </c>
      <c r="G3925" s="209" t="s">
        <v>21</v>
      </c>
      <c r="H3925" s="209" t="s">
        <v>16</v>
      </c>
      <c r="I3925" s="210"/>
    </row>
    <row r="3926" spans="1:9" x14ac:dyDescent="0.25">
      <c r="A3926" s="74"/>
      <c r="B3926" s="45">
        <v>795</v>
      </c>
      <c r="C3926" s="64" t="s">
        <v>1204</v>
      </c>
      <c r="D3926" s="74"/>
      <c r="E3926" s="208" t="s">
        <v>136</v>
      </c>
      <c r="F3926" s="209" t="s">
        <v>21</v>
      </c>
      <c r="G3926" s="209" t="s">
        <v>21</v>
      </c>
      <c r="H3926" s="209" t="s">
        <v>192</v>
      </c>
      <c r="I3926" s="210"/>
    </row>
    <row r="3927" spans="1:9" x14ac:dyDescent="0.25">
      <c r="A3927" s="74"/>
      <c r="B3927" s="45">
        <v>734</v>
      </c>
      <c r="C3927" s="64" t="s">
        <v>1143</v>
      </c>
      <c r="D3927" s="74"/>
      <c r="E3927" s="208" t="s">
        <v>137</v>
      </c>
      <c r="F3927" s="209" t="s">
        <v>21</v>
      </c>
      <c r="G3927" s="209" t="s">
        <v>21</v>
      </c>
      <c r="H3927" s="209" t="s">
        <v>187</v>
      </c>
      <c r="I3927" s="210"/>
    </row>
    <row r="3928" spans="1:9" x14ac:dyDescent="0.25">
      <c r="A3928" s="74"/>
      <c r="B3928" s="45">
        <v>740</v>
      </c>
      <c r="C3928" s="64" t="s">
        <v>1149</v>
      </c>
      <c r="D3928" s="74"/>
      <c r="E3928" s="208" t="s">
        <v>137</v>
      </c>
      <c r="F3928" s="209" t="s">
        <v>21</v>
      </c>
      <c r="G3928" s="209" t="s">
        <v>21</v>
      </c>
      <c r="H3928" s="209" t="s">
        <v>187</v>
      </c>
      <c r="I3928" s="210"/>
    </row>
    <row r="3929" spans="1:9" x14ac:dyDescent="0.25">
      <c r="A3929" s="74"/>
      <c r="B3929" s="45">
        <v>1763</v>
      </c>
      <c r="C3929" s="64" t="s">
        <v>2030</v>
      </c>
      <c r="D3929" s="74"/>
      <c r="E3929" s="208" t="s">
        <v>129</v>
      </c>
      <c r="F3929" s="209" t="s">
        <v>21</v>
      </c>
      <c r="G3929" s="209" t="s">
        <v>21</v>
      </c>
      <c r="H3929" s="209" t="s">
        <v>183</v>
      </c>
      <c r="I3929" s="210"/>
    </row>
    <row r="3930" spans="1:9" x14ac:dyDescent="0.25">
      <c r="A3930" s="74"/>
      <c r="B3930" s="45">
        <v>1764</v>
      </c>
      <c r="C3930" s="64" t="s">
        <v>1457</v>
      </c>
      <c r="D3930" s="74"/>
      <c r="E3930" s="208" t="s">
        <v>137</v>
      </c>
      <c r="F3930" s="209" t="s">
        <v>21</v>
      </c>
      <c r="G3930" s="209" t="s">
        <v>21</v>
      </c>
      <c r="H3930" s="209" t="s">
        <v>187</v>
      </c>
      <c r="I3930" s="210"/>
    </row>
    <row r="3931" spans="1:9" x14ac:dyDescent="0.25">
      <c r="A3931" s="74"/>
      <c r="B3931" s="45">
        <v>784</v>
      </c>
      <c r="C3931" s="64" t="s">
        <v>1193</v>
      </c>
      <c r="D3931" s="74"/>
      <c r="E3931" s="208" t="s">
        <v>137</v>
      </c>
      <c r="F3931" s="209" t="s">
        <v>21</v>
      </c>
      <c r="G3931" s="209" t="s">
        <v>21</v>
      </c>
      <c r="H3931" s="209" t="s">
        <v>192</v>
      </c>
      <c r="I3931" s="210"/>
    </row>
    <row r="3932" spans="1:9" x14ac:dyDescent="0.25">
      <c r="A3932" s="74"/>
      <c r="B3932" s="45">
        <v>786</v>
      </c>
      <c r="C3932" s="64" t="s">
        <v>1195</v>
      </c>
      <c r="D3932" s="74"/>
      <c r="E3932" s="208" t="s">
        <v>137</v>
      </c>
      <c r="F3932" s="209" t="s">
        <v>21</v>
      </c>
      <c r="G3932" s="209" t="s">
        <v>21</v>
      </c>
      <c r="H3932" s="209" t="s">
        <v>192</v>
      </c>
      <c r="I3932" s="210"/>
    </row>
    <row r="3933" spans="1:9" x14ac:dyDescent="0.25">
      <c r="A3933" s="74"/>
      <c r="B3933" s="45">
        <v>673</v>
      </c>
      <c r="C3933" s="64" t="s">
        <v>1082</v>
      </c>
      <c r="D3933" s="74"/>
      <c r="E3933" s="208" t="s">
        <v>137</v>
      </c>
      <c r="F3933" s="209" t="s">
        <v>21</v>
      </c>
      <c r="G3933" s="209" t="s">
        <v>21</v>
      </c>
      <c r="H3933" s="209" t="s">
        <v>192</v>
      </c>
      <c r="I3933" s="210"/>
    </row>
    <row r="3934" spans="1:9" x14ac:dyDescent="0.25">
      <c r="A3934" s="74"/>
      <c r="B3934" s="45">
        <v>1765</v>
      </c>
      <c r="C3934" s="64" t="s">
        <v>2031</v>
      </c>
      <c r="D3934" s="74"/>
      <c r="E3934" s="208" t="s">
        <v>136</v>
      </c>
      <c r="F3934" s="209" t="s">
        <v>21</v>
      </c>
      <c r="G3934" s="209" t="s">
        <v>21</v>
      </c>
      <c r="H3934" s="209" t="s">
        <v>272</v>
      </c>
      <c r="I3934" s="210"/>
    </row>
    <row r="3935" spans="1:9" x14ac:dyDescent="0.25">
      <c r="A3935" s="74"/>
      <c r="B3935" s="45">
        <v>1766</v>
      </c>
      <c r="C3935" s="64" t="s">
        <v>2032</v>
      </c>
      <c r="D3935" s="74"/>
      <c r="E3935" s="208" t="s">
        <v>136</v>
      </c>
      <c r="F3935" s="209" t="s">
        <v>21</v>
      </c>
      <c r="G3935" s="209" t="s">
        <v>21</v>
      </c>
      <c r="H3935" s="209" t="s">
        <v>272</v>
      </c>
      <c r="I3935" s="210"/>
    </row>
    <row r="3936" spans="1:9" x14ac:dyDescent="0.25">
      <c r="A3936" s="74"/>
      <c r="B3936" s="45">
        <v>1767</v>
      </c>
      <c r="C3936" s="64" t="s">
        <v>2033</v>
      </c>
      <c r="D3936" s="74"/>
      <c r="E3936" s="208" t="s">
        <v>136</v>
      </c>
      <c r="F3936" s="209" t="s">
        <v>21</v>
      </c>
      <c r="G3936" s="209" t="s">
        <v>21</v>
      </c>
      <c r="H3936" s="209" t="s">
        <v>272</v>
      </c>
      <c r="I3936" s="210"/>
    </row>
    <row r="3937" spans="1:9" x14ac:dyDescent="0.25">
      <c r="A3937" s="74"/>
      <c r="B3937" s="45">
        <v>1768</v>
      </c>
      <c r="C3937" s="64" t="s">
        <v>2034</v>
      </c>
      <c r="D3937" s="74"/>
      <c r="E3937" s="208" t="s">
        <v>136</v>
      </c>
      <c r="F3937" s="209" t="s">
        <v>21</v>
      </c>
      <c r="G3937" s="209" t="s">
        <v>21</v>
      </c>
      <c r="H3937" s="209" t="s">
        <v>272</v>
      </c>
      <c r="I3937" s="210"/>
    </row>
    <row r="3938" spans="1:9" x14ac:dyDescent="0.25">
      <c r="A3938" s="74"/>
      <c r="B3938" s="45">
        <v>674</v>
      </c>
      <c r="C3938" s="64" t="s">
        <v>1083</v>
      </c>
      <c r="D3938" s="74"/>
      <c r="E3938" s="208" t="s">
        <v>136</v>
      </c>
      <c r="F3938" s="209" t="s">
        <v>21</v>
      </c>
      <c r="G3938" s="209" t="s">
        <v>21</v>
      </c>
      <c r="H3938" s="209" t="s">
        <v>192</v>
      </c>
      <c r="I3938" s="210"/>
    </row>
    <row r="3939" spans="1:9" x14ac:dyDescent="0.25">
      <c r="A3939" s="74"/>
      <c r="B3939" s="45">
        <v>1765</v>
      </c>
      <c r="C3939" s="64" t="s">
        <v>2031</v>
      </c>
      <c r="D3939" s="74"/>
      <c r="E3939" s="208" t="s">
        <v>136</v>
      </c>
      <c r="F3939" s="209" t="s">
        <v>21</v>
      </c>
      <c r="G3939" s="209" t="s">
        <v>21</v>
      </c>
      <c r="H3939" s="209" t="s">
        <v>272</v>
      </c>
      <c r="I3939" s="210"/>
    </row>
    <row r="3940" spans="1:9" x14ac:dyDescent="0.25">
      <c r="A3940" s="74"/>
      <c r="B3940" s="45">
        <v>1766</v>
      </c>
      <c r="C3940" s="64" t="s">
        <v>2032</v>
      </c>
      <c r="D3940" s="74"/>
      <c r="E3940" s="208" t="s">
        <v>136</v>
      </c>
      <c r="F3940" s="209" t="s">
        <v>21</v>
      </c>
      <c r="G3940" s="209" t="s">
        <v>21</v>
      </c>
      <c r="H3940" s="209" t="s">
        <v>272</v>
      </c>
      <c r="I3940" s="210"/>
    </row>
    <row r="3941" spans="1:9" x14ac:dyDescent="0.25">
      <c r="A3941" s="74"/>
      <c r="B3941" s="45">
        <v>1767</v>
      </c>
      <c r="C3941" s="64" t="s">
        <v>2033</v>
      </c>
      <c r="D3941" s="74"/>
      <c r="E3941" s="208" t="s">
        <v>136</v>
      </c>
      <c r="F3941" s="209" t="s">
        <v>21</v>
      </c>
      <c r="G3941" s="209" t="s">
        <v>21</v>
      </c>
      <c r="H3941" s="209" t="s">
        <v>272</v>
      </c>
      <c r="I3941" s="210"/>
    </row>
    <row r="3942" spans="1:9" x14ac:dyDescent="0.25">
      <c r="A3942" s="74"/>
      <c r="B3942" s="45">
        <v>1768</v>
      </c>
      <c r="C3942" s="64" t="s">
        <v>2034</v>
      </c>
      <c r="D3942" s="74"/>
      <c r="E3942" s="208" t="s">
        <v>136</v>
      </c>
      <c r="F3942" s="209" t="s">
        <v>21</v>
      </c>
      <c r="G3942" s="209" t="s">
        <v>21</v>
      </c>
      <c r="H3942" s="209" t="s">
        <v>272</v>
      </c>
      <c r="I3942" s="210"/>
    </row>
    <row r="3943" spans="1:9" x14ac:dyDescent="0.25">
      <c r="A3943" s="74"/>
      <c r="B3943" s="45">
        <v>1765</v>
      </c>
      <c r="C3943" s="64" t="s">
        <v>2031</v>
      </c>
      <c r="D3943" s="74"/>
      <c r="E3943" s="208" t="s">
        <v>136</v>
      </c>
      <c r="F3943" s="209" t="s">
        <v>21</v>
      </c>
      <c r="G3943" s="209" t="s">
        <v>21</v>
      </c>
      <c r="H3943" s="209" t="s">
        <v>272</v>
      </c>
      <c r="I3943" s="210"/>
    </row>
    <row r="3944" spans="1:9" x14ac:dyDescent="0.25">
      <c r="A3944" s="74"/>
      <c r="B3944" s="45">
        <v>1766</v>
      </c>
      <c r="C3944" s="64" t="s">
        <v>2032</v>
      </c>
      <c r="D3944" s="74"/>
      <c r="E3944" s="208" t="s">
        <v>136</v>
      </c>
      <c r="F3944" s="209" t="s">
        <v>21</v>
      </c>
      <c r="G3944" s="209" t="s">
        <v>21</v>
      </c>
      <c r="H3944" s="209" t="s">
        <v>272</v>
      </c>
      <c r="I3944" s="210"/>
    </row>
    <row r="3945" spans="1:9" x14ac:dyDescent="0.25">
      <c r="A3945" s="74"/>
      <c r="B3945" s="45">
        <v>1767</v>
      </c>
      <c r="C3945" s="64" t="s">
        <v>2033</v>
      </c>
      <c r="D3945" s="74"/>
      <c r="E3945" s="208" t="s">
        <v>136</v>
      </c>
      <c r="F3945" s="209" t="s">
        <v>21</v>
      </c>
      <c r="G3945" s="209" t="s">
        <v>21</v>
      </c>
      <c r="H3945" s="209" t="s">
        <v>272</v>
      </c>
      <c r="I3945" s="210"/>
    </row>
    <row r="3946" spans="1:9" x14ac:dyDescent="0.25">
      <c r="A3946" s="74"/>
      <c r="B3946" s="45">
        <v>1768</v>
      </c>
      <c r="C3946" s="64" t="s">
        <v>2034</v>
      </c>
      <c r="D3946" s="74"/>
      <c r="E3946" s="208" t="s">
        <v>136</v>
      </c>
      <c r="F3946" s="209" t="s">
        <v>21</v>
      </c>
      <c r="G3946" s="209" t="s">
        <v>21</v>
      </c>
      <c r="H3946" s="209" t="s">
        <v>272</v>
      </c>
      <c r="I3946" s="210"/>
    </row>
    <row r="3947" spans="1:9" x14ac:dyDescent="0.25">
      <c r="A3947" s="74"/>
      <c r="B3947" s="45">
        <v>1765</v>
      </c>
      <c r="C3947" s="64" t="s">
        <v>2031</v>
      </c>
      <c r="D3947" s="74"/>
      <c r="E3947" s="208" t="s">
        <v>136</v>
      </c>
      <c r="F3947" s="209" t="s">
        <v>21</v>
      </c>
      <c r="G3947" s="209" t="s">
        <v>21</v>
      </c>
      <c r="H3947" s="209" t="s">
        <v>272</v>
      </c>
      <c r="I3947" s="210"/>
    </row>
    <row r="3948" spans="1:9" x14ac:dyDescent="0.25">
      <c r="A3948" s="74"/>
      <c r="B3948" s="45">
        <v>1766</v>
      </c>
      <c r="C3948" s="64" t="s">
        <v>2032</v>
      </c>
      <c r="D3948" s="74"/>
      <c r="E3948" s="208" t="s">
        <v>136</v>
      </c>
      <c r="F3948" s="209" t="s">
        <v>21</v>
      </c>
      <c r="G3948" s="209" t="s">
        <v>21</v>
      </c>
      <c r="H3948" s="209" t="s">
        <v>272</v>
      </c>
      <c r="I3948" s="210"/>
    </row>
    <row r="3949" spans="1:9" x14ac:dyDescent="0.25">
      <c r="A3949" s="74"/>
      <c r="B3949" s="45">
        <v>1767</v>
      </c>
      <c r="C3949" s="64" t="s">
        <v>2033</v>
      </c>
      <c r="D3949" s="74"/>
      <c r="E3949" s="208" t="s">
        <v>136</v>
      </c>
      <c r="F3949" s="209" t="s">
        <v>21</v>
      </c>
      <c r="G3949" s="209" t="s">
        <v>21</v>
      </c>
      <c r="H3949" s="209" t="s">
        <v>272</v>
      </c>
      <c r="I3949" s="210"/>
    </row>
    <row r="3950" spans="1:9" x14ac:dyDescent="0.25">
      <c r="A3950" s="74"/>
      <c r="B3950" s="45">
        <v>1768</v>
      </c>
      <c r="C3950" s="64" t="s">
        <v>2034</v>
      </c>
      <c r="D3950" s="74"/>
      <c r="E3950" s="208" t="s">
        <v>136</v>
      </c>
      <c r="F3950" s="209" t="s">
        <v>21</v>
      </c>
      <c r="G3950" s="209" t="s">
        <v>21</v>
      </c>
      <c r="H3950" s="209" t="s">
        <v>272</v>
      </c>
      <c r="I3950" s="210"/>
    </row>
    <row r="3951" spans="1:9" x14ac:dyDescent="0.25">
      <c r="A3951" s="74"/>
      <c r="B3951" s="45">
        <v>1769</v>
      </c>
      <c r="C3951" s="64" t="s">
        <v>2035</v>
      </c>
      <c r="D3951" s="74"/>
      <c r="E3951" s="208" t="s">
        <v>136</v>
      </c>
      <c r="F3951" s="209" t="s">
        <v>21</v>
      </c>
      <c r="G3951" s="209" t="s">
        <v>21</v>
      </c>
      <c r="H3951" s="209" t="s">
        <v>272</v>
      </c>
      <c r="I3951" s="210"/>
    </row>
    <row r="3952" spans="1:9" x14ac:dyDescent="0.25">
      <c r="A3952" s="74"/>
      <c r="B3952" s="45">
        <v>1770</v>
      </c>
      <c r="C3952" s="64" t="s">
        <v>2036</v>
      </c>
      <c r="D3952" s="74"/>
      <c r="E3952" s="208" t="s">
        <v>136</v>
      </c>
      <c r="F3952" s="209" t="s">
        <v>21</v>
      </c>
      <c r="G3952" s="209" t="s">
        <v>21</v>
      </c>
      <c r="H3952" s="209" t="s">
        <v>272</v>
      </c>
      <c r="I3952" s="210"/>
    </row>
    <row r="3953" spans="1:9" x14ac:dyDescent="0.25">
      <c r="A3953" s="74"/>
      <c r="B3953" s="45">
        <v>681</v>
      </c>
      <c r="C3953" s="64" t="s">
        <v>1090</v>
      </c>
      <c r="D3953" s="74"/>
      <c r="E3953" s="208" t="s">
        <v>136</v>
      </c>
      <c r="F3953" s="209" t="s">
        <v>21</v>
      </c>
      <c r="G3953" s="209" t="s">
        <v>21</v>
      </c>
      <c r="H3953" s="209" t="s">
        <v>192</v>
      </c>
      <c r="I3953" s="210"/>
    </row>
    <row r="3954" spans="1:9" x14ac:dyDescent="0.25">
      <c r="A3954" s="74"/>
      <c r="B3954" s="45">
        <v>1771</v>
      </c>
      <c r="C3954" s="64" t="s">
        <v>2037</v>
      </c>
      <c r="D3954" s="74"/>
      <c r="E3954" s="208" t="s">
        <v>136</v>
      </c>
      <c r="F3954" s="209" t="s">
        <v>21</v>
      </c>
      <c r="G3954" s="209" t="s">
        <v>21</v>
      </c>
      <c r="H3954" s="209" t="s">
        <v>272</v>
      </c>
      <c r="I3954" s="210"/>
    </row>
    <row r="3955" spans="1:9" x14ac:dyDescent="0.25">
      <c r="A3955" s="74"/>
      <c r="B3955" s="45">
        <v>1772</v>
      </c>
      <c r="C3955" s="64" t="s">
        <v>2038</v>
      </c>
      <c r="D3955" s="74"/>
      <c r="E3955" s="208" t="s">
        <v>136</v>
      </c>
      <c r="F3955" s="209" t="s">
        <v>21</v>
      </c>
      <c r="G3955" s="209" t="s">
        <v>21</v>
      </c>
      <c r="H3955" s="209" t="s">
        <v>272</v>
      </c>
      <c r="I3955" s="210"/>
    </row>
    <row r="3956" spans="1:9" x14ac:dyDescent="0.25">
      <c r="A3956" s="74"/>
      <c r="B3956" s="45">
        <v>1773</v>
      </c>
      <c r="C3956" s="64" t="s">
        <v>1679</v>
      </c>
      <c r="D3956" s="74"/>
      <c r="E3956" s="208" t="s">
        <v>136</v>
      </c>
      <c r="F3956" s="209" t="s">
        <v>21</v>
      </c>
      <c r="G3956" s="209" t="s">
        <v>21</v>
      </c>
      <c r="H3956" s="209" t="s">
        <v>272</v>
      </c>
      <c r="I3956" s="210"/>
    </row>
    <row r="3957" spans="1:9" x14ac:dyDescent="0.25">
      <c r="A3957" s="74"/>
      <c r="B3957" s="45">
        <v>1774</v>
      </c>
      <c r="C3957" s="64" t="s">
        <v>2039</v>
      </c>
      <c r="D3957" s="74"/>
      <c r="E3957" s="208" t="s">
        <v>136</v>
      </c>
      <c r="F3957" s="209" t="s">
        <v>21</v>
      </c>
      <c r="G3957" s="209" t="s">
        <v>21</v>
      </c>
      <c r="H3957" s="209" t="s">
        <v>272</v>
      </c>
      <c r="I3957" s="210"/>
    </row>
    <row r="3958" spans="1:9" x14ac:dyDescent="0.25">
      <c r="A3958" s="74"/>
      <c r="B3958" s="45">
        <v>680</v>
      </c>
      <c r="C3958" s="64" t="s">
        <v>1089</v>
      </c>
      <c r="D3958" s="74"/>
      <c r="E3958" s="208" t="s">
        <v>136</v>
      </c>
      <c r="F3958" s="209" t="s">
        <v>21</v>
      </c>
      <c r="G3958" s="209" t="s">
        <v>21</v>
      </c>
      <c r="H3958" s="209" t="s">
        <v>192</v>
      </c>
      <c r="I3958" s="210"/>
    </row>
    <row r="3959" spans="1:9" x14ac:dyDescent="0.25">
      <c r="A3959" s="74"/>
      <c r="B3959" s="45">
        <v>1775</v>
      </c>
      <c r="C3959" s="64" t="s">
        <v>2040</v>
      </c>
      <c r="D3959" s="74"/>
      <c r="E3959" s="208" t="s">
        <v>136</v>
      </c>
      <c r="F3959" s="209" t="s">
        <v>21</v>
      </c>
      <c r="G3959" s="209" t="s">
        <v>21</v>
      </c>
      <c r="H3959" s="209" t="s">
        <v>272</v>
      </c>
      <c r="I3959" s="210"/>
    </row>
    <row r="3960" spans="1:9" x14ac:dyDescent="0.25">
      <c r="A3960" s="74"/>
      <c r="B3960" s="45">
        <v>1771</v>
      </c>
      <c r="C3960" s="64" t="s">
        <v>2037</v>
      </c>
      <c r="D3960" s="74"/>
      <c r="E3960" s="208" t="s">
        <v>136</v>
      </c>
      <c r="F3960" s="209" t="s">
        <v>21</v>
      </c>
      <c r="G3960" s="209" t="s">
        <v>21</v>
      </c>
      <c r="H3960" s="209" t="s">
        <v>272</v>
      </c>
      <c r="I3960" s="210"/>
    </row>
    <row r="3961" spans="1:9" x14ac:dyDescent="0.25">
      <c r="A3961" s="74"/>
      <c r="B3961" s="45">
        <v>1772</v>
      </c>
      <c r="C3961" s="64" t="s">
        <v>2038</v>
      </c>
      <c r="D3961" s="74"/>
      <c r="E3961" s="208" t="s">
        <v>136</v>
      </c>
      <c r="F3961" s="209" t="s">
        <v>21</v>
      </c>
      <c r="G3961" s="209" t="s">
        <v>21</v>
      </c>
      <c r="H3961" s="209" t="s">
        <v>272</v>
      </c>
      <c r="I3961" s="210"/>
    </row>
    <row r="3962" spans="1:9" x14ac:dyDescent="0.25">
      <c r="A3962" s="74"/>
      <c r="B3962" s="45">
        <v>1773</v>
      </c>
      <c r="C3962" s="64" t="s">
        <v>1679</v>
      </c>
      <c r="D3962" s="74"/>
      <c r="E3962" s="208" t="s">
        <v>136</v>
      </c>
      <c r="F3962" s="209" t="s">
        <v>21</v>
      </c>
      <c r="G3962" s="209" t="s">
        <v>21</v>
      </c>
      <c r="H3962" s="209" t="s">
        <v>272</v>
      </c>
      <c r="I3962" s="210"/>
    </row>
    <row r="3963" spans="1:9" x14ac:dyDescent="0.25">
      <c r="A3963" s="74"/>
      <c r="B3963" s="45">
        <v>1774</v>
      </c>
      <c r="C3963" s="64" t="s">
        <v>2039</v>
      </c>
      <c r="D3963" s="74"/>
      <c r="E3963" s="208" t="s">
        <v>136</v>
      </c>
      <c r="F3963" s="209" t="s">
        <v>21</v>
      </c>
      <c r="G3963" s="209" t="s">
        <v>21</v>
      </c>
      <c r="H3963" s="209" t="s">
        <v>272</v>
      </c>
      <c r="I3963" s="210"/>
    </row>
    <row r="3964" spans="1:9" x14ac:dyDescent="0.25">
      <c r="A3964" s="74"/>
      <c r="B3964" s="45">
        <v>681</v>
      </c>
      <c r="C3964" s="64" t="s">
        <v>1090</v>
      </c>
      <c r="D3964" s="74"/>
      <c r="E3964" s="208" t="s">
        <v>136</v>
      </c>
      <c r="F3964" s="209" t="s">
        <v>21</v>
      </c>
      <c r="G3964" s="209" t="s">
        <v>21</v>
      </c>
      <c r="H3964" s="209" t="s">
        <v>192</v>
      </c>
      <c r="I3964" s="210"/>
    </row>
    <row r="3965" spans="1:9" x14ac:dyDescent="0.25">
      <c r="A3965" s="74"/>
      <c r="B3965" s="45">
        <v>680</v>
      </c>
      <c r="C3965" s="64" t="s">
        <v>1089</v>
      </c>
      <c r="D3965" s="74"/>
      <c r="E3965" s="208" t="s">
        <v>136</v>
      </c>
      <c r="F3965" s="209" t="s">
        <v>21</v>
      </c>
      <c r="G3965" s="209" t="s">
        <v>21</v>
      </c>
      <c r="H3965" s="209" t="s">
        <v>192</v>
      </c>
      <c r="I3965" s="210"/>
    </row>
    <row r="3966" spans="1:9" x14ac:dyDescent="0.25">
      <c r="A3966" s="74"/>
      <c r="B3966" s="45">
        <v>1775</v>
      </c>
      <c r="C3966" s="64" t="s">
        <v>2040</v>
      </c>
      <c r="D3966" s="74"/>
      <c r="E3966" s="208" t="s">
        <v>136</v>
      </c>
      <c r="F3966" s="209" t="s">
        <v>21</v>
      </c>
      <c r="G3966" s="209" t="s">
        <v>21</v>
      </c>
      <c r="H3966" s="209" t="s">
        <v>272</v>
      </c>
      <c r="I3966" s="210"/>
    </row>
    <row r="3967" spans="1:9" x14ac:dyDescent="0.25">
      <c r="A3967" s="74"/>
      <c r="B3967" s="45">
        <v>1771</v>
      </c>
      <c r="C3967" s="64" t="s">
        <v>2037</v>
      </c>
      <c r="D3967" s="74"/>
      <c r="E3967" s="208" t="s">
        <v>136</v>
      </c>
      <c r="F3967" s="209" t="s">
        <v>21</v>
      </c>
      <c r="G3967" s="209" t="s">
        <v>21</v>
      </c>
      <c r="H3967" s="209" t="s">
        <v>272</v>
      </c>
      <c r="I3967" s="210"/>
    </row>
    <row r="3968" spans="1:9" x14ac:dyDescent="0.25">
      <c r="A3968" s="74"/>
      <c r="B3968" s="45">
        <v>1772</v>
      </c>
      <c r="C3968" s="64" t="s">
        <v>2038</v>
      </c>
      <c r="D3968" s="74"/>
      <c r="E3968" s="208" t="s">
        <v>136</v>
      </c>
      <c r="F3968" s="209" t="s">
        <v>21</v>
      </c>
      <c r="G3968" s="209" t="s">
        <v>21</v>
      </c>
      <c r="H3968" s="209" t="s">
        <v>272</v>
      </c>
      <c r="I3968" s="210"/>
    </row>
    <row r="3969" spans="1:9" x14ac:dyDescent="0.25">
      <c r="A3969" s="74"/>
      <c r="B3969" s="45">
        <v>1773</v>
      </c>
      <c r="C3969" s="64" t="s">
        <v>1679</v>
      </c>
      <c r="D3969" s="74"/>
      <c r="E3969" s="208" t="s">
        <v>136</v>
      </c>
      <c r="F3969" s="209" t="s">
        <v>21</v>
      </c>
      <c r="G3969" s="209" t="s">
        <v>21</v>
      </c>
      <c r="H3969" s="209" t="s">
        <v>272</v>
      </c>
      <c r="I3969" s="210"/>
    </row>
    <row r="3970" spans="1:9" x14ac:dyDescent="0.25">
      <c r="A3970" s="74"/>
      <c r="B3970" s="45">
        <v>1774</v>
      </c>
      <c r="C3970" s="64" t="s">
        <v>2039</v>
      </c>
      <c r="D3970" s="74"/>
      <c r="E3970" s="208" t="s">
        <v>136</v>
      </c>
      <c r="F3970" s="209" t="s">
        <v>21</v>
      </c>
      <c r="G3970" s="209" t="s">
        <v>21</v>
      </c>
      <c r="H3970" s="209" t="s">
        <v>272</v>
      </c>
      <c r="I3970" s="210"/>
    </row>
    <row r="3971" spans="1:9" x14ac:dyDescent="0.25">
      <c r="A3971" s="74"/>
      <c r="B3971" s="45">
        <v>680</v>
      </c>
      <c r="C3971" s="64" t="s">
        <v>1089</v>
      </c>
      <c r="D3971" s="74"/>
      <c r="E3971" s="208" t="s">
        <v>136</v>
      </c>
      <c r="F3971" s="209" t="s">
        <v>21</v>
      </c>
      <c r="G3971" s="209" t="s">
        <v>21</v>
      </c>
      <c r="H3971" s="209" t="s">
        <v>192</v>
      </c>
      <c r="I3971" s="210"/>
    </row>
    <row r="3972" spans="1:9" x14ac:dyDescent="0.25">
      <c r="A3972" s="74"/>
      <c r="B3972" s="45">
        <v>1775</v>
      </c>
      <c r="C3972" s="64" t="s">
        <v>2040</v>
      </c>
      <c r="D3972" s="74"/>
      <c r="E3972" s="208" t="s">
        <v>136</v>
      </c>
      <c r="F3972" s="209" t="s">
        <v>21</v>
      </c>
      <c r="G3972" s="209" t="s">
        <v>21</v>
      </c>
      <c r="H3972" s="209" t="s">
        <v>272</v>
      </c>
      <c r="I3972" s="210"/>
    </row>
    <row r="3973" spans="1:9" x14ac:dyDescent="0.25">
      <c r="A3973" s="74"/>
      <c r="B3973" s="45">
        <v>1771</v>
      </c>
      <c r="C3973" s="64" t="s">
        <v>2037</v>
      </c>
      <c r="D3973" s="74"/>
      <c r="E3973" s="208" t="s">
        <v>136</v>
      </c>
      <c r="F3973" s="209" t="s">
        <v>21</v>
      </c>
      <c r="G3973" s="209" t="s">
        <v>21</v>
      </c>
      <c r="H3973" s="209" t="s">
        <v>272</v>
      </c>
      <c r="I3973" s="210"/>
    </row>
    <row r="3974" spans="1:9" x14ac:dyDescent="0.25">
      <c r="A3974" s="74"/>
      <c r="B3974" s="45">
        <v>1772</v>
      </c>
      <c r="C3974" s="64" t="s">
        <v>2038</v>
      </c>
      <c r="D3974" s="74"/>
      <c r="E3974" s="208" t="s">
        <v>136</v>
      </c>
      <c r="F3974" s="209" t="s">
        <v>21</v>
      </c>
      <c r="G3974" s="209" t="s">
        <v>21</v>
      </c>
      <c r="H3974" s="209" t="s">
        <v>272</v>
      </c>
      <c r="I3974" s="210"/>
    </row>
    <row r="3975" spans="1:9" x14ac:dyDescent="0.25">
      <c r="A3975" s="74"/>
      <c r="B3975" s="45">
        <v>1773</v>
      </c>
      <c r="C3975" s="64" t="s">
        <v>1679</v>
      </c>
      <c r="D3975" s="74"/>
      <c r="E3975" s="208" t="s">
        <v>136</v>
      </c>
      <c r="F3975" s="209" t="s">
        <v>21</v>
      </c>
      <c r="G3975" s="209" t="s">
        <v>21</v>
      </c>
      <c r="H3975" s="209" t="s">
        <v>272</v>
      </c>
      <c r="I3975" s="210"/>
    </row>
    <row r="3976" spans="1:9" x14ac:dyDescent="0.25">
      <c r="A3976" s="74"/>
      <c r="B3976" s="45">
        <v>1774</v>
      </c>
      <c r="C3976" s="64" t="s">
        <v>2039</v>
      </c>
      <c r="D3976" s="74"/>
      <c r="E3976" s="208" t="s">
        <v>136</v>
      </c>
      <c r="F3976" s="209" t="s">
        <v>21</v>
      </c>
      <c r="G3976" s="209" t="s">
        <v>21</v>
      </c>
      <c r="H3976" s="209" t="s">
        <v>272</v>
      </c>
      <c r="I3976" s="210"/>
    </row>
    <row r="3977" spans="1:9" x14ac:dyDescent="0.25">
      <c r="A3977" s="74"/>
      <c r="B3977" s="45">
        <v>680</v>
      </c>
      <c r="C3977" s="64" t="s">
        <v>1089</v>
      </c>
      <c r="D3977" s="74"/>
      <c r="E3977" s="208" t="s">
        <v>136</v>
      </c>
      <c r="F3977" s="209" t="s">
        <v>21</v>
      </c>
      <c r="G3977" s="209" t="s">
        <v>21</v>
      </c>
      <c r="H3977" s="209" t="s">
        <v>192</v>
      </c>
      <c r="I3977" s="210"/>
    </row>
    <row r="3978" spans="1:9" x14ac:dyDescent="0.25">
      <c r="A3978" s="74"/>
      <c r="B3978" s="45">
        <v>1775</v>
      </c>
      <c r="C3978" s="64" t="s">
        <v>2040</v>
      </c>
      <c r="D3978" s="74"/>
      <c r="E3978" s="208" t="s">
        <v>136</v>
      </c>
      <c r="F3978" s="209" t="s">
        <v>21</v>
      </c>
      <c r="G3978" s="209" t="s">
        <v>21</v>
      </c>
      <c r="H3978" s="209" t="s">
        <v>272</v>
      </c>
      <c r="I3978" s="210"/>
    </row>
    <row r="3979" spans="1:9" x14ac:dyDescent="0.25">
      <c r="A3979" s="74"/>
      <c r="B3979" s="45">
        <v>1776</v>
      </c>
      <c r="C3979" s="64" t="s">
        <v>1770</v>
      </c>
      <c r="D3979" s="74"/>
      <c r="E3979" s="208" t="s">
        <v>136</v>
      </c>
      <c r="F3979" s="209" t="s">
        <v>21</v>
      </c>
      <c r="G3979" s="209" t="s">
        <v>21</v>
      </c>
      <c r="H3979" s="209" t="s">
        <v>272</v>
      </c>
      <c r="I3979" s="210"/>
    </row>
    <row r="3980" spans="1:9" x14ac:dyDescent="0.25">
      <c r="A3980" s="74"/>
      <c r="B3980" s="45">
        <v>1762</v>
      </c>
      <c r="C3980" s="64" t="s">
        <v>1994</v>
      </c>
      <c r="D3980" s="74"/>
      <c r="E3980" s="208" t="s">
        <v>136</v>
      </c>
      <c r="F3980" s="209" t="s">
        <v>21</v>
      </c>
      <c r="G3980" s="209" t="s">
        <v>21</v>
      </c>
      <c r="H3980" s="209" t="s">
        <v>272</v>
      </c>
      <c r="I3980" s="210"/>
    </row>
    <row r="3981" spans="1:9" x14ac:dyDescent="0.25">
      <c r="A3981" s="74"/>
      <c r="B3981" s="45">
        <v>1777</v>
      </c>
      <c r="C3981" s="64" t="s">
        <v>1739</v>
      </c>
      <c r="D3981" s="74"/>
      <c r="E3981" s="208" t="s">
        <v>136</v>
      </c>
      <c r="F3981" s="209" t="s">
        <v>21</v>
      </c>
      <c r="G3981" s="209" t="s">
        <v>21</v>
      </c>
      <c r="H3981" s="209" t="s">
        <v>272</v>
      </c>
      <c r="I3981" s="210"/>
    </row>
    <row r="3982" spans="1:9" x14ac:dyDescent="0.25">
      <c r="A3982" s="74"/>
      <c r="B3982" s="45">
        <v>1778</v>
      </c>
      <c r="C3982" s="64" t="s">
        <v>1949</v>
      </c>
      <c r="D3982" s="74"/>
      <c r="E3982" s="208" t="s">
        <v>136</v>
      </c>
      <c r="F3982" s="209" t="s">
        <v>21</v>
      </c>
      <c r="G3982" s="209" t="s">
        <v>21</v>
      </c>
      <c r="H3982" s="209" t="s">
        <v>272</v>
      </c>
      <c r="I3982" s="210"/>
    </row>
    <row r="3983" spans="1:9" x14ac:dyDescent="0.25">
      <c r="A3983" s="74"/>
      <c r="B3983" s="45">
        <v>1779</v>
      </c>
      <c r="C3983" s="64" t="s">
        <v>2041</v>
      </c>
      <c r="D3983" s="74"/>
      <c r="E3983" s="208" t="s">
        <v>136</v>
      </c>
      <c r="F3983" s="209" t="s">
        <v>21</v>
      </c>
      <c r="G3983" s="209" t="s">
        <v>21</v>
      </c>
      <c r="H3983" s="209" t="s">
        <v>272</v>
      </c>
      <c r="I3983" s="210"/>
    </row>
    <row r="3984" spans="1:9" x14ac:dyDescent="0.25">
      <c r="A3984" s="74"/>
      <c r="B3984" s="45">
        <v>1780</v>
      </c>
      <c r="C3984" s="64" t="s">
        <v>2042</v>
      </c>
      <c r="D3984" s="74"/>
      <c r="E3984" s="208" t="s">
        <v>136</v>
      </c>
      <c r="F3984" s="209" t="s">
        <v>21</v>
      </c>
      <c r="G3984" s="209" t="s">
        <v>21</v>
      </c>
      <c r="H3984" s="209" t="s">
        <v>272</v>
      </c>
      <c r="I3984" s="210"/>
    </row>
    <row r="3985" spans="1:9" x14ac:dyDescent="0.25">
      <c r="A3985" s="74"/>
      <c r="B3985" s="45">
        <v>1781</v>
      </c>
      <c r="C3985" s="64" t="s">
        <v>1980</v>
      </c>
      <c r="D3985" s="74"/>
      <c r="E3985" s="208" t="s">
        <v>136</v>
      </c>
      <c r="F3985" s="209" t="s">
        <v>21</v>
      </c>
      <c r="G3985" s="209" t="s">
        <v>21</v>
      </c>
      <c r="H3985" s="209" t="s">
        <v>272</v>
      </c>
      <c r="I3985" s="210"/>
    </row>
    <row r="3986" spans="1:9" x14ac:dyDescent="0.25">
      <c r="A3986" s="74"/>
      <c r="B3986" s="45">
        <v>1782</v>
      </c>
      <c r="C3986" s="64" t="s">
        <v>2043</v>
      </c>
      <c r="D3986" s="74"/>
      <c r="E3986" s="208" t="s">
        <v>136</v>
      </c>
      <c r="F3986" s="209" t="s">
        <v>21</v>
      </c>
      <c r="G3986" s="209" t="s">
        <v>21</v>
      </c>
      <c r="H3986" s="209" t="s">
        <v>272</v>
      </c>
      <c r="I3986" s="210"/>
    </row>
    <row r="3987" spans="1:9" x14ac:dyDescent="0.25">
      <c r="A3987" s="74"/>
      <c r="B3987" s="45">
        <v>1783</v>
      </c>
      <c r="C3987" s="64" t="s">
        <v>2044</v>
      </c>
      <c r="D3987" s="74"/>
      <c r="E3987" s="208" t="s">
        <v>136</v>
      </c>
      <c r="F3987" s="209" t="s">
        <v>21</v>
      </c>
      <c r="G3987" s="209" t="s">
        <v>21</v>
      </c>
      <c r="H3987" s="209" t="s">
        <v>272</v>
      </c>
      <c r="I3987" s="210"/>
    </row>
    <row r="3988" spans="1:9" x14ac:dyDescent="0.25">
      <c r="A3988" s="74"/>
      <c r="B3988" s="45">
        <v>688</v>
      </c>
      <c r="C3988" s="64" t="s">
        <v>1097</v>
      </c>
      <c r="D3988" s="74"/>
      <c r="E3988" s="208" t="s">
        <v>136</v>
      </c>
      <c r="F3988" s="209" t="s">
        <v>21</v>
      </c>
      <c r="G3988" s="209" t="s">
        <v>21</v>
      </c>
      <c r="H3988" s="209" t="s">
        <v>192</v>
      </c>
      <c r="I3988" s="210"/>
    </row>
    <row r="3989" spans="1:9" x14ac:dyDescent="0.25">
      <c r="A3989" s="74"/>
      <c r="B3989" s="45">
        <v>1776</v>
      </c>
      <c r="C3989" s="64" t="s">
        <v>1770</v>
      </c>
      <c r="D3989" s="74"/>
      <c r="E3989" s="208" t="s">
        <v>136</v>
      </c>
      <c r="F3989" s="209" t="s">
        <v>21</v>
      </c>
      <c r="G3989" s="209" t="s">
        <v>21</v>
      </c>
      <c r="H3989" s="209" t="s">
        <v>272</v>
      </c>
      <c r="I3989" s="210"/>
    </row>
    <row r="3990" spans="1:9" x14ac:dyDescent="0.25">
      <c r="A3990" s="74"/>
      <c r="B3990" s="45">
        <v>1762</v>
      </c>
      <c r="C3990" s="64" t="s">
        <v>1994</v>
      </c>
      <c r="D3990" s="74"/>
      <c r="E3990" s="208" t="s">
        <v>136</v>
      </c>
      <c r="F3990" s="209" t="s">
        <v>21</v>
      </c>
      <c r="G3990" s="209" t="s">
        <v>21</v>
      </c>
      <c r="H3990" s="209" t="s">
        <v>272</v>
      </c>
      <c r="I3990" s="210"/>
    </row>
    <row r="3991" spans="1:9" x14ac:dyDescent="0.25">
      <c r="A3991" s="74"/>
      <c r="B3991" s="45">
        <v>1777</v>
      </c>
      <c r="C3991" s="64" t="s">
        <v>1739</v>
      </c>
      <c r="D3991" s="74"/>
      <c r="E3991" s="208" t="s">
        <v>136</v>
      </c>
      <c r="F3991" s="209" t="s">
        <v>21</v>
      </c>
      <c r="G3991" s="209" t="s">
        <v>21</v>
      </c>
      <c r="H3991" s="209" t="s">
        <v>272</v>
      </c>
      <c r="I3991" s="210"/>
    </row>
    <row r="3992" spans="1:9" x14ac:dyDescent="0.25">
      <c r="A3992" s="74"/>
      <c r="B3992" s="45">
        <v>1778</v>
      </c>
      <c r="C3992" s="64" t="s">
        <v>1949</v>
      </c>
      <c r="D3992" s="74"/>
      <c r="E3992" s="208" t="s">
        <v>136</v>
      </c>
      <c r="F3992" s="209" t="s">
        <v>21</v>
      </c>
      <c r="G3992" s="209" t="s">
        <v>21</v>
      </c>
      <c r="H3992" s="209" t="s">
        <v>272</v>
      </c>
      <c r="I3992" s="210"/>
    </row>
    <row r="3993" spans="1:9" x14ac:dyDescent="0.25">
      <c r="A3993" s="74"/>
      <c r="B3993" s="45">
        <v>1779</v>
      </c>
      <c r="C3993" s="64" t="s">
        <v>2041</v>
      </c>
      <c r="D3993" s="74"/>
      <c r="E3993" s="208" t="s">
        <v>136</v>
      </c>
      <c r="F3993" s="209" t="s">
        <v>21</v>
      </c>
      <c r="G3993" s="209" t="s">
        <v>21</v>
      </c>
      <c r="H3993" s="209" t="s">
        <v>272</v>
      </c>
      <c r="I3993" s="210"/>
    </row>
    <row r="3994" spans="1:9" x14ac:dyDescent="0.25">
      <c r="A3994" s="74"/>
      <c r="B3994" s="45">
        <v>1780</v>
      </c>
      <c r="C3994" s="64" t="s">
        <v>2042</v>
      </c>
      <c r="D3994" s="74"/>
      <c r="E3994" s="208" t="s">
        <v>136</v>
      </c>
      <c r="F3994" s="209" t="s">
        <v>21</v>
      </c>
      <c r="G3994" s="209" t="s">
        <v>21</v>
      </c>
      <c r="H3994" s="209" t="s">
        <v>272</v>
      </c>
      <c r="I3994" s="210"/>
    </row>
    <row r="3995" spans="1:9" x14ac:dyDescent="0.25">
      <c r="A3995" s="74"/>
      <c r="B3995" s="45">
        <v>1781</v>
      </c>
      <c r="C3995" s="64" t="s">
        <v>1980</v>
      </c>
      <c r="D3995" s="74"/>
      <c r="E3995" s="208" t="s">
        <v>136</v>
      </c>
      <c r="F3995" s="209" t="s">
        <v>21</v>
      </c>
      <c r="G3995" s="209" t="s">
        <v>21</v>
      </c>
      <c r="H3995" s="209" t="s">
        <v>272</v>
      </c>
      <c r="I3995" s="210"/>
    </row>
    <row r="3996" spans="1:9" x14ac:dyDescent="0.25">
      <c r="A3996" s="74"/>
      <c r="B3996" s="45">
        <v>1782</v>
      </c>
      <c r="C3996" s="64" t="s">
        <v>2043</v>
      </c>
      <c r="D3996" s="74"/>
      <c r="E3996" s="208" t="s">
        <v>136</v>
      </c>
      <c r="F3996" s="209" t="s">
        <v>21</v>
      </c>
      <c r="G3996" s="209" t="s">
        <v>21</v>
      </c>
      <c r="H3996" s="209" t="s">
        <v>272</v>
      </c>
      <c r="I3996" s="210"/>
    </row>
    <row r="3997" spans="1:9" x14ac:dyDescent="0.25">
      <c r="A3997" s="74"/>
      <c r="B3997" s="45">
        <v>1783</v>
      </c>
      <c r="C3997" s="64" t="s">
        <v>2044</v>
      </c>
      <c r="D3997" s="74"/>
      <c r="E3997" s="208" t="s">
        <v>136</v>
      </c>
      <c r="F3997" s="209" t="s">
        <v>21</v>
      </c>
      <c r="G3997" s="209" t="s">
        <v>21</v>
      </c>
      <c r="H3997" s="209" t="s">
        <v>272</v>
      </c>
      <c r="I3997" s="210"/>
    </row>
    <row r="3998" spans="1:9" x14ac:dyDescent="0.25">
      <c r="A3998" s="74"/>
      <c r="B3998" s="45">
        <v>688</v>
      </c>
      <c r="C3998" s="64" t="s">
        <v>1097</v>
      </c>
      <c r="D3998" s="74"/>
      <c r="E3998" s="208" t="s">
        <v>136</v>
      </c>
      <c r="F3998" s="209" t="s">
        <v>21</v>
      </c>
      <c r="G3998" s="209" t="s">
        <v>21</v>
      </c>
      <c r="H3998" s="209" t="s">
        <v>192</v>
      </c>
      <c r="I3998" s="210"/>
    </row>
    <row r="3999" spans="1:9" x14ac:dyDescent="0.25">
      <c r="A3999" s="74"/>
      <c r="B3999" s="45">
        <v>1776</v>
      </c>
      <c r="C3999" s="64" t="s">
        <v>1770</v>
      </c>
      <c r="D3999" s="74"/>
      <c r="E3999" s="208" t="s">
        <v>136</v>
      </c>
      <c r="F3999" s="209" t="s">
        <v>21</v>
      </c>
      <c r="G3999" s="209" t="s">
        <v>21</v>
      </c>
      <c r="H3999" s="209" t="s">
        <v>272</v>
      </c>
      <c r="I3999" s="210"/>
    </row>
    <row r="4000" spans="1:9" x14ac:dyDescent="0.25">
      <c r="A4000" s="74"/>
      <c r="B4000" s="45">
        <v>1762</v>
      </c>
      <c r="C4000" s="64" t="s">
        <v>1994</v>
      </c>
      <c r="D4000" s="74"/>
      <c r="E4000" s="208" t="s">
        <v>136</v>
      </c>
      <c r="F4000" s="209" t="s">
        <v>21</v>
      </c>
      <c r="G4000" s="209" t="s">
        <v>21</v>
      </c>
      <c r="H4000" s="209" t="s">
        <v>272</v>
      </c>
      <c r="I4000" s="210"/>
    </row>
    <row r="4001" spans="1:9" x14ac:dyDescent="0.25">
      <c r="A4001" s="74"/>
      <c r="B4001" s="45">
        <v>1777</v>
      </c>
      <c r="C4001" s="64" t="s">
        <v>1739</v>
      </c>
      <c r="D4001" s="74"/>
      <c r="E4001" s="208" t="s">
        <v>136</v>
      </c>
      <c r="F4001" s="209" t="s">
        <v>21</v>
      </c>
      <c r="G4001" s="209" t="s">
        <v>21</v>
      </c>
      <c r="H4001" s="209" t="s">
        <v>272</v>
      </c>
      <c r="I4001" s="210"/>
    </row>
    <row r="4002" spans="1:9" x14ac:dyDescent="0.25">
      <c r="A4002" s="74"/>
      <c r="B4002" s="45">
        <v>1778</v>
      </c>
      <c r="C4002" s="64" t="s">
        <v>1949</v>
      </c>
      <c r="D4002" s="74"/>
      <c r="E4002" s="208" t="s">
        <v>136</v>
      </c>
      <c r="F4002" s="209" t="s">
        <v>21</v>
      </c>
      <c r="G4002" s="209" t="s">
        <v>21</v>
      </c>
      <c r="H4002" s="209" t="s">
        <v>272</v>
      </c>
      <c r="I4002" s="210"/>
    </row>
    <row r="4003" spans="1:9" x14ac:dyDescent="0.25">
      <c r="A4003" s="74"/>
      <c r="B4003" s="45">
        <v>1779</v>
      </c>
      <c r="C4003" s="64" t="s">
        <v>2041</v>
      </c>
      <c r="D4003" s="74"/>
      <c r="E4003" s="208" t="s">
        <v>136</v>
      </c>
      <c r="F4003" s="209" t="s">
        <v>21</v>
      </c>
      <c r="G4003" s="209" t="s">
        <v>21</v>
      </c>
      <c r="H4003" s="209" t="s">
        <v>272</v>
      </c>
      <c r="I4003" s="210"/>
    </row>
    <row r="4004" spans="1:9" x14ac:dyDescent="0.25">
      <c r="A4004" s="74"/>
      <c r="B4004" s="45">
        <v>1780</v>
      </c>
      <c r="C4004" s="64" t="s">
        <v>2042</v>
      </c>
      <c r="D4004" s="74"/>
      <c r="E4004" s="208" t="s">
        <v>136</v>
      </c>
      <c r="F4004" s="209" t="s">
        <v>21</v>
      </c>
      <c r="G4004" s="209" t="s">
        <v>21</v>
      </c>
      <c r="H4004" s="209" t="s">
        <v>272</v>
      </c>
      <c r="I4004" s="210"/>
    </row>
    <row r="4005" spans="1:9" x14ac:dyDescent="0.25">
      <c r="A4005" s="74"/>
      <c r="B4005" s="45">
        <v>1781</v>
      </c>
      <c r="C4005" s="64" t="s">
        <v>1980</v>
      </c>
      <c r="D4005" s="74"/>
      <c r="E4005" s="208" t="s">
        <v>136</v>
      </c>
      <c r="F4005" s="209" t="s">
        <v>21</v>
      </c>
      <c r="G4005" s="209" t="s">
        <v>21</v>
      </c>
      <c r="H4005" s="209" t="s">
        <v>272</v>
      </c>
      <c r="I4005" s="210"/>
    </row>
    <row r="4006" spans="1:9" x14ac:dyDescent="0.25">
      <c r="A4006" s="74"/>
      <c r="B4006" s="45">
        <v>1782</v>
      </c>
      <c r="C4006" s="64" t="s">
        <v>2043</v>
      </c>
      <c r="D4006" s="74"/>
      <c r="E4006" s="208" t="s">
        <v>136</v>
      </c>
      <c r="F4006" s="209" t="s">
        <v>21</v>
      </c>
      <c r="G4006" s="209" t="s">
        <v>21</v>
      </c>
      <c r="H4006" s="209" t="s">
        <v>272</v>
      </c>
      <c r="I4006" s="210"/>
    </row>
    <row r="4007" spans="1:9" x14ac:dyDescent="0.25">
      <c r="A4007" s="74"/>
      <c r="B4007" s="45">
        <v>1783</v>
      </c>
      <c r="C4007" s="64" t="s">
        <v>2044</v>
      </c>
      <c r="D4007" s="74"/>
      <c r="E4007" s="208" t="s">
        <v>136</v>
      </c>
      <c r="F4007" s="209" t="s">
        <v>21</v>
      </c>
      <c r="G4007" s="209" t="s">
        <v>21</v>
      </c>
      <c r="H4007" s="209" t="s">
        <v>272</v>
      </c>
      <c r="I4007" s="210"/>
    </row>
    <row r="4008" spans="1:9" x14ac:dyDescent="0.25">
      <c r="A4008" s="74"/>
      <c r="B4008" s="45">
        <v>688</v>
      </c>
      <c r="C4008" s="64" t="s">
        <v>1097</v>
      </c>
      <c r="D4008" s="74"/>
      <c r="E4008" s="208" t="s">
        <v>136</v>
      </c>
      <c r="F4008" s="209" t="s">
        <v>21</v>
      </c>
      <c r="G4008" s="209" t="s">
        <v>21</v>
      </c>
      <c r="H4008" s="209" t="s">
        <v>192</v>
      </c>
      <c r="I4008" s="210"/>
    </row>
    <row r="4009" spans="1:9" x14ac:dyDescent="0.25">
      <c r="A4009" s="74"/>
      <c r="B4009" s="45">
        <v>1776</v>
      </c>
      <c r="C4009" s="64" t="s">
        <v>1770</v>
      </c>
      <c r="D4009" s="74"/>
      <c r="E4009" s="208" t="s">
        <v>136</v>
      </c>
      <c r="F4009" s="209" t="s">
        <v>21</v>
      </c>
      <c r="G4009" s="209" t="s">
        <v>21</v>
      </c>
      <c r="H4009" s="209" t="s">
        <v>272</v>
      </c>
      <c r="I4009" s="210"/>
    </row>
    <row r="4010" spans="1:9" x14ac:dyDescent="0.25">
      <c r="A4010" s="74"/>
      <c r="B4010" s="45">
        <v>1762</v>
      </c>
      <c r="C4010" s="64" t="s">
        <v>1994</v>
      </c>
      <c r="D4010" s="74"/>
      <c r="E4010" s="208" t="s">
        <v>136</v>
      </c>
      <c r="F4010" s="209" t="s">
        <v>21</v>
      </c>
      <c r="G4010" s="209" t="s">
        <v>21</v>
      </c>
      <c r="H4010" s="209" t="s">
        <v>272</v>
      </c>
      <c r="I4010" s="210"/>
    </row>
    <row r="4011" spans="1:9" x14ac:dyDescent="0.25">
      <c r="A4011" s="74"/>
      <c r="B4011" s="45">
        <v>1777</v>
      </c>
      <c r="C4011" s="64" t="s">
        <v>1739</v>
      </c>
      <c r="D4011" s="74"/>
      <c r="E4011" s="208" t="s">
        <v>136</v>
      </c>
      <c r="F4011" s="209" t="s">
        <v>21</v>
      </c>
      <c r="G4011" s="209" t="s">
        <v>21</v>
      </c>
      <c r="H4011" s="209" t="s">
        <v>272</v>
      </c>
      <c r="I4011" s="210"/>
    </row>
    <row r="4012" spans="1:9" x14ac:dyDescent="0.25">
      <c r="A4012" s="74"/>
      <c r="B4012" s="45">
        <v>1778</v>
      </c>
      <c r="C4012" s="64" t="s">
        <v>1949</v>
      </c>
      <c r="D4012" s="74"/>
      <c r="E4012" s="208" t="s">
        <v>136</v>
      </c>
      <c r="F4012" s="209" t="s">
        <v>21</v>
      </c>
      <c r="G4012" s="209" t="s">
        <v>21</v>
      </c>
      <c r="H4012" s="209" t="s">
        <v>272</v>
      </c>
      <c r="I4012" s="210"/>
    </row>
    <row r="4013" spans="1:9" x14ac:dyDescent="0.25">
      <c r="A4013" s="74"/>
      <c r="B4013" s="45">
        <v>1779</v>
      </c>
      <c r="C4013" s="64" t="s">
        <v>2041</v>
      </c>
      <c r="D4013" s="74"/>
      <c r="E4013" s="208" t="s">
        <v>136</v>
      </c>
      <c r="F4013" s="209" t="s">
        <v>21</v>
      </c>
      <c r="G4013" s="209" t="s">
        <v>21</v>
      </c>
      <c r="H4013" s="209" t="s">
        <v>272</v>
      </c>
      <c r="I4013" s="210"/>
    </row>
    <row r="4014" spans="1:9" x14ac:dyDescent="0.25">
      <c r="A4014" s="74"/>
      <c r="B4014" s="45">
        <v>1780</v>
      </c>
      <c r="C4014" s="64" t="s">
        <v>2042</v>
      </c>
      <c r="D4014" s="74"/>
      <c r="E4014" s="208" t="s">
        <v>136</v>
      </c>
      <c r="F4014" s="209" t="s">
        <v>21</v>
      </c>
      <c r="G4014" s="209" t="s">
        <v>21</v>
      </c>
      <c r="H4014" s="209" t="s">
        <v>272</v>
      </c>
      <c r="I4014" s="210"/>
    </row>
    <row r="4015" spans="1:9" x14ac:dyDescent="0.25">
      <c r="A4015" s="74"/>
      <c r="B4015" s="45">
        <v>1781</v>
      </c>
      <c r="C4015" s="64" t="s">
        <v>1980</v>
      </c>
      <c r="D4015" s="74"/>
      <c r="E4015" s="208" t="s">
        <v>136</v>
      </c>
      <c r="F4015" s="209" t="s">
        <v>21</v>
      </c>
      <c r="G4015" s="209" t="s">
        <v>21</v>
      </c>
      <c r="H4015" s="209" t="s">
        <v>272</v>
      </c>
      <c r="I4015" s="210"/>
    </row>
    <row r="4016" spans="1:9" x14ac:dyDescent="0.25">
      <c r="A4016" s="74"/>
      <c r="B4016" s="45">
        <v>1782</v>
      </c>
      <c r="C4016" s="64" t="s">
        <v>2043</v>
      </c>
      <c r="D4016" s="74"/>
      <c r="E4016" s="208" t="s">
        <v>136</v>
      </c>
      <c r="F4016" s="209" t="s">
        <v>21</v>
      </c>
      <c r="G4016" s="209" t="s">
        <v>21</v>
      </c>
      <c r="H4016" s="209" t="s">
        <v>272</v>
      </c>
      <c r="I4016" s="210"/>
    </row>
    <row r="4017" spans="1:9" x14ac:dyDescent="0.25">
      <c r="A4017" s="74"/>
      <c r="B4017" s="45">
        <v>1783</v>
      </c>
      <c r="C4017" s="64" t="s">
        <v>2044</v>
      </c>
      <c r="D4017" s="74"/>
      <c r="E4017" s="208" t="s">
        <v>136</v>
      </c>
      <c r="F4017" s="209" t="s">
        <v>21</v>
      </c>
      <c r="G4017" s="209" t="s">
        <v>21</v>
      </c>
      <c r="H4017" s="209" t="s">
        <v>272</v>
      </c>
      <c r="I4017" s="210"/>
    </row>
    <row r="4018" spans="1:9" x14ac:dyDescent="0.25">
      <c r="A4018" s="74"/>
      <c r="B4018" s="45">
        <v>688</v>
      </c>
      <c r="C4018" s="64" t="s">
        <v>1097</v>
      </c>
      <c r="D4018" s="74"/>
      <c r="E4018" s="208" t="s">
        <v>136</v>
      </c>
      <c r="F4018" s="209" t="s">
        <v>21</v>
      </c>
      <c r="G4018" s="209" t="s">
        <v>21</v>
      </c>
      <c r="H4018" s="209" t="s">
        <v>192</v>
      </c>
      <c r="I4018" s="210"/>
    </row>
    <row r="4019" spans="1:9" x14ac:dyDescent="0.25">
      <c r="A4019" s="74"/>
      <c r="B4019" s="45">
        <v>1762</v>
      </c>
      <c r="C4019" s="64" t="s">
        <v>1994</v>
      </c>
      <c r="D4019" s="74"/>
      <c r="E4019" s="208" t="s">
        <v>136</v>
      </c>
      <c r="F4019" s="209" t="s">
        <v>21</v>
      </c>
      <c r="G4019" s="209" t="s">
        <v>21</v>
      </c>
      <c r="H4019" s="209" t="s">
        <v>272</v>
      </c>
      <c r="I4019" s="210"/>
    </row>
    <row r="4020" spans="1:9" x14ac:dyDescent="0.25">
      <c r="A4020" s="74"/>
      <c r="B4020" s="45">
        <v>1784</v>
      </c>
      <c r="C4020" s="64" t="s">
        <v>2045</v>
      </c>
      <c r="D4020" s="74"/>
      <c r="E4020" s="208" t="s">
        <v>136</v>
      </c>
      <c r="F4020" s="209" t="s">
        <v>21</v>
      </c>
      <c r="G4020" s="209" t="s">
        <v>21</v>
      </c>
      <c r="H4020" s="209" t="s">
        <v>272</v>
      </c>
      <c r="I4020" s="210"/>
    </row>
    <row r="4021" spans="1:9" x14ac:dyDescent="0.25">
      <c r="A4021" s="74"/>
      <c r="B4021" s="45">
        <v>1785</v>
      </c>
      <c r="C4021" s="64" t="s">
        <v>2046</v>
      </c>
      <c r="D4021" s="74"/>
      <c r="E4021" s="208" t="s">
        <v>136</v>
      </c>
      <c r="F4021" s="209" t="s">
        <v>21</v>
      </c>
      <c r="G4021" s="209" t="s">
        <v>21</v>
      </c>
      <c r="H4021" s="209" t="s">
        <v>272</v>
      </c>
      <c r="I4021" s="210"/>
    </row>
    <row r="4022" spans="1:9" x14ac:dyDescent="0.25">
      <c r="A4022" s="74"/>
      <c r="B4022" s="45">
        <v>1784</v>
      </c>
      <c r="C4022" s="64" t="s">
        <v>2045</v>
      </c>
      <c r="D4022" s="74"/>
      <c r="E4022" s="208" t="s">
        <v>136</v>
      </c>
      <c r="F4022" s="209" t="s">
        <v>21</v>
      </c>
      <c r="G4022" s="209" t="s">
        <v>21</v>
      </c>
      <c r="H4022" s="209" t="s">
        <v>272</v>
      </c>
      <c r="I4022" s="210"/>
    </row>
    <row r="4023" spans="1:9" x14ac:dyDescent="0.25">
      <c r="A4023" s="74"/>
      <c r="B4023" s="45">
        <v>688</v>
      </c>
      <c r="C4023" s="64" t="s">
        <v>1097</v>
      </c>
      <c r="D4023" s="74"/>
      <c r="E4023" s="208" t="s">
        <v>136</v>
      </c>
      <c r="F4023" s="209" t="s">
        <v>21</v>
      </c>
      <c r="G4023" s="209" t="s">
        <v>21</v>
      </c>
      <c r="H4023" s="209" t="s">
        <v>192</v>
      </c>
      <c r="I4023" s="210"/>
    </row>
    <row r="4024" spans="1:9" x14ac:dyDescent="0.25">
      <c r="A4024" s="74"/>
      <c r="B4024" s="45">
        <v>1786</v>
      </c>
      <c r="C4024" s="64" t="s">
        <v>2047</v>
      </c>
      <c r="D4024" s="74"/>
      <c r="E4024" s="208" t="s">
        <v>136</v>
      </c>
      <c r="F4024" s="209" t="s">
        <v>21</v>
      </c>
      <c r="G4024" s="209" t="s">
        <v>21</v>
      </c>
      <c r="H4024" s="209" t="s">
        <v>272</v>
      </c>
      <c r="I4024" s="210"/>
    </row>
    <row r="4025" spans="1:9" x14ac:dyDescent="0.25">
      <c r="A4025" s="74"/>
      <c r="B4025" s="45">
        <v>1787</v>
      </c>
      <c r="C4025" s="64" t="s">
        <v>2030</v>
      </c>
      <c r="D4025" s="74"/>
      <c r="E4025" s="208" t="s">
        <v>136</v>
      </c>
      <c r="F4025" s="209" t="s">
        <v>21</v>
      </c>
      <c r="G4025" s="209" t="s">
        <v>21</v>
      </c>
      <c r="H4025" s="209" t="s">
        <v>272</v>
      </c>
      <c r="I4025" s="210"/>
    </row>
    <row r="4026" spans="1:9" x14ac:dyDescent="0.25">
      <c r="A4026" s="74"/>
      <c r="B4026" s="45">
        <v>1788</v>
      </c>
      <c r="C4026" s="64" t="s">
        <v>2048</v>
      </c>
      <c r="D4026" s="74"/>
      <c r="E4026" s="208" t="s">
        <v>136</v>
      </c>
      <c r="F4026" s="209" t="s">
        <v>21</v>
      </c>
      <c r="G4026" s="209" t="s">
        <v>21</v>
      </c>
      <c r="H4026" s="209" t="s">
        <v>272</v>
      </c>
      <c r="I4026" s="210"/>
    </row>
    <row r="4027" spans="1:9" x14ac:dyDescent="0.25">
      <c r="A4027" s="74"/>
      <c r="B4027" s="45">
        <v>1789</v>
      </c>
      <c r="C4027" s="64" t="s">
        <v>2049</v>
      </c>
      <c r="D4027" s="74"/>
      <c r="E4027" s="208" t="s">
        <v>136</v>
      </c>
      <c r="F4027" s="209" t="s">
        <v>21</v>
      </c>
      <c r="G4027" s="209" t="s">
        <v>21</v>
      </c>
      <c r="H4027" s="209" t="s">
        <v>272</v>
      </c>
      <c r="I4027" s="210"/>
    </row>
    <row r="4028" spans="1:9" x14ac:dyDescent="0.25">
      <c r="A4028" s="74"/>
      <c r="B4028" s="45">
        <v>1790</v>
      </c>
      <c r="C4028" s="64" t="s">
        <v>1925</v>
      </c>
      <c r="D4028" s="74"/>
      <c r="E4028" s="208" t="s">
        <v>136</v>
      </c>
      <c r="F4028" s="209" t="s">
        <v>21</v>
      </c>
      <c r="G4028" s="209" t="s">
        <v>21</v>
      </c>
      <c r="H4028" s="209" t="s">
        <v>272</v>
      </c>
      <c r="I4028" s="210"/>
    </row>
    <row r="4029" spans="1:9" x14ac:dyDescent="0.25">
      <c r="A4029" s="74"/>
      <c r="B4029" s="45">
        <v>1791</v>
      </c>
      <c r="C4029" s="64" t="s">
        <v>1983</v>
      </c>
      <c r="D4029" s="74"/>
      <c r="E4029" s="208" t="s">
        <v>136</v>
      </c>
      <c r="F4029" s="209" t="s">
        <v>21</v>
      </c>
      <c r="G4029" s="209" t="s">
        <v>21</v>
      </c>
      <c r="H4029" s="209" t="s">
        <v>272</v>
      </c>
      <c r="I4029" s="210"/>
    </row>
    <row r="4030" spans="1:9" x14ac:dyDescent="0.25">
      <c r="A4030" s="74"/>
      <c r="B4030" s="45">
        <v>1792</v>
      </c>
      <c r="C4030" s="64" t="s">
        <v>2050</v>
      </c>
      <c r="D4030" s="74"/>
      <c r="E4030" s="208" t="s">
        <v>133</v>
      </c>
      <c r="F4030" s="209" t="s">
        <v>21</v>
      </c>
      <c r="G4030" s="209" t="s">
        <v>21</v>
      </c>
      <c r="H4030" s="209" t="s">
        <v>272</v>
      </c>
      <c r="I4030" s="210"/>
    </row>
    <row r="4031" spans="1:9" x14ac:dyDescent="0.25">
      <c r="A4031" s="74"/>
      <c r="B4031" s="45">
        <v>1786</v>
      </c>
      <c r="C4031" s="64" t="s">
        <v>2047</v>
      </c>
      <c r="D4031" s="74"/>
      <c r="E4031" s="208" t="s">
        <v>136</v>
      </c>
      <c r="F4031" s="209" t="s">
        <v>21</v>
      </c>
      <c r="G4031" s="209" t="s">
        <v>21</v>
      </c>
      <c r="H4031" s="209" t="s">
        <v>272</v>
      </c>
      <c r="I4031" s="210"/>
    </row>
    <row r="4032" spans="1:9" x14ac:dyDescent="0.25">
      <c r="A4032" s="74"/>
      <c r="B4032" s="45">
        <v>1787</v>
      </c>
      <c r="C4032" s="64" t="s">
        <v>2030</v>
      </c>
      <c r="D4032" s="74"/>
      <c r="E4032" s="208" t="s">
        <v>136</v>
      </c>
      <c r="F4032" s="209" t="s">
        <v>21</v>
      </c>
      <c r="G4032" s="209" t="s">
        <v>21</v>
      </c>
      <c r="H4032" s="209" t="s">
        <v>272</v>
      </c>
      <c r="I4032" s="210"/>
    </row>
    <row r="4033" spans="1:9" x14ac:dyDescent="0.25">
      <c r="A4033" s="74"/>
      <c r="B4033" s="45">
        <v>1788</v>
      </c>
      <c r="C4033" s="64" t="s">
        <v>2048</v>
      </c>
      <c r="D4033" s="74"/>
      <c r="E4033" s="208" t="s">
        <v>136</v>
      </c>
      <c r="F4033" s="209" t="s">
        <v>21</v>
      </c>
      <c r="G4033" s="209" t="s">
        <v>21</v>
      </c>
      <c r="H4033" s="209" t="s">
        <v>272</v>
      </c>
      <c r="I4033" s="210"/>
    </row>
    <row r="4034" spans="1:9" x14ac:dyDescent="0.25">
      <c r="A4034" s="74"/>
      <c r="B4034" s="45">
        <v>1789</v>
      </c>
      <c r="C4034" s="64" t="s">
        <v>2049</v>
      </c>
      <c r="D4034" s="74"/>
      <c r="E4034" s="208" t="s">
        <v>136</v>
      </c>
      <c r="F4034" s="209" t="s">
        <v>21</v>
      </c>
      <c r="G4034" s="209" t="s">
        <v>21</v>
      </c>
      <c r="H4034" s="209" t="s">
        <v>272</v>
      </c>
      <c r="I4034" s="210"/>
    </row>
    <row r="4035" spans="1:9" x14ac:dyDescent="0.25">
      <c r="A4035" s="74"/>
      <c r="B4035" s="45">
        <v>1790</v>
      </c>
      <c r="C4035" s="64" t="s">
        <v>1925</v>
      </c>
      <c r="D4035" s="74"/>
      <c r="E4035" s="208" t="s">
        <v>136</v>
      </c>
      <c r="F4035" s="209" t="s">
        <v>21</v>
      </c>
      <c r="G4035" s="209" t="s">
        <v>21</v>
      </c>
      <c r="H4035" s="209" t="s">
        <v>272</v>
      </c>
      <c r="I4035" s="210"/>
    </row>
    <row r="4036" spans="1:9" x14ac:dyDescent="0.25">
      <c r="A4036" s="74"/>
      <c r="B4036" s="45">
        <v>1791</v>
      </c>
      <c r="C4036" s="64" t="s">
        <v>1983</v>
      </c>
      <c r="D4036" s="74"/>
      <c r="E4036" s="208" t="s">
        <v>136</v>
      </c>
      <c r="F4036" s="209" t="s">
        <v>21</v>
      </c>
      <c r="G4036" s="209" t="s">
        <v>21</v>
      </c>
      <c r="H4036" s="209" t="s">
        <v>272</v>
      </c>
      <c r="I4036" s="210"/>
    </row>
    <row r="4037" spans="1:9" x14ac:dyDescent="0.25">
      <c r="A4037" s="74"/>
      <c r="B4037" s="45">
        <v>692</v>
      </c>
      <c r="C4037" s="64" t="s">
        <v>1101</v>
      </c>
      <c r="D4037" s="74"/>
      <c r="E4037" s="208" t="s">
        <v>136</v>
      </c>
      <c r="F4037" s="209" t="s">
        <v>21</v>
      </c>
      <c r="G4037" s="209" t="s">
        <v>21</v>
      </c>
      <c r="H4037" s="209" t="s">
        <v>272</v>
      </c>
      <c r="I4037" s="210"/>
    </row>
    <row r="4038" spans="1:9" x14ac:dyDescent="0.25">
      <c r="A4038" s="74"/>
      <c r="B4038" s="45">
        <v>1792</v>
      </c>
      <c r="C4038" s="64" t="s">
        <v>2050</v>
      </c>
      <c r="D4038" s="74"/>
      <c r="E4038" s="208" t="s">
        <v>133</v>
      </c>
      <c r="F4038" s="209" t="s">
        <v>21</v>
      </c>
      <c r="G4038" s="209" t="s">
        <v>21</v>
      </c>
      <c r="H4038" s="209" t="s">
        <v>272</v>
      </c>
      <c r="I4038" s="210"/>
    </row>
    <row r="4039" spans="1:9" x14ac:dyDescent="0.25">
      <c r="A4039" s="74"/>
      <c r="B4039" s="45">
        <v>1786</v>
      </c>
      <c r="C4039" s="64" t="s">
        <v>2047</v>
      </c>
      <c r="D4039" s="74"/>
      <c r="E4039" s="208" t="s">
        <v>136</v>
      </c>
      <c r="F4039" s="209" t="s">
        <v>21</v>
      </c>
      <c r="G4039" s="209" t="s">
        <v>21</v>
      </c>
      <c r="H4039" s="209" t="s">
        <v>272</v>
      </c>
      <c r="I4039" s="210"/>
    </row>
    <row r="4040" spans="1:9" x14ac:dyDescent="0.25">
      <c r="A4040" s="74"/>
      <c r="B4040" s="45">
        <v>1787</v>
      </c>
      <c r="C4040" s="64" t="s">
        <v>2030</v>
      </c>
      <c r="D4040" s="74"/>
      <c r="E4040" s="208" t="s">
        <v>136</v>
      </c>
      <c r="F4040" s="209" t="s">
        <v>21</v>
      </c>
      <c r="G4040" s="209" t="s">
        <v>21</v>
      </c>
      <c r="H4040" s="209" t="s">
        <v>272</v>
      </c>
      <c r="I4040" s="210"/>
    </row>
    <row r="4041" spans="1:9" x14ac:dyDescent="0.25">
      <c r="A4041" s="74"/>
      <c r="B4041" s="45">
        <v>1788</v>
      </c>
      <c r="C4041" s="64" t="s">
        <v>2048</v>
      </c>
      <c r="D4041" s="74"/>
      <c r="E4041" s="208" t="s">
        <v>136</v>
      </c>
      <c r="F4041" s="209" t="s">
        <v>21</v>
      </c>
      <c r="G4041" s="209" t="s">
        <v>21</v>
      </c>
      <c r="H4041" s="209" t="s">
        <v>272</v>
      </c>
      <c r="I4041" s="210"/>
    </row>
    <row r="4042" spans="1:9" x14ac:dyDescent="0.25">
      <c r="A4042" s="74"/>
      <c r="B4042" s="45">
        <v>1789</v>
      </c>
      <c r="C4042" s="64" t="s">
        <v>2049</v>
      </c>
      <c r="D4042" s="74"/>
      <c r="E4042" s="208" t="s">
        <v>136</v>
      </c>
      <c r="F4042" s="209" t="s">
        <v>21</v>
      </c>
      <c r="G4042" s="209" t="s">
        <v>21</v>
      </c>
      <c r="H4042" s="209" t="s">
        <v>272</v>
      </c>
      <c r="I4042" s="210"/>
    </row>
    <row r="4043" spans="1:9" x14ac:dyDescent="0.25">
      <c r="A4043" s="74"/>
      <c r="B4043" s="45">
        <v>1790</v>
      </c>
      <c r="C4043" s="64" t="s">
        <v>1925</v>
      </c>
      <c r="D4043" s="74"/>
      <c r="E4043" s="208" t="s">
        <v>136</v>
      </c>
      <c r="F4043" s="209" t="s">
        <v>21</v>
      </c>
      <c r="G4043" s="209" t="s">
        <v>21</v>
      </c>
      <c r="H4043" s="209" t="s">
        <v>272</v>
      </c>
      <c r="I4043" s="210"/>
    </row>
    <row r="4044" spans="1:9" x14ac:dyDescent="0.25">
      <c r="A4044" s="74"/>
      <c r="B4044" s="45">
        <v>1791</v>
      </c>
      <c r="C4044" s="64" t="s">
        <v>1983</v>
      </c>
      <c r="D4044" s="74"/>
      <c r="E4044" s="208" t="s">
        <v>136</v>
      </c>
      <c r="F4044" s="209" t="s">
        <v>21</v>
      </c>
      <c r="G4044" s="209" t="s">
        <v>21</v>
      </c>
      <c r="H4044" s="209" t="s">
        <v>272</v>
      </c>
      <c r="I4044" s="210"/>
    </row>
    <row r="4045" spans="1:9" x14ac:dyDescent="0.25">
      <c r="A4045" s="74"/>
      <c r="B4045" s="45">
        <v>1792</v>
      </c>
      <c r="C4045" s="64" t="s">
        <v>2050</v>
      </c>
      <c r="D4045" s="74"/>
      <c r="E4045" s="208" t="s">
        <v>133</v>
      </c>
      <c r="F4045" s="209" t="s">
        <v>21</v>
      </c>
      <c r="G4045" s="209" t="s">
        <v>21</v>
      </c>
      <c r="H4045" s="209" t="s">
        <v>272</v>
      </c>
      <c r="I4045" s="210"/>
    </row>
    <row r="4046" spans="1:9" x14ac:dyDescent="0.25">
      <c r="A4046" s="74"/>
      <c r="B4046" s="45">
        <v>1786</v>
      </c>
      <c r="C4046" s="64" t="s">
        <v>2047</v>
      </c>
      <c r="D4046" s="74"/>
      <c r="E4046" s="208" t="s">
        <v>136</v>
      </c>
      <c r="F4046" s="209" t="s">
        <v>21</v>
      </c>
      <c r="G4046" s="209" t="s">
        <v>21</v>
      </c>
      <c r="H4046" s="209" t="s">
        <v>272</v>
      </c>
      <c r="I4046" s="210"/>
    </row>
    <row r="4047" spans="1:9" x14ac:dyDescent="0.25">
      <c r="A4047" s="74"/>
      <c r="B4047" s="45">
        <v>1787</v>
      </c>
      <c r="C4047" s="64" t="s">
        <v>2030</v>
      </c>
      <c r="D4047" s="74"/>
      <c r="E4047" s="208" t="s">
        <v>136</v>
      </c>
      <c r="F4047" s="209" t="s">
        <v>21</v>
      </c>
      <c r="G4047" s="209" t="s">
        <v>21</v>
      </c>
      <c r="H4047" s="209" t="s">
        <v>272</v>
      </c>
      <c r="I4047" s="210"/>
    </row>
    <row r="4048" spans="1:9" x14ac:dyDescent="0.25">
      <c r="A4048" s="74"/>
      <c r="B4048" s="45">
        <v>1788</v>
      </c>
      <c r="C4048" s="64" t="s">
        <v>2048</v>
      </c>
      <c r="D4048" s="74"/>
      <c r="E4048" s="208" t="s">
        <v>136</v>
      </c>
      <c r="F4048" s="209" t="s">
        <v>21</v>
      </c>
      <c r="G4048" s="209" t="s">
        <v>21</v>
      </c>
      <c r="H4048" s="209" t="s">
        <v>272</v>
      </c>
      <c r="I4048" s="210"/>
    </row>
    <row r="4049" spans="1:9" x14ac:dyDescent="0.25">
      <c r="A4049" s="74"/>
      <c r="B4049" s="45">
        <v>1789</v>
      </c>
      <c r="C4049" s="64" t="s">
        <v>2049</v>
      </c>
      <c r="D4049" s="74"/>
      <c r="E4049" s="208" t="s">
        <v>136</v>
      </c>
      <c r="F4049" s="209" t="s">
        <v>21</v>
      </c>
      <c r="G4049" s="209" t="s">
        <v>21</v>
      </c>
      <c r="H4049" s="209" t="s">
        <v>272</v>
      </c>
      <c r="I4049" s="210"/>
    </row>
    <row r="4050" spans="1:9" x14ac:dyDescent="0.25">
      <c r="A4050" s="74"/>
      <c r="B4050" s="45">
        <v>1790</v>
      </c>
      <c r="C4050" s="64" t="s">
        <v>1925</v>
      </c>
      <c r="D4050" s="74"/>
      <c r="E4050" s="208" t="s">
        <v>136</v>
      </c>
      <c r="F4050" s="209" t="s">
        <v>21</v>
      </c>
      <c r="G4050" s="209" t="s">
        <v>21</v>
      </c>
      <c r="H4050" s="209" t="s">
        <v>272</v>
      </c>
      <c r="I4050" s="210"/>
    </row>
    <row r="4051" spans="1:9" x14ac:dyDescent="0.25">
      <c r="A4051" s="74"/>
      <c r="B4051" s="45">
        <v>1791</v>
      </c>
      <c r="C4051" s="64" t="s">
        <v>1983</v>
      </c>
      <c r="D4051" s="74"/>
      <c r="E4051" s="208" t="s">
        <v>136</v>
      </c>
      <c r="F4051" s="209" t="s">
        <v>21</v>
      </c>
      <c r="G4051" s="209" t="s">
        <v>21</v>
      </c>
      <c r="H4051" s="209" t="s">
        <v>272</v>
      </c>
      <c r="I4051" s="210"/>
    </row>
    <row r="4052" spans="1:9" x14ac:dyDescent="0.25">
      <c r="A4052" s="74"/>
      <c r="B4052" s="45">
        <v>1792</v>
      </c>
      <c r="C4052" s="64" t="s">
        <v>2050</v>
      </c>
      <c r="D4052" s="74"/>
      <c r="E4052" s="208" t="s">
        <v>133</v>
      </c>
      <c r="F4052" s="209" t="s">
        <v>21</v>
      </c>
      <c r="G4052" s="209" t="s">
        <v>21</v>
      </c>
      <c r="H4052" s="209" t="s">
        <v>272</v>
      </c>
      <c r="I4052" s="210"/>
    </row>
    <row r="4053" spans="1:9" x14ac:dyDescent="0.25">
      <c r="A4053" s="74"/>
      <c r="B4053" s="45">
        <v>699</v>
      </c>
      <c r="C4053" s="64" t="s">
        <v>1108</v>
      </c>
      <c r="D4053" s="74"/>
      <c r="E4053" s="208" t="s">
        <v>136</v>
      </c>
      <c r="F4053" s="209" t="s">
        <v>21</v>
      </c>
      <c r="G4053" s="209" t="s">
        <v>21</v>
      </c>
      <c r="H4053" s="209" t="s">
        <v>192</v>
      </c>
      <c r="I4053" s="210"/>
    </row>
    <row r="4054" spans="1:9" x14ac:dyDescent="0.25">
      <c r="A4054" s="74"/>
      <c r="B4054" s="45">
        <v>1793</v>
      </c>
      <c r="C4054" s="64" t="s">
        <v>2051</v>
      </c>
      <c r="D4054" s="74"/>
      <c r="E4054" s="208" t="s">
        <v>136</v>
      </c>
      <c r="F4054" s="209" t="s">
        <v>21</v>
      </c>
      <c r="G4054" s="209" t="s">
        <v>21</v>
      </c>
      <c r="H4054" s="209" t="s">
        <v>272</v>
      </c>
      <c r="I4054" s="210"/>
    </row>
    <row r="4055" spans="1:9" x14ac:dyDescent="0.25">
      <c r="A4055" s="74"/>
      <c r="B4055" s="45">
        <v>1794</v>
      </c>
      <c r="C4055" s="64" t="s">
        <v>1868</v>
      </c>
      <c r="D4055" s="74"/>
      <c r="E4055" s="208" t="s">
        <v>136</v>
      </c>
      <c r="F4055" s="209" t="s">
        <v>21</v>
      </c>
      <c r="G4055" s="209" t="s">
        <v>21</v>
      </c>
      <c r="H4055" s="209" t="s">
        <v>272</v>
      </c>
      <c r="I4055" s="210"/>
    </row>
    <row r="4056" spans="1:9" x14ac:dyDescent="0.25">
      <c r="A4056" s="74"/>
      <c r="B4056" s="45">
        <v>1795</v>
      </c>
      <c r="C4056" s="64" t="s">
        <v>2052</v>
      </c>
      <c r="D4056" s="74"/>
      <c r="E4056" s="208" t="s">
        <v>136</v>
      </c>
      <c r="F4056" s="209" t="s">
        <v>21</v>
      </c>
      <c r="G4056" s="209" t="s">
        <v>21</v>
      </c>
      <c r="H4056" s="209" t="s">
        <v>272</v>
      </c>
      <c r="I4056" s="210"/>
    </row>
    <row r="4057" spans="1:9" x14ac:dyDescent="0.25">
      <c r="A4057" s="74"/>
      <c r="B4057" s="45">
        <v>1796</v>
      </c>
      <c r="C4057" s="64" t="s">
        <v>1833</v>
      </c>
      <c r="D4057" s="74"/>
      <c r="E4057" s="208" t="s">
        <v>136</v>
      </c>
      <c r="F4057" s="209" t="s">
        <v>21</v>
      </c>
      <c r="G4057" s="209" t="s">
        <v>21</v>
      </c>
      <c r="H4057" s="209" t="s">
        <v>272</v>
      </c>
      <c r="I4057" s="210"/>
    </row>
    <row r="4058" spans="1:9" x14ac:dyDescent="0.25">
      <c r="A4058" s="74"/>
      <c r="B4058" s="45">
        <v>1797</v>
      </c>
      <c r="C4058" s="64" t="s">
        <v>2053</v>
      </c>
      <c r="D4058" s="74"/>
      <c r="E4058" s="208" t="s">
        <v>136</v>
      </c>
      <c r="F4058" s="209" t="s">
        <v>21</v>
      </c>
      <c r="G4058" s="209" t="s">
        <v>21</v>
      </c>
      <c r="H4058" s="209" t="s">
        <v>272</v>
      </c>
      <c r="I4058" s="210"/>
    </row>
    <row r="4059" spans="1:9" x14ac:dyDescent="0.25">
      <c r="A4059" s="74"/>
      <c r="B4059" s="45">
        <v>1798</v>
      </c>
      <c r="C4059" s="64" t="s">
        <v>2054</v>
      </c>
      <c r="D4059" s="74"/>
      <c r="E4059" s="208" t="s">
        <v>136</v>
      </c>
      <c r="F4059" s="209" t="s">
        <v>21</v>
      </c>
      <c r="G4059" s="209" t="s">
        <v>21</v>
      </c>
      <c r="H4059" s="209" t="s">
        <v>272</v>
      </c>
      <c r="I4059" s="210"/>
    </row>
    <row r="4060" spans="1:9" x14ac:dyDescent="0.25">
      <c r="A4060" s="74"/>
      <c r="B4060" s="45">
        <v>1794</v>
      </c>
      <c r="C4060" s="64" t="s">
        <v>1868</v>
      </c>
      <c r="D4060" s="74"/>
      <c r="E4060" s="208" t="s">
        <v>136</v>
      </c>
      <c r="F4060" s="209" t="s">
        <v>21</v>
      </c>
      <c r="G4060" s="209" t="s">
        <v>21</v>
      </c>
      <c r="H4060" s="209" t="s">
        <v>272</v>
      </c>
      <c r="I4060" s="210"/>
    </row>
    <row r="4061" spans="1:9" x14ac:dyDescent="0.25">
      <c r="A4061" s="74"/>
      <c r="B4061" s="45">
        <v>1795</v>
      </c>
      <c r="C4061" s="64" t="s">
        <v>2052</v>
      </c>
      <c r="D4061" s="74"/>
      <c r="E4061" s="208" t="s">
        <v>136</v>
      </c>
      <c r="F4061" s="209" t="s">
        <v>21</v>
      </c>
      <c r="G4061" s="209" t="s">
        <v>21</v>
      </c>
      <c r="H4061" s="209" t="s">
        <v>272</v>
      </c>
      <c r="I4061" s="210"/>
    </row>
    <row r="4062" spans="1:9" x14ac:dyDescent="0.25">
      <c r="A4062" s="74"/>
      <c r="B4062" s="45">
        <v>1796</v>
      </c>
      <c r="C4062" s="64" t="s">
        <v>1833</v>
      </c>
      <c r="D4062" s="74"/>
      <c r="E4062" s="208" t="s">
        <v>136</v>
      </c>
      <c r="F4062" s="209" t="s">
        <v>21</v>
      </c>
      <c r="G4062" s="209" t="s">
        <v>21</v>
      </c>
      <c r="H4062" s="209" t="s">
        <v>272</v>
      </c>
      <c r="I4062" s="210"/>
    </row>
    <row r="4063" spans="1:9" x14ac:dyDescent="0.25">
      <c r="A4063" s="74"/>
      <c r="B4063" s="45">
        <v>1797</v>
      </c>
      <c r="C4063" s="64" t="s">
        <v>2053</v>
      </c>
      <c r="D4063" s="74"/>
      <c r="E4063" s="208" t="s">
        <v>136</v>
      </c>
      <c r="F4063" s="209" t="s">
        <v>21</v>
      </c>
      <c r="G4063" s="209" t="s">
        <v>21</v>
      </c>
      <c r="H4063" s="209" t="s">
        <v>272</v>
      </c>
      <c r="I4063" s="210"/>
    </row>
    <row r="4064" spans="1:9" x14ac:dyDescent="0.25">
      <c r="A4064" s="74"/>
      <c r="B4064" s="45">
        <v>1798</v>
      </c>
      <c r="C4064" s="64" t="s">
        <v>2054</v>
      </c>
      <c r="D4064" s="74"/>
      <c r="E4064" s="208" t="s">
        <v>136</v>
      </c>
      <c r="F4064" s="209" t="s">
        <v>21</v>
      </c>
      <c r="G4064" s="209" t="s">
        <v>21</v>
      </c>
      <c r="H4064" s="209" t="s">
        <v>272</v>
      </c>
      <c r="I4064" s="210"/>
    </row>
    <row r="4065" spans="1:9" x14ac:dyDescent="0.25">
      <c r="A4065" s="74"/>
      <c r="B4065" s="45">
        <v>1794</v>
      </c>
      <c r="C4065" s="64" t="s">
        <v>1868</v>
      </c>
      <c r="D4065" s="74"/>
      <c r="E4065" s="208" t="s">
        <v>136</v>
      </c>
      <c r="F4065" s="209" t="s">
        <v>21</v>
      </c>
      <c r="G4065" s="209" t="s">
        <v>21</v>
      </c>
      <c r="H4065" s="209" t="s">
        <v>272</v>
      </c>
      <c r="I4065" s="210"/>
    </row>
    <row r="4066" spans="1:9" x14ac:dyDescent="0.25">
      <c r="A4066" s="74"/>
      <c r="B4066" s="45">
        <v>1795</v>
      </c>
      <c r="C4066" s="64" t="s">
        <v>2052</v>
      </c>
      <c r="D4066" s="74"/>
      <c r="E4066" s="208" t="s">
        <v>136</v>
      </c>
      <c r="F4066" s="209" t="s">
        <v>21</v>
      </c>
      <c r="G4066" s="209" t="s">
        <v>21</v>
      </c>
      <c r="H4066" s="209" t="s">
        <v>272</v>
      </c>
      <c r="I4066" s="210"/>
    </row>
    <row r="4067" spans="1:9" x14ac:dyDescent="0.25">
      <c r="A4067" s="74"/>
      <c r="B4067" s="45">
        <v>1796</v>
      </c>
      <c r="C4067" s="64" t="s">
        <v>1833</v>
      </c>
      <c r="D4067" s="74"/>
      <c r="E4067" s="208" t="s">
        <v>136</v>
      </c>
      <c r="F4067" s="209" t="s">
        <v>21</v>
      </c>
      <c r="G4067" s="209" t="s">
        <v>21</v>
      </c>
      <c r="H4067" s="209" t="s">
        <v>272</v>
      </c>
      <c r="I4067" s="210"/>
    </row>
    <row r="4068" spans="1:9" x14ac:dyDescent="0.25">
      <c r="A4068" s="74"/>
      <c r="B4068" s="45">
        <v>1797</v>
      </c>
      <c r="C4068" s="64" t="s">
        <v>2053</v>
      </c>
      <c r="D4068" s="74"/>
      <c r="E4068" s="208" t="s">
        <v>136</v>
      </c>
      <c r="F4068" s="209" t="s">
        <v>21</v>
      </c>
      <c r="G4068" s="209" t="s">
        <v>21</v>
      </c>
      <c r="H4068" s="209" t="s">
        <v>272</v>
      </c>
      <c r="I4068" s="210"/>
    </row>
    <row r="4069" spans="1:9" x14ac:dyDescent="0.25">
      <c r="A4069" s="74"/>
      <c r="B4069" s="45">
        <v>1798</v>
      </c>
      <c r="C4069" s="64" t="s">
        <v>2054</v>
      </c>
      <c r="D4069" s="74"/>
      <c r="E4069" s="208" t="s">
        <v>136</v>
      </c>
      <c r="F4069" s="209" t="s">
        <v>21</v>
      </c>
      <c r="G4069" s="209" t="s">
        <v>21</v>
      </c>
      <c r="H4069" s="209" t="s">
        <v>272</v>
      </c>
      <c r="I4069" s="210"/>
    </row>
    <row r="4070" spans="1:9" x14ac:dyDescent="0.25">
      <c r="A4070" s="74"/>
      <c r="B4070" s="45">
        <v>1794</v>
      </c>
      <c r="C4070" s="64" t="s">
        <v>1868</v>
      </c>
      <c r="D4070" s="74"/>
      <c r="E4070" s="208" t="s">
        <v>136</v>
      </c>
      <c r="F4070" s="209" t="s">
        <v>21</v>
      </c>
      <c r="G4070" s="209" t="s">
        <v>21</v>
      </c>
      <c r="H4070" s="209" t="s">
        <v>272</v>
      </c>
      <c r="I4070" s="210"/>
    </row>
    <row r="4071" spans="1:9" x14ac:dyDescent="0.25">
      <c r="A4071" s="74"/>
      <c r="B4071" s="45">
        <v>1795</v>
      </c>
      <c r="C4071" s="64" t="s">
        <v>2052</v>
      </c>
      <c r="D4071" s="74"/>
      <c r="E4071" s="208" t="s">
        <v>136</v>
      </c>
      <c r="F4071" s="209" t="s">
        <v>21</v>
      </c>
      <c r="G4071" s="209" t="s">
        <v>21</v>
      </c>
      <c r="H4071" s="209" t="s">
        <v>272</v>
      </c>
      <c r="I4071" s="210"/>
    </row>
    <row r="4072" spans="1:9" x14ac:dyDescent="0.25">
      <c r="A4072" s="74"/>
      <c r="B4072" s="45">
        <v>1796</v>
      </c>
      <c r="C4072" s="64" t="s">
        <v>1833</v>
      </c>
      <c r="D4072" s="74"/>
      <c r="E4072" s="208" t="s">
        <v>136</v>
      </c>
      <c r="F4072" s="209" t="s">
        <v>21</v>
      </c>
      <c r="G4072" s="209" t="s">
        <v>21</v>
      </c>
      <c r="H4072" s="209" t="s">
        <v>272</v>
      </c>
      <c r="I4072" s="210"/>
    </row>
    <row r="4073" spans="1:9" x14ac:dyDescent="0.25">
      <c r="A4073" s="74"/>
      <c r="B4073" s="45">
        <v>1797</v>
      </c>
      <c r="C4073" s="64" t="s">
        <v>2053</v>
      </c>
      <c r="D4073" s="74"/>
      <c r="E4073" s="208" t="s">
        <v>136</v>
      </c>
      <c r="F4073" s="209" t="s">
        <v>21</v>
      </c>
      <c r="G4073" s="209" t="s">
        <v>21</v>
      </c>
      <c r="H4073" s="209" t="s">
        <v>272</v>
      </c>
      <c r="I4073" s="210"/>
    </row>
    <row r="4074" spans="1:9" x14ac:dyDescent="0.25">
      <c r="A4074" s="74"/>
      <c r="B4074" s="45">
        <v>1798</v>
      </c>
      <c r="C4074" s="64" t="s">
        <v>2054</v>
      </c>
      <c r="D4074" s="74"/>
      <c r="E4074" s="208" t="s">
        <v>136</v>
      </c>
      <c r="F4074" s="209" t="s">
        <v>21</v>
      </c>
      <c r="G4074" s="209" t="s">
        <v>21</v>
      </c>
      <c r="H4074" s="209" t="s">
        <v>272</v>
      </c>
      <c r="I4074" s="210"/>
    </row>
    <row r="4075" spans="1:9" x14ac:dyDescent="0.25">
      <c r="A4075" s="74"/>
      <c r="B4075" s="45">
        <v>703</v>
      </c>
      <c r="C4075" s="64" t="s">
        <v>1112</v>
      </c>
      <c r="D4075" s="74"/>
      <c r="E4075" s="208" t="s">
        <v>136</v>
      </c>
      <c r="F4075" s="209" t="s">
        <v>21</v>
      </c>
      <c r="G4075" s="209" t="s">
        <v>21</v>
      </c>
      <c r="H4075" s="209" t="s">
        <v>192</v>
      </c>
      <c r="I4075" s="210"/>
    </row>
    <row r="4076" spans="1:9" x14ac:dyDescent="0.25">
      <c r="A4076" s="74"/>
      <c r="B4076" s="45">
        <v>1799</v>
      </c>
      <c r="C4076" s="64" t="s">
        <v>2055</v>
      </c>
      <c r="D4076" s="74"/>
      <c r="E4076" s="208" t="s">
        <v>136</v>
      </c>
      <c r="F4076" s="209" t="s">
        <v>21</v>
      </c>
      <c r="G4076" s="209" t="s">
        <v>21</v>
      </c>
      <c r="H4076" s="209" t="s">
        <v>16</v>
      </c>
      <c r="I4076" s="210"/>
    </row>
    <row r="4077" spans="1:9" x14ac:dyDescent="0.25">
      <c r="A4077" s="74"/>
      <c r="B4077" s="45">
        <v>1800</v>
      </c>
      <c r="C4077" s="64" t="s">
        <v>1753</v>
      </c>
      <c r="D4077" s="74"/>
      <c r="E4077" s="208" t="s">
        <v>136</v>
      </c>
      <c r="F4077" s="209" t="s">
        <v>21</v>
      </c>
      <c r="G4077" s="209" t="s">
        <v>21</v>
      </c>
      <c r="H4077" s="209" t="s">
        <v>272</v>
      </c>
      <c r="I4077" s="210"/>
    </row>
    <row r="4078" spans="1:9" x14ac:dyDescent="0.25">
      <c r="A4078" s="74"/>
      <c r="B4078" s="45">
        <v>1801</v>
      </c>
      <c r="C4078" s="64" t="s">
        <v>1913</v>
      </c>
      <c r="D4078" s="74"/>
      <c r="E4078" s="208" t="s">
        <v>136</v>
      </c>
      <c r="F4078" s="209" t="s">
        <v>21</v>
      </c>
      <c r="G4078" s="209" t="s">
        <v>21</v>
      </c>
      <c r="H4078" s="209" t="s">
        <v>272</v>
      </c>
      <c r="I4078" s="210"/>
    </row>
    <row r="4079" spans="1:9" x14ac:dyDescent="0.25">
      <c r="A4079" s="74"/>
      <c r="B4079" s="45">
        <v>1801</v>
      </c>
      <c r="C4079" s="64" t="s">
        <v>1913</v>
      </c>
      <c r="D4079" s="74"/>
      <c r="E4079" s="208" t="s">
        <v>136</v>
      </c>
      <c r="F4079" s="209" t="s">
        <v>21</v>
      </c>
      <c r="G4079" s="209" t="s">
        <v>21</v>
      </c>
      <c r="H4079" s="209" t="s">
        <v>272</v>
      </c>
      <c r="I4079" s="210"/>
    </row>
    <row r="4080" spans="1:9" x14ac:dyDescent="0.25">
      <c r="A4080" s="74"/>
      <c r="B4080" s="45">
        <v>1800</v>
      </c>
      <c r="C4080" s="64" t="s">
        <v>1753</v>
      </c>
      <c r="D4080" s="74"/>
      <c r="E4080" s="208" t="s">
        <v>136</v>
      </c>
      <c r="F4080" s="209" t="s">
        <v>21</v>
      </c>
      <c r="G4080" s="209" t="s">
        <v>21</v>
      </c>
      <c r="H4080" s="209" t="s">
        <v>272</v>
      </c>
      <c r="I4080" s="210"/>
    </row>
    <row r="4081" spans="1:9" x14ac:dyDescent="0.25">
      <c r="A4081" s="74"/>
      <c r="B4081" s="45">
        <v>1802</v>
      </c>
      <c r="C4081" s="64" t="s">
        <v>2056</v>
      </c>
      <c r="D4081" s="74"/>
      <c r="E4081" s="208" t="s">
        <v>136</v>
      </c>
      <c r="F4081" s="209" t="s">
        <v>21</v>
      </c>
      <c r="G4081" s="209" t="s">
        <v>21</v>
      </c>
      <c r="H4081" s="209" t="s">
        <v>272</v>
      </c>
      <c r="I4081" s="210"/>
    </row>
    <row r="4082" spans="1:9" x14ac:dyDescent="0.25">
      <c r="A4082" s="74"/>
      <c r="B4082" s="45">
        <v>1803</v>
      </c>
      <c r="C4082" s="64" t="s">
        <v>2057</v>
      </c>
      <c r="D4082" s="74"/>
      <c r="E4082" s="208" t="s">
        <v>136</v>
      </c>
      <c r="F4082" s="209" t="s">
        <v>21</v>
      </c>
      <c r="G4082" s="209" t="s">
        <v>21</v>
      </c>
      <c r="H4082" s="209" t="s">
        <v>272</v>
      </c>
      <c r="I4082" s="210"/>
    </row>
    <row r="4083" spans="1:9" x14ac:dyDescent="0.25">
      <c r="A4083" s="74"/>
      <c r="B4083" s="45">
        <v>1804</v>
      </c>
      <c r="C4083" s="64" t="s">
        <v>2058</v>
      </c>
      <c r="D4083" s="74"/>
      <c r="E4083" s="208" t="s">
        <v>136</v>
      </c>
      <c r="F4083" s="209" t="s">
        <v>21</v>
      </c>
      <c r="G4083" s="209" t="s">
        <v>21</v>
      </c>
      <c r="H4083" s="209" t="s">
        <v>272</v>
      </c>
      <c r="I4083" s="210"/>
    </row>
    <row r="4084" spans="1:9" x14ac:dyDescent="0.25">
      <c r="A4084" s="74"/>
      <c r="B4084" s="45">
        <v>1801</v>
      </c>
      <c r="C4084" s="64" t="s">
        <v>1913</v>
      </c>
      <c r="D4084" s="74"/>
      <c r="E4084" s="208" t="s">
        <v>136</v>
      </c>
      <c r="F4084" s="209" t="s">
        <v>21</v>
      </c>
      <c r="G4084" s="209" t="s">
        <v>21</v>
      </c>
      <c r="H4084" s="209" t="s">
        <v>272</v>
      </c>
      <c r="I4084" s="210"/>
    </row>
    <row r="4085" spans="1:9" x14ac:dyDescent="0.25">
      <c r="A4085" s="74"/>
      <c r="B4085" s="45">
        <v>1800</v>
      </c>
      <c r="C4085" s="64" t="s">
        <v>1753</v>
      </c>
      <c r="D4085" s="74"/>
      <c r="E4085" s="208" t="s">
        <v>136</v>
      </c>
      <c r="F4085" s="209" t="s">
        <v>21</v>
      </c>
      <c r="G4085" s="209" t="s">
        <v>21</v>
      </c>
      <c r="H4085" s="209" t="s">
        <v>272</v>
      </c>
      <c r="I4085" s="210"/>
    </row>
    <row r="4086" spans="1:9" x14ac:dyDescent="0.25">
      <c r="A4086" s="74"/>
      <c r="B4086" s="45">
        <v>1802</v>
      </c>
      <c r="C4086" s="64" t="s">
        <v>2056</v>
      </c>
      <c r="D4086" s="74"/>
      <c r="E4086" s="208" t="s">
        <v>136</v>
      </c>
      <c r="F4086" s="209" t="s">
        <v>21</v>
      </c>
      <c r="G4086" s="209" t="s">
        <v>21</v>
      </c>
      <c r="H4086" s="209" t="s">
        <v>272</v>
      </c>
      <c r="I4086" s="210"/>
    </row>
    <row r="4087" spans="1:9" x14ac:dyDescent="0.25">
      <c r="A4087" s="74"/>
      <c r="B4087" s="45">
        <v>1803</v>
      </c>
      <c r="C4087" s="64" t="s">
        <v>2057</v>
      </c>
      <c r="D4087" s="74"/>
      <c r="E4087" s="208" t="s">
        <v>136</v>
      </c>
      <c r="F4087" s="209" t="s">
        <v>21</v>
      </c>
      <c r="G4087" s="209" t="s">
        <v>21</v>
      </c>
      <c r="H4087" s="209" t="s">
        <v>272</v>
      </c>
      <c r="I4087" s="210"/>
    </row>
    <row r="4088" spans="1:9" x14ac:dyDescent="0.25">
      <c r="A4088" s="74"/>
      <c r="B4088" s="45">
        <v>1804</v>
      </c>
      <c r="C4088" s="64" t="s">
        <v>2058</v>
      </c>
      <c r="D4088" s="74"/>
      <c r="E4088" s="208" t="s">
        <v>136</v>
      </c>
      <c r="F4088" s="209" t="s">
        <v>21</v>
      </c>
      <c r="G4088" s="209" t="s">
        <v>21</v>
      </c>
      <c r="H4088" s="209" t="s">
        <v>272</v>
      </c>
      <c r="I4088" s="210"/>
    </row>
    <row r="4089" spans="1:9" x14ac:dyDescent="0.25">
      <c r="A4089" s="74"/>
      <c r="B4089" s="45">
        <v>1801</v>
      </c>
      <c r="C4089" s="64" t="s">
        <v>1913</v>
      </c>
      <c r="D4089" s="74"/>
      <c r="E4089" s="208" t="s">
        <v>136</v>
      </c>
      <c r="F4089" s="209" t="s">
        <v>21</v>
      </c>
      <c r="G4089" s="209" t="s">
        <v>21</v>
      </c>
      <c r="H4089" s="209" t="s">
        <v>272</v>
      </c>
      <c r="I4089" s="210"/>
    </row>
    <row r="4090" spans="1:9" x14ac:dyDescent="0.25">
      <c r="A4090" s="74"/>
      <c r="B4090" s="45">
        <v>1800</v>
      </c>
      <c r="C4090" s="64" t="s">
        <v>1753</v>
      </c>
      <c r="D4090" s="74"/>
      <c r="E4090" s="208" t="s">
        <v>136</v>
      </c>
      <c r="F4090" s="209" t="s">
        <v>21</v>
      </c>
      <c r="G4090" s="209" t="s">
        <v>21</v>
      </c>
      <c r="H4090" s="209" t="s">
        <v>272</v>
      </c>
      <c r="I4090" s="210"/>
    </row>
    <row r="4091" spans="1:9" x14ac:dyDescent="0.25">
      <c r="A4091" s="74"/>
      <c r="B4091" s="45">
        <v>1802</v>
      </c>
      <c r="C4091" s="64" t="s">
        <v>2056</v>
      </c>
      <c r="D4091" s="74"/>
      <c r="E4091" s="208" t="s">
        <v>136</v>
      </c>
      <c r="F4091" s="209" t="s">
        <v>21</v>
      </c>
      <c r="G4091" s="209" t="s">
        <v>21</v>
      </c>
      <c r="H4091" s="209" t="s">
        <v>272</v>
      </c>
      <c r="I4091" s="210"/>
    </row>
    <row r="4092" spans="1:9" x14ac:dyDescent="0.25">
      <c r="A4092" s="74"/>
      <c r="B4092" s="45">
        <v>1803</v>
      </c>
      <c r="C4092" s="64" t="s">
        <v>2057</v>
      </c>
      <c r="D4092" s="74"/>
      <c r="E4092" s="208" t="s">
        <v>136</v>
      </c>
      <c r="F4092" s="209" t="s">
        <v>21</v>
      </c>
      <c r="G4092" s="209" t="s">
        <v>21</v>
      </c>
      <c r="H4092" s="209" t="s">
        <v>272</v>
      </c>
      <c r="I4092" s="210"/>
    </row>
    <row r="4093" spans="1:9" x14ac:dyDescent="0.25">
      <c r="A4093" s="74"/>
      <c r="B4093" s="45">
        <v>1804</v>
      </c>
      <c r="C4093" s="64" t="s">
        <v>2058</v>
      </c>
      <c r="D4093" s="74"/>
      <c r="E4093" s="208" t="s">
        <v>136</v>
      </c>
      <c r="F4093" s="209" t="s">
        <v>21</v>
      </c>
      <c r="G4093" s="209" t="s">
        <v>21</v>
      </c>
      <c r="H4093" s="209" t="s">
        <v>272</v>
      </c>
      <c r="I4093" s="210"/>
    </row>
    <row r="4094" spans="1:9" x14ac:dyDescent="0.25">
      <c r="A4094" s="74"/>
      <c r="B4094" s="45">
        <v>1805</v>
      </c>
      <c r="C4094" s="64" t="s">
        <v>1967</v>
      </c>
      <c r="D4094" s="74"/>
      <c r="E4094" s="208" t="s">
        <v>136</v>
      </c>
      <c r="F4094" s="209" t="s">
        <v>21</v>
      </c>
      <c r="G4094" s="209" t="s">
        <v>21</v>
      </c>
      <c r="H4094" s="209" t="s">
        <v>272</v>
      </c>
      <c r="I4094" s="210"/>
    </row>
    <row r="4095" spans="1:9" x14ac:dyDescent="0.25">
      <c r="A4095" s="74"/>
      <c r="B4095" s="45">
        <v>1806</v>
      </c>
      <c r="C4095" s="64" t="s">
        <v>2059</v>
      </c>
      <c r="D4095" s="74"/>
      <c r="E4095" s="208" t="s">
        <v>136</v>
      </c>
      <c r="F4095" s="209" t="s">
        <v>21</v>
      </c>
      <c r="G4095" s="209" t="s">
        <v>21</v>
      </c>
      <c r="H4095" s="209" t="s">
        <v>272</v>
      </c>
      <c r="I4095" s="210"/>
    </row>
    <row r="4096" spans="1:9" x14ac:dyDescent="0.25">
      <c r="A4096" s="74"/>
      <c r="B4096" s="45">
        <v>777</v>
      </c>
      <c r="C4096" s="64" t="s">
        <v>1186</v>
      </c>
      <c r="D4096" s="74"/>
      <c r="E4096" s="208" t="s">
        <v>137</v>
      </c>
      <c r="F4096" s="209" t="s">
        <v>21</v>
      </c>
      <c r="G4096" s="209" t="s">
        <v>21</v>
      </c>
      <c r="H4096" s="209" t="s">
        <v>192</v>
      </c>
      <c r="I4096" s="210"/>
    </row>
    <row r="4097" spans="1:9" x14ac:dyDescent="0.25">
      <c r="A4097" s="74"/>
      <c r="B4097" s="45">
        <v>775</v>
      </c>
      <c r="C4097" s="64" t="s">
        <v>1184</v>
      </c>
      <c r="D4097" s="74"/>
      <c r="E4097" s="208" t="s">
        <v>137</v>
      </c>
      <c r="F4097" s="209" t="s">
        <v>21</v>
      </c>
      <c r="G4097" s="209" t="s">
        <v>21</v>
      </c>
      <c r="H4097" s="209" t="s">
        <v>192</v>
      </c>
      <c r="I4097" s="210"/>
    </row>
    <row r="4098" spans="1:9" x14ac:dyDescent="0.25">
      <c r="A4098" s="74"/>
      <c r="B4098" s="45">
        <v>1808</v>
      </c>
      <c r="C4098" s="64" t="s">
        <v>2060</v>
      </c>
      <c r="D4098" s="74"/>
      <c r="E4098" s="208" t="s">
        <v>136</v>
      </c>
      <c r="F4098" s="209" t="s">
        <v>21</v>
      </c>
      <c r="G4098" s="209" t="s">
        <v>21</v>
      </c>
      <c r="H4098" s="209" t="s">
        <v>272</v>
      </c>
      <c r="I4098" s="210"/>
    </row>
    <row r="4099" spans="1:9" x14ac:dyDescent="0.25">
      <c r="A4099" s="74"/>
      <c r="B4099" s="45">
        <v>1808</v>
      </c>
      <c r="C4099" s="64" t="s">
        <v>2060</v>
      </c>
      <c r="D4099" s="74"/>
      <c r="E4099" s="208" t="s">
        <v>136</v>
      </c>
      <c r="F4099" s="209" t="s">
        <v>21</v>
      </c>
      <c r="G4099" s="209" t="s">
        <v>21</v>
      </c>
      <c r="H4099" s="209" t="s">
        <v>272</v>
      </c>
      <c r="I4099" s="210"/>
    </row>
    <row r="4100" spans="1:9" x14ac:dyDescent="0.25">
      <c r="A4100" s="74"/>
      <c r="B4100" s="45">
        <v>1808</v>
      </c>
      <c r="C4100" s="64" t="s">
        <v>2060</v>
      </c>
      <c r="D4100" s="74"/>
      <c r="E4100" s="208" t="s">
        <v>136</v>
      </c>
      <c r="F4100" s="209" t="s">
        <v>21</v>
      </c>
      <c r="G4100" s="209" t="s">
        <v>21</v>
      </c>
      <c r="H4100" s="209" t="s">
        <v>272</v>
      </c>
      <c r="I4100" s="210"/>
    </row>
    <row r="4101" spans="1:9" x14ac:dyDescent="0.25">
      <c r="A4101" s="74"/>
      <c r="B4101" s="45">
        <v>1808</v>
      </c>
      <c r="C4101" s="64" t="s">
        <v>2060</v>
      </c>
      <c r="D4101" s="74"/>
      <c r="E4101" s="208" t="s">
        <v>136</v>
      </c>
      <c r="F4101" s="209" t="s">
        <v>21</v>
      </c>
      <c r="G4101" s="209" t="s">
        <v>21</v>
      </c>
      <c r="H4101" s="209" t="s">
        <v>272</v>
      </c>
      <c r="I4101" s="210"/>
    </row>
    <row r="4102" spans="1:9" x14ac:dyDescent="0.25">
      <c r="A4102" s="74"/>
      <c r="B4102" s="45">
        <v>1809</v>
      </c>
      <c r="C4102" s="64" t="s">
        <v>2061</v>
      </c>
      <c r="D4102" s="74"/>
      <c r="E4102" s="208" t="s">
        <v>136</v>
      </c>
      <c r="F4102" s="209" t="s">
        <v>21</v>
      </c>
      <c r="G4102" s="209" t="s">
        <v>21</v>
      </c>
      <c r="H4102" s="209" t="s">
        <v>272</v>
      </c>
      <c r="I4102" s="210"/>
    </row>
    <row r="4103" spans="1:9" x14ac:dyDescent="0.25">
      <c r="A4103" s="74"/>
      <c r="B4103" s="45">
        <v>1810</v>
      </c>
      <c r="C4103" s="64" t="s">
        <v>2062</v>
      </c>
      <c r="D4103" s="74"/>
      <c r="E4103" s="208" t="s">
        <v>136</v>
      </c>
      <c r="F4103" s="209" t="s">
        <v>21</v>
      </c>
      <c r="G4103" s="209" t="s">
        <v>21</v>
      </c>
      <c r="H4103" s="209" t="s">
        <v>272</v>
      </c>
      <c r="I4103" s="210"/>
    </row>
    <row r="4104" spans="1:9" x14ac:dyDescent="0.25">
      <c r="A4104" s="74"/>
      <c r="B4104" s="45">
        <v>1759</v>
      </c>
      <c r="C4104" s="64" t="s">
        <v>1925</v>
      </c>
      <c r="D4104" s="74"/>
      <c r="E4104" s="208" t="s">
        <v>136</v>
      </c>
      <c r="F4104" s="209" t="s">
        <v>21</v>
      </c>
      <c r="G4104" s="209" t="s">
        <v>21</v>
      </c>
      <c r="H4104" s="209" t="s">
        <v>272</v>
      </c>
      <c r="I4104" s="210"/>
    </row>
    <row r="4105" spans="1:9" x14ac:dyDescent="0.25">
      <c r="A4105" s="74"/>
      <c r="B4105" s="45">
        <v>1809</v>
      </c>
      <c r="C4105" s="64" t="s">
        <v>2061</v>
      </c>
      <c r="D4105" s="74"/>
      <c r="E4105" s="208" t="s">
        <v>136</v>
      </c>
      <c r="F4105" s="209" t="s">
        <v>21</v>
      </c>
      <c r="G4105" s="209" t="s">
        <v>21</v>
      </c>
      <c r="H4105" s="209" t="s">
        <v>272</v>
      </c>
      <c r="I4105" s="210"/>
    </row>
    <row r="4106" spans="1:9" x14ac:dyDescent="0.25">
      <c r="A4106" s="74"/>
      <c r="B4106" s="45">
        <v>1810</v>
      </c>
      <c r="C4106" s="64" t="s">
        <v>2062</v>
      </c>
      <c r="D4106" s="74"/>
      <c r="E4106" s="208" t="s">
        <v>136</v>
      </c>
      <c r="F4106" s="209" t="s">
        <v>21</v>
      </c>
      <c r="G4106" s="209" t="s">
        <v>21</v>
      </c>
      <c r="H4106" s="209" t="s">
        <v>272</v>
      </c>
      <c r="I4106" s="210"/>
    </row>
    <row r="4107" spans="1:9" x14ac:dyDescent="0.25">
      <c r="A4107" s="74"/>
      <c r="B4107" s="45">
        <v>1759</v>
      </c>
      <c r="C4107" s="64" t="s">
        <v>1925</v>
      </c>
      <c r="D4107" s="74"/>
      <c r="E4107" s="208" t="s">
        <v>136</v>
      </c>
      <c r="F4107" s="209" t="s">
        <v>21</v>
      </c>
      <c r="G4107" s="209" t="s">
        <v>21</v>
      </c>
      <c r="H4107" s="209" t="s">
        <v>272</v>
      </c>
      <c r="I4107" s="210"/>
    </row>
    <row r="4108" spans="1:9" x14ac:dyDescent="0.25">
      <c r="A4108" s="74"/>
      <c r="B4108" s="45">
        <v>1809</v>
      </c>
      <c r="C4108" s="64" t="s">
        <v>2061</v>
      </c>
      <c r="D4108" s="74"/>
      <c r="E4108" s="208" t="s">
        <v>136</v>
      </c>
      <c r="F4108" s="209" t="s">
        <v>21</v>
      </c>
      <c r="G4108" s="209" t="s">
        <v>21</v>
      </c>
      <c r="H4108" s="209" t="s">
        <v>272</v>
      </c>
      <c r="I4108" s="210"/>
    </row>
    <row r="4109" spans="1:9" x14ac:dyDescent="0.25">
      <c r="A4109" s="74"/>
      <c r="B4109" s="45">
        <v>1810</v>
      </c>
      <c r="C4109" s="64" t="s">
        <v>2062</v>
      </c>
      <c r="D4109" s="74"/>
      <c r="E4109" s="208" t="s">
        <v>136</v>
      </c>
      <c r="F4109" s="209" t="s">
        <v>21</v>
      </c>
      <c r="G4109" s="209" t="s">
        <v>21</v>
      </c>
      <c r="H4109" s="209" t="s">
        <v>272</v>
      </c>
      <c r="I4109" s="210"/>
    </row>
    <row r="4110" spans="1:9" x14ac:dyDescent="0.25">
      <c r="A4110" s="74"/>
      <c r="B4110" s="45">
        <v>1759</v>
      </c>
      <c r="C4110" s="64" t="s">
        <v>1925</v>
      </c>
      <c r="D4110" s="74"/>
      <c r="E4110" s="208" t="s">
        <v>136</v>
      </c>
      <c r="F4110" s="209" t="s">
        <v>21</v>
      </c>
      <c r="G4110" s="209" t="s">
        <v>21</v>
      </c>
      <c r="H4110" s="209" t="s">
        <v>272</v>
      </c>
      <c r="I4110" s="210"/>
    </row>
    <row r="4111" spans="1:9" x14ac:dyDescent="0.25">
      <c r="A4111" s="74"/>
      <c r="B4111" s="45">
        <v>1809</v>
      </c>
      <c r="C4111" s="64" t="s">
        <v>2061</v>
      </c>
      <c r="D4111" s="74"/>
      <c r="E4111" s="208" t="s">
        <v>136</v>
      </c>
      <c r="F4111" s="209" t="s">
        <v>21</v>
      </c>
      <c r="G4111" s="209" t="s">
        <v>21</v>
      </c>
      <c r="H4111" s="209" t="s">
        <v>272</v>
      </c>
      <c r="I4111" s="210"/>
    </row>
    <row r="4112" spans="1:9" x14ac:dyDescent="0.25">
      <c r="A4112" s="74"/>
      <c r="B4112" s="45">
        <v>1810</v>
      </c>
      <c r="C4112" s="64" t="s">
        <v>2062</v>
      </c>
      <c r="D4112" s="74"/>
      <c r="E4112" s="208" t="s">
        <v>136</v>
      </c>
      <c r="F4112" s="209" t="s">
        <v>21</v>
      </c>
      <c r="G4112" s="209" t="s">
        <v>21</v>
      </c>
      <c r="H4112" s="209" t="s">
        <v>272</v>
      </c>
      <c r="I4112" s="210"/>
    </row>
    <row r="4113" spans="1:9" x14ac:dyDescent="0.25">
      <c r="A4113" s="74"/>
      <c r="B4113" s="45">
        <v>1759</v>
      </c>
      <c r="C4113" s="64" t="s">
        <v>1925</v>
      </c>
      <c r="D4113" s="74"/>
      <c r="E4113" s="208" t="s">
        <v>136</v>
      </c>
      <c r="F4113" s="209" t="s">
        <v>21</v>
      </c>
      <c r="G4113" s="209" t="s">
        <v>21</v>
      </c>
      <c r="H4113" s="209" t="s">
        <v>272</v>
      </c>
      <c r="I4113" s="210"/>
    </row>
    <row r="4114" spans="1:9" x14ac:dyDescent="0.25">
      <c r="A4114" s="74"/>
      <c r="B4114" s="45">
        <v>757</v>
      </c>
      <c r="C4114" s="64" t="s">
        <v>1166</v>
      </c>
      <c r="D4114" s="74"/>
      <c r="E4114" s="208" t="s">
        <v>137</v>
      </c>
      <c r="F4114" s="209" t="s">
        <v>21</v>
      </c>
      <c r="G4114" s="209" t="s">
        <v>21</v>
      </c>
      <c r="H4114" s="209" t="s">
        <v>192</v>
      </c>
      <c r="I4114" s="210"/>
    </row>
    <row r="4115" spans="1:9" x14ac:dyDescent="0.25">
      <c r="A4115" s="74"/>
      <c r="B4115" s="45">
        <v>713</v>
      </c>
      <c r="C4115" s="64" t="s">
        <v>1122</v>
      </c>
      <c r="D4115" s="74"/>
      <c r="E4115" s="208" t="s">
        <v>137</v>
      </c>
      <c r="F4115" s="209" t="s">
        <v>21</v>
      </c>
      <c r="G4115" s="209" t="s">
        <v>21</v>
      </c>
      <c r="H4115" s="209" t="s">
        <v>192</v>
      </c>
      <c r="I4115" s="210"/>
    </row>
    <row r="4116" spans="1:9" x14ac:dyDescent="0.25">
      <c r="A4116" s="74"/>
      <c r="B4116" s="45">
        <v>1811</v>
      </c>
      <c r="C4116" s="64" t="s">
        <v>1949</v>
      </c>
      <c r="D4116" s="74"/>
      <c r="E4116" s="208" t="s">
        <v>138</v>
      </c>
      <c r="F4116" s="209" t="s">
        <v>21</v>
      </c>
      <c r="G4116" s="209" t="s">
        <v>21</v>
      </c>
      <c r="H4116" s="209" t="s">
        <v>16</v>
      </c>
      <c r="I4116" s="210"/>
    </row>
    <row r="4117" spans="1:9" x14ac:dyDescent="0.25">
      <c r="A4117" s="74"/>
      <c r="B4117" s="45">
        <v>729</v>
      </c>
      <c r="C4117" s="64" t="s">
        <v>1138</v>
      </c>
      <c r="D4117" s="74"/>
      <c r="E4117" s="208" t="s">
        <v>138</v>
      </c>
      <c r="F4117" s="209" t="s">
        <v>21</v>
      </c>
      <c r="G4117" s="209" t="s">
        <v>21</v>
      </c>
      <c r="H4117" s="209" t="s">
        <v>192</v>
      </c>
      <c r="I4117" s="210"/>
    </row>
    <row r="4118" spans="1:9" x14ac:dyDescent="0.25">
      <c r="A4118" s="74"/>
      <c r="B4118" s="45">
        <v>724</v>
      </c>
      <c r="C4118" s="64" t="s">
        <v>1133</v>
      </c>
      <c r="D4118" s="74"/>
      <c r="E4118" s="208" t="s">
        <v>138</v>
      </c>
      <c r="F4118" s="209" t="s">
        <v>21</v>
      </c>
      <c r="G4118" s="209" t="s">
        <v>21</v>
      </c>
      <c r="H4118" s="209" t="s">
        <v>192</v>
      </c>
      <c r="I4118" s="210"/>
    </row>
    <row r="4119" spans="1:9" x14ac:dyDescent="0.25">
      <c r="A4119" s="74"/>
      <c r="B4119" s="45">
        <v>722</v>
      </c>
      <c r="C4119" s="64" t="s">
        <v>1131</v>
      </c>
      <c r="D4119" s="74"/>
      <c r="E4119" s="208" t="s">
        <v>138</v>
      </c>
      <c r="F4119" s="209" t="s">
        <v>21</v>
      </c>
      <c r="G4119" s="209" t="s">
        <v>21</v>
      </c>
      <c r="H4119" s="209" t="s">
        <v>192</v>
      </c>
      <c r="I4119" s="210"/>
    </row>
    <row r="4120" spans="1:9" x14ac:dyDescent="0.25">
      <c r="A4120" s="74"/>
      <c r="B4120" s="45">
        <v>725</v>
      </c>
      <c r="C4120" s="64" t="s">
        <v>1134</v>
      </c>
      <c r="D4120" s="74"/>
      <c r="E4120" s="208" t="s">
        <v>138</v>
      </c>
      <c r="F4120" s="209" t="s">
        <v>21</v>
      </c>
      <c r="G4120" s="209" t="s">
        <v>21</v>
      </c>
      <c r="H4120" s="209" t="s">
        <v>192</v>
      </c>
      <c r="I4120" s="210"/>
    </row>
    <row r="4121" spans="1:9" x14ac:dyDescent="0.25">
      <c r="A4121" s="74"/>
      <c r="B4121" s="45">
        <v>686</v>
      </c>
      <c r="C4121" s="64" t="s">
        <v>1095</v>
      </c>
      <c r="D4121" s="74"/>
      <c r="E4121" s="208" t="s">
        <v>136</v>
      </c>
      <c r="F4121" s="209" t="s">
        <v>21</v>
      </c>
      <c r="G4121" s="209" t="s">
        <v>21</v>
      </c>
      <c r="H4121" s="209" t="s">
        <v>192</v>
      </c>
      <c r="I4121" s="210"/>
    </row>
    <row r="4122" spans="1:9" x14ac:dyDescent="0.25">
      <c r="A4122" s="74"/>
      <c r="B4122" s="45">
        <v>688</v>
      </c>
      <c r="C4122" s="64" t="s">
        <v>1097</v>
      </c>
      <c r="D4122" s="74"/>
      <c r="E4122" s="208" t="s">
        <v>136</v>
      </c>
      <c r="F4122" s="209" t="s">
        <v>21</v>
      </c>
      <c r="G4122" s="209" t="s">
        <v>21</v>
      </c>
      <c r="H4122" s="209" t="s">
        <v>192</v>
      </c>
      <c r="I4122" s="210"/>
    </row>
    <row r="4123" spans="1:9" x14ac:dyDescent="0.25">
      <c r="A4123" s="74"/>
      <c r="B4123" s="45">
        <v>684</v>
      </c>
      <c r="C4123" s="64" t="s">
        <v>1093</v>
      </c>
      <c r="D4123" s="74"/>
      <c r="E4123" s="208" t="s">
        <v>136</v>
      </c>
      <c r="F4123" s="209" t="s">
        <v>21</v>
      </c>
      <c r="G4123" s="209" t="s">
        <v>21</v>
      </c>
      <c r="H4123" s="209" t="s">
        <v>192</v>
      </c>
      <c r="I4123" s="210"/>
    </row>
    <row r="4124" spans="1:9" x14ac:dyDescent="0.25">
      <c r="A4124" s="74"/>
      <c r="B4124" s="45">
        <v>1779</v>
      </c>
      <c r="C4124" s="64" t="s">
        <v>2041</v>
      </c>
      <c r="D4124" s="74"/>
      <c r="E4124" s="208" t="s">
        <v>136</v>
      </c>
      <c r="F4124" s="209" t="s">
        <v>21</v>
      </c>
      <c r="G4124" s="209" t="s">
        <v>21</v>
      </c>
      <c r="H4124" s="209" t="s">
        <v>272</v>
      </c>
      <c r="I4124" s="210"/>
    </row>
    <row r="4125" spans="1:9" x14ac:dyDescent="0.25">
      <c r="A4125" s="74"/>
      <c r="B4125" s="45">
        <v>1815</v>
      </c>
      <c r="C4125" s="64" t="s">
        <v>1545</v>
      </c>
      <c r="D4125" s="74"/>
      <c r="E4125" s="208" t="s">
        <v>138</v>
      </c>
      <c r="F4125" s="209" t="s">
        <v>21</v>
      </c>
      <c r="G4125" s="209" t="s">
        <v>21</v>
      </c>
      <c r="H4125" s="209" t="s">
        <v>272</v>
      </c>
      <c r="I4125" s="210"/>
    </row>
    <row r="4126" spans="1:9" x14ac:dyDescent="0.25">
      <c r="A4126" s="74"/>
      <c r="B4126" s="45">
        <v>1816</v>
      </c>
      <c r="C4126" s="64" t="s">
        <v>2034</v>
      </c>
      <c r="D4126" s="74"/>
      <c r="E4126" s="208" t="s">
        <v>138</v>
      </c>
      <c r="F4126" s="209" t="s">
        <v>21</v>
      </c>
      <c r="G4126" s="209" t="s">
        <v>21</v>
      </c>
      <c r="H4126" s="209" t="s">
        <v>272</v>
      </c>
      <c r="I4126" s="210"/>
    </row>
    <row r="4127" spans="1:9" x14ac:dyDescent="0.25">
      <c r="A4127" s="74"/>
      <c r="B4127" s="45">
        <v>728</v>
      </c>
      <c r="C4127" s="64" t="s">
        <v>1137</v>
      </c>
      <c r="D4127" s="74"/>
      <c r="E4127" s="208" t="s">
        <v>138</v>
      </c>
      <c r="F4127" s="209" t="s">
        <v>21</v>
      </c>
      <c r="G4127" s="209" t="s">
        <v>21</v>
      </c>
      <c r="H4127" s="209" t="s">
        <v>272</v>
      </c>
      <c r="I4127" s="210"/>
    </row>
    <row r="4128" spans="1:9" x14ac:dyDescent="0.25">
      <c r="A4128" s="74"/>
      <c r="B4128" s="45">
        <v>1815</v>
      </c>
      <c r="C4128" s="64" t="s">
        <v>1545</v>
      </c>
      <c r="D4128" s="74"/>
      <c r="E4128" s="208" t="s">
        <v>138</v>
      </c>
      <c r="F4128" s="209" t="s">
        <v>21</v>
      </c>
      <c r="G4128" s="209" t="s">
        <v>21</v>
      </c>
      <c r="H4128" s="209" t="s">
        <v>272</v>
      </c>
      <c r="I4128" s="210"/>
    </row>
    <row r="4129" spans="1:9" x14ac:dyDescent="0.25">
      <c r="A4129" s="74"/>
      <c r="B4129" s="45">
        <v>1816</v>
      </c>
      <c r="C4129" s="64" t="s">
        <v>2034</v>
      </c>
      <c r="D4129" s="74"/>
      <c r="E4129" s="208" t="s">
        <v>138</v>
      </c>
      <c r="F4129" s="209" t="s">
        <v>21</v>
      </c>
      <c r="G4129" s="209" t="s">
        <v>21</v>
      </c>
      <c r="H4129" s="209" t="s">
        <v>272</v>
      </c>
      <c r="I4129" s="210"/>
    </row>
    <row r="4130" spans="1:9" x14ac:dyDescent="0.25">
      <c r="A4130" s="74"/>
      <c r="B4130" s="45">
        <v>728</v>
      </c>
      <c r="C4130" s="64" t="s">
        <v>1137</v>
      </c>
      <c r="D4130" s="74"/>
      <c r="E4130" s="208" t="s">
        <v>138</v>
      </c>
      <c r="F4130" s="209" t="s">
        <v>21</v>
      </c>
      <c r="G4130" s="209" t="s">
        <v>21</v>
      </c>
      <c r="H4130" s="209" t="s">
        <v>272</v>
      </c>
      <c r="I4130" s="210"/>
    </row>
    <row r="4131" spans="1:9" x14ac:dyDescent="0.25">
      <c r="A4131" s="74"/>
      <c r="B4131" s="45">
        <v>1815</v>
      </c>
      <c r="C4131" s="64" t="s">
        <v>1545</v>
      </c>
      <c r="D4131" s="74"/>
      <c r="E4131" s="208" t="s">
        <v>138</v>
      </c>
      <c r="F4131" s="209" t="s">
        <v>21</v>
      </c>
      <c r="G4131" s="209" t="s">
        <v>21</v>
      </c>
      <c r="H4131" s="209" t="s">
        <v>272</v>
      </c>
      <c r="I4131" s="210"/>
    </row>
    <row r="4132" spans="1:9" x14ac:dyDescent="0.25">
      <c r="A4132" s="74"/>
      <c r="B4132" s="45">
        <v>1816</v>
      </c>
      <c r="C4132" s="64" t="s">
        <v>2034</v>
      </c>
      <c r="D4132" s="74"/>
      <c r="E4132" s="208" t="s">
        <v>138</v>
      </c>
      <c r="F4132" s="209" t="s">
        <v>21</v>
      </c>
      <c r="G4132" s="209" t="s">
        <v>21</v>
      </c>
      <c r="H4132" s="209" t="s">
        <v>272</v>
      </c>
      <c r="I4132" s="210"/>
    </row>
    <row r="4133" spans="1:9" x14ac:dyDescent="0.25">
      <c r="A4133" s="74"/>
      <c r="B4133" s="45">
        <v>728</v>
      </c>
      <c r="C4133" s="64" t="s">
        <v>1137</v>
      </c>
      <c r="D4133" s="74"/>
      <c r="E4133" s="208" t="s">
        <v>138</v>
      </c>
      <c r="F4133" s="209" t="s">
        <v>21</v>
      </c>
      <c r="G4133" s="209" t="s">
        <v>21</v>
      </c>
      <c r="H4133" s="209" t="s">
        <v>272</v>
      </c>
      <c r="I4133" s="210"/>
    </row>
    <row r="4134" spans="1:9" x14ac:dyDescent="0.25">
      <c r="A4134" s="74"/>
      <c r="B4134" s="45">
        <v>1815</v>
      </c>
      <c r="C4134" s="64" t="s">
        <v>1545</v>
      </c>
      <c r="D4134" s="74"/>
      <c r="E4134" s="208" t="s">
        <v>138</v>
      </c>
      <c r="F4134" s="209" t="s">
        <v>21</v>
      </c>
      <c r="G4134" s="209" t="s">
        <v>21</v>
      </c>
      <c r="H4134" s="209" t="s">
        <v>272</v>
      </c>
      <c r="I4134" s="210"/>
    </row>
    <row r="4135" spans="1:9" x14ac:dyDescent="0.25">
      <c r="A4135" s="74"/>
      <c r="B4135" s="45">
        <v>1816</v>
      </c>
      <c r="C4135" s="64" t="s">
        <v>2034</v>
      </c>
      <c r="D4135" s="74"/>
      <c r="E4135" s="208" t="s">
        <v>138</v>
      </c>
      <c r="F4135" s="209" t="s">
        <v>21</v>
      </c>
      <c r="G4135" s="209" t="s">
        <v>21</v>
      </c>
      <c r="H4135" s="209" t="s">
        <v>272</v>
      </c>
      <c r="I4135" s="210"/>
    </row>
    <row r="4136" spans="1:9" x14ac:dyDescent="0.25">
      <c r="A4136" s="74"/>
      <c r="B4136" s="45">
        <v>728</v>
      </c>
      <c r="C4136" s="64" t="s">
        <v>1137</v>
      </c>
      <c r="D4136" s="74"/>
      <c r="E4136" s="208" t="s">
        <v>138</v>
      </c>
      <c r="F4136" s="209" t="s">
        <v>21</v>
      </c>
      <c r="G4136" s="209" t="s">
        <v>21</v>
      </c>
      <c r="H4136" s="209" t="s">
        <v>272</v>
      </c>
      <c r="I4136" s="210"/>
    </row>
    <row r="4137" spans="1:9" x14ac:dyDescent="0.25">
      <c r="A4137" s="74"/>
      <c r="B4137" s="45">
        <v>1817</v>
      </c>
      <c r="C4137" s="64" t="s">
        <v>2063</v>
      </c>
      <c r="D4137" s="74"/>
      <c r="E4137" s="208" t="s">
        <v>138</v>
      </c>
      <c r="F4137" s="209" t="s">
        <v>21</v>
      </c>
      <c r="G4137" s="209" t="s">
        <v>21</v>
      </c>
      <c r="H4137" s="209" t="s">
        <v>272</v>
      </c>
      <c r="I4137" s="210"/>
    </row>
    <row r="4138" spans="1:9" x14ac:dyDescent="0.25">
      <c r="A4138" s="74"/>
      <c r="B4138" s="45">
        <v>1818</v>
      </c>
      <c r="C4138" s="64" t="s">
        <v>1731</v>
      </c>
      <c r="D4138" s="74"/>
      <c r="E4138" s="208" t="s">
        <v>138</v>
      </c>
      <c r="F4138" s="209" t="s">
        <v>21</v>
      </c>
      <c r="G4138" s="209" t="s">
        <v>21</v>
      </c>
      <c r="H4138" s="209" t="s">
        <v>272</v>
      </c>
      <c r="I4138" s="210"/>
    </row>
    <row r="4139" spans="1:9" x14ac:dyDescent="0.25">
      <c r="A4139" s="74"/>
      <c r="B4139" s="45">
        <v>1819</v>
      </c>
      <c r="C4139" s="64" t="s">
        <v>1971</v>
      </c>
      <c r="D4139" s="74"/>
      <c r="E4139" s="208" t="s">
        <v>138</v>
      </c>
      <c r="F4139" s="209" t="s">
        <v>21</v>
      </c>
      <c r="G4139" s="209" t="s">
        <v>21</v>
      </c>
      <c r="H4139" s="209" t="s">
        <v>272</v>
      </c>
      <c r="I4139" s="210"/>
    </row>
    <row r="4140" spans="1:9" x14ac:dyDescent="0.25">
      <c r="A4140" s="74"/>
      <c r="B4140" s="45">
        <v>1820</v>
      </c>
      <c r="C4140" s="64" t="s">
        <v>2064</v>
      </c>
      <c r="D4140" s="74"/>
      <c r="E4140" s="208" t="s">
        <v>138</v>
      </c>
      <c r="F4140" s="209" t="s">
        <v>21</v>
      </c>
      <c r="G4140" s="209" t="s">
        <v>21</v>
      </c>
      <c r="H4140" s="209" t="s">
        <v>272</v>
      </c>
      <c r="I4140" s="210"/>
    </row>
    <row r="4141" spans="1:9" x14ac:dyDescent="0.25">
      <c r="A4141" s="74"/>
      <c r="B4141" s="45">
        <v>728</v>
      </c>
      <c r="C4141" s="64" t="s">
        <v>1137</v>
      </c>
      <c r="D4141" s="74"/>
      <c r="E4141" s="208" t="s">
        <v>138</v>
      </c>
      <c r="F4141" s="209" t="s">
        <v>21</v>
      </c>
      <c r="G4141" s="209" t="s">
        <v>21</v>
      </c>
      <c r="H4141" s="209" t="s">
        <v>272</v>
      </c>
      <c r="I4141" s="210"/>
    </row>
    <row r="4142" spans="1:9" x14ac:dyDescent="0.25">
      <c r="A4142" s="74"/>
      <c r="B4142" s="45">
        <v>1817</v>
      </c>
      <c r="C4142" s="64" t="s">
        <v>2063</v>
      </c>
      <c r="D4142" s="74"/>
      <c r="E4142" s="208" t="s">
        <v>138</v>
      </c>
      <c r="F4142" s="209" t="s">
        <v>21</v>
      </c>
      <c r="G4142" s="209" t="s">
        <v>21</v>
      </c>
      <c r="H4142" s="209" t="s">
        <v>272</v>
      </c>
      <c r="I4142" s="210"/>
    </row>
    <row r="4143" spans="1:9" x14ac:dyDescent="0.25">
      <c r="A4143" s="74"/>
      <c r="B4143" s="45">
        <v>1818</v>
      </c>
      <c r="C4143" s="64" t="s">
        <v>1731</v>
      </c>
      <c r="D4143" s="74"/>
      <c r="E4143" s="208" t="s">
        <v>138</v>
      </c>
      <c r="F4143" s="209" t="s">
        <v>21</v>
      </c>
      <c r="G4143" s="209" t="s">
        <v>21</v>
      </c>
      <c r="H4143" s="209" t="s">
        <v>272</v>
      </c>
      <c r="I4143" s="210"/>
    </row>
    <row r="4144" spans="1:9" x14ac:dyDescent="0.25">
      <c r="A4144" s="74"/>
      <c r="B4144" s="45">
        <v>1819</v>
      </c>
      <c r="C4144" s="64" t="s">
        <v>1971</v>
      </c>
      <c r="D4144" s="74"/>
      <c r="E4144" s="208" t="s">
        <v>138</v>
      </c>
      <c r="F4144" s="209" t="s">
        <v>21</v>
      </c>
      <c r="G4144" s="209" t="s">
        <v>21</v>
      </c>
      <c r="H4144" s="209" t="s">
        <v>272</v>
      </c>
      <c r="I4144" s="210"/>
    </row>
    <row r="4145" spans="1:9" x14ac:dyDescent="0.25">
      <c r="A4145" s="74"/>
      <c r="B4145" s="45">
        <v>1820</v>
      </c>
      <c r="C4145" s="64" t="s">
        <v>2064</v>
      </c>
      <c r="D4145" s="74"/>
      <c r="E4145" s="208" t="s">
        <v>138</v>
      </c>
      <c r="F4145" s="209" t="s">
        <v>21</v>
      </c>
      <c r="G4145" s="209" t="s">
        <v>21</v>
      </c>
      <c r="H4145" s="209" t="s">
        <v>272</v>
      </c>
      <c r="I4145" s="210"/>
    </row>
    <row r="4146" spans="1:9" x14ac:dyDescent="0.25">
      <c r="A4146" s="74"/>
      <c r="B4146" s="45">
        <v>728</v>
      </c>
      <c r="C4146" s="64" t="s">
        <v>1137</v>
      </c>
      <c r="D4146" s="74"/>
      <c r="E4146" s="208" t="s">
        <v>138</v>
      </c>
      <c r="F4146" s="209" t="s">
        <v>21</v>
      </c>
      <c r="G4146" s="209" t="s">
        <v>21</v>
      </c>
      <c r="H4146" s="209" t="s">
        <v>272</v>
      </c>
      <c r="I4146" s="210"/>
    </row>
    <row r="4147" spans="1:9" x14ac:dyDescent="0.25">
      <c r="A4147" s="74"/>
      <c r="B4147" s="45">
        <v>1817</v>
      </c>
      <c r="C4147" s="64" t="s">
        <v>2063</v>
      </c>
      <c r="D4147" s="74"/>
      <c r="E4147" s="208" t="s">
        <v>138</v>
      </c>
      <c r="F4147" s="209" t="s">
        <v>21</v>
      </c>
      <c r="G4147" s="209" t="s">
        <v>21</v>
      </c>
      <c r="H4147" s="209" t="s">
        <v>272</v>
      </c>
      <c r="I4147" s="210"/>
    </row>
    <row r="4148" spans="1:9" x14ac:dyDescent="0.25">
      <c r="A4148" s="74"/>
      <c r="B4148" s="45">
        <v>1818</v>
      </c>
      <c r="C4148" s="64" t="s">
        <v>1731</v>
      </c>
      <c r="D4148" s="74"/>
      <c r="E4148" s="208" t="s">
        <v>138</v>
      </c>
      <c r="F4148" s="209" t="s">
        <v>21</v>
      </c>
      <c r="G4148" s="209" t="s">
        <v>21</v>
      </c>
      <c r="H4148" s="209" t="s">
        <v>272</v>
      </c>
      <c r="I4148" s="210"/>
    </row>
    <row r="4149" spans="1:9" x14ac:dyDescent="0.25">
      <c r="A4149" s="74"/>
      <c r="B4149" s="45">
        <v>1819</v>
      </c>
      <c r="C4149" s="64" t="s">
        <v>1971</v>
      </c>
      <c r="D4149" s="74"/>
      <c r="E4149" s="208" t="s">
        <v>138</v>
      </c>
      <c r="F4149" s="209" t="s">
        <v>21</v>
      </c>
      <c r="G4149" s="209" t="s">
        <v>21</v>
      </c>
      <c r="H4149" s="209" t="s">
        <v>272</v>
      </c>
      <c r="I4149" s="210"/>
    </row>
    <row r="4150" spans="1:9" x14ac:dyDescent="0.25">
      <c r="A4150" s="74"/>
      <c r="B4150" s="45">
        <v>1820</v>
      </c>
      <c r="C4150" s="64" t="s">
        <v>2064</v>
      </c>
      <c r="D4150" s="74"/>
      <c r="E4150" s="208" t="s">
        <v>138</v>
      </c>
      <c r="F4150" s="209" t="s">
        <v>21</v>
      </c>
      <c r="G4150" s="209" t="s">
        <v>21</v>
      </c>
      <c r="H4150" s="209" t="s">
        <v>272</v>
      </c>
      <c r="I4150" s="210"/>
    </row>
    <row r="4151" spans="1:9" x14ac:dyDescent="0.25">
      <c r="A4151" s="74"/>
      <c r="B4151" s="45">
        <v>728</v>
      </c>
      <c r="C4151" s="64" t="s">
        <v>1137</v>
      </c>
      <c r="D4151" s="74"/>
      <c r="E4151" s="208" t="s">
        <v>138</v>
      </c>
      <c r="F4151" s="209" t="s">
        <v>21</v>
      </c>
      <c r="G4151" s="209" t="s">
        <v>21</v>
      </c>
      <c r="H4151" s="209" t="s">
        <v>272</v>
      </c>
      <c r="I4151" s="210"/>
    </row>
    <row r="4152" spans="1:9" x14ac:dyDescent="0.25">
      <c r="A4152" s="74"/>
      <c r="B4152" s="45">
        <v>1817</v>
      </c>
      <c r="C4152" s="64" t="s">
        <v>2063</v>
      </c>
      <c r="D4152" s="74"/>
      <c r="E4152" s="208" t="s">
        <v>138</v>
      </c>
      <c r="F4152" s="209" t="s">
        <v>21</v>
      </c>
      <c r="G4152" s="209" t="s">
        <v>21</v>
      </c>
      <c r="H4152" s="209" t="s">
        <v>272</v>
      </c>
      <c r="I4152" s="210"/>
    </row>
    <row r="4153" spans="1:9" x14ac:dyDescent="0.25">
      <c r="A4153" s="74"/>
      <c r="B4153" s="45">
        <v>1818</v>
      </c>
      <c r="C4153" s="64" t="s">
        <v>1731</v>
      </c>
      <c r="D4153" s="74"/>
      <c r="E4153" s="208" t="s">
        <v>138</v>
      </c>
      <c r="F4153" s="209" t="s">
        <v>21</v>
      </c>
      <c r="G4153" s="209" t="s">
        <v>21</v>
      </c>
      <c r="H4153" s="209" t="s">
        <v>272</v>
      </c>
      <c r="I4153" s="210"/>
    </row>
    <row r="4154" spans="1:9" x14ac:dyDescent="0.25">
      <c r="A4154" s="74"/>
      <c r="B4154" s="45">
        <v>1819</v>
      </c>
      <c r="C4154" s="64" t="s">
        <v>1971</v>
      </c>
      <c r="D4154" s="74"/>
      <c r="E4154" s="208" t="s">
        <v>138</v>
      </c>
      <c r="F4154" s="209" t="s">
        <v>21</v>
      </c>
      <c r="G4154" s="209" t="s">
        <v>21</v>
      </c>
      <c r="H4154" s="209" t="s">
        <v>272</v>
      </c>
      <c r="I4154" s="210"/>
    </row>
    <row r="4155" spans="1:9" x14ac:dyDescent="0.25">
      <c r="A4155" s="74"/>
      <c r="B4155" s="45">
        <v>1820</v>
      </c>
      <c r="C4155" s="64" t="s">
        <v>2064</v>
      </c>
      <c r="D4155" s="74"/>
      <c r="E4155" s="208" t="s">
        <v>138</v>
      </c>
      <c r="F4155" s="209" t="s">
        <v>21</v>
      </c>
      <c r="G4155" s="209" t="s">
        <v>21</v>
      </c>
      <c r="H4155" s="209" t="s">
        <v>272</v>
      </c>
      <c r="I4155" s="210"/>
    </row>
    <row r="4156" spans="1:9" x14ac:dyDescent="0.25">
      <c r="A4156" s="74"/>
      <c r="B4156" s="45">
        <v>728</v>
      </c>
      <c r="C4156" s="64" t="s">
        <v>1137</v>
      </c>
      <c r="D4156" s="74"/>
      <c r="E4156" s="208" t="s">
        <v>138</v>
      </c>
      <c r="F4156" s="209" t="s">
        <v>21</v>
      </c>
      <c r="G4156" s="209" t="s">
        <v>21</v>
      </c>
      <c r="H4156" s="209" t="s">
        <v>272</v>
      </c>
      <c r="I4156" s="210"/>
    </row>
    <row r="4157" spans="1:9" x14ac:dyDescent="0.25">
      <c r="A4157" s="74"/>
      <c r="B4157" s="45">
        <v>1817</v>
      </c>
      <c r="C4157" s="64" t="s">
        <v>2063</v>
      </c>
      <c r="D4157" s="74"/>
      <c r="E4157" s="208" t="s">
        <v>138</v>
      </c>
      <c r="F4157" s="209" t="s">
        <v>21</v>
      </c>
      <c r="G4157" s="209" t="s">
        <v>21</v>
      </c>
      <c r="H4157" s="209" t="s">
        <v>272</v>
      </c>
      <c r="I4157" s="210"/>
    </row>
    <row r="4158" spans="1:9" x14ac:dyDescent="0.25">
      <c r="A4158" s="74"/>
      <c r="B4158" s="45">
        <v>1818</v>
      </c>
      <c r="C4158" s="64" t="s">
        <v>1731</v>
      </c>
      <c r="D4158" s="74"/>
      <c r="E4158" s="208" t="s">
        <v>138</v>
      </c>
      <c r="F4158" s="209" t="s">
        <v>21</v>
      </c>
      <c r="G4158" s="209" t="s">
        <v>21</v>
      </c>
      <c r="H4158" s="209" t="s">
        <v>272</v>
      </c>
      <c r="I4158" s="210"/>
    </row>
    <row r="4159" spans="1:9" x14ac:dyDescent="0.25">
      <c r="A4159" s="74"/>
      <c r="B4159" s="45">
        <v>1819</v>
      </c>
      <c r="C4159" s="64" t="s">
        <v>1971</v>
      </c>
      <c r="D4159" s="74"/>
      <c r="E4159" s="208" t="s">
        <v>138</v>
      </c>
      <c r="F4159" s="209" t="s">
        <v>21</v>
      </c>
      <c r="G4159" s="209" t="s">
        <v>21</v>
      </c>
      <c r="H4159" s="209" t="s">
        <v>272</v>
      </c>
      <c r="I4159" s="210"/>
    </row>
    <row r="4160" spans="1:9" x14ac:dyDescent="0.25">
      <c r="A4160" s="74"/>
      <c r="B4160" s="45">
        <v>1820</v>
      </c>
      <c r="C4160" s="64" t="s">
        <v>2064</v>
      </c>
      <c r="D4160" s="74"/>
      <c r="E4160" s="208" t="s">
        <v>138</v>
      </c>
      <c r="F4160" s="209" t="s">
        <v>21</v>
      </c>
      <c r="G4160" s="209" t="s">
        <v>21</v>
      </c>
      <c r="H4160" s="209" t="s">
        <v>272</v>
      </c>
      <c r="I4160" s="210"/>
    </row>
    <row r="4161" spans="1:9" x14ac:dyDescent="0.25">
      <c r="A4161" s="74"/>
      <c r="B4161" s="45">
        <v>728</v>
      </c>
      <c r="C4161" s="64" t="s">
        <v>1137</v>
      </c>
      <c r="D4161" s="74"/>
      <c r="E4161" s="208" t="s">
        <v>138</v>
      </c>
      <c r="F4161" s="209" t="s">
        <v>21</v>
      </c>
      <c r="G4161" s="209" t="s">
        <v>21</v>
      </c>
      <c r="H4161" s="209" t="s">
        <v>272</v>
      </c>
      <c r="I4161" s="210"/>
    </row>
    <row r="4162" spans="1:9" x14ac:dyDescent="0.25">
      <c r="A4162" s="74"/>
      <c r="B4162" s="45">
        <v>1817</v>
      </c>
      <c r="C4162" s="64" t="s">
        <v>2063</v>
      </c>
      <c r="D4162" s="74"/>
      <c r="E4162" s="208" t="s">
        <v>138</v>
      </c>
      <c r="F4162" s="209" t="s">
        <v>21</v>
      </c>
      <c r="G4162" s="209" t="s">
        <v>21</v>
      </c>
      <c r="H4162" s="209" t="s">
        <v>272</v>
      </c>
      <c r="I4162" s="210"/>
    </row>
    <row r="4163" spans="1:9" x14ac:dyDescent="0.25">
      <c r="A4163" s="74"/>
      <c r="B4163" s="45">
        <v>1818</v>
      </c>
      <c r="C4163" s="64" t="s">
        <v>1731</v>
      </c>
      <c r="D4163" s="74"/>
      <c r="E4163" s="208" t="s">
        <v>138</v>
      </c>
      <c r="F4163" s="209" t="s">
        <v>21</v>
      </c>
      <c r="G4163" s="209" t="s">
        <v>21</v>
      </c>
      <c r="H4163" s="209" t="s">
        <v>272</v>
      </c>
      <c r="I4163" s="210"/>
    </row>
    <row r="4164" spans="1:9" x14ac:dyDescent="0.25">
      <c r="A4164" s="74"/>
      <c r="B4164" s="45">
        <v>1819</v>
      </c>
      <c r="C4164" s="64" t="s">
        <v>1971</v>
      </c>
      <c r="D4164" s="74"/>
      <c r="E4164" s="208" t="s">
        <v>138</v>
      </c>
      <c r="F4164" s="209" t="s">
        <v>21</v>
      </c>
      <c r="G4164" s="209" t="s">
        <v>21</v>
      </c>
      <c r="H4164" s="209" t="s">
        <v>272</v>
      </c>
      <c r="I4164" s="210"/>
    </row>
    <row r="4165" spans="1:9" x14ac:dyDescent="0.25">
      <c r="A4165" s="74"/>
      <c r="B4165" s="45">
        <v>1820</v>
      </c>
      <c r="C4165" s="64" t="s">
        <v>2064</v>
      </c>
      <c r="D4165" s="74"/>
      <c r="E4165" s="208" t="s">
        <v>138</v>
      </c>
      <c r="F4165" s="209" t="s">
        <v>21</v>
      </c>
      <c r="G4165" s="209" t="s">
        <v>21</v>
      </c>
      <c r="H4165" s="209" t="s">
        <v>272</v>
      </c>
      <c r="I4165" s="210"/>
    </row>
    <row r="4166" spans="1:9" x14ac:dyDescent="0.25">
      <c r="A4166" s="74"/>
      <c r="B4166" s="45">
        <v>728</v>
      </c>
      <c r="C4166" s="64" t="s">
        <v>1137</v>
      </c>
      <c r="D4166" s="74"/>
      <c r="E4166" s="208" t="s">
        <v>138</v>
      </c>
      <c r="F4166" s="209" t="s">
        <v>21</v>
      </c>
      <c r="G4166" s="209" t="s">
        <v>21</v>
      </c>
      <c r="H4166" s="209" t="s">
        <v>272</v>
      </c>
      <c r="I4166" s="210"/>
    </row>
    <row r="4167" spans="1:9" x14ac:dyDescent="0.25">
      <c r="A4167" s="74"/>
      <c r="B4167" s="45">
        <v>1817</v>
      </c>
      <c r="C4167" s="64" t="s">
        <v>2063</v>
      </c>
      <c r="D4167" s="74"/>
      <c r="E4167" s="208" t="s">
        <v>138</v>
      </c>
      <c r="F4167" s="209" t="s">
        <v>21</v>
      </c>
      <c r="G4167" s="209" t="s">
        <v>21</v>
      </c>
      <c r="H4167" s="209" t="s">
        <v>272</v>
      </c>
      <c r="I4167" s="210"/>
    </row>
    <row r="4168" spans="1:9" x14ac:dyDescent="0.25">
      <c r="A4168" s="74"/>
      <c r="B4168" s="45">
        <v>1818</v>
      </c>
      <c r="C4168" s="64" t="s">
        <v>1731</v>
      </c>
      <c r="D4168" s="74"/>
      <c r="E4168" s="208" t="s">
        <v>138</v>
      </c>
      <c r="F4168" s="209" t="s">
        <v>21</v>
      </c>
      <c r="G4168" s="209" t="s">
        <v>21</v>
      </c>
      <c r="H4168" s="209" t="s">
        <v>272</v>
      </c>
      <c r="I4168" s="210"/>
    </row>
    <row r="4169" spans="1:9" x14ac:dyDescent="0.25">
      <c r="A4169" s="74"/>
      <c r="B4169" s="45">
        <v>1819</v>
      </c>
      <c r="C4169" s="64" t="s">
        <v>1971</v>
      </c>
      <c r="D4169" s="74"/>
      <c r="E4169" s="208" t="s">
        <v>138</v>
      </c>
      <c r="F4169" s="209" t="s">
        <v>21</v>
      </c>
      <c r="G4169" s="209" t="s">
        <v>21</v>
      </c>
      <c r="H4169" s="209" t="s">
        <v>272</v>
      </c>
      <c r="I4169" s="210"/>
    </row>
    <row r="4170" spans="1:9" x14ac:dyDescent="0.25">
      <c r="A4170" s="74"/>
      <c r="B4170" s="45">
        <v>1820</v>
      </c>
      <c r="C4170" s="64" t="s">
        <v>2064</v>
      </c>
      <c r="D4170" s="74"/>
      <c r="E4170" s="208" t="s">
        <v>138</v>
      </c>
      <c r="F4170" s="209" t="s">
        <v>21</v>
      </c>
      <c r="G4170" s="209" t="s">
        <v>21</v>
      </c>
      <c r="H4170" s="209" t="s">
        <v>272</v>
      </c>
      <c r="I4170" s="210"/>
    </row>
    <row r="4171" spans="1:9" x14ac:dyDescent="0.25">
      <c r="A4171" s="74"/>
      <c r="B4171" s="45">
        <v>728</v>
      </c>
      <c r="C4171" s="64" t="s">
        <v>1137</v>
      </c>
      <c r="D4171" s="74"/>
      <c r="E4171" s="208" t="s">
        <v>138</v>
      </c>
      <c r="F4171" s="209" t="s">
        <v>21</v>
      </c>
      <c r="G4171" s="209" t="s">
        <v>21</v>
      </c>
      <c r="H4171" s="209" t="s">
        <v>272</v>
      </c>
      <c r="I4171" s="210"/>
    </row>
    <row r="4172" spans="1:9" x14ac:dyDescent="0.25">
      <c r="A4172" s="74"/>
      <c r="B4172" s="45">
        <v>1817</v>
      </c>
      <c r="C4172" s="64" t="s">
        <v>2063</v>
      </c>
      <c r="D4172" s="74"/>
      <c r="E4172" s="208" t="s">
        <v>138</v>
      </c>
      <c r="F4172" s="209" t="s">
        <v>21</v>
      </c>
      <c r="G4172" s="209" t="s">
        <v>21</v>
      </c>
      <c r="H4172" s="209" t="s">
        <v>272</v>
      </c>
      <c r="I4172" s="210"/>
    </row>
    <row r="4173" spans="1:9" x14ac:dyDescent="0.25">
      <c r="A4173" s="74"/>
      <c r="B4173" s="45">
        <v>1818</v>
      </c>
      <c r="C4173" s="64" t="s">
        <v>1731</v>
      </c>
      <c r="D4173" s="74"/>
      <c r="E4173" s="208" t="s">
        <v>138</v>
      </c>
      <c r="F4173" s="209" t="s">
        <v>21</v>
      </c>
      <c r="G4173" s="209" t="s">
        <v>21</v>
      </c>
      <c r="H4173" s="209" t="s">
        <v>272</v>
      </c>
      <c r="I4173" s="210"/>
    </row>
    <row r="4174" spans="1:9" x14ac:dyDescent="0.25">
      <c r="A4174" s="74"/>
      <c r="B4174" s="45">
        <v>1819</v>
      </c>
      <c r="C4174" s="64" t="s">
        <v>1971</v>
      </c>
      <c r="D4174" s="74"/>
      <c r="E4174" s="208" t="s">
        <v>138</v>
      </c>
      <c r="F4174" s="209" t="s">
        <v>21</v>
      </c>
      <c r="G4174" s="209" t="s">
        <v>21</v>
      </c>
      <c r="H4174" s="209" t="s">
        <v>272</v>
      </c>
      <c r="I4174" s="210"/>
    </row>
    <row r="4175" spans="1:9" x14ac:dyDescent="0.25">
      <c r="A4175" s="74"/>
      <c r="B4175" s="45">
        <v>728</v>
      </c>
      <c r="C4175" s="64" t="s">
        <v>1137</v>
      </c>
      <c r="D4175" s="74"/>
      <c r="E4175" s="208" t="s">
        <v>138</v>
      </c>
      <c r="F4175" s="209" t="s">
        <v>21</v>
      </c>
      <c r="G4175" s="209" t="s">
        <v>21</v>
      </c>
      <c r="H4175" s="209" t="s">
        <v>272</v>
      </c>
      <c r="I4175" s="210"/>
    </row>
    <row r="4176" spans="1:9" x14ac:dyDescent="0.25">
      <c r="A4176" s="74"/>
      <c r="B4176" s="45">
        <v>1820</v>
      </c>
      <c r="C4176" s="64" t="s">
        <v>2064</v>
      </c>
      <c r="D4176" s="74"/>
      <c r="E4176" s="208" t="s">
        <v>138</v>
      </c>
      <c r="F4176" s="209" t="s">
        <v>21</v>
      </c>
      <c r="G4176" s="209" t="s">
        <v>21</v>
      </c>
      <c r="H4176" s="209" t="s">
        <v>272</v>
      </c>
      <c r="I4176" s="210"/>
    </row>
    <row r="4177" spans="1:9" x14ac:dyDescent="0.25">
      <c r="A4177" s="74"/>
      <c r="B4177" s="45">
        <v>1821</v>
      </c>
      <c r="C4177" s="64" t="s">
        <v>2065</v>
      </c>
      <c r="D4177" s="74"/>
      <c r="E4177" s="208" t="s">
        <v>138</v>
      </c>
      <c r="F4177" s="209" t="s">
        <v>21</v>
      </c>
      <c r="G4177" s="209" t="s">
        <v>21</v>
      </c>
      <c r="H4177" s="209" t="s">
        <v>272</v>
      </c>
      <c r="I4177" s="210"/>
    </row>
    <row r="4178" spans="1:9" x14ac:dyDescent="0.25">
      <c r="A4178" s="74"/>
      <c r="B4178" s="45">
        <v>1819</v>
      </c>
      <c r="C4178" s="64" t="s">
        <v>1971</v>
      </c>
      <c r="D4178" s="74"/>
      <c r="E4178" s="208" t="s">
        <v>138</v>
      </c>
      <c r="F4178" s="209" t="s">
        <v>21</v>
      </c>
      <c r="G4178" s="209" t="s">
        <v>21</v>
      </c>
      <c r="H4178" s="209" t="s">
        <v>272</v>
      </c>
      <c r="I4178" s="210"/>
    </row>
    <row r="4179" spans="1:9" x14ac:dyDescent="0.25">
      <c r="A4179" s="74"/>
      <c r="B4179" s="45">
        <v>1821</v>
      </c>
      <c r="C4179" s="64" t="s">
        <v>2065</v>
      </c>
      <c r="D4179" s="74"/>
      <c r="E4179" s="208" t="s">
        <v>138</v>
      </c>
      <c r="F4179" s="209" t="s">
        <v>21</v>
      </c>
      <c r="G4179" s="209" t="s">
        <v>21</v>
      </c>
      <c r="H4179" s="209" t="s">
        <v>272</v>
      </c>
      <c r="I4179" s="210"/>
    </row>
    <row r="4180" spans="1:9" x14ac:dyDescent="0.25">
      <c r="A4180" s="74"/>
      <c r="B4180" s="45">
        <v>1819</v>
      </c>
      <c r="C4180" s="64" t="s">
        <v>1971</v>
      </c>
      <c r="D4180" s="74"/>
      <c r="E4180" s="208" t="s">
        <v>138</v>
      </c>
      <c r="F4180" s="209" t="s">
        <v>21</v>
      </c>
      <c r="G4180" s="209" t="s">
        <v>21</v>
      </c>
      <c r="H4180" s="209" t="s">
        <v>272</v>
      </c>
      <c r="I4180" s="210"/>
    </row>
    <row r="4181" spans="1:9" x14ac:dyDescent="0.25">
      <c r="A4181" s="74"/>
      <c r="B4181" s="45">
        <v>715</v>
      </c>
      <c r="C4181" s="64" t="s">
        <v>1124</v>
      </c>
      <c r="D4181" s="74"/>
      <c r="E4181" s="208" t="s">
        <v>138</v>
      </c>
      <c r="F4181" s="209" t="s">
        <v>21</v>
      </c>
      <c r="G4181" s="209" t="s">
        <v>21</v>
      </c>
      <c r="H4181" s="209" t="s">
        <v>198</v>
      </c>
      <c r="I4181" s="210"/>
    </row>
    <row r="4182" spans="1:9" x14ac:dyDescent="0.25">
      <c r="A4182" s="74"/>
      <c r="B4182" s="45">
        <v>722</v>
      </c>
      <c r="C4182" s="64" t="s">
        <v>1131</v>
      </c>
      <c r="D4182" s="74"/>
      <c r="E4182" s="208" t="s">
        <v>138</v>
      </c>
      <c r="F4182" s="209" t="s">
        <v>21</v>
      </c>
      <c r="G4182" s="209" t="s">
        <v>21</v>
      </c>
      <c r="H4182" s="209" t="s">
        <v>192</v>
      </c>
      <c r="I4182" s="210"/>
    </row>
    <row r="4183" spans="1:9" x14ac:dyDescent="0.25">
      <c r="A4183" s="74"/>
      <c r="B4183" s="45">
        <v>1822</v>
      </c>
      <c r="C4183" s="64" t="s">
        <v>1457</v>
      </c>
      <c r="D4183" s="74"/>
      <c r="E4183" s="208" t="s">
        <v>138</v>
      </c>
      <c r="F4183" s="209" t="s">
        <v>21</v>
      </c>
      <c r="G4183" s="209" t="s">
        <v>21</v>
      </c>
      <c r="H4183" s="209" t="s">
        <v>272</v>
      </c>
      <c r="I4183" s="210"/>
    </row>
    <row r="4184" spans="1:9" x14ac:dyDescent="0.25">
      <c r="A4184" s="74"/>
      <c r="B4184" s="45">
        <v>724</v>
      </c>
      <c r="C4184" s="64" t="s">
        <v>1133</v>
      </c>
      <c r="D4184" s="74"/>
      <c r="E4184" s="208" t="s">
        <v>138</v>
      </c>
      <c r="F4184" s="209" t="s">
        <v>21</v>
      </c>
      <c r="G4184" s="209" t="s">
        <v>21</v>
      </c>
      <c r="H4184" s="209" t="s">
        <v>192</v>
      </c>
      <c r="I4184" s="210"/>
    </row>
    <row r="4185" spans="1:9" x14ac:dyDescent="0.25">
      <c r="A4185" s="74"/>
      <c r="B4185" s="45">
        <v>720</v>
      </c>
      <c r="C4185" s="64" t="s">
        <v>1129</v>
      </c>
      <c r="D4185" s="74"/>
      <c r="E4185" s="208" t="s">
        <v>138</v>
      </c>
      <c r="F4185" s="209" t="s">
        <v>21</v>
      </c>
      <c r="G4185" s="209" t="s">
        <v>21</v>
      </c>
      <c r="H4185" s="209" t="s">
        <v>192</v>
      </c>
      <c r="I4185" s="210"/>
    </row>
    <row r="4186" spans="1:9" x14ac:dyDescent="0.25">
      <c r="A4186" s="74"/>
      <c r="B4186" s="45">
        <v>1822</v>
      </c>
      <c r="C4186" s="64" t="s">
        <v>1457</v>
      </c>
      <c r="D4186" s="74"/>
      <c r="E4186" s="208" t="s">
        <v>138</v>
      </c>
      <c r="F4186" s="209" t="s">
        <v>21</v>
      </c>
      <c r="G4186" s="209" t="s">
        <v>21</v>
      </c>
      <c r="H4186" s="209" t="s">
        <v>272</v>
      </c>
      <c r="I4186" s="210"/>
    </row>
    <row r="4187" spans="1:9" x14ac:dyDescent="0.25">
      <c r="A4187" s="74"/>
      <c r="B4187" s="45">
        <v>741</v>
      </c>
      <c r="C4187" s="64" t="s">
        <v>1150</v>
      </c>
      <c r="D4187" s="74"/>
      <c r="E4187" s="208" t="s">
        <v>137</v>
      </c>
      <c r="F4187" s="209" t="s">
        <v>21</v>
      </c>
      <c r="G4187" s="209" t="s">
        <v>21</v>
      </c>
      <c r="H4187" s="209" t="s">
        <v>189</v>
      </c>
      <c r="I4187" s="210"/>
    </row>
    <row r="4188" spans="1:9" x14ac:dyDescent="0.25">
      <c r="A4188" s="74"/>
      <c r="B4188" s="45">
        <v>1764</v>
      </c>
      <c r="C4188" s="64" t="s">
        <v>1457</v>
      </c>
      <c r="D4188" s="74"/>
      <c r="E4188" s="208" t="s">
        <v>137</v>
      </c>
      <c r="F4188" s="209" t="s">
        <v>21</v>
      </c>
      <c r="G4188" s="209" t="s">
        <v>21</v>
      </c>
      <c r="H4188" s="209" t="s">
        <v>198</v>
      </c>
      <c r="I4188" s="210"/>
    </row>
    <row r="4189" spans="1:9" x14ac:dyDescent="0.25">
      <c r="A4189" s="74"/>
      <c r="B4189" s="45">
        <v>705</v>
      </c>
      <c r="C4189" s="64" t="s">
        <v>1114</v>
      </c>
      <c r="D4189" s="74"/>
      <c r="E4189" s="208" t="s">
        <v>137</v>
      </c>
      <c r="F4189" s="209" t="s">
        <v>21</v>
      </c>
      <c r="G4189" s="209" t="s">
        <v>21</v>
      </c>
      <c r="H4189" s="209" t="s">
        <v>198</v>
      </c>
      <c r="I4189" s="210"/>
    </row>
    <row r="4190" spans="1:9" x14ac:dyDescent="0.25">
      <c r="A4190" s="74"/>
      <c r="B4190" s="45">
        <v>1823</v>
      </c>
      <c r="C4190" s="64" t="s">
        <v>1922</v>
      </c>
      <c r="D4190" s="74"/>
      <c r="E4190" s="208" t="s">
        <v>137</v>
      </c>
      <c r="F4190" s="209" t="s">
        <v>21</v>
      </c>
      <c r="G4190" s="209" t="s">
        <v>21</v>
      </c>
      <c r="H4190" s="209" t="s">
        <v>272</v>
      </c>
      <c r="I4190" s="210"/>
    </row>
    <row r="4191" spans="1:9" x14ac:dyDescent="0.25">
      <c r="A4191" s="74"/>
      <c r="B4191" s="45">
        <v>1824</v>
      </c>
      <c r="C4191" s="64" t="s">
        <v>1988</v>
      </c>
      <c r="D4191" s="74"/>
      <c r="E4191" s="208" t="s">
        <v>137</v>
      </c>
      <c r="F4191" s="209" t="s">
        <v>21</v>
      </c>
      <c r="G4191" s="209" t="s">
        <v>21</v>
      </c>
      <c r="H4191" s="209" t="s">
        <v>272</v>
      </c>
      <c r="I4191" s="210"/>
    </row>
    <row r="4192" spans="1:9" x14ac:dyDescent="0.25">
      <c r="A4192" s="74"/>
      <c r="B4192" s="45">
        <v>1825</v>
      </c>
      <c r="C4192" s="64" t="s">
        <v>2027</v>
      </c>
      <c r="D4192" s="74"/>
      <c r="E4192" s="208" t="s">
        <v>137</v>
      </c>
      <c r="F4192" s="209" t="s">
        <v>21</v>
      </c>
      <c r="G4192" s="209" t="s">
        <v>21</v>
      </c>
      <c r="H4192" s="209" t="s">
        <v>272</v>
      </c>
      <c r="I4192" s="210"/>
    </row>
    <row r="4193" spans="1:9" x14ac:dyDescent="0.25">
      <c r="A4193" s="74"/>
      <c r="B4193" s="45">
        <v>758</v>
      </c>
      <c r="C4193" s="64" t="s">
        <v>1167</v>
      </c>
      <c r="D4193" s="74"/>
      <c r="E4193" s="208" t="s">
        <v>137</v>
      </c>
      <c r="F4193" s="209" t="s">
        <v>21</v>
      </c>
      <c r="G4193" s="209" t="s">
        <v>21</v>
      </c>
      <c r="H4193" s="209" t="s">
        <v>192</v>
      </c>
      <c r="I4193" s="210"/>
    </row>
    <row r="4194" spans="1:9" x14ac:dyDescent="0.25">
      <c r="A4194" s="74"/>
      <c r="B4194" s="45">
        <v>746</v>
      </c>
      <c r="C4194" s="64" t="s">
        <v>1155</v>
      </c>
      <c r="D4194" s="74"/>
      <c r="E4194" s="208" t="s">
        <v>137</v>
      </c>
      <c r="F4194" s="209" t="s">
        <v>21</v>
      </c>
      <c r="G4194" s="209" t="s">
        <v>21</v>
      </c>
      <c r="H4194" s="209" t="s">
        <v>192</v>
      </c>
      <c r="I4194" s="210"/>
    </row>
    <row r="4195" spans="1:9" x14ac:dyDescent="0.25">
      <c r="A4195" s="74"/>
      <c r="B4195" s="45">
        <v>1826</v>
      </c>
      <c r="C4195" s="64" t="s">
        <v>1582</v>
      </c>
      <c r="D4195" s="74"/>
      <c r="E4195" s="208" t="s">
        <v>137</v>
      </c>
      <c r="F4195" s="209" t="s">
        <v>21</v>
      </c>
      <c r="G4195" s="209" t="s">
        <v>21</v>
      </c>
      <c r="H4195" s="209" t="s">
        <v>272</v>
      </c>
      <c r="I4195" s="210"/>
    </row>
    <row r="4196" spans="1:9" x14ac:dyDescent="0.25">
      <c r="A4196" s="74"/>
      <c r="B4196" s="45">
        <v>737</v>
      </c>
      <c r="C4196" s="64" t="s">
        <v>1146</v>
      </c>
      <c r="D4196" s="74"/>
      <c r="E4196" s="208" t="s">
        <v>137</v>
      </c>
      <c r="F4196" s="209" t="s">
        <v>21</v>
      </c>
      <c r="G4196" s="209" t="s">
        <v>21</v>
      </c>
      <c r="H4196" s="209" t="s">
        <v>192</v>
      </c>
      <c r="I4196" s="210"/>
    </row>
    <row r="4197" spans="1:9" x14ac:dyDescent="0.25">
      <c r="A4197" s="74"/>
      <c r="B4197" s="45">
        <v>1824</v>
      </c>
      <c r="C4197" s="64" t="s">
        <v>1988</v>
      </c>
      <c r="D4197" s="74"/>
      <c r="E4197" s="208" t="s">
        <v>137</v>
      </c>
      <c r="F4197" s="209" t="s">
        <v>21</v>
      </c>
      <c r="G4197" s="209" t="s">
        <v>21</v>
      </c>
      <c r="H4197" s="209" t="s">
        <v>272</v>
      </c>
      <c r="I4197" s="210"/>
    </row>
    <row r="4198" spans="1:9" x14ac:dyDescent="0.25">
      <c r="A4198" s="74"/>
      <c r="B4198" s="45">
        <v>1825</v>
      </c>
      <c r="C4198" s="64" t="s">
        <v>2027</v>
      </c>
      <c r="D4198" s="74"/>
      <c r="E4198" s="208" t="s">
        <v>137</v>
      </c>
      <c r="F4198" s="209" t="s">
        <v>21</v>
      </c>
      <c r="G4198" s="209" t="s">
        <v>21</v>
      </c>
      <c r="H4198" s="209" t="s">
        <v>272</v>
      </c>
      <c r="I4198" s="210"/>
    </row>
    <row r="4199" spans="1:9" x14ac:dyDescent="0.25">
      <c r="A4199" s="74"/>
      <c r="B4199" s="45">
        <v>758</v>
      </c>
      <c r="C4199" s="64" t="s">
        <v>1167</v>
      </c>
      <c r="D4199" s="74"/>
      <c r="E4199" s="208" t="s">
        <v>137</v>
      </c>
      <c r="F4199" s="209" t="s">
        <v>21</v>
      </c>
      <c r="G4199" s="209" t="s">
        <v>21</v>
      </c>
      <c r="H4199" s="209" t="s">
        <v>192</v>
      </c>
      <c r="I4199" s="210"/>
    </row>
    <row r="4200" spans="1:9" x14ac:dyDescent="0.25">
      <c r="A4200" s="74"/>
      <c r="B4200" s="45">
        <v>746</v>
      </c>
      <c r="C4200" s="64" t="s">
        <v>1155</v>
      </c>
      <c r="D4200" s="74"/>
      <c r="E4200" s="208" t="s">
        <v>137</v>
      </c>
      <c r="F4200" s="209" t="s">
        <v>21</v>
      </c>
      <c r="G4200" s="209" t="s">
        <v>21</v>
      </c>
      <c r="H4200" s="209" t="s">
        <v>192</v>
      </c>
      <c r="I4200" s="210"/>
    </row>
    <row r="4201" spans="1:9" x14ac:dyDescent="0.25">
      <c r="A4201" s="74"/>
      <c r="B4201" s="45">
        <v>1826</v>
      </c>
      <c r="C4201" s="64" t="s">
        <v>1582</v>
      </c>
      <c r="D4201" s="74"/>
      <c r="E4201" s="208" t="s">
        <v>137</v>
      </c>
      <c r="F4201" s="209" t="s">
        <v>21</v>
      </c>
      <c r="G4201" s="209" t="s">
        <v>21</v>
      </c>
      <c r="H4201" s="209" t="s">
        <v>272</v>
      </c>
      <c r="I4201" s="210"/>
    </row>
    <row r="4202" spans="1:9" x14ac:dyDescent="0.25">
      <c r="A4202" s="74"/>
      <c r="B4202" s="45">
        <v>737</v>
      </c>
      <c r="C4202" s="64" t="s">
        <v>1146</v>
      </c>
      <c r="D4202" s="74"/>
      <c r="E4202" s="208" t="s">
        <v>137</v>
      </c>
      <c r="F4202" s="209" t="s">
        <v>21</v>
      </c>
      <c r="G4202" s="209" t="s">
        <v>21</v>
      </c>
      <c r="H4202" s="209" t="s">
        <v>192</v>
      </c>
      <c r="I4202" s="210"/>
    </row>
    <row r="4203" spans="1:9" x14ac:dyDescent="0.25">
      <c r="A4203" s="74"/>
      <c r="B4203" s="45">
        <v>1824</v>
      </c>
      <c r="C4203" s="64" t="s">
        <v>1988</v>
      </c>
      <c r="D4203" s="74"/>
      <c r="E4203" s="208" t="s">
        <v>137</v>
      </c>
      <c r="F4203" s="209" t="s">
        <v>21</v>
      </c>
      <c r="G4203" s="209" t="s">
        <v>21</v>
      </c>
      <c r="H4203" s="209" t="s">
        <v>272</v>
      </c>
      <c r="I4203" s="210"/>
    </row>
    <row r="4204" spans="1:9" x14ac:dyDescent="0.25">
      <c r="A4204" s="74"/>
      <c r="B4204" s="45">
        <v>1825</v>
      </c>
      <c r="C4204" s="64" t="s">
        <v>2027</v>
      </c>
      <c r="D4204" s="74"/>
      <c r="E4204" s="208" t="s">
        <v>137</v>
      </c>
      <c r="F4204" s="209" t="s">
        <v>21</v>
      </c>
      <c r="G4204" s="209" t="s">
        <v>21</v>
      </c>
      <c r="H4204" s="209" t="s">
        <v>272</v>
      </c>
      <c r="I4204" s="210"/>
    </row>
    <row r="4205" spans="1:9" x14ac:dyDescent="0.25">
      <c r="A4205" s="74"/>
      <c r="B4205" s="45">
        <v>758</v>
      </c>
      <c r="C4205" s="64" t="s">
        <v>1167</v>
      </c>
      <c r="D4205" s="74"/>
      <c r="E4205" s="208" t="s">
        <v>137</v>
      </c>
      <c r="F4205" s="209" t="s">
        <v>21</v>
      </c>
      <c r="G4205" s="209" t="s">
        <v>21</v>
      </c>
      <c r="H4205" s="209" t="s">
        <v>192</v>
      </c>
      <c r="I4205" s="210"/>
    </row>
    <row r="4206" spans="1:9" x14ac:dyDescent="0.25">
      <c r="A4206" s="74"/>
      <c r="B4206" s="45">
        <v>746</v>
      </c>
      <c r="C4206" s="64" t="s">
        <v>1155</v>
      </c>
      <c r="D4206" s="74"/>
      <c r="E4206" s="208" t="s">
        <v>137</v>
      </c>
      <c r="F4206" s="209" t="s">
        <v>21</v>
      </c>
      <c r="G4206" s="209" t="s">
        <v>21</v>
      </c>
      <c r="H4206" s="209" t="s">
        <v>192</v>
      </c>
      <c r="I4206" s="210"/>
    </row>
    <row r="4207" spans="1:9" x14ac:dyDescent="0.25">
      <c r="A4207" s="74"/>
      <c r="B4207" s="45">
        <v>1826</v>
      </c>
      <c r="C4207" s="64" t="s">
        <v>1582</v>
      </c>
      <c r="D4207" s="74"/>
      <c r="E4207" s="208" t="s">
        <v>137</v>
      </c>
      <c r="F4207" s="209" t="s">
        <v>21</v>
      </c>
      <c r="G4207" s="209" t="s">
        <v>21</v>
      </c>
      <c r="H4207" s="209" t="s">
        <v>272</v>
      </c>
      <c r="I4207" s="210"/>
    </row>
    <row r="4208" spans="1:9" x14ac:dyDescent="0.25">
      <c r="A4208" s="74"/>
      <c r="B4208" s="45">
        <v>737</v>
      </c>
      <c r="C4208" s="64" t="s">
        <v>1146</v>
      </c>
      <c r="D4208" s="74"/>
      <c r="E4208" s="208" t="s">
        <v>137</v>
      </c>
      <c r="F4208" s="209" t="s">
        <v>21</v>
      </c>
      <c r="G4208" s="209" t="s">
        <v>21</v>
      </c>
      <c r="H4208" s="209" t="s">
        <v>192</v>
      </c>
      <c r="I4208" s="210"/>
    </row>
    <row r="4209" spans="1:9" x14ac:dyDescent="0.25">
      <c r="A4209" s="74"/>
      <c r="B4209" s="45">
        <v>1824</v>
      </c>
      <c r="C4209" s="64" t="s">
        <v>1988</v>
      </c>
      <c r="D4209" s="74"/>
      <c r="E4209" s="208" t="s">
        <v>137</v>
      </c>
      <c r="F4209" s="209" t="s">
        <v>21</v>
      </c>
      <c r="G4209" s="209" t="s">
        <v>21</v>
      </c>
      <c r="H4209" s="209" t="s">
        <v>272</v>
      </c>
      <c r="I4209" s="210"/>
    </row>
    <row r="4210" spans="1:9" x14ac:dyDescent="0.25">
      <c r="A4210" s="74"/>
      <c r="B4210" s="45">
        <v>1825</v>
      </c>
      <c r="C4210" s="64" t="s">
        <v>2027</v>
      </c>
      <c r="D4210" s="74"/>
      <c r="E4210" s="208" t="s">
        <v>137</v>
      </c>
      <c r="F4210" s="209" t="s">
        <v>21</v>
      </c>
      <c r="G4210" s="209" t="s">
        <v>21</v>
      </c>
      <c r="H4210" s="209" t="s">
        <v>272</v>
      </c>
      <c r="I4210" s="210"/>
    </row>
    <row r="4211" spans="1:9" x14ac:dyDescent="0.25">
      <c r="A4211" s="74"/>
      <c r="B4211" s="45">
        <v>758</v>
      </c>
      <c r="C4211" s="64" t="s">
        <v>1167</v>
      </c>
      <c r="D4211" s="74"/>
      <c r="E4211" s="208" t="s">
        <v>137</v>
      </c>
      <c r="F4211" s="209" t="s">
        <v>21</v>
      </c>
      <c r="G4211" s="209" t="s">
        <v>21</v>
      </c>
      <c r="H4211" s="209" t="s">
        <v>192</v>
      </c>
      <c r="I4211" s="210"/>
    </row>
    <row r="4212" spans="1:9" x14ac:dyDescent="0.25">
      <c r="A4212" s="74"/>
      <c r="B4212" s="45">
        <v>746</v>
      </c>
      <c r="C4212" s="64" t="s">
        <v>1155</v>
      </c>
      <c r="D4212" s="74"/>
      <c r="E4212" s="208" t="s">
        <v>137</v>
      </c>
      <c r="F4212" s="209" t="s">
        <v>21</v>
      </c>
      <c r="G4212" s="209" t="s">
        <v>21</v>
      </c>
      <c r="H4212" s="209" t="s">
        <v>192</v>
      </c>
      <c r="I4212" s="210"/>
    </row>
    <row r="4213" spans="1:9" x14ac:dyDescent="0.25">
      <c r="A4213" s="74"/>
      <c r="B4213" s="45">
        <v>1826</v>
      </c>
      <c r="C4213" s="64" t="s">
        <v>1582</v>
      </c>
      <c r="D4213" s="74"/>
      <c r="E4213" s="208" t="s">
        <v>137</v>
      </c>
      <c r="F4213" s="209" t="s">
        <v>21</v>
      </c>
      <c r="G4213" s="209" t="s">
        <v>21</v>
      </c>
      <c r="H4213" s="209" t="s">
        <v>272</v>
      </c>
      <c r="I4213" s="210"/>
    </row>
    <row r="4214" spans="1:9" x14ac:dyDescent="0.25">
      <c r="A4214" s="74"/>
      <c r="B4214" s="45">
        <v>737</v>
      </c>
      <c r="C4214" s="64" t="s">
        <v>1146</v>
      </c>
      <c r="D4214" s="74"/>
      <c r="E4214" s="208" t="s">
        <v>137</v>
      </c>
      <c r="F4214" s="209" t="s">
        <v>21</v>
      </c>
      <c r="G4214" s="209" t="s">
        <v>21</v>
      </c>
      <c r="H4214" s="209" t="s">
        <v>192</v>
      </c>
      <c r="I4214" s="210"/>
    </row>
    <row r="4215" spans="1:9" x14ac:dyDescent="0.25">
      <c r="A4215" s="74"/>
      <c r="B4215" s="45">
        <v>743</v>
      </c>
      <c r="C4215" s="64" t="s">
        <v>1152</v>
      </c>
      <c r="D4215" s="74"/>
      <c r="E4215" s="208" t="s">
        <v>137</v>
      </c>
      <c r="F4215" s="209" t="s">
        <v>21</v>
      </c>
      <c r="G4215" s="209" t="s">
        <v>21</v>
      </c>
      <c r="H4215" s="209" t="s">
        <v>193</v>
      </c>
      <c r="I4215" s="210"/>
    </row>
    <row r="4216" spans="1:9" x14ac:dyDescent="0.25">
      <c r="A4216" s="74"/>
      <c r="B4216" s="45">
        <v>740</v>
      </c>
      <c r="C4216" s="64" t="s">
        <v>1149</v>
      </c>
      <c r="D4216" s="74"/>
      <c r="E4216" s="208" t="s">
        <v>137</v>
      </c>
      <c r="F4216" s="209" t="s">
        <v>21</v>
      </c>
      <c r="G4216" s="209" t="s">
        <v>21</v>
      </c>
      <c r="H4216" s="209" t="s">
        <v>187</v>
      </c>
      <c r="I4216" s="210"/>
    </row>
    <row r="4217" spans="1:9" x14ac:dyDescent="0.25">
      <c r="A4217" s="74"/>
      <c r="B4217" s="45">
        <v>742</v>
      </c>
      <c r="C4217" s="64" t="s">
        <v>1151</v>
      </c>
      <c r="D4217" s="74"/>
      <c r="E4217" s="208" t="s">
        <v>137</v>
      </c>
      <c r="F4217" s="209" t="s">
        <v>21</v>
      </c>
      <c r="G4217" s="209" t="s">
        <v>21</v>
      </c>
      <c r="H4217" s="209" t="s">
        <v>189</v>
      </c>
      <c r="I4217" s="210"/>
    </row>
    <row r="4218" spans="1:9" x14ac:dyDescent="0.25">
      <c r="A4218" s="74"/>
      <c r="B4218" s="45">
        <v>1827</v>
      </c>
      <c r="C4218" s="64" t="s">
        <v>2066</v>
      </c>
      <c r="D4218" s="74"/>
      <c r="E4218" s="208" t="s">
        <v>137</v>
      </c>
      <c r="F4218" s="209" t="s">
        <v>21</v>
      </c>
      <c r="G4218" s="209" t="s">
        <v>21</v>
      </c>
      <c r="H4218" s="209" t="s">
        <v>198</v>
      </c>
      <c r="I4218" s="210"/>
    </row>
    <row r="4219" spans="1:9" x14ac:dyDescent="0.25">
      <c r="A4219" s="74"/>
      <c r="B4219" s="45">
        <v>756</v>
      </c>
      <c r="C4219" s="64" t="s">
        <v>1165</v>
      </c>
      <c r="D4219" s="74"/>
      <c r="E4219" s="208" t="s">
        <v>137</v>
      </c>
      <c r="F4219" s="209" t="s">
        <v>21</v>
      </c>
      <c r="G4219" s="209" t="s">
        <v>21</v>
      </c>
      <c r="H4219" s="209" t="s">
        <v>192</v>
      </c>
      <c r="I4219" s="210"/>
    </row>
    <row r="4220" spans="1:9" x14ac:dyDescent="0.25">
      <c r="A4220" s="74"/>
      <c r="B4220" s="45">
        <v>1764</v>
      </c>
      <c r="C4220" s="64" t="s">
        <v>1457</v>
      </c>
      <c r="D4220" s="74"/>
      <c r="E4220" s="208" t="s">
        <v>137</v>
      </c>
      <c r="F4220" s="209" t="s">
        <v>21</v>
      </c>
      <c r="G4220" s="209" t="s">
        <v>21</v>
      </c>
      <c r="H4220" s="209" t="s">
        <v>198</v>
      </c>
      <c r="I4220" s="210"/>
    </row>
    <row r="4221" spans="1:9" x14ac:dyDescent="0.25">
      <c r="A4221" s="74"/>
      <c r="B4221" s="45">
        <v>826</v>
      </c>
      <c r="C4221" s="64" t="s">
        <v>1235</v>
      </c>
      <c r="D4221" s="74"/>
      <c r="E4221" s="208" t="s">
        <v>137</v>
      </c>
      <c r="F4221" s="209" t="s">
        <v>21</v>
      </c>
      <c r="G4221" s="209" t="s">
        <v>21</v>
      </c>
      <c r="H4221" s="209" t="s">
        <v>198</v>
      </c>
      <c r="I4221" s="210"/>
    </row>
    <row r="4222" spans="1:9" x14ac:dyDescent="0.25">
      <c r="A4222" s="74"/>
      <c r="B4222" s="45">
        <v>1828</v>
      </c>
      <c r="C4222" s="64" t="s">
        <v>2067</v>
      </c>
      <c r="D4222" s="74"/>
      <c r="E4222" s="208" t="s">
        <v>137</v>
      </c>
      <c r="F4222" s="209" t="s">
        <v>21</v>
      </c>
      <c r="G4222" s="209" t="s">
        <v>21</v>
      </c>
      <c r="H4222" s="209" t="s">
        <v>16</v>
      </c>
      <c r="I4222" s="210"/>
    </row>
    <row r="4223" spans="1:9" x14ac:dyDescent="0.25">
      <c r="A4223" s="74"/>
      <c r="B4223" s="45">
        <v>1829</v>
      </c>
      <c r="C4223" s="64" t="s">
        <v>2068</v>
      </c>
      <c r="D4223" s="74"/>
      <c r="E4223" s="208" t="s">
        <v>137</v>
      </c>
      <c r="F4223" s="209" t="s">
        <v>21</v>
      </c>
      <c r="G4223" s="209" t="s">
        <v>21</v>
      </c>
      <c r="H4223" s="209" t="s">
        <v>16</v>
      </c>
      <c r="I4223" s="210"/>
    </row>
    <row r="4224" spans="1:9" x14ac:dyDescent="0.25">
      <c r="A4224" s="74"/>
      <c r="B4224" s="45">
        <v>1830</v>
      </c>
      <c r="C4224" s="64" t="s">
        <v>2069</v>
      </c>
      <c r="D4224" s="74"/>
      <c r="E4224" s="208" t="s">
        <v>137</v>
      </c>
      <c r="F4224" s="209" t="s">
        <v>21</v>
      </c>
      <c r="G4224" s="209" t="s">
        <v>21</v>
      </c>
      <c r="H4224" s="209" t="s">
        <v>272</v>
      </c>
      <c r="I4224" s="210"/>
    </row>
    <row r="4225" spans="1:9" x14ac:dyDescent="0.25">
      <c r="A4225" s="74"/>
      <c r="B4225" s="45">
        <v>1831</v>
      </c>
      <c r="C4225" s="64" t="s">
        <v>1626</v>
      </c>
      <c r="D4225" s="74"/>
      <c r="E4225" s="208" t="s">
        <v>137</v>
      </c>
      <c r="F4225" s="209" t="s">
        <v>21</v>
      </c>
      <c r="G4225" s="209" t="s">
        <v>21</v>
      </c>
      <c r="H4225" s="209" t="s">
        <v>272</v>
      </c>
      <c r="I4225" s="210"/>
    </row>
    <row r="4226" spans="1:9" x14ac:dyDescent="0.25">
      <c r="A4226" s="74"/>
      <c r="B4226" s="45">
        <v>1832</v>
      </c>
      <c r="C4226" s="64" t="s">
        <v>2070</v>
      </c>
      <c r="D4226" s="74"/>
      <c r="E4226" s="208" t="s">
        <v>137</v>
      </c>
      <c r="F4226" s="209" t="s">
        <v>21</v>
      </c>
      <c r="G4226" s="209" t="s">
        <v>21</v>
      </c>
      <c r="H4226" s="209" t="s">
        <v>272</v>
      </c>
      <c r="I4226" s="210"/>
    </row>
    <row r="4227" spans="1:9" x14ac:dyDescent="0.25">
      <c r="A4227" s="74"/>
      <c r="B4227" s="45">
        <v>1833</v>
      </c>
      <c r="C4227" s="64" t="s">
        <v>2071</v>
      </c>
      <c r="D4227" s="74"/>
      <c r="E4227" s="208" t="s">
        <v>137</v>
      </c>
      <c r="F4227" s="209" t="s">
        <v>21</v>
      </c>
      <c r="G4227" s="209" t="s">
        <v>21</v>
      </c>
      <c r="H4227" s="209" t="s">
        <v>272</v>
      </c>
      <c r="I4227" s="210"/>
    </row>
    <row r="4228" spans="1:9" x14ac:dyDescent="0.25">
      <c r="A4228" s="74"/>
      <c r="B4228" s="45">
        <v>1834</v>
      </c>
      <c r="C4228" s="64" t="s">
        <v>1851</v>
      </c>
      <c r="D4228" s="74"/>
      <c r="E4228" s="208" t="s">
        <v>137</v>
      </c>
      <c r="F4228" s="209" t="s">
        <v>21</v>
      </c>
      <c r="G4228" s="209" t="s">
        <v>21</v>
      </c>
      <c r="H4228" s="209" t="s">
        <v>272</v>
      </c>
      <c r="I4228" s="210"/>
    </row>
    <row r="4229" spans="1:9" x14ac:dyDescent="0.25">
      <c r="A4229" s="74"/>
      <c r="B4229" s="45">
        <v>1835</v>
      </c>
      <c r="C4229" s="64" t="s">
        <v>1973</v>
      </c>
      <c r="D4229" s="74"/>
      <c r="E4229" s="208" t="s">
        <v>137</v>
      </c>
      <c r="F4229" s="209" t="s">
        <v>21</v>
      </c>
      <c r="G4229" s="209" t="s">
        <v>21</v>
      </c>
      <c r="H4229" s="209" t="s">
        <v>272</v>
      </c>
      <c r="I4229" s="210"/>
    </row>
    <row r="4230" spans="1:9" x14ac:dyDescent="0.25">
      <c r="A4230" s="74"/>
      <c r="B4230" s="45">
        <v>1836</v>
      </c>
      <c r="C4230" s="64" t="s">
        <v>1855</v>
      </c>
      <c r="D4230" s="74"/>
      <c r="E4230" s="208" t="s">
        <v>137</v>
      </c>
      <c r="F4230" s="209" t="s">
        <v>21</v>
      </c>
      <c r="G4230" s="209" t="s">
        <v>21</v>
      </c>
      <c r="H4230" s="209" t="s">
        <v>272</v>
      </c>
      <c r="I4230" s="210"/>
    </row>
    <row r="4231" spans="1:9" x14ac:dyDescent="0.25">
      <c r="A4231" s="74"/>
      <c r="B4231" s="45">
        <v>1837</v>
      </c>
      <c r="C4231" s="64" t="s">
        <v>2060</v>
      </c>
      <c r="D4231" s="74"/>
      <c r="E4231" s="208" t="s">
        <v>137</v>
      </c>
      <c r="F4231" s="209" t="s">
        <v>21</v>
      </c>
      <c r="G4231" s="209" t="s">
        <v>21</v>
      </c>
      <c r="H4231" s="209" t="s">
        <v>272</v>
      </c>
      <c r="I4231" s="210"/>
    </row>
    <row r="4232" spans="1:9" x14ac:dyDescent="0.25">
      <c r="A4232" s="74"/>
      <c r="B4232" s="45">
        <v>1838</v>
      </c>
      <c r="C4232" s="64" t="s">
        <v>1981</v>
      </c>
      <c r="D4232" s="74"/>
      <c r="E4232" s="208" t="s">
        <v>137</v>
      </c>
      <c r="F4232" s="209" t="s">
        <v>21</v>
      </c>
      <c r="G4232" s="209" t="s">
        <v>21</v>
      </c>
      <c r="H4232" s="209" t="s">
        <v>272</v>
      </c>
      <c r="I4232" s="210"/>
    </row>
    <row r="4233" spans="1:9" x14ac:dyDescent="0.25">
      <c r="A4233" s="74"/>
      <c r="B4233" s="45">
        <v>1839</v>
      </c>
      <c r="C4233" s="64" t="s">
        <v>2072</v>
      </c>
      <c r="D4233" s="74"/>
      <c r="E4233" s="208" t="s">
        <v>137</v>
      </c>
      <c r="F4233" s="209" t="s">
        <v>21</v>
      </c>
      <c r="G4233" s="209" t="s">
        <v>21</v>
      </c>
      <c r="H4233" s="209" t="s">
        <v>272</v>
      </c>
      <c r="I4233" s="210"/>
    </row>
    <row r="4234" spans="1:9" x14ac:dyDescent="0.25">
      <c r="A4234" s="74"/>
      <c r="B4234" s="45">
        <v>1840</v>
      </c>
      <c r="C4234" s="64" t="s">
        <v>1965</v>
      </c>
      <c r="D4234" s="74"/>
      <c r="E4234" s="208" t="s">
        <v>137</v>
      </c>
      <c r="F4234" s="209" t="s">
        <v>21</v>
      </c>
      <c r="G4234" s="209" t="s">
        <v>21</v>
      </c>
      <c r="H4234" s="209" t="s">
        <v>192</v>
      </c>
      <c r="I4234" s="210"/>
    </row>
    <row r="4235" spans="1:9" x14ac:dyDescent="0.25">
      <c r="A4235" s="74"/>
      <c r="B4235" s="45">
        <v>1830</v>
      </c>
      <c r="C4235" s="64" t="s">
        <v>2069</v>
      </c>
      <c r="D4235" s="74"/>
      <c r="E4235" s="208" t="s">
        <v>137</v>
      </c>
      <c r="F4235" s="209" t="s">
        <v>21</v>
      </c>
      <c r="G4235" s="209" t="s">
        <v>21</v>
      </c>
      <c r="H4235" s="209" t="s">
        <v>272</v>
      </c>
      <c r="I4235" s="210"/>
    </row>
    <row r="4236" spans="1:9" x14ac:dyDescent="0.25">
      <c r="A4236" s="74"/>
      <c r="B4236" s="45">
        <v>1831</v>
      </c>
      <c r="C4236" s="64" t="s">
        <v>1626</v>
      </c>
      <c r="D4236" s="74"/>
      <c r="E4236" s="208" t="s">
        <v>137</v>
      </c>
      <c r="F4236" s="209" t="s">
        <v>21</v>
      </c>
      <c r="G4236" s="209" t="s">
        <v>21</v>
      </c>
      <c r="H4236" s="209" t="s">
        <v>272</v>
      </c>
      <c r="I4236" s="210"/>
    </row>
    <row r="4237" spans="1:9" x14ac:dyDescent="0.25">
      <c r="A4237" s="74"/>
      <c r="B4237" s="45">
        <v>1832</v>
      </c>
      <c r="C4237" s="64" t="s">
        <v>2070</v>
      </c>
      <c r="D4237" s="74"/>
      <c r="E4237" s="208" t="s">
        <v>137</v>
      </c>
      <c r="F4237" s="209" t="s">
        <v>21</v>
      </c>
      <c r="G4237" s="209" t="s">
        <v>21</v>
      </c>
      <c r="H4237" s="209" t="s">
        <v>272</v>
      </c>
      <c r="I4237" s="210"/>
    </row>
    <row r="4238" spans="1:9" x14ac:dyDescent="0.25">
      <c r="A4238" s="74"/>
      <c r="B4238" s="45">
        <v>1833</v>
      </c>
      <c r="C4238" s="64" t="s">
        <v>2071</v>
      </c>
      <c r="D4238" s="74"/>
      <c r="E4238" s="208" t="s">
        <v>137</v>
      </c>
      <c r="F4238" s="209" t="s">
        <v>21</v>
      </c>
      <c r="G4238" s="209" t="s">
        <v>21</v>
      </c>
      <c r="H4238" s="209" t="s">
        <v>272</v>
      </c>
      <c r="I4238" s="210"/>
    </row>
    <row r="4239" spans="1:9" x14ac:dyDescent="0.25">
      <c r="A4239" s="74"/>
      <c r="B4239" s="45">
        <v>1834</v>
      </c>
      <c r="C4239" s="64" t="s">
        <v>1851</v>
      </c>
      <c r="D4239" s="74"/>
      <c r="E4239" s="208" t="s">
        <v>137</v>
      </c>
      <c r="F4239" s="209" t="s">
        <v>21</v>
      </c>
      <c r="G4239" s="209" t="s">
        <v>21</v>
      </c>
      <c r="H4239" s="209" t="s">
        <v>272</v>
      </c>
      <c r="I4239" s="210"/>
    </row>
    <row r="4240" spans="1:9" x14ac:dyDescent="0.25">
      <c r="A4240" s="74"/>
      <c r="B4240" s="45">
        <v>1835</v>
      </c>
      <c r="C4240" s="64" t="s">
        <v>1973</v>
      </c>
      <c r="D4240" s="74"/>
      <c r="E4240" s="208" t="s">
        <v>137</v>
      </c>
      <c r="F4240" s="209" t="s">
        <v>21</v>
      </c>
      <c r="G4240" s="209" t="s">
        <v>21</v>
      </c>
      <c r="H4240" s="209" t="s">
        <v>272</v>
      </c>
      <c r="I4240" s="210"/>
    </row>
    <row r="4241" spans="1:9" x14ac:dyDescent="0.25">
      <c r="A4241" s="74"/>
      <c r="B4241" s="45">
        <v>1836</v>
      </c>
      <c r="C4241" s="64" t="s">
        <v>1855</v>
      </c>
      <c r="D4241" s="74"/>
      <c r="E4241" s="208" t="s">
        <v>137</v>
      </c>
      <c r="F4241" s="209" t="s">
        <v>21</v>
      </c>
      <c r="G4241" s="209" t="s">
        <v>21</v>
      </c>
      <c r="H4241" s="209" t="s">
        <v>272</v>
      </c>
      <c r="I4241" s="210"/>
    </row>
    <row r="4242" spans="1:9" x14ac:dyDescent="0.25">
      <c r="A4242" s="74"/>
      <c r="B4242" s="45">
        <v>1837</v>
      </c>
      <c r="C4242" s="64" t="s">
        <v>2060</v>
      </c>
      <c r="D4242" s="74"/>
      <c r="E4242" s="208" t="s">
        <v>137</v>
      </c>
      <c r="F4242" s="209" t="s">
        <v>21</v>
      </c>
      <c r="G4242" s="209" t="s">
        <v>21</v>
      </c>
      <c r="H4242" s="209" t="s">
        <v>272</v>
      </c>
      <c r="I4242" s="210"/>
    </row>
    <row r="4243" spans="1:9" x14ac:dyDescent="0.25">
      <c r="A4243" s="74"/>
      <c r="B4243" s="45">
        <v>1838</v>
      </c>
      <c r="C4243" s="64" t="s">
        <v>1981</v>
      </c>
      <c r="D4243" s="74"/>
      <c r="E4243" s="208" t="s">
        <v>137</v>
      </c>
      <c r="F4243" s="209" t="s">
        <v>21</v>
      </c>
      <c r="G4243" s="209" t="s">
        <v>21</v>
      </c>
      <c r="H4243" s="209" t="s">
        <v>272</v>
      </c>
      <c r="I4243" s="210"/>
    </row>
    <row r="4244" spans="1:9" x14ac:dyDescent="0.25">
      <c r="A4244" s="74"/>
      <c r="B4244" s="45">
        <v>1839</v>
      </c>
      <c r="C4244" s="64" t="s">
        <v>2072</v>
      </c>
      <c r="D4244" s="74"/>
      <c r="E4244" s="208" t="s">
        <v>137</v>
      </c>
      <c r="F4244" s="209" t="s">
        <v>21</v>
      </c>
      <c r="G4244" s="209" t="s">
        <v>21</v>
      </c>
      <c r="H4244" s="209" t="s">
        <v>272</v>
      </c>
      <c r="I4244" s="210"/>
    </row>
    <row r="4245" spans="1:9" x14ac:dyDescent="0.25">
      <c r="A4245" s="74"/>
      <c r="B4245" s="45">
        <v>1840</v>
      </c>
      <c r="C4245" s="64" t="s">
        <v>1965</v>
      </c>
      <c r="D4245" s="74"/>
      <c r="E4245" s="208" t="s">
        <v>137</v>
      </c>
      <c r="F4245" s="209" t="s">
        <v>21</v>
      </c>
      <c r="G4245" s="209" t="s">
        <v>21</v>
      </c>
      <c r="H4245" s="209" t="s">
        <v>192</v>
      </c>
      <c r="I4245" s="210"/>
    </row>
    <row r="4246" spans="1:9" x14ac:dyDescent="0.25">
      <c r="A4246" s="74"/>
      <c r="B4246" s="45">
        <v>1830</v>
      </c>
      <c r="C4246" s="64" t="s">
        <v>2069</v>
      </c>
      <c r="D4246" s="74"/>
      <c r="E4246" s="208" t="s">
        <v>137</v>
      </c>
      <c r="F4246" s="209" t="s">
        <v>21</v>
      </c>
      <c r="G4246" s="209" t="s">
        <v>21</v>
      </c>
      <c r="H4246" s="209" t="s">
        <v>272</v>
      </c>
      <c r="I4246" s="210"/>
    </row>
    <row r="4247" spans="1:9" x14ac:dyDescent="0.25">
      <c r="A4247" s="74"/>
      <c r="B4247" s="45">
        <v>1831</v>
      </c>
      <c r="C4247" s="64" t="s">
        <v>1626</v>
      </c>
      <c r="D4247" s="74"/>
      <c r="E4247" s="208" t="s">
        <v>137</v>
      </c>
      <c r="F4247" s="209" t="s">
        <v>21</v>
      </c>
      <c r="G4247" s="209" t="s">
        <v>21</v>
      </c>
      <c r="H4247" s="209" t="s">
        <v>272</v>
      </c>
      <c r="I4247" s="210"/>
    </row>
    <row r="4248" spans="1:9" x14ac:dyDescent="0.25">
      <c r="A4248" s="74"/>
      <c r="B4248" s="45">
        <v>1832</v>
      </c>
      <c r="C4248" s="64" t="s">
        <v>2070</v>
      </c>
      <c r="D4248" s="74"/>
      <c r="E4248" s="208" t="s">
        <v>137</v>
      </c>
      <c r="F4248" s="209" t="s">
        <v>21</v>
      </c>
      <c r="G4248" s="209" t="s">
        <v>21</v>
      </c>
      <c r="H4248" s="209" t="s">
        <v>272</v>
      </c>
      <c r="I4248" s="210"/>
    </row>
    <row r="4249" spans="1:9" x14ac:dyDescent="0.25">
      <c r="A4249" s="74"/>
      <c r="B4249" s="45">
        <v>1833</v>
      </c>
      <c r="C4249" s="64" t="s">
        <v>2071</v>
      </c>
      <c r="D4249" s="74"/>
      <c r="E4249" s="208" t="s">
        <v>137</v>
      </c>
      <c r="F4249" s="209" t="s">
        <v>21</v>
      </c>
      <c r="G4249" s="209" t="s">
        <v>21</v>
      </c>
      <c r="H4249" s="209" t="s">
        <v>272</v>
      </c>
      <c r="I4249" s="210"/>
    </row>
    <row r="4250" spans="1:9" x14ac:dyDescent="0.25">
      <c r="A4250" s="74"/>
      <c r="B4250" s="45">
        <v>1834</v>
      </c>
      <c r="C4250" s="64" t="s">
        <v>1851</v>
      </c>
      <c r="D4250" s="74"/>
      <c r="E4250" s="208" t="s">
        <v>137</v>
      </c>
      <c r="F4250" s="209" t="s">
        <v>21</v>
      </c>
      <c r="G4250" s="209" t="s">
        <v>21</v>
      </c>
      <c r="H4250" s="209" t="s">
        <v>272</v>
      </c>
      <c r="I4250" s="210"/>
    </row>
    <row r="4251" spans="1:9" x14ac:dyDescent="0.25">
      <c r="A4251" s="74"/>
      <c r="B4251" s="45">
        <v>1835</v>
      </c>
      <c r="C4251" s="64" t="s">
        <v>1973</v>
      </c>
      <c r="D4251" s="74"/>
      <c r="E4251" s="208" t="s">
        <v>137</v>
      </c>
      <c r="F4251" s="209" t="s">
        <v>21</v>
      </c>
      <c r="G4251" s="209" t="s">
        <v>21</v>
      </c>
      <c r="H4251" s="209" t="s">
        <v>272</v>
      </c>
      <c r="I4251" s="210"/>
    </row>
    <row r="4252" spans="1:9" x14ac:dyDescent="0.25">
      <c r="A4252" s="74"/>
      <c r="B4252" s="45">
        <v>1836</v>
      </c>
      <c r="C4252" s="64" t="s">
        <v>1855</v>
      </c>
      <c r="D4252" s="74"/>
      <c r="E4252" s="208" t="s">
        <v>137</v>
      </c>
      <c r="F4252" s="209" t="s">
        <v>21</v>
      </c>
      <c r="G4252" s="209" t="s">
        <v>21</v>
      </c>
      <c r="H4252" s="209" t="s">
        <v>272</v>
      </c>
      <c r="I4252" s="210"/>
    </row>
    <row r="4253" spans="1:9" x14ac:dyDescent="0.25">
      <c r="A4253" s="74"/>
      <c r="B4253" s="45">
        <v>1837</v>
      </c>
      <c r="C4253" s="64" t="s">
        <v>2060</v>
      </c>
      <c r="D4253" s="74"/>
      <c r="E4253" s="208" t="s">
        <v>137</v>
      </c>
      <c r="F4253" s="209" t="s">
        <v>21</v>
      </c>
      <c r="G4253" s="209" t="s">
        <v>21</v>
      </c>
      <c r="H4253" s="209" t="s">
        <v>272</v>
      </c>
      <c r="I4253" s="210"/>
    </row>
    <row r="4254" spans="1:9" x14ac:dyDescent="0.25">
      <c r="A4254" s="74"/>
      <c r="B4254" s="45">
        <v>1838</v>
      </c>
      <c r="C4254" s="64" t="s">
        <v>1981</v>
      </c>
      <c r="D4254" s="74"/>
      <c r="E4254" s="208" t="s">
        <v>137</v>
      </c>
      <c r="F4254" s="209" t="s">
        <v>21</v>
      </c>
      <c r="G4254" s="209" t="s">
        <v>21</v>
      </c>
      <c r="H4254" s="209" t="s">
        <v>272</v>
      </c>
      <c r="I4254" s="210"/>
    </row>
    <row r="4255" spans="1:9" x14ac:dyDescent="0.25">
      <c r="A4255" s="74"/>
      <c r="B4255" s="45">
        <v>747</v>
      </c>
      <c r="C4255" s="64" t="s">
        <v>1156</v>
      </c>
      <c r="D4255" s="74"/>
      <c r="E4255" s="208" t="s">
        <v>137</v>
      </c>
      <c r="F4255" s="209" t="s">
        <v>21</v>
      </c>
      <c r="G4255" s="209" t="s">
        <v>21</v>
      </c>
      <c r="H4255" s="209" t="s">
        <v>272</v>
      </c>
      <c r="I4255" s="210"/>
    </row>
    <row r="4256" spans="1:9" x14ac:dyDescent="0.25">
      <c r="A4256" s="74"/>
      <c r="B4256" s="45">
        <v>1839</v>
      </c>
      <c r="C4256" s="64" t="s">
        <v>2072</v>
      </c>
      <c r="D4256" s="74"/>
      <c r="E4256" s="208" t="s">
        <v>137</v>
      </c>
      <c r="F4256" s="209" t="s">
        <v>21</v>
      </c>
      <c r="G4256" s="209" t="s">
        <v>21</v>
      </c>
      <c r="H4256" s="209" t="s">
        <v>272</v>
      </c>
      <c r="I4256" s="210"/>
    </row>
    <row r="4257" spans="1:9" x14ac:dyDescent="0.25">
      <c r="A4257" s="74"/>
      <c r="B4257" s="45">
        <v>1840</v>
      </c>
      <c r="C4257" s="64" t="s">
        <v>1965</v>
      </c>
      <c r="D4257" s="74"/>
      <c r="E4257" s="208" t="s">
        <v>137</v>
      </c>
      <c r="F4257" s="209" t="s">
        <v>21</v>
      </c>
      <c r="G4257" s="209" t="s">
        <v>21</v>
      </c>
      <c r="H4257" s="209" t="s">
        <v>192</v>
      </c>
      <c r="I4257" s="210"/>
    </row>
    <row r="4258" spans="1:9" x14ac:dyDescent="0.25">
      <c r="A4258" s="74"/>
      <c r="B4258" s="45">
        <v>1830</v>
      </c>
      <c r="C4258" s="64" t="s">
        <v>2069</v>
      </c>
      <c r="D4258" s="74"/>
      <c r="E4258" s="208" t="s">
        <v>137</v>
      </c>
      <c r="F4258" s="209" t="s">
        <v>21</v>
      </c>
      <c r="G4258" s="209" t="s">
        <v>21</v>
      </c>
      <c r="H4258" s="209" t="s">
        <v>272</v>
      </c>
      <c r="I4258" s="210"/>
    </row>
    <row r="4259" spans="1:9" x14ac:dyDescent="0.25">
      <c r="A4259" s="74"/>
      <c r="B4259" s="45">
        <v>1831</v>
      </c>
      <c r="C4259" s="64" t="s">
        <v>1626</v>
      </c>
      <c r="D4259" s="74"/>
      <c r="E4259" s="208" t="s">
        <v>137</v>
      </c>
      <c r="F4259" s="209" t="s">
        <v>21</v>
      </c>
      <c r="G4259" s="209" t="s">
        <v>21</v>
      </c>
      <c r="H4259" s="209" t="s">
        <v>272</v>
      </c>
      <c r="I4259" s="210"/>
    </row>
    <row r="4260" spans="1:9" x14ac:dyDescent="0.25">
      <c r="A4260" s="74"/>
      <c r="B4260" s="45">
        <v>1832</v>
      </c>
      <c r="C4260" s="64" t="s">
        <v>2070</v>
      </c>
      <c r="D4260" s="74"/>
      <c r="E4260" s="208" t="s">
        <v>137</v>
      </c>
      <c r="F4260" s="209" t="s">
        <v>21</v>
      </c>
      <c r="G4260" s="209" t="s">
        <v>21</v>
      </c>
      <c r="H4260" s="209" t="s">
        <v>272</v>
      </c>
      <c r="I4260" s="210"/>
    </row>
    <row r="4261" spans="1:9" x14ac:dyDescent="0.25">
      <c r="A4261" s="74"/>
      <c r="B4261" s="45">
        <v>1833</v>
      </c>
      <c r="C4261" s="64" t="s">
        <v>2071</v>
      </c>
      <c r="D4261" s="74"/>
      <c r="E4261" s="208" t="s">
        <v>137</v>
      </c>
      <c r="F4261" s="209" t="s">
        <v>21</v>
      </c>
      <c r="G4261" s="209" t="s">
        <v>21</v>
      </c>
      <c r="H4261" s="209" t="s">
        <v>272</v>
      </c>
      <c r="I4261" s="210"/>
    </row>
    <row r="4262" spans="1:9" x14ac:dyDescent="0.25">
      <c r="A4262" s="74"/>
      <c r="B4262" s="45">
        <v>1834</v>
      </c>
      <c r="C4262" s="64" t="s">
        <v>1851</v>
      </c>
      <c r="D4262" s="74"/>
      <c r="E4262" s="208" t="s">
        <v>137</v>
      </c>
      <c r="F4262" s="209" t="s">
        <v>21</v>
      </c>
      <c r="G4262" s="209" t="s">
        <v>21</v>
      </c>
      <c r="H4262" s="209" t="s">
        <v>272</v>
      </c>
      <c r="I4262" s="210"/>
    </row>
    <row r="4263" spans="1:9" x14ac:dyDescent="0.25">
      <c r="A4263" s="74"/>
      <c r="B4263" s="45">
        <v>1835</v>
      </c>
      <c r="C4263" s="64" t="s">
        <v>1973</v>
      </c>
      <c r="D4263" s="74"/>
      <c r="E4263" s="208" t="s">
        <v>137</v>
      </c>
      <c r="F4263" s="209" t="s">
        <v>21</v>
      </c>
      <c r="G4263" s="209" t="s">
        <v>21</v>
      </c>
      <c r="H4263" s="209" t="s">
        <v>272</v>
      </c>
      <c r="I4263" s="210"/>
    </row>
    <row r="4264" spans="1:9" x14ac:dyDescent="0.25">
      <c r="A4264" s="74"/>
      <c r="B4264" s="45">
        <v>1836</v>
      </c>
      <c r="C4264" s="64" t="s">
        <v>1855</v>
      </c>
      <c r="D4264" s="74"/>
      <c r="E4264" s="208" t="s">
        <v>137</v>
      </c>
      <c r="F4264" s="209" t="s">
        <v>21</v>
      </c>
      <c r="G4264" s="209" t="s">
        <v>21</v>
      </c>
      <c r="H4264" s="209" t="s">
        <v>272</v>
      </c>
      <c r="I4264" s="210"/>
    </row>
    <row r="4265" spans="1:9" x14ac:dyDescent="0.25">
      <c r="A4265" s="74"/>
      <c r="B4265" s="45">
        <v>1837</v>
      </c>
      <c r="C4265" s="64" t="s">
        <v>2060</v>
      </c>
      <c r="D4265" s="74"/>
      <c r="E4265" s="208" t="s">
        <v>137</v>
      </c>
      <c r="F4265" s="209" t="s">
        <v>21</v>
      </c>
      <c r="G4265" s="209" t="s">
        <v>21</v>
      </c>
      <c r="H4265" s="209" t="s">
        <v>272</v>
      </c>
      <c r="I4265" s="210"/>
    </row>
    <row r="4266" spans="1:9" x14ac:dyDescent="0.25">
      <c r="A4266" s="74"/>
      <c r="B4266" s="45">
        <v>1838</v>
      </c>
      <c r="C4266" s="64" t="s">
        <v>1981</v>
      </c>
      <c r="D4266" s="74"/>
      <c r="E4266" s="208" t="s">
        <v>137</v>
      </c>
      <c r="F4266" s="209" t="s">
        <v>21</v>
      </c>
      <c r="G4266" s="209" t="s">
        <v>21</v>
      </c>
      <c r="H4266" s="209" t="s">
        <v>272</v>
      </c>
      <c r="I4266" s="210"/>
    </row>
    <row r="4267" spans="1:9" x14ac:dyDescent="0.25">
      <c r="A4267" s="74"/>
      <c r="B4267" s="45">
        <v>1839</v>
      </c>
      <c r="C4267" s="64" t="s">
        <v>2072</v>
      </c>
      <c r="D4267" s="74"/>
      <c r="E4267" s="208" t="s">
        <v>137</v>
      </c>
      <c r="F4267" s="209" t="s">
        <v>21</v>
      </c>
      <c r="G4267" s="209" t="s">
        <v>21</v>
      </c>
      <c r="H4267" s="209" t="s">
        <v>272</v>
      </c>
      <c r="I4267" s="210"/>
    </row>
    <row r="4268" spans="1:9" x14ac:dyDescent="0.25">
      <c r="A4268" s="74"/>
      <c r="B4268" s="45">
        <v>1840</v>
      </c>
      <c r="C4268" s="64" t="s">
        <v>1965</v>
      </c>
      <c r="D4268" s="74"/>
      <c r="E4268" s="208" t="s">
        <v>137</v>
      </c>
      <c r="F4268" s="209" t="s">
        <v>21</v>
      </c>
      <c r="G4268" s="209" t="s">
        <v>21</v>
      </c>
      <c r="H4268" s="209" t="s">
        <v>192</v>
      </c>
      <c r="I4268" s="210"/>
    </row>
    <row r="4269" spans="1:9" x14ac:dyDescent="0.25">
      <c r="A4269" s="74"/>
      <c r="B4269" s="45">
        <v>1831</v>
      </c>
      <c r="C4269" s="64" t="s">
        <v>1626</v>
      </c>
      <c r="D4269" s="74"/>
      <c r="E4269" s="208" t="s">
        <v>137</v>
      </c>
      <c r="F4269" s="209" t="s">
        <v>21</v>
      </c>
      <c r="G4269" s="209" t="s">
        <v>21</v>
      </c>
      <c r="H4269" s="209" t="s">
        <v>272</v>
      </c>
      <c r="I4269" s="210"/>
    </row>
    <row r="4270" spans="1:9" x14ac:dyDescent="0.25">
      <c r="A4270" s="74"/>
      <c r="B4270" s="45">
        <v>1832</v>
      </c>
      <c r="C4270" s="64" t="s">
        <v>2070</v>
      </c>
      <c r="D4270" s="74"/>
      <c r="E4270" s="208" t="s">
        <v>137</v>
      </c>
      <c r="F4270" s="209" t="s">
        <v>21</v>
      </c>
      <c r="G4270" s="209" t="s">
        <v>21</v>
      </c>
      <c r="H4270" s="209" t="s">
        <v>272</v>
      </c>
      <c r="I4270" s="210"/>
    </row>
    <row r="4271" spans="1:9" x14ac:dyDescent="0.25">
      <c r="A4271" s="74"/>
      <c r="B4271" s="45">
        <v>1830</v>
      </c>
      <c r="C4271" s="64" t="s">
        <v>2069</v>
      </c>
      <c r="D4271" s="74"/>
      <c r="E4271" s="208" t="s">
        <v>137</v>
      </c>
      <c r="F4271" s="209" t="s">
        <v>21</v>
      </c>
      <c r="G4271" s="209" t="s">
        <v>21</v>
      </c>
      <c r="H4271" s="209" t="s">
        <v>272</v>
      </c>
      <c r="I4271" s="210"/>
    </row>
    <row r="4272" spans="1:9" x14ac:dyDescent="0.25">
      <c r="A4272" s="74"/>
      <c r="B4272" s="45">
        <v>1833</v>
      </c>
      <c r="C4272" s="64" t="s">
        <v>2071</v>
      </c>
      <c r="D4272" s="74"/>
      <c r="E4272" s="208" t="s">
        <v>137</v>
      </c>
      <c r="F4272" s="209" t="s">
        <v>21</v>
      </c>
      <c r="G4272" s="209" t="s">
        <v>21</v>
      </c>
      <c r="H4272" s="209" t="s">
        <v>272</v>
      </c>
      <c r="I4272" s="210"/>
    </row>
    <row r="4273" spans="1:9" x14ac:dyDescent="0.25">
      <c r="A4273" s="74"/>
      <c r="B4273" s="45">
        <v>1834</v>
      </c>
      <c r="C4273" s="64" t="s">
        <v>1851</v>
      </c>
      <c r="D4273" s="74"/>
      <c r="E4273" s="208" t="s">
        <v>137</v>
      </c>
      <c r="F4273" s="209" t="s">
        <v>21</v>
      </c>
      <c r="G4273" s="209" t="s">
        <v>21</v>
      </c>
      <c r="H4273" s="209" t="s">
        <v>272</v>
      </c>
      <c r="I4273" s="210"/>
    </row>
    <row r="4274" spans="1:9" x14ac:dyDescent="0.25">
      <c r="A4274" s="74"/>
      <c r="B4274" s="45">
        <v>1835</v>
      </c>
      <c r="C4274" s="64" t="s">
        <v>1973</v>
      </c>
      <c r="D4274" s="74"/>
      <c r="E4274" s="208" t="s">
        <v>137</v>
      </c>
      <c r="F4274" s="209" t="s">
        <v>21</v>
      </c>
      <c r="G4274" s="209" t="s">
        <v>21</v>
      </c>
      <c r="H4274" s="209" t="s">
        <v>272</v>
      </c>
      <c r="I4274" s="210"/>
    </row>
    <row r="4275" spans="1:9" x14ac:dyDescent="0.25">
      <c r="A4275" s="74"/>
      <c r="B4275" s="45">
        <v>1836</v>
      </c>
      <c r="C4275" s="64" t="s">
        <v>1855</v>
      </c>
      <c r="D4275" s="74"/>
      <c r="E4275" s="208" t="s">
        <v>137</v>
      </c>
      <c r="F4275" s="209" t="s">
        <v>21</v>
      </c>
      <c r="G4275" s="209" t="s">
        <v>21</v>
      </c>
      <c r="H4275" s="209" t="s">
        <v>272</v>
      </c>
      <c r="I4275" s="210"/>
    </row>
    <row r="4276" spans="1:9" x14ac:dyDescent="0.25">
      <c r="A4276" s="74"/>
      <c r="B4276" s="45">
        <v>1837</v>
      </c>
      <c r="C4276" s="64" t="s">
        <v>2060</v>
      </c>
      <c r="D4276" s="74"/>
      <c r="E4276" s="208" t="s">
        <v>137</v>
      </c>
      <c r="F4276" s="209" t="s">
        <v>21</v>
      </c>
      <c r="G4276" s="209" t="s">
        <v>21</v>
      </c>
      <c r="H4276" s="209" t="s">
        <v>272</v>
      </c>
      <c r="I4276" s="210"/>
    </row>
    <row r="4277" spans="1:9" x14ac:dyDescent="0.25">
      <c r="A4277" s="74"/>
      <c r="B4277" s="45">
        <v>1838</v>
      </c>
      <c r="C4277" s="64" t="s">
        <v>1981</v>
      </c>
      <c r="D4277" s="74"/>
      <c r="E4277" s="208" t="s">
        <v>137</v>
      </c>
      <c r="F4277" s="209" t="s">
        <v>21</v>
      </c>
      <c r="G4277" s="209" t="s">
        <v>21</v>
      </c>
      <c r="H4277" s="209" t="s">
        <v>272</v>
      </c>
      <c r="I4277" s="210"/>
    </row>
    <row r="4278" spans="1:9" x14ac:dyDescent="0.25">
      <c r="A4278" s="74"/>
      <c r="B4278" s="45">
        <v>1839</v>
      </c>
      <c r="C4278" s="64" t="s">
        <v>2072</v>
      </c>
      <c r="D4278" s="74"/>
      <c r="E4278" s="208" t="s">
        <v>137</v>
      </c>
      <c r="F4278" s="209" t="s">
        <v>21</v>
      </c>
      <c r="G4278" s="209" t="s">
        <v>21</v>
      </c>
      <c r="H4278" s="209" t="s">
        <v>272</v>
      </c>
      <c r="I4278" s="210"/>
    </row>
    <row r="4279" spans="1:9" x14ac:dyDescent="0.25">
      <c r="A4279" s="74"/>
      <c r="B4279" s="45">
        <v>1840</v>
      </c>
      <c r="C4279" s="64" t="s">
        <v>1965</v>
      </c>
      <c r="D4279" s="74"/>
      <c r="E4279" s="208" t="s">
        <v>137</v>
      </c>
      <c r="F4279" s="209" t="s">
        <v>21</v>
      </c>
      <c r="G4279" s="209" t="s">
        <v>21</v>
      </c>
      <c r="H4279" s="209" t="s">
        <v>192</v>
      </c>
      <c r="I4279" s="210"/>
    </row>
    <row r="4280" spans="1:9" x14ac:dyDescent="0.25">
      <c r="A4280" s="74"/>
      <c r="B4280" s="45">
        <v>1830</v>
      </c>
      <c r="C4280" s="64" t="s">
        <v>2069</v>
      </c>
      <c r="D4280" s="74"/>
      <c r="E4280" s="208" t="s">
        <v>137</v>
      </c>
      <c r="F4280" s="209" t="s">
        <v>21</v>
      </c>
      <c r="G4280" s="209" t="s">
        <v>21</v>
      </c>
      <c r="H4280" s="209" t="s">
        <v>272</v>
      </c>
      <c r="I4280" s="210"/>
    </row>
    <row r="4281" spans="1:9" x14ac:dyDescent="0.25">
      <c r="A4281" s="74"/>
      <c r="B4281" s="45">
        <v>1831</v>
      </c>
      <c r="C4281" s="64" t="s">
        <v>1626</v>
      </c>
      <c r="D4281" s="74"/>
      <c r="E4281" s="208" t="s">
        <v>137</v>
      </c>
      <c r="F4281" s="209" t="s">
        <v>21</v>
      </c>
      <c r="G4281" s="209" t="s">
        <v>21</v>
      </c>
      <c r="H4281" s="209" t="s">
        <v>272</v>
      </c>
      <c r="I4281" s="210"/>
    </row>
    <row r="4282" spans="1:9" x14ac:dyDescent="0.25">
      <c r="A4282" s="74"/>
      <c r="B4282" s="45">
        <v>1832</v>
      </c>
      <c r="C4282" s="64" t="s">
        <v>2070</v>
      </c>
      <c r="D4282" s="74"/>
      <c r="E4282" s="208" t="s">
        <v>137</v>
      </c>
      <c r="F4282" s="209" t="s">
        <v>21</v>
      </c>
      <c r="G4282" s="209" t="s">
        <v>21</v>
      </c>
      <c r="H4282" s="209" t="s">
        <v>272</v>
      </c>
      <c r="I4282" s="210"/>
    </row>
    <row r="4283" spans="1:9" x14ac:dyDescent="0.25">
      <c r="A4283" s="74"/>
      <c r="B4283" s="45">
        <v>1833</v>
      </c>
      <c r="C4283" s="64" t="s">
        <v>2071</v>
      </c>
      <c r="D4283" s="74"/>
      <c r="E4283" s="208" t="s">
        <v>137</v>
      </c>
      <c r="F4283" s="209" t="s">
        <v>21</v>
      </c>
      <c r="G4283" s="209" t="s">
        <v>21</v>
      </c>
      <c r="H4283" s="209" t="s">
        <v>272</v>
      </c>
      <c r="I4283" s="210"/>
    </row>
    <row r="4284" spans="1:9" x14ac:dyDescent="0.25">
      <c r="A4284" s="74"/>
      <c r="B4284" s="45">
        <v>1834</v>
      </c>
      <c r="C4284" s="64" t="s">
        <v>1851</v>
      </c>
      <c r="D4284" s="74"/>
      <c r="E4284" s="208" t="s">
        <v>137</v>
      </c>
      <c r="F4284" s="209" t="s">
        <v>21</v>
      </c>
      <c r="G4284" s="209" t="s">
        <v>21</v>
      </c>
      <c r="H4284" s="209" t="s">
        <v>272</v>
      </c>
      <c r="I4284" s="210"/>
    </row>
    <row r="4285" spans="1:9" x14ac:dyDescent="0.25">
      <c r="A4285" s="74"/>
      <c r="B4285" s="45">
        <v>1835</v>
      </c>
      <c r="C4285" s="64" t="s">
        <v>1973</v>
      </c>
      <c r="D4285" s="74"/>
      <c r="E4285" s="208" t="s">
        <v>137</v>
      </c>
      <c r="F4285" s="209" t="s">
        <v>21</v>
      </c>
      <c r="G4285" s="209" t="s">
        <v>21</v>
      </c>
      <c r="H4285" s="209" t="s">
        <v>272</v>
      </c>
      <c r="I4285" s="210"/>
    </row>
    <row r="4286" spans="1:9" x14ac:dyDescent="0.25">
      <c r="A4286" s="74"/>
      <c r="B4286" s="45">
        <v>1836</v>
      </c>
      <c r="C4286" s="64" t="s">
        <v>1855</v>
      </c>
      <c r="D4286" s="74"/>
      <c r="E4286" s="208" t="s">
        <v>137</v>
      </c>
      <c r="F4286" s="209" t="s">
        <v>21</v>
      </c>
      <c r="G4286" s="209" t="s">
        <v>21</v>
      </c>
      <c r="H4286" s="209" t="s">
        <v>272</v>
      </c>
      <c r="I4286" s="210"/>
    </row>
    <row r="4287" spans="1:9" x14ac:dyDescent="0.25">
      <c r="A4287" s="74"/>
      <c r="B4287" s="45">
        <v>1837</v>
      </c>
      <c r="C4287" s="64" t="s">
        <v>2060</v>
      </c>
      <c r="D4287" s="74"/>
      <c r="E4287" s="208" t="s">
        <v>137</v>
      </c>
      <c r="F4287" s="209" t="s">
        <v>21</v>
      </c>
      <c r="G4287" s="209" t="s">
        <v>21</v>
      </c>
      <c r="H4287" s="209" t="s">
        <v>272</v>
      </c>
      <c r="I4287" s="210"/>
    </row>
    <row r="4288" spans="1:9" x14ac:dyDescent="0.25">
      <c r="A4288" s="74"/>
      <c r="B4288" s="45">
        <v>1838</v>
      </c>
      <c r="C4288" s="64" t="s">
        <v>1981</v>
      </c>
      <c r="D4288" s="74"/>
      <c r="E4288" s="208" t="s">
        <v>137</v>
      </c>
      <c r="F4288" s="209" t="s">
        <v>21</v>
      </c>
      <c r="G4288" s="209" t="s">
        <v>21</v>
      </c>
      <c r="H4288" s="209" t="s">
        <v>272</v>
      </c>
      <c r="I4288" s="210"/>
    </row>
    <row r="4289" spans="1:9" x14ac:dyDescent="0.25">
      <c r="A4289" s="74"/>
      <c r="B4289" s="45">
        <v>1839</v>
      </c>
      <c r="C4289" s="64" t="s">
        <v>2072</v>
      </c>
      <c r="D4289" s="74"/>
      <c r="E4289" s="208" t="s">
        <v>137</v>
      </c>
      <c r="F4289" s="209" t="s">
        <v>21</v>
      </c>
      <c r="G4289" s="209" t="s">
        <v>21</v>
      </c>
      <c r="H4289" s="209" t="s">
        <v>272</v>
      </c>
      <c r="I4289" s="210"/>
    </row>
    <row r="4290" spans="1:9" x14ac:dyDescent="0.25">
      <c r="A4290" s="74"/>
      <c r="B4290" s="45">
        <v>1840</v>
      </c>
      <c r="C4290" s="64" t="s">
        <v>1965</v>
      </c>
      <c r="D4290" s="74"/>
      <c r="E4290" s="208" t="s">
        <v>137</v>
      </c>
      <c r="F4290" s="209" t="s">
        <v>21</v>
      </c>
      <c r="G4290" s="209" t="s">
        <v>21</v>
      </c>
      <c r="H4290" s="209" t="s">
        <v>192</v>
      </c>
      <c r="I4290" s="210"/>
    </row>
    <row r="4291" spans="1:9" x14ac:dyDescent="0.25">
      <c r="A4291" s="74"/>
      <c r="B4291" s="45">
        <v>1831</v>
      </c>
      <c r="C4291" s="64" t="s">
        <v>1626</v>
      </c>
      <c r="D4291" s="74"/>
      <c r="E4291" s="208" t="s">
        <v>137</v>
      </c>
      <c r="F4291" s="209" t="s">
        <v>21</v>
      </c>
      <c r="G4291" s="209" t="s">
        <v>21</v>
      </c>
      <c r="H4291" s="209" t="s">
        <v>272</v>
      </c>
      <c r="I4291" s="210"/>
    </row>
    <row r="4292" spans="1:9" x14ac:dyDescent="0.25">
      <c r="A4292" s="74"/>
      <c r="B4292" s="45">
        <v>1832</v>
      </c>
      <c r="C4292" s="64" t="s">
        <v>2070</v>
      </c>
      <c r="D4292" s="74"/>
      <c r="E4292" s="208" t="s">
        <v>137</v>
      </c>
      <c r="F4292" s="209" t="s">
        <v>21</v>
      </c>
      <c r="G4292" s="209" t="s">
        <v>21</v>
      </c>
      <c r="H4292" s="209" t="s">
        <v>272</v>
      </c>
      <c r="I4292" s="210"/>
    </row>
    <row r="4293" spans="1:9" x14ac:dyDescent="0.25">
      <c r="A4293" s="74"/>
      <c r="B4293" s="45">
        <v>1830</v>
      </c>
      <c r="C4293" s="64" t="s">
        <v>2069</v>
      </c>
      <c r="D4293" s="74"/>
      <c r="E4293" s="208" t="s">
        <v>137</v>
      </c>
      <c r="F4293" s="209" t="s">
        <v>21</v>
      </c>
      <c r="G4293" s="209" t="s">
        <v>21</v>
      </c>
      <c r="H4293" s="209" t="s">
        <v>272</v>
      </c>
      <c r="I4293" s="210"/>
    </row>
    <row r="4294" spans="1:9" x14ac:dyDescent="0.25">
      <c r="A4294" s="74"/>
      <c r="B4294" s="45">
        <v>1834</v>
      </c>
      <c r="C4294" s="64" t="s">
        <v>1851</v>
      </c>
      <c r="D4294" s="74"/>
      <c r="E4294" s="208" t="s">
        <v>137</v>
      </c>
      <c r="F4294" s="209" t="s">
        <v>21</v>
      </c>
      <c r="G4294" s="209" t="s">
        <v>21</v>
      </c>
      <c r="H4294" s="209" t="s">
        <v>272</v>
      </c>
      <c r="I4294" s="210"/>
    </row>
    <row r="4295" spans="1:9" x14ac:dyDescent="0.25">
      <c r="A4295" s="74"/>
      <c r="B4295" s="45">
        <v>1835</v>
      </c>
      <c r="C4295" s="64" t="s">
        <v>1973</v>
      </c>
      <c r="D4295" s="74"/>
      <c r="E4295" s="208" t="s">
        <v>137</v>
      </c>
      <c r="F4295" s="209" t="s">
        <v>21</v>
      </c>
      <c r="G4295" s="209" t="s">
        <v>21</v>
      </c>
      <c r="H4295" s="209" t="s">
        <v>272</v>
      </c>
      <c r="I4295" s="210"/>
    </row>
    <row r="4296" spans="1:9" x14ac:dyDescent="0.25">
      <c r="A4296" s="74"/>
      <c r="B4296" s="45">
        <v>1836</v>
      </c>
      <c r="C4296" s="64" t="s">
        <v>1855</v>
      </c>
      <c r="D4296" s="74"/>
      <c r="E4296" s="208" t="s">
        <v>137</v>
      </c>
      <c r="F4296" s="209" t="s">
        <v>21</v>
      </c>
      <c r="G4296" s="209" t="s">
        <v>21</v>
      </c>
      <c r="H4296" s="209" t="s">
        <v>272</v>
      </c>
      <c r="I4296" s="210"/>
    </row>
    <row r="4297" spans="1:9" x14ac:dyDescent="0.25">
      <c r="A4297" s="74"/>
      <c r="B4297" s="45">
        <v>1837</v>
      </c>
      <c r="C4297" s="64" t="s">
        <v>2060</v>
      </c>
      <c r="D4297" s="74"/>
      <c r="E4297" s="208" t="s">
        <v>137</v>
      </c>
      <c r="F4297" s="209" t="s">
        <v>21</v>
      </c>
      <c r="G4297" s="209" t="s">
        <v>21</v>
      </c>
      <c r="H4297" s="209" t="s">
        <v>272</v>
      </c>
      <c r="I4297" s="210"/>
    </row>
    <row r="4298" spans="1:9" x14ac:dyDescent="0.25">
      <c r="A4298" s="74"/>
      <c r="B4298" s="45">
        <v>1838</v>
      </c>
      <c r="C4298" s="64" t="s">
        <v>1981</v>
      </c>
      <c r="D4298" s="74"/>
      <c r="E4298" s="208" t="s">
        <v>137</v>
      </c>
      <c r="F4298" s="209" t="s">
        <v>21</v>
      </c>
      <c r="G4298" s="209" t="s">
        <v>21</v>
      </c>
      <c r="H4298" s="209" t="s">
        <v>272</v>
      </c>
      <c r="I4298" s="210"/>
    </row>
    <row r="4299" spans="1:9" x14ac:dyDescent="0.25">
      <c r="A4299" s="74"/>
      <c r="B4299" s="45">
        <v>1833</v>
      </c>
      <c r="C4299" s="64" t="s">
        <v>2071</v>
      </c>
      <c r="D4299" s="74"/>
      <c r="E4299" s="208" t="s">
        <v>137</v>
      </c>
      <c r="F4299" s="209" t="s">
        <v>21</v>
      </c>
      <c r="G4299" s="209" t="s">
        <v>21</v>
      </c>
      <c r="H4299" s="209" t="s">
        <v>272</v>
      </c>
      <c r="I4299" s="210"/>
    </row>
    <row r="4300" spans="1:9" x14ac:dyDescent="0.25">
      <c r="A4300" s="74"/>
      <c r="B4300" s="45">
        <v>1839</v>
      </c>
      <c r="C4300" s="64" t="s">
        <v>2072</v>
      </c>
      <c r="D4300" s="74"/>
      <c r="E4300" s="208" t="s">
        <v>137</v>
      </c>
      <c r="F4300" s="209" t="s">
        <v>21</v>
      </c>
      <c r="G4300" s="209" t="s">
        <v>21</v>
      </c>
      <c r="H4300" s="209" t="s">
        <v>272</v>
      </c>
      <c r="I4300" s="210"/>
    </row>
    <row r="4301" spans="1:9" x14ac:dyDescent="0.25">
      <c r="A4301" s="74"/>
      <c r="B4301" s="45">
        <v>1840</v>
      </c>
      <c r="C4301" s="64" t="s">
        <v>1965</v>
      </c>
      <c r="D4301" s="74"/>
      <c r="E4301" s="208" t="s">
        <v>137</v>
      </c>
      <c r="F4301" s="209" t="s">
        <v>21</v>
      </c>
      <c r="G4301" s="209" t="s">
        <v>21</v>
      </c>
      <c r="H4301" s="209" t="s">
        <v>192</v>
      </c>
      <c r="I4301" s="210"/>
    </row>
    <row r="4302" spans="1:9" x14ac:dyDescent="0.25">
      <c r="A4302" s="74"/>
      <c r="B4302" s="45">
        <v>1830</v>
      </c>
      <c r="C4302" s="64" t="s">
        <v>2069</v>
      </c>
      <c r="D4302" s="74"/>
      <c r="E4302" s="208" t="s">
        <v>137</v>
      </c>
      <c r="F4302" s="209" t="s">
        <v>21</v>
      </c>
      <c r="G4302" s="209" t="s">
        <v>21</v>
      </c>
      <c r="H4302" s="209" t="s">
        <v>272</v>
      </c>
      <c r="I4302" s="210"/>
    </row>
    <row r="4303" spans="1:9" x14ac:dyDescent="0.25">
      <c r="A4303" s="74"/>
      <c r="B4303" s="45">
        <v>1831</v>
      </c>
      <c r="C4303" s="64" t="s">
        <v>1626</v>
      </c>
      <c r="D4303" s="74"/>
      <c r="E4303" s="208" t="s">
        <v>137</v>
      </c>
      <c r="F4303" s="209" t="s">
        <v>21</v>
      </c>
      <c r="G4303" s="209" t="s">
        <v>21</v>
      </c>
      <c r="H4303" s="209" t="s">
        <v>272</v>
      </c>
      <c r="I4303" s="210"/>
    </row>
    <row r="4304" spans="1:9" x14ac:dyDescent="0.25">
      <c r="A4304" s="74"/>
      <c r="B4304" s="45">
        <v>1832</v>
      </c>
      <c r="C4304" s="64" t="s">
        <v>2070</v>
      </c>
      <c r="D4304" s="74"/>
      <c r="E4304" s="208" t="s">
        <v>137</v>
      </c>
      <c r="F4304" s="209" t="s">
        <v>21</v>
      </c>
      <c r="G4304" s="209" t="s">
        <v>21</v>
      </c>
      <c r="H4304" s="209" t="s">
        <v>272</v>
      </c>
      <c r="I4304" s="210"/>
    </row>
    <row r="4305" spans="1:9" x14ac:dyDescent="0.25">
      <c r="A4305" s="74"/>
      <c r="B4305" s="45">
        <v>1833</v>
      </c>
      <c r="C4305" s="64" t="s">
        <v>2071</v>
      </c>
      <c r="D4305" s="74"/>
      <c r="E4305" s="208" t="s">
        <v>137</v>
      </c>
      <c r="F4305" s="209" t="s">
        <v>21</v>
      </c>
      <c r="G4305" s="209" t="s">
        <v>21</v>
      </c>
      <c r="H4305" s="209" t="s">
        <v>272</v>
      </c>
      <c r="I4305" s="210"/>
    </row>
    <row r="4306" spans="1:9" x14ac:dyDescent="0.25">
      <c r="A4306" s="74"/>
      <c r="B4306" s="45">
        <v>1834</v>
      </c>
      <c r="C4306" s="64" t="s">
        <v>1851</v>
      </c>
      <c r="D4306" s="74"/>
      <c r="E4306" s="208" t="s">
        <v>137</v>
      </c>
      <c r="F4306" s="209" t="s">
        <v>21</v>
      </c>
      <c r="G4306" s="209" t="s">
        <v>21</v>
      </c>
      <c r="H4306" s="209" t="s">
        <v>272</v>
      </c>
      <c r="I4306" s="210"/>
    </row>
    <row r="4307" spans="1:9" x14ac:dyDescent="0.25">
      <c r="A4307" s="74"/>
      <c r="B4307" s="45">
        <v>1835</v>
      </c>
      <c r="C4307" s="64" t="s">
        <v>1973</v>
      </c>
      <c r="D4307" s="74"/>
      <c r="E4307" s="208" t="s">
        <v>137</v>
      </c>
      <c r="F4307" s="209" t="s">
        <v>21</v>
      </c>
      <c r="G4307" s="209" t="s">
        <v>21</v>
      </c>
      <c r="H4307" s="209" t="s">
        <v>272</v>
      </c>
      <c r="I4307" s="210"/>
    </row>
    <row r="4308" spans="1:9" x14ac:dyDescent="0.25">
      <c r="A4308" s="74"/>
      <c r="B4308" s="45">
        <v>1836</v>
      </c>
      <c r="C4308" s="64" t="s">
        <v>1855</v>
      </c>
      <c r="D4308" s="74"/>
      <c r="E4308" s="208" t="s">
        <v>137</v>
      </c>
      <c r="F4308" s="209" t="s">
        <v>21</v>
      </c>
      <c r="G4308" s="209" t="s">
        <v>21</v>
      </c>
      <c r="H4308" s="209" t="s">
        <v>272</v>
      </c>
      <c r="I4308" s="210"/>
    </row>
    <row r="4309" spans="1:9" x14ac:dyDescent="0.25">
      <c r="A4309" s="74"/>
      <c r="B4309" s="45">
        <v>1837</v>
      </c>
      <c r="C4309" s="64" t="s">
        <v>2060</v>
      </c>
      <c r="D4309" s="74"/>
      <c r="E4309" s="208" t="s">
        <v>137</v>
      </c>
      <c r="F4309" s="209" t="s">
        <v>21</v>
      </c>
      <c r="G4309" s="209" t="s">
        <v>21</v>
      </c>
      <c r="H4309" s="209" t="s">
        <v>272</v>
      </c>
      <c r="I4309" s="210"/>
    </row>
    <row r="4310" spans="1:9" x14ac:dyDescent="0.25">
      <c r="A4310" s="74"/>
      <c r="B4310" s="45">
        <v>1838</v>
      </c>
      <c r="C4310" s="64" t="s">
        <v>1981</v>
      </c>
      <c r="D4310" s="74"/>
      <c r="E4310" s="208" t="s">
        <v>137</v>
      </c>
      <c r="F4310" s="209" t="s">
        <v>21</v>
      </c>
      <c r="G4310" s="209" t="s">
        <v>21</v>
      </c>
      <c r="H4310" s="209" t="s">
        <v>272</v>
      </c>
      <c r="I4310" s="210"/>
    </row>
    <row r="4311" spans="1:9" x14ac:dyDescent="0.25">
      <c r="A4311" s="74"/>
      <c r="B4311" s="45">
        <v>1839</v>
      </c>
      <c r="C4311" s="64" t="s">
        <v>2072</v>
      </c>
      <c r="D4311" s="74"/>
      <c r="E4311" s="208" t="s">
        <v>137</v>
      </c>
      <c r="F4311" s="209" t="s">
        <v>21</v>
      </c>
      <c r="G4311" s="209" t="s">
        <v>21</v>
      </c>
      <c r="H4311" s="209" t="s">
        <v>272</v>
      </c>
      <c r="I4311" s="210"/>
    </row>
    <row r="4312" spans="1:9" x14ac:dyDescent="0.25">
      <c r="A4312" s="74"/>
      <c r="B4312" s="45">
        <v>1840</v>
      </c>
      <c r="C4312" s="64" t="s">
        <v>1965</v>
      </c>
      <c r="D4312" s="74"/>
      <c r="E4312" s="208" t="s">
        <v>137</v>
      </c>
      <c r="F4312" s="209" t="s">
        <v>21</v>
      </c>
      <c r="G4312" s="209" t="s">
        <v>21</v>
      </c>
      <c r="H4312" s="209" t="s">
        <v>192</v>
      </c>
      <c r="I4312" s="210"/>
    </row>
    <row r="4313" spans="1:9" x14ac:dyDescent="0.25">
      <c r="A4313" s="74"/>
      <c r="B4313" s="45">
        <v>1830</v>
      </c>
      <c r="C4313" s="64" t="s">
        <v>2069</v>
      </c>
      <c r="D4313" s="74"/>
      <c r="E4313" s="208" t="s">
        <v>137</v>
      </c>
      <c r="F4313" s="209" t="s">
        <v>21</v>
      </c>
      <c r="G4313" s="209" t="s">
        <v>21</v>
      </c>
      <c r="H4313" s="209" t="s">
        <v>272</v>
      </c>
      <c r="I4313" s="210"/>
    </row>
    <row r="4314" spans="1:9" x14ac:dyDescent="0.25">
      <c r="A4314" s="74"/>
      <c r="B4314" s="45">
        <v>1831</v>
      </c>
      <c r="C4314" s="64" t="s">
        <v>1626</v>
      </c>
      <c r="D4314" s="74"/>
      <c r="E4314" s="208" t="s">
        <v>137</v>
      </c>
      <c r="F4314" s="209" t="s">
        <v>21</v>
      </c>
      <c r="G4314" s="209" t="s">
        <v>21</v>
      </c>
      <c r="H4314" s="209" t="s">
        <v>272</v>
      </c>
      <c r="I4314" s="210"/>
    </row>
    <row r="4315" spans="1:9" x14ac:dyDescent="0.25">
      <c r="A4315" s="74"/>
      <c r="B4315" s="45">
        <v>1832</v>
      </c>
      <c r="C4315" s="64" t="s">
        <v>2070</v>
      </c>
      <c r="D4315" s="74"/>
      <c r="E4315" s="208" t="s">
        <v>137</v>
      </c>
      <c r="F4315" s="209" t="s">
        <v>21</v>
      </c>
      <c r="G4315" s="209" t="s">
        <v>21</v>
      </c>
      <c r="H4315" s="209" t="s">
        <v>272</v>
      </c>
      <c r="I4315" s="210"/>
    </row>
    <row r="4316" spans="1:9" x14ac:dyDescent="0.25">
      <c r="A4316" s="74"/>
      <c r="B4316" s="45">
        <v>1833</v>
      </c>
      <c r="C4316" s="64" t="s">
        <v>2071</v>
      </c>
      <c r="D4316" s="74"/>
      <c r="E4316" s="208" t="s">
        <v>137</v>
      </c>
      <c r="F4316" s="209" t="s">
        <v>21</v>
      </c>
      <c r="G4316" s="209" t="s">
        <v>21</v>
      </c>
      <c r="H4316" s="209" t="s">
        <v>272</v>
      </c>
      <c r="I4316" s="210"/>
    </row>
    <row r="4317" spans="1:9" x14ac:dyDescent="0.25">
      <c r="A4317" s="74"/>
      <c r="B4317" s="45">
        <v>1834</v>
      </c>
      <c r="C4317" s="64" t="s">
        <v>1851</v>
      </c>
      <c r="D4317" s="74"/>
      <c r="E4317" s="208" t="s">
        <v>137</v>
      </c>
      <c r="F4317" s="209" t="s">
        <v>21</v>
      </c>
      <c r="G4317" s="209" t="s">
        <v>21</v>
      </c>
      <c r="H4317" s="209" t="s">
        <v>272</v>
      </c>
      <c r="I4317" s="210"/>
    </row>
    <row r="4318" spans="1:9" x14ac:dyDescent="0.25">
      <c r="A4318" s="74"/>
      <c r="B4318" s="45">
        <v>1835</v>
      </c>
      <c r="C4318" s="64" t="s">
        <v>1973</v>
      </c>
      <c r="D4318" s="74"/>
      <c r="E4318" s="208" t="s">
        <v>137</v>
      </c>
      <c r="F4318" s="209" t="s">
        <v>21</v>
      </c>
      <c r="G4318" s="209" t="s">
        <v>21</v>
      </c>
      <c r="H4318" s="209" t="s">
        <v>272</v>
      </c>
      <c r="I4318" s="210"/>
    </row>
    <row r="4319" spans="1:9" x14ac:dyDescent="0.25">
      <c r="A4319" s="74"/>
      <c r="B4319" s="45">
        <v>1836</v>
      </c>
      <c r="C4319" s="64" t="s">
        <v>1855</v>
      </c>
      <c r="D4319" s="74"/>
      <c r="E4319" s="208" t="s">
        <v>137</v>
      </c>
      <c r="F4319" s="209" t="s">
        <v>21</v>
      </c>
      <c r="G4319" s="209" t="s">
        <v>21</v>
      </c>
      <c r="H4319" s="209" t="s">
        <v>272</v>
      </c>
      <c r="I4319" s="210"/>
    </row>
    <row r="4320" spans="1:9" x14ac:dyDescent="0.25">
      <c r="A4320" s="74"/>
      <c r="B4320" s="45">
        <v>1837</v>
      </c>
      <c r="C4320" s="64" t="s">
        <v>2060</v>
      </c>
      <c r="D4320" s="74"/>
      <c r="E4320" s="208" t="s">
        <v>137</v>
      </c>
      <c r="F4320" s="209" t="s">
        <v>21</v>
      </c>
      <c r="G4320" s="209" t="s">
        <v>21</v>
      </c>
      <c r="H4320" s="209" t="s">
        <v>272</v>
      </c>
      <c r="I4320" s="210"/>
    </row>
    <row r="4321" spans="1:9" x14ac:dyDescent="0.25">
      <c r="A4321" s="74"/>
      <c r="B4321" s="45">
        <v>1838</v>
      </c>
      <c r="C4321" s="64" t="s">
        <v>1981</v>
      </c>
      <c r="D4321" s="74"/>
      <c r="E4321" s="208" t="s">
        <v>137</v>
      </c>
      <c r="F4321" s="209" t="s">
        <v>21</v>
      </c>
      <c r="G4321" s="209" t="s">
        <v>21</v>
      </c>
      <c r="H4321" s="209" t="s">
        <v>272</v>
      </c>
      <c r="I4321" s="210"/>
    </row>
    <row r="4322" spans="1:9" x14ac:dyDescent="0.25">
      <c r="A4322" s="74"/>
      <c r="B4322" s="45">
        <v>1839</v>
      </c>
      <c r="C4322" s="64" t="s">
        <v>2072</v>
      </c>
      <c r="D4322" s="74"/>
      <c r="E4322" s="208" t="s">
        <v>137</v>
      </c>
      <c r="F4322" s="209" t="s">
        <v>21</v>
      </c>
      <c r="G4322" s="209" t="s">
        <v>21</v>
      </c>
      <c r="H4322" s="209" t="s">
        <v>272</v>
      </c>
      <c r="I4322" s="210"/>
    </row>
    <row r="4323" spans="1:9" x14ac:dyDescent="0.25">
      <c r="A4323" s="74"/>
      <c r="B4323" s="45">
        <v>1840</v>
      </c>
      <c r="C4323" s="64" t="s">
        <v>1965</v>
      </c>
      <c r="D4323" s="74"/>
      <c r="E4323" s="208" t="s">
        <v>137</v>
      </c>
      <c r="F4323" s="209" t="s">
        <v>21</v>
      </c>
      <c r="G4323" s="209" t="s">
        <v>21</v>
      </c>
      <c r="H4323" s="209" t="s">
        <v>192</v>
      </c>
      <c r="I4323" s="210"/>
    </row>
    <row r="4324" spans="1:9" x14ac:dyDescent="0.25">
      <c r="A4324" s="74"/>
      <c r="B4324" s="45">
        <v>1830</v>
      </c>
      <c r="C4324" s="64" t="s">
        <v>2069</v>
      </c>
      <c r="D4324" s="74"/>
      <c r="E4324" s="208" t="s">
        <v>137</v>
      </c>
      <c r="F4324" s="209" t="s">
        <v>21</v>
      </c>
      <c r="G4324" s="209" t="s">
        <v>21</v>
      </c>
      <c r="H4324" s="209" t="s">
        <v>272</v>
      </c>
      <c r="I4324" s="210"/>
    </row>
    <row r="4325" spans="1:9" x14ac:dyDescent="0.25">
      <c r="A4325" s="74"/>
      <c r="B4325" s="45">
        <v>1831</v>
      </c>
      <c r="C4325" s="64" t="s">
        <v>1626</v>
      </c>
      <c r="D4325" s="74"/>
      <c r="E4325" s="208" t="s">
        <v>137</v>
      </c>
      <c r="F4325" s="209" t="s">
        <v>21</v>
      </c>
      <c r="G4325" s="209" t="s">
        <v>21</v>
      </c>
      <c r="H4325" s="209" t="s">
        <v>272</v>
      </c>
      <c r="I4325" s="210"/>
    </row>
    <row r="4326" spans="1:9" x14ac:dyDescent="0.25">
      <c r="A4326" s="74"/>
      <c r="B4326" s="45">
        <v>1832</v>
      </c>
      <c r="C4326" s="64" t="s">
        <v>2070</v>
      </c>
      <c r="D4326" s="74"/>
      <c r="E4326" s="208" t="s">
        <v>137</v>
      </c>
      <c r="F4326" s="209" t="s">
        <v>21</v>
      </c>
      <c r="G4326" s="209" t="s">
        <v>21</v>
      </c>
      <c r="H4326" s="209" t="s">
        <v>272</v>
      </c>
      <c r="I4326" s="210"/>
    </row>
    <row r="4327" spans="1:9" x14ac:dyDescent="0.25">
      <c r="A4327" s="74"/>
      <c r="B4327" s="45">
        <v>1833</v>
      </c>
      <c r="C4327" s="64" t="s">
        <v>2071</v>
      </c>
      <c r="D4327" s="74"/>
      <c r="E4327" s="208" t="s">
        <v>137</v>
      </c>
      <c r="F4327" s="209" t="s">
        <v>21</v>
      </c>
      <c r="G4327" s="209" t="s">
        <v>21</v>
      </c>
      <c r="H4327" s="209" t="s">
        <v>272</v>
      </c>
      <c r="I4327" s="210"/>
    </row>
    <row r="4328" spans="1:9" x14ac:dyDescent="0.25">
      <c r="A4328" s="74"/>
      <c r="B4328" s="45">
        <v>1834</v>
      </c>
      <c r="C4328" s="64" t="s">
        <v>1851</v>
      </c>
      <c r="D4328" s="74"/>
      <c r="E4328" s="208" t="s">
        <v>137</v>
      </c>
      <c r="F4328" s="209" t="s">
        <v>21</v>
      </c>
      <c r="G4328" s="209" t="s">
        <v>21</v>
      </c>
      <c r="H4328" s="209" t="s">
        <v>272</v>
      </c>
      <c r="I4328" s="210"/>
    </row>
    <row r="4329" spans="1:9" x14ac:dyDescent="0.25">
      <c r="A4329" s="74"/>
      <c r="B4329" s="45">
        <v>1835</v>
      </c>
      <c r="C4329" s="64" t="s">
        <v>1973</v>
      </c>
      <c r="D4329" s="74"/>
      <c r="E4329" s="208" t="s">
        <v>137</v>
      </c>
      <c r="F4329" s="209" t="s">
        <v>21</v>
      </c>
      <c r="G4329" s="209" t="s">
        <v>21</v>
      </c>
      <c r="H4329" s="209" t="s">
        <v>272</v>
      </c>
      <c r="I4329" s="210"/>
    </row>
    <row r="4330" spans="1:9" x14ac:dyDescent="0.25">
      <c r="A4330" s="74"/>
      <c r="B4330" s="45">
        <v>1836</v>
      </c>
      <c r="C4330" s="64" t="s">
        <v>1855</v>
      </c>
      <c r="D4330" s="74"/>
      <c r="E4330" s="208" t="s">
        <v>137</v>
      </c>
      <c r="F4330" s="209" t="s">
        <v>21</v>
      </c>
      <c r="G4330" s="209" t="s">
        <v>21</v>
      </c>
      <c r="H4330" s="209" t="s">
        <v>272</v>
      </c>
      <c r="I4330" s="210"/>
    </row>
    <row r="4331" spans="1:9" x14ac:dyDescent="0.25">
      <c r="A4331" s="74"/>
      <c r="B4331" s="45">
        <v>1837</v>
      </c>
      <c r="C4331" s="64" t="s">
        <v>2060</v>
      </c>
      <c r="D4331" s="74"/>
      <c r="E4331" s="208" t="s">
        <v>137</v>
      </c>
      <c r="F4331" s="209" t="s">
        <v>21</v>
      </c>
      <c r="G4331" s="209" t="s">
        <v>21</v>
      </c>
      <c r="H4331" s="209" t="s">
        <v>272</v>
      </c>
      <c r="I4331" s="210"/>
    </row>
    <row r="4332" spans="1:9" x14ac:dyDescent="0.25">
      <c r="A4332" s="74"/>
      <c r="B4332" s="45">
        <v>1838</v>
      </c>
      <c r="C4332" s="64" t="s">
        <v>1981</v>
      </c>
      <c r="D4332" s="74"/>
      <c r="E4332" s="208" t="s">
        <v>137</v>
      </c>
      <c r="F4332" s="209" t="s">
        <v>21</v>
      </c>
      <c r="G4332" s="209" t="s">
        <v>21</v>
      </c>
      <c r="H4332" s="209" t="s">
        <v>272</v>
      </c>
      <c r="I4332" s="210"/>
    </row>
    <row r="4333" spans="1:9" x14ac:dyDescent="0.25">
      <c r="A4333" s="74"/>
      <c r="B4333" s="45">
        <v>1839</v>
      </c>
      <c r="C4333" s="64" t="s">
        <v>2072</v>
      </c>
      <c r="D4333" s="74"/>
      <c r="E4333" s="208" t="s">
        <v>137</v>
      </c>
      <c r="F4333" s="209" t="s">
        <v>21</v>
      </c>
      <c r="G4333" s="209" t="s">
        <v>21</v>
      </c>
      <c r="H4333" s="209" t="s">
        <v>272</v>
      </c>
      <c r="I4333" s="210"/>
    </row>
    <row r="4334" spans="1:9" x14ac:dyDescent="0.25">
      <c r="A4334" s="74"/>
      <c r="B4334" s="45">
        <v>1840</v>
      </c>
      <c r="C4334" s="64" t="s">
        <v>1965</v>
      </c>
      <c r="D4334" s="74"/>
      <c r="E4334" s="208" t="s">
        <v>137</v>
      </c>
      <c r="F4334" s="209" t="s">
        <v>21</v>
      </c>
      <c r="G4334" s="209" t="s">
        <v>21</v>
      </c>
      <c r="H4334" s="209" t="s">
        <v>192</v>
      </c>
      <c r="I4334" s="210"/>
    </row>
    <row r="4335" spans="1:9" x14ac:dyDescent="0.25">
      <c r="A4335" s="74"/>
      <c r="B4335" s="45">
        <v>1830</v>
      </c>
      <c r="C4335" s="64" t="s">
        <v>2069</v>
      </c>
      <c r="D4335" s="74"/>
      <c r="E4335" s="208" t="s">
        <v>137</v>
      </c>
      <c r="F4335" s="209" t="s">
        <v>21</v>
      </c>
      <c r="G4335" s="209" t="s">
        <v>21</v>
      </c>
      <c r="H4335" s="209" t="s">
        <v>272</v>
      </c>
      <c r="I4335" s="210"/>
    </row>
    <row r="4336" spans="1:9" x14ac:dyDescent="0.25">
      <c r="A4336" s="74"/>
      <c r="B4336" s="45">
        <v>1831</v>
      </c>
      <c r="C4336" s="64" t="s">
        <v>1626</v>
      </c>
      <c r="D4336" s="74"/>
      <c r="E4336" s="208" t="s">
        <v>137</v>
      </c>
      <c r="F4336" s="209" t="s">
        <v>21</v>
      </c>
      <c r="G4336" s="209" t="s">
        <v>21</v>
      </c>
      <c r="H4336" s="209" t="s">
        <v>272</v>
      </c>
      <c r="I4336" s="210"/>
    </row>
    <row r="4337" spans="1:9" x14ac:dyDescent="0.25">
      <c r="A4337" s="74"/>
      <c r="B4337" s="45">
        <v>1832</v>
      </c>
      <c r="C4337" s="64" t="s">
        <v>2070</v>
      </c>
      <c r="D4337" s="74"/>
      <c r="E4337" s="208" t="s">
        <v>137</v>
      </c>
      <c r="F4337" s="209" t="s">
        <v>21</v>
      </c>
      <c r="G4337" s="209" t="s">
        <v>21</v>
      </c>
      <c r="H4337" s="209" t="s">
        <v>272</v>
      </c>
      <c r="I4337" s="210"/>
    </row>
    <row r="4338" spans="1:9" x14ac:dyDescent="0.25">
      <c r="A4338" s="74"/>
      <c r="B4338" s="45">
        <v>1833</v>
      </c>
      <c r="C4338" s="64" t="s">
        <v>2071</v>
      </c>
      <c r="D4338" s="74"/>
      <c r="E4338" s="208" t="s">
        <v>137</v>
      </c>
      <c r="F4338" s="209" t="s">
        <v>21</v>
      </c>
      <c r="G4338" s="209" t="s">
        <v>21</v>
      </c>
      <c r="H4338" s="209" t="s">
        <v>272</v>
      </c>
      <c r="I4338" s="210"/>
    </row>
    <row r="4339" spans="1:9" x14ac:dyDescent="0.25">
      <c r="A4339" s="74"/>
      <c r="B4339" s="45">
        <v>1834</v>
      </c>
      <c r="C4339" s="64" t="s">
        <v>1851</v>
      </c>
      <c r="D4339" s="74"/>
      <c r="E4339" s="208" t="s">
        <v>137</v>
      </c>
      <c r="F4339" s="209" t="s">
        <v>21</v>
      </c>
      <c r="G4339" s="209" t="s">
        <v>21</v>
      </c>
      <c r="H4339" s="209" t="s">
        <v>272</v>
      </c>
      <c r="I4339" s="210"/>
    </row>
    <row r="4340" spans="1:9" x14ac:dyDescent="0.25">
      <c r="A4340" s="74"/>
      <c r="B4340" s="45">
        <v>1835</v>
      </c>
      <c r="C4340" s="64" t="s">
        <v>1973</v>
      </c>
      <c r="D4340" s="74"/>
      <c r="E4340" s="208" t="s">
        <v>137</v>
      </c>
      <c r="F4340" s="209" t="s">
        <v>21</v>
      </c>
      <c r="G4340" s="209" t="s">
        <v>21</v>
      </c>
      <c r="H4340" s="209" t="s">
        <v>272</v>
      </c>
      <c r="I4340" s="210"/>
    </row>
    <row r="4341" spans="1:9" x14ac:dyDescent="0.25">
      <c r="A4341" s="74"/>
      <c r="B4341" s="45">
        <v>1836</v>
      </c>
      <c r="C4341" s="64" t="s">
        <v>1855</v>
      </c>
      <c r="D4341" s="74"/>
      <c r="E4341" s="208" t="s">
        <v>137</v>
      </c>
      <c r="F4341" s="209" t="s">
        <v>21</v>
      </c>
      <c r="G4341" s="209" t="s">
        <v>21</v>
      </c>
      <c r="H4341" s="209" t="s">
        <v>272</v>
      </c>
      <c r="I4341" s="210"/>
    </row>
    <row r="4342" spans="1:9" x14ac:dyDescent="0.25">
      <c r="A4342" s="74"/>
      <c r="B4342" s="45">
        <v>1837</v>
      </c>
      <c r="C4342" s="64" t="s">
        <v>2060</v>
      </c>
      <c r="D4342" s="74"/>
      <c r="E4342" s="208" t="s">
        <v>137</v>
      </c>
      <c r="F4342" s="209" t="s">
        <v>21</v>
      </c>
      <c r="G4342" s="209" t="s">
        <v>21</v>
      </c>
      <c r="H4342" s="209" t="s">
        <v>272</v>
      </c>
      <c r="I4342" s="210"/>
    </row>
    <row r="4343" spans="1:9" x14ac:dyDescent="0.25">
      <c r="A4343" s="74"/>
      <c r="B4343" s="45">
        <v>1838</v>
      </c>
      <c r="C4343" s="64" t="s">
        <v>1981</v>
      </c>
      <c r="D4343" s="74"/>
      <c r="E4343" s="208" t="s">
        <v>137</v>
      </c>
      <c r="F4343" s="209" t="s">
        <v>21</v>
      </c>
      <c r="G4343" s="209" t="s">
        <v>21</v>
      </c>
      <c r="H4343" s="209" t="s">
        <v>272</v>
      </c>
      <c r="I4343" s="210"/>
    </row>
    <row r="4344" spans="1:9" x14ac:dyDescent="0.25">
      <c r="A4344" s="74"/>
      <c r="B4344" s="45">
        <v>1839</v>
      </c>
      <c r="C4344" s="64" t="s">
        <v>2072</v>
      </c>
      <c r="D4344" s="74"/>
      <c r="E4344" s="208" t="s">
        <v>137</v>
      </c>
      <c r="F4344" s="209" t="s">
        <v>21</v>
      </c>
      <c r="G4344" s="209" t="s">
        <v>21</v>
      </c>
      <c r="H4344" s="209" t="s">
        <v>272</v>
      </c>
      <c r="I4344" s="210"/>
    </row>
    <row r="4345" spans="1:9" x14ac:dyDescent="0.25">
      <c r="A4345" s="74"/>
      <c r="B4345" s="45">
        <v>1840</v>
      </c>
      <c r="C4345" s="64" t="s">
        <v>1965</v>
      </c>
      <c r="D4345" s="74"/>
      <c r="E4345" s="208" t="s">
        <v>137</v>
      </c>
      <c r="F4345" s="209" t="s">
        <v>21</v>
      </c>
      <c r="G4345" s="209" t="s">
        <v>21</v>
      </c>
      <c r="H4345" s="209" t="s">
        <v>192</v>
      </c>
      <c r="I4345" s="210"/>
    </row>
    <row r="4346" spans="1:9" x14ac:dyDescent="0.25">
      <c r="A4346" s="74"/>
      <c r="B4346" s="45">
        <v>759</v>
      </c>
      <c r="C4346" s="64" t="s">
        <v>1168</v>
      </c>
      <c r="D4346" s="74"/>
      <c r="E4346" s="208" t="s">
        <v>137</v>
      </c>
      <c r="F4346" s="209" t="s">
        <v>21</v>
      </c>
      <c r="G4346" s="209" t="s">
        <v>21</v>
      </c>
      <c r="H4346" s="209" t="s">
        <v>192</v>
      </c>
      <c r="I4346" s="210"/>
    </row>
    <row r="4347" spans="1:9" x14ac:dyDescent="0.25">
      <c r="A4347" s="74"/>
      <c r="B4347" s="45">
        <v>1841</v>
      </c>
      <c r="C4347" s="64" t="s">
        <v>1908</v>
      </c>
      <c r="D4347" s="74"/>
      <c r="E4347" s="208" t="s">
        <v>137</v>
      </c>
      <c r="F4347" s="209" t="s">
        <v>21</v>
      </c>
      <c r="G4347" s="209" t="s">
        <v>21</v>
      </c>
      <c r="H4347" s="209" t="s">
        <v>272</v>
      </c>
      <c r="I4347" s="210"/>
    </row>
    <row r="4348" spans="1:9" x14ac:dyDescent="0.25">
      <c r="A4348" s="74"/>
      <c r="B4348" s="45">
        <v>1842</v>
      </c>
      <c r="C4348" s="64" t="s">
        <v>2073</v>
      </c>
      <c r="D4348" s="74"/>
      <c r="E4348" s="208" t="s">
        <v>137</v>
      </c>
      <c r="F4348" s="209" t="s">
        <v>21</v>
      </c>
      <c r="G4348" s="209" t="s">
        <v>21</v>
      </c>
      <c r="H4348" s="209" t="s">
        <v>272</v>
      </c>
      <c r="I4348" s="210"/>
    </row>
    <row r="4349" spans="1:9" x14ac:dyDescent="0.25">
      <c r="A4349" s="74"/>
      <c r="B4349" s="45">
        <v>1843</v>
      </c>
      <c r="C4349" s="64" t="s">
        <v>1582</v>
      </c>
      <c r="D4349" s="74"/>
      <c r="E4349" s="208" t="s">
        <v>137</v>
      </c>
      <c r="F4349" s="209" t="s">
        <v>21</v>
      </c>
      <c r="G4349" s="209" t="s">
        <v>21</v>
      </c>
      <c r="H4349" s="209" t="s">
        <v>272</v>
      </c>
      <c r="I4349" s="210"/>
    </row>
    <row r="4350" spans="1:9" x14ac:dyDescent="0.25">
      <c r="A4350" s="74"/>
      <c r="B4350" s="45">
        <v>1844</v>
      </c>
      <c r="C4350" s="64" t="s">
        <v>1994</v>
      </c>
      <c r="D4350" s="74"/>
      <c r="E4350" s="208" t="s">
        <v>137</v>
      </c>
      <c r="F4350" s="209" t="s">
        <v>21</v>
      </c>
      <c r="G4350" s="209" t="s">
        <v>21</v>
      </c>
      <c r="H4350" s="209" t="s">
        <v>272</v>
      </c>
      <c r="I4350" s="210"/>
    </row>
    <row r="4351" spans="1:9" x14ac:dyDescent="0.25">
      <c r="A4351" s="74"/>
      <c r="B4351" s="45">
        <v>814</v>
      </c>
      <c r="C4351" s="64" t="s">
        <v>1223</v>
      </c>
      <c r="D4351" s="74"/>
      <c r="E4351" s="208" t="s">
        <v>137</v>
      </c>
      <c r="F4351" s="209" t="s">
        <v>21</v>
      </c>
      <c r="G4351" s="209" t="s">
        <v>21</v>
      </c>
      <c r="H4351" s="209" t="s">
        <v>272</v>
      </c>
      <c r="I4351" s="210"/>
    </row>
    <row r="4352" spans="1:9" x14ac:dyDescent="0.25">
      <c r="A4352" s="74"/>
      <c r="B4352" s="45">
        <v>1841</v>
      </c>
      <c r="C4352" s="64" t="s">
        <v>1908</v>
      </c>
      <c r="D4352" s="74"/>
      <c r="E4352" s="208" t="s">
        <v>137</v>
      </c>
      <c r="F4352" s="209" t="s">
        <v>21</v>
      </c>
      <c r="G4352" s="209" t="s">
        <v>21</v>
      </c>
      <c r="H4352" s="209" t="s">
        <v>272</v>
      </c>
      <c r="I4352" s="210"/>
    </row>
    <row r="4353" spans="1:9" x14ac:dyDescent="0.25">
      <c r="A4353" s="74"/>
      <c r="B4353" s="45">
        <v>1842</v>
      </c>
      <c r="C4353" s="64" t="s">
        <v>2073</v>
      </c>
      <c r="D4353" s="74"/>
      <c r="E4353" s="208" t="s">
        <v>137</v>
      </c>
      <c r="F4353" s="209" t="s">
        <v>21</v>
      </c>
      <c r="G4353" s="209" t="s">
        <v>21</v>
      </c>
      <c r="H4353" s="209" t="s">
        <v>272</v>
      </c>
      <c r="I4353" s="210"/>
    </row>
    <row r="4354" spans="1:9" x14ac:dyDescent="0.25">
      <c r="A4354" s="74"/>
      <c r="B4354" s="45">
        <v>1843</v>
      </c>
      <c r="C4354" s="64" t="s">
        <v>1582</v>
      </c>
      <c r="D4354" s="74"/>
      <c r="E4354" s="208" t="s">
        <v>137</v>
      </c>
      <c r="F4354" s="209" t="s">
        <v>21</v>
      </c>
      <c r="G4354" s="209" t="s">
        <v>21</v>
      </c>
      <c r="H4354" s="209" t="s">
        <v>272</v>
      </c>
      <c r="I4354" s="210"/>
    </row>
    <row r="4355" spans="1:9" x14ac:dyDescent="0.25">
      <c r="A4355" s="74"/>
      <c r="B4355" s="45">
        <v>1844</v>
      </c>
      <c r="C4355" s="64" t="s">
        <v>1994</v>
      </c>
      <c r="D4355" s="74"/>
      <c r="E4355" s="208" t="s">
        <v>137</v>
      </c>
      <c r="F4355" s="209" t="s">
        <v>21</v>
      </c>
      <c r="G4355" s="209" t="s">
        <v>21</v>
      </c>
      <c r="H4355" s="209" t="s">
        <v>272</v>
      </c>
      <c r="I4355" s="210"/>
    </row>
    <row r="4356" spans="1:9" x14ac:dyDescent="0.25">
      <c r="A4356" s="74"/>
      <c r="B4356" s="45">
        <v>759</v>
      </c>
      <c r="C4356" s="64" t="s">
        <v>1168</v>
      </c>
      <c r="D4356" s="74"/>
      <c r="E4356" s="208" t="s">
        <v>137</v>
      </c>
      <c r="F4356" s="209" t="s">
        <v>21</v>
      </c>
      <c r="G4356" s="209" t="s">
        <v>21</v>
      </c>
      <c r="H4356" s="209" t="s">
        <v>192</v>
      </c>
      <c r="I4356" s="210"/>
    </row>
    <row r="4357" spans="1:9" x14ac:dyDescent="0.25">
      <c r="A4357" s="74"/>
      <c r="B4357" s="45">
        <v>814</v>
      </c>
      <c r="C4357" s="64" t="s">
        <v>1223</v>
      </c>
      <c r="D4357" s="74"/>
      <c r="E4357" s="208" t="s">
        <v>137</v>
      </c>
      <c r="F4357" s="209" t="s">
        <v>21</v>
      </c>
      <c r="G4357" s="209" t="s">
        <v>21</v>
      </c>
      <c r="H4357" s="209" t="s">
        <v>272</v>
      </c>
      <c r="I4357" s="210"/>
    </row>
    <row r="4358" spans="1:9" x14ac:dyDescent="0.25">
      <c r="A4358" s="74"/>
      <c r="B4358" s="45">
        <v>1841</v>
      </c>
      <c r="C4358" s="64" t="s">
        <v>1908</v>
      </c>
      <c r="D4358" s="74"/>
      <c r="E4358" s="208" t="s">
        <v>137</v>
      </c>
      <c r="F4358" s="209" t="s">
        <v>21</v>
      </c>
      <c r="G4358" s="209" t="s">
        <v>21</v>
      </c>
      <c r="H4358" s="209" t="s">
        <v>272</v>
      </c>
      <c r="I4358" s="210"/>
    </row>
    <row r="4359" spans="1:9" x14ac:dyDescent="0.25">
      <c r="A4359" s="74"/>
      <c r="B4359" s="45">
        <v>1842</v>
      </c>
      <c r="C4359" s="64" t="s">
        <v>2073</v>
      </c>
      <c r="D4359" s="74"/>
      <c r="E4359" s="208" t="s">
        <v>137</v>
      </c>
      <c r="F4359" s="209" t="s">
        <v>21</v>
      </c>
      <c r="G4359" s="209" t="s">
        <v>21</v>
      </c>
      <c r="H4359" s="209" t="s">
        <v>272</v>
      </c>
      <c r="I4359" s="210"/>
    </row>
    <row r="4360" spans="1:9" x14ac:dyDescent="0.25">
      <c r="A4360" s="74"/>
      <c r="B4360" s="45">
        <v>1843</v>
      </c>
      <c r="C4360" s="64" t="s">
        <v>1582</v>
      </c>
      <c r="D4360" s="74"/>
      <c r="E4360" s="208" t="s">
        <v>137</v>
      </c>
      <c r="F4360" s="209" t="s">
        <v>21</v>
      </c>
      <c r="G4360" s="209" t="s">
        <v>21</v>
      </c>
      <c r="H4360" s="209" t="s">
        <v>272</v>
      </c>
      <c r="I4360" s="210"/>
    </row>
    <row r="4361" spans="1:9" x14ac:dyDescent="0.25">
      <c r="A4361" s="74"/>
      <c r="B4361" s="45">
        <v>1844</v>
      </c>
      <c r="C4361" s="64" t="s">
        <v>1994</v>
      </c>
      <c r="D4361" s="74"/>
      <c r="E4361" s="208" t="s">
        <v>137</v>
      </c>
      <c r="F4361" s="209" t="s">
        <v>21</v>
      </c>
      <c r="G4361" s="209" t="s">
        <v>21</v>
      </c>
      <c r="H4361" s="209" t="s">
        <v>272</v>
      </c>
      <c r="I4361" s="210"/>
    </row>
    <row r="4362" spans="1:9" x14ac:dyDescent="0.25">
      <c r="A4362" s="74"/>
      <c r="B4362" s="45">
        <v>759</v>
      </c>
      <c r="C4362" s="64" t="s">
        <v>1168</v>
      </c>
      <c r="D4362" s="74"/>
      <c r="E4362" s="208" t="s">
        <v>137</v>
      </c>
      <c r="F4362" s="209" t="s">
        <v>21</v>
      </c>
      <c r="G4362" s="209" t="s">
        <v>21</v>
      </c>
      <c r="H4362" s="209" t="s">
        <v>192</v>
      </c>
      <c r="I4362" s="210"/>
    </row>
    <row r="4363" spans="1:9" x14ac:dyDescent="0.25">
      <c r="A4363" s="74"/>
      <c r="B4363" s="45">
        <v>814</v>
      </c>
      <c r="C4363" s="64" t="s">
        <v>1223</v>
      </c>
      <c r="D4363" s="74"/>
      <c r="E4363" s="208" t="s">
        <v>137</v>
      </c>
      <c r="F4363" s="209" t="s">
        <v>21</v>
      </c>
      <c r="G4363" s="209" t="s">
        <v>21</v>
      </c>
      <c r="H4363" s="209" t="s">
        <v>272</v>
      </c>
      <c r="I4363" s="210"/>
    </row>
    <row r="4364" spans="1:9" x14ac:dyDescent="0.25">
      <c r="A4364" s="74"/>
      <c r="B4364" s="45">
        <v>1841</v>
      </c>
      <c r="C4364" s="64" t="s">
        <v>1908</v>
      </c>
      <c r="D4364" s="74"/>
      <c r="E4364" s="208" t="s">
        <v>137</v>
      </c>
      <c r="F4364" s="209" t="s">
        <v>21</v>
      </c>
      <c r="G4364" s="209" t="s">
        <v>21</v>
      </c>
      <c r="H4364" s="209" t="s">
        <v>272</v>
      </c>
      <c r="I4364" s="210"/>
    </row>
    <row r="4365" spans="1:9" x14ac:dyDescent="0.25">
      <c r="A4365" s="74"/>
      <c r="B4365" s="45">
        <v>1842</v>
      </c>
      <c r="C4365" s="64" t="s">
        <v>2073</v>
      </c>
      <c r="D4365" s="74"/>
      <c r="E4365" s="208" t="s">
        <v>137</v>
      </c>
      <c r="F4365" s="209" t="s">
        <v>21</v>
      </c>
      <c r="G4365" s="209" t="s">
        <v>21</v>
      </c>
      <c r="H4365" s="209" t="s">
        <v>272</v>
      </c>
      <c r="I4365" s="210"/>
    </row>
    <row r="4366" spans="1:9" x14ac:dyDescent="0.25">
      <c r="A4366" s="74"/>
      <c r="B4366" s="45">
        <v>1843</v>
      </c>
      <c r="C4366" s="64" t="s">
        <v>1582</v>
      </c>
      <c r="D4366" s="74"/>
      <c r="E4366" s="208" t="s">
        <v>137</v>
      </c>
      <c r="F4366" s="209" t="s">
        <v>21</v>
      </c>
      <c r="G4366" s="209" t="s">
        <v>21</v>
      </c>
      <c r="H4366" s="209" t="s">
        <v>272</v>
      </c>
      <c r="I4366" s="210"/>
    </row>
    <row r="4367" spans="1:9" x14ac:dyDescent="0.25">
      <c r="A4367" s="74"/>
      <c r="B4367" s="45">
        <v>1844</v>
      </c>
      <c r="C4367" s="64" t="s">
        <v>1994</v>
      </c>
      <c r="D4367" s="74"/>
      <c r="E4367" s="208" t="s">
        <v>137</v>
      </c>
      <c r="F4367" s="209" t="s">
        <v>21</v>
      </c>
      <c r="G4367" s="209" t="s">
        <v>21</v>
      </c>
      <c r="H4367" s="209" t="s">
        <v>272</v>
      </c>
      <c r="I4367" s="210"/>
    </row>
    <row r="4368" spans="1:9" x14ac:dyDescent="0.25">
      <c r="A4368" s="74"/>
      <c r="B4368" s="45">
        <v>759</v>
      </c>
      <c r="C4368" s="64" t="s">
        <v>1168</v>
      </c>
      <c r="D4368" s="74"/>
      <c r="E4368" s="208" t="s">
        <v>137</v>
      </c>
      <c r="F4368" s="209" t="s">
        <v>21</v>
      </c>
      <c r="G4368" s="209" t="s">
        <v>21</v>
      </c>
      <c r="H4368" s="209" t="s">
        <v>192</v>
      </c>
      <c r="I4368" s="210"/>
    </row>
    <row r="4369" spans="1:9" x14ac:dyDescent="0.25">
      <c r="A4369" s="74"/>
      <c r="B4369" s="45">
        <v>814</v>
      </c>
      <c r="C4369" s="64" t="s">
        <v>1223</v>
      </c>
      <c r="D4369" s="74"/>
      <c r="E4369" s="208" t="s">
        <v>137</v>
      </c>
      <c r="F4369" s="209" t="s">
        <v>21</v>
      </c>
      <c r="G4369" s="209" t="s">
        <v>21</v>
      </c>
      <c r="H4369" s="209" t="s">
        <v>272</v>
      </c>
      <c r="I4369" s="210"/>
    </row>
    <row r="4370" spans="1:9" x14ac:dyDescent="0.25">
      <c r="A4370" s="74"/>
      <c r="B4370" s="45">
        <v>762</v>
      </c>
      <c r="C4370" s="64" t="s">
        <v>1171</v>
      </c>
      <c r="D4370" s="74"/>
      <c r="E4370" s="208" t="s">
        <v>137</v>
      </c>
      <c r="F4370" s="209" t="s">
        <v>21</v>
      </c>
      <c r="G4370" s="209" t="s">
        <v>21</v>
      </c>
      <c r="H4370" s="209" t="s">
        <v>192</v>
      </c>
      <c r="I4370" s="210"/>
    </row>
    <row r="4371" spans="1:9" x14ac:dyDescent="0.25">
      <c r="A4371" s="74"/>
      <c r="B4371" s="45">
        <v>1845</v>
      </c>
      <c r="C4371" s="64" t="s">
        <v>2027</v>
      </c>
      <c r="D4371" s="74"/>
      <c r="E4371" s="208" t="s">
        <v>137</v>
      </c>
      <c r="F4371" s="209" t="s">
        <v>21</v>
      </c>
      <c r="G4371" s="209" t="s">
        <v>21</v>
      </c>
      <c r="H4371" s="209" t="s">
        <v>272</v>
      </c>
      <c r="I4371" s="210"/>
    </row>
    <row r="4372" spans="1:9" x14ac:dyDescent="0.25">
      <c r="A4372" s="74"/>
      <c r="B4372" s="45">
        <v>1846</v>
      </c>
      <c r="C4372" s="64" t="s">
        <v>2049</v>
      </c>
      <c r="D4372" s="74"/>
      <c r="E4372" s="208" t="s">
        <v>137</v>
      </c>
      <c r="F4372" s="209" t="s">
        <v>21</v>
      </c>
      <c r="G4372" s="209" t="s">
        <v>21</v>
      </c>
      <c r="H4372" s="209" t="s">
        <v>272</v>
      </c>
      <c r="I4372" s="210"/>
    </row>
    <row r="4373" spans="1:9" x14ac:dyDescent="0.25">
      <c r="A4373" s="74"/>
      <c r="B4373" s="45">
        <v>1847</v>
      </c>
      <c r="C4373" s="64" t="s">
        <v>1883</v>
      </c>
      <c r="D4373" s="74"/>
      <c r="E4373" s="208" t="s">
        <v>137</v>
      </c>
      <c r="F4373" s="209" t="s">
        <v>21</v>
      </c>
      <c r="G4373" s="209" t="s">
        <v>21</v>
      </c>
      <c r="H4373" s="209" t="s">
        <v>272</v>
      </c>
      <c r="I4373" s="210"/>
    </row>
    <row r="4374" spans="1:9" x14ac:dyDescent="0.25">
      <c r="A4374" s="74"/>
      <c r="B4374" s="45">
        <v>760</v>
      </c>
      <c r="C4374" s="64" t="s">
        <v>1169</v>
      </c>
      <c r="D4374" s="74"/>
      <c r="E4374" s="208" t="s">
        <v>137</v>
      </c>
      <c r="F4374" s="209" t="s">
        <v>21</v>
      </c>
      <c r="G4374" s="209" t="s">
        <v>21</v>
      </c>
      <c r="H4374" s="209" t="s">
        <v>192</v>
      </c>
      <c r="I4374" s="210"/>
    </row>
    <row r="4375" spans="1:9" x14ac:dyDescent="0.25">
      <c r="A4375" s="74"/>
      <c r="B4375" s="45">
        <v>1848</v>
      </c>
      <c r="C4375" s="64" t="s">
        <v>1839</v>
      </c>
      <c r="D4375" s="74"/>
      <c r="E4375" s="208" t="s">
        <v>137</v>
      </c>
      <c r="F4375" s="209" t="s">
        <v>21</v>
      </c>
      <c r="G4375" s="209" t="s">
        <v>21</v>
      </c>
      <c r="H4375" s="209" t="s">
        <v>192</v>
      </c>
      <c r="I4375" s="210"/>
    </row>
    <row r="4376" spans="1:9" x14ac:dyDescent="0.25">
      <c r="A4376" s="74"/>
      <c r="B4376" s="45">
        <v>1849</v>
      </c>
      <c r="C4376" s="64" t="s">
        <v>2041</v>
      </c>
      <c r="D4376" s="74"/>
      <c r="E4376" s="208" t="s">
        <v>137</v>
      </c>
      <c r="F4376" s="209" t="s">
        <v>21</v>
      </c>
      <c r="G4376" s="209" t="s">
        <v>21</v>
      </c>
      <c r="H4376" s="209" t="s">
        <v>272</v>
      </c>
      <c r="I4376" s="210"/>
    </row>
    <row r="4377" spans="1:9" x14ac:dyDescent="0.25">
      <c r="A4377" s="74"/>
      <c r="B4377" s="45">
        <v>1850</v>
      </c>
      <c r="C4377" s="64" t="s">
        <v>2059</v>
      </c>
      <c r="D4377" s="74"/>
      <c r="E4377" s="208" t="s">
        <v>137</v>
      </c>
      <c r="F4377" s="209" t="s">
        <v>21</v>
      </c>
      <c r="G4377" s="209" t="s">
        <v>21</v>
      </c>
      <c r="H4377" s="209" t="s">
        <v>272</v>
      </c>
      <c r="I4377" s="210"/>
    </row>
    <row r="4378" spans="1:9" x14ac:dyDescent="0.25">
      <c r="A4378" s="74"/>
      <c r="B4378" s="45">
        <v>1851</v>
      </c>
      <c r="C4378" s="64" t="s">
        <v>2025</v>
      </c>
      <c r="D4378" s="74"/>
      <c r="E4378" s="208" t="s">
        <v>137</v>
      </c>
      <c r="F4378" s="209" t="s">
        <v>21</v>
      </c>
      <c r="G4378" s="209" t="s">
        <v>21</v>
      </c>
      <c r="H4378" s="209" t="s">
        <v>272</v>
      </c>
      <c r="I4378" s="210"/>
    </row>
    <row r="4379" spans="1:9" x14ac:dyDescent="0.25">
      <c r="A4379" s="74"/>
      <c r="B4379" s="45">
        <v>1852</v>
      </c>
      <c r="C4379" s="64" t="s">
        <v>2074</v>
      </c>
      <c r="D4379" s="74"/>
      <c r="E4379" s="208" t="s">
        <v>137</v>
      </c>
      <c r="F4379" s="209" t="s">
        <v>21</v>
      </c>
      <c r="G4379" s="209" t="s">
        <v>21</v>
      </c>
      <c r="H4379" s="209" t="s">
        <v>272</v>
      </c>
      <c r="I4379" s="210"/>
    </row>
    <row r="4380" spans="1:9" x14ac:dyDescent="0.25">
      <c r="A4380" s="74"/>
      <c r="B4380" s="45">
        <v>1853</v>
      </c>
      <c r="C4380" s="64" t="s">
        <v>1582</v>
      </c>
      <c r="D4380" s="74"/>
      <c r="E4380" s="208" t="s">
        <v>137</v>
      </c>
      <c r="F4380" s="209" t="s">
        <v>21</v>
      </c>
      <c r="G4380" s="209" t="s">
        <v>21</v>
      </c>
      <c r="H4380" s="209" t="s">
        <v>272</v>
      </c>
      <c r="I4380" s="210"/>
    </row>
    <row r="4381" spans="1:9" x14ac:dyDescent="0.25">
      <c r="A4381" s="74"/>
      <c r="B4381" s="45">
        <v>1854</v>
      </c>
      <c r="C4381" s="64" t="s">
        <v>2059</v>
      </c>
      <c r="D4381" s="74"/>
      <c r="E4381" s="208" t="s">
        <v>137</v>
      </c>
      <c r="F4381" s="209" t="s">
        <v>21</v>
      </c>
      <c r="G4381" s="209" t="s">
        <v>21</v>
      </c>
      <c r="H4381" s="209" t="s">
        <v>272</v>
      </c>
      <c r="I4381" s="210"/>
    </row>
    <row r="4382" spans="1:9" x14ac:dyDescent="0.25">
      <c r="A4382" s="74"/>
      <c r="B4382" s="45">
        <v>760</v>
      </c>
      <c r="C4382" s="64" t="s">
        <v>1169</v>
      </c>
      <c r="D4382" s="74"/>
      <c r="E4382" s="208" t="s">
        <v>137</v>
      </c>
      <c r="F4382" s="209" t="s">
        <v>21</v>
      </c>
      <c r="G4382" s="209" t="s">
        <v>21</v>
      </c>
      <c r="H4382" s="209" t="s">
        <v>192</v>
      </c>
      <c r="I4382" s="210"/>
    </row>
    <row r="4383" spans="1:9" x14ac:dyDescent="0.25">
      <c r="A4383" s="74"/>
      <c r="B4383" s="45">
        <v>762</v>
      </c>
      <c r="C4383" s="64" t="s">
        <v>1171</v>
      </c>
      <c r="D4383" s="74"/>
      <c r="E4383" s="208" t="s">
        <v>137</v>
      </c>
      <c r="F4383" s="209" t="s">
        <v>21</v>
      </c>
      <c r="G4383" s="209" t="s">
        <v>21</v>
      </c>
      <c r="H4383" s="209" t="s">
        <v>192</v>
      </c>
      <c r="I4383" s="210"/>
    </row>
    <row r="4384" spans="1:9" x14ac:dyDescent="0.25">
      <c r="A4384" s="74"/>
      <c r="B4384" s="45">
        <v>1847</v>
      </c>
      <c r="C4384" s="64" t="s">
        <v>1883</v>
      </c>
      <c r="D4384" s="74"/>
      <c r="E4384" s="208" t="s">
        <v>137</v>
      </c>
      <c r="F4384" s="209" t="s">
        <v>21</v>
      </c>
      <c r="G4384" s="209" t="s">
        <v>21</v>
      </c>
      <c r="H4384" s="209" t="s">
        <v>272</v>
      </c>
      <c r="I4384" s="210"/>
    </row>
    <row r="4385" spans="1:9" x14ac:dyDescent="0.25">
      <c r="A4385" s="74"/>
      <c r="B4385" s="45">
        <v>1845</v>
      </c>
      <c r="C4385" s="64" t="s">
        <v>2027</v>
      </c>
      <c r="D4385" s="74"/>
      <c r="E4385" s="208" t="s">
        <v>137</v>
      </c>
      <c r="F4385" s="209" t="s">
        <v>21</v>
      </c>
      <c r="G4385" s="209" t="s">
        <v>21</v>
      </c>
      <c r="H4385" s="209" t="s">
        <v>272</v>
      </c>
      <c r="I4385" s="210"/>
    </row>
    <row r="4386" spans="1:9" x14ac:dyDescent="0.25">
      <c r="A4386" s="74"/>
      <c r="B4386" s="45">
        <v>1848</v>
      </c>
      <c r="C4386" s="64" t="s">
        <v>1839</v>
      </c>
      <c r="D4386" s="74"/>
      <c r="E4386" s="208" t="s">
        <v>137</v>
      </c>
      <c r="F4386" s="209" t="s">
        <v>21</v>
      </c>
      <c r="G4386" s="209" t="s">
        <v>21</v>
      </c>
      <c r="H4386" s="209" t="s">
        <v>192</v>
      </c>
      <c r="I4386" s="210"/>
    </row>
    <row r="4387" spans="1:9" x14ac:dyDescent="0.25">
      <c r="A4387" s="74"/>
      <c r="B4387" s="45">
        <v>1846</v>
      </c>
      <c r="C4387" s="64" t="s">
        <v>2049</v>
      </c>
      <c r="D4387" s="74"/>
      <c r="E4387" s="208" t="s">
        <v>137</v>
      </c>
      <c r="F4387" s="209" t="s">
        <v>21</v>
      </c>
      <c r="G4387" s="209" t="s">
        <v>21</v>
      </c>
      <c r="H4387" s="209" t="s">
        <v>192</v>
      </c>
      <c r="I4387" s="210"/>
    </row>
    <row r="4388" spans="1:9" x14ac:dyDescent="0.25">
      <c r="A4388" s="74"/>
      <c r="B4388" s="45">
        <v>1849</v>
      </c>
      <c r="C4388" s="64" t="s">
        <v>2041</v>
      </c>
      <c r="D4388" s="74"/>
      <c r="E4388" s="208" t="s">
        <v>137</v>
      </c>
      <c r="F4388" s="209" t="s">
        <v>21</v>
      </c>
      <c r="G4388" s="209" t="s">
        <v>21</v>
      </c>
      <c r="H4388" s="209" t="s">
        <v>272</v>
      </c>
      <c r="I4388" s="210"/>
    </row>
    <row r="4389" spans="1:9" x14ac:dyDescent="0.25">
      <c r="A4389" s="74"/>
      <c r="B4389" s="45">
        <v>1850</v>
      </c>
      <c r="C4389" s="64" t="s">
        <v>2059</v>
      </c>
      <c r="D4389" s="74"/>
      <c r="E4389" s="208" t="s">
        <v>137</v>
      </c>
      <c r="F4389" s="209" t="s">
        <v>21</v>
      </c>
      <c r="G4389" s="209" t="s">
        <v>21</v>
      </c>
      <c r="H4389" s="209" t="s">
        <v>272</v>
      </c>
      <c r="I4389" s="210"/>
    </row>
    <row r="4390" spans="1:9" x14ac:dyDescent="0.25">
      <c r="A4390" s="74"/>
      <c r="B4390" s="45">
        <v>1851</v>
      </c>
      <c r="C4390" s="64" t="s">
        <v>2025</v>
      </c>
      <c r="D4390" s="74"/>
      <c r="E4390" s="208" t="s">
        <v>137</v>
      </c>
      <c r="F4390" s="209" t="s">
        <v>21</v>
      </c>
      <c r="G4390" s="209" t="s">
        <v>21</v>
      </c>
      <c r="H4390" s="209" t="s">
        <v>272</v>
      </c>
      <c r="I4390" s="210"/>
    </row>
    <row r="4391" spans="1:9" x14ac:dyDescent="0.25">
      <c r="A4391" s="74"/>
      <c r="B4391" s="45">
        <v>1852</v>
      </c>
      <c r="C4391" s="64" t="s">
        <v>2074</v>
      </c>
      <c r="D4391" s="74"/>
      <c r="E4391" s="208" t="s">
        <v>137</v>
      </c>
      <c r="F4391" s="209" t="s">
        <v>21</v>
      </c>
      <c r="G4391" s="209" t="s">
        <v>21</v>
      </c>
      <c r="H4391" s="209" t="s">
        <v>272</v>
      </c>
      <c r="I4391" s="210"/>
    </row>
    <row r="4392" spans="1:9" x14ac:dyDescent="0.25">
      <c r="A4392" s="74"/>
      <c r="B4392" s="45">
        <v>1853</v>
      </c>
      <c r="C4392" s="64" t="s">
        <v>1582</v>
      </c>
      <c r="D4392" s="74"/>
      <c r="E4392" s="208" t="s">
        <v>137</v>
      </c>
      <c r="F4392" s="209" t="s">
        <v>21</v>
      </c>
      <c r="G4392" s="209" t="s">
        <v>21</v>
      </c>
      <c r="H4392" s="209" t="s">
        <v>272</v>
      </c>
      <c r="I4392" s="210"/>
    </row>
    <row r="4393" spans="1:9" x14ac:dyDescent="0.25">
      <c r="A4393" s="74"/>
      <c r="B4393" s="45">
        <v>1854</v>
      </c>
      <c r="C4393" s="64" t="s">
        <v>2059</v>
      </c>
      <c r="D4393" s="74"/>
      <c r="E4393" s="208" t="s">
        <v>137</v>
      </c>
      <c r="F4393" s="209" t="s">
        <v>21</v>
      </c>
      <c r="G4393" s="209" t="s">
        <v>21</v>
      </c>
      <c r="H4393" s="209" t="s">
        <v>272</v>
      </c>
      <c r="I4393" s="210"/>
    </row>
    <row r="4394" spans="1:9" x14ac:dyDescent="0.25">
      <c r="A4394" s="74"/>
      <c r="B4394" s="45">
        <v>760</v>
      </c>
      <c r="C4394" s="64" t="s">
        <v>1169</v>
      </c>
      <c r="D4394" s="74"/>
      <c r="E4394" s="208" t="s">
        <v>137</v>
      </c>
      <c r="F4394" s="209" t="s">
        <v>21</v>
      </c>
      <c r="G4394" s="209" t="s">
        <v>21</v>
      </c>
      <c r="H4394" s="209" t="s">
        <v>192</v>
      </c>
      <c r="I4394" s="210"/>
    </row>
    <row r="4395" spans="1:9" x14ac:dyDescent="0.25">
      <c r="A4395" s="74"/>
      <c r="B4395" s="45">
        <v>762</v>
      </c>
      <c r="C4395" s="64" t="s">
        <v>1171</v>
      </c>
      <c r="D4395" s="74"/>
      <c r="E4395" s="208" t="s">
        <v>137</v>
      </c>
      <c r="F4395" s="209" t="s">
        <v>21</v>
      </c>
      <c r="G4395" s="209" t="s">
        <v>21</v>
      </c>
      <c r="H4395" s="209" t="s">
        <v>192</v>
      </c>
      <c r="I4395" s="210"/>
    </row>
    <row r="4396" spans="1:9" x14ac:dyDescent="0.25">
      <c r="A4396" s="74"/>
      <c r="B4396" s="45">
        <v>1847</v>
      </c>
      <c r="C4396" s="64" t="s">
        <v>1883</v>
      </c>
      <c r="D4396" s="74"/>
      <c r="E4396" s="208" t="s">
        <v>137</v>
      </c>
      <c r="F4396" s="209" t="s">
        <v>21</v>
      </c>
      <c r="G4396" s="209" t="s">
        <v>21</v>
      </c>
      <c r="H4396" s="209" t="s">
        <v>272</v>
      </c>
      <c r="I4396" s="210"/>
    </row>
    <row r="4397" spans="1:9" x14ac:dyDescent="0.25">
      <c r="A4397" s="74"/>
      <c r="B4397" s="45">
        <v>1845</v>
      </c>
      <c r="C4397" s="64" t="s">
        <v>2027</v>
      </c>
      <c r="D4397" s="74"/>
      <c r="E4397" s="208" t="s">
        <v>137</v>
      </c>
      <c r="F4397" s="209" t="s">
        <v>21</v>
      </c>
      <c r="G4397" s="209" t="s">
        <v>21</v>
      </c>
      <c r="H4397" s="209" t="s">
        <v>272</v>
      </c>
      <c r="I4397" s="210"/>
    </row>
    <row r="4398" spans="1:9" x14ac:dyDescent="0.25">
      <c r="A4398" s="74"/>
      <c r="B4398" s="45">
        <v>1848</v>
      </c>
      <c r="C4398" s="64" t="s">
        <v>1839</v>
      </c>
      <c r="D4398" s="74"/>
      <c r="E4398" s="208" t="s">
        <v>137</v>
      </c>
      <c r="F4398" s="209" t="s">
        <v>21</v>
      </c>
      <c r="G4398" s="209" t="s">
        <v>21</v>
      </c>
      <c r="H4398" s="209" t="s">
        <v>192</v>
      </c>
      <c r="I4398" s="210"/>
    </row>
    <row r="4399" spans="1:9" x14ac:dyDescent="0.25">
      <c r="A4399" s="74"/>
      <c r="B4399" s="45">
        <v>1846</v>
      </c>
      <c r="C4399" s="64" t="s">
        <v>2049</v>
      </c>
      <c r="D4399" s="74"/>
      <c r="E4399" s="208" t="s">
        <v>137</v>
      </c>
      <c r="F4399" s="209" t="s">
        <v>21</v>
      </c>
      <c r="G4399" s="209" t="s">
        <v>21</v>
      </c>
      <c r="H4399" s="209" t="s">
        <v>192</v>
      </c>
      <c r="I4399" s="210"/>
    </row>
    <row r="4400" spans="1:9" x14ac:dyDescent="0.25">
      <c r="A4400" s="74"/>
      <c r="B4400" s="45">
        <v>1849</v>
      </c>
      <c r="C4400" s="64" t="s">
        <v>2041</v>
      </c>
      <c r="D4400" s="74"/>
      <c r="E4400" s="208" t="s">
        <v>137</v>
      </c>
      <c r="F4400" s="209" t="s">
        <v>21</v>
      </c>
      <c r="G4400" s="209" t="s">
        <v>21</v>
      </c>
      <c r="H4400" s="209" t="s">
        <v>272</v>
      </c>
      <c r="I4400" s="210"/>
    </row>
    <row r="4401" spans="1:9" x14ac:dyDescent="0.25">
      <c r="A4401" s="74"/>
      <c r="B4401" s="45">
        <v>1850</v>
      </c>
      <c r="C4401" s="64" t="s">
        <v>2059</v>
      </c>
      <c r="D4401" s="74"/>
      <c r="E4401" s="208" t="s">
        <v>137</v>
      </c>
      <c r="F4401" s="209" t="s">
        <v>21</v>
      </c>
      <c r="G4401" s="209" t="s">
        <v>21</v>
      </c>
      <c r="H4401" s="209" t="s">
        <v>272</v>
      </c>
      <c r="I4401" s="210"/>
    </row>
    <row r="4402" spans="1:9" x14ac:dyDescent="0.25">
      <c r="A4402" s="74"/>
      <c r="B4402" s="45">
        <v>1851</v>
      </c>
      <c r="C4402" s="64" t="s">
        <v>2025</v>
      </c>
      <c r="D4402" s="74"/>
      <c r="E4402" s="208" t="s">
        <v>137</v>
      </c>
      <c r="F4402" s="209" t="s">
        <v>21</v>
      </c>
      <c r="G4402" s="209" t="s">
        <v>21</v>
      </c>
      <c r="H4402" s="209" t="s">
        <v>272</v>
      </c>
      <c r="I4402" s="210"/>
    </row>
    <row r="4403" spans="1:9" x14ac:dyDescent="0.25">
      <c r="A4403" s="74"/>
      <c r="B4403" s="45">
        <v>1852</v>
      </c>
      <c r="C4403" s="64" t="s">
        <v>2074</v>
      </c>
      <c r="D4403" s="74"/>
      <c r="E4403" s="208" t="s">
        <v>137</v>
      </c>
      <c r="F4403" s="209" t="s">
        <v>21</v>
      </c>
      <c r="G4403" s="209" t="s">
        <v>21</v>
      </c>
      <c r="H4403" s="209" t="s">
        <v>272</v>
      </c>
      <c r="I4403" s="210"/>
    </row>
    <row r="4404" spans="1:9" x14ac:dyDescent="0.25">
      <c r="A4404" s="74"/>
      <c r="B4404" s="45">
        <v>1853</v>
      </c>
      <c r="C4404" s="64" t="s">
        <v>1582</v>
      </c>
      <c r="D4404" s="74"/>
      <c r="E4404" s="208" t="s">
        <v>137</v>
      </c>
      <c r="F4404" s="209" t="s">
        <v>21</v>
      </c>
      <c r="G4404" s="209" t="s">
        <v>21</v>
      </c>
      <c r="H4404" s="209" t="s">
        <v>272</v>
      </c>
      <c r="I4404" s="210"/>
    </row>
    <row r="4405" spans="1:9" x14ac:dyDescent="0.25">
      <c r="A4405" s="74"/>
      <c r="B4405" s="45">
        <v>1854</v>
      </c>
      <c r="C4405" s="64" t="s">
        <v>2059</v>
      </c>
      <c r="D4405" s="74"/>
      <c r="E4405" s="208" t="s">
        <v>137</v>
      </c>
      <c r="F4405" s="209" t="s">
        <v>21</v>
      </c>
      <c r="G4405" s="209" t="s">
        <v>21</v>
      </c>
      <c r="H4405" s="209" t="s">
        <v>272</v>
      </c>
      <c r="I4405" s="210"/>
    </row>
    <row r="4406" spans="1:9" x14ac:dyDescent="0.25">
      <c r="A4406" s="74"/>
      <c r="B4406" s="45">
        <v>760</v>
      </c>
      <c r="C4406" s="64" t="s">
        <v>1169</v>
      </c>
      <c r="D4406" s="74"/>
      <c r="E4406" s="208" t="s">
        <v>137</v>
      </c>
      <c r="F4406" s="209" t="s">
        <v>21</v>
      </c>
      <c r="G4406" s="209" t="s">
        <v>21</v>
      </c>
      <c r="H4406" s="209" t="s">
        <v>192</v>
      </c>
      <c r="I4406" s="210"/>
    </row>
    <row r="4407" spans="1:9" x14ac:dyDescent="0.25">
      <c r="A4407" s="74"/>
      <c r="B4407" s="45">
        <v>762</v>
      </c>
      <c r="C4407" s="64" t="s">
        <v>1171</v>
      </c>
      <c r="D4407" s="74"/>
      <c r="E4407" s="208" t="s">
        <v>137</v>
      </c>
      <c r="F4407" s="209" t="s">
        <v>21</v>
      </c>
      <c r="G4407" s="209" t="s">
        <v>21</v>
      </c>
      <c r="H4407" s="209" t="s">
        <v>192</v>
      </c>
      <c r="I4407" s="210"/>
    </row>
    <row r="4408" spans="1:9" x14ac:dyDescent="0.25">
      <c r="A4408" s="74"/>
      <c r="B4408" s="45">
        <v>1847</v>
      </c>
      <c r="C4408" s="64" t="s">
        <v>1883</v>
      </c>
      <c r="D4408" s="74"/>
      <c r="E4408" s="208" t="s">
        <v>137</v>
      </c>
      <c r="F4408" s="209" t="s">
        <v>21</v>
      </c>
      <c r="G4408" s="209" t="s">
        <v>21</v>
      </c>
      <c r="H4408" s="209" t="s">
        <v>272</v>
      </c>
      <c r="I4408" s="210"/>
    </row>
    <row r="4409" spans="1:9" x14ac:dyDescent="0.25">
      <c r="A4409" s="74"/>
      <c r="B4409" s="45">
        <v>1845</v>
      </c>
      <c r="C4409" s="64" t="s">
        <v>2027</v>
      </c>
      <c r="D4409" s="74"/>
      <c r="E4409" s="208" t="s">
        <v>137</v>
      </c>
      <c r="F4409" s="209" t="s">
        <v>21</v>
      </c>
      <c r="G4409" s="209" t="s">
        <v>21</v>
      </c>
      <c r="H4409" s="209" t="s">
        <v>272</v>
      </c>
      <c r="I4409" s="210"/>
    </row>
    <row r="4410" spans="1:9" x14ac:dyDescent="0.25">
      <c r="A4410" s="74"/>
      <c r="B4410" s="45">
        <v>1846</v>
      </c>
      <c r="C4410" s="64" t="s">
        <v>2049</v>
      </c>
      <c r="D4410" s="74"/>
      <c r="E4410" s="208" t="s">
        <v>137</v>
      </c>
      <c r="F4410" s="209" t="s">
        <v>21</v>
      </c>
      <c r="G4410" s="209" t="s">
        <v>21</v>
      </c>
      <c r="H4410" s="209" t="s">
        <v>192</v>
      </c>
      <c r="I4410" s="210"/>
    </row>
    <row r="4411" spans="1:9" x14ac:dyDescent="0.25">
      <c r="A4411" s="74"/>
      <c r="B4411" s="45">
        <v>1848</v>
      </c>
      <c r="C4411" s="64" t="s">
        <v>1839</v>
      </c>
      <c r="D4411" s="74"/>
      <c r="E4411" s="208" t="s">
        <v>137</v>
      </c>
      <c r="F4411" s="209" t="s">
        <v>21</v>
      </c>
      <c r="G4411" s="209" t="s">
        <v>21</v>
      </c>
      <c r="H4411" s="209" t="s">
        <v>192</v>
      </c>
      <c r="I4411" s="210"/>
    </row>
    <row r="4412" spans="1:9" x14ac:dyDescent="0.25">
      <c r="A4412" s="74"/>
      <c r="B4412" s="45">
        <v>1849</v>
      </c>
      <c r="C4412" s="64" t="s">
        <v>2041</v>
      </c>
      <c r="D4412" s="74"/>
      <c r="E4412" s="208" t="s">
        <v>137</v>
      </c>
      <c r="F4412" s="209" t="s">
        <v>21</v>
      </c>
      <c r="G4412" s="209" t="s">
        <v>21</v>
      </c>
      <c r="H4412" s="209" t="s">
        <v>272</v>
      </c>
      <c r="I4412" s="210"/>
    </row>
    <row r="4413" spans="1:9" x14ac:dyDescent="0.25">
      <c r="A4413" s="74"/>
      <c r="B4413" s="45">
        <v>1850</v>
      </c>
      <c r="C4413" s="64" t="s">
        <v>2059</v>
      </c>
      <c r="D4413" s="74"/>
      <c r="E4413" s="208" t="s">
        <v>137</v>
      </c>
      <c r="F4413" s="209" t="s">
        <v>21</v>
      </c>
      <c r="G4413" s="209" t="s">
        <v>21</v>
      </c>
      <c r="H4413" s="209" t="s">
        <v>272</v>
      </c>
      <c r="I4413" s="210"/>
    </row>
    <row r="4414" spans="1:9" x14ac:dyDescent="0.25">
      <c r="A4414" s="74"/>
      <c r="B4414" s="45">
        <v>1851</v>
      </c>
      <c r="C4414" s="64" t="s">
        <v>2025</v>
      </c>
      <c r="D4414" s="74"/>
      <c r="E4414" s="208" t="s">
        <v>137</v>
      </c>
      <c r="F4414" s="209" t="s">
        <v>21</v>
      </c>
      <c r="G4414" s="209" t="s">
        <v>21</v>
      </c>
      <c r="H4414" s="209" t="s">
        <v>272</v>
      </c>
      <c r="I4414" s="210"/>
    </row>
    <row r="4415" spans="1:9" x14ac:dyDescent="0.25">
      <c r="A4415" s="74"/>
      <c r="B4415" s="45">
        <v>1852</v>
      </c>
      <c r="C4415" s="64" t="s">
        <v>2074</v>
      </c>
      <c r="D4415" s="74"/>
      <c r="E4415" s="208" t="s">
        <v>137</v>
      </c>
      <c r="F4415" s="209" t="s">
        <v>21</v>
      </c>
      <c r="G4415" s="209" t="s">
        <v>21</v>
      </c>
      <c r="H4415" s="209" t="s">
        <v>272</v>
      </c>
      <c r="I4415" s="210"/>
    </row>
    <row r="4416" spans="1:9" x14ac:dyDescent="0.25">
      <c r="A4416" s="74"/>
      <c r="B4416" s="45">
        <v>1853</v>
      </c>
      <c r="C4416" s="64" t="s">
        <v>1582</v>
      </c>
      <c r="D4416" s="74"/>
      <c r="E4416" s="208" t="s">
        <v>137</v>
      </c>
      <c r="F4416" s="209" t="s">
        <v>21</v>
      </c>
      <c r="G4416" s="209" t="s">
        <v>21</v>
      </c>
      <c r="H4416" s="209" t="s">
        <v>272</v>
      </c>
      <c r="I4416" s="210"/>
    </row>
    <row r="4417" spans="1:9" x14ac:dyDescent="0.25">
      <c r="A4417" s="74"/>
      <c r="B4417" s="45">
        <v>1854</v>
      </c>
      <c r="C4417" s="64" t="s">
        <v>2059</v>
      </c>
      <c r="D4417" s="74"/>
      <c r="E4417" s="208" t="s">
        <v>137</v>
      </c>
      <c r="F4417" s="209" t="s">
        <v>21</v>
      </c>
      <c r="G4417" s="209" t="s">
        <v>21</v>
      </c>
      <c r="H4417" s="209" t="s">
        <v>272</v>
      </c>
      <c r="I4417" s="210"/>
    </row>
    <row r="4418" spans="1:9" x14ac:dyDescent="0.25">
      <c r="A4418" s="74"/>
      <c r="B4418" s="45">
        <v>760</v>
      </c>
      <c r="C4418" s="64" t="s">
        <v>1169</v>
      </c>
      <c r="D4418" s="74"/>
      <c r="E4418" s="208" t="s">
        <v>137</v>
      </c>
      <c r="F4418" s="209" t="s">
        <v>21</v>
      </c>
      <c r="G4418" s="209" t="s">
        <v>21</v>
      </c>
      <c r="H4418" s="209" t="s">
        <v>192</v>
      </c>
      <c r="I4418" s="210"/>
    </row>
    <row r="4419" spans="1:9" x14ac:dyDescent="0.25">
      <c r="A4419" s="74"/>
      <c r="B4419" s="45">
        <v>1846</v>
      </c>
      <c r="C4419" s="64" t="s">
        <v>2049</v>
      </c>
      <c r="D4419" s="74"/>
      <c r="E4419" s="208" t="s">
        <v>137</v>
      </c>
      <c r="F4419" s="209" t="s">
        <v>21</v>
      </c>
      <c r="G4419" s="209" t="s">
        <v>21</v>
      </c>
      <c r="H4419" s="209" t="s">
        <v>272</v>
      </c>
      <c r="I4419" s="210"/>
    </row>
    <row r="4420" spans="1:9" x14ac:dyDescent="0.25">
      <c r="A4420" s="74"/>
      <c r="B4420" s="45">
        <v>1847</v>
      </c>
      <c r="C4420" s="64" t="s">
        <v>1883</v>
      </c>
      <c r="D4420" s="74"/>
      <c r="E4420" s="208" t="s">
        <v>137</v>
      </c>
      <c r="F4420" s="209" t="s">
        <v>21</v>
      </c>
      <c r="G4420" s="209" t="s">
        <v>21</v>
      </c>
      <c r="H4420" s="209" t="s">
        <v>272</v>
      </c>
      <c r="I4420" s="210"/>
    </row>
    <row r="4421" spans="1:9" x14ac:dyDescent="0.25">
      <c r="A4421" s="74"/>
      <c r="B4421" s="45">
        <v>1845</v>
      </c>
      <c r="C4421" s="64" t="s">
        <v>2027</v>
      </c>
      <c r="D4421" s="74"/>
      <c r="E4421" s="208" t="s">
        <v>137</v>
      </c>
      <c r="F4421" s="209" t="s">
        <v>21</v>
      </c>
      <c r="G4421" s="209" t="s">
        <v>21</v>
      </c>
      <c r="H4421" s="209" t="s">
        <v>272</v>
      </c>
      <c r="I4421" s="210"/>
    </row>
    <row r="4422" spans="1:9" x14ac:dyDescent="0.25">
      <c r="A4422" s="74"/>
      <c r="B4422" s="45">
        <v>1848</v>
      </c>
      <c r="C4422" s="64" t="s">
        <v>1839</v>
      </c>
      <c r="D4422" s="74"/>
      <c r="E4422" s="208" t="s">
        <v>137</v>
      </c>
      <c r="F4422" s="209" t="s">
        <v>21</v>
      </c>
      <c r="G4422" s="209" t="s">
        <v>21</v>
      </c>
      <c r="H4422" s="209" t="s">
        <v>192</v>
      </c>
      <c r="I4422" s="210"/>
    </row>
    <row r="4423" spans="1:9" x14ac:dyDescent="0.25">
      <c r="A4423" s="74"/>
      <c r="B4423" s="45">
        <v>1856</v>
      </c>
      <c r="C4423" s="64" t="s">
        <v>2046</v>
      </c>
      <c r="D4423" s="74"/>
      <c r="E4423" s="208" t="s">
        <v>137</v>
      </c>
      <c r="F4423" s="209" t="s">
        <v>21</v>
      </c>
      <c r="G4423" s="209" t="s">
        <v>21</v>
      </c>
      <c r="H4423" s="209" t="s">
        <v>272</v>
      </c>
      <c r="I4423" s="210"/>
    </row>
    <row r="4424" spans="1:9" x14ac:dyDescent="0.25">
      <c r="A4424" s="74"/>
      <c r="B4424" s="45">
        <v>1857</v>
      </c>
      <c r="C4424" s="64" t="s">
        <v>1837</v>
      </c>
      <c r="D4424" s="74"/>
      <c r="E4424" s="208" t="s">
        <v>137</v>
      </c>
      <c r="F4424" s="209" t="s">
        <v>21</v>
      </c>
      <c r="G4424" s="209" t="s">
        <v>21</v>
      </c>
      <c r="H4424" s="209" t="s">
        <v>272</v>
      </c>
      <c r="I4424" s="210"/>
    </row>
    <row r="4425" spans="1:9" x14ac:dyDescent="0.25">
      <c r="A4425" s="74"/>
      <c r="B4425" s="45">
        <v>1858</v>
      </c>
      <c r="C4425" s="64" t="s">
        <v>2075</v>
      </c>
      <c r="D4425" s="74"/>
      <c r="E4425" s="208" t="s">
        <v>137</v>
      </c>
      <c r="F4425" s="209" t="s">
        <v>21</v>
      </c>
      <c r="G4425" s="209" t="s">
        <v>21</v>
      </c>
      <c r="H4425" s="209" t="s">
        <v>272</v>
      </c>
      <c r="I4425" s="210"/>
    </row>
    <row r="4426" spans="1:9" x14ac:dyDescent="0.25">
      <c r="A4426" s="74"/>
      <c r="B4426" s="45">
        <v>1859</v>
      </c>
      <c r="C4426" s="64" t="s">
        <v>2076</v>
      </c>
      <c r="D4426" s="74"/>
      <c r="E4426" s="208" t="s">
        <v>137</v>
      </c>
      <c r="F4426" s="209" t="s">
        <v>21</v>
      </c>
      <c r="G4426" s="209" t="s">
        <v>21</v>
      </c>
      <c r="H4426" s="209" t="s">
        <v>272</v>
      </c>
      <c r="I4426" s="210"/>
    </row>
    <row r="4427" spans="1:9" x14ac:dyDescent="0.25">
      <c r="A4427" s="74"/>
      <c r="B4427" s="45">
        <v>764</v>
      </c>
      <c r="C4427" s="64" t="s">
        <v>1173</v>
      </c>
      <c r="D4427" s="74"/>
      <c r="E4427" s="208" t="s">
        <v>137</v>
      </c>
      <c r="F4427" s="209" t="s">
        <v>21</v>
      </c>
      <c r="G4427" s="209" t="s">
        <v>21</v>
      </c>
      <c r="H4427" s="209" t="s">
        <v>272</v>
      </c>
      <c r="I4427" s="210"/>
    </row>
    <row r="4428" spans="1:9" x14ac:dyDescent="0.25">
      <c r="A4428" s="74"/>
      <c r="B4428" s="45">
        <v>1861</v>
      </c>
      <c r="C4428" s="64" t="s">
        <v>1833</v>
      </c>
      <c r="D4428" s="74"/>
      <c r="E4428" s="208" t="s">
        <v>137</v>
      </c>
      <c r="F4428" s="209" t="s">
        <v>21</v>
      </c>
      <c r="G4428" s="209" t="s">
        <v>21</v>
      </c>
      <c r="H4428" s="209" t="s">
        <v>272</v>
      </c>
      <c r="I4428" s="210"/>
    </row>
    <row r="4429" spans="1:9" x14ac:dyDescent="0.25">
      <c r="A4429" s="74"/>
      <c r="B4429" s="45">
        <v>1862</v>
      </c>
      <c r="C4429" s="64" t="s">
        <v>2077</v>
      </c>
      <c r="D4429" s="74"/>
      <c r="E4429" s="208" t="s">
        <v>137</v>
      </c>
      <c r="F4429" s="209" t="s">
        <v>21</v>
      </c>
      <c r="G4429" s="209" t="s">
        <v>21</v>
      </c>
      <c r="H4429" s="209" t="s">
        <v>272</v>
      </c>
      <c r="I4429" s="210"/>
    </row>
    <row r="4430" spans="1:9" x14ac:dyDescent="0.25">
      <c r="A4430" s="74"/>
      <c r="B4430" s="45">
        <v>1863</v>
      </c>
      <c r="C4430" s="64" t="s">
        <v>1965</v>
      </c>
      <c r="D4430" s="74"/>
      <c r="E4430" s="208" t="s">
        <v>291</v>
      </c>
      <c r="F4430" s="209" t="s">
        <v>21</v>
      </c>
      <c r="G4430" s="209" t="s">
        <v>21</v>
      </c>
      <c r="H4430" s="209" t="s">
        <v>272</v>
      </c>
      <c r="I4430" s="210"/>
    </row>
    <row r="4431" spans="1:9" x14ac:dyDescent="0.25">
      <c r="A4431" s="74"/>
      <c r="B4431" s="45">
        <v>1856</v>
      </c>
      <c r="C4431" s="64" t="s">
        <v>2046</v>
      </c>
      <c r="D4431" s="74"/>
      <c r="E4431" s="208" t="s">
        <v>137</v>
      </c>
      <c r="F4431" s="209" t="s">
        <v>21</v>
      </c>
      <c r="G4431" s="209" t="s">
        <v>21</v>
      </c>
      <c r="H4431" s="209" t="s">
        <v>272</v>
      </c>
      <c r="I4431" s="210"/>
    </row>
    <row r="4432" spans="1:9" x14ac:dyDescent="0.25">
      <c r="A4432" s="74"/>
      <c r="B4432" s="45">
        <v>1857</v>
      </c>
      <c r="C4432" s="64" t="s">
        <v>1837</v>
      </c>
      <c r="D4432" s="74"/>
      <c r="E4432" s="208" t="s">
        <v>137</v>
      </c>
      <c r="F4432" s="209" t="s">
        <v>21</v>
      </c>
      <c r="G4432" s="209" t="s">
        <v>21</v>
      </c>
      <c r="H4432" s="209" t="s">
        <v>272</v>
      </c>
      <c r="I4432" s="210"/>
    </row>
    <row r="4433" spans="1:9" x14ac:dyDescent="0.25">
      <c r="A4433" s="74"/>
      <c r="B4433" s="45">
        <v>1858</v>
      </c>
      <c r="C4433" s="64" t="s">
        <v>2075</v>
      </c>
      <c r="D4433" s="74"/>
      <c r="E4433" s="208" t="s">
        <v>137</v>
      </c>
      <c r="F4433" s="209" t="s">
        <v>21</v>
      </c>
      <c r="G4433" s="209" t="s">
        <v>21</v>
      </c>
      <c r="H4433" s="209" t="s">
        <v>272</v>
      </c>
      <c r="I4433" s="210"/>
    </row>
    <row r="4434" spans="1:9" x14ac:dyDescent="0.25">
      <c r="A4434" s="74"/>
      <c r="B4434" s="45">
        <v>1859</v>
      </c>
      <c r="C4434" s="64" t="s">
        <v>2076</v>
      </c>
      <c r="D4434" s="74"/>
      <c r="E4434" s="208" t="s">
        <v>137</v>
      </c>
      <c r="F4434" s="209" t="s">
        <v>21</v>
      </c>
      <c r="G4434" s="209" t="s">
        <v>21</v>
      </c>
      <c r="H4434" s="209" t="s">
        <v>272</v>
      </c>
      <c r="I4434" s="210"/>
    </row>
    <row r="4435" spans="1:9" x14ac:dyDescent="0.25">
      <c r="A4435" s="74"/>
      <c r="B4435" s="45">
        <v>764</v>
      </c>
      <c r="C4435" s="64" t="s">
        <v>1173</v>
      </c>
      <c r="D4435" s="74"/>
      <c r="E4435" s="208" t="s">
        <v>137</v>
      </c>
      <c r="F4435" s="209" t="s">
        <v>21</v>
      </c>
      <c r="G4435" s="209" t="s">
        <v>21</v>
      </c>
      <c r="H4435" s="209" t="s">
        <v>272</v>
      </c>
      <c r="I4435" s="210"/>
    </row>
    <row r="4436" spans="1:9" x14ac:dyDescent="0.25">
      <c r="A4436" s="74"/>
      <c r="B4436" s="45">
        <v>1861</v>
      </c>
      <c r="C4436" s="64" t="s">
        <v>1833</v>
      </c>
      <c r="D4436" s="74"/>
      <c r="E4436" s="208" t="s">
        <v>137</v>
      </c>
      <c r="F4436" s="209" t="s">
        <v>21</v>
      </c>
      <c r="G4436" s="209" t="s">
        <v>21</v>
      </c>
      <c r="H4436" s="209" t="s">
        <v>272</v>
      </c>
      <c r="I4436" s="210"/>
    </row>
    <row r="4437" spans="1:9" x14ac:dyDescent="0.25">
      <c r="A4437" s="74"/>
      <c r="B4437" s="45">
        <v>1862</v>
      </c>
      <c r="C4437" s="64" t="s">
        <v>2077</v>
      </c>
      <c r="D4437" s="74"/>
      <c r="E4437" s="208" t="s">
        <v>137</v>
      </c>
      <c r="F4437" s="209" t="s">
        <v>21</v>
      </c>
      <c r="G4437" s="209" t="s">
        <v>21</v>
      </c>
      <c r="H4437" s="209" t="s">
        <v>272</v>
      </c>
      <c r="I4437" s="210"/>
    </row>
    <row r="4438" spans="1:9" x14ac:dyDescent="0.25">
      <c r="A4438" s="74"/>
      <c r="B4438" s="45">
        <v>1863</v>
      </c>
      <c r="C4438" s="64" t="s">
        <v>1965</v>
      </c>
      <c r="D4438" s="74"/>
      <c r="E4438" s="208" t="s">
        <v>291</v>
      </c>
      <c r="F4438" s="209" t="s">
        <v>21</v>
      </c>
      <c r="G4438" s="209" t="s">
        <v>21</v>
      </c>
      <c r="H4438" s="209" t="s">
        <v>272</v>
      </c>
      <c r="I4438" s="210"/>
    </row>
    <row r="4439" spans="1:9" x14ac:dyDescent="0.25">
      <c r="A4439" s="74"/>
      <c r="B4439" s="45">
        <v>1856</v>
      </c>
      <c r="C4439" s="64" t="s">
        <v>2046</v>
      </c>
      <c r="D4439" s="74"/>
      <c r="E4439" s="208" t="s">
        <v>137</v>
      </c>
      <c r="F4439" s="209" t="s">
        <v>21</v>
      </c>
      <c r="G4439" s="209" t="s">
        <v>21</v>
      </c>
      <c r="H4439" s="209" t="s">
        <v>272</v>
      </c>
      <c r="I4439" s="210"/>
    </row>
    <row r="4440" spans="1:9" x14ac:dyDescent="0.25">
      <c r="A4440" s="74"/>
      <c r="B4440" s="45">
        <v>1857</v>
      </c>
      <c r="C4440" s="64" t="s">
        <v>1837</v>
      </c>
      <c r="D4440" s="74"/>
      <c r="E4440" s="208" t="s">
        <v>137</v>
      </c>
      <c r="F4440" s="209" t="s">
        <v>21</v>
      </c>
      <c r="G4440" s="209" t="s">
        <v>21</v>
      </c>
      <c r="H4440" s="209" t="s">
        <v>272</v>
      </c>
      <c r="I4440" s="210"/>
    </row>
    <row r="4441" spans="1:9" x14ac:dyDescent="0.25">
      <c r="A4441" s="74"/>
      <c r="B4441" s="45">
        <v>1858</v>
      </c>
      <c r="C4441" s="64" t="s">
        <v>2075</v>
      </c>
      <c r="D4441" s="74"/>
      <c r="E4441" s="208" t="s">
        <v>137</v>
      </c>
      <c r="F4441" s="209" t="s">
        <v>21</v>
      </c>
      <c r="G4441" s="209" t="s">
        <v>21</v>
      </c>
      <c r="H4441" s="209" t="s">
        <v>272</v>
      </c>
      <c r="I4441" s="210"/>
    </row>
    <row r="4442" spans="1:9" x14ac:dyDescent="0.25">
      <c r="A4442" s="74"/>
      <c r="B4442" s="45">
        <v>1859</v>
      </c>
      <c r="C4442" s="64" t="s">
        <v>2076</v>
      </c>
      <c r="D4442" s="74"/>
      <c r="E4442" s="208" t="s">
        <v>137</v>
      </c>
      <c r="F4442" s="209" t="s">
        <v>21</v>
      </c>
      <c r="G4442" s="209" t="s">
        <v>21</v>
      </c>
      <c r="H4442" s="209" t="s">
        <v>272</v>
      </c>
      <c r="I4442" s="210"/>
    </row>
    <row r="4443" spans="1:9" x14ac:dyDescent="0.25">
      <c r="A4443" s="74"/>
      <c r="B4443" s="45">
        <v>764</v>
      </c>
      <c r="C4443" s="64" t="s">
        <v>1173</v>
      </c>
      <c r="D4443" s="74"/>
      <c r="E4443" s="208" t="s">
        <v>137</v>
      </c>
      <c r="F4443" s="209" t="s">
        <v>21</v>
      </c>
      <c r="G4443" s="209" t="s">
        <v>21</v>
      </c>
      <c r="H4443" s="209" t="s">
        <v>272</v>
      </c>
      <c r="I4443" s="210"/>
    </row>
    <row r="4444" spans="1:9" x14ac:dyDescent="0.25">
      <c r="A4444" s="74"/>
      <c r="B4444" s="45">
        <v>1861</v>
      </c>
      <c r="C4444" s="64" t="s">
        <v>1833</v>
      </c>
      <c r="D4444" s="74"/>
      <c r="E4444" s="208" t="s">
        <v>137</v>
      </c>
      <c r="F4444" s="209" t="s">
        <v>21</v>
      </c>
      <c r="G4444" s="209" t="s">
        <v>21</v>
      </c>
      <c r="H4444" s="209" t="s">
        <v>272</v>
      </c>
      <c r="I4444" s="210"/>
    </row>
    <row r="4445" spans="1:9" x14ac:dyDescent="0.25">
      <c r="A4445" s="74"/>
      <c r="B4445" s="45">
        <v>1862</v>
      </c>
      <c r="C4445" s="64" t="s">
        <v>2077</v>
      </c>
      <c r="D4445" s="74"/>
      <c r="E4445" s="208" t="s">
        <v>137</v>
      </c>
      <c r="F4445" s="209" t="s">
        <v>21</v>
      </c>
      <c r="G4445" s="209" t="s">
        <v>21</v>
      </c>
      <c r="H4445" s="209" t="s">
        <v>272</v>
      </c>
      <c r="I4445" s="210"/>
    </row>
    <row r="4446" spans="1:9" x14ac:dyDescent="0.25">
      <c r="A4446" s="74"/>
      <c r="B4446" s="45">
        <v>1863</v>
      </c>
      <c r="C4446" s="64" t="s">
        <v>1965</v>
      </c>
      <c r="D4446" s="74"/>
      <c r="E4446" s="208" t="s">
        <v>291</v>
      </c>
      <c r="F4446" s="209" t="s">
        <v>21</v>
      </c>
      <c r="G4446" s="209" t="s">
        <v>21</v>
      </c>
      <c r="H4446" s="209" t="s">
        <v>272</v>
      </c>
      <c r="I4446" s="210"/>
    </row>
    <row r="4447" spans="1:9" x14ac:dyDescent="0.25">
      <c r="A4447" s="74"/>
      <c r="B4447" s="45">
        <v>1856</v>
      </c>
      <c r="C4447" s="64" t="s">
        <v>2046</v>
      </c>
      <c r="D4447" s="74"/>
      <c r="E4447" s="208" t="s">
        <v>137</v>
      </c>
      <c r="F4447" s="209" t="s">
        <v>21</v>
      </c>
      <c r="G4447" s="209" t="s">
        <v>21</v>
      </c>
      <c r="H4447" s="209" t="s">
        <v>272</v>
      </c>
      <c r="I4447" s="210"/>
    </row>
    <row r="4448" spans="1:9" x14ac:dyDescent="0.25">
      <c r="A4448" s="74"/>
      <c r="B4448" s="45">
        <v>1857</v>
      </c>
      <c r="C4448" s="64" t="s">
        <v>1837</v>
      </c>
      <c r="D4448" s="74"/>
      <c r="E4448" s="208" t="s">
        <v>137</v>
      </c>
      <c r="F4448" s="209" t="s">
        <v>21</v>
      </c>
      <c r="G4448" s="209" t="s">
        <v>21</v>
      </c>
      <c r="H4448" s="209" t="s">
        <v>272</v>
      </c>
      <c r="I4448" s="210"/>
    </row>
    <row r="4449" spans="1:9" x14ac:dyDescent="0.25">
      <c r="A4449" s="74"/>
      <c r="B4449" s="45">
        <v>1858</v>
      </c>
      <c r="C4449" s="64" t="s">
        <v>2075</v>
      </c>
      <c r="D4449" s="74"/>
      <c r="E4449" s="208" t="s">
        <v>137</v>
      </c>
      <c r="F4449" s="209" t="s">
        <v>21</v>
      </c>
      <c r="G4449" s="209" t="s">
        <v>21</v>
      </c>
      <c r="H4449" s="209" t="s">
        <v>272</v>
      </c>
      <c r="I4449" s="210"/>
    </row>
    <row r="4450" spans="1:9" x14ac:dyDescent="0.25">
      <c r="A4450" s="74"/>
      <c r="B4450" s="45">
        <v>1859</v>
      </c>
      <c r="C4450" s="64" t="s">
        <v>2076</v>
      </c>
      <c r="D4450" s="74"/>
      <c r="E4450" s="208" t="s">
        <v>137</v>
      </c>
      <c r="F4450" s="209" t="s">
        <v>21</v>
      </c>
      <c r="G4450" s="209" t="s">
        <v>21</v>
      </c>
      <c r="H4450" s="209" t="s">
        <v>272</v>
      </c>
      <c r="I4450" s="210"/>
    </row>
    <row r="4451" spans="1:9" x14ac:dyDescent="0.25">
      <c r="A4451" s="74"/>
      <c r="B4451" s="45">
        <v>764</v>
      </c>
      <c r="C4451" s="64" t="s">
        <v>1173</v>
      </c>
      <c r="D4451" s="74"/>
      <c r="E4451" s="208" t="s">
        <v>137</v>
      </c>
      <c r="F4451" s="209" t="s">
        <v>21</v>
      </c>
      <c r="G4451" s="209" t="s">
        <v>21</v>
      </c>
      <c r="H4451" s="209" t="s">
        <v>272</v>
      </c>
      <c r="I4451" s="210"/>
    </row>
    <row r="4452" spans="1:9" x14ac:dyDescent="0.25">
      <c r="A4452" s="74"/>
      <c r="B4452" s="45">
        <v>1861</v>
      </c>
      <c r="C4452" s="64" t="s">
        <v>1833</v>
      </c>
      <c r="D4452" s="74"/>
      <c r="E4452" s="208" t="s">
        <v>137</v>
      </c>
      <c r="F4452" s="209" t="s">
        <v>21</v>
      </c>
      <c r="G4452" s="209" t="s">
        <v>21</v>
      </c>
      <c r="H4452" s="209" t="s">
        <v>272</v>
      </c>
      <c r="I4452" s="210"/>
    </row>
    <row r="4453" spans="1:9" x14ac:dyDescent="0.25">
      <c r="A4453" s="74"/>
      <c r="B4453" s="45">
        <v>1862</v>
      </c>
      <c r="C4453" s="64" t="s">
        <v>2077</v>
      </c>
      <c r="D4453" s="74"/>
      <c r="E4453" s="208" t="s">
        <v>137</v>
      </c>
      <c r="F4453" s="209" t="s">
        <v>21</v>
      </c>
      <c r="G4453" s="209" t="s">
        <v>21</v>
      </c>
      <c r="H4453" s="209" t="s">
        <v>272</v>
      </c>
      <c r="I4453" s="210"/>
    </row>
    <row r="4454" spans="1:9" x14ac:dyDescent="0.25">
      <c r="A4454" s="74"/>
      <c r="B4454" s="45">
        <v>1863</v>
      </c>
      <c r="C4454" s="64" t="s">
        <v>1965</v>
      </c>
      <c r="D4454" s="74"/>
      <c r="E4454" s="208" t="s">
        <v>291</v>
      </c>
      <c r="F4454" s="209" t="s">
        <v>21</v>
      </c>
      <c r="G4454" s="209" t="s">
        <v>21</v>
      </c>
      <c r="H4454" s="209" t="s">
        <v>272</v>
      </c>
      <c r="I4454" s="210"/>
    </row>
    <row r="4455" spans="1:9" x14ac:dyDescent="0.25">
      <c r="A4455" s="74"/>
      <c r="B4455" s="45">
        <v>769</v>
      </c>
      <c r="C4455" s="64" t="s">
        <v>1178</v>
      </c>
      <c r="D4455" s="74"/>
      <c r="E4455" s="208" t="s">
        <v>137</v>
      </c>
      <c r="F4455" s="209" t="s">
        <v>21</v>
      </c>
      <c r="G4455" s="209" t="s">
        <v>21</v>
      </c>
      <c r="H4455" s="209" t="s">
        <v>192</v>
      </c>
      <c r="I4455" s="210"/>
    </row>
    <row r="4456" spans="1:9" x14ac:dyDescent="0.25">
      <c r="A4456" s="74"/>
      <c r="B4456" s="45">
        <v>770</v>
      </c>
      <c r="C4456" s="64" t="s">
        <v>1179</v>
      </c>
      <c r="D4456" s="74"/>
      <c r="E4456" s="208" t="s">
        <v>137</v>
      </c>
      <c r="F4456" s="209" t="s">
        <v>21</v>
      </c>
      <c r="G4456" s="209" t="s">
        <v>21</v>
      </c>
      <c r="H4456" s="209" t="s">
        <v>192</v>
      </c>
      <c r="I4456" s="210"/>
    </row>
    <row r="4457" spans="1:9" x14ac:dyDescent="0.25">
      <c r="A4457" s="74"/>
      <c r="B4457" s="45">
        <v>1864</v>
      </c>
      <c r="C4457" s="64" t="s">
        <v>2078</v>
      </c>
      <c r="D4457" s="74"/>
      <c r="E4457" s="208" t="s">
        <v>137</v>
      </c>
      <c r="F4457" s="209" t="s">
        <v>21</v>
      </c>
      <c r="G4457" s="209" t="s">
        <v>21</v>
      </c>
      <c r="H4457" s="209" t="s">
        <v>272</v>
      </c>
      <c r="I4457" s="210"/>
    </row>
    <row r="4458" spans="1:9" x14ac:dyDescent="0.25">
      <c r="A4458" s="74"/>
      <c r="B4458" s="45">
        <v>1865</v>
      </c>
      <c r="C4458" s="64" t="s">
        <v>2001</v>
      </c>
      <c r="D4458" s="74"/>
      <c r="E4458" s="208" t="s">
        <v>137</v>
      </c>
      <c r="F4458" s="209" t="s">
        <v>21</v>
      </c>
      <c r="G4458" s="209" t="s">
        <v>21</v>
      </c>
      <c r="H4458" s="209" t="s">
        <v>272</v>
      </c>
      <c r="I4458" s="210"/>
    </row>
    <row r="4459" spans="1:9" x14ac:dyDescent="0.25">
      <c r="A4459" s="74"/>
      <c r="B4459" s="45">
        <v>1866</v>
      </c>
      <c r="C4459" s="64" t="s">
        <v>2027</v>
      </c>
      <c r="D4459" s="74"/>
      <c r="E4459" s="208" t="s">
        <v>137</v>
      </c>
      <c r="F4459" s="209" t="s">
        <v>21</v>
      </c>
      <c r="G4459" s="209" t="s">
        <v>21</v>
      </c>
      <c r="H4459" s="209" t="s">
        <v>272</v>
      </c>
      <c r="I4459" s="210"/>
    </row>
    <row r="4460" spans="1:9" x14ac:dyDescent="0.25">
      <c r="A4460" s="74"/>
      <c r="B4460" s="45">
        <v>1867</v>
      </c>
      <c r="C4460" s="64" t="s">
        <v>1935</v>
      </c>
      <c r="D4460" s="74"/>
      <c r="E4460" s="208" t="s">
        <v>137</v>
      </c>
      <c r="F4460" s="209" t="s">
        <v>21</v>
      </c>
      <c r="G4460" s="209" t="s">
        <v>21</v>
      </c>
      <c r="H4460" s="209" t="s">
        <v>272</v>
      </c>
      <c r="I4460" s="210"/>
    </row>
    <row r="4461" spans="1:9" x14ac:dyDescent="0.25">
      <c r="A4461" s="74"/>
      <c r="B4461" s="45">
        <v>1868</v>
      </c>
      <c r="C4461" s="64" t="s">
        <v>1735</v>
      </c>
      <c r="D4461" s="74"/>
      <c r="E4461" s="208" t="s">
        <v>137</v>
      </c>
      <c r="F4461" s="209" t="s">
        <v>21</v>
      </c>
      <c r="G4461" s="209" t="s">
        <v>21</v>
      </c>
      <c r="H4461" s="209" t="s">
        <v>272</v>
      </c>
      <c r="I4461" s="210"/>
    </row>
    <row r="4462" spans="1:9" x14ac:dyDescent="0.25">
      <c r="A4462" s="74"/>
      <c r="B4462" s="45">
        <v>1869</v>
      </c>
      <c r="C4462" s="64" t="s">
        <v>1913</v>
      </c>
      <c r="D4462" s="74"/>
      <c r="E4462" s="208" t="s">
        <v>137</v>
      </c>
      <c r="F4462" s="209" t="s">
        <v>21</v>
      </c>
      <c r="G4462" s="209" t="s">
        <v>21</v>
      </c>
      <c r="H4462" s="209" t="s">
        <v>272</v>
      </c>
      <c r="I4462" s="210"/>
    </row>
    <row r="4463" spans="1:9" x14ac:dyDescent="0.25">
      <c r="A4463" s="74"/>
      <c r="B4463" s="45">
        <v>1864</v>
      </c>
      <c r="C4463" s="64" t="s">
        <v>2078</v>
      </c>
      <c r="D4463" s="74"/>
      <c r="E4463" s="208" t="s">
        <v>137</v>
      </c>
      <c r="F4463" s="209" t="s">
        <v>21</v>
      </c>
      <c r="G4463" s="209" t="s">
        <v>21</v>
      </c>
      <c r="H4463" s="209" t="s">
        <v>272</v>
      </c>
      <c r="I4463" s="210"/>
    </row>
    <row r="4464" spans="1:9" x14ac:dyDescent="0.25">
      <c r="A4464" s="74"/>
      <c r="B4464" s="45">
        <v>1865</v>
      </c>
      <c r="C4464" s="64" t="s">
        <v>2001</v>
      </c>
      <c r="D4464" s="74"/>
      <c r="E4464" s="208" t="s">
        <v>137</v>
      </c>
      <c r="F4464" s="209" t="s">
        <v>21</v>
      </c>
      <c r="G4464" s="209" t="s">
        <v>21</v>
      </c>
      <c r="H4464" s="209" t="s">
        <v>272</v>
      </c>
      <c r="I4464" s="210"/>
    </row>
    <row r="4465" spans="1:9" x14ac:dyDescent="0.25">
      <c r="A4465" s="74"/>
      <c r="B4465" s="45">
        <v>1866</v>
      </c>
      <c r="C4465" s="64" t="s">
        <v>2027</v>
      </c>
      <c r="D4465" s="74"/>
      <c r="E4465" s="208" t="s">
        <v>137</v>
      </c>
      <c r="F4465" s="209" t="s">
        <v>21</v>
      </c>
      <c r="G4465" s="209" t="s">
        <v>21</v>
      </c>
      <c r="H4465" s="209" t="s">
        <v>272</v>
      </c>
      <c r="I4465" s="210"/>
    </row>
    <row r="4466" spans="1:9" x14ac:dyDescent="0.25">
      <c r="A4466" s="74"/>
      <c r="B4466" s="45">
        <v>1867</v>
      </c>
      <c r="C4466" s="64" t="s">
        <v>1935</v>
      </c>
      <c r="D4466" s="74"/>
      <c r="E4466" s="208" t="s">
        <v>137</v>
      </c>
      <c r="F4466" s="209" t="s">
        <v>21</v>
      </c>
      <c r="G4466" s="209" t="s">
        <v>21</v>
      </c>
      <c r="H4466" s="209" t="s">
        <v>272</v>
      </c>
      <c r="I4466" s="210"/>
    </row>
    <row r="4467" spans="1:9" x14ac:dyDescent="0.25">
      <c r="A4467" s="74"/>
      <c r="B4467" s="45">
        <v>1868</v>
      </c>
      <c r="C4467" s="64" t="s">
        <v>1735</v>
      </c>
      <c r="D4467" s="74"/>
      <c r="E4467" s="208" t="s">
        <v>137</v>
      </c>
      <c r="F4467" s="209" t="s">
        <v>21</v>
      </c>
      <c r="G4467" s="209" t="s">
        <v>21</v>
      </c>
      <c r="H4467" s="209" t="s">
        <v>272</v>
      </c>
      <c r="I4467" s="210"/>
    </row>
    <row r="4468" spans="1:9" x14ac:dyDescent="0.25">
      <c r="A4468" s="74"/>
      <c r="B4468" s="45">
        <v>1869</v>
      </c>
      <c r="C4468" s="64" t="s">
        <v>1913</v>
      </c>
      <c r="D4468" s="74"/>
      <c r="E4468" s="208" t="s">
        <v>137</v>
      </c>
      <c r="F4468" s="209" t="s">
        <v>21</v>
      </c>
      <c r="G4468" s="209" t="s">
        <v>21</v>
      </c>
      <c r="H4468" s="209" t="s">
        <v>272</v>
      </c>
      <c r="I4468" s="210"/>
    </row>
    <row r="4469" spans="1:9" x14ac:dyDescent="0.25">
      <c r="A4469" s="74"/>
      <c r="B4469" s="45">
        <v>769</v>
      </c>
      <c r="C4469" s="64" t="s">
        <v>1178</v>
      </c>
      <c r="D4469" s="74"/>
      <c r="E4469" s="208" t="s">
        <v>137</v>
      </c>
      <c r="F4469" s="209" t="s">
        <v>21</v>
      </c>
      <c r="G4469" s="209" t="s">
        <v>21</v>
      </c>
      <c r="H4469" s="209" t="s">
        <v>192</v>
      </c>
      <c r="I4469" s="210"/>
    </row>
    <row r="4470" spans="1:9" x14ac:dyDescent="0.25">
      <c r="A4470" s="74"/>
      <c r="B4470" s="45">
        <v>770</v>
      </c>
      <c r="C4470" s="64" t="s">
        <v>1179</v>
      </c>
      <c r="D4470" s="74"/>
      <c r="E4470" s="208" t="s">
        <v>137</v>
      </c>
      <c r="F4470" s="209" t="s">
        <v>21</v>
      </c>
      <c r="G4470" s="209" t="s">
        <v>21</v>
      </c>
      <c r="H4470" s="209" t="s">
        <v>192</v>
      </c>
      <c r="I4470" s="210"/>
    </row>
    <row r="4471" spans="1:9" x14ac:dyDescent="0.25">
      <c r="A4471" s="74"/>
      <c r="B4471" s="45">
        <v>1864</v>
      </c>
      <c r="C4471" s="64" t="s">
        <v>2078</v>
      </c>
      <c r="D4471" s="74"/>
      <c r="E4471" s="208" t="s">
        <v>137</v>
      </c>
      <c r="F4471" s="209" t="s">
        <v>21</v>
      </c>
      <c r="G4471" s="209" t="s">
        <v>21</v>
      </c>
      <c r="H4471" s="209" t="s">
        <v>272</v>
      </c>
      <c r="I4471" s="210"/>
    </row>
    <row r="4472" spans="1:9" x14ac:dyDescent="0.25">
      <c r="A4472" s="74"/>
      <c r="B4472" s="45">
        <v>1865</v>
      </c>
      <c r="C4472" s="64" t="s">
        <v>2001</v>
      </c>
      <c r="D4472" s="74"/>
      <c r="E4472" s="208" t="s">
        <v>137</v>
      </c>
      <c r="F4472" s="209" t="s">
        <v>21</v>
      </c>
      <c r="G4472" s="209" t="s">
        <v>21</v>
      </c>
      <c r="H4472" s="209" t="s">
        <v>272</v>
      </c>
      <c r="I4472" s="210"/>
    </row>
    <row r="4473" spans="1:9" x14ac:dyDescent="0.25">
      <c r="A4473" s="74"/>
      <c r="B4473" s="45">
        <v>1866</v>
      </c>
      <c r="C4473" s="64" t="s">
        <v>2027</v>
      </c>
      <c r="D4473" s="74"/>
      <c r="E4473" s="208" t="s">
        <v>137</v>
      </c>
      <c r="F4473" s="209" t="s">
        <v>21</v>
      </c>
      <c r="G4473" s="209" t="s">
        <v>21</v>
      </c>
      <c r="H4473" s="209" t="s">
        <v>272</v>
      </c>
      <c r="I4473" s="210"/>
    </row>
    <row r="4474" spans="1:9" x14ac:dyDescent="0.25">
      <c r="A4474" s="74"/>
      <c r="B4474" s="45">
        <v>1867</v>
      </c>
      <c r="C4474" s="64" t="s">
        <v>1935</v>
      </c>
      <c r="D4474" s="74"/>
      <c r="E4474" s="208" t="s">
        <v>137</v>
      </c>
      <c r="F4474" s="209" t="s">
        <v>21</v>
      </c>
      <c r="G4474" s="209" t="s">
        <v>21</v>
      </c>
      <c r="H4474" s="209" t="s">
        <v>272</v>
      </c>
      <c r="I4474" s="210"/>
    </row>
    <row r="4475" spans="1:9" x14ac:dyDescent="0.25">
      <c r="A4475" s="74"/>
      <c r="B4475" s="45">
        <v>1868</v>
      </c>
      <c r="C4475" s="64" t="s">
        <v>1735</v>
      </c>
      <c r="D4475" s="74"/>
      <c r="E4475" s="208" t="s">
        <v>137</v>
      </c>
      <c r="F4475" s="209" t="s">
        <v>21</v>
      </c>
      <c r="G4475" s="209" t="s">
        <v>21</v>
      </c>
      <c r="H4475" s="209" t="s">
        <v>272</v>
      </c>
      <c r="I4475" s="210"/>
    </row>
    <row r="4476" spans="1:9" x14ac:dyDescent="0.25">
      <c r="A4476" s="74"/>
      <c r="B4476" s="45">
        <v>1869</v>
      </c>
      <c r="C4476" s="64" t="s">
        <v>1913</v>
      </c>
      <c r="D4476" s="74"/>
      <c r="E4476" s="208" t="s">
        <v>137</v>
      </c>
      <c r="F4476" s="209" t="s">
        <v>21</v>
      </c>
      <c r="G4476" s="209" t="s">
        <v>21</v>
      </c>
      <c r="H4476" s="209" t="s">
        <v>272</v>
      </c>
      <c r="I4476" s="210"/>
    </row>
    <row r="4477" spans="1:9" x14ac:dyDescent="0.25">
      <c r="A4477" s="74"/>
      <c r="B4477" s="45">
        <v>769</v>
      </c>
      <c r="C4477" s="64" t="s">
        <v>1178</v>
      </c>
      <c r="D4477" s="74"/>
      <c r="E4477" s="208" t="s">
        <v>137</v>
      </c>
      <c r="F4477" s="209" t="s">
        <v>21</v>
      </c>
      <c r="G4477" s="209" t="s">
        <v>21</v>
      </c>
      <c r="H4477" s="209" t="s">
        <v>192</v>
      </c>
      <c r="I4477" s="210"/>
    </row>
    <row r="4478" spans="1:9" x14ac:dyDescent="0.25">
      <c r="A4478" s="74"/>
      <c r="B4478" s="45">
        <v>770</v>
      </c>
      <c r="C4478" s="64" t="s">
        <v>1179</v>
      </c>
      <c r="D4478" s="74"/>
      <c r="E4478" s="208" t="s">
        <v>137</v>
      </c>
      <c r="F4478" s="209" t="s">
        <v>21</v>
      </c>
      <c r="G4478" s="209" t="s">
        <v>21</v>
      </c>
      <c r="H4478" s="209" t="s">
        <v>192</v>
      </c>
      <c r="I4478" s="210"/>
    </row>
    <row r="4479" spans="1:9" x14ac:dyDescent="0.25">
      <c r="A4479" s="74"/>
      <c r="B4479" s="45">
        <v>1864</v>
      </c>
      <c r="C4479" s="64" t="s">
        <v>2078</v>
      </c>
      <c r="D4479" s="74"/>
      <c r="E4479" s="208" t="s">
        <v>137</v>
      </c>
      <c r="F4479" s="209" t="s">
        <v>21</v>
      </c>
      <c r="G4479" s="209" t="s">
        <v>21</v>
      </c>
      <c r="H4479" s="209" t="s">
        <v>272</v>
      </c>
      <c r="I4479" s="210"/>
    </row>
    <row r="4480" spans="1:9" x14ac:dyDescent="0.25">
      <c r="A4480" s="74"/>
      <c r="B4480" s="45">
        <v>1865</v>
      </c>
      <c r="C4480" s="64" t="s">
        <v>2001</v>
      </c>
      <c r="D4480" s="74"/>
      <c r="E4480" s="208" t="s">
        <v>137</v>
      </c>
      <c r="F4480" s="209" t="s">
        <v>21</v>
      </c>
      <c r="G4480" s="209" t="s">
        <v>21</v>
      </c>
      <c r="H4480" s="209" t="s">
        <v>272</v>
      </c>
      <c r="I4480" s="210"/>
    </row>
    <row r="4481" spans="1:9" x14ac:dyDescent="0.25">
      <c r="A4481" s="74"/>
      <c r="B4481" s="45">
        <v>1866</v>
      </c>
      <c r="C4481" s="64" t="s">
        <v>2027</v>
      </c>
      <c r="D4481" s="74"/>
      <c r="E4481" s="208" t="s">
        <v>137</v>
      </c>
      <c r="F4481" s="209" t="s">
        <v>21</v>
      </c>
      <c r="G4481" s="209" t="s">
        <v>21</v>
      </c>
      <c r="H4481" s="209" t="s">
        <v>272</v>
      </c>
      <c r="I4481" s="210"/>
    </row>
    <row r="4482" spans="1:9" x14ac:dyDescent="0.25">
      <c r="A4482" s="74"/>
      <c r="B4482" s="45">
        <v>1867</v>
      </c>
      <c r="C4482" s="64" t="s">
        <v>1935</v>
      </c>
      <c r="D4482" s="74"/>
      <c r="E4482" s="208" t="s">
        <v>137</v>
      </c>
      <c r="F4482" s="209" t="s">
        <v>21</v>
      </c>
      <c r="G4482" s="209" t="s">
        <v>21</v>
      </c>
      <c r="H4482" s="209" t="s">
        <v>272</v>
      </c>
      <c r="I4482" s="210"/>
    </row>
    <row r="4483" spans="1:9" x14ac:dyDescent="0.25">
      <c r="A4483" s="74"/>
      <c r="B4483" s="45">
        <v>1868</v>
      </c>
      <c r="C4483" s="64" t="s">
        <v>1735</v>
      </c>
      <c r="D4483" s="74"/>
      <c r="E4483" s="208" t="s">
        <v>137</v>
      </c>
      <c r="F4483" s="209" t="s">
        <v>21</v>
      </c>
      <c r="G4483" s="209" t="s">
        <v>21</v>
      </c>
      <c r="H4483" s="209" t="s">
        <v>272</v>
      </c>
      <c r="I4483" s="210"/>
    </row>
    <row r="4484" spans="1:9" x14ac:dyDescent="0.25">
      <c r="A4484" s="74"/>
      <c r="B4484" s="45">
        <v>1869</v>
      </c>
      <c r="C4484" s="64" t="s">
        <v>1913</v>
      </c>
      <c r="D4484" s="74"/>
      <c r="E4484" s="208" t="s">
        <v>137</v>
      </c>
      <c r="F4484" s="209" t="s">
        <v>21</v>
      </c>
      <c r="G4484" s="209" t="s">
        <v>21</v>
      </c>
      <c r="H4484" s="209" t="s">
        <v>272</v>
      </c>
      <c r="I4484" s="210"/>
    </row>
    <row r="4485" spans="1:9" x14ac:dyDescent="0.25">
      <c r="A4485" s="74"/>
      <c r="B4485" s="45">
        <v>769</v>
      </c>
      <c r="C4485" s="64" t="s">
        <v>1178</v>
      </c>
      <c r="D4485" s="74"/>
      <c r="E4485" s="208" t="s">
        <v>137</v>
      </c>
      <c r="F4485" s="209" t="s">
        <v>21</v>
      </c>
      <c r="G4485" s="209" t="s">
        <v>21</v>
      </c>
      <c r="H4485" s="209" t="s">
        <v>192</v>
      </c>
      <c r="I4485" s="210"/>
    </row>
    <row r="4486" spans="1:9" x14ac:dyDescent="0.25">
      <c r="A4486" s="74"/>
      <c r="B4486" s="45">
        <v>770</v>
      </c>
      <c r="C4486" s="64" t="s">
        <v>1179</v>
      </c>
      <c r="D4486" s="74"/>
      <c r="E4486" s="208" t="s">
        <v>137</v>
      </c>
      <c r="F4486" s="209" t="s">
        <v>21</v>
      </c>
      <c r="G4486" s="209" t="s">
        <v>21</v>
      </c>
      <c r="H4486" s="209" t="s">
        <v>192</v>
      </c>
      <c r="I4486" s="210"/>
    </row>
    <row r="4487" spans="1:9" x14ac:dyDescent="0.25">
      <c r="A4487" s="74"/>
      <c r="B4487" s="45">
        <v>1864</v>
      </c>
      <c r="C4487" s="64" t="s">
        <v>2078</v>
      </c>
      <c r="D4487" s="74"/>
      <c r="E4487" s="208" t="s">
        <v>137</v>
      </c>
      <c r="F4487" s="209" t="s">
        <v>21</v>
      </c>
      <c r="G4487" s="209" t="s">
        <v>21</v>
      </c>
      <c r="H4487" s="209" t="s">
        <v>272</v>
      </c>
      <c r="I4487" s="210"/>
    </row>
    <row r="4488" spans="1:9" x14ac:dyDescent="0.25">
      <c r="A4488" s="74"/>
      <c r="B4488" s="45">
        <v>1865</v>
      </c>
      <c r="C4488" s="64" t="s">
        <v>2001</v>
      </c>
      <c r="D4488" s="74"/>
      <c r="E4488" s="208" t="s">
        <v>137</v>
      </c>
      <c r="F4488" s="209" t="s">
        <v>21</v>
      </c>
      <c r="G4488" s="209" t="s">
        <v>21</v>
      </c>
      <c r="H4488" s="209" t="s">
        <v>272</v>
      </c>
      <c r="I4488" s="210"/>
    </row>
    <row r="4489" spans="1:9" x14ac:dyDescent="0.25">
      <c r="A4489" s="74"/>
      <c r="B4489" s="45">
        <v>1866</v>
      </c>
      <c r="C4489" s="64" t="s">
        <v>2027</v>
      </c>
      <c r="D4489" s="74"/>
      <c r="E4489" s="208" t="s">
        <v>137</v>
      </c>
      <c r="F4489" s="209" t="s">
        <v>21</v>
      </c>
      <c r="G4489" s="209" t="s">
        <v>21</v>
      </c>
      <c r="H4489" s="209" t="s">
        <v>272</v>
      </c>
      <c r="I4489" s="210"/>
    </row>
    <row r="4490" spans="1:9" x14ac:dyDescent="0.25">
      <c r="A4490" s="74"/>
      <c r="B4490" s="45">
        <v>1867</v>
      </c>
      <c r="C4490" s="64" t="s">
        <v>1935</v>
      </c>
      <c r="D4490" s="74"/>
      <c r="E4490" s="208" t="s">
        <v>137</v>
      </c>
      <c r="F4490" s="209" t="s">
        <v>21</v>
      </c>
      <c r="G4490" s="209" t="s">
        <v>21</v>
      </c>
      <c r="H4490" s="209" t="s">
        <v>272</v>
      </c>
      <c r="I4490" s="210"/>
    </row>
    <row r="4491" spans="1:9" x14ac:dyDescent="0.25">
      <c r="A4491" s="74"/>
      <c r="B4491" s="45">
        <v>1868</v>
      </c>
      <c r="C4491" s="64" t="s">
        <v>1735</v>
      </c>
      <c r="D4491" s="74"/>
      <c r="E4491" s="208" t="s">
        <v>137</v>
      </c>
      <c r="F4491" s="209" t="s">
        <v>21</v>
      </c>
      <c r="G4491" s="209" t="s">
        <v>21</v>
      </c>
      <c r="H4491" s="209" t="s">
        <v>272</v>
      </c>
      <c r="I4491" s="210"/>
    </row>
    <row r="4492" spans="1:9" x14ac:dyDescent="0.25">
      <c r="A4492" s="74"/>
      <c r="B4492" s="45">
        <v>1869</v>
      </c>
      <c r="C4492" s="64" t="s">
        <v>1913</v>
      </c>
      <c r="D4492" s="74"/>
      <c r="E4492" s="208" t="s">
        <v>137</v>
      </c>
      <c r="F4492" s="209" t="s">
        <v>21</v>
      </c>
      <c r="G4492" s="209" t="s">
        <v>21</v>
      </c>
      <c r="H4492" s="209" t="s">
        <v>272</v>
      </c>
      <c r="I4492" s="210"/>
    </row>
    <row r="4493" spans="1:9" x14ac:dyDescent="0.25">
      <c r="A4493" s="74"/>
      <c r="B4493" s="45">
        <v>769</v>
      </c>
      <c r="C4493" s="64" t="s">
        <v>1178</v>
      </c>
      <c r="D4493" s="74"/>
      <c r="E4493" s="208" t="s">
        <v>137</v>
      </c>
      <c r="F4493" s="209" t="s">
        <v>21</v>
      </c>
      <c r="G4493" s="209" t="s">
        <v>21</v>
      </c>
      <c r="H4493" s="209" t="s">
        <v>192</v>
      </c>
      <c r="I4493" s="210"/>
    </row>
    <row r="4494" spans="1:9" x14ac:dyDescent="0.25">
      <c r="A4494" s="74"/>
      <c r="B4494" s="45">
        <v>770</v>
      </c>
      <c r="C4494" s="64" t="s">
        <v>1179</v>
      </c>
      <c r="D4494" s="74"/>
      <c r="E4494" s="208" t="s">
        <v>137</v>
      </c>
      <c r="F4494" s="209" t="s">
        <v>21</v>
      </c>
      <c r="G4494" s="209" t="s">
        <v>21</v>
      </c>
      <c r="H4494" s="209" t="s">
        <v>192</v>
      </c>
      <c r="I4494" s="210"/>
    </row>
    <row r="4495" spans="1:9" x14ac:dyDescent="0.25">
      <c r="A4495" s="74"/>
      <c r="B4495" s="45">
        <v>1866</v>
      </c>
      <c r="C4495" s="64" t="s">
        <v>2027</v>
      </c>
      <c r="D4495" s="74"/>
      <c r="E4495" s="208" t="s">
        <v>137</v>
      </c>
      <c r="F4495" s="209" t="s">
        <v>21</v>
      </c>
      <c r="G4495" s="209" t="s">
        <v>21</v>
      </c>
      <c r="H4495" s="209" t="s">
        <v>272</v>
      </c>
      <c r="I4495" s="210"/>
    </row>
    <row r="4496" spans="1:9" x14ac:dyDescent="0.25">
      <c r="A4496" s="74"/>
      <c r="B4496" s="45">
        <v>1867</v>
      </c>
      <c r="C4496" s="64" t="s">
        <v>1935</v>
      </c>
      <c r="D4496" s="74"/>
      <c r="E4496" s="208" t="s">
        <v>137</v>
      </c>
      <c r="F4496" s="209" t="s">
        <v>21</v>
      </c>
      <c r="G4496" s="209" t="s">
        <v>21</v>
      </c>
      <c r="H4496" s="209" t="s">
        <v>272</v>
      </c>
      <c r="I4496" s="210"/>
    </row>
    <row r="4497" spans="1:9" x14ac:dyDescent="0.25">
      <c r="A4497" s="74"/>
      <c r="B4497" s="45">
        <v>1864</v>
      </c>
      <c r="C4497" s="64" t="s">
        <v>2078</v>
      </c>
      <c r="D4497" s="74"/>
      <c r="E4497" s="208" t="s">
        <v>137</v>
      </c>
      <c r="F4497" s="209" t="s">
        <v>21</v>
      </c>
      <c r="G4497" s="209" t="s">
        <v>21</v>
      </c>
      <c r="H4497" s="209" t="s">
        <v>272</v>
      </c>
      <c r="I4497" s="210"/>
    </row>
    <row r="4498" spans="1:9" x14ac:dyDescent="0.25">
      <c r="A4498" s="74"/>
      <c r="B4498" s="45">
        <v>1868</v>
      </c>
      <c r="C4498" s="64" t="s">
        <v>1735</v>
      </c>
      <c r="D4498" s="74"/>
      <c r="E4498" s="208" t="s">
        <v>137</v>
      </c>
      <c r="F4498" s="209" t="s">
        <v>21</v>
      </c>
      <c r="G4498" s="209" t="s">
        <v>21</v>
      </c>
      <c r="H4498" s="209" t="s">
        <v>272</v>
      </c>
      <c r="I4498" s="210"/>
    </row>
    <row r="4499" spans="1:9" x14ac:dyDescent="0.25">
      <c r="A4499" s="74"/>
      <c r="B4499" s="45">
        <v>1869</v>
      </c>
      <c r="C4499" s="64" t="s">
        <v>1913</v>
      </c>
      <c r="D4499" s="74"/>
      <c r="E4499" s="208" t="s">
        <v>137</v>
      </c>
      <c r="F4499" s="209" t="s">
        <v>21</v>
      </c>
      <c r="G4499" s="209" t="s">
        <v>21</v>
      </c>
      <c r="H4499" s="209" t="s">
        <v>272</v>
      </c>
      <c r="I4499" s="210"/>
    </row>
    <row r="4500" spans="1:9" x14ac:dyDescent="0.25">
      <c r="A4500" s="74"/>
      <c r="B4500" s="45">
        <v>1824</v>
      </c>
      <c r="C4500" s="64" t="s">
        <v>1988</v>
      </c>
      <c r="D4500" s="74"/>
      <c r="E4500" s="208" t="s">
        <v>137</v>
      </c>
      <c r="F4500" s="209" t="s">
        <v>21</v>
      </c>
      <c r="G4500" s="209" t="s">
        <v>21</v>
      </c>
      <c r="H4500" s="209" t="s">
        <v>272</v>
      </c>
      <c r="I4500" s="210"/>
    </row>
    <row r="4501" spans="1:9" x14ac:dyDescent="0.25">
      <c r="A4501" s="74"/>
      <c r="B4501" s="45">
        <v>1870</v>
      </c>
      <c r="C4501" s="64" t="s">
        <v>2079</v>
      </c>
      <c r="D4501" s="74"/>
      <c r="E4501" s="208" t="s">
        <v>137</v>
      </c>
      <c r="F4501" s="209" t="s">
        <v>21</v>
      </c>
      <c r="G4501" s="209" t="s">
        <v>21</v>
      </c>
      <c r="H4501" s="209" t="s">
        <v>272</v>
      </c>
      <c r="I4501" s="210"/>
    </row>
    <row r="4502" spans="1:9" x14ac:dyDescent="0.25">
      <c r="A4502" s="74"/>
      <c r="B4502" s="45">
        <v>1871</v>
      </c>
      <c r="C4502" s="64" t="s">
        <v>1986</v>
      </c>
      <c r="D4502" s="74"/>
      <c r="E4502" s="208" t="s">
        <v>137</v>
      </c>
      <c r="F4502" s="209" t="s">
        <v>21</v>
      </c>
      <c r="G4502" s="209" t="s">
        <v>21</v>
      </c>
      <c r="H4502" s="209" t="s">
        <v>272</v>
      </c>
      <c r="I4502" s="210"/>
    </row>
    <row r="4503" spans="1:9" x14ac:dyDescent="0.25">
      <c r="A4503" s="74"/>
      <c r="B4503" s="45">
        <v>1872</v>
      </c>
      <c r="C4503" s="64" t="s">
        <v>1868</v>
      </c>
      <c r="D4503" s="74"/>
      <c r="E4503" s="208" t="s">
        <v>137</v>
      </c>
      <c r="F4503" s="209" t="s">
        <v>21</v>
      </c>
      <c r="G4503" s="209" t="s">
        <v>21</v>
      </c>
      <c r="H4503" s="209" t="s">
        <v>272</v>
      </c>
      <c r="I4503" s="210"/>
    </row>
    <row r="4504" spans="1:9" x14ac:dyDescent="0.25">
      <c r="A4504" s="74"/>
      <c r="B4504" s="45">
        <v>1873</v>
      </c>
      <c r="C4504" s="64" t="s">
        <v>2037</v>
      </c>
      <c r="D4504" s="74"/>
      <c r="E4504" s="208" t="s">
        <v>137</v>
      </c>
      <c r="F4504" s="209" t="s">
        <v>21</v>
      </c>
      <c r="G4504" s="209" t="s">
        <v>21</v>
      </c>
      <c r="H4504" s="209" t="s">
        <v>272</v>
      </c>
      <c r="I4504" s="210"/>
    </row>
    <row r="4505" spans="1:9" x14ac:dyDescent="0.25">
      <c r="A4505" s="74"/>
      <c r="B4505" s="45">
        <v>1874</v>
      </c>
      <c r="C4505" s="64" t="s">
        <v>1966</v>
      </c>
      <c r="D4505" s="74"/>
      <c r="E4505" s="208" t="s">
        <v>137</v>
      </c>
      <c r="F4505" s="209" t="s">
        <v>21</v>
      </c>
      <c r="G4505" s="209" t="s">
        <v>21</v>
      </c>
      <c r="H4505" s="209" t="s">
        <v>272</v>
      </c>
      <c r="I4505" s="210"/>
    </row>
    <row r="4506" spans="1:9" x14ac:dyDescent="0.25">
      <c r="A4506" s="74"/>
      <c r="B4506" s="45">
        <v>1875</v>
      </c>
      <c r="C4506" s="64" t="s">
        <v>2014</v>
      </c>
      <c r="D4506" s="74"/>
      <c r="E4506" s="208" t="s">
        <v>137</v>
      </c>
      <c r="F4506" s="209" t="s">
        <v>21</v>
      </c>
      <c r="G4506" s="209" t="s">
        <v>21</v>
      </c>
      <c r="H4506" s="209" t="s">
        <v>272</v>
      </c>
      <c r="I4506" s="210"/>
    </row>
    <row r="4507" spans="1:9" x14ac:dyDescent="0.25">
      <c r="A4507" s="74"/>
      <c r="B4507" s="45">
        <v>1876</v>
      </c>
      <c r="C4507" s="64" t="s">
        <v>1925</v>
      </c>
      <c r="D4507" s="74"/>
      <c r="E4507" s="208" t="s">
        <v>137</v>
      </c>
      <c r="F4507" s="209" t="s">
        <v>21</v>
      </c>
      <c r="G4507" s="209" t="s">
        <v>21</v>
      </c>
      <c r="H4507" s="209" t="s">
        <v>272</v>
      </c>
      <c r="I4507" s="210"/>
    </row>
    <row r="4508" spans="1:9" x14ac:dyDescent="0.25">
      <c r="A4508" s="74"/>
      <c r="B4508" s="45">
        <v>1824</v>
      </c>
      <c r="C4508" s="64" t="s">
        <v>1988</v>
      </c>
      <c r="D4508" s="74"/>
      <c r="E4508" s="208" t="s">
        <v>137</v>
      </c>
      <c r="F4508" s="209" t="s">
        <v>21</v>
      </c>
      <c r="G4508" s="209" t="s">
        <v>21</v>
      </c>
      <c r="H4508" s="209" t="s">
        <v>272</v>
      </c>
      <c r="I4508" s="210"/>
    </row>
    <row r="4509" spans="1:9" x14ac:dyDescent="0.25">
      <c r="A4509" s="74"/>
      <c r="B4509" s="45">
        <v>1870</v>
      </c>
      <c r="C4509" s="64" t="s">
        <v>2079</v>
      </c>
      <c r="D4509" s="74"/>
      <c r="E4509" s="208" t="s">
        <v>137</v>
      </c>
      <c r="F4509" s="209" t="s">
        <v>21</v>
      </c>
      <c r="G4509" s="209" t="s">
        <v>21</v>
      </c>
      <c r="H4509" s="209" t="s">
        <v>272</v>
      </c>
      <c r="I4509" s="210"/>
    </row>
    <row r="4510" spans="1:9" x14ac:dyDescent="0.25">
      <c r="A4510" s="74"/>
      <c r="B4510" s="45">
        <v>1871</v>
      </c>
      <c r="C4510" s="64" t="s">
        <v>1986</v>
      </c>
      <c r="D4510" s="74"/>
      <c r="E4510" s="208" t="s">
        <v>137</v>
      </c>
      <c r="F4510" s="209" t="s">
        <v>21</v>
      </c>
      <c r="G4510" s="209" t="s">
        <v>21</v>
      </c>
      <c r="H4510" s="209" t="s">
        <v>272</v>
      </c>
      <c r="I4510" s="210"/>
    </row>
    <row r="4511" spans="1:9" x14ac:dyDescent="0.25">
      <c r="A4511" s="74"/>
      <c r="B4511" s="45">
        <v>1872</v>
      </c>
      <c r="C4511" s="64" t="s">
        <v>1868</v>
      </c>
      <c r="D4511" s="74"/>
      <c r="E4511" s="208" t="s">
        <v>137</v>
      </c>
      <c r="F4511" s="209" t="s">
        <v>21</v>
      </c>
      <c r="G4511" s="209" t="s">
        <v>21</v>
      </c>
      <c r="H4511" s="209" t="s">
        <v>272</v>
      </c>
      <c r="I4511" s="210"/>
    </row>
    <row r="4512" spans="1:9" x14ac:dyDescent="0.25">
      <c r="A4512" s="74"/>
      <c r="B4512" s="45">
        <v>1873</v>
      </c>
      <c r="C4512" s="64" t="s">
        <v>2037</v>
      </c>
      <c r="D4512" s="74"/>
      <c r="E4512" s="208" t="s">
        <v>137</v>
      </c>
      <c r="F4512" s="209" t="s">
        <v>21</v>
      </c>
      <c r="G4512" s="209" t="s">
        <v>21</v>
      </c>
      <c r="H4512" s="209" t="s">
        <v>272</v>
      </c>
      <c r="I4512" s="210"/>
    </row>
    <row r="4513" spans="1:9" x14ac:dyDescent="0.25">
      <c r="A4513" s="74"/>
      <c r="B4513" s="45">
        <v>1874</v>
      </c>
      <c r="C4513" s="64" t="s">
        <v>1966</v>
      </c>
      <c r="D4513" s="74"/>
      <c r="E4513" s="208" t="s">
        <v>137</v>
      </c>
      <c r="F4513" s="209" t="s">
        <v>21</v>
      </c>
      <c r="G4513" s="209" t="s">
        <v>21</v>
      </c>
      <c r="H4513" s="209" t="s">
        <v>272</v>
      </c>
      <c r="I4513" s="210"/>
    </row>
    <row r="4514" spans="1:9" x14ac:dyDescent="0.25">
      <c r="A4514" s="74"/>
      <c r="B4514" s="45">
        <v>1875</v>
      </c>
      <c r="C4514" s="64" t="s">
        <v>2014</v>
      </c>
      <c r="D4514" s="74"/>
      <c r="E4514" s="208" t="s">
        <v>137</v>
      </c>
      <c r="F4514" s="209" t="s">
        <v>21</v>
      </c>
      <c r="G4514" s="209" t="s">
        <v>21</v>
      </c>
      <c r="H4514" s="209" t="s">
        <v>272</v>
      </c>
      <c r="I4514" s="210"/>
    </row>
    <row r="4515" spans="1:9" x14ac:dyDescent="0.25">
      <c r="A4515" s="74"/>
      <c r="B4515" s="45">
        <v>1876</v>
      </c>
      <c r="C4515" s="64" t="s">
        <v>1925</v>
      </c>
      <c r="D4515" s="74"/>
      <c r="E4515" s="208" t="s">
        <v>137</v>
      </c>
      <c r="F4515" s="209" t="s">
        <v>21</v>
      </c>
      <c r="G4515" s="209" t="s">
        <v>21</v>
      </c>
      <c r="H4515" s="209" t="s">
        <v>272</v>
      </c>
      <c r="I4515" s="210"/>
    </row>
    <row r="4516" spans="1:9" x14ac:dyDescent="0.25">
      <c r="A4516" s="74"/>
      <c r="B4516" s="45">
        <v>1824</v>
      </c>
      <c r="C4516" s="64" t="s">
        <v>1988</v>
      </c>
      <c r="D4516" s="74"/>
      <c r="E4516" s="208" t="s">
        <v>137</v>
      </c>
      <c r="F4516" s="209" t="s">
        <v>21</v>
      </c>
      <c r="G4516" s="209" t="s">
        <v>21</v>
      </c>
      <c r="H4516" s="209" t="s">
        <v>272</v>
      </c>
      <c r="I4516" s="210"/>
    </row>
    <row r="4517" spans="1:9" x14ac:dyDescent="0.25">
      <c r="A4517" s="74"/>
      <c r="B4517" s="45">
        <v>1870</v>
      </c>
      <c r="C4517" s="64" t="s">
        <v>2079</v>
      </c>
      <c r="D4517" s="74"/>
      <c r="E4517" s="208" t="s">
        <v>137</v>
      </c>
      <c r="F4517" s="209" t="s">
        <v>21</v>
      </c>
      <c r="G4517" s="209" t="s">
        <v>21</v>
      </c>
      <c r="H4517" s="209" t="s">
        <v>272</v>
      </c>
      <c r="I4517" s="210"/>
    </row>
    <row r="4518" spans="1:9" x14ac:dyDescent="0.25">
      <c r="A4518" s="74"/>
      <c r="B4518" s="45">
        <v>1871</v>
      </c>
      <c r="C4518" s="64" t="s">
        <v>1986</v>
      </c>
      <c r="D4518" s="74"/>
      <c r="E4518" s="208" t="s">
        <v>137</v>
      </c>
      <c r="F4518" s="209" t="s">
        <v>21</v>
      </c>
      <c r="G4518" s="209" t="s">
        <v>21</v>
      </c>
      <c r="H4518" s="209" t="s">
        <v>272</v>
      </c>
      <c r="I4518" s="210"/>
    </row>
    <row r="4519" spans="1:9" x14ac:dyDescent="0.25">
      <c r="A4519" s="74"/>
      <c r="B4519" s="45">
        <v>1872</v>
      </c>
      <c r="C4519" s="64" t="s">
        <v>1868</v>
      </c>
      <c r="D4519" s="74"/>
      <c r="E4519" s="208" t="s">
        <v>137</v>
      </c>
      <c r="F4519" s="209" t="s">
        <v>21</v>
      </c>
      <c r="G4519" s="209" t="s">
        <v>21</v>
      </c>
      <c r="H4519" s="209" t="s">
        <v>272</v>
      </c>
      <c r="I4519" s="210"/>
    </row>
    <row r="4520" spans="1:9" x14ac:dyDescent="0.25">
      <c r="A4520" s="74"/>
      <c r="B4520" s="45">
        <v>1873</v>
      </c>
      <c r="C4520" s="64" t="s">
        <v>2037</v>
      </c>
      <c r="D4520" s="74"/>
      <c r="E4520" s="208" t="s">
        <v>137</v>
      </c>
      <c r="F4520" s="209" t="s">
        <v>21</v>
      </c>
      <c r="G4520" s="209" t="s">
        <v>21</v>
      </c>
      <c r="H4520" s="209" t="s">
        <v>272</v>
      </c>
      <c r="I4520" s="210"/>
    </row>
    <row r="4521" spans="1:9" x14ac:dyDescent="0.25">
      <c r="A4521" s="74"/>
      <c r="B4521" s="45">
        <v>1874</v>
      </c>
      <c r="C4521" s="64" t="s">
        <v>1966</v>
      </c>
      <c r="D4521" s="74"/>
      <c r="E4521" s="208" t="s">
        <v>137</v>
      </c>
      <c r="F4521" s="209" t="s">
        <v>21</v>
      </c>
      <c r="G4521" s="209" t="s">
        <v>21</v>
      </c>
      <c r="H4521" s="209" t="s">
        <v>272</v>
      </c>
      <c r="I4521" s="210"/>
    </row>
    <row r="4522" spans="1:9" x14ac:dyDescent="0.25">
      <c r="A4522" s="74"/>
      <c r="B4522" s="45">
        <v>1875</v>
      </c>
      <c r="C4522" s="64" t="s">
        <v>2014</v>
      </c>
      <c r="D4522" s="74"/>
      <c r="E4522" s="208" t="s">
        <v>137</v>
      </c>
      <c r="F4522" s="209" t="s">
        <v>21</v>
      </c>
      <c r="G4522" s="209" t="s">
        <v>21</v>
      </c>
      <c r="H4522" s="209" t="s">
        <v>272</v>
      </c>
      <c r="I4522" s="210"/>
    </row>
    <row r="4523" spans="1:9" x14ac:dyDescent="0.25">
      <c r="A4523" s="74"/>
      <c r="B4523" s="45">
        <v>1876</v>
      </c>
      <c r="C4523" s="64" t="s">
        <v>1925</v>
      </c>
      <c r="D4523" s="74"/>
      <c r="E4523" s="208" t="s">
        <v>137</v>
      </c>
      <c r="F4523" s="209" t="s">
        <v>21</v>
      </c>
      <c r="G4523" s="209" t="s">
        <v>21</v>
      </c>
      <c r="H4523" s="209" t="s">
        <v>272</v>
      </c>
      <c r="I4523" s="210"/>
    </row>
    <row r="4524" spans="1:9" x14ac:dyDescent="0.25">
      <c r="A4524" s="74"/>
      <c r="B4524" s="45">
        <v>1824</v>
      </c>
      <c r="C4524" s="64" t="s">
        <v>1988</v>
      </c>
      <c r="D4524" s="74"/>
      <c r="E4524" s="208" t="s">
        <v>137</v>
      </c>
      <c r="F4524" s="209" t="s">
        <v>21</v>
      </c>
      <c r="G4524" s="209" t="s">
        <v>21</v>
      </c>
      <c r="H4524" s="209" t="s">
        <v>272</v>
      </c>
      <c r="I4524" s="210"/>
    </row>
    <row r="4525" spans="1:9" x14ac:dyDescent="0.25">
      <c r="A4525" s="74"/>
      <c r="B4525" s="45">
        <v>1870</v>
      </c>
      <c r="C4525" s="64" t="s">
        <v>2079</v>
      </c>
      <c r="D4525" s="74"/>
      <c r="E4525" s="208" t="s">
        <v>137</v>
      </c>
      <c r="F4525" s="209" t="s">
        <v>21</v>
      </c>
      <c r="G4525" s="209" t="s">
        <v>21</v>
      </c>
      <c r="H4525" s="209" t="s">
        <v>272</v>
      </c>
      <c r="I4525" s="210"/>
    </row>
    <row r="4526" spans="1:9" x14ac:dyDescent="0.25">
      <c r="A4526" s="74"/>
      <c r="B4526" s="45">
        <v>1871</v>
      </c>
      <c r="C4526" s="64" t="s">
        <v>1986</v>
      </c>
      <c r="D4526" s="74"/>
      <c r="E4526" s="208" t="s">
        <v>137</v>
      </c>
      <c r="F4526" s="209" t="s">
        <v>21</v>
      </c>
      <c r="G4526" s="209" t="s">
        <v>21</v>
      </c>
      <c r="H4526" s="209" t="s">
        <v>272</v>
      </c>
      <c r="I4526" s="210"/>
    </row>
    <row r="4527" spans="1:9" x14ac:dyDescent="0.25">
      <c r="A4527" s="74"/>
      <c r="B4527" s="45">
        <v>1872</v>
      </c>
      <c r="C4527" s="64" t="s">
        <v>1868</v>
      </c>
      <c r="D4527" s="74"/>
      <c r="E4527" s="208" t="s">
        <v>137</v>
      </c>
      <c r="F4527" s="209" t="s">
        <v>21</v>
      </c>
      <c r="G4527" s="209" t="s">
        <v>21</v>
      </c>
      <c r="H4527" s="209" t="s">
        <v>272</v>
      </c>
      <c r="I4527" s="210"/>
    </row>
    <row r="4528" spans="1:9" x14ac:dyDescent="0.25">
      <c r="A4528" s="74"/>
      <c r="B4528" s="45">
        <v>1873</v>
      </c>
      <c r="C4528" s="64" t="s">
        <v>2037</v>
      </c>
      <c r="D4528" s="74"/>
      <c r="E4528" s="208" t="s">
        <v>137</v>
      </c>
      <c r="F4528" s="209" t="s">
        <v>21</v>
      </c>
      <c r="G4528" s="209" t="s">
        <v>21</v>
      </c>
      <c r="H4528" s="209" t="s">
        <v>272</v>
      </c>
      <c r="I4528" s="210"/>
    </row>
    <row r="4529" spans="1:9" x14ac:dyDescent="0.25">
      <c r="A4529" s="74"/>
      <c r="B4529" s="45">
        <v>1874</v>
      </c>
      <c r="C4529" s="64" t="s">
        <v>1966</v>
      </c>
      <c r="D4529" s="74"/>
      <c r="E4529" s="208" t="s">
        <v>137</v>
      </c>
      <c r="F4529" s="209" t="s">
        <v>21</v>
      </c>
      <c r="G4529" s="209" t="s">
        <v>21</v>
      </c>
      <c r="H4529" s="209" t="s">
        <v>272</v>
      </c>
      <c r="I4529" s="210"/>
    </row>
    <row r="4530" spans="1:9" x14ac:dyDescent="0.25">
      <c r="A4530" s="74"/>
      <c r="B4530" s="45">
        <v>1875</v>
      </c>
      <c r="C4530" s="64" t="s">
        <v>2014</v>
      </c>
      <c r="D4530" s="74"/>
      <c r="E4530" s="208" t="s">
        <v>137</v>
      </c>
      <c r="F4530" s="209" t="s">
        <v>21</v>
      </c>
      <c r="G4530" s="209" t="s">
        <v>21</v>
      </c>
      <c r="H4530" s="209" t="s">
        <v>272</v>
      </c>
      <c r="I4530" s="210"/>
    </row>
    <row r="4531" spans="1:9" x14ac:dyDescent="0.25">
      <c r="A4531" s="74"/>
      <c r="B4531" s="45">
        <v>1876</v>
      </c>
      <c r="C4531" s="64" t="s">
        <v>1925</v>
      </c>
      <c r="D4531" s="74"/>
      <c r="E4531" s="208" t="s">
        <v>137</v>
      </c>
      <c r="F4531" s="209" t="s">
        <v>21</v>
      </c>
      <c r="G4531" s="209" t="s">
        <v>21</v>
      </c>
      <c r="H4531" s="209" t="s">
        <v>272</v>
      </c>
      <c r="I4531" s="210"/>
    </row>
    <row r="4532" spans="1:9" x14ac:dyDescent="0.25">
      <c r="A4532" s="74"/>
      <c r="B4532" s="45">
        <v>1877</v>
      </c>
      <c r="C4532" s="64" t="s">
        <v>2080</v>
      </c>
      <c r="D4532" s="74"/>
      <c r="E4532" s="208" t="s">
        <v>137</v>
      </c>
      <c r="F4532" s="209" t="s">
        <v>21</v>
      </c>
      <c r="G4532" s="209" t="s">
        <v>21</v>
      </c>
      <c r="H4532" s="209" t="s">
        <v>272</v>
      </c>
      <c r="I4532" s="210"/>
    </row>
    <row r="4533" spans="1:9" x14ac:dyDescent="0.25">
      <c r="A4533" s="74"/>
      <c r="B4533" s="45">
        <v>1878</v>
      </c>
      <c r="C4533" s="64" t="s">
        <v>2081</v>
      </c>
      <c r="D4533" s="74"/>
      <c r="E4533" s="208" t="s">
        <v>137</v>
      </c>
      <c r="F4533" s="209" t="s">
        <v>21</v>
      </c>
      <c r="G4533" s="209" t="s">
        <v>21</v>
      </c>
      <c r="H4533" s="209" t="s">
        <v>272</v>
      </c>
      <c r="I4533" s="210"/>
    </row>
    <row r="4534" spans="1:9" x14ac:dyDescent="0.25">
      <c r="A4534" s="74"/>
      <c r="B4534" s="45">
        <v>1879</v>
      </c>
      <c r="C4534" s="64" t="s">
        <v>2080</v>
      </c>
      <c r="D4534" s="74"/>
      <c r="E4534" s="208" t="s">
        <v>137</v>
      </c>
      <c r="F4534" s="209" t="s">
        <v>21</v>
      </c>
      <c r="G4534" s="209" t="s">
        <v>21</v>
      </c>
      <c r="H4534" s="209" t="s">
        <v>272</v>
      </c>
      <c r="I4534" s="210"/>
    </row>
    <row r="4535" spans="1:9" x14ac:dyDescent="0.25">
      <c r="A4535" s="74"/>
      <c r="B4535" s="45">
        <v>1880</v>
      </c>
      <c r="C4535" s="64" t="s">
        <v>2082</v>
      </c>
      <c r="D4535" s="74"/>
      <c r="E4535" s="208" t="s">
        <v>137</v>
      </c>
      <c r="F4535" s="209" t="s">
        <v>21</v>
      </c>
      <c r="G4535" s="209" t="s">
        <v>21</v>
      </c>
      <c r="H4535" s="209" t="s">
        <v>272</v>
      </c>
      <c r="I4535" s="210"/>
    </row>
    <row r="4536" spans="1:9" x14ac:dyDescent="0.25">
      <c r="A4536" s="74"/>
      <c r="B4536" s="45">
        <v>1881</v>
      </c>
      <c r="C4536" s="64" t="s">
        <v>1859</v>
      </c>
      <c r="D4536" s="74"/>
      <c r="E4536" s="208" t="s">
        <v>137</v>
      </c>
      <c r="F4536" s="209" t="s">
        <v>21</v>
      </c>
      <c r="G4536" s="209" t="s">
        <v>21</v>
      </c>
      <c r="H4536" s="209" t="s">
        <v>272</v>
      </c>
      <c r="I4536" s="210"/>
    </row>
    <row r="4537" spans="1:9" x14ac:dyDescent="0.25">
      <c r="A4537" s="74"/>
      <c r="B4537" s="45">
        <v>1882</v>
      </c>
      <c r="C4537" s="64" t="s">
        <v>2083</v>
      </c>
      <c r="D4537" s="74"/>
      <c r="E4537" s="208" t="s">
        <v>137</v>
      </c>
      <c r="F4537" s="209" t="s">
        <v>21</v>
      </c>
      <c r="G4537" s="209" t="s">
        <v>21</v>
      </c>
      <c r="H4537" s="209" t="s">
        <v>272</v>
      </c>
      <c r="I4537" s="210"/>
    </row>
    <row r="4538" spans="1:9" x14ac:dyDescent="0.25">
      <c r="A4538" s="74"/>
      <c r="B4538" s="45">
        <v>1883</v>
      </c>
      <c r="C4538" s="64" t="s">
        <v>1849</v>
      </c>
      <c r="D4538" s="74"/>
      <c r="E4538" s="208" t="s">
        <v>137</v>
      </c>
      <c r="F4538" s="209" t="s">
        <v>21</v>
      </c>
      <c r="G4538" s="209" t="s">
        <v>21</v>
      </c>
      <c r="H4538" s="209" t="s">
        <v>272</v>
      </c>
      <c r="I4538" s="210"/>
    </row>
    <row r="4539" spans="1:9" x14ac:dyDescent="0.25">
      <c r="A4539" s="74"/>
      <c r="B4539" s="45">
        <v>1877</v>
      </c>
      <c r="C4539" s="64" t="s">
        <v>2080</v>
      </c>
      <c r="D4539" s="74"/>
      <c r="E4539" s="208" t="s">
        <v>137</v>
      </c>
      <c r="F4539" s="209" t="s">
        <v>21</v>
      </c>
      <c r="G4539" s="209" t="s">
        <v>21</v>
      </c>
      <c r="H4539" s="209" t="s">
        <v>272</v>
      </c>
      <c r="I4539" s="210"/>
    </row>
    <row r="4540" spans="1:9" x14ac:dyDescent="0.25">
      <c r="A4540" s="74"/>
      <c r="B4540" s="45">
        <v>1878</v>
      </c>
      <c r="C4540" s="64" t="s">
        <v>2081</v>
      </c>
      <c r="D4540" s="74"/>
      <c r="E4540" s="208" t="s">
        <v>137</v>
      </c>
      <c r="F4540" s="209" t="s">
        <v>21</v>
      </c>
      <c r="G4540" s="209" t="s">
        <v>21</v>
      </c>
      <c r="H4540" s="209" t="s">
        <v>272</v>
      </c>
      <c r="I4540" s="210"/>
    </row>
    <row r="4541" spans="1:9" x14ac:dyDescent="0.25">
      <c r="A4541" s="74"/>
      <c r="B4541" s="45">
        <v>1879</v>
      </c>
      <c r="C4541" s="64" t="s">
        <v>2080</v>
      </c>
      <c r="D4541" s="74"/>
      <c r="E4541" s="208" t="s">
        <v>137</v>
      </c>
      <c r="F4541" s="209" t="s">
        <v>21</v>
      </c>
      <c r="G4541" s="209" t="s">
        <v>21</v>
      </c>
      <c r="H4541" s="209" t="s">
        <v>272</v>
      </c>
      <c r="I4541" s="210"/>
    </row>
    <row r="4542" spans="1:9" x14ac:dyDescent="0.25">
      <c r="A4542" s="74"/>
      <c r="B4542" s="45">
        <v>1880</v>
      </c>
      <c r="C4542" s="64" t="s">
        <v>2082</v>
      </c>
      <c r="D4542" s="74"/>
      <c r="E4542" s="208" t="s">
        <v>137</v>
      </c>
      <c r="F4542" s="209" t="s">
        <v>21</v>
      </c>
      <c r="G4542" s="209" t="s">
        <v>21</v>
      </c>
      <c r="H4542" s="209" t="s">
        <v>272</v>
      </c>
      <c r="I4542" s="210"/>
    </row>
    <row r="4543" spans="1:9" x14ac:dyDescent="0.25">
      <c r="A4543" s="74"/>
      <c r="B4543" s="45">
        <v>1881</v>
      </c>
      <c r="C4543" s="64" t="s">
        <v>1859</v>
      </c>
      <c r="D4543" s="74"/>
      <c r="E4543" s="208" t="s">
        <v>137</v>
      </c>
      <c r="F4543" s="209" t="s">
        <v>21</v>
      </c>
      <c r="G4543" s="209" t="s">
        <v>21</v>
      </c>
      <c r="H4543" s="209" t="s">
        <v>272</v>
      </c>
      <c r="I4543" s="210"/>
    </row>
    <row r="4544" spans="1:9" x14ac:dyDescent="0.25">
      <c r="A4544" s="74"/>
      <c r="B4544" s="45">
        <v>1882</v>
      </c>
      <c r="C4544" s="64" t="s">
        <v>2083</v>
      </c>
      <c r="D4544" s="74"/>
      <c r="E4544" s="208" t="s">
        <v>137</v>
      </c>
      <c r="F4544" s="209" t="s">
        <v>21</v>
      </c>
      <c r="G4544" s="209" t="s">
        <v>21</v>
      </c>
      <c r="H4544" s="209" t="s">
        <v>272</v>
      </c>
      <c r="I4544" s="210"/>
    </row>
    <row r="4545" spans="1:9" x14ac:dyDescent="0.25">
      <c r="A4545" s="74"/>
      <c r="B4545" s="45">
        <v>1883</v>
      </c>
      <c r="C4545" s="64" t="s">
        <v>1849</v>
      </c>
      <c r="D4545" s="74"/>
      <c r="E4545" s="208" t="s">
        <v>137</v>
      </c>
      <c r="F4545" s="209" t="s">
        <v>21</v>
      </c>
      <c r="G4545" s="209" t="s">
        <v>21</v>
      </c>
      <c r="H4545" s="209" t="s">
        <v>272</v>
      </c>
      <c r="I4545" s="210"/>
    </row>
    <row r="4546" spans="1:9" x14ac:dyDescent="0.25">
      <c r="A4546" s="74"/>
      <c r="B4546" s="45">
        <v>1877</v>
      </c>
      <c r="C4546" s="64" t="s">
        <v>2080</v>
      </c>
      <c r="D4546" s="74"/>
      <c r="E4546" s="208" t="s">
        <v>137</v>
      </c>
      <c r="F4546" s="209" t="s">
        <v>21</v>
      </c>
      <c r="G4546" s="209" t="s">
        <v>21</v>
      </c>
      <c r="H4546" s="209" t="s">
        <v>272</v>
      </c>
      <c r="I4546" s="210"/>
    </row>
    <row r="4547" spans="1:9" x14ac:dyDescent="0.25">
      <c r="A4547" s="74"/>
      <c r="B4547" s="45">
        <v>1878</v>
      </c>
      <c r="C4547" s="64" t="s">
        <v>2081</v>
      </c>
      <c r="D4547" s="74"/>
      <c r="E4547" s="208" t="s">
        <v>137</v>
      </c>
      <c r="F4547" s="209" t="s">
        <v>21</v>
      </c>
      <c r="G4547" s="209" t="s">
        <v>21</v>
      </c>
      <c r="H4547" s="209" t="s">
        <v>272</v>
      </c>
      <c r="I4547" s="210"/>
    </row>
    <row r="4548" spans="1:9" x14ac:dyDescent="0.25">
      <c r="A4548" s="74"/>
      <c r="B4548" s="45">
        <v>1879</v>
      </c>
      <c r="C4548" s="64" t="s">
        <v>2080</v>
      </c>
      <c r="D4548" s="74"/>
      <c r="E4548" s="208" t="s">
        <v>137</v>
      </c>
      <c r="F4548" s="209" t="s">
        <v>21</v>
      </c>
      <c r="G4548" s="209" t="s">
        <v>21</v>
      </c>
      <c r="H4548" s="209" t="s">
        <v>272</v>
      </c>
      <c r="I4548" s="210"/>
    </row>
    <row r="4549" spans="1:9" x14ac:dyDescent="0.25">
      <c r="A4549" s="74"/>
      <c r="B4549" s="45">
        <v>1880</v>
      </c>
      <c r="C4549" s="64" t="s">
        <v>2082</v>
      </c>
      <c r="D4549" s="74"/>
      <c r="E4549" s="208" t="s">
        <v>137</v>
      </c>
      <c r="F4549" s="209" t="s">
        <v>21</v>
      </c>
      <c r="G4549" s="209" t="s">
        <v>21</v>
      </c>
      <c r="H4549" s="209" t="s">
        <v>272</v>
      </c>
      <c r="I4549" s="210"/>
    </row>
    <row r="4550" spans="1:9" x14ac:dyDescent="0.25">
      <c r="A4550" s="74"/>
      <c r="B4550" s="45">
        <v>1881</v>
      </c>
      <c r="C4550" s="64" t="s">
        <v>1859</v>
      </c>
      <c r="D4550" s="74"/>
      <c r="E4550" s="208" t="s">
        <v>137</v>
      </c>
      <c r="F4550" s="209" t="s">
        <v>21</v>
      </c>
      <c r="G4550" s="209" t="s">
        <v>21</v>
      </c>
      <c r="H4550" s="209" t="s">
        <v>272</v>
      </c>
      <c r="I4550" s="210"/>
    </row>
    <row r="4551" spans="1:9" x14ac:dyDescent="0.25">
      <c r="A4551" s="74"/>
      <c r="B4551" s="45">
        <v>1882</v>
      </c>
      <c r="C4551" s="64" t="s">
        <v>2083</v>
      </c>
      <c r="D4551" s="74"/>
      <c r="E4551" s="208" t="s">
        <v>137</v>
      </c>
      <c r="F4551" s="209" t="s">
        <v>21</v>
      </c>
      <c r="G4551" s="209" t="s">
        <v>21</v>
      </c>
      <c r="H4551" s="209" t="s">
        <v>272</v>
      </c>
      <c r="I4551" s="210"/>
    </row>
    <row r="4552" spans="1:9" x14ac:dyDescent="0.25">
      <c r="A4552" s="74"/>
      <c r="B4552" s="45">
        <v>1883</v>
      </c>
      <c r="C4552" s="64" t="s">
        <v>1849</v>
      </c>
      <c r="D4552" s="74"/>
      <c r="E4552" s="208" t="s">
        <v>137</v>
      </c>
      <c r="F4552" s="209" t="s">
        <v>21</v>
      </c>
      <c r="G4552" s="209" t="s">
        <v>21</v>
      </c>
      <c r="H4552" s="209" t="s">
        <v>272</v>
      </c>
      <c r="I4552" s="210"/>
    </row>
    <row r="4553" spans="1:9" x14ac:dyDescent="0.25">
      <c r="A4553" s="74"/>
      <c r="B4553" s="45">
        <v>1877</v>
      </c>
      <c r="C4553" s="64" t="s">
        <v>2080</v>
      </c>
      <c r="D4553" s="74"/>
      <c r="E4553" s="208" t="s">
        <v>137</v>
      </c>
      <c r="F4553" s="209" t="s">
        <v>21</v>
      </c>
      <c r="G4553" s="209" t="s">
        <v>21</v>
      </c>
      <c r="H4553" s="209" t="s">
        <v>272</v>
      </c>
      <c r="I4553" s="210"/>
    </row>
    <row r="4554" spans="1:9" x14ac:dyDescent="0.25">
      <c r="A4554" s="74"/>
      <c r="B4554" s="45">
        <v>1878</v>
      </c>
      <c r="C4554" s="64" t="s">
        <v>2081</v>
      </c>
      <c r="D4554" s="74"/>
      <c r="E4554" s="208" t="s">
        <v>137</v>
      </c>
      <c r="F4554" s="209" t="s">
        <v>21</v>
      </c>
      <c r="G4554" s="209" t="s">
        <v>21</v>
      </c>
      <c r="H4554" s="209" t="s">
        <v>272</v>
      </c>
      <c r="I4554" s="210"/>
    </row>
    <row r="4555" spans="1:9" x14ac:dyDescent="0.25">
      <c r="A4555" s="74"/>
      <c r="B4555" s="45">
        <v>1879</v>
      </c>
      <c r="C4555" s="64" t="s">
        <v>2080</v>
      </c>
      <c r="D4555" s="74"/>
      <c r="E4555" s="208" t="s">
        <v>137</v>
      </c>
      <c r="F4555" s="209" t="s">
        <v>21</v>
      </c>
      <c r="G4555" s="209" t="s">
        <v>21</v>
      </c>
      <c r="H4555" s="209" t="s">
        <v>272</v>
      </c>
      <c r="I4555" s="210"/>
    </row>
    <row r="4556" spans="1:9" x14ac:dyDescent="0.25">
      <c r="A4556" s="74"/>
      <c r="B4556" s="45">
        <v>1880</v>
      </c>
      <c r="C4556" s="64" t="s">
        <v>2082</v>
      </c>
      <c r="D4556" s="74"/>
      <c r="E4556" s="208" t="s">
        <v>137</v>
      </c>
      <c r="F4556" s="209" t="s">
        <v>21</v>
      </c>
      <c r="G4556" s="209" t="s">
        <v>21</v>
      </c>
      <c r="H4556" s="209" t="s">
        <v>272</v>
      </c>
      <c r="I4556" s="210"/>
    </row>
    <row r="4557" spans="1:9" x14ac:dyDescent="0.25">
      <c r="A4557" s="74"/>
      <c r="B4557" s="45">
        <v>1881</v>
      </c>
      <c r="C4557" s="64" t="s">
        <v>1859</v>
      </c>
      <c r="D4557" s="74"/>
      <c r="E4557" s="208" t="s">
        <v>137</v>
      </c>
      <c r="F4557" s="209" t="s">
        <v>21</v>
      </c>
      <c r="G4557" s="209" t="s">
        <v>21</v>
      </c>
      <c r="H4557" s="209" t="s">
        <v>272</v>
      </c>
      <c r="I4557" s="210"/>
    </row>
    <row r="4558" spans="1:9" x14ac:dyDescent="0.25">
      <c r="A4558" s="74"/>
      <c r="B4558" s="45">
        <v>1882</v>
      </c>
      <c r="C4558" s="64" t="s">
        <v>2083</v>
      </c>
      <c r="D4558" s="74"/>
      <c r="E4558" s="208" t="s">
        <v>137</v>
      </c>
      <c r="F4558" s="209" t="s">
        <v>21</v>
      </c>
      <c r="G4558" s="209" t="s">
        <v>21</v>
      </c>
      <c r="H4558" s="209" t="s">
        <v>272</v>
      </c>
      <c r="I4558" s="210"/>
    </row>
    <row r="4559" spans="1:9" x14ac:dyDescent="0.25">
      <c r="A4559" s="74"/>
      <c r="B4559" s="45">
        <v>1883</v>
      </c>
      <c r="C4559" s="64" t="s">
        <v>1849</v>
      </c>
      <c r="D4559" s="74"/>
      <c r="E4559" s="208" t="s">
        <v>137</v>
      </c>
      <c r="F4559" s="209" t="s">
        <v>21</v>
      </c>
      <c r="G4559" s="209" t="s">
        <v>21</v>
      </c>
      <c r="H4559" s="209" t="s">
        <v>272</v>
      </c>
      <c r="I4559" s="210"/>
    </row>
    <row r="4560" spans="1:9" x14ac:dyDescent="0.25">
      <c r="A4560" s="74"/>
      <c r="B4560" s="45">
        <v>1877</v>
      </c>
      <c r="C4560" s="64" t="s">
        <v>2080</v>
      </c>
      <c r="D4560" s="74"/>
      <c r="E4560" s="208" t="s">
        <v>137</v>
      </c>
      <c r="F4560" s="209" t="s">
        <v>21</v>
      </c>
      <c r="G4560" s="209" t="s">
        <v>21</v>
      </c>
      <c r="H4560" s="209" t="s">
        <v>272</v>
      </c>
      <c r="I4560" s="210"/>
    </row>
    <row r="4561" spans="1:9" x14ac:dyDescent="0.25">
      <c r="A4561" s="74"/>
      <c r="B4561" s="45">
        <v>1878</v>
      </c>
      <c r="C4561" s="64" t="s">
        <v>2081</v>
      </c>
      <c r="D4561" s="74"/>
      <c r="E4561" s="208" t="s">
        <v>137</v>
      </c>
      <c r="F4561" s="209" t="s">
        <v>21</v>
      </c>
      <c r="G4561" s="209" t="s">
        <v>21</v>
      </c>
      <c r="H4561" s="209" t="s">
        <v>272</v>
      </c>
      <c r="I4561" s="210"/>
    </row>
    <row r="4562" spans="1:9" x14ac:dyDescent="0.25">
      <c r="A4562" s="74"/>
      <c r="B4562" s="45">
        <v>1879</v>
      </c>
      <c r="C4562" s="64" t="s">
        <v>2080</v>
      </c>
      <c r="D4562" s="74"/>
      <c r="E4562" s="208" t="s">
        <v>137</v>
      </c>
      <c r="F4562" s="209" t="s">
        <v>21</v>
      </c>
      <c r="G4562" s="209" t="s">
        <v>21</v>
      </c>
      <c r="H4562" s="209" t="s">
        <v>272</v>
      </c>
      <c r="I4562" s="210"/>
    </row>
    <row r="4563" spans="1:9" x14ac:dyDescent="0.25">
      <c r="A4563" s="74"/>
      <c r="B4563" s="45">
        <v>1880</v>
      </c>
      <c r="C4563" s="64" t="s">
        <v>2082</v>
      </c>
      <c r="D4563" s="74"/>
      <c r="E4563" s="208" t="s">
        <v>137</v>
      </c>
      <c r="F4563" s="209" t="s">
        <v>21</v>
      </c>
      <c r="G4563" s="209" t="s">
        <v>21</v>
      </c>
      <c r="H4563" s="209" t="s">
        <v>272</v>
      </c>
      <c r="I4563" s="210"/>
    </row>
    <row r="4564" spans="1:9" x14ac:dyDescent="0.25">
      <c r="A4564" s="74"/>
      <c r="B4564" s="45">
        <v>1881</v>
      </c>
      <c r="C4564" s="64" t="s">
        <v>1859</v>
      </c>
      <c r="D4564" s="74"/>
      <c r="E4564" s="208" t="s">
        <v>137</v>
      </c>
      <c r="F4564" s="209" t="s">
        <v>21</v>
      </c>
      <c r="G4564" s="209" t="s">
        <v>21</v>
      </c>
      <c r="H4564" s="209" t="s">
        <v>272</v>
      </c>
      <c r="I4564" s="210"/>
    </row>
    <row r="4565" spans="1:9" x14ac:dyDescent="0.25">
      <c r="A4565" s="74"/>
      <c r="B4565" s="45">
        <v>1882</v>
      </c>
      <c r="C4565" s="64" t="s">
        <v>2083</v>
      </c>
      <c r="D4565" s="74"/>
      <c r="E4565" s="208" t="s">
        <v>137</v>
      </c>
      <c r="F4565" s="209" t="s">
        <v>21</v>
      </c>
      <c r="G4565" s="209" t="s">
        <v>21</v>
      </c>
      <c r="H4565" s="209" t="s">
        <v>272</v>
      </c>
      <c r="I4565" s="210"/>
    </row>
    <row r="4566" spans="1:9" x14ac:dyDescent="0.25">
      <c r="A4566" s="74"/>
      <c r="B4566" s="45">
        <v>1883</v>
      </c>
      <c r="C4566" s="64" t="s">
        <v>1849</v>
      </c>
      <c r="D4566" s="74"/>
      <c r="E4566" s="208" t="s">
        <v>137</v>
      </c>
      <c r="F4566" s="209" t="s">
        <v>21</v>
      </c>
      <c r="G4566" s="209" t="s">
        <v>21</v>
      </c>
      <c r="H4566" s="209" t="s">
        <v>272</v>
      </c>
      <c r="I4566" s="210"/>
    </row>
    <row r="4567" spans="1:9" x14ac:dyDescent="0.25">
      <c r="A4567" s="74"/>
      <c r="B4567" s="45">
        <v>1875</v>
      </c>
      <c r="C4567" s="64" t="s">
        <v>2014</v>
      </c>
      <c r="D4567" s="74"/>
      <c r="E4567" s="208" t="s">
        <v>137</v>
      </c>
      <c r="F4567" s="209" t="s">
        <v>21</v>
      </c>
      <c r="G4567" s="209" t="s">
        <v>21</v>
      </c>
      <c r="H4567" s="209" t="s">
        <v>272</v>
      </c>
      <c r="I4567" s="210"/>
    </row>
    <row r="4568" spans="1:9" x14ac:dyDescent="0.25">
      <c r="A4568" s="74"/>
      <c r="B4568" s="45">
        <v>1876</v>
      </c>
      <c r="C4568" s="64" t="s">
        <v>1925</v>
      </c>
      <c r="D4568" s="74"/>
      <c r="E4568" s="208" t="s">
        <v>137</v>
      </c>
      <c r="F4568" s="209" t="s">
        <v>21</v>
      </c>
      <c r="G4568" s="209" t="s">
        <v>21</v>
      </c>
      <c r="H4568" s="209" t="s">
        <v>272</v>
      </c>
      <c r="I4568" s="210"/>
    </row>
    <row r="4569" spans="1:9" x14ac:dyDescent="0.25">
      <c r="A4569" s="74"/>
      <c r="B4569" s="45">
        <v>1884</v>
      </c>
      <c r="C4569" s="64" t="s">
        <v>2084</v>
      </c>
      <c r="D4569" s="74"/>
      <c r="E4569" s="208" t="s">
        <v>137</v>
      </c>
      <c r="F4569" s="209" t="s">
        <v>21</v>
      </c>
      <c r="G4569" s="209" t="s">
        <v>21</v>
      </c>
      <c r="H4569" s="209" t="s">
        <v>272</v>
      </c>
      <c r="I4569" s="210"/>
    </row>
    <row r="4570" spans="1:9" x14ac:dyDescent="0.25">
      <c r="A4570" s="74"/>
      <c r="B4570" s="45">
        <v>1885</v>
      </c>
      <c r="C4570" s="64" t="s">
        <v>2085</v>
      </c>
      <c r="D4570" s="74"/>
      <c r="E4570" s="208" t="s">
        <v>137</v>
      </c>
      <c r="F4570" s="209" t="s">
        <v>21</v>
      </c>
      <c r="G4570" s="209" t="s">
        <v>21</v>
      </c>
      <c r="H4570" s="209" t="s">
        <v>272</v>
      </c>
      <c r="I4570" s="210"/>
    </row>
    <row r="4571" spans="1:9" x14ac:dyDescent="0.25">
      <c r="A4571" s="74"/>
      <c r="B4571" s="45">
        <v>786</v>
      </c>
      <c r="C4571" s="64" t="s">
        <v>1195</v>
      </c>
      <c r="D4571" s="74"/>
      <c r="E4571" s="208" t="s">
        <v>137</v>
      </c>
      <c r="F4571" s="209" t="s">
        <v>21</v>
      </c>
      <c r="G4571" s="209" t="s">
        <v>21</v>
      </c>
      <c r="H4571" s="209" t="s">
        <v>192</v>
      </c>
      <c r="I4571" s="210"/>
    </row>
    <row r="4572" spans="1:9" x14ac:dyDescent="0.25">
      <c r="A4572" s="74"/>
      <c r="B4572" s="45">
        <v>1886</v>
      </c>
      <c r="C4572" s="64" t="s">
        <v>2059</v>
      </c>
      <c r="D4572" s="74"/>
      <c r="E4572" s="208" t="s">
        <v>137</v>
      </c>
      <c r="F4572" s="209" t="s">
        <v>21</v>
      </c>
      <c r="G4572" s="209" t="s">
        <v>21</v>
      </c>
      <c r="H4572" s="209" t="s">
        <v>272</v>
      </c>
      <c r="I4572" s="210"/>
    </row>
    <row r="4573" spans="1:9" x14ac:dyDescent="0.25">
      <c r="A4573" s="74"/>
      <c r="B4573" s="45">
        <v>1887</v>
      </c>
      <c r="C4573" s="64" t="s">
        <v>1647</v>
      </c>
      <c r="D4573" s="74"/>
      <c r="E4573" s="208" t="s">
        <v>137</v>
      </c>
      <c r="F4573" s="209" t="s">
        <v>21</v>
      </c>
      <c r="G4573" s="209" t="s">
        <v>21</v>
      </c>
      <c r="H4573" s="209" t="s">
        <v>272</v>
      </c>
      <c r="I4573" s="210"/>
    </row>
    <row r="4574" spans="1:9" x14ac:dyDescent="0.25">
      <c r="A4574" s="74"/>
      <c r="B4574" s="45">
        <v>786</v>
      </c>
      <c r="C4574" s="64" t="s">
        <v>1195</v>
      </c>
      <c r="D4574" s="74"/>
      <c r="E4574" s="208" t="s">
        <v>137</v>
      </c>
      <c r="F4574" s="209" t="s">
        <v>21</v>
      </c>
      <c r="G4574" s="209" t="s">
        <v>21</v>
      </c>
      <c r="H4574" s="209" t="s">
        <v>192</v>
      </c>
      <c r="I4574" s="210"/>
    </row>
    <row r="4575" spans="1:9" x14ac:dyDescent="0.25">
      <c r="A4575" s="74"/>
      <c r="B4575" s="45">
        <v>785</v>
      </c>
      <c r="C4575" s="64" t="s">
        <v>1194</v>
      </c>
      <c r="D4575" s="74"/>
      <c r="E4575" s="208" t="s">
        <v>137</v>
      </c>
      <c r="F4575" s="209" t="s">
        <v>21</v>
      </c>
      <c r="G4575" s="209" t="s">
        <v>21</v>
      </c>
      <c r="H4575" s="209" t="s">
        <v>272</v>
      </c>
      <c r="I4575" s="210"/>
    </row>
    <row r="4576" spans="1:9" x14ac:dyDescent="0.25">
      <c r="A4576" s="74"/>
      <c r="B4576" s="45">
        <v>1885</v>
      </c>
      <c r="C4576" s="64" t="s">
        <v>2085</v>
      </c>
      <c r="D4576" s="74"/>
      <c r="E4576" s="208" t="s">
        <v>137</v>
      </c>
      <c r="F4576" s="209" t="s">
        <v>21</v>
      </c>
      <c r="G4576" s="209" t="s">
        <v>21</v>
      </c>
      <c r="H4576" s="209" t="s">
        <v>272</v>
      </c>
      <c r="I4576" s="210"/>
    </row>
    <row r="4577" spans="1:9" x14ac:dyDescent="0.25">
      <c r="A4577" s="74"/>
      <c r="B4577" s="45">
        <v>1886</v>
      </c>
      <c r="C4577" s="64" t="s">
        <v>2059</v>
      </c>
      <c r="D4577" s="74"/>
      <c r="E4577" s="208" t="s">
        <v>137</v>
      </c>
      <c r="F4577" s="209" t="s">
        <v>21</v>
      </c>
      <c r="G4577" s="209" t="s">
        <v>21</v>
      </c>
      <c r="H4577" s="209" t="s">
        <v>272</v>
      </c>
      <c r="I4577" s="210"/>
    </row>
    <row r="4578" spans="1:9" x14ac:dyDescent="0.25">
      <c r="A4578" s="74"/>
      <c r="B4578" s="45">
        <v>1887</v>
      </c>
      <c r="C4578" s="64" t="s">
        <v>1647</v>
      </c>
      <c r="D4578" s="74"/>
      <c r="E4578" s="208" t="s">
        <v>137</v>
      </c>
      <c r="F4578" s="209" t="s">
        <v>21</v>
      </c>
      <c r="G4578" s="209" t="s">
        <v>21</v>
      </c>
      <c r="H4578" s="209" t="s">
        <v>272</v>
      </c>
      <c r="I4578" s="210"/>
    </row>
    <row r="4579" spans="1:9" x14ac:dyDescent="0.25">
      <c r="A4579" s="74"/>
      <c r="B4579" s="45">
        <v>786</v>
      </c>
      <c r="C4579" s="64" t="s">
        <v>1195</v>
      </c>
      <c r="D4579" s="74"/>
      <c r="E4579" s="208" t="s">
        <v>137</v>
      </c>
      <c r="F4579" s="209" t="s">
        <v>21</v>
      </c>
      <c r="G4579" s="209" t="s">
        <v>21</v>
      </c>
      <c r="H4579" s="209" t="s">
        <v>192</v>
      </c>
      <c r="I4579" s="210"/>
    </row>
    <row r="4580" spans="1:9" x14ac:dyDescent="0.25">
      <c r="A4580" s="74"/>
      <c r="B4580" s="45">
        <v>785</v>
      </c>
      <c r="C4580" s="64" t="s">
        <v>1194</v>
      </c>
      <c r="D4580" s="74"/>
      <c r="E4580" s="208" t="s">
        <v>137</v>
      </c>
      <c r="F4580" s="209" t="s">
        <v>21</v>
      </c>
      <c r="G4580" s="209" t="s">
        <v>21</v>
      </c>
      <c r="H4580" s="209" t="s">
        <v>272</v>
      </c>
      <c r="I4580" s="210"/>
    </row>
    <row r="4581" spans="1:9" x14ac:dyDescent="0.25">
      <c r="A4581" s="74"/>
      <c r="B4581" s="45">
        <v>1885</v>
      </c>
      <c r="C4581" s="64" t="s">
        <v>2085</v>
      </c>
      <c r="D4581" s="74"/>
      <c r="E4581" s="208" t="s">
        <v>137</v>
      </c>
      <c r="F4581" s="209" t="s">
        <v>21</v>
      </c>
      <c r="G4581" s="209" t="s">
        <v>21</v>
      </c>
      <c r="H4581" s="209" t="s">
        <v>272</v>
      </c>
      <c r="I4581" s="210"/>
    </row>
    <row r="4582" spans="1:9" x14ac:dyDescent="0.25">
      <c r="A4582" s="74"/>
      <c r="B4582" s="45">
        <v>1886</v>
      </c>
      <c r="C4582" s="64" t="s">
        <v>2059</v>
      </c>
      <c r="D4582" s="74"/>
      <c r="E4582" s="208" t="s">
        <v>137</v>
      </c>
      <c r="F4582" s="209" t="s">
        <v>21</v>
      </c>
      <c r="G4582" s="209" t="s">
        <v>21</v>
      </c>
      <c r="H4582" s="209" t="s">
        <v>272</v>
      </c>
      <c r="I4582" s="210"/>
    </row>
    <row r="4583" spans="1:9" x14ac:dyDescent="0.25">
      <c r="A4583" s="74"/>
      <c r="B4583" s="45">
        <v>1887</v>
      </c>
      <c r="C4583" s="64" t="s">
        <v>1647</v>
      </c>
      <c r="D4583" s="74"/>
      <c r="E4583" s="208" t="s">
        <v>137</v>
      </c>
      <c r="F4583" s="209" t="s">
        <v>21</v>
      </c>
      <c r="G4583" s="209" t="s">
        <v>21</v>
      </c>
      <c r="H4583" s="209" t="s">
        <v>272</v>
      </c>
      <c r="I4583" s="210"/>
    </row>
    <row r="4584" spans="1:9" x14ac:dyDescent="0.25">
      <c r="A4584" s="74"/>
      <c r="B4584" s="45">
        <v>786</v>
      </c>
      <c r="C4584" s="64" t="s">
        <v>1195</v>
      </c>
      <c r="D4584" s="74"/>
      <c r="E4584" s="208" t="s">
        <v>137</v>
      </c>
      <c r="F4584" s="209" t="s">
        <v>21</v>
      </c>
      <c r="G4584" s="209" t="s">
        <v>21</v>
      </c>
      <c r="H4584" s="209" t="s">
        <v>192</v>
      </c>
      <c r="I4584" s="210"/>
    </row>
    <row r="4585" spans="1:9" x14ac:dyDescent="0.25">
      <c r="A4585" s="74"/>
      <c r="B4585" s="45">
        <v>785</v>
      </c>
      <c r="C4585" s="64" t="s">
        <v>1194</v>
      </c>
      <c r="D4585" s="74"/>
      <c r="E4585" s="208" t="s">
        <v>137</v>
      </c>
      <c r="F4585" s="209" t="s">
        <v>21</v>
      </c>
      <c r="G4585" s="209" t="s">
        <v>21</v>
      </c>
      <c r="H4585" s="209" t="s">
        <v>272</v>
      </c>
      <c r="I4585" s="210"/>
    </row>
    <row r="4586" spans="1:9" x14ac:dyDescent="0.25">
      <c r="A4586" s="74"/>
      <c r="B4586" s="45">
        <v>1885</v>
      </c>
      <c r="C4586" s="64" t="s">
        <v>2085</v>
      </c>
      <c r="D4586" s="74"/>
      <c r="E4586" s="208" t="s">
        <v>137</v>
      </c>
      <c r="F4586" s="209" t="s">
        <v>21</v>
      </c>
      <c r="G4586" s="209" t="s">
        <v>21</v>
      </c>
      <c r="H4586" s="209" t="s">
        <v>272</v>
      </c>
      <c r="I4586" s="210"/>
    </row>
    <row r="4587" spans="1:9" x14ac:dyDescent="0.25">
      <c r="A4587" s="74"/>
      <c r="B4587" s="45">
        <v>1886</v>
      </c>
      <c r="C4587" s="64" t="s">
        <v>2059</v>
      </c>
      <c r="D4587" s="74"/>
      <c r="E4587" s="208" t="s">
        <v>137</v>
      </c>
      <c r="F4587" s="209" t="s">
        <v>21</v>
      </c>
      <c r="G4587" s="209" t="s">
        <v>21</v>
      </c>
      <c r="H4587" s="209" t="s">
        <v>272</v>
      </c>
      <c r="I4587" s="210"/>
    </row>
    <row r="4588" spans="1:9" x14ac:dyDescent="0.25">
      <c r="A4588" s="74"/>
      <c r="B4588" s="45">
        <v>1887</v>
      </c>
      <c r="C4588" s="64" t="s">
        <v>1647</v>
      </c>
      <c r="D4588" s="74"/>
      <c r="E4588" s="208" t="s">
        <v>137</v>
      </c>
      <c r="F4588" s="209" t="s">
        <v>21</v>
      </c>
      <c r="G4588" s="209" t="s">
        <v>21</v>
      </c>
      <c r="H4588" s="209" t="s">
        <v>272</v>
      </c>
      <c r="I4588" s="210"/>
    </row>
    <row r="4589" spans="1:9" x14ac:dyDescent="0.25">
      <c r="A4589" s="74"/>
      <c r="B4589" s="45">
        <v>786</v>
      </c>
      <c r="C4589" s="64" t="s">
        <v>1195</v>
      </c>
      <c r="D4589" s="74"/>
      <c r="E4589" s="208" t="s">
        <v>137</v>
      </c>
      <c r="F4589" s="209" t="s">
        <v>21</v>
      </c>
      <c r="G4589" s="209" t="s">
        <v>21</v>
      </c>
      <c r="H4589" s="209" t="s">
        <v>192</v>
      </c>
      <c r="I4589" s="210"/>
    </row>
    <row r="4590" spans="1:9" x14ac:dyDescent="0.25">
      <c r="A4590" s="74"/>
      <c r="B4590" s="45">
        <v>785</v>
      </c>
      <c r="C4590" s="64" t="s">
        <v>1194</v>
      </c>
      <c r="D4590" s="74"/>
      <c r="E4590" s="208" t="s">
        <v>137</v>
      </c>
      <c r="F4590" s="209" t="s">
        <v>21</v>
      </c>
      <c r="G4590" s="209" t="s">
        <v>21</v>
      </c>
      <c r="H4590" s="209" t="s">
        <v>272</v>
      </c>
      <c r="I4590" s="210"/>
    </row>
    <row r="4591" spans="1:9" x14ac:dyDescent="0.25">
      <c r="A4591" s="74"/>
      <c r="B4591" s="45">
        <v>1885</v>
      </c>
      <c r="C4591" s="64" t="s">
        <v>2085</v>
      </c>
      <c r="D4591" s="74"/>
      <c r="E4591" s="208" t="s">
        <v>137</v>
      </c>
      <c r="F4591" s="209" t="s">
        <v>21</v>
      </c>
      <c r="G4591" s="209" t="s">
        <v>21</v>
      </c>
      <c r="H4591" s="209" t="s">
        <v>272</v>
      </c>
      <c r="I4591" s="210"/>
    </row>
    <row r="4592" spans="1:9" x14ac:dyDescent="0.25">
      <c r="A4592" s="74"/>
      <c r="B4592" s="45">
        <v>1885</v>
      </c>
      <c r="C4592" s="64" t="s">
        <v>2085</v>
      </c>
      <c r="D4592" s="74"/>
      <c r="E4592" s="208" t="s">
        <v>137</v>
      </c>
      <c r="F4592" s="209" t="s">
        <v>21</v>
      </c>
      <c r="G4592" s="209" t="s">
        <v>21</v>
      </c>
      <c r="H4592" s="209" t="s">
        <v>272</v>
      </c>
      <c r="I4592" s="210"/>
    </row>
    <row r="4593" spans="1:9" x14ac:dyDescent="0.25">
      <c r="A4593" s="74"/>
      <c r="B4593" s="45">
        <v>786</v>
      </c>
      <c r="C4593" s="64" t="s">
        <v>1195</v>
      </c>
      <c r="D4593" s="74"/>
      <c r="E4593" s="208" t="s">
        <v>137</v>
      </c>
      <c r="F4593" s="209" t="s">
        <v>21</v>
      </c>
      <c r="G4593" s="209" t="s">
        <v>21</v>
      </c>
      <c r="H4593" s="209" t="s">
        <v>192</v>
      </c>
      <c r="I4593" s="210"/>
    </row>
    <row r="4594" spans="1:9" x14ac:dyDescent="0.25">
      <c r="A4594" s="74"/>
      <c r="B4594" s="45">
        <v>794</v>
      </c>
      <c r="C4594" s="64" t="s">
        <v>1203</v>
      </c>
      <c r="D4594" s="74"/>
      <c r="E4594" s="208" t="s">
        <v>137</v>
      </c>
      <c r="F4594" s="209" t="s">
        <v>21</v>
      </c>
      <c r="G4594" s="209" t="s">
        <v>21</v>
      </c>
      <c r="H4594" s="209" t="s">
        <v>192</v>
      </c>
      <c r="I4594" s="210"/>
    </row>
    <row r="4595" spans="1:9" x14ac:dyDescent="0.25">
      <c r="A4595" s="74"/>
      <c r="B4595" s="45">
        <v>1888</v>
      </c>
      <c r="C4595" s="64" t="s">
        <v>1868</v>
      </c>
      <c r="D4595" s="74"/>
      <c r="E4595" s="208" t="s">
        <v>137</v>
      </c>
      <c r="F4595" s="209" t="s">
        <v>21</v>
      </c>
      <c r="G4595" s="209" t="s">
        <v>21</v>
      </c>
      <c r="H4595" s="209" t="s">
        <v>272</v>
      </c>
      <c r="I4595" s="210"/>
    </row>
    <row r="4596" spans="1:9" x14ac:dyDescent="0.25">
      <c r="A4596" s="74"/>
      <c r="B4596" s="45">
        <v>1889</v>
      </c>
      <c r="C4596" s="64" t="s">
        <v>2086</v>
      </c>
      <c r="D4596" s="74"/>
      <c r="E4596" s="208" t="s">
        <v>137</v>
      </c>
      <c r="F4596" s="209" t="s">
        <v>21</v>
      </c>
      <c r="G4596" s="209" t="s">
        <v>21</v>
      </c>
      <c r="H4596" s="209" t="s">
        <v>272</v>
      </c>
      <c r="I4596" s="210"/>
    </row>
    <row r="4597" spans="1:9" x14ac:dyDescent="0.25">
      <c r="A4597" s="74"/>
      <c r="B4597" s="45">
        <v>1890</v>
      </c>
      <c r="C4597" s="64" t="s">
        <v>2008</v>
      </c>
      <c r="D4597" s="74"/>
      <c r="E4597" s="208" t="s">
        <v>137</v>
      </c>
      <c r="F4597" s="209" t="s">
        <v>21</v>
      </c>
      <c r="G4597" s="209" t="s">
        <v>21</v>
      </c>
      <c r="H4597" s="209" t="s">
        <v>272</v>
      </c>
      <c r="I4597" s="210"/>
    </row>
    <row r="4598" spans="1:9" x14ac:dyDescent="0.25">
      <c r="A4598" s="74"/>
      <c r="B4598" s="45">
        <v>1888</v>
      </c>
      <c r="C4598" s="64" t="s">
        <v>1868</v>
      </c>
      <c r="D4598" s="74"/>
      <c r="E4598" s="208" t="s">
        <v>137</v>
      </c>
      <c r="F4598" s="209" t="s">
        <v>21</v>
      </c>
      <c r="G4598" s="209" t="s">
        <v>21</v>
      </c>
      <c r="H4598" s="209" t="s">
        <v>272</v>
      </c>
      <c r="I4598" s="210"/>
    </row>
    <row r="4599" spans="1:9" x14ac:dyDescent="0.25">
      <c r="A4599" s="74"/>
      <c r="B4599" s="45">
        <v>1890</v>
      </c>
      <c r="C4599" s="64" t="s">
        <v>2008</v>
      </c>
      <c r="D4599" s="74"/>
      <c r="E4599" s="208" t="s">
        <v>137</v>
      </c>
      <c r="F4599" s="209" t="s">
        <v>21</v>
      </c>
      <c r="G4599" s="209" t="s">
        <v>21</v>
      </c>
      <c r="H4599" s="209" t="s">
        <v>272</v>
      </c>
      <c r="I4599" s="210"/>
    </row>
    <row r="4600" spans="1:9" x14ac:dyDescent="0.25">
      <c r="A4600" s="74"/>
      <c r="B4600" s="45">
        <v>1889</v>
      </c>
      <c r="C4600" s="64" t="s">
        <v>2086</v>
      </c>
      <c r="D4600" s="74"/>
      <c r="E4600" s="208" t="s">
        <v>137</v>
      </c>
      <c r="F4600" s="209" t="s">
        <v>21</v>
      </c>
      <c r="G4600" s="209" t="s">
        <v>21</v>
      </c>
      <c r="H4600" s="209" t="s">
        <v>272</v>
      </c>
      <c r="I4600" s="210"/>
    </row>
    <row r="4601" spans="1:9" x14ac:dyDescent="0.25">
      <c r="A4601" s="74"/>
      <c r="B4601" s="45">
        <v>794</v>
      </c>
      <c r="C4601" s="64" t="s">
        <v>1203</v>
      </c>
      <c r="D4601" s="74"/>
      <c r="E4601" s="208" t="s">
        <v>137</v>
      </c>
      <c r="F4601" s="209" t="s">
        <v>21</v>
      </c>
      <c r="G4601" s="209" t="s">
        <v>21</v>
      </c>
      <c r="H4601" s="209" t="s">
        <v>192</v>
      </c>
      <c r="I4601" s="210"/>
    </row>
    <row r="4602" spans="1:9" x14ac:dyDescent="0.25">
      <c r="A4602" s="74"/>
      <c r="B4602" s="45">
        <v>1888</v>
      </c>
      <c r="C4602" s="64" t="s">
        <v>1868</v>
      </c>
      <c r="D4602" s="74"/>
      <c r="E4602" s="208" t="s">
        <v>137</v>
      </c>
      <c r="F4602" s="209" t="s">
        <v>21</v>
      </c>
      <c r="G4602" s="209" t="s">
        <v>21</v>
      </c>
      <c r="H4602" s="209" t="s">
        <v>272</v>
      </c>
      <c r="I4602" s="210"/>
    </row>
    <row r="4603" spans="1:9" x14ac:dyDescent="0.25">
      <c r="A4603" s="74"/>
      <c r="B4603" s="45">
        <v>1890</v>
      </c>
      <c r="C4603" s="64" t="s">
        <v>2008</v>
      </c>
      <c r="D4603" s="74"/>
      <c r="E4603" s="208" t="s">
        <v>137</v>
      </c>
      <c r="F4603" s="209" t="s">
        <v>21</v>
      </c>
      <c r="G4603" s="209" t="s">
        <v>21</v>
      </c>
      <c r="H4603" s="209" t="s">
        <v>272</v>
      </c>
      <c r="I4603" s="210"/>
    </row>
    <row r="4604" spans="1:9" x14ac:dyDescent="0.25">
      <c r="A4604" s="74"/>
      <c r="B4604" s="45">
        <v>1889</v>
      </c>
      <c r="C4604" s="64" t="s">
        <v>2086</v>
      </c>
      <c r="D4604" s="74"/>
      <c r="E4604" s="208" t="s">
        <v>137</v>
      </c>
      <c r="F4604" s="209" t="s">
        <v>21</v>
      </c>
      <c r="G4604" s="209" t="s">
        <v>21</v>
      </c>
      <c r="H4604" s="209" t="s">
        <v>272</v>
      </c>
      <c r="I4604" s="210"/>
    </row>
    <row r="4605" spans="1:9" x14ac:dyDescent="0.25">
      <c r="A4605" s="74"/>
      <c r="B4605" s="45">
        <v>794</v>
      </c>
      <c r="C4605" s="64" t="s">
        <v>1203</v>
      </c>
      <c r="D4605" s="74"/>
      <c r="E4605" s="208" t="s">
        <v>137</v>
      </c>
      <c r="F4605" s="209" t="s">
        <v>21</v>
      </c>
      <c r="G4605" s="209" t="s">
        <v>21</v>
      </c>
      <c r="H4605" s="209" t="s">
        <v>192</v>
      </c>
      <c r="I4605" s="210"/>
    </row>
    <row r="4606" spans="1:9" x14ac:dyDescent="0.25">
      <c r="A4606" s="74"/>
      <c r="B4606" s="45">
        <v>1888</v>
      </c>
      <c r="C4606" s="64" t="s">
        <v>1868</v>
      </c>
      <c r="D4606" s="74"/>
      <c r="E4606" s="208" t="s">
        <v>137</v>
      </c>
      <c r="F4606" s="209" t="s">
        <v>21</v>
      </c>
      <c r="G4606" s="209" t="s">
        <v>21</v>
      </c>
      <c r="H4606" s="209" t="s">
        <v>272</v>
      </c>
      <c r="I4606" s="210"/>
    </row>
    <row r="4607" spans="1:9" x14ac:dyDescent="0.25">
      <c r="A4607" s="74"/>
      <c r="B4607" s="45">
        <v>1890</v>
      </c>
      <c r="C4607" s="64" t="s">
        <v>2008</v>
      </c>
      <c r="D4607" s="74"/>
      <c r="E4607" s="208" t="s">
        <v>137</v>
      </c>
      <c r="F4607" s="209" t="s">
        <v>21</v>
      </c>
      <c r="G4607" s="209" t="s">
        <v>21</v>
      </c>
      <c r="H4607" s="209" t="s">
        <v>272</v>
      </c>
      <c r="I4607" s="210"/>
    </row>
    <row r="4608" spans="1:9" x14ac:dyDescent="0.25">
      <c r="A4608" s="74"/>
      <c r="B4608" s="45">
        <v>1889</v>
      </c>
      <c r="C4608" s="64" t="s">
        <v>2086</v>
      </c>
      <c r="D4608" s="74"/>
      <c r="E4608" s="208" t="s">
        <v>137</v>
      </c>
      <c r="F4608" s="209" t="s">
        <v>21</v>
      </c>
      <c r="G4608" s="209" t="s">
        <v>21</v>
      </c>
      <c r="H4608" s="209" t="s">
        <v>272</v>
      </c>
      <c r="I4608" s="210"/>
    </row>
    <row r="4609" spans="1:9" x14ac:dyDescent="0.25">
      <c r="A4609" s="74"/>
      <c r="B4609" s="45">
        <v>794</v>
      </c>
      <c r="C4609" s="64" t="s">
        <v>1203</v>
      </c>
      <c r="D4609" s="74"/>
      <c r="E4609" s="208" t="s">
        <v>137</v>
      </c>
      <c r="F4609" s="209" t="s">
        <v>21</v>
      </c>
      <c r="G4609" s="209" t="s">
        <v>21</v>
      </c>
      <c r="H4609" s="209" t="s">
        <v>192</v>
      </c>
      <c r="I4609" s="210"/>
    </row>
    <row r="4610" spans="1:9" x14ac:dyDescent="0.25">
      <c r="A4610" s="74"/>
      <c r="B4610" s="45">
        <v>1888</v>
      </c>
      <c r="C4610" s="64" t="s">
        <v>1868</v>
      </c>
      <c r="D4610" s="74"/>
      <c r="E4610" s="208" t="s">
        <v>137</v>
      </c>
      <c r="F4610" s="209" t="s">
        <v>21</v>
      </c>
      <c r="G4610" s="209" t="s">
        <v>21</v>
      </c>
      <c r="H4610" s="209" t="s">
        <v>272</v>
      </c>
      <c r="I4610" s="210"/>
    </row>
    <row r="4611" spans="1:9" x14ac:dyDescent="0.25">
      <c r="A4611" s="74"/>
      <c r="B4611" s="45">
        <v>1890</v>
      </c>
      <c r="C4611" s="64" t="s">
        <v>2008</v>
      </c>
      <c r="D4611" s="74"/>
      <c r="E4611" s="208" t="s">
        <v>137</v>
      </c>
      <c r="F4611" s="209" t="s">
        <v>21</v>
      </c>
      <c r="G4611" s="209" t="s">
        <v>21</v>
      </c>
      <c r="H4611" s="209" t="s">
        <v>272</v>
      </c>
      <c r="I4611" s="210"/>
    </row>
    <row r="4612" spans="1:9" x14ac:dyDescent="0.25">
      <c r="A4612" s="74"/>
      <c r="B4612" s="45">
        <v>1889</v>
      </c>
      <c r="C4612" s="64" t="s">
        <v>2086</v>
      </c>
      <c r="D4612" s="74"/>
      <c r="E4612" s="208" t="s">
        <v>137</v>
      </c>
      <c r="F4612" s="209" t="s">
        <v>21</v>
      </c>
      <c r="G4612" s="209" t="s">
        <v>21</v>
      </c>
      <c r="H4612" s="209" t="s">
        <v>272</v>
      </c>
      <c r="I4612" s="210"/>
    </row>
    <row r="4613" spans="1:9" x14ac:dyDescent="0.25">
      <c r="A4613" s="74"/>
      <c r="B4613" s="45">
        <v>794</v>
      </c>
      <c r="C4613" s="64" t="s">
        <v>1203</v>
      </c>
      <c r="D4613" s="74"/>
      <c r="E4613" s="208" t="s">
        <v>137</v>
      </c>
      <c r="F4613" s="209" t="s">
        <v>21</v>
      </c>
      <c r="G4613" s="209" t="s">
        <v>21</v>
      </c>
      <c r="H4613" s="209" t="s">
        <v>192</v>
      </c>
      <c r="I4613" s="210"/>
    </row>
    <row r="4614" spans="1:9" x14ac:dyDescent="0.25">
      <c r="A4614" s="74"/>
      <c r="B4614" s="45">
        <v>1891</v>
      </c>
      <c r="C4614" s="64" t="s">
        <v>2087</v>
      </c>
      <c r="D4614" s="74"/>
      <c r="E4614" s="208" t="s">
        <v>136</v>
      </c>
      <c r="F4614" s="209" t="s">
        <v>21</v>
      </c>
      <c r="G4614" s="209" t="s">
        <v>21</v>
      </c>
      <c r="H4614" s="209" t="s">
        <v>272</v>
      </c>
      <c r="I4614" s="210"/>
    </row>
    <row r="4615" spans="1:9" x14ac:dyDescent="0.25">
      <c r="A4615" s="74"/>
      <c r="B4615" s="45">
        <v>1892</v>
      </c>
      <c r="C4615" s="64" t="s">
        <v>2088</v>
      </c>
      <c r="D4615" s="74"/>
      <c r="E4615" s="208" t="s">
        <v>136</v>
      </c>
      <c r="F4615" s="209" t="s">
        <v>21</v>
      </c>
      <c r="G4615" s="209" t="s">
        <v>21</v>
      </c>
      <c r="H4615" s="209" t="s">
        <v>272</v>
      </c>
      <c r="I4615" s="210"/>
    </row>
    <row r="4616" spans="1:9" x14ac:dyDescent="0.25">
      <c r="A4616" s="74"/>
      <c r="B4616" s="45">
        <v>1893</v>
      </c>
      <c r="C4616" s="64" t="s">
        <v>1728</v>
      </c>
      <c r="D4616" s="74"/>
      <c r="E4616" s="208" t="s">
        <v>137</v>
      </c>
      <c r="F4616" s="209" t="s">
        <v>21</v>
      </c>
      <c r="G4616" s="209" t="s">
        <v>21</v>
      </c>
      <c r="H4616" s="209" t="s">
        <v>16</v>
      </c>
      <c r="I4616" s="210"/>
    </row>
    <row r="4617" spans="1:9" x14ac:dyDescent="0.25">
      <c r="A4617" s="74"/>
      <c r="B4617" s="45">
        <v>1894</v>
      </c>
      <c r="C4617" s="64" t="s">
        <v>2089</v>
      </c>
      <c r="D4617" s="74"/>
      <c r="E4617" s="208" t="s">
        <v>136</v>
      </c>
      <c r="F4617" s="209" t="s">
        <v>21</v>
      </c>
      <c r="G4617" s="209" t="s">
        <v>21</v>
      </c>
      <c r="H4617" s="209" t="s">
        <v>16</v>
      </c>
      <c r="I4617" s="210"/>
    </row>
    <row r="4618" spans="1:9" x14ac:dyDescent="0.25">
      <c r="A4618" s="74"/>
      <c r="B4618" s="45">
        <v>744</v>
      </c>
      <c r="C4618" s="64" t="s">
        <v>1153</v>
      </c>
      <c r="D4618" s="74"/>
      <c r="E4618" s="208" t="s">
        <v>137</v>
      </c>
      <c r="F4618" s="209" t="s">
        <v>21</v>
      </c>
      <c r="G4618" s="209" t="s">
        <v>21</v>
      </c>
      <c r="H4618" s="209" t="s">
        <v>193</v>
      </c>
      <c r="I4618" s="210"/>
    </row>
    <row r="4619" spans="1:9" x14ac:dyDescent="0.25">
      <c r="A4619" s="74"/>
      <c r="B4619" s="45">
        <v>1895</v>
      </c>
      <c r="C4619" s="64" t="s">
        <v>2090</v>
      </c>
      <c r="D4619" s="74"/>
      <c r="E4619" s="208" t="s">
        <v>137</v>
      </c>
      <c r="F4619" s="209" t="s">
        <v>21</v>
      </c>
      <c r="G4619" s="209" t="s">
        <v>21</v>
      </c>
      <c r="H4619" s="209" t="s">
        <v>16</v>
      </c>
      <c r="I4619" s="210"/>
    </row>
    <row r="4620" spans="1:9" x14ac:dyDescent="0.25">
      <c r="A4620" s="74"/>
      <c r="B4620" s="45">
        <v>1816</v>
      </c>
      <c r="C4620" s="64" t="s">
        <v>2034</v>
      </c>
      <c r="D4620" s="74"/>
      <c r="E4620" s="208" t="s">
        <v>138</v>
      </c>
      <c r="F4620" s="209" t="s">
        <v>21</v>
      </c>
      <c r="G4620" s="209" t="s">
        <v>21</v>
      </c>
      <c r="H4620" s="209" t="s">
        <v>272</v>
      </c>
      <c r="I4620" s="210"/>
    </row>
    <row r="4621" spans="1:9" x14ac:dyDescent="0.25">
      <c r="A4621" s="74"/>
      <c r="B4621" s="45">
        <v>1816</v>
      </c>
      <c r="C4621" s="64" t="s">
        <v>2034</v>
      </c>
      <c r="D4621" s="74"/>
      <c r="E4621" s="208" t="s">
        <v>138</v>
      </c>
      <c r="F4621" s="209" t="s">
        <v>21</v>
      </c>
      <c r="G4621" s="209" t="s">
        <v>21</v>
      </c>
      <c r="H4621" s="209" t="s">
        <v>272</v>
      </c>
      <c r="I4621" s="210"/>
    </row>
    <row r="4622" spans="1:9" x14ac:dyDescent="0.25">
      <c r="A4622" s="74"/>
      <c r="B4622" s="45">
        <v>1896</v>
      </c>
      <c r="C4622" s="64" t="s">
        <v>2091</v>
      </c>
      <c r="D4622" s="74"/>
      <c r="E4622" s="208" t="s">
        <v>143</v>
      </c>
      <c r="F4622" s="209" t="s">
        <v>21</v>
      </c>
      <c r="G4622" s="209" t="s">
        <v>21</v>
      </c>
      <c r="H4622" s="209" t="s">
        <v>189</v>
      </c>
      <c r="I4622" s="210"/>
    </row>
    <row r="4623" spans="1:9" x14ac:dyDescent="0.25">
      <c r="A4623" s="74"/>
      <c r="B4623" s="45">
        <v>1724</v>
      </c>
      <c r="C4623" s="64" t="s">
        <v>1868</v>
      </c>
      <c r="D4623" s="74"/>
      <c r="E4623" s="208" t="s">
        <v>143</v>
      </c>
      <c r="F4623" s="209" t="s">
        <v>21</v>
      </c>
      <c r="G4623" s="209" t="s">
        <v>21</v>
      </c>
      <c r="H4623" s="209" t="s">
        <v>189</v>
      </c>
      <c r="I4623" s="210"/>
    </row>
    <row r="4624" spans="1:9" x14ac:dyDescent="0.25">
      <c r="A4624" s="74"/>
      <c r="B4624" s="45">
        <v>1897</v>
      </c>
      <c r="C4624" s="64" t="s">
        <v>1582</v>
      </c>
      <c r="D4624" s="74"/>
      <c r="E4624" s="208" t="s">
        <v>143</v>
      </c>
      <c r="F4624" s="209" t="s">
        <v>21</v>
      </c>
      <c r="G4624" s="209" t="s">
        <v>21</v>
      </c>
      <c r="H4624" s="209" t="s">
        <v>272</v>
      </c>
      <c r="I4624" s="210"/>
    </row>
    <row r="4625" spans="1:9" x14ac:dyDescent="0.25">
      <c r="A4625" s="74"/>
      <c r="B4625" s="45">
        <v>1898</v>
      </c>
      <c r="C4625" s="64" t="s">
        <v>2092</v>
      </c>
      <c r="D4625" s="74"/>
      <c r="E4625" s="208" t="s">
        <v>143</v>
      </c>
      <c r="F4625" s="209" t="s">
        <v>21</v>
      </c>
      <c r="G4625" s="209" t="s">
        <v>21</v>
      </c>
      <c r="H4625" s="209" t="s">
        <v>272</v>
      </c>
      <c r="I4625" s="210"/>
    </row>
    <row r="4626" spans="1:9" x14ac:dyDescent="0.25">
      <c r="A4626" s="74"/>
      <c r="B4626" s="45">
        <v>1899</v>
      </c>
      <c r="C4626" s="64" t="s">
        <v>2093</v>
      </c>
      <c r="D4626" s="74"/>
      <c r="E4626" s="208" t="s">
        <v>143</v>
      </c>
      <c r="F4626" s="209" t="s">
        <v>21</v>
      </c>
      <c r="G4626" s="209" t="s">
        <v>21</v>
      </c>
      <c r="H4626" s="209" t="s">
        <v>272</v>
      </c>
      <c r="I4626" s="210"/>
    </row>
    <row r="4627" spans="1:9" x14ac:dyDescent="0.25">
      <c r="A4627" s="74"/>
      <c r="B4627" s="45">
        <v>1900</v>
      </c>
      <c r="C4627" s="64" t="s">
        <v>2094</v>
      </c>
      <c r="D4627" s="74"/>
      <c r="E4627" s="208" t="s">
        <v>143</v>
      </c>
      <c r="F4627" s="209" t="s">
        <v>21</v>
      </c>
      <c r="G4627" s="209" t="s">
        <v>21</v>
      </c>
      <c r="H4627" s="209" t="s">
        <v>272</v>
      </c>
      <c r="I4627" s="210"/>
    </row>
    <row r="4628" spans="1:9" x14ac:dyDescent="0.25">
      <c r="A4628" s="74"/>
      <c r="B4628" s="45">
        <v>1901</v>
      </c>
      <c r="C4628" s="64" t="s">
        <v>2095</v>
      </c>
      <c r="D4628" s="74"/>
      <c r="E4628" s="208" t="s">
        <v>143</v>
      </c>
      <c r="F4628" s="209" t="s">
        <v>21</v>
      </c>
      <c r="G4628" s="209" t="s">
        <v>21</v>
      </c>
      <c r="H4628" s="209" t="s">
        <v>272</v>
      </c>
      <c r="I4628" s="210"/>
    </row>
    <row r="4629" spans="1:9" x14ac:dyDescent="0.25">
      <c r="A4629" s="74"/>
      <c r="B4629" s="45">
        <v>1902</v>
      </c>
      <c r="C4629" s="64" t="s">
        <v>1925</v>
      </c>
      <c r="D4629" s="74"/>
      <c r="E4629" s="208" t="s">
        <v>143</v>
      </c>
      <c r="F4629" s="209" t="s">
        <v>21</v>
      </c>
      <c r="G4629" s="209" t="s">
        <v>21</v>
      </c>
      <c r="H4629" s="209" t="s">
        <v>272</v>
      </c>
      <c r="I4629" s="210"/>
    </row>
    <row r="4630" spans="1:9" x14ac:dyDescent="0.25">
      <c r="A4630" s="74"/>
      <c r="B4630" s="45">
        <v>1903</v>
      </c>
      <c r="C4630" s="64" t="s">
        <v>2013</v>
      </c>
      <c r="D4630" s="74"/>
      <c r="E4630" s="208" t="s">
        <v>143</v>
      </c>
      <c r="F4630" s="209" t="s">
        <v>21</v>
      </c>
      <c r="G4630" s="209" t="s">
        <v>21</v>
      </c>
      <c r="H4630" s="209" t="s">
        <v>192</v>
      </c>
      <c r="I4630" s="210"/>
    </row>
    <row r="4631" spans="1:9" x14ac:dyDescent="0.25">
      <c r="A4631" s="74"/>
      <c r="B4631" s="45">
        <v>1897</v>
      </c>
      <c r="C4631" s="64" t="s">
        <v>1582</v>
      </c>
      <c r="D4631" s="74"/>
      <c r="E4631" s="208" t="s">
        <v>143</v>
      </c>
      <c r="F4631" s="209" t="s">
        <v>21</v>
      </c>
      <c r="G4631" s="209" t="s">
        <v>21</v>
      </c>
      <c r="H4631" s="209" t="s">
        <v>272</v>
      </c>
      <c r="I4631" s="210"/>
    </row>
    <row r="4632" spans="1:9" x14ac:dyDescent="0.25">
      <c r="A4632" s="74"/>
      <c r="B4632" s="45">
        <v>1898</v>
      </c>
      <c r="C4632" s="64" t="s">
        <v>2092</v>
      </c>
      <c r="D4632" s="74"/>
      <c r="E4632" s="208" t="s">
        <v>143</v>
      </c>
      <c r="F4632" s="209" t="s">
        <v>21</v>
      </c>
      <c r="G4632" s="209" t="s">
        <v>21</v>
      </c>
      <c r="H4632" s="209" t="s">
        <v>272</v>
      </c>
      <c r="I4632" s="210"/>
    </row>
    <row r="4633" spans="1:9" x14ac:dyDescent="0.25">
      <c r="A4633" s="74"/>
      <c r="B4633" s="45">
        <v>1899</v>
      </c>
      <c r="C4633" s="64" t="s">
        <v>2093</v>
      </c>
      <c r="D4633" s="74"/>
      <c r="E4633" s="208" t="s">
        <v>143</v>
      </c>
      <c r="F4633" s="209" t="s">
        <v>21</v>
      </c>
      <c r="G4633" s="209" t="s">
        <v>21</v>
      </c>
      <c r="H4633" s="209" t="s">
        <v>272</v>
      </c>
      <c r="I4633" s="210"/>
    </row>
    <row r="4634" spans="1:9" x14ac:dyDescent="0.25">
      <c r="A4634" s="74"/>
      <c r="B4634" s="45">
        <v>1900</v>
      </c>
      <c r="C4634" s="64" t="s">
        <v>2094</v>
      </c>
      <c r="D4634" s="74"/>
      <c r="E4634" s="208" t="s">
        <v>143</v>
      </c>
      <c r="F4634" s="209" t="s">
        <v>21</v>
      </c>
      <c r="G4634" s="209" t="s">
        <v>21</v>
      </c>
      <c r="H4634" s="209" t="s">
        <v>272</v>
      </c>
      <c r="I4634" s="210"/>
    </row>
    <row r="4635" spans="1:9" x14ac:dyDescent="0.25">
      <c r="A4635" s="74"/>
      <c r="B4635" s="45">
        <v>1901</v>
      </c>
      <c r="C4635" s="64" t="s">
        <v>2095</v>
      </c>
      <c r="D4635" s="74"/>
      <c r="E4635" s="208" t="s">
        <v>143</v>
      </c>
      <c r="F4635" s="209" t="s">
        <v>21</v>
      </c>
      <c r="G4635" s="209" t="s">
        <v>21</v>
      </c>
      <c r="H4635" s="209" t="s">
        <v>272</v>
      </c>
      <c r="I4635" s="210"/>
    </row>
    <row r="4636" spans="1:9" x14ac:dyDescent="0.25">
      <c r="A4636" s="74"/>
      <c r="B4636" s="45">
        <v>1902</v>
      </c>
      <c r="C4636" s="64" t="s">
        <v>1925</v>
      </c>
      <c r="D4636" s="74"/>
      <c r="E4636" s="208" t="s">
        <v>143</v>
      </c>
      <c r="F4636" s="209" t="s">
        <v>21</v>
      </c>
      <c r="G4636" s="209" t="s">
        <v>21</v>
      </c>
      <c r="H4636" s="209" t="s">
        <v>272</v>
      </c>
      <c r="I4636" s="210"/>
    </row>
    <row r="4637" spans="1:9" x14ac:dyDescent="0.25">
      <c r="A4637" s="74"/>
      <c r="B4637" s="45">
        <v>1903</v>
      </c>
      <c r="C4637" s="64" t="s">
        <v>2013</v>
      </c>
      <c r="D4637" s="74"/>
      <c r="E4637" s="208" t="s">
        <v>143</v>
      </c>
      <c r="F4637" s="209" t="s">
        <v>21</v>
      </c>
      <c r="G4637" s="209" t="s">
        <v>21</v>
      </c>
      <c r="H4637" s="209" t="s">
        <v>192</v>
      </c>
      <c r="I4637" s="210"/>
    </row>
    <row r="4638" spans="1:9" x14ac:dyDescent="0.25">
      <c r="A4638" s="74"/>
      <c r="B4638" s="45">
        <v>1897</v>
      </c>
      <c r="C4638" s="64" t="s">
        <v>1582</v>
      </c>
      <c r="D4638" s="74"/>
      <c r="E4638" s="208" t="s">
        <v>143</v>
      </c>
      <c r="F4638" s="209" t="s">
        <v>21</v>
      </c>
      <c r="G4638" s="209" t="s">
        <v>21</v>
      </c>
      <c r="H4638" s="209" t="s">
        <v>272</v>
      </c>
      <c r="I4638" s="210"/>
    </row>
    <row r="4639" spans="1:9" x14ac:dyDescent="0.25">
      <c r="A4639" s="74"/>
      <c r="B4639" s="45">
        <v>1898</v>
      </c>
      <c r="C4639" s="64" t="s">
        <v>2092</v>
      </c>
      <c r="D4639" s="74"/>
      <c r="E4639" s="208" t="s">
        <v>143</v>
      </c>
      <c r="F4639" s="209" t="s">
        <v>21</v>
      </c>
      <c r="G4639" s="209" t="s">
        <v>21</v>
      </c>
      <c r="H4639" s="209" t="s">
        <v>272</v>
      </c>
      <c r="I4639" s="210"/>
    </row>
    <row r="4640" spans="1:9" x14ac:dyDescent="0.25">
      <c r="A4640" s="74"/>
      <c r="B4640" s="45">
        <v>1899</v>
      </c>
      <c r="C4640" s="64" t="s">
        <v>2093</v>
      </c>
      <c r="D4640" s="74"/>
      <c r="E4640" s="208" t="s">
        <v>143</v>
      </c>
      <c r="F4640" s="209" t="s">
        <v>21</v>
      </c>
      <c r="G4640" s="209" t="s">
        <v>21</v>
      </c>
      <c r="H4640" s="209" t="s">
        <v>272</v>
      </c>
      <c r="I4640" s="210"/>
    </row>
    <row r="4641" spans="1:9" x14ac:dyDescent="0.25">
      <c r="A4641" s="74"/>
      <c r="B4641" s="45">
        <v>1900</v>
      </c>
      <c r="C4641" s="64" t="s">
        <v>2094</v>
      </c>
      <c r="D4641" s="74"/>
      <c r="E4641" s="208" t="s">
        <v>143</v>
      </c>
      <c r="F4641" s="209" t="s">
        <v>21</v>
      </c>
      <c r="G4641" s="209" t="s">
        <v>21</v>
      </c>
      <c r="H4641" s="209" t="s">
        <v>272</v>
      </c>
      <c r="I4641" s="210"/>
    </row>
    <row r="4642" spans="1:9" x14ac:dyDescent="0.25">
      <c r="A4642" s="74"/>
      <c r="B4642" s="45">
        <v>1901</v>
      </c>
      <c r="C4642" s="64" t="s">
        <v>2095</v>
      </c>
      <c r="D4642" s="74"/>
      <c r="E4642" s="208" t="s">
        <v>143</v>
      </c>
      <c r="F4642" s="209" t="s">
        <v>21</v>
      </c>
      <c r="G4642" s="209" t="s">
        <v>21</v>
      </c>
      <c r="H4642" s="209" t="s">
        <v>272</v>
      </c>
      <c r="I4642" s="210"/>
    </row>
    <row r="4643" spans="1:9" x14ac:dyDescent="0.25">
      <c r="A4643" s="74"/>
      <c r="B4643" s="45">
        <v>1902</v>
      </c>
      <c r="C4643" s="64" t="s">
        <v>1925</v>
      </c>
      <c r="D4643" s="74"/>
      <c r="E4643" s="208" t="s">
        <v>143</v>
      </c>
      <c r="F4643" s="209" t="s">
        <v>21</v>
      </c>
      <c r="G4643" s="209" t="s">
        <v>21</v>
      </c>
      <c r="H4643" s="209" t="s">
        <v>272</v>
      </c>
      <c r="I4643" s="210"/>
    </row>
    <row r="4644" spans="1:9" x14ac:dyDescent="0.25">
      <c r="A4644" s="74"/>
      <c r="B4644" s="45">
        <v>1903</v>
      </c>
      <c r="C4644" s="64" t="s">
        <v>2013</v>
      </c>
      <c r="D4644" s="74"/>
      <c r="E4644" s="208" t="s">
        <v>143</v>
      </c>
      <c r="F4644" s="209" t="s">
        <v>21</v>
      </c>
      <c r="G4644" s="209" t="s">
        <v>21</v>
      </c>
      <c r="H4644" s="209" t="s">
        <v>192</v>
      </c>
      <c r="I4644" s="210"/>
    </row>
    <row r="4645" spans="1:9" x14ac:dyDescent="0.25">
      <c r="A4645" s="74"/>
      <c r="B4645" s="45">
        <v>1897</v>
      </c>
      <c r="C4645" s="64" t="s">
        <v>1582</v>
      </c>
      <c r="D4645" s="74"/>
      <c r="E4645" s="208" t="s">
        <v>143</v>
      </c>
      <c r="F4645" s="209" t="s">
        <v>21</v>
      </c>
      <c r="G4645" s="209" t="s">
        <v>21</v>
      </c>
      <c r="H4645" s="209" t="s">
        <v>272</v>
      </c>
      <c r="I4645" s="210"/>
    </row>
    <row r="4646" spans="1:9" x14ac:dyDescent="0.25">
      <c r="A4646" s="74"/>
      <c r="B4646" s="45">
        <v>1898</v>
      </c>
      <c r="C4646" s="64" t="s">
        <v>2092</v>
      </c>
      <c r="D4646" s="74"/>
      <c r="E4646" s="208" t="s">
        <v>143</v>
      </c>
      <c r="F4646" s="209" t="s">
        <v>21</v>
      </c>
      <c r="G4646" s="209" t="s">
        <v>21</v>
      </c>
      <c r="H4646" s="209" t="s">
        <v>272</v>
      </c>
      <c r="I4646" s="210"/>
    </row>
    <row r="4647" spans="1:9" x14ac:dyDescent="0.25">
      <c r="A4647" s="74"/>
      <c r="B4647" s="45">
        <v>1899</v>
      </c>
      <c r="C4647" s="64" t="s">
        <v>2093</v>
      </c>
      <c r="D4647" s="74"/>
      <c r="E4647" s="208" t="s">
        <v>143</v>
      </c>
      <c r="F4647" s="209" t="s">
        <v>21</v>
      </c>
      <c r="G4647" s="209" t="s">
        <v>21</v>
      </c>
      <c r="H4647" s="209" t="s">
        <v>272</v>
      </c>
      <c r="I4647" s="210"/>
    </row>
    <row r="4648" spans="1:9" x14ac:dyDescent="0.25">
      <c r="A4648" s="74"/>
      <c r="B4648" s="45">
        <v>1900</v>
      </c>
      <c r="C4648" s="64" t="s">
        <v>2094</v>
      </c>
      <c r="D4648" s="74"/>
      <c r="E4648" s="208" t="s">
        <v>143</v>
      </c>
      <c r="F4648" s="209" t="s">
        <v>21</v>
      </c>
      <c r="G4648" s="209" t="s">
        <v>21</v>
      </c>
      <c r="H4648" s="209" t="s">
        <v>272</v>
      </c>
      <c r="I4648" s="210"/>
    </row>
    <row r="4649" spans="1:9" x14ac:dyDescent="0.25">
      <c r="A4649" s="74"/>
      <c r="B4649" s="45">
        <v>1901</v>
      </c>
      <c r="C4649" s="64" t="s">
        <v>2095</v>
      </c>
      <c r="D4649" s="74"/>
      <c r="E4649" s="208" t="s">
        <v>143</v>
      </c>
      <c r="F4649" s="209" t="s">
        <v>21</v>
      </c>
      <c r="G4649" s="209" t="s">
        <v>21</v>
      </c>
      <c r="H4649" s="209" t="s">
        <v>272</v>
      </c>
      <c r="I4649" s="210"/>
    </row>
    <row r="4650" spans="1:9" x14ac:dyDescent="0.25">
      <c r="A4650" s="74"/>
      <c r="B4650" s="45">
        <v>1902</v>
      </c>
      <c r="C4650" s="64" t="s">
        <v>1925</v>
      </c>
      <c r="D4650" s="74"/>
      <c r="E4650" s="208" t="s">
        <v>143</v>
      </c>
      <c r="F4650" s="209" t="s">
        <v>21</v>
      </c>
      <c r="G4650" s="209" t="s">
        <v>21</v>
      </c>
      <c r="H4650" s="209" t="s">
        <v>272</v>
      </c>
      <c r="I4650" s="210"/>
    </row>
    <row r="4651" spans="1:9" x14ac:dyDescent="0.25">
      <c r="A4651" s="74"/>
      <c r="B4651" s="45">
        <v>1903</v>
      </c>
      <c r="C4651" s="64" t="s">
        <v>2013</v>
      </c>
      <c r="D4651" s="74"/>
      <c r="E4651" s="208" t="s">
        <v>143</v>
      </c>
      <c r="F4651" s="209" t="s">
        <v>21</v>
      </c>
      <c r="G4651" s="209" t="s">
        <v>21</v>
      </c>
      <c r="H4651" s="209" t="s">
        <v>192</v>
      </c>
      <c r="I4651" s="210"/>
    </row>
    <row r="4652" spans="1:9" x14ac:dyDescent="0.25">
      <c r="A4652" s="74"/>
      <c r="B4652" s="45">
        <v>1899</v>
      </c>
      <c r="C4652" s="64" t="s">
        <v>2093</v>
      </c>
      <c r="D4652" s="74"/>
      <c r="E4652" s="208" t="s">
        <v>143</v>
      </c>
      <c r="F4652" s="209" t="s">
        <v>21</v>
      </c>
      <c r="G4652" s="209" t="s">
        <v>21</v>
      </c>
      <c r="H4652" s="209" t="s">
        <v>272</v>
      </c>
      <c r="I4652" s="210"/>
    </row>
    <row r="4653" spans="1:9" x14ac:dyDescent="0.25">
      <c r="A4653" s="74"/>
      <c r="B4653" s="45">
        <v>1897</v>
      </c>
      <c r="C4653" s="64" t="s">
        <v>1582</v>
      </c>
      <c r="D4653" s="74"/>
      <c r="E4653" s="208" t="s">
        <v>143</v>
      </c>
      <c r="F4653" s="209" t="s">
        <v>21</v>
      </c>
      <c r="G4653" s="209" t="s">
        <v>21</v>
      </c>
      <c r="H4653" s="209" t="s">
        <v>272</v>
      </c>
      <c r="I4653" s="210"/>
    </row>
    <row r="4654" spans="1:9" x14ac:dyDescent="0.25">
      <c r="A4654" s="74"/>
      <c r="B4654" s="45">
        <v>1898</v>
      </c>
      <c r="C4654" s="64" t="s">
        <v>2092</v>
      </c>
      <c r="D4654" s="74"/>
      <c r="E4654" s="208" t="s">
        <v>143</v>
      </c>
      <c r="F4654" s="209" t="s">
        <v>21</v>
      </c>
      <c r="G4654" s="209" t="s">
        <v>21</v>
      </c>
      <c r="H4654" s="209" t="s">
        <v>272</v>
      </c>
      <c r="I4654" s="210"/>
    </row>
    <row r="4655" spans="1:9" x14ac:dyDescent="0.25">
      <c r="A4655" s="74"/>
      <c r="B4655" s="45">
        <v>1900</v>
      </c>
      <c r="C4655" s="64" t="s">
        <v>2094</v>
      </c>
      <c r="D4655" s="74"/>
      <c r="E4655" s="208" t="s">
        <v>143</v>
      </c>
      <c r="F4655" s="209" t="s">
        <v>21</v>
      </c>
      <c r="G4655" s="209" t="s">
        <v>21</v>
      </c>
      <c r="H4655" s="209" t="s">
        <v>272</v>
      </c>
      <c r="I4655" s="210"/>
    </row>
    <row r="4656" spans="1:9" x14ac:dyDescent="0.25">
      <c r="A4656" s="74"/>
      <c r="B4656" s="45">
        <v>1902</v>
      </c>
      <c r="C4656" s="64" t="s">
        <v>1925</v>
      </c>
      <c r="D4656" s="74"/>
      <c r="E4656" s="208" t="s">
        <v>143</v>
      </c>
      <c r="F4656" s="209" t="s">
        <v>21</v>
      </c>
      <c r="G4656" s="209" t="s">
        <v>21</v>
      </c>
      <c r="H4656" s="209" t="s">
        <v>272</v>
      </c>
      <c r="I4656" s="210"/>
    </row>
    <row r="4657" spans="1:9" x14ac:dyDescent="0.25">
      <c r="A4657" s="74"/>
      <c r="B4657" s="45">
        <v>1901</v>
      </c>
      <c r="C4657" s="64" t="s">
        <v>2095</v>
      </c>
      <c r="D4657" s="74"/>
      <c r="E4657" s="208" t="s">
        <v>143</v>
      </c>
      <c r="F4657" s="209" t="s">
        <v>21</v>
      </c>
      <c r="G4657" s="209" t="s">
        <v>21</v>
      </c>
      <c r="H4657" s="209" t="s">
        <v>272</v>
      </c>
      <c r="I4657" s="210"/>
    </row>
    <row r="4658" spans="1:9" x14ac:dyDescent="0.25">
      <c r="A4658" s="74"/>
      <c r="B4658" s="45">
        <v>1903</v>
      </c>
      <c r="C4658" s="64" t="s">
        <v>2013</v>
      </c>
      <c r="D4658" s="74"/>
      <c r="E4658" s="208" t="s">
        <v>143</v>
      </c>
      <c r="F4658" s="209" t="s">
        <v>21</v>
      </c>
      <c r="G4658" s="209" t="s">
        <v>21</v>
      </c>
      <c r="H4658" s="209" t="s">
        <v>192</v>
      </c>
      <c r="I4658" s="210"/>
    </row>
    <row r="4659" spans="1:9" x14ac:dyDescent="0.25">
      <c r="A4659" s="74"/>
      <c r="B4659" s="45">
        <v>1899</v>
      </c>
      <c r="C4659" s="64" t="s">
        <v>2093</v>
      </c>
      <c r="D4659" s="74"/>
      <c r="E4659" s="208" t="s">
        <v>143</v>
      </c>
      <c r="F4659" s="209" t="s">
        <v>21</v>
      </c>
      <c r="G4659" s="209" t="s">
        <v>21</v>
      </c>
      <c r="H4659" s="209" t="s">
        <v>272</v>
      </c>
      <c r="I4659" s="210"/>
    </row>
    <row r="4660" spans="1:9" x14ac:dyDescent="0.25">
      <c r="A4660" s="74"/>
      <c r="B4660" s="45">
        <v>1897</v>
      </c>
      <c r="C4660" s="64" t="s">
        <v>1582</v>
      </c>
      <c r="D4660" s="74"/>
      <c r="E4660" s="208" t="s">
        <v>143</v>
      </c>
      <c r="F4660" s="209" t="s">
        <v>21</v>
      </c>
      <c r="G4660" s="209" t="s">
        <v>21</v>
      </c>
      <c r="H4660" s="209" t="s">
        <v>272</v>
      </c>
      <c r="I4660" s="210"/>
    </row>
    <row r="4661" spans="1:9" x14ac:dyDescent="0.25">
      <c r="A4661" s="74"/>
      <c r="B4661" s="45">
        <v>1898</v>
      </c>
      <c r="C4661" s="64" t="s">
        <v>2092</v>
      </c>
      <c r="D4661" s="74"/>
      <c r="E4661" s="208" t="s">
        <v>143</v>
      </c>
      <c r="F4661" s="209" t="s">
        <v>21</v>
      </c>
      <c r="G4661" s="209" t="s">
        <v>21</v>
      </c>
      <c r="H4661" s="209" t="s">
        <v>272</v>
      </c>
      <c r="I4661" s="210"/>
    </row>
    <row r="4662" spans="1:9" x14ac:dyDescent="0.25">
      <c r="A4662" s="74"/>
      <c r="B4662" s="45">
        <v>1900</v>
      </c>
      <c r="C4662" s="64" t="s">
        <v>2094</v>
      </c>
      <c r="D4662" s="74"/>
      <c r="E4662" s="208" t="s">
        <v>143</v>
      </c>
      <c r="F4662" s="209" t="s">
        <v>21</v>
      </c>
      <c r="G4662" s="209" t="s">
        <v>21</v>
      </c>
      <c r="H4662" s="209" t="s">
        <v>272</v>
      </c>
      <c r="I4662" s="210"/>
    </row>
    <row r="4663" spans="1:9" x14ac:dyDescent="0.25">
      <c r="A4663" s="74"/>
      <c r="B4663" s="45">
        <v>1902</v>
      </c>
      <c r="C4663" s="64" t="s">
        <v>1925</v>
      </c>
      <c r="D4663" s="74"/>
      <c r="E4663" s="208" t="s">
        <v>143</v>
      </c>
      <c r="F4663" s="209" t="s">
        <v>21</v>
      </c>
      <c r="G4663" s="209" t="s">
        <v>21</v>
      </c>
      <c r="H4663" s="209" t="s">
        <v>272</v>
      </c>
      <c r="I4663" s="210"/>
    </row>
    <row r="4664" spans="1:9" x14ac:dyDescent="0.25">
      <c r="A4664" s="74"/>
      <c r="B4664" s="45">
        <v>1901</v>
      </c>
      <c r="C4664" s="64" t="s">
        <v>2095</v>
      </c>
      <c r="D4664" s="74"/>
      <c r="E4664" s="208" t="s">
        <v>143</v>
      </c>
      <c r="F4664" s="209" t="s">
        <v>21</v>
      </c>
      <c r="G4664" s="209" t="s">
        <v>21</v>
      </c>
      <c r="H4664" s="209" t="s">
        <v>272</v>
      </c>
      <c r="I4664" s="210"/>
    </row>
    <row r="4665" spans="1:9" x14ac:dyDescent="0.25">
      <c r="A4665" s="74"/>
      <c r="B4665" s="45">
        <v>1903</v>
      </c>
      <c r="C4665" s="64" t="s">
        <v>2013</v>
      </c>
      <c r="D4665" s="74"/>
      <c r="E4665" s="208" t="s">
        <v>143</v>
      </c>
      <c r="F4665" s="209" t="s">
        <v>21</v>
      </c>
      <c r="G4665" s="209" t="s">
        <v>21</v>
      </c>
      <c r="H4665" s="209" t="s">
        <v>192</v>
      </c>
      <c r="I4665" s="210"/>
    </row>
    <row r="4666" spans="1:9" x14ac:dyDescent="0.25">
      <c r="A4666" s="74"/>
      <c r="B4666" s="45">
        <v>1899</v>
      </c>
      <c r="C4666" s="64" t="s">
        <v>2093</v>
      </c>
      <c r="D4666" s="74"/>
      <c r="E4666" s="208" t="s">
        <v>143</v>
      </c>
      <c r="F4666" s="209" t="s">
        <v>21</v>
      </c>
      <c r="G4666" s="209" t="s">
        <v>21</v>
      </c>
      <c r="H4666" s="209" t="s">
        <v>272</v>
      </c>
      <c r="I4666" s="210"/>
    </row>
    <row r="4667" spans="1:9" x14ac:dyDescent="0.25">
      <c r="A4667" s="74"/>
      <c r="B4667" s="45">
        <v>1897</v>
      </c>
      <c r="C4667" s="64" t="s">
        <v>1582</v>
      </c>
      <c r="D4667" s="74"/>
      <c r="E4667" s="208" t="s">
        <v>143</v>
      </c>
      <c r="F4667" s="209" t="s">
        <v>21</v>
      </c>
      <c r="G4667" s="209" t="s">
        <v>21</v>
      </c>
      <c r="H4667" s="209" t="s">
        <v>272</v>
      </c>
      <c r="I4667" s="210"/>
    </row>
    <row r="4668" spans="1:9" x14ac:dyDescent="0.25">
      <c r="A4668" s="74"/>
      <c r="B4668" s="45">
        <v>1898</v>
      </c>
      <c r="C4668" s="64" t="s">
        <v>2092</v>
      </c>
      <c r="D4668" s="74"/>
      <c r="E4668" s="208" t="s">
        <v>143</v>
      </c>
      <c r="F4668" s="209" t="s">
        <v>21</v>
      </c>
      <c r="G4668" s="209" t="s">
        <v>21</v>
      </c>
      <c r="H4668" s="209" t="s">
        <v>272</v>
      </c>
      <c r="I4668" s="210"/>
    </row>
    <row r="4669" spans="1:9" x14ac:dyDescent="0.25">
      <c r="A4669" s="74"/>
      <c r="B4669" s="45">
        <v>1900</v>
      </c>
      <c r="C4669" s="64" t="s">
        <v>2094</v>
      </c>
      <c r="D4669" s="74"/>
      <c r="E4669" s="208" t="s">
        <v>143</v>
      </c>
      <c r="F4669" s="209" t="s">
        <v>21</v>
      </c>
      <c r="G4669" s="209" t="s">
        <v>21</v>
      </c>
      <c r="H4669" s="209" t="s">
        <v>272</v>
      </c>
      <c r="I4669" s="210"/>
    </row>
    <row r="4670" spans="1:9" x14ac:dyDescent="0.25">
      <c r="A4670" s="74"/>
      <c r="B4670" s="45">
        <v>1902</v>
      </c>
      <c r="C4670" s="64" t="s">
        <v>1925</v>
      </c>
      <c r="D4670" s="74"/>
      <c r="E4670" s="208" t="s">
        <v>143</v>
      </c>
      <c r="F4670" s="209" t="s">
        <v>21</v>
      </c>
      <c r="G4670" s="209" t="s">
        <v>21</v>
      </c>
      <c r="H4670" s="209" t="s">
        <v>272</v>
      </c>
      <c r="I4670" s="210"/>
    </row>
    <row r="4671" spans="1:9" x14ac:dyDescent="0.25">
      <c r="A4671" s="74"/>
      <c r="B4671" s="45">
        <v>1901</v>
      </c>
      <c r="C4671" s="64" t="s">
        <v>2095</v>
      </c>
      <c r="D4671" s="74"/>
      <c r="E4671" s="208" t="s">
        <v>143</v>
      </c>
      <c r="F4671" s="209" t="s">
        <v>21</v>
      </c>
      <c r="G4671" s="209" t="s">
        <v>21</v>
      </c>
      <c r="H4671" s="209" t="s">
        <v>272</v>
      </c>
      <c r="I4671" s="210"/>
    </row>
    <row r="4672" spans="1:9" x14ac:dyDescent="0.25">
      <c r="A4672" s="74"/>
      <c r="B4672" s="45">
        <v>1903</v>
      </c>
      <c r="C4672" s="64" t="s">
        <v>2013</v>
      </c>
      <c r="D4672" s="74"/>
      <c r="E4672" s="208" t="s">
        <v>143</v>
      </c>
      <c r="F4672" s="209" t="s">
        <v>21</v>
      </c>
      <c r="G4672" s="209" t="s">
        <v>21</v>
      </c>
      <c r="H4672" s="209" t="s">
        <v>192</v>
      </c>
      <c r="I4672" s="210"/>
    </row>
    <row r="4673" spans="1:9" x14ac:dyDescent="0.25">
      <c r="A4673" s="74"/>
      <c r="B4673" s="45">
        <v>1899</v>
      </c>
      <c r="C4673" s="64" t="s">
        <v>2093</v>
      </c>
      <c r="D4673" s="74"/>
      <c r="E4673" s="208" t="s">
        <v>143</v>
      </c>
      <c r="F4673" s="209" t="s">
        <v>21</v>
      </c>
      <c r="G4673" s="209" t="s">
        <v>21</v>
      </c>
      <c r="H4673" s="209" t="s">
        <v>272</v>
      </c>
      <c r="I4673" s="210"/>
    </row>
    <row r="4674" spans="1:9" x14ac:dyDescent="0.25">
      <c r="A4674" s="74"/>
      <c r="B4674" s="45">
        <v>1897</v>
      </c>
      <c r="C4674" s="64" t="s">
        <v>1582</v>
      </c>
      <c r="D4674" s="74"/>
      <c r="E4674" s="208" t="s">
        <v>143</v>
      </c>
      <c r="F4674" s="209" t="s">
        <v>21</v>
      </c>
      <c r="G4674" s="209" t="s">
        <v>21</v>
      </c>
      <c r="H4674" s="209" t="s">
        <v>272</v>
      </c>
      <c r="I4674" s="210"/>
    </row>
    <row r="4675" spans="1:9" x14ac:dyDescent="0.25">
      <c r="A4675" s="74"/>
      <c r="B4675" s="45">
        <v>1898</v>
      </c>
      <c r="C4675" s="64" t="s">
        <v>2092</v>
      </c>
      <c r="D4675" s="74"/>
      <c r="E4675" s="208" t="s">
        <v>143</v>
      </c>
      <c r="F4675" s="209" t="s">
        <v>21</v>
      </c>
      <c r="G4675" s="209" t="s">
        <v>21</v>
      </c>
      <c r="H4675" s="209" t="s">
        <v>272</v>
      </c>
      <c r="I4675" s="210"/>
    </row>
    <row r="4676" spans="1:9" x14ac:dyDescent="0.25">
      <c r="A4676" s="74"/>
      <c r="B4676" s="45">
        <v>1900</v>
      </c>
      <c r="C4676" s="64" t="s">
        <v>2094</v>
      </c>
      <c r="D4676" s="74"/>
      <c r="E4676" s="208" t="s">
        <v>143</v>
      </c>
      <c r="F4676" s="209" t="s">
        <v>21</v>
      </c>
      <c r="G4676" s="209" t="s">
        <v>21</v>
      </c>
      <c r="H4676" s="209" t="s">
        <v>272</v>
      </c>
      <c r="I4676" s="210"/>
    </row>
    <row r="4677" spans="1:9" x14ac:dyDescent="0.25">
      <c r="A4677" s="74"/>
      <c r="B4677" s="45">
        <v>1902</v>
      </c>
      <c r="C4677" s="64" t="s">
        <v>1925</v>
      </c>
      <c r="D4677" s="74"/>
      <c r="E4677" s="208" t="s">
        <v>143</v>
      </c>
      <c r="F4677" s="209" t="s">
        <v>21</v>
      </c>
      <c r="G4677" s="209" t="s">
        <v>21</v>
      </c>
      <c r="H4677" s="209" t="s">
        <v>272</v>
      </c>
      <c r="I4677" s="210"/>
    </row>
    <row r="4678" spans="1:9" x14ac:dyDescent="0.25">
      <c r="A4678" s="74"/>
      <c r="B4678" s="45">
        <v>1901</v>
      </c>
      <c r="C4678" s="64" t="s">
        <v>2095</v>
      </c>
      <c r="D4678" s="74"/>
      <c r="E4678" s="208" t="s">
        <v>143</v>
      </c>
      <c r="F4678" s="209" t="s">
        <v>21</v>
      </c>
      <c r="G4678" s="209" t="s">
        <v>21</v>
      </c>
      <c r="H4678" s="209" t="s">
        <v>272</v>
      </c>
      <c r="I4678" s="210"/>
    </row>
    <row r="4679" spans="1:9" x14ac:dyDescent="0.25">
      <c r="A4679" s="74"/>
      <c r="B4679" s="45">
        <v>1903</v>
      </c>
      <c r="C4679" s="64" t="s">
        <v>2013</v>
      </c>
      <c r="D4679" s="74"/>
      <c r="E4679" s="208" t="s">
        <v>143</v>
      </c>
      <c r="F4679" s="209" t="s">
        <v>21</v>
      </c>
      <c r="G4679" s="209" t="s">
        <v>21</v>
      </c>
      <c r="H4679" s="209" t="s">
        <v>192</v>
      </c>
      <c r="I4679" s="210"/>
    </row>
    <row r="4680" spans="1:9" x14ac:dyDescent="0.25">
      <c r="A4680" s="74"/>
      <c r="B4680" s="45">
        <v>827</v>
      </c>
      <c r="C4680" s="64" t="s">
        <v>1236</v>
      </c>
      <c r="D4680" s="74"/>
      <c r="E4680" s="208" t="s">
        <v>137</v>
      </c>
      <c r="F4680" s="209" t="s">
        <v>21</v>
      </c>
      <c r="G4680" s="209" t="s">
        <v>21</v>
      </c>
      <c r="H4680" s="209" t="s">
        <v>198</v>
      </c>
      <c r="I4680" s="210"/>
    </row>
    <row r="4681" spans="1:9" x14ac:dyDescent="0.25">
      <c r="A4681" s="74"/>
      <c r="B4681" s="45">
        <v>1727</v>
      </c>
      <c r="C4681" s="64" t="s">
        <v>1892</v>
      </c>
      <c r="D4681" s="74"/>
      <c r="E4681" s="208" t="s">
        <v>157</v>
      </c>
      <c r="F4681" s="209" t="s">
        <v>21</v>
      </c>
      <c r="G4681" s="209" t="s">
        <v>21</v>
      </c>
      <c r="H4681" s="209" t="s">
        <v>272</v>
      </c>
      <c r="I4681" s="210"/>
    </row>
    <row r="4682" spans="1:9" x14ac:dyDescent="0.25">
      <c r="A4682" s="74"/>
      <c r="B4682" s="45">
        <v>643</v>
      </c>
      <c r="C4682" s="64" t="s">
        <v>1052</v>
      </c>
      <c r="D4682" s="74"/>
      <c r="E4682" s="208" t="s">
        <v>157</v>
      </c>
      <c r="F4682" s="209" t="s">
        <v>21</v>
      </c>
      <c r="G4682" s="209" t="s">
        <v>21</v>
      </c>
      <c r="H4682" s="209" t="s">
        <v>192</v>
      </c>
      <c r="I4682" s="210"/>
    </row>
    <row r="4683" spans="1:9" x14ac:dyDescent="0.25">
      <c r="A4683" s="74"/>
      <c r="B4683" s="45">
        <v>811</v>
      </c>
      <c r="C4683" s="64" t="s">
        <v>1220</v>
      </c>
      <c r="D4683" s="74"/>
      <c r="E4683" s="208" t="s">
        <v>157</v>
      </c>
      <c r="F4683" s="209" t="s">
        <v>21</v>
      </c>
      <c r="G4683" s="209" t="s">
        <v>21</v>
      </c>
      <c r="H4683" s="209" t="s">
        <v>192</v>
      </c>
      <c r="I4683" s="210"/>
    </row>
    <row r="4684" spans="1:9" x14ac:dyDescent="0.25">
      <c r="A4684" s="74"/>
      <c r="B4684" s="45">
        <v>638</v>
      </c>
      <c r="C4684" s="64" t="s">
        <v>1047</v>
      </c>
      <c r="D4684" s="74"/>
      <c r="E4684" s="208" t="s">
        <v>157</v>
      </c>
      <c r="F4684" s="209" t="s">
        <v>21</v>
      </c>
      <c r="G4684" s="209" t="s">
        <v>21</v>
      </c>
      <c r="H4684" s="209" t="s">
        <v>192</v>
      </c>
      <c r="I4684" s="210"/>
    </row>
    <row r="4685" spans="1:9" x14ac:dyDescent="0.25">
      <c r="A4685" s="74"/>
      <c r="B4685" s="45">
        <v>637</v>
      </c>
      <c r="C4685" s="64" t="s">
        <v>1046</v>
      </c>
      <c r="D4685" s="74"/>
      <c r="E4685" s="208" t="s">
        <v>157</v>
      </c>
      <c r="F4685" s="209" t="s">
        <v>21</v>
      </c>
      <c r="G4685" s="209" t="s">
        <v>21</v>
      </c>
      <c r="H4685" s="209" t="s">
        <v>192</v>
      </c>
      <c r="I4685" s="210"/>
    </row>
    <row r="4686" spans="1:9" x14ac:dyDescent="0.25">
      <c r="A4686" s="74"/>
      <c r="B4686" s="45">
        <v>1801</v>
      </c>
      <c r="C4686" s="64" t="s">
        <v>1913</v>
      </c>
      <c r="D4686" s="74"/>
      <c r="E4686" s="208" t="s">
        <v>136</v>
      </c>
      <c r="F4686" s="209" t="s">
        <v>21</v>
      </c>
      <c r="G4686" s="209" t="s">
        <v>21</v>
      </c>
      <c r="H4686" s="209" t="s">
        <v>272</v>
      </c>
      <c r="I4686" s="210"/>
    </row>
    <row r="4687" spans="1:9" x14ac:dyDescent="0.25">
      <c r="A4687" s="74"/>
      <c r="B4687" s="45">
        <v>1800</v>
      </c>
      <c r="C4687" s="64" t="s">
        <v>1753</v>
      </c>
      <c r="D4687" s="74"/>
      <c r="E4687" s="208" t="s">
        <v>136</v>
      </c>
      <c r="F4687" s="209" t="s">
        <v>21</v>
      </c>
      <c r="G4687" s="209" t="s">
        <v>21</v>
      </c>
      <c r="H4687" s="209" t="s">
        <v>272</v>
      </c>
      <c r="I4687" s="210"/>
    </row>
    <row r="4688" spans="1:9" x14ac:dyDescent="0.25">
      <c r="A4688" s="74"/>
      <c r="B4688" s="45">
        <v>1802</v>
      </c>
      <c r="C4688" s="64" t="s">
        <v>2056</v>
      </c>
      <c r="D4688" s="74"/>
      <c r="E4688" s="208" t="s">
        <v>136</v>
      </c>
      <c r="F4688" s="209" t="s">
        <v>21</v>
      </c>
      <c r="G4688" s="209" t="s">
        <v>21</v>
      </c>
      <c r="H4688" s="209" t="s">
        <v>272</v>
      </c>
      <c r="I4688" s="210"/>
    </row>
    <row r="4689" spans="1:9" x14ac:dyDescent="0.25">
      <c r="A4689" s="74"/>
      <c r="B4689" s="45">
        <v>1803</v>
      </c>
      <c r="C4689" s="64" t="s">
        <v>2057</v>
      </c>
      <c r="D4689" s="74"/>
      <c r="E4689" s="208" t="s">
        <v>136</v>
      </c>
      <c r="F4689" s="209" t="s">
        <v>21</v>
      </c>
      <c r="G4689" s="209" t="s">
        <v>21</v>
      </c>
      <c r="H4689" s="209" t="s">
        <v>272</v>
      </c>
      <c r="I4689" s="210"/>
    </row>
    <row r="4690" spans="1:9" x14ac:dyDescent="0.25">
      <c r="A4690" s="74"/>
      <c r="B4690" s="45">
        <v>1804</v>
      </c>
      <c r="C4690" s="64" t="s">
        <v>2058</v>
      </c>
      <c r="D4690" s="74"/>
      <c r="E4690" s="208" t="s">
        <v>136</v>
      </c>
      <c r="F4690" s="209" t="s">
        <v>21</v>
      </c>
      <c r="G4690" s="209" t="s">
        <v>21</v>
      </c>
      <c r="H4690" s="209" t="s">
        <v>272</v>
      </c>
      <c r="I4690" s="210"/>
    </row>
    <row r="4691" spans="1:9" x14ac:dyDescent="0.25">
      <c r="A4691" s="74"/>
      <c r="B4691" s="45">
        <v>1841</v>
      </c>
      <c r="C4691" s="64" t="s">
        <v>1908</v>
      </c>
      <c r="D4691" s="74"/>
      <c r="E4691" s="208" t="s">
        <v>137</v>
      </c>
      <c r="F4691" s="209" t="s">
        <v>21</v>
      </c>
      <c r="G4691" s="209" t="s">
        <v>21</v>
      </c>
      <c r="H4691" s="209" t="s">
        <v>272</v>
      </c>
      <c r="I4691" s="210"/>
    </row>
    <row r="4692" spans="1:9" x14ac:dyDescent="0.25">
      <c r="A4692" s="74"/>
      <c r="B4692" s="45">
        <v>1842</v>
      </c>
      <c r="C4692" s="64" t="s">
        <v>2073</v>
      </c>
      <c r="D4692" s="74"/>
      <c r="E4692" s="208" t="s">
        <v>137</v>
      </c>
      <c r="F4692" s="209" t="s">
        <v>21</v>
      </c>
      <c r="G4692" s="209" t="s">
        <v>21</v>
      </c>
      <c r="H4692" s="209" t="s">
        <v>272</v>
      </c>
      <c r="I4692" s="210"/>
    </row>
    <row r="4693" spans="1:9" x14ac:dyDescent="0.25">
      <c r="A4693" s="74"/>
      <c r="B4693" s="45">
        <v>1843</v>
      </c>
      <c r="C4693" s="64" t="s">
        <v>1582</v>
      </c>
      <c r="D4693" s="74"/>
      <c r="E4693" s="208" t="s">
        <v>137</v>
      </c>
      <c r="F4693" s="209" t="s">
        <v>21</v>
      </c>
      <c r="G4693" s="209" t="s">
        <v>21</v>
      </c>
      <c r="H4693" s="209" t="s">
        <v>272</v>
      </c>
      <c r="I4693" s="210"/>
    </row>
    <row r="4694" spans="1:9" x14ac:dyDescent="0.25">
      <c r="A4694" s="74"/>
      <c r="B4694" s="45">
        <v>1844</v>
      </c>
      <c r="C4694" s="64" t="s">
        <v>1994</v>
      </c>
      <c r="D4694" s="74"/>
      <c r="E4694" s="208" t="s">
        <v>137</v>
      </c>
      <c r="F4694" s="209" t="s">
        <v>21</v>
      </c>
      <c r="G4694" s="209" t="s">
        <v>21</v>
      </c>
      <c r="H4694" s="209" t="s">
        <v>272</v>
      </c>
      <c r="I4694" s="210"/>
    </row>
    <row r="4695" spans="1:9" x14ac:dyDescent="0.25">
      <c r="A4695" s="74"/>
      <c r="B4695" s="45">
        <v>814</v>
      </c>
      <c r="C4695" s="64" t="s">
        <v>1223</v>
      </c>
      <c r="D4695" s="74"/>
      <c r="E4695" s="208" t="s">
        <v>137</v>
      </c>
      <c r="F4695" s="209" t="s">
        <v>21</v>
      </c>
      <c r="G4695" s="209" t="s">
        <v>21</v>
      </c>
      <c r="H4695" s="209" t="s">
        <v>272</v>
      </c>
      <c r="I4695" s="210"/>
    </row>
    <row r="4696" spans="1:9" x14ac:dyDescent="0.25">
      <c r="A4696" s="74"/>
      <c r="B4696" s="45">
        <v>759</v>
      </c>
      <c r="C4696" s="64" t="s">
        <v>1168</v>
      </c>
      <c r="D4696" s="74"/>
      <c r="E4696" s="208" t="s">
        <v>137</v>
      </c>
      <c r="F4696" s="209" t="s">
        <v>21</v>
      </c>
      <c r="G4696" s="209" t="s">
        <v>21</v>
      </c>
      <c r="H4696" s="209" t="s">
        <v>192</v>
      </c>
      <c r="I4696" s="210"/>
    </row>
    <row r="4697" spans="1:9" x14ac:dyDescent="0.25">
      <c r="A4697" s="74"/>
      <c r="B4697" s="45">
        <v>1904</v>
      </c>
      <c r="C4697" s="64" t="s">
        <v>2059</v>
      </c>
      <c r="D4697" s="74"/>
      <c r="E4697" s="208" t="s">
        <v>136</v>
      </c>
      <c r="F4697" s="209" t="s">
        <v>21</v>
      </c>
      <c r="G4697" s="209" t="s">
        <v>21</v>
      </c>
      <c r="H4697" s="209" t="s">
        <v>16</v>
      </c>
      <c r="I4697" s="210"/>
    </row>
    <row r="4698" spans="1:9" x14ac:dyDescent="0.25">
      <c r="A4698" s="74"/>
      <c r="B4698" s="45">
        <v>815</v>
      </c>
      <c r="C4698" s="64" t="s">
        <v>1224</v>
      </c>
      <c r="D4698" s="74"/>
      <c r="E4698" s="208" t="s">
        <v>136</v>
      </c>
      <c r="F4698" s="209" t="s">
        <v>21</v>
      </c>
      <c r="G4698" s="209" t="s">
        <v>21</v>
      </c>
      <c r="H4698" s="209" t="s">
        <v>192</v>
      </c>
      <c r="I4698" s="210"/>
    </row>
    <row r="4699" spans="1:9" x14ac:dyDescent="0.25">
      <c r="A4699" s="74"/>
      <c r="B4699" s="45">
        <v>676</v>
      </c>
      <c r="C4699" s="64" t="s">
        <v>1085</v>
      </c>
      <c r="D4699" s="74"/>
      <c r="E4699" s="208" t="s">
        <v>136</v>
      </c>
      <c r="F4699" s="209" t="s">
        <v>21</v>
      </c>
      <c r="G4699" s="209" t="s">
        <v>21</v>
      </c>
      <c r="H4699" s="209" t="s">
        <v>192</v>
      </c>
      <c r="I4699" s="210"/>
    </row>
    <row r="4700" spans="1:9" x14ac:dyDescent="0.25">
      <c r="A4700" s="74"/>
      <c r="B4700" s="45">
        <v>677</v>
      </c>
      <c r="C4700" s="64" t="s">
        <v>1086</v>
      </c>
      <c r="D4700" s="74"/>
      <c r="E4700" s="208" t="s">
        <v>136</v>
      </c>
      <c r="F4700" s="209" t="s">
        <v>21</v>
      </c>
      <c r="G4700" s="209" t="s">
        <v>21</v>
      </c>
      <c r="H4700" s="209" t="s">
        <v>192</v>
      </c>
      <c r="I4700" s="210"/>
    </row>
    <row r="4701" spans="1:9" x14ac:dyDescent="0.25">
      <c r="A4701" s="74"/>
      <c r="B4701" s="45">
        <v>1905</v>
      </c>
      <c r="C4701" s="64" t="s">
        <v>1996</v>
      </c>
      <c r="D4701" s="74"/>
      <c r="E4701" s="208" t="s">
        <v>136</v>
      </c>
      <c r="F4701" s="209" t="s">
        <v>21</v>
      </c>
      <c r="G4701" s="209" t="s">
        <v>21</v>
      </c>
      <c r="H4701" s="209" t="s">
        <v>272</v>
      </c>
      <c r="I4701" s="210"/>
    </row>
    <row r="4702" spans="1:9" x14ac:dyDescent="0.25">
      <c r="A4702" s="74"/>
      <c r="B4702" s="45">
        <v>1772</v>
      </c>
      <c r="C4702" s="64" t="s">
        <v>2038</v>
      </c>
      <c r="D4702" s="74"/>
      <c r="E4702" s="208" t="s">
        <v>136</v>
      </c>
      <c r="F4702" s="209" t="s">
        <v>21</v>
      </c>
      <c r="G4702" s="209" t="s">
        <v>21</v>
      </c>
      <c r="H4702" s="209" t="s">
        <v>272</v>
      </c>
      <c r="I4702" s="210"/>
    </row>
    <row r="4703" spans="1:9" x14ac:dyDescent="0.25">
      <c r="A4703" s="74"/>
      <c r="B4703" s="45">
        <v>681</v>
      </c>
      <c r="C4703" s="64" t="s">
        <v>1090</v>
      </c>
      <c r="D4703" s="74"/>
      <c r="E4703" s="208" t="s">
        <v>136</v>
      </c>
      <c r="F4703" s="209" t="s">
        <v>21</v>
      </c>
      <c r="G4703" s="209" t="s">
        <v>21</v>
      </c>
      <c r="H4703" s="209" t="s">
        <v>192</v>
      </c>
      <c r="I4703" s="210"/>
    </row>
    <row r="4704" spans="1:9" x14ac:dyDescent="0.25">
      <c r="A4704" s="74"/>
      <c r="B4704" s="45">
        <v>1761</v>
      </c>
      <c r="C4704" s="64" t="s">
        <v>2029</v>
      </c>
      <c r="D4704" s="74"/>
      <c r="E4704" s="208" t="s">
        <v>136</v>
      </c>
      <c r="F4704" s="209" t="s">
        <v>21</v>
      </c>
      <c r="G4704" s="209" t="s">
        <v>21</v>
      </c>
      <c r="H4704" s="209" t="s">
        <v>192</v>
      </c>
      <c r="I4704" s="210"/>
    </row>
    <row r="4705" spans="1:9" x14ac:dyDescent="0.25">
      <c r="A4705" s="74"/>
      <c r="B4705" s="45">
        <v>703</v>
      </c>
      <c r="C4705" s="64" t="s">
        <v>1112</v>
      </c>
      <c r="D4705" s="74"/>
      <c r="E4705" s="208" t="s">
        <v>136</v>
      </c>
      <c r="F4705" s="209" t="s">
        <v>21</v>
      </c>
      <c r="G4705" s="209" t="s">
        <v>21</v>
      </c>
      <c r="H4705" s="209" t="s">
        <v>192</v>
      </c>
      <c r="I4705" s="210"/>
    </row>
    <row r="4706" spans="1:9" x14ac:dyDescent="0.25">
      <c r="A4706" s="74"/>
      <c r="B4706" s="45">
        <v>813</v>
      </c>
      <c r="C4706" s="64" t="s">
        <v>1222</v>
      </c>
      <c r="D4706" s="74"/>
      <c r="E4706" s="208" t="s">
        <v>136</v>
      </c>
      <c r="F4706" s="209" t="s">
        <v>21</v>
      </c>
      <c r="G4706" s="209" t="s">
        <v>21</v>
      </c>
      <c r="H4706" s="209" t="s">
        <v>192</v>
      </c>
      <c r="I4706" s="210"/>
    </row>
    <row r="4707" spans="1:9" x14ac:dyDescent="0.25">
      <c r="A4707" s="74"/>
      <c r="B4707" s="45">
        <v>1799</v>
      </c>
      <c r="C4707" s="64" t="s">
        <v>2055</v>
      </c>
      <c r="D4707" s="74"/>
      <c r="E4707" s="208" t="s">
        <v>136</v>
      </c>
      <c r="F4707" s="209" t="s">
        <v>21</v>
      </c>
      <c r="G4707" s="209" t="s">
        <v>21</v>
      </c>
      <c r="H4707" s="209" t="s">
        <v>16</v>
      </c>
      <c r="I4707" s="210"/>
    </row>
    <row r="4708" spans="1:9" x14ac:dyDescent="0.25">
      <c r="A4708" s="74"/>
      <c r="B4708" s="45">
        <v>817</v>
      </c>
      <c r="C4708" s="64" t="s">
        <v>1226</v>
      </c>
      <c r="D4708" s="74"/>
      <c r="E4708" s="208" t="s">
        <v>136</v>
      </c>
      <c r="F4708" s="209" t="s">
        <v>21</v>
      </c>
      <c r="G4708" s="209" t="s">
        <v>21</v>
      </c>
      <c r="H4708" s="209" t="s">
        <v>192</v>
      </c>
      <c r="I4708" s="210"/>
    </row>
    <row r="4709" spans="1:9" x14ac:dyDescent="0.25">
      <c r="A4709" s="74"/>
      <c r="B4709" s="45">
        <v>693</v>
      </c>
      <c r="C4709" s="64" t="s">
        <v>1102</v>
      </c>
      <c r="D4709" s="74"/>
      <c r="E4709" s="208" t="s">
        <v>136</v>
      </c>
      <c r="F4709" s="209" t="s">
        <v>21</v>
      </c>
      <c r="G4709" s="209" t="s">
        <v>21</v>
      </c>
      <c r="H4709" s="209" t="s">
        <v>192</v>
      </c>
      <c r="I4709" s="210"/>
    </row>
    <row r="4710" spans="1:9" x14ac:dyDescent="0.25">
      <c r="A4710" s="74"/>
      <c r="B4710" s="45">
        <v>691</v>
      </c>
      <c r="C4710" s="64" t="s">
        <v>1100</v>
      </c>
      <c r="D4710" s="74"/>
      <c r="E4710" s="208" t="s">
        <v>136</v>
      </c>
      <c r="F4710" s="209" t="s">
        <v>21</v>
      </c>
      <c r="G4710" s="209" t="s">
        <v>21</v>
      </c>
      <c r="H4710" s="209" t="s">
        <v>192</v>
      </c>
      <c r="I4710" s="210"/>
    </row>
    <row r="4711" spans="1:9" x14ac:dyDescent="0.25">
      <c r="A4711" s="74"/>
      <c r="B4711" s="45">
        <v>1786</v>
      </c>
      <c r="C4711" s="64" t="s">
        <v>2047</v>
      </c>
      <c r="D4711" s="74"/>
      <c r="E4711" s="208" t="s">
        <v>136</v>
      </c>
      <c r="F4711" s="209" t="s">
        <v>21</v>
      </c>
      <c r="G4711" s="209" t="s">
        <v>21</v>
      </c>
      <c r="H4711" s="209" t="s">
        <v>272</v>
      </c>
      <c r="I4711" s="210"/>
    </row>
    <row r="4712" spans="1:9" x14ac:dyDescent="0.25">
      <c r="A4712" s="74"/>
      <c r="B4712" s="45">
        <v>694</v>
      </c>
      <c r="C4712" s="64" t="s">
        <v>1103</v>
      </c>
      <c r="D4712" s="74"/>
      <c r="E4712" s="208" t="s">
        <v>136</v>
      </c>
      <c r="F4712" s="209" t="s">
        <v>21</v>
      </c>
      <c r="G4712" s="209" t="s">
        <v>21</v>
      </c>
      <c r="H4712" s="209" t="s">
        <v>192</v>
      </c>
      <c r="I4712" s="210"/>
    </row>
    <row r="4713" spans="1:9" x14ac:dyDescent="0.25">
      <c r="A4713" s="74"/>
      <c r="B4713" s="45">
        <v>695</v>
      </c>
      <c r="C4713" s="64" t="s">
        <v>1104</v>
      </c>
      <c r="D4713" s="74"/>
      <c r="E4713" s="208" t="s">
        <v>136</v>
      </c>
      <c r="F4713" s="209" t="s">
        <v>21</v>
      </c>
      <c r="G4713" s="209" t="s">
        <v>21</v>
      </c>
      <c r="H4713" s="209" t="s">
        <v>192</v>
      </c>
      <c r="I4713" s="210"/>
    </row>
    <row r="4714" spans="1:9" x14ac:dyDescent="0.25">
      <c r="A4714" s="74"/>
      <c r="B4714" s="45">
        <v>1907</v>
      </c>
      <c r="C4714" s="64" t="s">
        <v>2091</v>
      </c>
      <c r="D4714" s="74"/>
      <c r="E4714" s="208" t="s">
        <v>136</v>
      </c>
      <c r="F4714" s="209" t="s">
        <v>21</v>
      </c>
      <c r="G4714" s="209" t="s">
        <v>21</v>
      </c>
      <c r="H4714" s="209" t="s">
        <v>272</v>
      </c>
      <c r="I4714" s="210"/>
    </row>
    <row r="4715" spans="1:9" x14ac:dyDescent="0.25">
      <c r="A4715" s="74"/>
      <c r="B4715" s="45">
        <v>699</v>
      </c>
      <c r="C4715" s="64" t="s">
        <v>1108</v>
      </c>
      <c r="D4715" s="74"/>
      <c r="E4715" s="208" t="s">
        <v>136</v>
      </c>
      <c r="F4715" s="209" t="s">
        <v>21</v>
      </c>
      <c r="G4715" s="209" t="s">
        <v>21</v>
      </c>
      <c r="H4715" s="209" t="s">
        <v>192</v>
      </c>
      <c r="I4715" s="210"/>
    </row>
    <row r="4716" spans="1:9" x14ac:dyDescent="0.25">
      <c r="A4716" s="74"/>
      <c r="B4716" s="45">
        <v>1805</v>
      </c>
      <c r="C4716" s="64" t="s">
        <v>1967</v>
      </c>
      <c r="D4716" s="74"/>
      <c r="E4716" s="208" t="s">
        <v>136</v>
      </c>
      <c r="F4716" s="209" t="s">
        <v>21</v>
      </c>
      <c r="G4716" s="209" t="s">
        <v>21</v>
      </c>
      <c r="H4716" s="209" t="s">
        <v>272</v>
      </c>
      <c r="I4716" s="210"/>
    </row>
    <row r="4717" spans="1:9" x14ac:dyDescent="0.25">
      <c r="A4717" s="74"/>
      <c r="B4717" s="45">
        <v>1908</v>
      </c>
      <c r="C4717" s="64" t="s">
        <v>2096</v>
      </c>
      <c r="D4717" s="74"/>
      <c r="E4717" s="208" t="s">
        <v>136</v>
      </c>
      <c r="F4717" s="209" t="s">
        <v>21</v>
      </c>
      <c r="G4717" s="209" t="s">
        <v>21</v>
      </c>
      <c r="H4717" s="209" t="s">
        <v>272</v>
      </c>
      <c r="I4717" s="210"/>
    </row>
    <row r="4718" spans="1:9" x14ac:dyDescent="0.25">
      <c r="A4718" s="74"/>
      <c r="B4718" s="45">
        <v>704</v>
      </c>
      <c r="C4718" s="64" t="s">
        <v>1113</v>
      </c>
      <c r="D4718" s="74"/>
      <c r="E4718" s="208" t="s">
        <v>136</v>
      </c>
      <c r="F4718" s="209" t="s">
        <v>21</v>
      </c>
      <c r="G4718" s="209" t="s">
        <v>21</v>
      </c>
      <c r="H4718" s="209" t="s">
        <v>192</v>
      </c>
      <c r="I4718" s="210"/>
    </row>
    <row r="4719" spans="1:9" x14ac:dyDescent="0.25">
      <c r="A4719" s="74"/>
      <c r="B4719" s="45">
        <v>1759</v>
      </c>
      <c r="C4719" s="64" t="s">
        <v>1925</v>
      </c>
      <c r="D4719" s="74"/>
      <c r="E4719" s="208" t="s">
        <v>136</v>
      </c>
      <c r="F4719" s="209" t="s">
        <v>21</v>
      </c>
      <c r="G4719" s="209" t="s">
        <v>21</v>
      </c>
      <c r="H4719" s="209" t="s">
        <v>272</v>
      </c>
      <c r="I4719" s="210"/>
    </row>
    <row r="4720" spans="1:9" x14ac:dyDescent="0.25">
      <c r="A4720" s="74"/>
      <c r="B4720" s="45">
        <v>710</v>
      </c>
      <c r="C4720" s="64" t="s">
        <v>1119</v>
      </c>
      <c r="D4720" s="74"/>
      <c r="E4720" s="208" t="s">
        <v>136</v>
      </c>
      <c r="F4720" s="209" t="s">
        <v>21</v>
      </c>
      <c r="G4720" s="209" t="s">
        <v>21</v>
      </c>
      <c r="H4720" s="209" t="s">
        <v>192</v>
      </c>
      <c r="I4720" s="210"/>
    </row>
    <row r="4721" spans="1:9" x14ac:dyDescent="0.25">
      <c r="A4721" s="74"/>
      <c r="B4721" s="45">
        <v>750</v>
      </c>
      <c r="C4721" s="64" t="s">
        <v>1159</v>
      </c>
      <c r="D4721" s="74"/>
      <c r="E4721" s="208" t="s">
        <v>137</v>
      </c>
      <c r="F4721" s="209" t="s">
        <v>21</v>
      </c>
      <c r="G4721" s="209" t="s">
        <v>21</v>
      </c>
      <c r="H4721" s="209" t="s">
        <v>192</v>
      </c>
      <c r="I4721" s="210"/>
    </row>
    <row r="4722" spans="1:9" x14ac:dyDescent="0.25">
      <c r="A4722" s="74"/>
      <c r="B4722" s="45">
        <v>751</v>
      </c>
      <c r="C4722" s="64" t="s">
        <v>1160</v>
      </c>
      <c r="D4722" s="74"/>
      <c r="E4722" s="208" t="s">
        <v>137</v>
      </c>
      <c r="F4722" s="209" t="s">
        <v>21</v>
      </c>
      <c r="G4722" s="209" t="s">
        <v>21</v>
      </c>
      <c r="H4722" s="209" t="s">
        <v>192</v>
      </c>
      <c r="I4722" s="210"/>
    </row>
    <row r="4723" spans="1:9" x14ac:dyDescent="0.25">
      <c r="A4723" s="74"/>
      <c r="B4723" s="45">
        <v>760</v>
      </c>
      <c r="C4723" s="64" t="s">
        <v>1169</v>
      </c>
      <c r="D4723" s="74"/>
      <c r="E4723" s="208" t="s">
        <v>137</v>
      </c>
      <c r="F4723" s="209" t="s">
        <v>21</v>
      </c>
      <c r="G4723" s="209" t="s">
        <v>21</v>
      </c>
      <c r="H4723" s="209" t="s">
        <v>192</v>
      </c>
      <c r="I4723" s="210"/>
    </row>
    <row r="4724" spans="1:9" x14ac:dyDescent="0.25">
      <c r="A4724" s="74"/>
      <c r="B4724" s="45">
        <v>823</v>
      </c>
      <c r="C4724" s="64" t="s">
        <v>1232</v>
      </c>
      <c r="D4724" s="74"/>
      <c r="E4724" s="208" t="s">
        <v>137</v>
      </c>
      <c r="F4724" s="209" t="s">
        <v>21</v>
      </c>
      <c r="G4724" s="209" t="s">
        <v>21</v>
      </c>
      <c r="H4724" s="209" t="s">
        <v>187</v>
      </c>
      <c r="I4724" s="210"/>
    </row>
    <row r="4725" spans="1:9" x14ac:dyDescent="0.25">
      <c r="A4725" s="74"/>
      <c r="B4725" s="45">
        <v>1909</v>
      </c>
      <c r="C4725" s="64" t="s">
        <v>2097</v>
      </c>
      <c r="D4725" s="74"/>
      <c r="E4725" s="208" t="s">
        <v>137</v>
      </c>
      <c r="F4725" s="209" t="s">
        <v>21</v>
      </c>
      <c r="G4725" s="209" t="s">
        <v>21</v>
      </c>
      <c r="H4725" s="209" t="s">
        <v>192</v>
      </c>
      <c r="I4725" s="210"/>
    </row>
    <row r="4726" spans="1:9" x14ac:dyDescent="0.25">
      <c r="A4726" s="74"/>
      <c r="B4726" s="45">
        <v>1910</v>
      </c>
      <c r="C4726" s="64" t="s">
        <v>1625</v>
      </c>
      <c r="D4726" s="74"/>
      <c r="E4726" s="208" t="s">
        <v>137</v>
      </c>
      <c r="F4726" s="209" t="s">
        <v>21</v>
      </c>
      <c r="G4726" s="209" t="s">
        <v>21</v>
      </c>
      <c r="H4726" s="209" t="s">
        <v>192</v>
      </c>
      <c r="I4726" s="210"/>
    </row>
    <row r="4727" spans="1:9" x14ac:dyDescent="0.25">
      <c r="A4727" s="74"/>
      <c r="B4727" s="45">
        <v>773</v>
      </c>
      <c r="C4727" s="64" t="s">
        <v>1182</v>
      </c>
      <c r="D4727" s="74"/>
      <c r="E4727" s="208" t="s">
        <v>137</v>
      </c>
      <c r="F4727" s="209" t="s">
        <v>21</v>
      </c>
      <c r="G4727" s="209" t="s">
        <v>21</v>
      </c>
      <c r="H4727" s="209" t="s">
        <v>192</v>
      </c>
      <c r="I4727" s="210"/>
    </row>
    <row r="4728" spans="1:9" x14ac:dyDescent="0.25">
      <c r="A4728" s="74"/>
      <c r="B4728" s="45">
        <v>768</v>
      </c>
      <c r="C4728" s="64" t="s">
        <v>1177</v>
      </c>
      <c r="D4728" s="74"/>
      <c r="E4728" s="208" t="s">
        <v>137</v>
      </c>
      <c r="F4728" s="209" t="s">
        <v>21</v>
      </c>
      <c r="G4728" s="209" t="s">
        <v>21</v>
      </c>
      <c r="H4728" s="209" t="s">
        <v>192</v>
      </c>
      <c r="I4728" s="210"/>
    </row>
    <row r="4729" spans="1:9" x14ac:dyDescent="0.25">
      <c r="A4729" s="74"/>
      <c r="B4729" s="45">
        <v>1297</v>
      </c>
      <c r="C4729" s="64" t="s">
        <v>1696</v>
      </c>
      <c r="D4729" s="74"/>
      <c r="E4729" s="208" t="s">
        <v>278</v>
      </c>
      <c r="F4729" s="209" t="s">
        <v>21</v>
      </c>
      <c r="G4729" s="209" t="s">
        <v>21</v>
      </c>
      <c r="H4729" s="209" t="s">
        <v>189</v>
      </c>
      <c r="I4729" s="210"/>
    </row>
    <row r="4730" spans="1:9" x14ac:dyDescent="0.25">
      <c r="A4730" s="74"/>
      <c r="B4730" s="45">
        <v>1911</v>
      </c>
      <c r="C4730" s="64" t="s">
        <v>2013</v>
      </c>
      <c r="D4730" s="74"/>
      <c r="E4730" s="208" t="s">
        <v>137</v>
      </c>
      <c r="F4730" s="209" t="s">
        <v>21</v>
      </c>
      <c r="G4730" s="209" t="s">
        <v>21</v>
      </c>
      <c r="H4730" s="209" t="s">
        <v>192</v>
      </c>
      <c r="I4730" s="210"/>
    </row>
    <row r="4731" spans="1:9" x14ac:dyDescent="0.25">
      <c r="A4731" s="74"/>
      <c r="B4731" s="45">
        <v>790</v>
      </c>
      <c r="C4731" s="64" t="s">
        <v>1199</v>
      </c>
      <c r="D4731" s="74"/>
      <c r="E4731" s="208" t="s">
        <v>137</v>
      </c>
      <c r="F4731" s="209" t="s">
        <v>21</v>
      </c>
      <c r="G4731" s="209" t="s">
        <v>21</v>
      </c>
      <c r="H4731" s="209" t="s">
        <v>192</v>
      </c>
      <c r="I4731" s="210"/>
    </row>
    <row r="4732" spans="1:9" x14ac:dyDescent="0.25">
      <c r="A4732" s="74"/>
      <c r="B4732" s="45">
        <v>793</v>
      </c>
      <c r="C4732" s="64" t="s">
        <v>1202</v>
      </c>
      <c r="D4732" s="74"/>
      <c r="E4732" s="208" t="s">
        <v>137</v>
      </c>
      <c r="F4732" s="209" t="s">
        <v>21</v>
      </c>
      <c r="G4732" s="209" t="s">
        <v>21</v>
      </c>
      <c r="H4732" s="209" t="s">
        <v>192</v>
      </c>
      <c r="I4732" s="210"/>
    </row>
    <row r="4733" spans="1:9" x14ac:dyDescent="0.25">
      <c r="A4733" s="74"/>
      <c r="B4733" s="45">
        <v>672</v>
      </c>
      <c r="C4733" s="64" t="s">
        <v>1081</v>
      </c>
      <c r="D4733" s="74"/>
      <c r="E4733" s="208" t="s">
        <v>137</v>
      </c>
      <c r="F4733" s="209" t="s">
        <v>21</v>
      </c>
      <c r="G4733" s="209" t="s">
        <v>21</v>
      </c>
      <c r="H4733" s="209" t="s">
        <v>183</v>
      </c>
      <c r="I4733" s="210"/>
    </row>
    <row r="4734" spans="1:9" x14ac:dyDescent="0.25">
      <c r="A4734" s="74"/>
      <c r="B4734" s="45">
        <v>1763</v>
      </c>
      <c r="C4734" s="64" t="s">
        <v>2030</v>
      </c>
      <c r="D4734" s="74"/>
      <c r="E4734" s="208" t="s">
        <v>129</v>
      </c>
      <c r="F4734" s="209" t="s">
        <v>21</v>
      </c>
      <c r="G4734" s="209" t="s">
        <v>21</v>
      </c>
      <c r="H4734" s="209" t="s">
        <v>179</v>
      </c>
      <c r="I4734" s="210"/>
    </row>
    <row r="4735" spans="1:9" x14ac:dyDescent="0.25">
      <c r="A4735" s="74"/>
      <c r="B4735" s="45">
        <v>652</v>
      </c>
      <c r="C4735" s="64" t="s">
        <v>1061</v>
      </c>
      <c r="D4735" s="74"/>
      <c r="E4735" s="208" t="s">
        <v>136</v>
      </c>
      <c r="F4735" s="209" t="s">
        <v>21</v>
      </c>
      <c r="G4735" s="209" t="s">
        <v>21</v>
      </c>
      <c r="H4735" s="209" t="s">
        <v>183</v>
      </c>
      <c r="I4735" s="210"/>
    </row>
    <row r="4736" spans="1:9" x14ac:dyDescent="0.25">
      <c r="A4736" s="74"/>
      <c r="B4736" s="45">
        <v>828</v>
      </c>
      <c r="C4736" s="64" t="s">
        <v>1237</v>
      </c>
      <c r="D4736" s="74"/>
      <c r="E4736" s="208" t="s">
        <v>129</v>
      </c>
      <c r="F4736" s="209" t="s">
        <v>21</v>
      </c>
      <c r="G4736" s="209" t="s">
        <v>21</v>
      </c>
      <c r="H4736" s="209" t="s">
        <v>183</v>
      </c>
      <c r="I4736" s="210"/>
    </row>
    <row r="4737" spans="1:9" x14ac:dyDescent="0.25">
      <c r="A4737" s="74"/>
      <c r="B4737" s="45">
        <v>1915</v>
      </c>
      <c r="C4737" s="64" t="s">
        <v>1996</v>
      </c>
      <c r="D4737" s="74"/>
      <c r="E4737" s="208" t="s">
        <v>129</v>
      </c>
      <c r="F4737" s="209" t="s">
        <v>21</v>
      </c>
      <c r="G4737" s="209" t="s">
        <v>21</v>
      </c>
      <c r="H4737" s="209" t="s">
        <v>189</v>
      </c>
      <c r="I4737" s="210"/>
    </row>
    <row r="4738" spans="1:9" x14ac:dyDescent="0.25">
      <c r="A4738" s="74"/>
      <c r="B4738" s="45">
        <v>1916</v>
      </c>
      <c r="C4738" s="64" t="s">
        <v>2098</v>
      </c>
      <c r="D4738" s="74"/>
      <c r="E4738" s="208" t="s">
        <v>158</v>
      </c>
      <c r="F4738" s="209" t="s">
        <v>21</v>
      </c>
      <c r="G4738" s="209" t="s">
        <v>21</v>
      </c>
      <c r="H4738" s="209" t="s">
        <v>189</v>
      </c>
      <c r="I4738" s="210"/>
    </row>
    <row r="4739" spans="1:9" x14ac:dyDescent="0.25">
      <c r="A4739" s="74"/>
      <c r="B4739" s="45">
        <v>1917</v>
      </c>
      <c r="C4739" s="64" t="s">
        <v>2001</v>
      </c>
      <c r="D4739" s="74"/>
      <c r="E4739" s="208" t="s">
        <v>158</v>
      </c>
      <c r="F4739" s="209" t="s">
        <v>21</v>
      </c>
      <c r="G4739" s="209" t="s">
        <v>21</v>
      </c>
      <c r="H4739" s="209" t="s">
        <v>251</v>
      </c>
      <c r="I4739" s="210"/>
    </row>
    <row r="4740" spans="1:9" x14ac:dyDescent="0.25">
      <c r="A4740" s="74"/>
      <c r="B4740" s="45">
        <v>1918</v>
      </c>
      <c r="C4740" s="64" t="s">
        <v>2077</v>
      </c>
      <c r="D4740" s="74"/>
      <c r="E4740" s="208" t="s">
        <v>158</v>
      </c>
      <c r="F4740" s="209" t="s">
        <v>21</v>
      </c>
      <c r="G4740" s="209" t="s">
        <v>21</v>
      </c>
      <c r="H4740" s="209" t="s">
        <v>251</v>
      </c>
      <c r="I4740" s="210"/>
    </row>
    <row r="4741" spans="1:9" x14ac:dyDescent="0.25">
      <c r="A4741" s="74"/>
      <c r="B4741" s="45">
        <v>1919</v>
      </c>
      <c r="C4741" s="64" t="s">
        <v>2021</v>
      </c>
      <c r="D4741" s="74"/>
      <c r="E4741" s="208" t="s">
        <v>158</v>
      </c>
      <c r="F4741" s="209" t="s">
        <v>21</v>
      </c>
      <c r="G4741" s="209" t="s">
        <v>21</v>
      </c>
      <c r="H4741" s="209" t="s">
        <v>251</v>
      </c>
      <c r="I4741" s="210"/>
    </row>
    <row r="4742" spans="1:9" x14ac:dyDescent="0.25">
      <c r="A4742" s="74"/>
      <c r="B4742" s="45">
        <v>1920</v>
      </c>
      <c r="C4742" s="64" t="s">
        <v>2099</v>
      </c>
      <c r="D4742" s="74"/>
      <c r="E4742" s="208" t="s">
        <v>174</v>
      </c>
      <c r="F4742" s="209" t="s">
        <v>21</v>
      </c>
      <c r="G4742" s="209" t="s">
        <v>21</v>
      </c>
      <c r="H4742" s="209" t="s">
        <v>187</v>
      </c>
      <c r="I4742" s="210"/>
    </row>
    <row r="4743" spans="1:9" x14ac:dyDescent="0.25">
      <c r="A4743" s="74"/>
      <c r="B4743" s="45">
        <v>1921</v>
      </c>
      <c r="C4743" s="64" t="s">
        <v>2069</v>
      </c>
      <c r="D4743" s="74"/>
      <c r="E4743" s="208" t="s">
        <v>174</v>
      </c>
      <c r="F4743" s="209" t="s">
        <v>21</v>
      </c>
      <c r="G4743" s="209" t="s">
        <v>21</v>
      </c>
      <c r="H4743" s="209" t="s">
        <v>251</v>
      </c>
      <c r="I4743" s="210"/>
    </row>
    <row r="4744" spans="1:9" x14ac:dyDescent="0.25">
      <c r="A4744" s="74"/>
      <c r="B4744" s="45">
        <v>831</v>
      </c>
      <c r="C4744" s="64" t="s">
        <v>1240</v>
      </c>
      <c r="D4744" s="74"/>
      <c r="E4744" s="208" t="s">
        <v>174</v>
      </c>
      <c r="F4744" s="209" t="s">
        <v>21</v>
      </c>
      <c r="G4744" s="209" t="s">
        <v>21</v>
      </c>
      <c r="H4744" s="209" t="s">
        <v>187</v>
      </c>
      <c r="I4744" s="210"/>
    </row>
    <row r="4745" spans="1:9" x14ac:dyDescent="0.25">
      <c r="A4745" s="74"/>
      <c r="B4745" s="45">
        <v>833</v>
      </c>
      <c r="C4745" s="64" t="s">
        <v>1242</v>
      </c>
      <c r="D4745" s="74"/>
      <c r="E4745" s="208" t="s">
        <v>154</v>
      </c>
      <c r="F4745" s="209" t="s">
        <v>21</v>
      </c>
      <c r="G4745" s="209" t="s">
        <v>21</v>
      </c>
      <c r="H4745" s="209" t="s">
        <v>179</v>
      </c>
      <c r="I4745" s="210"/>
    </row>
    <row r="4746" spans="1:9" x14ac:dyDescent="0.25">
      <c r="A4746" s="74"/>
      <c r="B4746" s="45">
        <v>1922</v>
      </c>
      <c r="C4746" s="64" t="s">
        <v>2090</v>
      </c>
      <c r="D4746" s="74"/>
      <c r="E4746" s="208" t="s">
        <v>281</v>
      </c>
      <c r="F4746" s="209" t="s">
        <v>21</v>
      </c>
      <c r="G4746" s="209" t="s">
        <v>21</v>
      </c>
      <c r="H4746" s="209" t="s">
        <v>181</v>
      </c>
      <c r="I4746" s="210"/>
    </row>
    <row r="4747" spans="1:9" x14ac:dyDescent="0.25">
      <c r="A4747" s="74"/>
      <c r="B4747" s="45">
        <v>1923</v>
      </c>
      <c r="C4747" s="64" t="s">
        <v>2100</v>
      </c>
      <c r="D4747" s="74"/>
      <c r="E4747" s="208" t="s">
        <v>281</v>
      </c>
      <c r="F4747" s="209" t="s">
        <v>21</v>
      </c>
      <c r="G4747" s="209" t="s">
        <v>21</v>
      </c>
      <c r="H4747" s="209" t="s">
        <v>180</v>
      </c>
      <c r="I4747" s="210"/>
    </row>
    <row r="4748" spans="1:9" x14ac:dyDescent="0.25">
      <c r="A4748" s="74"/>
      <c r="B4748" s="45">
        <v>1924</v>
      </c>
      <c r="C4748" s="64" t="s">
        <v>1912</v>
      </c>
      <c r="D4748" s="74"/>
      <c r="E4748" s="208" t="s">
        <v>154</v>
      </c>
      <c r="F4748" s="209" t="s">
        <v>21</v>
      </c>
      <c r="G4748" s="209" t="s">
        <v>21</v>
      </c>
      <c r="H4748" s="209" t="s">
        <v>187</v>
      </c>
      <c r="I4748" s="210"/>
    </row>
    <row r="4749" spans="1:9" x14ac:dyDescent="0.25">
      <c r="A4749" s="74"/>
      <c r="B4749" s="45">
        <v>1925</v>
      </c>
      <c r="C4749" s="64" t="s">
        <v>2061</v>
      </c>
      <c r="D4749" s="74"/>
      <c r="E4749" s="208" t="s">
        <v>154</v>
      </c>
      <c r="F4749" s="209" t="s">
        <v>21</v>
      </c>
      <c r="G4749" s="209" t="s">
        <v>21</v>
      </c>
      <c r="H4749" s="209" t="s">
        <v>187</v>
      </c>
      <c r="I4749" s="210"/>
    </row>
    <row r="4750" spans="1:9" x14ac:dyDescent="0.25">
      <c r="A4750" s="74"/>
      <c r="B4750" s="45">
        <v>1926</v>
      </c>
      <c r="C4750" s="64" t="s">
        <v>2101</v>
      </c>
      <c r="D4750" s="74"/>
      <c r="E4750" s="208" t="s">
        <v>154</v>
      </c>
      <c r="F4750" s="209" t="s">
        <v>21</v>
      </c>
      <c r="G4750" s="209" t="s">
        <v>21</v>
      </c>
      <c r="H4750" s="209" t="s">
        <v>187</v>
      </c>
      <c r="I4750" s="210"/>
    </row>
    <row r="4751" spans="1:9" x14ac:dyDescent="0.25">
      <c r="A4751" s="74"/>
      <c r="B4751" s="45">
        <v>1927</v>
      </c>
      <c r="C4751" s="64" t="s">
        <v>2102</v>
      </c>
      <c r="D4751" s="74"/>
      <c r="E4751" s="208" t="s">
        <v>150</v>
      </c>
      <c r="F4751" s="209" t="s">
        <v>21</v>
      </c>
      <c r="G4751" s="209" t="s">
        <v>21</v>
      </c>
      <c r="H4751" s="209" t="s">
        <v>187</v>
      </c>
      <c r="I4751" s="210"/>
    </row>
    <row r="4752" spans="1:9" x14ac:dyDescent="0.25">
      <c r="A4752" s="74"/>
      <c r="B4752" s="45">
        <v>1928</v>
      </c>
      <c r="C4752" s="64" t="s">
        <v>1839</v>
      </c>
      <c r="D4752" s="74"/>
      <c r="E4752" s="208" t="s">
        <v>150</v>
      </c>
      <c r="F4752" s="209" t="s">
        <v>21</v>
      </c>
      <c r="G4752" s="209" t="s">
        <v>21</v>
      </c>
      <c r="H4752" s="209" t="s">
        <v>198</v>
      </c>
      <c r="I4752" s="210"/>
    </row>
    <row r="4753" spans="1:9" x14ac:dyDescent="0.25">
      <c r="A4753" s="74"/>
      <c r="B4753" s="45">
        <v>1929</v>
      </c>
      <c r="C4753" s="64" t="s">
        <v>2046</v>
      </c>
      <c r="D4753" s="74"/>
      <c r="E4753" s="208" t="s">
        <v>292</v>
      </c>
      <c r="F4753" s="209" t="s">
        <v>21</v>
      </c>
      <c r="G4753" s="209" t="s">
        <v>21</v>
      </c>
      <c r="H4753" s="209" t="s">
        <v>187</v>
      </c>
      <c r="I4753" s="210"/>
    </row>
    <row r="4754" spans="1:9" x14ac:dyDescent="0.25">
      <c r="A4754" s="74"/>
      <c r="B4754" s="45">
        <v>1930</v>
      </c>
      <c r="C4754" s="64" t="s">
        <v>2080</v>
      </c>
      <c r="D4754" s="74"/>
      <c r="E4754" s="208" t="s">
        <v>292</v>
      </c>
      <c r="F4754" s="209" t="s">
        <v>21</v>
      </c>
      <c r="G4754" s="209" t="s">
        <v>21</v>
      </c>
      <c r="H4754" s="209" t="s">
        <v>189</v>
      </c>
      <c r="I4754" s="210"/>
    </row>
    <row r="4755" spans="1:9" x14ac:dyDescent="0.25">
      <c r="A4755" s="74"/>
      <c r="B4755" s="45">
        <v>1931</v>
      </c>
      <c r="C4755" s="64" t="s">
        <v>2103</v>
      </c>
      <c r="D4755" s="74"/>
      <c r="E4755" s="208" t="s">
        <v>292</v>
      </c>
      <c r="F4755" s="209" t="s">
        <v>21</v>
      </c>
      <c r="G4755" s="209" t="s">
        <v>21</v>
      </c>
      <c r="H4755" s="209" t="s">
        <v>187</v>
      </c>
      <c r="I4755" s="210"/>
    </row>
    <row r="4756" spans="1:9" x14ac:dyDescent="0.25">
      <c r="A4756" s="74"/>
      <c r="B4756" s="45">
        <v>1926</v>
      </c>
      <c r="C4756" s="64" t="s">
        <v>2101</v>
      </c>
      <c r="D4756" s="74"/>
      <c r="E4756" s="208" t="s">
        <v>154</v>
      </c>
      <c r="F4756" s="209" t="s">
        <v>21</v>
      </c>
      <c r="G4756" s="209" t="s">
        <v>21</v>
      </c>
      <c r="H4756" s="209" t="s">
        <v>187</v>
      </c>
      <c r="I4756" s="210"/>
    </row>
    <row r="4757" spans="1:9" x14ac:dyDescent="0.25">
      <c r="A4757" s="74"/>
      <c r="B4757" s="45">
        <v>842</v>
      </c>
      <c r="C4757" s="64" t="s">
        <v>1251</v>
      </c>
      <c r="D4757" s="74"/>
      <c r="E4757" s="208" t="s">
        <v>149</v>
      </c>
      <c r="F4757" s="209" t="s">
        <v>21</v>
      </c>
      <c r="G4757" s="209" t="s">
        <v>21</v>
      </c>
      <c r="H4757" s="209" t="s">
        <v>183</v>
      </c>
      <c r="I4757" s="210"/>
    </row>
    <row r="4758" spans="1:9" x14ac:dyDescent="0.25">
      <c r="A4758" s="74"/>
      <c r="B4758" s="45">
        <v>850</v>
      </c>
      <c r="C4758" s="64" t="s">
        <v>1259</v>
      </c>
      <c r="D4758" s="74"/>
      <c r="E4758" s="208" t="s">
        <v>149</v>
      </c>
      <c r="F4758" s="209" t="s">
        <v>21</v>
      </c>
      <c r="G4758" s="209" t="s">
        <v>21</v>
      </c>
      <c r="H4758" s="209" t="s">
        <v>187</v>
      </c>
      <c r="I4758" s="210"/>
    </row>
    <row r="4759" spans="1:9" x14ac:dyDescent="0.25">
      <c r="A4759" s="74"/>
      <c r="B4759" s="45">
        <v>1932</v>
      </c>
      <c r="C4759" s="64" t="s">
        <v>2060</v>
      </c>
      <c r="D4759" s="74"/>
      <c r="E4759" s="208" t="s">
        <v>149</v>
      </c>
      <c r="F4759" s="209" t="s">
        <v>21</v>
      </c>
      <c r="G4759" s="209" t="s">
        <v>21</v>
      </c>
      <c r="H4759" s="209" t="s">
        <v>16</v>
      </c>
      <c r="I4759" s="210"/>
    </row>
    <row r="4760" spans="1:9" x14ac:dyDescent="0.25">
      <c r="A4760" s="74"/>
      <c r="B4760" s="45">
        <v>1933</v>
      </c>
      <c r="C4760" s="64" t="s">
        <v>1859</v>
      </c>
      <c r="D4760" s="74"/>
      <c r="E4760" s="208" t="s">
        <v>149</v>
      </c>
      <c r="F4760" s="209" t="s">
        <v>21</v>
      </c>
      <c r="G4760" s="209" t="s">
        <v>21</v>
      </c>
      <c r="H4760" s="209" t="s">
        <v>16</v>
      </c>
      <c r="I4760" s="210"/>
    </row>
    <row r="4761" spans="1:9" x14ac:dyDescent="0.25">
      <c r="A4761" s="74"/>
      <c r="B4761" s="45">
        <v>1934</v>
      </c>
      <c r="C4761" s="64" t="s">
        <v>2104</v>
      </c>
      <c r="D4761" s="74"/>
      <c r="E4761" s="208" t="s">
        <v>149</v>
      </c>
      <c r="F4761" s="209" t="s">
        <v>21</v>
      </c>
      <c r="G4761" s="209" t="s">
        <v>21</v>
      </c>
      <c r="H4761" s="209" t="s">
        <v>192</v>
      </c>
      <c r="I4761" s="210"/>
    </row>
    <row r="4762" spans="1:9" x14ac:dyDescent="0.25">
      <c r="A4762" s="74"/>
      <c r="B4762" s="45">
        <v>1935</v>
      </c>
      <c r="C4762" s="64" t="s">
        <v>1710</v>
      </c>
      <c r="D4762" s="74"/>
      <c r="E4762" s="208" t="s">
        <v>149</v>
      </c>
      <c r="F4762" s="209" t="s">
        <v>21</v>
      </c>
      <c r="G4762" s="209" t="s">
        <v>21</v>
      </c>
      <c r="H4762" s="209" t="s">
        <v>16</v>
      </c>
      <c r="I4762" s="210"/>
    </row>
    <row r="4763" spans="1:9" x14ac:dyDescent="0.25">
      <c r="A4763" s="74"/>
      <c r="B4763" s="45">
        <v>1936</v>
      </c>
      <c r="C4763" s="64" t="s">
        <v>2078</v>
      </c>
      <c r="D4763" s="74"/>
      <c r="E4763" s="208" t="s">
        <v>149</v>
      </c>
      <c r="F4763" s="209" t="s">
        <v>21</v>
      </c>
      <c r="G4763" s="209" t="s">
        <v>21</v>
      </c>
      <c r="H4763" s="209" t="s">
        <v>16</v>
      </c>
      <c r="I4763" s="210"/>
    </row>
    <row r="4764" spans="1:9" x14ac:dyDescent="0.25">
      <c r="A4764" s="74"/>
      <c r="B4764" s="45">
        <v>1937</v>
      </c>
      <c r="C4764" s="64" t="s">
        <v>2105</v>
      </c>
      <c r="D4764" s="74"/>
      <c r="E4764" s="208" t="s">
        <v>149</v>
      </c>
      <c r="F4764" s="209" t="s">
        <v>21</v>
      </c>
      <c r="G4764" s="209" t="s">
        <v>21</v>
      </c>
      <c r="H4764" s="209" t="s">
        <v>192</v>
      </c>
      <c r="I4764" s="210"/>
    </row>
    <row r="4765" spans="1:9" x14ac:dyDescent="0.25">
      <c r="A4765" s="74"/>
      <c r="B4765" s="45">
        <v>1938</v>
      </c>
      <c r="C4765" s="64" t="s">
        <v>1582</v>
      </c>
      <c r="D4765" s="74"/>
      <c r="E4765" s="208" t="s">
        <v>149</v>
      </c>
      <c r="F4765" s="209" t="s">
        <v>21</v>
      </c>
      <c r="G4765" s="209" t="s">
        <v>21</v>
      </c>
      <c r="H4765" s="209" t="s">
        <v>16</v>
      </c>
      <c r="I4765" s="210"/>
    </row>
    <row r="4766" spans="1:9" x14ac:dyDescent="0.25">
      <c r="A4766" s="74"/>
      <c r="B4766" s="45">
        <v>1939</v>
      </c>
      <c r="C4766" s="64" t="s">
        <v>1946</v>
      </c>
      <c r="D4766" s="74"/>
      <c r="E4766" s="208" t="s">
        <v>149</v>
      </c>
      <c r="F4766" s="209" t="s">
        <v>21</v>
      </c>
      <c r="G4766" s="209" t="s">
        <v>21</v>
      </c>
      <c r="H4766" s="209" t="s">
        <v>192</v>
      </c>
      <c r="I4766" s="210"/>
    </row>
    <row r="4767" spans="1:9" x14ac:dyDescent="0.25">
      <c r="A4767" s="74"/>
      <c r="B4767" s="45">
        <v>1940</v>
      </c>
      <c r="C4767" s="64" t="s">
        <v>1786</v>
      </c>
      <c r="D4767" s="74"/>
      <c r="E4767" s="208" t="s">
        <v>149</v>
      </c>
      <c r="F4767" s="209" t="s">
        <v>21</v>
      </c>
      <c r="G4767" s="209" t="s">
        <v>21</v>
      </c>
      <c r="H4767" s="209" t="s">
        <v>192</v>
      </c>
      <c r="I4767" s="210"/>
    </row>
    <row r="4768" spans="1:9" x14ac:dyDescent="0.25">
      <c r="A4768" s="74"/>
      <c r="B4768" s="45">
        <v>1941</v>
      </c>
      <c r="C4768" s="64" t="s">
        <v>2106</v>
      </c>
      <c r="D4768" s="74"/>
      <c r="E4768" s="208" t="s">
        <v>149</v>
      </c>
      <c r="F4768" s="209" t="s">
        <v>21</v>
      </c>
      <c r="G4768" s="209" t="s">
        <v>21</v>
      </c>
      <c r="H4768" s="209" t="s">
        <v>16</v>
      </c>
      <c r="I4768" s="210"/>
    </row>
    <row r="4769" spans="1:9" x14ac:dyDescent="0.25">
      <c r="A4769" s="74"/>
      <c r="B4769" s="45">
        <v>1942</v>
      </c>
      <c r="C4769" s="64" t="s">
        <v>2107</v>
      </c>
      <c r="D4769" s="74"/>
      <c r="E4769" s="208" t="s">
        <v>149</v>
      </c>
      <c r="F4769" s="209" t="s">
        <v>21</v>
      </c>
      <c r="G4769" s="209" t="s">
        <v>21</v>
      </c>
      <c r="H4769" s="209" t="s">
        <v>189</v>
      </c>
      <c r="I4769" s="210"/>
    </row>
    <row r="4770" spans="1:9" x14ac:dyDescent="0.25">
      <c r="A4770" s="74"/>
      <c r="B4770" s="45">
        <v>849</v>
      </c>
      <c r="C4770" s="64" t="s">
        <v>1258</v>
      </c>
      <c r="D4770" s="74"/>
      <c r="E4770" s="208" t="s">
        <v>149</v>
      </c>
      <c r="F4770" s="209" t="s">
        <v>21</v>
      </c>
      <c r="G4770" s="209" t="s">
        <v>21</v>
      </c>
      <c r="H4770" s="209" t="s">
        <v>187</v>
      </c>
      <c r="I4770" s="210"/>
    </row>
    <row r="4771" spans="1:9" x14ac:dyDescent="0.25">
      <c r="A4771" s="74"/>
      <c r="B4771" s="45">
        <v>1943</v>
      </c>
      <c r="C4771" s="64" t="s">
        <v>2025</v>
      </c>
      <c r="D4771" s="74"/>
      <c r="E4771" s="208" t="s">
        <v>149</v>
      </c>
      <c r="F4771" s="209" t="s">
        <v>21</v>
      </c>
      <c r="G4771" s="209" t="s">
        <v>21</v>
      </c>
      <c r="H4771" s="209" t="s">
        <v>16</v>
      </c>
      <c r="I4771" s="210"/>
    </row>
    <row r="4772" spans="1:9" x14ac:dyDescent="0.25">
      <c r="A4772" s="74"/>
      <c r="B4772" s="45">
        <v>841</v>
      </c>
      <c r="C4772" s="64" t="s">
        <v>1250</v>
      </c>
      <c r="D4772" s="74"/>
      <c r="E4772" s="208" t="s">
        <v>149</v>
      </c>
      <c r="F4772" s="209" t="s">
        <v>21</v>
      </c>
      <c r="G4772" s="209" t="s">
        <v>21</v>
      </c>
      <c r="H4772" s="209" t="s">
        <v>189</v>
      </c>
      <c r="I4772" s="210"/>
    </row>
    <row r="4773" spans="1:9" x14ac:dyDescent="0.25">
      <c r="A4773" s="74"/>
      <c r="B4773" s="45">
        <v>1943</v>
      </c>
      <c r="C4773" s="64" t="s">
        <v>2025</v>
      </c>
      <c r="D4773" s="74"/>
      <c r="E4773" s="208" t="s">
        <v>149</v>
      </c>
      <c r="F4773" s="209" t="s">
        <v>21</v>
      </c>
      <c r="G4773" s="209" t="s">
        <v>21</v>
      </c>
      <c r="H4773" s="209" t="s">
        <v>16</v>
      </c>
      <c r="I4773" s="210"/>
    </row>
    <row r="4774" spans="1:9" x14ac:dyDescent="0.25">
      <c r="A4774" s="74"/>
      <c r="B4774" s="45">
        <v>844</v>
      </c>
      <c r="C4774" s="64" t="s">
        <v>1253</v>
      </c>
      <c r="D4774" s="74"/>
      <c r="E4774" s="208" t="s">
        <v>149</v>
      </c>
      <c r="F4774" s="209" t="s">
        <v>21</v>
      </c>
      <c r="G4774" s="209" t="s">
        <v>21</v>
      </c>
      <c r="H4774" s="209" t="s">
        <v>189</v>
      </c>
      <c r="I4774" s="210"/>
    </row>
    <row r="4775" spans="1:9" x14ac:dyDescent="0.25">
      <c r="A4775" s="74"/>
      <c r="B4775" s="45">
        <v>846</v>
      </c>
      <c r="C4775" s="64" t="s">
        <v>1255</v>
      </c>
      <c r="D4775" s="74"/>
      <c r="E4775" s="208" t="s">
        <v>149</v>
      </c>
      <c r="F4775" s="209" t="s">
        <v>21</v>
      </c>
      <c r="G4775" s="209" t="s">
        <v>21</v>
      </c>
      <c r="H4775" s="209" t="s">
        <v>198</v>
      </c>
      <c r="I4775" s="210"/>
    </row>
    <row r="4776" spans="1:9" x14ac:dyDescent="0.25">
      <c r="A4776" s="74"/>
      <c r="B4776" s="45">
        <v>846</v>
      </c>
      <c r="C4776" s="64" t="s">
        <v>1255</v>
      </c>
      <c r="D4776" s="74"/>
      <c r="E4776" s="208" t="s">
        <v>149</v>
      </c>
      <c r="F4776" s="209" t="s">
        <v>21</v>
      </c>
      <c r="G4776" s="209" t="s">
        <v>21</v>
      </c>
      <c r="H4776" s="209" t="s">
        <v>198</v>
      </c>
      <c r="I4776" s="210"/>
    </row>
    <row r="4777" spans="1:9" x14ac:dyDescent="0.25">
      <c r="A4777" s="74"/>
      <c r="B4777" s="45">
        <v>1939</v>
      </c>
      <c r="C4777" s="64" t="s">
        <v>1946</v>
      </c>
      <c r="D4777" s="74"/>
      <c r="E4777" s="208" t="s">
        <v>149</v>
      </c>
      <c r="F4777" s="209" t="s">
        <v>21</v>
      </c>
      <c r="G4777" s="209" t="s">
        <v>21</v>
      </c>
      <c r="H4777" s="209" t="s">
        <v>192</v>
      </c>
      <c r="I4777" s="210"/>
    </row>
    <row r="4778" spans="1:9" x14ac:dyDescent="0.25">
      <c r="A4778" s="74"/>
      <c r="B4778" s="45">
        <v>1944</v>
      </c>
      <c r="C4778" s="64" t="s">
        <v>1731</v>
      </c>
      <c r="D4778" s="74"/>
      <c r="E4778" s="208" t="s">
        <v>149</v>
      </c>
      <c r="F4778" s="209" t="s">
        <v>21</v>
      </c>
      <c r="G4778" s="209" t="s">
        <v>21</v>
      </c>
      <c r="H4778" s="209" t="s">
        <v>192</v>
      </c>
      <c r="I4778" s="210"/>
    </row>
    <row r="4779" spans="1:9" x14ac:dyDescent="0.25">
      <c r="A4779" s="74"/>
      <c r="B4779" s="45">
        <v>1945</v>
      </c>
      <c r="C4779" s="64" t="s">
        <v>1994</v>
      </c>
      <c r="D4779" s="74"/>
      <c r="E4779" s="208" t="s">
        <v>149</v>
      </c>
      <c r="F4779" s="209" t="s">
        <v>21</v>
      </c>
      <c r="G4779" s="209" t="s">
        <v>21</v>
      </c>
      <c r="H4779" s="209" t="s">
        <v>198</v>
      </c>
      <c r="I4779" s="210"/>
    </row>
    <row r="4780" spans="1:9" x14ac:dyDescent="0.25">
      <c r="A4780" s="74"/>
      <c r="B4780" s="45">
        <v>1934</v>
      </c>
      <c r="C4780" s="64" t="s">
        <v>2104</v>
      </c>
      <c r="D4780" s="74"/>
      <c r="E4780" s="208" t="s">
        <v>149</v>
      </c>
      <c r="F4780" s="209" t="s">
        <v>21</v>
      </c>
      <c r="G4780" s="209" t="s">
        <v>21</v>
      </c>
      <c r="H4780" s="209" t="s">
        <v>192</v>
      </c>
      <c r="I4780" s="210"/>
    </row>
    <row r="4781" spans="1:9" x14ac:dyDescent="0.25">
      <c r="A4781" s="74"/>
      <c r="B4781" s="45">
        <v>1939</v>
      </c>
      <c r="C4781" s="64" t="s">
        <v>1946</v>
      </c>
      <c r="D4781" s="74"/>
      <c r="E4781" s="208" t="s">
        <v>149</v>
      </c>
      <c r="F4781" s="209" t="s">
        <v>21</v>
      </c>
      <c r="G4781" s="209" t="s">
        <v>21</v>
      </c>
      <c r="H4781" s="209" t="s">
        <v>192</v>
      </c>
      <c r="I4781" s="210"/>
    </row>
    <row r="4782" spans="1:9" x14ac:dyDescent="0.25">
      <c r="A4782" s="74"/>
      <c r="B4782" s="45">
        <v>1941</v>
      </c>
      <c r="C4782" s="64" t="s">
        <v>2106</v>
      </c>
      <c r="D4782" s="74"/>
      <c r="E4782" s="208" t="s">
        <v>149</v>
      </c>
      <c r="F4782" s="209" t="s">
        <v>21</v>
      </c>
      <c r="G4782" s="209" t="s">
        <v>21</v>
      </c>
      <c r="H4782" s="209" t="s">
        <v>16</v>
      </c>
      <c r="I4782" s="210"/>
    </row>
    <row r="4783" spans="1:9" x14ac:dyDescent="0.25">
      <c r="A4783" s="74"/>
      <c r="B4783" s="45">
        <v>1944</v>
      </c>
      <c r="C4783" s="64" t="s">
        <v>1731</v>
      </c>
      <c r="D4783" s="74"/>
      <c r="E4783" s="208" t="s">
        <v>149</v>
      </c>
      <c r="F4783" s="209" t="s">
        <v>21</v>
      </c>
      <c r="G4783" s="209" t="s">
        <v>21</v>
      </c>
      <c r="H4783" s="209" t="s">
        <v>192</v>
      </c>
      <c r="I4783" s="210"/>
    </row>
    <row r="4784" spans="1:9" x14ac:dyDescent="0.25">
      <c r="A4784" s="74"/>
      <c r="B4784" s="45">
        <v>1946</v>
      </c>
      <c r="C4784" s="64" t="s">
        <v>1985</v>
      </c>
      <c r="D4784" s="74"/>
      <c r="E4784" s="208" t="s">
        <v>149</v>
      </c>
      <c r="F4784" s="209" t="s">
        <v>21</v>
      </c>
      <c r="G4784" s="209" t="s">
        <v>21</v>
      </c>
      <c r="H4784" s="209" t="s">
        <v>16</v>
      </c>
      <c r="I4784" s="210"/>
    </row>
    <row r="4785" spans="1:9" x14ac:dyDescent="0.25">
      <c r="A4785" s="74"/>
      <c r="B4785" s="45">
        <v>1947</v>
      </c>
      <c r="C4785" s="64" t="s">
        <v>1925</v>
      </c>
      <c r="D4785" s="74"/>
      <c r="E4785" s="208" t="s">
        <v>149</v>
      </c>
      <c r="F4785" s="209" t="s">
        <v>21</v>
      </c>
      <c r="G4785" s="209" t="s">
        <v>21</v>
      </c>
      <c r="H4785" s="209" t="s">
        <v>16</v>
      </c>
      <c r="I4785" s="210"/>
    </row>
    <row r="4786" spans="1:9" x14ac:dyDescent="0.25">
      <c r="A4786" s="74"/>
      <c r="B4786" s="45">
        <v>1948</v>
      </c>
      <c r="C4786" s="64" t="s">
        <v>1934</v>
      </c>
      <c r="D4786" s="74"/>
      <c r="E4786" s="208" t="s">
        <v>149</v>
      </c>
      <c r="F4786" s="209" t="s">
        <v>21</v>
      </c>
      <c r="G4786" s="209" t="s">
        <v>21</v>
      </c>
      <c r="H4786" s="209" t="s">
        <v>189</v>
      </c>
      <c r="I4786" s="210"/>
    </row>
    <row r="4787" spans="1:9" x14ac:dyDescent="0.25">
      <c r="A4787" s="74"/>
      <c r="B4787" s="45">
        <v>1949</v>
      </c>
      <c r="C4787" s="64" t="s">
        <v>1903</v>
      </c>
      <c r="D4787" s="74"/>
      <c r="E4787" s="208" t="s">
        <v>149</v>
      </c>
      <c r="F4787" s="209" t="s">
        <v>21</v>
      </c>
      <c r="G4787" s="209" t="s">
        <v>21</v>
      </c>
      <c r="H4787" s="209" t="s">
        <v>189</v>
      </c>
      <c r="I4787" s="210"/>
    </row>
    <row r="4788" spans="1:9" x14ac:dyDescent="0.25">
      <c r="A4788" s="74"/>
      <c r="B4788" s="45">
        <v>1950</v>
      </c>
      <c r="C4788" s="64" t="s">
        <v>2030</v>
      </c>
      <c r="D4788" s="74"/>
      <c r="E4788" s="208" t="s">
        <v>149</v>
      </c>
      <c r="F4788" s="209" t="s">
        <v>21</v>
      </c>
      <c r="G4788" s="209" t="s">
        <v>21</v>
      </c>
      <c r="H4788" s="209" t="s">
        <v>189</v>
      </c>
      <c r="I4788" s="210"/>
    </row>
    <row r="4789" spans="1:9" x14ac:dyDescent="0.25">
      <c r="A4789" s="74"/>
      <c r="B4789" s="45">
        <v>1943</v>
      </c>
      <c r="C4789" s="64" t="s">
        <v>2025</v>
      </c>
      <c r="D4789" s="74"/>
      <c r="E4789" s="208" t="s">
        <v>149</v>
      </c>
      <c r="F4789" s="209" t="s">
        <v>21</v>
      </c>
      <c r="G4789" s="209" t="s">
        <v>21</v>
      </c>
      <c r="H4789" s="209" t="s">
        <v>16</v>
      </c>
      <c r="I4789" s="210"/>
    </row>
    <row r="4790" spans="1:9" x14ac:dyDescent="0.25">
      <c r="A4790" s="74"/>
      <c r="B4790" s="45">
        <v>1951</v>
      </c>
      <c r="C4790" s="64" t="s">
        <v>1970</v>
      </c>
      <c r="D4790" s="74"/>
      <c r="E4790" s="208" t="s">
        <v>149</v>
      </c>
      <c r="F4790" s="209" t="s">
        <v>21</v>
      </c>
      <c r="G4790" s="209" t="s">
        <v>21</v>
      </c>
      <c r="H4790" s="209" t="s">
        <v>194</v>
      </c>
      <c r="I4790" s="210"/>
    </row>
    <row r="4791" spans="1:9" x14ac:dyDescent="0.25">
      <c r="A4791" s="74"/>
      <c r="B4791" s="45">
        <v>1948</v>
      </c>
      <c r="C4791" s="64" t="s">
        <v>1934</v>
      </c>
      <c r="D4791" s="74"/>
      <c r="E4791" s="208" t="s">
        <v>149</v>
      </c>
      <c r="F4791" s="209" t="s">
        <v>21</v>
      </c>
      <c r="G4791" s="209" t="s">
        <v>21</v>
      </c>
      <c r="H4791" s="209" t="s">
        <v>189</v>
      </c>
      <c r="I4791" s="210"/>
    </row>
    <row r="4792" spans="1:9" x14ac:dyDescent="0.25">
      <c r="A4792" s="74"/>
      <c r="B4792" s="45">
        <v>1952</v>
      </c>
      <c r="C4792" s="64" t="s">
        <v>2103</v>
      </c>
      <c r="D4792" s="74"/>
      <c r="E4792" s="208" t="s">
        <v>149</v>
      </c>
      <c r="F4792" s="209" t="s">
        <v>21</v>
      </c>
      <c r="G4792" s="209" t="s">
        <v>21</v>
      </c>
      <c r="H4792" s="209" t="s">
        <v>16</v>
      </c>
      <c r="I4792" s="210"/>
    </row>
    <row r="4793" spans="1:9" x14ac:dyDescent="0.25">
      <c r="A4793" s="74"/>
      <c r="B4793" s="45">
        <v>850</v>
      </c>
      <c r="C4793" s="64" t="s">
        <v>1259</v>
      </c>
      <c r="D4793" s="74"/>
      <c r="E4793" s="208" t="s">
        <v>149</v>
      </c>
      <c r="F4793" s="209" t="s">
        <v>21</v>
      </c>
      <c r="G4793" s="209" t="s">
        <v>21</v>
      </c>
      <c r="H4793" s="209" t="s">
        <v>187</v>
      </c>
      <c r="I4793" s="210"/>
    </row>
    <row r="4794" spans="1:9" x14ac:dyDescent="0.25">
      <c r="A4794" s="74"/>
      <c r="B4794" s="45">
        <v>856</v>
      </c>
      <c r="C4794" s="64" t="s">
        <v>1265</v>
      </c>
      <c r="D4794" s="74"/>
      <c r="E4794" s="208" t="s">
        <v>149</v>
      </c>
      <c r="F4794" s="209" t="s">
        <v>21</v>
      </c>
      <c r="G4794" s="209" t="s">
        <v>21</v>
      </c>
      <c r="H4794" s="209" t="s">
        <v>198</v>
      </c>
      <c r="I4794" s="210"/>
    </row>
    <row r="4795" spans="1:9" x14ac:dyDescent="0.25">
      <c r="A4795" s="74"/>
      <c r="B4795" s="45">
        <v>1953</v>
      </c>
      <c r="C4795" s="64" t="s">
        <v>1956</v>
      </c>
      <c r="D4795" s="74"/>
      <c r="E4795" s="208" t="s">
        <v>149</v>
      </c>
      <c r="F4795" s="209" t="s">
        <v>21</v>
      </c>
      <c r="G4795" s="209" t="s">
        <v>21</v>
      </c>
      <c r="H4795" s="209" t="s">
        <v>192</v>
      </c>
      <c r="I4795" s="210"/>
    </row>
    <row r="4796" spans="1:9" x14ac:dyDescent="0.25">
      <c r="A4796" s="74"/>
      <c r="B4796" s="45">
        <v>1949</v>
      </c>
      <c r="C4796" s="64" t="s">
        <v>1903</v>
      </c>
      <c r="D4796" s="74"/>
      <c r="E4796" s="208" t="s">
        <v>149</v>
      </c>
      <c r="F4796" s="209" t="s">
        <v>21</v>
      </c>
      <c r="G4796" s="209" t="s">
        <v>21</v>
      </c>
      <c r="H4796" s="209" t="s">
        <v>189</v>
      </c>
      <c r="I4796" s="210"/>
    </row>
    <row r="4797" spans="1:9" x14ac:dyDescent="0.25">
      <c r="A4797" s="74"/>
      <c r="B4797" s="45">
        <v>1954</v>
      </c>
      <c r="C4797" s="64" t="s">
        <v>2108</v>
      </c>
      <c r="D4797" s="74"/>
      <c r="E4797" s="208" t="s">
        <v>149</v>
      </c>
      <c r="F4797" s="209" t="s">
        <v>21</v>
      </c>
      <c r="G4797" s="209" t="s">
        <v>21</v>
      </c>
      <c r="H4797" s="209" t="s">
        <v>272</v>
      </c>
      <c r="I4797" s="210"/>
    </row>
    <row r="4798" spans="1:9" x14ac:dyDescent="0.25">
      <c r="A4798" s="74"/>
      <c r="B4798" s="45">
        <v>1955</v>
      </c>
      <c r="C4798" s="64" t="s">
        <v>2109</v>
      </c>
      <c r="D4798" s="74"/>
      <c r="E4798" s="208" t="s">
        <v>149</v>
      </c>
      <c r="F4798" s="209" t="s">
        <v>21</v>
      </c>
      <c r="G4798" s="209" t="s">
        <v>21</v>
      </c>
      <c r="H4798" s="209" t="s">
        <v>192</v>
      </c>
      <c r="I4798" s="210"/>
    </row>
    <row r="4799" spans="1:9" x14ac:dyDescent="0.25">
      <c r="A4799" s="74"/>
      <c r="B4799" s="45">
        <v>1956</v>
      </c>
      <c r="C4799" s="64" t="s">
        <v>2106</v>
      </c>
      <c r="D4799" s="74"/>
      <c r="E4799" s="208" t="s">
        <v>149</v>
      </c>
      <c r="F4799" s="209" t="s">
        <v>21</v>
      </c>
      <c r="G4799" s="209" t="s">
        <v>21</v>
      </c>
      <c r="H4799" s="209" t="s">
        <v>192</v>
      </c>
      <c r="I4799" s="210"/>
    </row>
    <row r="4800" spans="1:9" x14ac:dyDescent="0.25">
      <c r="A4800" s="74"/>
      <c r="B4800" s="45">
        <v>1957</v>
      </c>
      <c r="C4800" s="64" t="s">
        <v>2090</v>
      </c>
      <c r="D4800" s="74"/>
      <c r="E4800" s="208" t="s">
        <v>149</v>
      </c>
      <c r="F4800" s="209" t="s">
        <v>21</v>
      </c>
      <c r="G4800" s="209" t="s">
        <v>21</v>
      </c>
      <c r="H4800" s="209" t="s">
        <v>189</v>
      </c>
      <c r="I4800" s="210"/>
    </row>
    <row r="4801" spans="1:9" x14ac:dyDescent="0.25">
      <c r="A4801" s="74"/>
      <c r="B4801" s="45">
        <v>1958</v>
      </c>
      <c r="C4801" s="64" t="s">
        <v>2110</v>
      </c>
      <c r="D4801" s="74"/>
      <c r="E4801" s="208" t="s">
        <v>149</v>
      </c>
      <c r="F4801" s="209" t="s">
        <v>21</v>
      </c>
      <c r="G4801" s="209" t="s">
        <v>21</v>
      </c>
      <c r="H4801" s="209" t="s">
        <v>192</v>
      </c>
      <c r="I4801" s="210"/>
    </row>
    <row r="4802" spans="1:9" x14ac:dyDescent="0.25">
      <c r="A4802" s="74"/>
      <c r="B4802" s="45">
        <v>1959</v>
      </c>
      <c r="C4802" s="64" t="s">
        <v>2111</v>
      </c>
      <c r="D4802" s="74"/>
      <c r="E4802" s="208" t="s">
        <v>149</v>
      </c>
      <c r="F4802" s="209" t="s">
        <v>21</v>
      </c>
      <c r="G4802" s="209" t="s">
        <v>21</v>
      </c>
      <c r="H4802" s="209" t="s">
        <v>192</v>
      </c>
      <c r="I4802" s="210"/>
    </row>
    <row r="4803" spans="1:9" x14ac:dyDescent="0.25">
      <c r="A4803" s="74"/>
      <c r="B4803" s="45">
        <v>1960</v>
      </c>
      <c r="C4803" s="64" t="s">
        <v>2040</v>
      </c>
      <c r="D4803" s="74"/>
      <c r="E4803" s="208" t="s">
        <v>149</v>
      </c>
      <c r="F4803" s="209" t="s">
        <v>21</v>
      </c>
      <c r="G4803" s="209" t="s">
        <v>21</v>
      </c>
      <c r="H4803" s="209" t="s">
        <v>192</v>
      </c>
      <c r="I4803" s="210"/>
    </row>
    <row r="4804" spans="1:9" x14ac:dyDescent="0.25">
      <c r="A4804" s="74"/>
      <c r="B4804" s="45">
        <v>1961</v>
      </c>
      <c r="C4804" s="64" t="s">
        <v>2100</v>
      </c>
      <c r="D4804" s="74"/>
      <c r="E4804" s="208" t="s">
        <v>149</v>
      </c>
      <c r="F4804" s="209" t="s">
        <v>21</v>
      </c>
      <c r="G4804" s="209" t="s">
        <v>21</v>
      </c>
      <c r="H4804" s="209" t="s">
        <v>189</v>
      </c>
      <c r="I4804" s="210"/>
    </row>
    <row r="4805" spans="1:9" x14ac:dyDescent="0.25">
      <c r="A4805" s="74"/>
      <c r="B4805" s="45">
        <v>1962</v>
      </c>
      <c r="C4805" s="64" t="s">
        <v>1860</v>
      </c>
      <c r="D4805" s="74"/>
      <c r="E4805" s="208" t="s">
        <v>149</v>
      </c>
      <c r="F4805" s="209" t="s">
        <v>21</v>
      </c>
      <c r="G4805" s="209" t="s">
        <v>21</v>
      </c>
      <c r="H4805" s="209" t="s">
        <v>192</v>
      </c>
      <c r="I4805" s="210"/>
    </row>
    <row r="4806" spans="1:9" x14ac:dyDescent="0.25">
      <c r="A4806" s="74"/>
      <c r="B4806" s="45">
        <v>1963</v>
      </c>
      <c r="C4806" s="64" t="s">
        <v>2112</v>
      </c>
      <c r="D4806" s="74"/>
      <c r="E4806" s="208" t="s">
        <v>149</v>
      </c>
      <c r="F4806" s="209" t="s">
        <v>21</v>
      </c>
      <c r="G4806" s="209" t="s">
        <v>21</v>
      </c>
      <c r="H4806" s="209" t="s">
        <v>192</v>
      </c>
      <c r="I4806" s="210"/>
    </row>
    <row r="4807" spans="1:9" x14ac:dyDescent="0.25">
      <c r="A4807" s="74"/>
      <c r="B4807" s="45">
        <v>1964</v>
      </c>
      <c r="C4807" s="64" t="s">
        <v>1812</v>
      </c>
      <c r="D4807" s="74"/>
      <c r="E4807" s="208" t="s">
        <v>149</v>
      </c>
      <c r="F4807" s="209" t="s">
        <v>21</v>
      </c>
      <c r="G4807" s="209" t="s">
        <v>21</v>
      </c>
      <c r="H4807" s="209" t="s">
        <v>189</v>
      </c>
      <c r="I4807" s="210"/>
    </row>
    <row r="4808" spans="1:9" x14ac:dyDescent="0.25">
      <c r="A4808" s="74"/>
      <c r="B4808" s="45">
        <v>1965</v>
      </c>
      <c r="C4808" s="64" t="s">
        <v>2060</v>
      </c>
      <c r="D4808" s="74"/>
      <c r="E4808" s="208" t="s">
        <v>149</v>
      </c>
      <c r="F4808" s="209" t="s">
        <v>21</v>
      </c>
      <c r="G4808" s="209" t="s">
        <v>21</v>
      </c>
      <c r="H4808" s="209" t="s">
        <v>16</v>
      </c>
      <c r="I4808" s="210"/>
    </row>
    <row r="4809" spans="1:9" x14ac:dyDescent="0.25">
      <c r="A4809" s="74"/>
      <c r="B4809" s="45">
        <v>880</v>
      </c>
      <c r="C4809" s="64" t="s">
        <v>1289</v>
      </c>
      <c r="D4809" s="74"/>
      <c r="E4809" s="208" t="s">
        <v>123</v>
      </c>
      <c r="F4809" s="209" t="s">
        <v>21</v>
      </c>
      <c r="G4809" s="209" t="s">
        <v>21</v>
      </c>
      <c r="H4809" s="209" t="s">
        <v>198</v>
      </c>
      <c r="I4809" s="210"/>
    </row>
    <row r="4810" spans="1:9" x14ac:dyDescent="0.25">
      <c r="A4810" s="74"/>
      <c r="B4810" s="45">
        <v>882</v>
      </c>
      <c r="C4810" s="64" t="s">
        <v>1291</v>
      </c>
      <c r="D4810" s="74"/>
      <c r="E4810" s="208" t="s">
        <v>123</v>
      </c>
      <c r="F4810" s="209" t="s">
        <v>21</v>
      </c>
      <c r="G4810" s="209" t="s">
        <v>21</v>
      </c>
      <c r="H4810" s="209" t="s">
        <v>186</v>
      </c>
      <c r="I4810" s="210"/>
    </row>
    <row r="4811" spans="1:9" x14ac:dyDescent="0.25">
      <c r="A4811" s="74"/>
      <c r="B4811" s="45">
        <v>878</v>
      </c>
      <c r="C4811" s="64" t="s">
        <v>1287</v>
      </c>
      <c r="D4811" s="74"/>
      <c r="E4811" s="208" t="s">
        <v>123</v>
      </c>
      <c r="F4811" s="209" t="s">
        <v>21</v>
      </c>
      <c r="G4811" s="209" t="s">
        <v>21</v>
      </c>
      <c r="H4811" s="209" t="s">
        <v>198</v>
      </c>
      <c r="I4811" s="210"/>
    </row>
    <row r="4812" spans="1:9" x14ac:dyDescent="0.25">
      <c r="A4812" s="74"/>
      <c r="B4812" s="45">
        <v>1966</v>
      </c>
      <c r="C4812" s="64" t="s">
        <v>1986</v>
      </c>
      <c r="D4812" s="74"/>
      <c r="E4812" s="208" t="s">
        <v>123</v>
      </c>
      <c r="F4812" s="209" t="s">
        <v>21</v>
      </c>
      <c r="G4812" s="209" t="s">
        <v>21</v>
      </c>
      <c r="H4812" s="209" t="s">
        <v>198</v>
      </c>
      <c r="I4812" s="210"/>
    </row>
    <row r="4813" spans="1:9" x14ac:dyDescent="0.25">
      <c r="A4813" s="74"/>
      <c r="B4813" s="45">
        <v>1967</v>
      </c>
      <c r="C4813" s="64" t="s">
        <v>2072</v>
      </c>
      <c r="D4813" s="74"/>
      <c r="E4813" s="208" t="s">
        <v>147</v>
      </c>
      <c r="F4813" s="209" t="s">
        <v>21</v>
      </c>
      <c r="G4813" s="209" t="s">
        <v>21</v>
      </c>
      <c r="H4813" s="209" t="s">
        <v>189</v>
      </c>
      <c r="I4813" s="210"/>
    </row>
    <row r="4814" spans="1:9" x14ac:dyDescent="0.25">
      <c r="A4814" s="74"/>
      <c r="B4814" s="45">
        <v>1968</v>
      </c>
      <c r="C4814" s="64" t="s">
        <v>1731</v>
      </c>
      <c r="D4814" s="74"/>
      <c r="E4814" s="208" t="s">
        <v>130</v>
      </c>
      <c r="F4814" s="209" t="s">
        <v>21</v>
      </c>
      <c r="G4814" s="209" t="s">
        <v>21</v>
      </c>
      <c r="H4814" s="209" t="s">
        <v>189</v>
      </c>
      <c r="I4814" s="210"/>
    </row>
    <row r="4815" spans="1:9" x14ac:dyDescent="0.25">
      <c r="A4815" s="74"/>
      <c r="B4815" s="45">
        <v>867</v>
      </c>
      <c r="C4815" s="64" t="s">
        <v>1276</v>
      </c>
      <c r="D4815" s="74"/>
      <c r="E4815" s="208" t="s">
        <v>147</v>
      </c>
      <c r="F4815" s="209" t="s">
        <v>21</v>
      </c>
      <c r="G4815" s="209" t="s">
        <v>21</v>
      </c>
      <c r="H4815" s="209" t="s">
        <v>186</v>
      </c>
      <c r="I4815" s="210"/>
    </row>
    <row r="4816" spans="1:9" x14ac:dyDescent="0.25">
      <c r="A4816" s="74"/>
      <c r="B4816" s="45">
        <v>1969</v>
      </c>
      <c r="C4816" s="64" t="s">
        <v>1457</v>
      </c>
      <c r="D4816" s="74"/>
      <c r="E4816" s="208" t="s">
        <v>147</v>
      </c>
      <c r="F4816" s="209" t="s">
        <v>21</v>
      </c>
      <c r="G4816" s="209" t="s">
        <v>21</v>
      </c>
      <c r="H4816" s="209" t="s">
        <v>189</v>
      </c>
      <c r="I4816" s="210"/>
    </row>
    <row r="4817" spans="1:9" x14ac:dyDescent="0.25">
      <c r="A4817" s="74"/>
      <c r="B4817" s="45">
        <v>979</v>
      </c>
      <c r="C4817" s="64" t="s">
        <v>1388</v>
      </c>
      <c r="D4817" s="74"/>
      <c r="E4817" s="208" t="s">
        <v>159</v>
      </c>
      <c r="F4817" s="209" t="s">
        <v>21</v>
      </c>
      <c r="G4817" s="209" t="s">
        <v>21</v>
      </c>
      <c r="H4817" s="209" t="s">
        <v>186</v>
      </c>
      <c r="I4817" s="210"/>
    </row>
    <row r="4818" spans="1:9" x14ac:dyDescent="0.25">
      <c r="A4818" s="74"/>
      <c r="B4818" s="45">
        <v>960</v>
      </c>
      <c r="C4818" s="64" t="s">
        <v>1369</v>
      </c>
      <c r="D4818" s="74"/>
      <c r="E4818" s="208" t="s">
        <v>159</v>
      </c>
      <c r="F4818" s="209" t="s">
        <v>21</v>
      </c>
      <c r="G4818" s="209" t="s">
        <v>21</v>
      </c>
      <c r="H4818" s="209" t="s">
        <v>186</v>
      </c>
      <c r="I4818" s="210"/>
    </row>
    <row r="4819" spans="1:9" x14ac:dyDescent="0.25">
      <c r="A4819" s="74"/>
      <c r="B4819" s="45">
        <v>1968</v>
      </c>
      <c r="C4819" s="64" t="s">
        <v>1731</v>
      </c>
      <c r="D4819" s="74"/>
      <c r="E4819" s="208" t="s">
        <v>130</v>
      </c>
      <c r="F4819" s="209" t="s">
        <v>21</v>
      </c>
      <c r="G4819" s="209" t="s">
        <v>21</v>
      </c>
      <c r="H4819" s="209" t="s">
        <v>189</v>
      </c>
      <c r="I4819" s="210"/>
    </row>
    <row r="4820" spans="1:9" x14ac:dyDescent="0.25">
      <c r="A4820" s="74"/>
      <c r="B4820" s="45">
        <v>983</v>
      </c>
      <c r="C4820" s="64" t="s">
        <v>1392</v>
      </c>
      <c r="D4820" s="74"/>
      <c r="E4820" s="208" t="s">
        <v>159</v>
      </c>
      <c r="F4820" s="209" t="s">
        <v>21</v>
      </c>
      <c r="G4820" s="209" t="s">
        <v>21</v>
      </c>
      <c r="H4820" s="209" t="s">
        <v>186</v>
      </c>
      <c r="I4820" s="210"/>
    </row>
    <row r="4821" spans="1:9" x14ac:dyDescent="0.25">
      <c r="A4821" s="74"/>
      <c r="B4821" s="45">
        <v>1083</v>
      </c>
      <c r="C4821" s="64" t="s">
        <v>1492</v>
      </c>
      <c r="D4821" s="74"/>
      <c r="E4821" s="208" t="s">
        <v>147</v>
      </c>
      <c r="F4821" s="209" t="s">
        <v>21</v>
      </c>
      <c r="G4821" s="209" t="s">
        <v>21</v>
      </c>
      <c r="H4821" s="209" t="s">
        <v>192</v>
      </c>
      <c r="I4821" s="210"/>
    </row>
    <row r="4822" spans="1:9" x14ac:dyDescent="0.25">
      <c r="A4822" s="74"/>
      <c r="B4822" s="45">
        <v>888</v>
      </c>
      <c r="C4822" s="64" t="s">
        <v>1297</v>
      </c>
      <c r="D4822" s="74"/>
      <c r="E4822" s="208" t="s">
        <v>134</v>
      </c>
      <c r="F4822" s="209" t="s">
        <v>21</v>
      </c>
      <c r="G4822" s="209" t="s">
        <v>21</v>
      </c>
      <c r="H4822" s="209" t="s">
        <v>186</v>
      </c>
      <c r="I4822" s="210"/>
    </row>
    <row r="4823" spans="1:9" x14ac:dyDescent="0.25">
      <c r="A4823" s="74"/>
      <c r="B4823" s="45">
        <v>916</v>
      </c>
      <c r="C4823" s="64" t="s">
        <v>1325</v>
      </c>
      <c r="D4823" s="74"/>
      <c r="E4823" s="208" t="s">
        <v>134</v>
      </c>
      <c r="F4823" s="209" t="s">
        <v>21</v>
      </c>
      <c r="G4823" s="209" t="s">
        <v>21</v>
      </c>
      <c r="H4823" s="209" t="s">
        <v>186</v>
      </c>
      <c r="I4823" s="210"/>
    </row>
    <row r="4824" spans="1:9" x14ac:dyDescent="0.25">
      <c r="A4824" s="74"/>
      <c r="B4824" s="45">
        <v>1971</v>
      </c>
      <c r="C4824" s="64" t="s">
        <v>2049</v>
      </c>
      <c r="D4824" s="74"/>
      <c r="E4824" s="208" t="s">
        <v>277</v>
      </c>
      <c r="F4824" s="209" t="s">
        <v>21</v>
      </c>
      <c r="G4824" s="209" t="s">
        <v>21</v>
      </c>
      <c r="H4824" s="209" t="s">
        <v>189</v>
      </c>
      <c r="I4824" s="210"/>
    </row>
    <row r="4825" spans="1:9" x14ac:dyDescent="0.25">
      <c r="A4825" s="74"/>
      <c r="B4825" s="45">
        <v>1972</v>
      </c>
      <c r="C4825" s="64" t="s">
        <v>2089</v>
      </c>
      <c r="D4825" s="74"/>
      <c r="E4825" s="208" t="s">
        <v>134</v>
      </c>
      <c r="F4825" s="209" t="s">
        <v>21</v>
      </c>
      <c r="G4825" s="209" t="s">
        <v>21</v>
      </c>
      <c r="H4825" s="209" t="s">
        <v>272</v>
      </c>
      <c r="I4825" s="210"/>
    </row>
    <row r="4826" spans="1:9" x14ac:dyDescent="0.25">
      <c r="A4826" s="74"/>
      <c r="B4826" s="45">
        <v>911</v>
      </c>
      <c r="C4826" s="64" t="s">
        <v>1320</v>
      </c>
      <c r="D4826" s="74"/>
      <c r="E4826" s="208" t="s">
        <v>134</v>
      </c>
      <c r="F4826" s="209" t="s">
        <v>21</v>
      </c>
      <c r="G4826" s="209" t="s">
        <v>21</v>
      </c>
      <c r="H4826" s="209" t="s">
        <v>192</v>
      </c>
      <c r="I4826" s="210"/>
    </row>
    <row r="4827" spans="1:9" x14ac:dyDescent="0.25">
      <c r="A4827" s="74"/>
      <c r="B4827" s="45">
        <v>868</v>
      </c>
      <c r="C4827" s="64" t="s">
        <v>1277</v>
      </c>
      <c r="D4827" s="74"/>
      <c r="E4827" s="208" t="s">
        <v>147</v>
      </c>
      <c r="F4827" s="209" t="s">
        <v>21</v>
      </c>
      <c r="G4827" s="209" t="s">
        <v>21</v>
      </c>
      <c r="H4827" s="209" t="s">
        <v>192</v>
      </c>
      <c r="I4827" s="210"/>
    </row>
    <row r="4828" spans="1:9" x14ac:dyDescent="0.25">
      <c r="A4828" s="74"/>
      <c r="B4828" s="45">
        <v>1973</v>
      </c>
      <c r="C4828" s="64" t="s">
        <v>2113</v>
      </c>
      <c r="D4828" s="74"/>
      <c r="E4828" s="208" t="s">
        <v>147</v>
      </c>
      <c r="F4828" s="209" t="s">
        <v>21</v>
      </c>
      <c r="G4828" s="209" t="s">
        <v>21</v>
      </c>
      <c r="H4828" s="209" t="s">
        <v>272</v>
      </c>
      <c r="I4828" s="210"/>
    </row>
    <row r="4829" spans="1:9" x14ac:dyDescent="0.25">
      <c r="A4829" s="74"/>
      <c r="B4829" s="45">
        <v>1974</v>
      </c>
      <c r="C4829" s="64" t="s">
        <v>2095</v>
      </c>
      <c r="D4829" s="74"/>
      <c r="E4829" s="208" t="s">
        <v>147</v>
      </c>
      <c r="F4829" s="209" t="s">
        <v>21</v>
      </c>
      <c r="G4829" s="209" t="s">
        <v>21</v>
      </c>
      <c r="H4829" s="209" t="s">
        <v>272</v>
      </c>
      <c r="I4829" s="210"/>
    </row>
    <row r="4830" spans="1:9" x14ac:dyDescent="0.25">
      <c r="A4830" s="74"/>
      <c r="B4830" s="45">
        <v>1975</v>
      </c>
      <c r="C4830" s="64" t="s">
        <v>2014</v>
      </c>
      <c r="D4830" s="74"/>
      <c r="E4830" s="208" t="s">
        <v>147</v>
      </c>
      <c r="F4830" s="209" t="s">
        <v>21</v>
      </c>
      <c r="G4830" s="209" t="s">
        <v>21</v>
      </c>
      <c r="H4830" s="209" t="s">
        <v>16</v>
      </c>
      <c r="I4830" s="210"/>
    </row>
    <row r="4831" spans="1:9" x14ac:dyDescent="0.25">
      <c r="A4831" s="74"/>
      <c r="B4831" s="45">
        <v>869</v>
      </c>
      <c r="C4831" s="64" t="s">
        <v>1278</v>
      </c>
      <c r="D4831" s="74"/>
      <c r="E4831" s="208" t="s">
        <v>147</v>
      </c>
      <c r="F4831" s="209" t="s">
        <v>21</v>
      </c>
      <c r="G4831" s="209" t="s">
        <v>21</v>
      </c>
      <c r="H4831" s="209" t="s">
        <v>192</v>
      </c>
      <c r="I4831" s="210"/>
    </row>
    <row r="4832" spans="1:9" x14ac:dyDescent="0.25">
      <c r="A4832" s="74"/>
      <c r="B4832" s="45">
        <v>1973</v>
      </c>
      <c r="C4832" s="64" t="s">
        <v>2113</v>
      </c>
      <c r="D4832" s="74"/>
      <c r="E4832" s="208" t="s">
        <v>147</v>
      </c>
      <c r="F4832" s="209" t="s">
        <v>21</v>
      </c>
      <c r="G4832" s="209" t="s">
        <v>21</v>
      </c>
      <c r="H4832" s="209" t="s">
        <v>272</v>
      </c>
      <c r="I4832" s="210"/>
    </row>
    <row r="4833" spans="1:9" x14ac:dyDescent="0.25">
      <c r="A4833" s="74"/>
      <c r="B4833" s="45">
        <v>1974</v>
      </c>
      <c r="C4833" s="64" t="s">
        <v>2095</v>
      </c>
      <c r="D4833" s="74"/>
      <c r="E4833" s="208" t="s">
        <v>147</v>
      </c>
      <c r="F4833" s="209" t="s">
        <v>21</v>
      </c>
      <c r="G4833" s="209" t="s">
        <v>21</v>
      </c>
      <c r="H4833" s="209" t="s">
        <v>272</v>
      </c>
      <c r="I4833" s="210"/>
    </row>
    <row r="4834" spans="1:9" x14ac:dyDescent="0.25">
      <c r="A4834" s="74"/>
      <c r="B4834" s="45">
        <v>1975</v>
      </c>
      <c r="C4834" s="64" t="s">
        <v>2014</v>
      </c>
      <c r="D4834" s="74"/>
      <c r="E4834" s="208" t="s">
        <v>147</v>
      </c>
      <c r="F4834" s="209" t="s">
        <v>21</v>
      </c>
      <c r="G4834" s="209" t="s">
        <v>21</v>
      </c>
      <c r="H4834" s="209" t="s">
        <v>16</v>
      </c>
      <c r="I4834" s="210"/>
    </row>
    <row r="4835" spans="1:9" x14ac:dyDescent="0.25">
      <c r="A4835" s="74"/>
      <c r="B4835" s="45">
        <v>869</v>
      </c>
      <c r="C4835" s="64" t="s">
        <v>1278</v>
      </c>
      <c r="D4835" s="74"/>
      <c r="E4835" s="208" t="s">
        <v>147</v>
      </c>
      <c r="F4835" s="209" t="s">
        <v>21</v>
      </c>
      <c r="G4835" s="209" t="s">
        <v>21</v>
      </c>
      <c r="H4835" s="209" t="s">
        <v>192</v>
      </c>
      <c r="I4835" s="210"/>
    </row>
    <row r="4836" spans="1:9" x14ac:dyDescent="0.25">
      <c r="A4836" s="74"/>
      <c r="B4836" s="45">
        <v>1973</v>
      </c>
      <c r="C4836" s="64" t="s">
        <v>2113</v>
      </c>
      <c r="D4836" s="74"/>
      <c r="E4836" s="208" t="s">
        <v>147</v>
      </c>
      <c r="F4836" s="209" t="s">
        <v>21</v>
      </c>
      <c r="G4836" s="209" t="s">
        <v>21</v>
      </c>
      <c r="H4836" s="209" t="s">
        <v>272</v>
      </c>
      <c r="I4836" s="210"/>
    </row>
    <row r="4837" spans="1:9" x14ac:dyDescent="0.25">
      <c r="A4837" s="74"/>
      <c r="B4837" s="45">
        <v>1974</v>
      </c>
      <c r="C4837" s="64" t="s">
        <v>2095</v>
      </c>
      <c r="D4837" s="74"/>
      <c r="E4837" s="208" t="s">
        <v>147</v>
      </c>
      <c r="F4837" s="209" t="s">
        <v>21</v>
      </c>
      <c r="G4837" s="209" t="s">
        <v>21</v>
      </c>
      <c r="H4837" s="209" t="s">
        <v>272</v>
      </c>
      <c r="I4837" s="210"/>
    </row>
    <row r="4838" spans="1:9" x14ac:dyDescent="0.25">
      <c r="A4838" s="74"/>
      <c r="B4838" s="45">
        <v>1975</v>
      </c>
      <c r="C4838" s="64" t="s">
        <v>2014</v>
      </c>
      <c r="D4838" s="74"/>
      <c r="E4838" s="208" t="s">
        <v>147</v>
      </c>
      <c r="F4838" s="209" t="s">
        <v>21</v>
      </c>
      <c r="G4838" s="209" t="s">
        <v>21</v>
      </c>
      <c r="H4838" s="209" t="s">
        <v>16</v>
      </c>
      <c r="I4838" s="210"/>
    </row>
    <row r="4839" spans="1:9" x14ac:dyDescent="0.25">
      <c r="A4839" s="74"/>
      <c r="B4839" s="45">
        <v>869</v>
      </c>
      <c r="C4839" s="64" t="s">
        <v>1278</v>
      </c>
      <c r="D4839" s="74"/>
      <c r="E4839" s="208" t="s">
        <v>147</v>
      </c>
      <c r="F4839" s="209" t="s">
        <v>21</v>
      </c>
      <c r="G4839" s="209" t="s">
        <v>21</v>
      </c>
      <c r="H4839" s="209" t="s">
        <v>192</v>
      </c>
      <c r="I4839" s="210"/>
    </row>
    <row r="4840" spans="1:9" x14ac:dyDescent="0.25">
      <c r="A4840" s="74"/>
      <c r="B4840" s="45">
        <v>1973</v>
      </c>
      <c r="C4840" s="64" t="s">
        <v>2113</v>
      </c>
      <c r="D4840" s="74"/>
      <c r="E4840" s="208" t="s">
        <v>147</v>
      </c>
      <c r="F4840" s="209" t="s">
        <v>21</v>
      </c>
      <c r="G4840" s="209" t="s">
        <v>21</v>
      </c>
      <c r="H4840" s="209" t="s">
        <v>272</v>
      </c>
      <c r="I4840" s="210"/>
    </row>
    <row r="4841" spans="1:9" x14ac:dyDescent="0.25">
      <c r="A4841" s="74"/>
      <c r="B4841" s="45">
        <v>1974</v>
      </c>
      <c r="C4841" s="64" t="s">
        <v>2095</v>
      </c>
      <c r="D4841" s="74"/>
      <c r="E4841" s="208" t="s">
        <v>147</v>
      </c>
      <c r="F4841" s="209" t="s">
        <v>21</v>
      </c>
      <c r="G4841" s="209" t="s">
        <v>21</v>
      </c>
      <c r="H4841" s="209" t="s">
        <v>272</v>
      </c>
      <c r="I4841" s="210"/>
    </row>
    <row r="4842" spans="1:9" x14ac:dyDescent="0.25">
      <c r="A4842" s="74"/>
      <c r="B4842" s="45">
        <v>1975</v>
      </c>
      <c r="C4842" s="64" t="s">
        <v>2014</v>
      </c>
      <c r="D4842" s="74"/>
      <c r="E4842" s="208" t="s">
        <v>147</v>
      </c>
      <c r="F4842" s="209" t="s">
        <v>21</v>
      </c>
      <c r="G4842" s="209" t="s">
        <v>21</v>
      </c>
      <c r="H4842" s="209" t="s">
        <v>16</v>
      </c>
      <c r="I4842" s="210"/>
    </row>
    <row r="4843" spans="1:9" x14ac:dyDescent="0.25">
      <c r="A4843" s="74"/>
      <c r="B4843" s="45">
        <v>869</v>
      </c>
      <c r="C4843" s="64" t="s">
        <v>1278</v>
      </c>
      <c r="D4843" s="74"/>
      <c r="E4843" s="208" t="s">
        <v>147</v>
      </c>
      <c r="F4843" s="209" t="s">
        <v>21</v>
      </c>
      <c r="G4843" s="209" t="s">
        <v>21</v>
      </c>
      <c r="H4843" s="209" t="s">
        <v>192</v>
      </c>
      <c r="I4843" s="210"/>
    </row>
    <row r="4844" spans="1:9" x14ac:dyDescent="0.25">
      <c r="A4844" s="74"/>
      <c r="B4844" s="45">
        <v>1976</v>
      </c>
      <c r="C4844" s="64" t="s">
        <v>1963</v>
      </c>
      <c r="D4844" s="74"/>
      <c r="E4844" s="208" t="s">
        <v>147</v>
      </c>
      <c r="F4844" s="209" t="s">
        <v>21</v>
      </c>
      <c r="G4844" s="209" t="s">
        <v>21</v>
      </c>
      <c r="H4844" s="209" t="s">
        <v>272</v>
      </c>
      <c r="I4844" s="210"/>
    </row>
    <row r="4845" spans="1:9" x14ac:dyDescent="0.25">
      <c r="A4845" s="74"/>
      <c r="B4845" s="45">
        <v>1977</v>
      </c>
      <c r="C4845" s="64" t="s">
        <v>1916</v>
      </c>
      <c r="D4845" s="74"/>
      <c r="E4845" s="208" t="s">
        <v>147</v>
      </c>
      <c r="F4845" s="209" t="s">
        <v>21</v>
      </c>
      <c r="G4845" s="209" t="s">
        <v>21</v>
      </c>
      <c r="H4845" s="209" t="s">
        <v>16</v>
      </c>
      <c r="I4845" s="210"/>
    </row>
    <row r="4846" spans="1:9" x14ac:dyDescent="0.25">
      <c r="A4846" s="74"/>
      <c r="B4846" s="45">
        <v>875</v>
      </c>
      <c r="C4846" s="64" t="s">
        <v>1284</v>
      </c>
      <c r="D4846" s="74"/>
      <c r="E4846" s="208" t="s">
        <v>147</v>
      </c>
      <c r="F4846" s="209" t="s">
        <v>21</v>
      </c>
      <c r="G4846" s="209" t="s">
        <v>21</v>
      </c>
      <c r="H4846" s="209" t="s">
        <v>192</v>
      </c>
      <c r="I4846" s="210"/>
    </row>
    <row r="4847" spans="1:9" x14ac:dyDescent="0.25">
      <c r="A4847" s="74"/>
      <c r="B4847" s="45">
        <v>1978</v>
      </c>
      <c r="C4847" s="64" t="s">
        <v>2114</v>
      </c>
      <c r="D4847" s="74"/>
      <c r="E4847" s="208" t="s">
        <v>147</v>
      </c>
      <c r="F4847" s="209" t="s">
        <v>21</v>
      </c>
      <c r="G4847" s="209" t="s">
        <v>21</v>
      </c>
      <c r="H4847" s="209" t="s">
        <v>272</v>
      </c>
      <c r="I4847" s="210"/>
    </row>
    <row r="4848" spans="1:9" x14ac:dyDescent="0.25">
      <c r="A4848" s="74"/>
      <c r="B4848" s="45">
        <v>1978</v>
      </c>
      <c r="C4848" s="64" t="s">
        <v>2114</v>
      </c>
      <c r="D4848" s="74"/>
      <c r="E4848" s="208" t="s">
        <v>147</v>
      </c>
      <c r="F4848" s="209" t="s">
        <v>21</v>
      </c>
      <c r="G4848" s="209" t="s">
        <v>21</v>
      </c>
      <c r="H4848" s="209" t="s">
        <v>272</v>
      </c>
      <c r="I4848" s="210"/>
    </row>
    <row r="4849" spans="1:9" x14ac:dyDescent="0.25">
      <c r="A4849" s="74"/>
      <c r="B4849" s="45">
        <v>1979</v>
      </c>
      <c r="C4849" s="64" t="s">
        <v>2115</v>
      </c>
      <c r="D4849" s="74"/>
      <c r="E4849" s="208" t="s">
        <v>147</v>
      </c>
      <c r="F4849" s="209" t="s">
        <v>21</v>
      </c>
      <c r="G4849" s="209" t="s">
        <v>21</v>
      </c>
      <c r="H4849" s="209" t="s">
        <v>272</v>
      </c>
      <c r="I4849" s="210"/>
    </row>
    <row r="4850" spans="1:9" x14ac:dyDescent="0.25">
      <c r="A4850" s="74"/>
      <c r="B4850" s="45">
        <v>1980</v>
      </c>
      <c r="C4850" s="64" t="s">
        <v>1910</v>
      </c>
      <c r="D4850" s="74"/>
      <c r="E4850" s="208" t="s">
        <v>147</v>
      </c>
      <c r="F4850" s="209" t="s">
        <v>21</v>
      </c>
      <c r="G4850" s="209" t="s">
        <v>21</v>
      </c>
      <c r="H4850" s="209" t="s">
        <v>272</v>
      </c>
      <c r="I4850" s="210"/>
    </row>
    <row r="4851" spans="1:9" x14ac:dyDescent="0.25">
      <c r="A4851" s="74"/>
      <c r="B4851" s="45">
        <v>1981</v>
      </c>
      <c r="C4851" s="64" t="s">
        <v>2103</v>
      </c>
      <c r="D4851" s="74"/>
      <c r="E4851" s="208" t="s">
        <v>123</v>
      </c>
      <c r="F4851" s="209" t="s">
        <v>21</v>
      </c>
      <c r="G4851" s="209" t="s">
        <v>21</v>
      </c>
      <c r="H4851" s="209" t="s">
        <v>189</v>
      </c>
      <c r="I4851" s="210"/>
    </row>
    <row r="4852" spans="1:9" x14ac:dyDescent="0.25">
      <c r="A4852" s="74"/>
      <c r="B4852" s="45">
        <v>879</v>
      </c>
      <c r="C4852" s="64" t="s">
        <v>1288</v>
      </c>
      <c r="D4852" s="74"/>
      <c r="E4852" s="208" t="s">
        <v>123</v>
      </c>
      <c r="F4852" s="209" t="s">
        <v>21</v>
      </c>
      <c r="G4852" s="209" t="s">
        <v>21</v>
      </c>
      <c r="H4852" s="209" t="s">
        <v>192</v>
      </c>
      <c r="I4852" s="210"/>
    </row>
    <row r="4853" spans="1:9" x14ac:dyDescent="0.25">
      <c r="A4853" s="74"/>
      <c r="B4853" s="45">
        <v>878</v>
      </c>
      <c r="C4853" s="64" t="s">
        <v>1287</v>
      </c>
      <c r="D4853" s="74"/>
      <c r="E4853" s="208" t="s">
        <v>123</v>
      </c>
      <c r="F4853" s="209" t="s">
        <v>21</v>
      </c>
      <c r="G4853" s="209" t="s">
        <v>21</v>
      </c>
      <c r="H4853" s="209" t="s">
        <v>16</v>
      </c>
      <c r="I4853" s="210"/>
    </row>
    <row r="4854" spans="1:9" x14ac:dyDescent="0.25">
      <c r="A4854" s="74"/>
      <c r="B4854" s="45">
        <v>1982</v>
      </c>
      <c r="C4854" s="64" t="s">
        <v>2001</v>
      </c>
      <c r="D4854" s="74"/>
      <c r="E4854" s="208" t="s">
        <v>123</v>
      </c>
      <c r="F4854" s="209" t="s">
        <v>21</v>
      </c>
      <c r="G4854" s="209" t="s">
        <v>21</v>
      </c>
      <c r="H4854" s="209" t="s">
        <v>272</v>
      </c>
      <c r="I4854" s="210"/>
    </row>
    <row r="4855" spans="1:9" x14ac:dyDescent="0.25">
      <c r="A4855" s="74"/>
      <c r="B4855" s="45">
        <v>1983</v>
      </c>
      <c r="C4855" s="64" t="s">
        <v>2088</v>
      </c>
      <c r="D4855" s="74"/>
      <c r="E4855" s="208" t="s">
        <v>123</v>
      </c>
      <c r="F4855" s="209" t="s">
        <v>21</v>
      </c>
      <c r="G4855" s="209" t="s">
        <v>21</v>
      </c>
      <c r="H4855" s="209" t="s">
        <v>272</v>
      </c>
      <c r="I4855" s="210"/>
    </row>
    <row r="4856" spans="1:9" x14ac:dyDescent="0.25">
      <c r="A4856" s="74"/>
      <c r="B4856" s="45">
        <v>881</v>
      </c>
      <c r="C4856" s="64" t="s">
        <v>1290</v>
      </c>
      <c r="D4856" s="74"/>
      <c r="E4856" s="208" t="s">
        <v>123</v>
      </c>
      <c r="F4856" s="209" t="s">
        <v>21</v>
      </c>
      <c r="G4856" s="209" t="s">
        <v>21</v>
      </c>
      <c r="H4856" s="209" t="s">
        <v>192</v>
      </c>
      <c r="I4856" s="210"/>
    </row>
    <row r="4857" spans="1:9" x14ac:dyDescent="0.25">
      <c r="A4857" s="74"/>
      <c r="B4857" s="45">
        <v>1984</v>
      </c>
      <c r="C4857" s="64" t="s">
        <v>1859</v>
      </c>
      <c r="D4857" s="74"/>
      <c r="E4857" s="208" t="s">
        <v>123</v>
      </c>
      <c r="F4857" s="209" t="s">
        <v>21</v>
      </c>
      <c r="G4857" s="209" t="s">
        <v>21</v>
      </c>
      <c r="H4857" s="209" t="s">
        <v>272</v>
      </c>
      <c r="I4857" s="210"/>
    </row>
    <row r="4858" spans="1:9" x14ac:dyDescent="0.25">
      <c r="A4858" s="74"/>
      <c r="B4858" s="45">
        <v>1985</v>
      </c>
      <c r="C4858" s="64" t="s">
        <v>1886</v>
      </c>
      <c r="D4858" s="74"/>
      <c r="E4858" s="208" t="s">
        <v>123</v>
      </c>
      <c r="F4858" s="209" t="s">
        <v>21</v>
      </c>
      <c r="G4858" s="209" t="s">
        <v>21</v>
      </c>
      <c r="H4858" s="209" t="s">
        <v>189</v>
      </c>
      <c r="I4858" s="210"/>
    </row>
    <row r="4859" spans="1:9" x14ac:dyDescent="0.25">
      <c r="A4859" s="74"/>
      <c r="B4859" s="45">
        <v>887</v>
      </c>
      <c r="C4859" s="64" t="s">
        <v>1296</v>
      </c>
      <c r="D4859" s="74"/>
      <c r="E4859" s="208" t="s">
        <v>123</v>
      </c>
      <c r="F4859" s="209" t="s">
        <v>21</v>
      </c>
      <c r="G4859" s="209" t="s">
        <v>21</v>
      </c>
      <c r="H4859" s="209" t="s">
        <v>192</v>
      </c>
      <c r="I4859" s="210"/>
    </row>
    <row r="4860" spans="1:9" x14ac:dyDescent="0.25">
      <c r="A4860" s="74"/>
      <c r="B4860" s="45">
        <v>882</v>
      </c>
      <c r="C4860" s="64" t="s">
        <v>1291</v>
      </c>
      <c r="D4860" s="74"/>
      <c r="E4860" s="208" t="s">
        <v>123</v>
      </c>
      <c r="F4860" s="209" t="s">
        <v>21</v>
      </c>
      <c r="G4860" s="209" t="s">
        <v>21</v>
      </c>
      <c r="H4860" s="209" t="s">
        <v>186</v>
      </c>
      <c r="I4860" s="210"/>
    </row>
    <row r="4861" spans="1:9" x14ac:dyDescent="0.25">
      <c r="A4861" s="74"/>
      <c r="B4861" s="45">
        <v>1986</v>
      </c>
      <c r="C4861" s="64" t="s">
        <v>1457</v>
      </c>
      <c r="D4861" s="74"/>
      <c r="E4861" s="208" t="s">
        <v>123</v>
      </c>
      <c r="F4861" s="209" t="s">
        <v>21</v>
      </c>
      <c r="G4861" s="209" t="s">
        <v>21</v>
      </c>
      <c r="H4861" s="209" t="s">
        <v>272</v>
      </c>
      <c r="I4861" s="210"/>
    </row>
    <row r="4862" spans="1:9" x14ac:dyDescent="0.25">
      <c r="A4862" s="74"/>
      <c r="B4862" s="45">
        <v>1987</v>
      </c>
      <c r="C4862" s="64" t="s">
        <v>1956</v>
      </c>
      <c r="D4862" s="74"/>
      <c r="E4862" s="208" t="s">
        <v>123</v>
      </c>
      <c r="F4862" s="209" t="s">
        <v>21</v>
      </c>
      <c r="G4862" s="209" t="s">
        <v>21</v>
      </c>
      <c r="H4862" s="209" t="s">
        <v>272</v>
      </c>
      <c r="I4862" s="210"/>
    </row>
    <row r="4863" spans="1:9" x14ac:dyDescent="0.25">
      <c r="A4863" s="74"/>
      <c r="B4863" s="45">
        <v>1988</v>
      </c>
      <c r="C4863" s="64" t="s">
        <v>2116</v>
      </c>
      <c r="D4863" s="74"/>
      <c r="E4863" s="208" t="s">
        <v>123</v>
      </c>
      <c r="F4863" s="209" t="s">
        <v>21</v>
      </c>
      <c r="G4863" s="209" t="s">
        <v>21</v>
      </c>
      <c r="H4863" s="209" t="s">
        <v>272</v>
      </c>
      <c r="I4863" s="210"/>
    </row>
    <row r="4864" spans="1:9" x14ac:dyDescent="0.25">
      <c r="A4864" s="74"/>
      <c r="B4864" s="45">
        <v>1086</v>
      </c>
      <c r="C4864" s="64" t="s">
        <v>1495</v>
      </c>
      <c r="D4864" s="74"/>
      <c r="E4864" s="208" t="s">
        <v>123</v>
      </c>
      <c r="F4864" s="209" t="s">
        <v>21</v>
      </c>
      <c r="G4864" s="209" t="s">
        <v>21</v>
      </c>
      <c r="H4864" s="209" t="s">
        <v>192</v>
      </c>
      <c r="I4864" s="210"/>
    </row>
    <row r="4865" spans="1:9" x14ac:dyDescent="0.25">
      <c r="A4865" s="74"/>
      <c r="B4865" s="45">
        <v>1989</v>
      </c>
      <c r="C4865" s="64" t="s">
        <v>2117</v>
      </c>
      <c r="D4865" s="74"/>
      <c r="E4865" s="208" t="s">
        <v>123</v>
      </c>
      <c r="F4865" s="209" t="s">
        <v>21</v>
      </c>
      <c r="G4865" s="209" t="s">
        <v>21</v>
      </c>
      <c r="H4865" s="209" t="s">
        <v>272</v>
      </c>
      <c r="I4865" s="210"/>
    </row>
    <row r="4866" spans="1:9" x14ac:dyDescent="0.25">
      <c r="A4866" s="74"/>
      <c r="B4866" s="45">
        <v>884</v>
      </c>
      <c r="C4866" s="64" t="s">
        <v>1293</v>
      </c>
      <c r="D4866" s="74"/>
      <c r="E4866" s="208" t="s">
        <v>123</v>
      </c>
      <c r="F4866" s="209" t="s">
        <v>21</v>
      </c>
      <c r="G4866" s="209" t="s">
        <v>21</v>
      </c>
      <c r="H4866" s="209" t="s">
        <v>192</v>
      </c>
      <c r="I4866" s="210"/>
    </row>
    <row r="4867" spans="1:9" x14ac:dyDescent="0.25">
      <c r="A4867" s="74"/>
      <c r="B4867" s="45">
        <v>1986</v>
      </c>
      <c r="C4867" s="64" t="s">
        <v>1457</v>
      </c>
      <c r="D4867" s="74"/>
      <c r="E4867" s="208" t="s">
        <v>123</v>
      </c>
      <c r="F4867" s="209" t="s">
        <v>21</v>
      </c>
      <c r="G4867" s="209" t="s">
        <v>21</v>
      </c>
      <c r="H4867" s="209" t="s">
        <v>272</v>
      </c>
      <c r="I4867" s="210"/>
    </row>
    <row r="4868" spans="1:9" x14ac:dyDescent="0.25">
      <c r="A4868" s="74"/>
      <c r="B4868" s="45">
        <v>1987</v>
      </c>
      <c r="C4868" s="64" t="s">
        <v>1956</v>
      </c>
      <c r="D4868" s="74"/>
      <c r="E4868" s="208" t="s">
        <v>123</v>
      </c>
      <c r="F4868" s="209" t="s">
        <v>21</v>
      </c>
      <c r="G4868" s="209" t="s">
        <v>21</v>
      </c>
      <c r="H4868" s="209" t="s">
        <v>272</v>
      </c>
      <c r="I4868" s="210"/>
    </row>
    <row r="4869" spans="1:9" x14ac:dyDescent="0.25">
      <c r="A4869" s="74"/>
      <c r="B4869" s="45">
        <v>1988</v>
      </c>
      <c r="C4869" s="64" t="s">
        <v>2116</v>
      </c>
      <c r="D4869" s="74"/>
      <c r="E4869" s="208" t="s">
        <v>123</v>
      </c>
      <c r="F4869" s="209" t="s">
        <v>21</v>
      </c>
      <c r="G4869" s="209" t="s">
        <v>21</v>
      </c>
      <c r="H4869" s="209" t="s">
        <v>272</v>
      </c>
      <c r="I4869" s="210"/>
    </row>
    <row r="4870" spans="1:9" x14ac:dyDescent="0.25">
      <c r="A4870" s="74"/>
      <c r="B4870" s="45">
        <v>1086</v>
      </c>
      <c r="C4870" s="64" t="s">
        <v>1495</v>
      </c>
      <c r="D4870" s="74"/>
      <c r="E4870" s="208" t="s">
        <v>123</v>
      </c>
      <c r="F4870" s="209" t="s">
        <v>21</v>
      </c>
      <c r="G4870" s="209" t="s">
        <v>21</v>
      </c>
      <c r="H4870" s="209" t="s">
        <v>192</v>
      </c>
      <c r="I4870" s="210"/>
    </row>
    <row r="4871" spans="1:9" x14ac:dyDescent="0.25">
      <c r="A4871" s="74"/>
      <c r="B4871" s="45">
        <v>1989</v>
      </c>
      <c r="C4871" s="64" t="s">
        <v>2117</v>
      </c>
      <c r="D4871" s="74"/>
      <c r="E4871" s="208" t="s">
        <v>123</v>
      </c>
      <c r="F4871" s="209" t="s">
        <v>21</v>
      </c>
      <c r="G4871" s="209" t="s">
        <v>21</v>
      </c>
      <c r="H4871" s="209" t="s">
        <v>272</v>
      </c>
      <c r="I4871" s="210"/>
    </row>
    <row r="4872" spans="1:9" x14ac:dyDescent="0.25">
      <c r="A4872" s="74"/>
      <c r="B4872" s="45">
        <v>884</v>
      </c>
      <c r="C4872" s="64" t="s">
        <v>1293</v>
      </c>
      <c r="D4872" s="74"/>
      <c r="E4872" s="208" t="s">
        <v>123</v>
      </c>
      <c r="F4872" s="209" t="s">
        <v>21</v>
      </c>
      <c r="G4872" s="209" t="s">
        <v>21</v>
      </c>
      <c r="H4872" s="209" t="s">
        <v>192</v>
      </c>
      <c r="I4872" s="210"/>
    </row>
    <row r="4873" spans="1:9" x14ac:dyDescent="0.25">
      <c r="A4873" s="74"/>
      <c r="B4873" s="45">
        <v>1986</v>
      </c>
      <c r="C4873" s="64" t="s">
        <v>1457</v>
      </c>
      <c r="D4873" s="74"/>
      <c r="E4873" s="208" t="s">
        <v>123</v>
      </c>
      <c r="F4873" s="209" t="s">
        <v>21</v>
      </c>
      <c r="G4873" s="209" t="s">
        <v>21</v>
      </c>
      <c r="H4873" s="209" t="s">
        <v>272</v>
      </c>
      <c r="I4873" s="210"/>
    </row>
    <row r="4874" spans="1:9" x14ac:dyDescent="0.25">
      <c r="A4874" s="74"/>
      <c r="B4874" s="45">
        <v>1987</v>
      </c>
      <c r="C4874" s="64" t="s">
        <v>1956</v>
      </c>
      <c r="D4874" s="74"/>
      <c r="E4874" s="208" t="s">
        <v>123</v>
      </c>
      <c r="F4874" s="209" t="s">
        <v>21</v>
      </c>
      <c r="G4874" s="209" t="s">
        <v>21</v>
      </c>
      <c r="H4874" s="209" t="s">
        <v>272</v>
      </c>
      <c r="I4874" s="210"/>
    </row>
    <row r="4875" spans="1:9" x14ac:dyDescent="0.25">
      <c r="A4875" s="74"/>
      <c r="B4875" s="45">
        <v>1988</v>
      </c>
      <c r="C4875" s="64" t="s">
        <v>2116</v>
      </c>
      <c r="D4875" s="74"/>
      <c r="E4875" s="208" t="s">
        <v>123</v>
      </c>
      <c r="F4875" s="209" t="s">
        <v>21</v>
      </c>
      <c r="G4875" s="209" t="s">
        <v>21</v>
      </c>
      <c r="H4875" s="209" t="s">
        <v>272</v>
      </c>
      <c r="I4875" s="210"/>
    </row>
    <row r="4876" spans="1:9" x14ac:dyDescent="0.25">
      <c r="A4876" s="74"/>
      <c r="B4876" s="45">
        <v>1086</v>
      </c>
      <c r="C4876" s="64" t="s">
        <v>1495</v>
      </c>
      <c r="D4876" s="74"/>
      <c r="E4876" s="208" t="s">
        <v>123</v>
      </c>
      <c r="F4876" s="209" t="s">
        <v>21</v>
      </c>
      <c r="G4876" s="209" t="s">
        <v>21</v>
      </c>
      <c r="H4876" s="209" t="s">
        <v>192</v>
      </c>
      <c r="I4876" s="210"/>
    </row>
    <row r="4877" spans="1:9" x14ac:dyDescent="0.25">
      <c r="A4877" s="74"/>
      <c r="B4877" s="45">
        <v>1989</v>
      </c>
      <c r="C4877" s="64" t="s">
        <v>2117</v>
      </c>
      <c r="D4877" s="74"/>
      <c r="E4877" s="208" t="s">
        <v>123</v>
      </c>
      <c r="F4877" s="209" t="s">
        <v>21</v>
      </c>
      <c r="G4877" s="209" t="s">
        <v>21</v>
      </c>
      <c r="H4877" s="209" t="s">
        <v>272</v>
      </c>
      <c r="I4877" s="210"/>
    </row>
    <row r="4878" spans="1:9" x14ac:dyDescent="0.25">
      <c r="A4878" s="74"/>
      <c r="B4878" s="45">
        <v>884</v>
      </c>
      <c r="C4878" s="64" t="s">
        <v>1293</v>
      </c>
      <c r="D4878" s="74"/>
      <c r="E4878" s="208" t="s">
        <v>123</v>
      </c>
      <c r="F4878" s="209" t="s">
        <v>21</v>
      </c>
      <c r="G4878" s="209" t="s">
        <v>21</v>
      </c>
      <c r="H4878" s="209" t="s">
        <v>192</v>
      </c>
      <c r="I4878" s="210"/>
    </row>
    <row r="4879" spans="1:9" x14ac:dyDescent="0.25">
      <c r="A4879" s="74"/>
      <c r="B4879" s="45">
        <v>1987</v>
      </c>
      <c r="C4879" s="64" t="s">
        <v>1956</v>
      </c>
      <c r="D4879" s="74"/>
      <c r="E4879" s="208" t="s">
        <v>123</v>
      </c>
      <c r="F4879" s="209" t="s">
        <v>21</v>
      </c>
      <c r="G4879" s="209" t="s">
        <v>21</v>
      </c>
      <c r="H4879" s="209" t="s">
        <v>272</v>
      </c>
      <c r="I4879" s="210"/>
    </row>
    <row r="4880" spans="1:9" x14ac:dyDescent="0.25">
      <c r="A4880" s="74"/>
      <c r="B4880" s="45">
        <v>1990</v>
      </c>
      <c r="C4880" s="64" t="s">
        <v>2118</v>
      </c>
      <c r="D4880" s="74"/>
      <c r="E4880" s="208" t="s">
        <v>123</v>
      </c>
      <c r="F4880" s="209" t="s">
        <v>21</v>
      </c>
      <c r="G4880" s="209" t="s">
        <v>21</v>
      </c>
      <c r="H4880" s="209" t="s">
        <v>272</v>
      </c>
      <c r="I4880" s="210"/>
    </row>
    <row r="4881" spans="1:9" x14ac:dyDescent="0.25">
      <c r="A4881" s="74"/>
      <c r="B4881" s="45">
        <v>1991</v>
      </c>
      <c r="C4881" s="64" t="s">
        <v>2096</v>
      </c>
      <c r="D4881" s="74"/>
      <c r="E4881" s="208" t="s">
        <v>123</v>
      </c>
      <c r="F4881" s="209" t="s">
        <v>21</v>
      </c>
      <c r="G4881" s="209" t="s">
        <v>21</v>
      </c>
      <c r="H4881" s="209" t="s">
        <v>272</v>
      </c>
      <c r="I4881" s="210"/>
    </row>
    <row r="4882" spans="1:9" x14ac:dyDescent="0.25">
      <c r="A4882" s="74"/>
      <c r="B4882" s="45">
        <v>886</v>
      </c>
      <c r="C4882" s="64" t="s">
        <v>1295</v>
      </c>
      <c r="D4882" s="74"/>
      <c r="E4882" s="208" t="s">
        <v>123</v>
      </c>
      <c r="F4882" s="209" t="s">
        <v>21</v>
      </c>
      <c r="G4882" s="209" t="s">
        <v>21</v>
      </c>
      <c r="H4882" s="209" t="s">
        <v>192</v>
      </c>
      <c r="I4882" s="210"/>
    </row>
    <row r="4883" spans="1:9" x14ac:dyDescent="0.25">
      <c r="A4883" s="74"/>
      <c r="B4883" s="45">
        <v>1992</v>
      </c>
      <c r="C4883" s="64" t="s">
        <v>2110</v>
      </c>
      <c r="D4883" s="74"/>
      <c r="E4883" s="208" t="s">
        <v>123</v>
      </c>
      <c r="F4883" s="209" t="s">
        <v>21</v>
      </c>
      <c r="G4883" s="209" t="s">
        <v>21</v>
      </c>
      <c r="H4883" s="209" t="s">
        <v>189</v>
      </c>
      <c r="I4883" s="210"/>
    </row>
    <row r="4884" spans="1:9" x14ac:dyDescent="0.25">
      <c r="A4884" s="74"/>
      <c r="B4884" s="45">
        <v>1987</v>
      </c>
      <c r="C4884" s="64" t="s">
        <v>1956</v>
      </c>
      <c r="D4884" s="74"/>
      <c r="E4884" s="208" t="s">
        <v>123</v>
      </c>
      <c r="F4884" s="209" t="s">
        <v>21</v>
      </c>
      <c r="G4884" s="209" t="s">
        <v>21</v>
      </c>
      <c r="H4884" s="209" t="s">
        <v>272</v>
      </c>
      <c r="I4884" s="210"/>
    </row>
    <row r="4885" spans="1:9" x14ac:dyDescent="0.25">
      <c r="A4885" s="74"/>
      <c r="B4885" s="45">
        <v>1990</v>
      </c>
      <c r="C4885" s="64" t="s">
        <v>2118</v>
      </c>
      <c r="D4885" s="74"/>
      <c r="E4885" s="208" t="s">
        <v>123</v>
      </c>
      <c r="F4885" s="209" t="s">
        <v>21</v>
      </c>
      <c r="G4885" s="209" t="s">
        <v>21</v>
      </c>
      <c r="H4885" s="209" t="s">
        <v>272</v>
      </c>
      <c r="I4885" s="210"/>
    </row>
    <row r="4886" spans="1:9" x14ac:dyDescent="0.25">
      <c r="A4886" s="74"/>
      <c r="B4886" s="45">
        <v>1991</v>
      </c>
      <c r="C4886" s="64" t="s">
        <v>2096</v>
      </c>
      <c r="D4886" s="74"/>
      <c r="E4886" s="208" t="s">
        <v>123</v>
      </c>
      <c r="F4886" s="209" t="s">
        <v>21</v>
      </c>
      <c r="G4886" s="209" t="s">
        <v>21</v>
      </c>
      <c r="H4886" s="209" t="s">
        <v>272</v>
      </c>
      <c r="I4886" s="210"/>
    </row>
    <row r="4887" spans="1:9" x14ac:dyDescent="0.25">
      <c r="A4887" s="74"/>
      <c r="B4887" s="45">
        <v>886</v>
      </c>
      <c r="C4887" s="64" t="s">
        <v>1295</v>
      </c>
      <c r="D4887" s="74"/>
      <c r="E4887" s="208" t="s">
        <v>123</v>
      </c>
      <c r="F4887" s="209" t="s">
        <v>21</v>
      </c>
      <c r="G4887" s="209" t="s">
        <v>21</v>
      </c>
      <c r="H4887" s="209" t="s">
        <v>192</v>
      </c>
      <c r="I4887" s="210"/>
    </row>
    <row r="4888" spans="1:9" x14ac:dyDescent="0.25">
      <c r="A4888" s="74"/>
      <c r="B4888" s="45">
        <v>1992</v>
      </c>
      <c r="C4888" s="64" t="s">
        <v>2110</v>
      </c>
      <c r="D4888" s="74"/>
      <c r="E4888" s="208" t="s">
        <v>123</v>
      </c>
      <c r="F4888" s="209" t="s">
        <v>21</v>
      </c>
      <c r="G4888" s="209" t="s">
        <v>21</v>
      </c>
      <c r="H4888" s="209" t="s">
        <v>189</v>
      </c>
      <c r="I4888" s="210"/>
    </row>
    <row r="4889" spans="1:9" x14ac:dyDescent="0.25">
      <c r="A4889" s="74"/>
      <c r="B4889" s="45">
        <v>899</v>
      </c>
      <c r="C4889" s="64" t="s">
        <v>1308</v>
      </c>
      <c r="D4889" s="74"/>
      <c r="E4889" s="208" t="s">
        <v>134</v>
      </c>
      <c r="F4889" s="209" t="s">
        <v>21</v>
      </c>
      <c r="G4889" s="209" t="s">
        <v>21</v>
      </c>
      <c r="H4889" s="209" t="s">
        <v>198</v>
      </c>
      <c r="I4889" s="210"/>
    </row>
    <row r="4890" spans="1:9" x14ac:dyDescent="0.25">
      <c r="A4890" s="74"/>
      <c r="B4890" s="45">
        <v>889</v>
      </c>
      <c r="C4890" s="64" t="s">
        <v>1298</v>
      </c>
      <c r="D4890" s="74"/>
      <c r="E4890" s="208" t="s">
        <v>134</v>
      </c>
      <c r="F4890" s="209" t="s">
        <v>21</v>
      </c>
      <c r="G4890" s="209" t="s">
        <v>21</v>
      </c>
      <c r="H4890" s="209" t="s">
        <v>189</v>
      </c>
      <c r="I4890" s="210"/>
    </row>
    <row r="4891" spans="1:9" x14ac:dyDescent="0.25">
      <c r="A4891" s="74"/>
      <c r="B4891" s="45">
        <v>1993</v>
      </c>
      <c r="C4891" s="64" t="s">
        <v>1647</v>
      </c>
      <c r="D4891" s="74"/>
      <c r="E4891" s="208" t="s">
        <v>134</v>
      </c>
      <c r="F4891" s="209" t="s">
        <v>21</v>
      </c>
      <c r="G4891" s="209" t="s">
        <v>21</v>
      </c>
      <c r="H4891" s="209" t="s">
        <v>16</v>
      </c>
      <c r="I4891" s="210"/>
    </row>
    <row r="4892" spans="1:9" x14ac:dyDescent="0.25">
      <c r="A4892" s="74"/>
      <c r="B4892" s="45">
        <v>1994</v>
      </c>
      <c r="C4892" s="64" t="s">
        <v>2119</v>
      </c>
      <c r="D4892" s="74"/>
      <c r="E4892" s="208" t="s">
        <v>130</v>
      </c>
      <c r="F4892" s="209" t="s">
        <v>21</v>
      </c>
      <c r="G4892" s="209" t="s">
        <v>21</v>
      </c>
      <c r="H4892" s="209" t="s">
        <v>16</v>
      </c>
      <c r="I4892" s="210"/>
    </row>
    <row r="4893" spans="1:9" x14ac:dyDescent="0.25">
      <c r="A4893" s="74"/>
      <c r="B4893" s="45">
        <v>1995</v>
      </c>
      <c r="C4893" s="64" t="s">
        <v>2120</v>
      </c>
      <c r="D4893" s="74"/>
      <c r="E4893" s="208" t="s">
        <v>134</v>
      </c>
      <c r="F4893" s="209" t="s">
        <v>21</v>
      </c>
      <c r="G4893" s="209" t="s">
        <v>21</v>
      </c>
      <c r="H4893" s="209" t="s">
        <v>272</v>
      </c>
      <c r="I4893" s="210"/>
    </row>
    <row r="4894" spans="1:9" x14ac:dyDescent="0.25">
      <c r="A4894" s="74"/>
      <c r="B4894" s="45">
        <v>1996</v>
      </c>
      <c r="C4894" s="64" t="s">
        <v>2059</v>
      </c>
      <c r="D4894" s="74"/>
      <c r="E4894" s="208" t="s">
        <v>134</v>
      </c>
      <c r="F4894" s="209" t="s">
        <v>21</v>
      </c>
      <c r="G4894" s="209" t="s">
        <v>21</v>
      </c>
      <c r="H4894" s="209" t="s">
        <v>272</v>
      </c>
      <c r="I4894" s="210"/>
    </row>
    <row r="4895" spans="1:9" x14ac:dyDescent="0.25">
      <c r="A4895" s="74"/>
      <c r="B4895" s="45">
        <v>1995</v>
      </c>
      <c r="C4895" s="64" t="s">
        <v>2120</v>
      </c>
      <c r="D4895" s="74"/>
      <c r="E4895" s="208" t="s">
        <v>134</v>
      </c>
      <c r="F4895" s="209" t="s">
        <v>21</v>
      </c>
      <c r="G4895" s="209" t="s">
        <v>21</v>
      </c>
      <c r="H4895" s="209" t="s">
        <v>272</v>
      </c>
      <c r="I4895" s="210"/>
    </row>
    <row r="4896" spans="1:9" x14ac:dyDescent="0.25">
      <c r="A4896" s="74"/>
      <c r="B4896" s="45">
        <v>1996</v>
      </c>
      <c r="C4896" s="64" t="s">
        <v>2059</v>
      </c>
      <c r="D4896" s="74"/>
      <c r="E4896" s="208" t="s">
        <v>134</v>
      </c>
      <c r="F4896" s="209" t="s">
        <v>21</v>
      </c>
      <c r="G4896" s="209" t="s">
        <v>21</v>
      </c>
      <c r="H4896" s="209" t="s">
        <v>272</v>
      </c>
      <c r="I4896" s="210"/>
    </row>
    <row r="4897" spans="1:9" x14ac:dyDescent="0.25">
      <c r="A4897" s="74"/>
      <c r="B4897" s="45">
        <v>1995</v>
      </c>
      <c r="C4897" s="64" t="s">
        <v>2120</v>
      </c>
      <c r="D4897" s="74"/>
      <c r="E4897" s="208" t="s">
        <v>134</v>
      </c>
      <c r="F4897" s="209" t="s">
        <v>21</v>
      </c>
      <c r="G4897" s="209" t="s">
        <v>21</v>
      </c>
      <c r="H4897" s="209" t="s">
        <v>272</v>
      </c>
      <c r="I4897" s="210"/>
    </row>
    <row r="4898" spans="1:9" x14ac:dyDescent="0.25">
      <c r="A4898" s="74"/>
      <c r="B4898" s="45">
        <v>1996</v>
      </c>
      <c r="C4898" s="64" t="s">
        <v>2059</v>
      </c>
      <c r="D4898" s="74"/>
      <c r="E4898" s="208" t="s">
        <v>134</v>
      </c>
      <c r="F4898" s="209" t="s">
        <v>21</v>
      </c>
      <c r="G4898" s="209" t="s">
        <v>21</v>
      </c>
      <c r="H4898" s="209" t="s">
        <v>272</v>
      </c>
      <c r="I4898" s="210"/>
    </row>
    <row r="4899" spans="1:9" x14ac:dyDescent="0.25">
      <c r="A4899" s="74"/>
      <c r="B4899" s="45">
        <v>1995</v>
      </c>
      <c r="C4899" s="64" t="s">
        <v>2120</v>
      </c>
      <c r="D4899" s="74"/>
      <c r="E4899" s="208" t="s">
        <v>134</v>
      </c>
      <c r="F4899" s="209" t="s">
        <v>21</v>
      </c>
      <c r="G4899" s="209" t="s">
        <v>21</v>
      </c>
      <c r="H4899" s="209" t="s">
        <v>272</v>
      </c>
      <c r="I4899" s="210"/>
    </row>
    <row r="4900" spans="1:9" x14ac:dyDescent="0.25">
      <c r="A4900" s="74"/>
      <c r="B4900" s="45">
        <v>1996</v>
      </c>
      <c r="C4900" s="64" t="s">
        <v>2059</v>
      </c>
      <c r="D4900" s="74"/>
      <c r="E4900" s="208" t="s">
        <v>134</v>
      </c>
      <c r="F4900" s="209" t="s">
        <v>21</v>
      </c>
      <c r="G4900" s="209" t="s">
        <v>21</v>
      </c>
      <c r="H4900" s="209" t="s">
        <v>272</v>
      </c>
      <c r="I4900" s="210"/>
    </row>
    <row r="4901" spans="1:9" x14ac:dyDescent="0.25">
      <c r="A4901" s="74"/>
      <c r="B4901" s="45">
        <v>1972</v>
      </c>
      <c r="C4901" s="64" t="s">
        <v>2089</v>
      </c>
      <c r="D4901" s="74"/>
      <c r="E4901" s="208" t="s">
        <v>134</v>
      </c>
      <c r="F4901" s="209" t="s">
        <v>21</v>
      </c>
      <c r="G4901" s="209" t="s">
        <v>21</v>
      </c>
      <c r="H4901" s="209" t="s">
        <v>272</v>
      </c>
      <c r="I4901" s="210"/>
    </row>
    <row r="4902" spans="1:9" x14ac:dyDescent="0.25">
      <c r="A4902" s="74"/>
      <c r="B4902" s="45">
        <v>1997</v>
      </c>
      <c r="C4902" s="64" t="s">
        <v>1986</v>
      </c>
      <c r="D4902" s="74"/>
      <c r="E4902" s="208" t="s">
        <v>134</v>
      </c>
      <c r="F4902" s="209" t="s">
        <v>21</v>
      </c>
      <c r="G4902" s="209" t="s">
        <v>21</v>
      </c>
      <c r="H4902" s="209" t="s">
        <v>272</v>
      </c>
      <c r="I4902" s="210"/>
    </row>
    <row r="4903" spans="1:9" x14ac:dyDescent="0.25">
      <c r="A4903" s="74"/>
      <c r="B4903" s="45">
        <v>1998</v>
      </c>
      <c r="C4903" s="64" t="s">
        <v>1955</v>
      </c>
      <c r="D4903" s="74"/>
      <c r="E4903" s="208" t="s">
        <v>134</v>
      </c>
      <c r="F4903" s="209" t="s">
        <v>21</v>
      </c>
      <c r="G4903" s="209" t="s">
        <v>21</v>
      </c>
      <c r="H4903" s="209" t="s">
        <v>272</v>
      </c>
      <c r="I4903" s="210"/>
    </row>
    <row r="4904" spans="1:9" x14ac:dyDescent="0.25">
      <c r="A4904" s="74"/>
      <c r="B4904" s="45">
        <v>1999</v>
      </c>
      <c r="C4904" s="64" t="s">
        <v>2090</v>
      </c>
      <c r="D4904" s="74"/>
      <c r="E4904" s="208" t="s">
        <v>134</v>
      </c>
      <c r="F4904" s="209" t="s">
        <v>21</v>
      </c>
      <c r="G4904" s="209" t="s">
        <v>21</v>
      </c>
      <c r="H4904" s="209" t="s">
        <v>272</v>
      </c>
      <c r="I4904" s="210"/>
    </row>
    <row r="4905" spans="1:9" x14ac:dyDescent="0.25">
      <c r="A4905" s="74"/>
      <c r="B4905" s="45">
        <v>1972</v>
      </c>
      <c r="C4905" s="64" t="s">
        <v>2089</v>
      </c>
      <c r="D4905" s="74"/>
      <c r="E4905" s="208" t="s">
        <v>134</v>
      </c>
      <c r="F4905" s="209" t="s">
        <v>21</v>
      </c>
      <c r="G4905" s="209" t="s">
        <v>21</v>
      </c>
      <c r="H4905" s="209" t="s">
        <v>272</v>
      </c>
      <c r="I4905" s="210"/>
    </row>
    <row r="4906" spans="1:9" x14ac:dyDescent="0.25">
      <c r="A4906" s="74"/>
      <c r="B4906" s="45">
        <v>1997</v>
      </c>
      <c r="C4906" s="64" t="s">
        <v>1986</v>
      </c>
      <c r="D4906" s="74"/>
      <c r="E4906" s="208" t="s">
        <v>134</v>
      </c>
      <c r="F4906" s="209" t="s">
        <v>21</v>
      </c>
      <c r="G4906" s="209" t="s">
        <v>21</v>
      </c>
      <c r="H4906" s="209" t="s">
        <v>272</v>
      </c>
      <c r="I4906" s="210"/>
    </row>
    <row r="4907" spans="1:9" x14ac:dyDescent="0.25">
      <c r="A4907" s="74"/>
      <c r="B4907" s="45">
        <v>1998</v>
      </c>
      <c r="C4907" s="64" t="s">
        <v>1955</v>
      </c>
      <c r="D4907" s="74"/>
      <c r="E4907" s="208" t="s">
        <v>134</v>
      </c>
      <c r="F4907" s="209" t="s">
        <v>21</v>
      </c>
      <c r="G4907" s="209" t="s">
        <v>21</v>
      </c>
      <c r="H4907" s="209" t="s">
        <v>272</v>
      </c>
      <c r="I4907" s="210"/>
    </row>
    <row r="4908" spans="1:9" x14ac:dyDescent="0.25">
      <c r="A4908" s="74"/>
      <c r="B4908" s="45">
        <v>1999</v>
      </c>
      <c r="C4908" s="64" t="s">
        <v>2090</v>
      </c>
      <c r="D4908" s="74"/>
      <c r="E4908" s="208" t="s">
        <v>134</v>
      </c>
      <c r="F4908" s="209" t="s">
        <v>21</v>
      </c>
      <c r="G4908" s="209" t="s">
        <v>21</v>
      </c>
      <c r="H4908" s="209" t="s">
        <v>272</v>
      </c>
      <c r="I4908" s="210"/>
    </row>
    <row r="4909" spans="1:9" x14ac:dyDescent="0.25">
      <c r="A4909" s="74"/>
      <c r="B4909" s="45">
        <v>1972</v>
      </c>
      <c r="C4909" s="64" t="s">
        <v>2089</v>
      </c>
      <c r="D4909" s="74"/>
      <c r="E4909" s="208" t="s">
        <v>134</v>
      </c>
      <c r="F4909" s="209" t="s">
        <v>21</v>
      </c>
      <c r="G4909" s="209" t="s">
        <v>21</v>
      </c>
      <c r="H4909" s="209" t="s">
        <v>272</v>
      </c>
      <c r="I4909" s="210"/>
    </row>
    <row r="4910" spans="1:9" x14ac:dyDescent="0.25">
      <c r="A4910" s="74"/>
      <c r="B4910" s="45">
        <v>1997</v>
      </c>
      <c r="C4910" s="64" t="s">
        <v>1986</v>
      </c>
      <c r="D4910" s="74"/>
      <c r="E4910" s="208" t="s">
        <v>134</v>
      </c>
      <c r="F4910" s="209" t="s">
        <v>21</v>
      </c>
      <c r="G4910" s="209" t="s">
        <v>21</v>
      </c>
      <c r="H4910" s="209" t="s">
        <v>272</v>
      </c>
      <c r="I4910" s="210"/>
    </row>
    <row r="4911" spans="1:9" x14ac:dyDescent="0.25">
      <c r="A4911" s="74"/>
      <c r="B4911" s="45">
        <v>1998</v>
      </c>
      <c r="C4911" s="64" t="s">
        <v>1955</v>
      </c>
      <c r="D4911" s="74"/>
      <c r="E4911" s="208" t="s">
        <v>134</v>
      </c>
      <c r="F4911" s="209" t="s">
        <v>21</v>
      </c>
      <c r="G4911" s="209" t="s">
        <v>21</v>
      </c>
      <c r="H4911" s="209" t="s">
        <v>272</v>
      </c>
      <c r="I4911" s="210"/>
    </row>
    <row r="4912" spans="1:9" x14ac:dyDescent="0.25">
      <c r="A4912" s="74"/>
      <c r="B4912" s="45">
        <v>1999</v>
      </c>
      <c r="C4912" s="64" t="s">
        <v>2090</v>
      </c>
      <c r="D4912" s="74"/>
      <c r="E4912" s="208" t="s">
        <v>134</v>
      </c>
      <c r="F4912" s="209" t="s">
        <v>21</v>
      </c>
      <c r="G4912" s="209" t="s">
        <v>21</v>
      </c>
      <c r="H4912" s="209" t="s">
        <v>272</v>
      </c>
      <c r="I4912" s="210"/>
    </row>
    <row r="4913" spans="1:9" x14ac:dyDescent="0.25">
      <c r="A4913" s="74"/>
      <c r="B4913" s="45">
        <v>1972</v>
      </c>
      <c r="C4913" s="64" t="s">
        <v>2089</v>
      </c>
      <c r="D4913" s="74"/>
      <c r="E4913" s="208" t="s">
        <v>134</v>
      </c>
      <c r="F4913" s="209" t="s">
        <v>21</v>
      </c>
      <c r="G4913" s="209" t="s">
        <v>21</v>
      </c>
      <c r="H4913" s="209" t="s">
        <v>272</v>
      </c>
      <c r="I4913" s="210"/>
    </row>
    <row r="4914" spans="1:9" x14ac:dyDescent="0.25">
      <c r="A4914" s="74"/>
      <c r="B4914" s="45">
        <v>1997</v>
      </c>
      <c r="C4914" s="64" t="s">
        <v>1986</v>
      </c>
      <c r="D4914" s="74"/>
      <c r="E4914" s="208" t="s">
        <v>134</v>
      </c>
      <c r="F4914" s="209" t="s">
        <v>21</v>
      </c>
      <c r="G4914" s="209" t="s">
        <v>21</v>
      </c>
      <c r="H4914" s="209" t="s">
        <v>272</v>
      </c>
      <c r="I4914" s="210"/>
    </row>
    <row r="4915" spans="1:9" x14ac:dyDescent="0.25">
      <c r="A4915" s="74"/>
      <c r="B4915" s="45">
        <v>1998</v>
      </c>
      <c r="C4915" s="64" t="s">
        <v>1955</v>
      </c>
      <c r="D4915" s="74"/>
      <c r="E4915" s="208" t="s">
        <v>134</v>
      </c>
      <c r="F4915" s="209" t="s">
        <v>21</v>
      </c>
      <c r="G4915" s="209" t="s">
        <v>21</v>
      </c>
      <c r="H4915" s="209" t="s">
        <v>272</v>
      </c>
      <c r="I4915" s="210"/>
    </row>
    <row r="4916" spans="1:9" x14ac:dyDescent="0.25">
      <c r="A4916" s="74"/>
      <c r="B4916" s="45">
        <v>1999</v>
      </c>
      <c r="C4916" s="64" t="s">
        <v>2090</v>
      </c>
      <c r="D4916" s="74"/>
      <c r="E4916" s="208" t="s">
        <v>134</v>
      </c>
      <c r="F4916" s="209" t="s">
        <v>21</v>
      </c>
      <c r="G4916" s="209" t="s">
        <v>21</v>
      </c>
      <c r="H4916" s="209" t="s">
        <v>272</v>
      </c>
      <c r="I4916" s="210"/>
    </row>
    <row r="4917" spans="1:9" x14ac:dyDescent="0.25">
      <c r="A4917" s="74"/>
      <c r="B4917" s="45">
        <v>899</v>
      </c>
      <c r="C4917" s="64" t="s">
        <v>1308</v>
      </c>
      <c r="D4917" s="74"/>
      <c r="E4917" s="208" t="s">
        <v>134</v>
      </c>
      <c r="F4917" s="209" t="s">
        <v>21</v>
      </c>
      <c r="G4917" s="209" t="s">
        <v>21</v>
      </c>
      <c r="H4917" s="209" t="s">
        <v>198</v>
      </c>
      <c r="I4917" s="210"/>
    </row>
    <row r="4918" spans="1:9" x14ac:dyDescent="0.25">
      <c r="A4918" s="74"/>
      <c r="B4918" s="45">
        <v>902</v>
      </c>
      <c r="C4918" s="64" t="s">
        <v>1311</v>
      </c>
      <c r="D4918" s="74"/>
      <c r="E4918" s="208" t="s">
        <v>134</v>
      </c>
      <c r="F4918" s="209" t="s">
        <v>21</v>
      </c>
      <c r="G4918" s="209" t="s">
        <v>21</v>
      </c>
      <c r="H4918" s="209" t="s">
        <v>198</v>
      </c>
      <c r="I4918" s="210"/>
    </row>
    <row r="4919" spans="1:9" x14ac:dyDescent="0.25">
      <c r="A4919" s="74"/>
      <c r="B4919" s="45">
        <v>901</v>
      </c>
      <c r="C4919" s="64" t="s">
        <v>1310</v>
      </c>
      <c r="D4919" s="74"/>
      <c r="E4919" s="208" t="s">
        <v>134</v>
      </c>
      <c r="F4919" s="209" t="s">
        <v>21</v>
      </c>
      <c r="G4919" s="209" t="s">
        <v>21</v>
      </c>
      <c r="H4919" s="209" t="s">
        <v>192</v>
      </c>
      <c r="I4919" s="210"/>
    </row>
    <row r="4920" spans="1:9" x14ac:dyDescent="0.25">
      <c r="A4920" s="74"/>
      <c r="B4920" s="45">
        <v>900</v>
      </c>
      <c r="C4920" s="64" t="s">
        <v>1309</v>
      </c>
      <c r="D4920" s="74"/>
      <c r="E4920" s="208" t="s">
        <v>134</v>
      </c>
      <c r="F4920" s="209" t="s">
        <v>21</v>
      </c>
      <c r="G4920" s="209" t="s">
        <v>21</v>
      </c>
      <c r="H4920" s="209" t="s">
        <v>192</v>
      </c>
      <c r="I4920" s="210"/>
    </row>
    <row r="4921" spans="1:9" x14ac:dyDescent="0.25">
      <c r="A4921" s="74"/>
      <c r="B4921" s="45">
        <v>2000</v>
      </c>
      <c r="C4921" s="64" t="s">
        <v>1947</v>
      </c>
      <c r="D4921" s="74"/>
      <c r="E4921" s="208" t="s">
        <v>134</v>
      </c>
      <c r="F4921" s="209" t="s">
        <v>21</v>
      </c>
      <c r="G4921" s="209" t="s">
        <v>21</v>
      </c>
      <c r="H4921" s="209" t="s">
        <v>272</v>
      </c>
      <c r="I4921" s="210"/>
    </row>
    <row r="4922" spans="1:9" x14ac:dyDescent="0.25">
      <c r="A4922" s="74"/>
      <c r="B4922" s="45">
        <v>2001</v>
      </c>
      <c r="C4922" s="64" t="s">
        <v>1985</v>
      </c>
      <c r="D4922" s="74"/>
      <c r="E4922" s="208" t="s">
        <v>134</v>
      </c>
      <c r="F4922" s="209" t="s">
        <v>21</v>
      </c>
      <c r="G4922" s="209" t="s">
        <v>21</v>
      </c>
      <c r="H4922" s="209" t="s">
        <v>272</v>
      </c>
      <c r="I4922" s="210"/>
    </row>
    <row r="4923" spans="1:9" x14ac:dyDescent="0.25">
      <c r="A4923" s="74"/>
      <c r="B4923" s="45">
        <v>2002</v>
      </c>
      <c r="C4923" s="64" t="s">
        <v>2046</v>
      </c>
      <c r="D4923" s="74"/>
      <c r="E4923" s="208" t="s">
        <v>134</v>
      </c>
      <c r="F4923" s="209" t="s">
        <v>21</v>
      </c>
      <c r="G4923" s="209" t="s">
        <v>21</v>
      </c>
      <c r="H4923" s="209" t="s">
        <v>272</v>
      </c>
      <c r="I4923" s="210"/>
    </row>
    <row r="4924" spans="1:9" x14ac:dyDescent="0.25">
      <c r="A4924" s="74"/>
      <c r="B4924" s="45">
        <v>2003</v>
      </c>
      <c r="C4924" s="64" t="s">
        <v>1833</v>
      </c>
      <c r="D4924" s="74"/>
      <c r="E4924" s="208" t="s">
        <v>134</v>
      </c>
      <c r="F4924" s="209" t="s">
        <v>21</v>
      </c>
      <c r="G4924" s="209" t="s">
        <v>21</v>
      </c>
      <c r="H4924" s="209" t="s">
        <v>272</v>
      </c>
      <c r="I4924" s="210"/>
    </row>
    <row r="4925" spans="1:9" x14ac:dyDescent="0.25">
      <c r="A4925" s="74"/>
      <c r="B4925" s="45">
        <v>2004</v>
      </c>
      <c r="C4925" s="64" t="s">
        <v>1997</v>
      </c>
      <c r="D4925" s="74"/>
      <c r="E4925" s="208" t="s">
        <v>134</v>
      </c>
      <c r="F4925" s="209" t="s">
        <v>21</v>
      </c>
      <c r="G4925" s="209" t="s">
        <v>21</v>
      </c>
      <c r="H4925" s="209" t="s">
        <v>272</v>
      </c>
      <c r="I4925" s="210"/>
    </row>
    <row r="4926" spans="1:9" x14ac:dyDescent="0.25">
      <c r="A4926" s="74"/>
      <c r="B4926" s="45">
        <v>2000</v>
      </c>
      <c r="C4926" s="64" t="s">
        <v>1947</v>
      </c>
      <c r="D4926" s="74"/>
      <c r="E4926" s="208" t="s">
        <v>134</v>
      </c>
      <c r="F4926" s="209" t="s">
        <v>21</v>
      </c>
      <c r="G4926" s="209" t="s">
        <v>21</v>
      </c>
      <c r="H4926" s="209" t="s">
        <v>272</v>
      </c>
      <c r="I4926" s="210"/>
    </row>
    <row r="4927" spans="1:9" x14ac:dyDescent="0.25">
      <c r="A4927" s="74"/>
      <c r="B4927" s="45">
        <v>2001</v>
      </c>
      <c r="C4927" s="64" t="s">
        <v>1985</v>
      </c>
      <c r="D4927" s="74"/>
      <c r="E4927" s="208" t="s">
        <v>134</v>
      </c>
      <c r="F4927" s="209" t="s">
        <v>21</v>
      </c>
      <c r="G4927" s="209" t="s">
        <v>21</v>
      </c>
      <c r="H4927" s="209" t="s">
        <v>272</v>
      </c>
      <c r="I4927" s="210"/>
    </row>
    <row r="4928" spans="1:9" x14ac:dyDescent="0.25">
      <c r="A4928" s="74"/>
      <c r="B4928" s="45">
        <v>2002</v>
      </c>
      <c r="C4928" s="64" t="s">
        <v>2046</v>
      </c>
      <c r="D4928" s="74"/>
      <c r="E4928" s="208" t="s">
        <v>134</v>
      </c>
      <c r="F4928" s="209" t="s">
        <v>21</v>
      </c>
      <c r="G4928" s="209" t="s">
        <v>21</v>
      </c>
      <c r="H4928" s="209" t="s">
        <v>272</v>
      </c>
      <c r="I4928" s="210"/>
    </row>
    <row r="4929" spans="1:9" x14ac:dyDescent="0.25">
      <c r="A4929" s="74"/>
      <c r="B4929" s="45">
        <v>2003</v>
      </c>
      <c r="C4929" s="64" t="s">
        <v>1833</v>
      </c>
      <c r="D4929" s="74"/>
      <c r="E4929" s="208" t="s">
        <v>134</v>
      </c>
      <c r="F4929" s="209" t="s">
        <v>21</v>
      </c>
      <c r="G4929" s="209" t="s">
        <v>21</v>
      </c>
      <c r="H4929" s="209" t="s">
        <v>272</v>
      </c>
      <c r="I4929" s="210"/>
    </row>
    <row r="4930" spans="1:9" x14ac:dyDescent="0.25">
      <c r="A4930" s="74"/>
      <c r="B4930" s="45">
        <v>2004</v>
      </c>
      <c r="C4930" s="64" t="s">
        <v>1997</v>
      </c>
      <c r="D4930" s="74"/>
      <c r="E4930" s="208" t="s">
        <v>134</v>
      </c>
      <c r="F4930" s="209" t="s">
        <v>21</v>
      </c>
      <c r="G4930" s="209" t="s">
        <v>21</v>
      </c>
      <c r="H4930" s="209" t="s">
        <v>272</v>
      </c>
      <c r="I4930" s="210"/>
    </row>
    <row r="4931" spans="1:9" x14ac:dyDescent="0.25">
      <c r="A4931" s="74"/>
      <c r="B4931" s="45">
        <v>903</v>
      </c>
      <c r="C4931" s="64" t="s">
        <v>1312</v>
      </c>
      <c r="D4931" s="74"/>
      <c r="E4931" s="208" t="s">
        <v>134</v>
      </c>
      <c r="F4931" s="209" t="s">
        <v>21</v>
      </c>
      <c r="G4931" s="209" t="s">
        <v>21</v>
      </c>
      <c r="H4931" s="209" t="s">
        <v>192</v>
      </c>
      <c r="I4931" s="210"/>
    </row>
    <row r="4932" spans="1:9" x14ac:dyDescent="0.25">
      <c r="A4932" s="74"/>
      <c r="B4932" s="45">
        <v>918</v>
      </c>
      <c r="C4932" s="64" t="s">
        <v>1327</v>
      </c>
      <c r="D4932" s="74"/>
      <c r="E4932" s="208" t="s">
        <v>134</v>
      </c>
      <c r="F4932" s="209" t="s">
        <v>21</v>
      </c>
      <c r="G4932" s="209" t="s">
        <v>21</v>
      </c>
      <c r="H4932" s="209" t="s">
        <v>192</v>
      </c>
      <c r="I4932" s="210"/>
    </row>
    <row r="4933" spans="1:9" x14ac:dyDescent="0.25">
      <c r="A4933" s="74"/>
      <c r="B4933" s="45">
        <v>2005</v>
      </c>
      <c r="C4933" s="64" t="s">
        <v>2090</v>
      </c>
      <c r="D4933" s="74"/>
      <c r="E4933" s="208" t="s">
        <v>134</v>
      </c>
      <c r="F4933" s="209" t="s">
        <v>21</v>
      </c>
      <c r="G4933" s="209" t="s">
        <v>21</v>
      </c>
      <c r="H4933" s="209" t="s">
        <v>272</v>
      </c>
      <c r="I4933" s="210"/>
    </row>
    <row r="4934" spans="1:9" x14ac:dyDescent="0.25">
      <c r="A4934" s="74"/>
      <c r="B4934" s="45">
        <v>2004</v>
      </c>
      <c r="C4934" s="64" t="s">
        <v>1997</v>
      </c>
      <c r="D4934" s="74"/>
      <c r="E4934" s="208" t="s">
        <v>134</v>
      </c>
      <c r="F4934" s="209" t="s">
        <v>21</v>
      </c>
      <c r="G4934" s="209" t="s">
        <v>21</v>
      </c>
      <c r="H4934" s="209" t="s">
        <v>272</v>
      </c>
      <c r="I4934" s="210"/>
    </row>
    <row r="4935" spans="1:9" x14ac:dyDescent="0.25">
      <c r="A4935" s="74"/>
      <c r="B4935" s="45">
        <v>905</v>
      </c>
      <c r="C4935" s="64" t="s">
        <v>1314</v>
      </c>
      <c r="D4935" s="74"/>
      <c r="E4935" s="208" t="s">
        <v>134</v>
      </c>
      <c r="F4935" s="209" t="s">
        <v>21</v>
      </c>
      <c r="G4935" s="209" t="s">
        <v>21</v>
      </c>
      <c r="H4935" s="209" t="s">
        <v>198</v>
      </c>
      <c r="I4935" s="210"/>
    </row>
    <row r="4936" spans="1:9" x14ac:dyDescent="0.25">
      <c r="A4936" s="74"/>
      <c r="B4936" s="45">
        <v>904</v>
      </c>
      <c r="C4936" s="64" t="s">
        <v>1313</v>
      </c>
      <c r="D4936" s="74"/>
      <c r="E4936" s="208" t="s">
        <v>134</v>
      </c>
      <c r="F4936" s="209" t="s">
        <v>21</v>
      </c>
      <c r="G4936" s="209" t="s">
        <v>21</v>
      </c>
      <c r="H4936" s="209" t="s">
        <v>198</v>
      </c>
      <c r="I4936" s="210"/>
    </row>
    <row r="4937" spans="1:9" x14ac:dyDescent="0.25">
      <c r="A4937" s="74"/>
      <c r="B4937" s="45">
        <v>914</v>
      </c>
      <c r="C4937" s="64" t="s">
        <v>1323</v>
      </c>
      <c r="D4937" s="74"/>
      <c r="E4937" s="208" t="s">
        <v>134</v>
      </c>
      <c r="F4937" s="209" t="s">
        <v>21</v>
      </c>
      <c r="G4937" s="209" t="s">
        <v>21</v>
      </c>
      <c r="H4937" s="209" t="s">
        <v>198</v>
      </c>
      <c r="I4937" s="210"/>
    </row>
    <row r="4938" spans="1:9" x14ac:dyDescent="0.25">
      <c r="A4938" s="74"/>
      <c r="B4938" s="45">
        <v>907</v>
      </c>
      <c r="C4938" s="64" t="s">
        <v>1316</v>
      </c>
      <c r="D4938" s="74"/>
      <c r="E4938" s="208" t="s">
        <v>134</v>
      </c>
      <c r="F4938" s="209" t="s">
        <v>21</v>
      </c>
      <c r="G4938" s="209" t="s">
        <v>21</v>
      </c>
      <c r="H4938" s="209" t="s">
        <v>192</v>
      </c>
      <c r="I4938" s="210"/>
    </row>
    <row r="4939" spans="1:9" x14ac:dyDescent="0.25">
      <c r="A4939" s="74"/>
      <c r="B4939" s="45">
        <v>904</v>
      </c>
      <c r="C4939" s="64" t="s">
        <v>1313</v>
      </c>
      <c r="D4939" s="74"/>
      <c r="E4939" s="208" t="s">
        <v>134</v>
      </c>
      <c r="F4939" s="209" t="s">
        <v>21</v>
      </c>
      <c r="G4939" s="209" t="s">
        <v>21</v>
      </c>
      <c r="H4939" s="209" t="s">
        <v>192</v>
      </c>
      <c r="I4939" s="210"/>
    </row>
    <row r="4940" spans="1:9" x14ac:dyDescent="0.25">
      <c r="A4940" s="74"/>
      <c r="B4940" s="45">
        <v>2006</v>
      </c>
      <c r="C4940" s="64" t="s">
        <v>1868</v>
      </c>
      <c r="D4940" s="74"/>
      <c r="E4940" s="208" t="s">
        <v>134</v>
      </c>
      <c r="F4940" s="209" t="s">
        <v>21</v>
      </c>
      <c r="G4940" s="209" t="s">
        <v>21</v>
      </c>
      <c r="H4940" s="209" t="s">
        <v>272</v>
      </c>
      <c r="I4940" s="210"/>
    </row>
    <row r="4941" spans="1:9" x14ac:dyDescent="0.25">
      <c r="A4941" s="74"/>
      <c r="B4941" s="45">
        <v>2007</v>
      </c>
      <c r="C4941" s="64" t="s">
        <v>2121</v>
      </c>
      <c r="D4941" s="74"/>
      <c r="E4941" s="208" t="s">
        <v>134</v>
      </c>
      <c r="F4941" s="209" t="s">
        <v>21</v>
      </c>
      <c r="G4941" s="209" t="s">
        <v>21</v>
      </c>
      <c r="H4941" s="209" t="s">
        <v>272</v>
      </c>
      <c r="I4941" s="210"/>
    </row>
    <row r="4942" spans="1:9" x14ac:dyDescent="0.25">
      <c r="A4942" s="74"/>
      <c r="B4942" s="45">
        <v>2008</v>
      </c>
      <c r="C4942" s="64" t="s">
        <v>1839</v>
      </c>
      <c r="D4942" s="74"/>
      <c r="E4942" s="208" t="s">
        <v>134</v>
      </c>
      <c r="F4942" s="209" t="s">
        <v>21</v>
      </c>
      <c r="G4942" s="209" t="s">
        <v>21</v>
      </c>
      <c r="H4942" s="209" t="s">
        <v>272</v>
      </c>
      <c r="I4942" s="210"/>
    </row>
    <row r="4943" spans="1:9" x14ac:dyDescent="0.25">
      <c r="A4943" s="74"/>
      <c r="B4943" s="45">
        <v>906</v>
      </c>
      <c r="C4943" s="64" t="s">
        <v>1315</v>
      </c>
      <c r="D4943" s="74"/>
      <c r="E4943" s="208" t="s">
        <v>134</v>
      </c>
      <c r="F4943" s="209" t="s">
        <v>21</v>
      </c>
      <c r="G4943" s="209" t="s">
        <v>21</v>
      </c>
      <c r="H4943" s="209" t="s">
        <v>192</v>
      </c>
      <c r="I4943" s="210"/>
    </row>
    <row r="4944" spans="1:9" x14ac:dyDescent="0.25">
      <c r="A4944" s="74"/>
      <c r="B4944" s="45">
        <v>1998</v>
      </c>
      <c r="C4944" s="64" t="s">
        <v>1955</v>
      </c>
      <c r="D4944" s="74"/>
      <c r="E4944" s="208" t="s">
        <v>134</v>
      </c>
      <c r="F4944" s="209" t="s">
        <v>21</v>
      </c>
      <c r="G4944" s="209" t="s">
        <v>21</v>
      </c>
      <c r="H4944" s="209" t="s">
        <v>272</v>
      </c>
      <c r="I4944" s="210"/>
    </row>
    <row r="4945" spans="1:9" x14ac:dyDescent="0.25">
      <c r="A4945" s="74"/>
      <c r="B4945" s="45">
        <v>2006</v>
      </c>
      <c r="C4945" s="64" t="s">
        <v>1868</v>
      </c>
      <c r="D4945" s="74"/>
      <c r="E4945" s="208" t="s">
        <v>134</v>
      </c>
      <c r="F4945" s="209" t="s">
        <v>21</v>
      </c>
      <c r="G4945" s="209" t="s">
        <v>21</v>
      </c>
      <c r="H4945" s="209" t="s">
        <v>272</v>
      </c>
      <c r="I4945" s="210"/>
    </row>
    <row r="4946" spans="1:9" x14ac:dyDescent="0.25">
      <c r="A4946" s="74"/>
      <c r="B4946" s="45">
        <v>2007</v>
      </c>
      <c r="C4946" s="64" t="s">
        <v>2121</v>
      </c>
      <c r="D4946" s="74"/>
      <c r="E4946" s="208" t="s">
        <v>134</v>
      </c>
      <c r="F4946" s="209" t="s">
        <v>21</v>
      </c>
      <c r="G4946" s="209" t="s">
        <v>21</v>
      </c>
      <c r="H4946" s="209" t="s">
        <v>272</v>
      </c>
      <c r="I4946" s="210"/>
    </row>
    <row r="4947" spans="1:9" x14ac:dyDescent="0.25">
      <c r="A4947" s="74"/>
      <c r="B4947" s="45">
        <v>2008</v>
      </c>
      <c r="C4947" s="64" t="s">
        <v>1839</v>
      </c>
      <c r="D4947" s="74"/>
      <c r="E4947" s="208" t="s">
        <v>134</v>
      </c>
      <c r="F4947" s="209" t="s">
        <v>21</v>
      </c>
      <c r="G4947" s="209" t="s">
        <v>21</v>
      </c>
      <c r="H4947" s="209" t="s">
        <v>272</v>
      </c>
      <c r="I4947" s="210"/>
    </row>
    <row r="4948" spans="1:9" x14ac:dyDescent="0.25">
      <c r="A4948" s="74"/>
      <c r="B4948" s="45">
        <v>1998</v>
      </c>
      <c r="C4948" s="64" t="s">
        <v>1955</v>
      </c>
      <c r="D4948" s="74"/>
      <c r="E4948" s="208" t="s">
        <v>134</v>
      </c>
      <c r="F4948" s="209" t="s">
        <v>21</v>
      </c>
      <c r="G4948" s="209" t="s">
        <v>21</v>
      </c>
      <c r="H4948" s="209" t="s">
        <v>272</v>
      </c>
      <c r="I4948" s="210"/>
    </row>
    <row r="4949" spans="1:9" x14ac:dyDescent="0.25">
      <c r="A4949" s="74"/>
      <c r="B4949" s="45">
        <v>906</v>
      </c>
      <c r="C4949" s="64" t="s">
        <v>1315</v>
      </c>
      <c r="D4949" s="74"/>
      <c r="E4949" s="208" t="s">
        <v>134</v>
      </c>
      <c r="F4949" s="209" t="s">
        <v>21</v>
      </c>
      <c r="G4949" s="209" t="s">
        <v>21</v>
      </c>
      <c r="H4949" s="209" t="s">
        <v>192</v>
      </c>
      <c r="I4949" s="210"/>
    </row>
    <row r="4950" spans="1:9" x14ac:dyDescent="0.25">
      <c r="A4950" s="74"/>
      <c r="B4950" s="45">
        <v>2009</v>
      </c>
      <c r="C4950" s="64" t="s">
        <v>2096</v>
      </c>
      <c r="D4950" s="74"/>
      <c r="E4950" s="208" t="s">
        <v>134</v>
      </c>
      <c r="F4950" s="209" t="s">
        <v>21</v>
      </c>
      <c r="G4950" s="209" t="s">
        <v>21</v>
      </c>
      <c r="H4950" s="209" t="s">
        <v>272</v>
      </c>
      <c r="I4950" s="210"/>
    </row>
    <row r="4951" spans="1:9" x14ac:dyDescent="0.25">
      <c r="A4951" s="74"/>
      <c r="B4951" s="45">
        <v>2010</v>
      </c>
      <c r="C4951" s="64" t="s">
        <v>2045</v>
      </c>
      <c r="D4951" s="74"/>
      <c r="E4951" s="208" t="s">
        <v>134</v>
      </c>
      <c r="F4951" s="209" t="s">
        <v>21</v>
      </c>
      <c r="G4951" s="209" t="s">
        <v>21</v>
      </c>
      <c r="H4951" s="209" t="s">
        <v>272</v>
      </c>
      <c r="I4951" s="210"/>
    </row>
    <row r="4952" spans="1:9" x14ac:dyDescent="0.25">
      <c r="A4952" s="74"/>
      <c r="B4952" s="45">
        <v>2011</v>
      </c>
      <c r="C4952" s="64" t="s">
        <v>1900</v>
      </c>
      <c r="D4952" s="74"/>
      <c r="E4952" s="208" t="s">
        <v>134</v>
      </c>
      <c r="F4952" s="209" t="s">
        <v>21</v>
      </c>
      <c r="G4952" s="209" t="s">
        <v>21</v>
      </c>
      <c r="H4952" s="209" t="s">
        <v>272</v>
      </c>
      <c r="I4952" s="210"/>
    </row>
    <row r="4953" spans="1:9" x14ac:dyDescent="0.25">
      <c r="A4953" s="74"/>
      <c r="B4953" s="45">
        <v>912</v>
      </c>
      <c r="C4953" s="64" t="s">
        <v>1321</v>
      </c>
      <c r="D4953" s="74"/>
      <c r="E4953" s="208" t="s">
        <v>134</v>
      </c>
      <c r="F4953" s="209" t="s">
        <v>21</v>
      </c>
      <c r="G4953" s="209" t="s">
        <v>21</v>
      </c>
      <c r="H4953" s="209" t="s">
        <v>198</v>
      </c>
      <c r="I4953" s="210"/>
    </row>
    <row r="4954" spans="1:9" x14ac:dyDescent="0.25">
      <c r="A4954" s="74"/>
      <c r="B4954" s="45">
        <v>2012</v>
      </c>
      <c r="C4954" s="64" t="s">
        <v>2090</v>
      </c>
      <c r="D4954" s="74"/>
      <c r="E4954" s="208" t="s">
        <v>134</v>
      </c>
      <c r="F4954" s="209" t="s">
        <v>21</v>
      </c>
      <c r="G4954" s="209" t="s">
        <v>21</v>
      </c>
      <c r="H4954" s="209" t="s">
        <v>272</v>
      </c>
      <c r="I4954" s="210"/>
    </row>
    <row r="4955" spans="1:9" x14ac:dyDescent="0.25">
      <c r="A4955" s="74"/>
      <c r="B4955" s="45">
        <v>2013</v>
      </c>
      <c r="C4955" s="64" t="s">
        <v>1582</v>
      </c>
      <c r="D4955" s="74"/>
      <c r="E4955" s="208" t="s">
        <v>134</v>
      </c>
      <c r="F4955" s="209" t="s">
        <v>21</v>
      </c>
      <c r="G4955" s="209" t="s">
        <v>21</v>
      </c>
      <c r="H4955" s="209" t="s">
        <v>272</v>
      </c>
      <c r="I4955" s="210"/>
    </row>
    <row r="4956" spans="1:9" x14ac:dyDescent="0.25">
      <c r="A4956" s="74"/>
      <c r="B4956" s="45">
        <v>911</v>
      </c>
      <c r="C4956" s="64" t="s">
        <v>1320</v>
      </c>
      <c r="D4956" s="74"/>
      <c r="E4956" s="208" t="s">
        <v>134</v>
      </c>
      <c r="F4956" s="209" t="s">
        <v>21</v>
      </c>
      <c r="G4956" s="209" t="s">
        <v>21</v>
      </c>
      <c r="H4956" s="209" t="s">
        <v>192</v>
      </c>
      <c r="I4956" s="210"/>
    </row>
    <row r="4957" spans="1:9" x14ac:dyDescent="0.25">
      <c r="A4957" s="74"/>
      <c r="B4957" s="45">
        <v>2014</v>
      </c>
      <c r="C4957" s="64" t="s">
        <v>1981</v>
      </c>
      <c r="D4957" s="74"/>
      <c r="E4957" s="208" t="s">
        <v>134</v>
      </c>
      <c r="F4957" s="209" t="s">
        <v>21</v>
      </c>
      <c r="G4957" s="209" t="s">
        <v>21</v>
      </c>
      <c r="H4957" s="209" t="s">
        <v>272</v>
      </c>
      <c r="I4957" s="210"/>
    </row>
    <row r="4958" spans="1:9" x14ac:dyDescent="0.25">
      <c r="A4958" s="74"/>
      <c r="B4958" s="45">
        <v>2015</v>
      </c>
      <c r="C4958" s="64" t="s">
        <v>1839</v>
      </c>
      <c r="D4958" s="74"/>
      <c r="E4958" s="208" t="s">
        <v>134</v>
      </c>
      <c r="F4958" s="209" t="s">
        <v>21</v>
      </c>
      <c r="G4958" s="209" t="s">
        <v>21</v>
      </c>
      <c r="H4958" s="209" t="s">
        <v>272</v>
      </c>
      <c r="I4958" s="210"/>
    </row>
    <row r="4959" spans="1:9" x14ac:dyDescent="0.25">
      <c r="A4959" s="74"/>
      <c r="B4959" s="45">
        <v>915</v>
      </c>
      <c r="C4959" s="64" t="s">
        <v>1324</v>
      </c>
      <c r="D4959" s="74"/>
      <c r="E4959" s="208" t="s">
        <v>134</v>
      </c>
      <c r="F4959" s="209" t="s">
        <v>21</v>
      </c>
      <c r="G4959" s="209" t="s">
        <v>21</v>
      </c>
      <c r="H4959" s="209" t="s">
        <v>192</v>
      </c>
      <c r="I4959" s="210"/>
    </row>
    <row r="4960" spans="1:9" x14ac:dyDescent="0.25">
      <c r="A4960" s="74"/>
      <c r="B4960" s="45">
        <v>2016</v>
      </c>
      <c r="C4960" s="64" t="s">
        <v>2122</v>
      </c>
      <c r="D4960" s="74"/>
      <c r="E4960" s="208" t="s">
        <v>273</v>
      </c>
      <c r="F4960" s="209" t="s">
        <v>21</v>
      </c>
      <c r="G4960" s="209" t="s">
        <v>21</v>
      </c>
      <c r="H4960" s="209" t="s">
        <v>272</v>
      </c>
      <c r="I4960" s="210"/>
    </row>
    <row r="4961" spans="1:9" x14ac:dyDescent="0.25">
      <c r="A4961" s="74"/>
      <c r="B4961" s="45">
        <v>2017</v>
      </c>
      <c r="C4961" s="64" t="s">
        <v>2059</v>
      </c>
      <c r="D4961" s="74"/>
      <c r="E4961" s="208" t="s">
        <v>134</v>
      </c>
      <c r="F4961" s="209" t="s">
        <v>21</v>
      </c>
      <c r="G4961" s="209" t="s">
        <v>21</v>
      </c>
      <c r="H4961" s="209" t="s">
        <v>272</v>
      </c>
      <c r="I4961" s="210"/>
    </row>
    <row r="4962" spans="1:9" x14ac:dyDescent="0.25">
      <c r="A4962" s="74"/>
      <c r="B4962" s="45">
        <v>2018</v>
      </c>
      <c r="C4962" s="64" t="s">
        <v>2123</v>
      </c>
      <c r="D4962" s="74"/>
      <c r="E4962" s="208" t="s">
        <v>134</v>
      </c>
      <c r="F4962" s="209" t="s">
        <v>21</v>
      </c>
      <c r="G4962" s="209" t="s">
        <v>21</v>
      </c>
      <c r="H4962" s="209" t="s">
        <v>272</v>
      </c>
      <c r="I4962" s="210"/>
    </row>
    <row r="4963" spans="1:9" x14ac:dyDescent="0.25">
      <c r="A4963" s="74"/>
      <c r="B4963" s="45">
        <v>917</v>
      </c>
      <c r="C4963" s="64" t="s">
        <v>1326</v>
      </c>
      <c r="D4963" s="74"/>
      <c r="E4963" s="208" t="s">
        <v>134</v>
      </c>
      <c r="F4963" s="209" t="s">
        <v>21</v>
      </c>
      <c r="G4963" s="209" t="s">
        <v>21</v>
      </c>
      <c r="H4963" s="209" t="s">
        <v>192</v>
      </c>
      <c r="I4963" s="210"/>
    </row>
    <row r="4964" spans="1:9" x14ac:dyDescent="0.25">
      <c r="A4964" s="74"/>
      <c r="B4964" s="45">
        <v>2019</v>
      </c>
      <c r="C4964" s="64" t="s">
        <v>1956</v>
      </c>
      <c r="D4964" s="74"/>
      <c r="E4964" s="208" t="s">
        <v>134</v>
      </c>
      <c r="F4964" s="209" t="s">
        <v>21</v>
      </c>
      <c r="G4964" s="209" t="s">
        <v>21</v>
      </c>
      <c r="H4964" s="209" t="s">
        <v>272</v>
      </c>
      <c r="I4964" s="210"/>
    </row>
    <row r="4965" spans="1:9" x14ac:dyDescent="0.25">
      <c r="A4965" s="74"/>
      <c r="B4965" s="45">
        <v>2005</v>
      </c>
      <c r="C4965" s="64" t="s">
        <v>2090</v>
      </c>
      <c r="D4965" s="74"/>
      <c r="E4965" s="208" t="s">
        <v>134</v>
      </c>
      <c r="F4965" s="209" t="s">
        <v>21</v>
      </c>
      <c r="G4965" s="209" t="s">
        <v>21</v>
      </c>
      <c r="H4965" s="209" t="s">
        <v>272</v>
      </c>
      <c r="I4965" s="210"/>
    </row>
    <row r="4966" spans="1:9" x14ac:dyDescent="0.25">
      <c r="A4966" s="74"/>
      <c r="B4966" s="45">
        <v>2004</v>
      </c>
      <c r="C4966" s="64" t="s">
        <v>1997</v>
      </c>
      <c r="D4966" s="74"/>
      <c r="E4966" s="208" t="s">
        <v>134</v>
      </c>
      <c r="F4966" s="209" t="s">
        <v>21</v>
      </c>
      <c r="G4966" s="209" t="s">
        <v>21</v>
      </c>
      <c r="H4966" s="209" t="s">
        <v>272</v>
      </c>
      <c r="I4966" s="210"/>
    </row>
    <row r="4967" spans="1:9" x14ac:dyDescent="0.25">
      <c r="A4967" s="74"/>
      <c r="B4967" s="45">
        <v>943</v>
      </c>
      <c r="C4967" s="64" t="s">
        <v>1352</v>
      </c>
      <c r="D4967" s="74"/>
      <c r="E4967" s="208" t="s">
        <v>175</v>
      </c>
      <c r="F4967" s="209" t="s">
        <v>21</v>
      </c>
      <c r="G4967" s="209" t="s">
        <v>21</v>
      </c>
      <c r="H4967" s="209" t="s">
        <v>186</v>
      </c>
      <c r="I4967" s="210"/>
    </row>
    <row r="4968" spans="1:9" x14ac:dyDescent="0.25">
      <c r="A4968" s="74"/>
      <c r="B4968" s="45">
        <v>952</v>
      </c>
      <c r="C4968" s="64" t="s">
        <v>1361</v>
      </c>
      <c r="D4968" s="74"/>
      <c r="E4968" s="208" t="s">
        <v>175</v>
      </c>
      <c r="F4968" s="209" t="s">
        <v>21</v>
      </c>
      <c r="G4968" s="209" t="s">
        <v>21</v>
      </c>
      <c r="H4968" s="209" t="s">
        <v>186</v>
      </c>
      <c r="I4968" s="210"/>
    </row>
    <row r="4969" spans="1:9" x14ac:dyDescent="0.25">
      <c r="A4969" s="74"/>
      <c r="B4969" s="45">
        <v>1087</v>
      </c>
      <c r="C4969" s="64" t="s">
        <v>1496</v>
      </c>
      <c r="D4969" s="74"/>
      <c r="E4969" s="208" t="s">
        <v>130</v>
      </c>
      <c r="F4969" s="209" t="s">
        <v>21</v>
      </c>
      <c r="G4969" s="209" t="s">
        <v>21</v>
      </c>
      <c r="H4969" s="209" t="s">
        <v>192</v>
      </c>
      <c r="I4969" s="210"/>
    </row>
    <row r="4970" spans="1:9" x14ac:dyDescent="0.25">
      <c r="A4970" s="74"/>
      <c r="B4970" s="45">
        <v>2020</v>
      </c>
      <c r="C4970" s="64" t="s">
        <v>1647</v>
      </c>
      <c r="D4970" s="74"/>
      <c r="E4970" s="208" t="s">
        <v>283</v>
      </c>
      <c r="F4970" s="209" t="s">
        <v>21</v>
      </c>
      <c r="G4970" s="209" t="s">
        <v>21</v>
      </c>
      <c r="H4970" s="209" t="s">
        <v>192</v>
      </c>
      <c r="I4970" s="210"/>
    </row>
    <row r="4971" spans="1:9" x14ac:dyDescent="0.25">
      <c r="A4971" s="74"/>
      <c r="B4971" s="45">
        <v>2021</v>
      </c>
      <c r="C4971" s="64" t="s">
        <v>1759</v>
      </c>
      <c r="D4971" s="74"/>
      <c r="E4971" s="208" t="s">
        <v>277</v>
      </c>
      <c r="F4971" s="209" t="s">
        <v>21</v>
      </c>
      <c r="G4971" s="209" t="s">
        <v>21</v>
      </c>
      <c r="H4971" s="209" t="s">
        <v>192</v>
      </c>
      <c r="I4971" s="210"/>
    </row>
    <row r="4972" spans="1:9" x14ac:dyDescent="0.25">
      <c r="A4972" s="74"/>
      <c r="B4972" s="45">
        <v>2022</v>
      </c>
      <c r="C4972" s="64" t="s">
        <v>2014</v>
      </c>
      <c r="D4972" s="74"/>
      <c r="E4972" s="208" t="s">
        <v>130</v>
      </c>
      <c r="F4972" s="209" t="s">
        <v>21</v>
      </c>
      <c r="G4972" s="209" t="s">
        <v>21</v>
      </c>
      <c r="H4972" s="209" t="s">
        <v>192</v>
      </c>
      <c r="I4972" s="210"/>
    </row>
    <row r="4973" spans="1:9" x14ac:dyDescent="0.25">
      <c r="A4973" s="74"/>
      <c r="B4973" s="45">
        <v>2023</v>
      </c>
      <c r="C4973" s="64" t="s">
        <v>1980</v>
      </c>
      <c r="D4973" s="74"/>
      <c r="E4973" s="208" t="s">
        <v>130</v>
      </c>
      <c r="F4973" s="209" t="s">
        <v>21</v>
      </c>
      <c r="G4973" s="209" t="s">
        <v>21</v>
      </c>
      <c r="H4973" s="209" t="s">
        <v>16</v>
      </c>
      <c r="I4973" s="210"/>
    </row>
    <row r="4974" spans="1:9" x14ac:dyDescent="0.25">
      <c r="A4974" s="74"/>
      <c r="B4974" s="45">
        <v>2024</v>
      </c>
      <c r="C4974" s="64" t="s">
        <v>2124</v>
      </c>
      <c r="D4974" s="74"/>
      <c r="E4974" s="208" t="s">
        <v>175</v>
      </c>
      <c r="F4974" s="209" t="s">
        <v>21</v>
      </c>
      <c r="G4974" s="209" t="s">
        <v>21</v>
      </c>
      <c r="H4974" s="209" t="s">
        <v>16</v>
      </c>
      <c r="I4974" s="210"/>
    </row>
    <row r="4975" spans="1:9" x14ac:dyDescent="0.25">
      <c r="A4975" s="74"/>
      <c r="B4975" s="45">
        <v>2025</v>
      </c>
      <c r="C4975" s="64" t="s">
        <v>2013</v>
      </c>
      <c r="D4975" s="74"/>
      <c r="E4975" s="208" t="s">
        <v>175</v>
      </c>
      <c r="F4975" s="209" t="s">
        <v>21</v>
      </c>
      <c r="G4975" s="209" t="s">
        <v>21</v>
      </c>
      <c r="H4975" s="209" t="s">
        <v>272</v>
      </c>
      <c r="I4975" s="210"/>
    </row>
    <row r="4976" spans="1:9" x14ac:dyDescent="0.25">
      <c r="A4976" s="74"/>
      <c r="B4976" s="45">
        <v>2026</v>
      </c>
      <c r="C4976" s="64" t="s">
        <v>2115</v>
      </c>
      <c r="D4976" s="74"/>
      <c r="E4976" s="208" t="s">
        <v>175</v>
      </c>
      <c r="F4976" s="209" t="s">
        <v>21</v>
      </c>
      <c r="G4976" s="209" t="s">
        <v>21</v>
      </c>
      <c r="H4976" s="209" t="s">
        <v>272</v>
      </c>
      <c r="I4976" s="210"/>
    </row>
    <row r="4977" spans="1:9" x14ac:dyDescent="0.25">
      <c r="A4977" s="74"/>
      <c r="B4977" s="45">
        <v>2027</v>
      </c>
      <c r="C4977" s="64" t="s">
        <v>1987</v>
      </c>
      <c r="D4977" s="74"/>
      <c r="E4977" s="208" t="s">
        <v>175</v>
      </c>
      <c r="F4977" s="209" t="s">
        <v>21</v>
      </c>
      <c r="G4977" s="209" t="s">
        <v>21</v>
      </c>
      <c r="H4977" s="209" t="s">
        <v>272</v>
      </c>
      <c r="I4977" s="210"/>
    </row>
    <row r="4978" spans="1:9" x14ac:dyDescent="0.25">
      <c r="A4978" s="74"/>
      <c r="B4978" s="45">
        <v>2028</v>
      </c>
      <c r="C4978" s="64" t="s">
        <v>1457</v>
      </c>
      <c r="D4978" s="74"/>
      <c r="E4978" s="208" t="s">
        <v>175</v>
      </c>
      <c r="F4978" s="209" t="s">
        <v>21</v>
      </c>
      <c r="G4978" s="209" t="s">
        <v>21</v>
      </c>
      <c r="H4978" s="209" t="s">
        <v>272</v>
      </c>
      <c r="I4978" s="210"/>
    </row>
    <row r="4979" spans="1:9" x14ac:dyDescent="0.25">
      <c r="A4979" s="74"/>
      <c r="B4979" s="45">
        <v>2025</v>
      </c>
      <c r="C4979" s="64" t="s">
        <v>2013</v>
      </c>
      <c r="D4979" s="74"/>
      <c r="E4979" s="208" t="s">
        <v>175</v>
      </c>
      <c r="F4979" s="209" t="s">
        <v>21</v>
      </c>
      <c r="G4979" s="209" t="s">
        <v>21</v>
      </c>
      <c r="H4979" s="209" t="s">
        <v>272</v>
      </c>
      <c r="I4979" s="210"/>
    </row>
    <row r="4980" spans="1:9" x14ac:dyDescent="0.25">
      <c r="A4980" s="74"/>
      <c r="B4980" s="45">
        <v>2026</v>
      </c>
      <c r="C4980" s="64" t="s">
        <v>2115</v>
      </c>
      <c r="D4980" s="74"/>
      <c r="E4980" s="208" t="s">
        <v>175</v>
      </c>
      <c r="F4980" s="209" t="s">
        <v>21</v>
      </c>
      <c r="G4980" s="209" t="s">
        <v>21</v>
      </c>
      <c r="H4980" s="209" t="s">
        <v>272</v>
      </c>
      <c r="I4980" s="210"/>
    </row>
    <row r="4981" spans="1:9" x14ac:dyDescent="0.25">
      <c r="A4981" s="74"/>
      <c r="B4981" s="45">
        <v>2027</v>
      </c>
      <c r="C4981" s="64" t="s">
        <v>1987</v>
      </c>
      <c r="D4981" s="74"/>
      <c r="E4981" s="208" t="s">
        <v>175</v>
      </c>
      <c r="F4981" s="209" t="s">
        <v>21</v>
      </c>
      <c r="G4981" s="209" t="s">
        <v>21</v>
      </c>
      <c r="H4981" s="209" t="s">
        <v>272</v>
      </c>
      <c r="I4981" s="210"/>
    </row>
    <row r="4982" spans="1:9" x14ac:dyDescent="0.25">
      <c r="A4982" s="74"/>
      <c r="B4982" s="45">
        <v>2028</v>
      </c>
      <c r="C4982" s="64" t="s">
        <v>1457</v>
      </c>
      <c r="D4982" s="74"/>
      <c r="E4982" s="208" t="s">
        <v>175</v>
      </c>
      <c r="F4982" s="209" t="s">
        <v>21</v>
      </c>
      <c r="G4982" s="209" t="s">
        <v>21</v>
      </c>
      <c r="H4982" s="209" t="s">
        <v>272</v>
      </c>
      <c r="I4982" s="210"/>
    </row>
    <row r="4983" spans="1:9" x14ac:dyDescent="0.25">
      <c r="A4983" s="74"/>
      <c r="B4983" s="45">
        <v>2025</v>
      </c>
      <c r="C4983" s="64" t="s">
        <v>2013</v>
      </c>
      <c r="D4983" s="74"/>
      <c r="E4983" s="208" t="s">
        <v>175</v>
      </c>
      <c r="F4983" s="209" t="s">
        <v>21</v>
      </c>
      <c r="G4983" s="209" t="s">
        <v>21</v>
      </c>
      <c r="H4983" s="209" t="s">
        <v>272</v>
      </c>
      <c r="I4983" s="210"/>
    </row>
    <row r="4984" spans="1:9" x14ac:dyDescent="0.25">
      <c r="A4984" s="74"/>
      <c r="B4984" s="45">
        <v>2026</v>
      </c>
      <c r="C4984" s="64" t="s">
        <v>2115</v>
      </c>
      <c r="D4984" s="74"/>
      <c r="E4984" s="208" t="s">
        <v>175</v>
      </c>
      <c r="F4984" s="209" t="s">
        <v>21</v>
      </c>
      <c r="G4984" s="209" t="s">
        <v>21</v>
      </c>
      <c r="H4984" s="209" t="s">
        <v>272</v>
      </c>
      <c r="I4984" s="210"/>
    </row>
    <row r="4985" spans="1:9" x14ac:dyDescent="0.25">
      <c r="A4985" s="74"/>
      <c r="B4985" s="45">
        <v>2027</v>
      </c>
      <c r="C4985" s="64" t="s">
        <v>1987</v>
      </c>
      <c r="D4985" s="74"/>
      <c r="E4985" s="208" t="s">
        <v>175</v>
      </c>
      <c r="F4985" s="209" t="s">
        <v>21</v>
      </c>
      <c r="G4985" s="209" t="s">
        <v>21</v>
      </c>
      <c r="H4985" s="209" t="s">
        <v>272</v>
      </c>
      <c r="I4985" s="210"/>
    </row>
    <row r="4986" spans="1:9" x14ac:dyDescent="0.25">
      <c r="A4986" s="74"/>
      <c r="B4986" s="45">
        <v>2028</v>
      </c>
      <c r="C4986" s="64" t="s">
        <v>1457</v>
      </c>
      <c r="D4986" s="74"/>
      <c r="E4986" s="208" t="s">
        <v>175</v>
      </c>
      <c r="F4986" s="209" t="s">
        <v>21</v>
      </c>
      <c r="G4986" s="209" t="s">
        <v>21</v>
      </c>
      <c r="H4986" s="209" t="s">
        <v>272</v>
      </c>
      <c r="I4986" s="210"/>
    </row>
    <row r="4987" spans="1:9" x14ac:dyDescent="0.25">
      <c r="A4987" s="74"/>
      <c r="B4987" s="45">
        <v>2025</v>
      </c>
      <c r="C4987" s="64" t="s">
        <v>2013</v>
      </c>
      <c r="D4987" s="74"/>
      <c r="E4987" s="208" t="s">
        <v>175</v>
      </c>
      <c r="F4987" s="209" t="s">
        <v>21</v>
      </c>
      <c r="G4987" s="209" t="s">
        <v>21</v>
      </c>
      <c r="H4987" s="209" t="s">
        <v>272</v>
      </c>
      <c r="I4987" s="210"/>
    </row>
    <row r="4988" spans="1:9" x14ac:dyDescent="0.25">
      <c r="A4988" s="74"/>
      <c r="B4988" s="45">
        <v>2026</v>
      </c>
      <c r="C4988" s="64" t="s">
        <v>2115</v>
      </c>
      <c r="D4988" s="74"/>
      <c r="E4988" s="208" t="s">
        <v>175</v>
      </c>
      <c r="F4988" s="209" t="s">
        <v>21</v>
      </c>
      <c r="G4988" s="209" t="s">
        <v>21</v>
      </c>
      <c r="H4988" s="209" t="s">
        <v>272</v>
      </c>
      <c r="I4988" s="210"/>
    </row>
    <row r="4989" spans="1:9" x14ac:dyDescent="0.25">
      <c r="A4989" s="74"/>
      <c r="B4989" s="45">
        <v>2027</v>
      </c>
      <c r="C4989" s="64" t="s">
        <v>1987</v>
      </c>
      <c r="D4989" s="74"/>
      <c r="E4989" s="208" t="s">
        <v>175</v>
      </c>
      <c r="F4989" s="209" t="s">
        <v>21</v>
      </c>
      <c r="G4989" s="209" t="s">
        <v>21</v>
      </c>
      <c r="H4989" s="209" t="s">
        <v>272</v>
      </c>
      <c r="I4989" s="210"/>
    </row>
    <row r="4990" spans="1:9" x14ac:dyDescent="0.25">
      <c r="A4990" s="74"/>
      <c r="B4990" s="45">
        <v>2028</v>
      </c>
      <c r="C4990" s="64" t="s">
        <v>1457</v>
      </c>
      <c r="D4990" s="74"/>
      <c r="E4990" s="208" t="s">
        <v>175</v>
      </c>
      <c r="F4990" s="209" t="s">
        <v>21</v>
      </c>
      <c r="G4990" s="209" t="s">
        <v>21</v>
      </c>
      <c r="H4990" s="209" t="s">
        <v>272</v>
      </c>
      <c r="I4990" s="210"/>
    </row>
    <row r="4991" spans="1:9" x14ac:dyDescent="0.25">
      <c r="A4991" s="74"/>
      <c r="B4991" s="45">
        <v>2029</v>
      </c>
      <c r="C4991" s="64" t="s">
        <v>2059</v>
      </c>
      <c r="D4991" s="74"/>
      <c r="E4991" s="208" t="s">
        <v>175</v>
      </c>
      <c r="F4991" s="209" t="s">
        <v>21</v>
      </c>
      <c r="G4991" s="209" t="s">
        <v>21</v>
      </c>
      <c r="H4991" s="209" t="s">
        <v>272</v>
      </c>
      <c r="I4991" s="210"/>
    </row>
    <row r="4992" spans="1:9" x14ac:dyDescent="0.25">
      <c r="A4992" s="74"/>
      <c r="B4992" s="45">
        <v>2029</v>
      </c>
      <c r="C4992" s="64" t="s">
        <v>2059</v>
      </c>
      <c r="D4992" s="74"/>
      <c r="E4992" s="208" t="s">
        <v>175</v>
      </c>
      <c r="F4992" s="209" t="s">
        <v>21</v>
      </c>
      <c r="G4992" s="209" t="s">
        <v>21</v>
      </c>
      <c r="H4992" s="209" t="s">
        <v>272</v>
      </c>
      <c r="I4992" s="210"/>
    </row>
    <row r="4993" spans="1:9" x14ac:dyDescent="0.25">
      <c r="A4993" s="74"/>
      <c r="B4993" s="45">
        <v>2029</v>
      </c>
      <c r="C4993" s="64" t="s">
        <v>2059</v>
      </c>
      <c r="D4993" s="74"/>
      <c r="E4993" s="208" t="s">
        <v>175</v>
      </c>
      <c r="F4993" s="209" t="s">
        <v>21</v>
      </c>
      <c r="G4993" s="209" t="s">
        <v>21</v>
      </c>
      <c r="H4993" s="209" t="s">
        <v>272</v>
      </c>
      <c r="I4993" s="210"/>
    </row>
    <row r="4994" spans="1:9" x14ac:dyDescent="0.25">
      <c r="A4994" s="74"/>
      <c r="B4994" s="45">
        <v>924</v>
      </c>
      <c r="C4994" s="64" t="s">
        <v>1333</v>
      </c>
      <c r="D4994" s="74"/>
      <c r="E4994" s="208" t="s">
        <v>175</v>
      </c>
      <c r="F4994" s="209" t="s">
        <v>21</v>
      </c>
      <c r="G4994" s="209" t="s">
        <v>21</v>
      </c>
      <c r="H4994" s="209" t="s">
        <v>192</v>
      </c>
      <c r="I4994" s="210"/>
    </row>
    <row r="4995" spans="1:9" x14ac:dyDescent="0.25">
      <c r="A4995" s="74"/>
      <c r="B4995" s="45">
        <v>925</v>
      </c>
      <c r="C4995" s="64" t="s">
        <v>1334</v>
      </c>
      <c r="D4995" s="74"/>
      <c r="E4995" s="208" t="s">
        <v>175</v>
      </c>
      <c r="F4995" s="209" t="s">
        <v>21</v>
      </c>
      <c r="G4995" s="209" t="s">
        <v>21</v>
      </c>
      <c r="H4995" s="209" t="s">
        <v>192</v>
      </c>
      <c r="I4995" s="210"/>
    </row>
    <row r="4996" spans="1:9" x14ac:dyDescent="0.25">
      <c r="A4996" s="74"/>
      <c r="B4996" s="45">
        <v>927</v>
      </c>
      <c r="C4996" s="64" t="s">
        <v>1336</v>
      </c>
      <c r="D4996" s="74"/>
      <c r="E4996" s="208" t="s">
        <v>175</v>
      </c>
      <c r="F4996" s="209" t="s">
        <v>21</v>
      </c>
      <c r="G4996" s="209" t="s">
        <v>21</v>
      </c>
      <c r="H4996" s="209" t="s">
        <v>192</v>
      </c>
      <c r="I4996" s="210"/>
    </row>
    <row r="4997" spans="1:9" x14ac:dyDescent="0.25">
      <c r="A4997" s="74"/>
      <c r="B4997" s="45">
        <v>926</v>
      </c>
      <c r="C4997" s="64" t="s">
        <v>1335</v>
      </c>
      <c r="D4997" s="74"/>
      <c r="E4997" s="208" t="s">
        <v>175</v>
      </c>
      <c r="F4997" s="209" t="s">
        <v>21</v>
      </c>
      <c r="G4997" s="209" t="s">
        <v>21</v>
      </c>
      <c r="H4997" s="209" t="s">
        <v>192</v>
      </c>
      <c r="I4997" s="210"/>
    </row>
    <row r="4998" spans="1:9" x14ac:dyDescent="0.25">
      <c r="A4998" s="74"/>
      <c r="B4998" s="45">
        <v>2030</v>
      </c>
      <c r="C4998" s="64" t="s">
        <v>1582</v>
      </c>
      <c r="D4998" s="74"/>
      <c r="E4998" s="208" t="s">
        <v>175</v>
      </c>
      <c r="F4998" s="209" t="s">
        <v>21</v>
      </c>
      <c r="G4998" s="209" t="s">
        <v>21</v>
      </c>
      <c r="H4998" s="209" t="s">
        <v>272</v>
      </c>
      <c r="I4998" s="210"/>
    </row>
    <row r="4999" spans="1:9" x14ac:dyDescent="0.25">
      <c r="A4999" s="74"/>
      <c r="B4999" s="45">
        <v>2031</v>
      </c>
      <c r="C4999" s="64" t="s">
        <v>1925</v>
      </c>
      <c r="D4999" s="74"/>
      <c r="E4999" s="208" t="s">
        <v>175</v>
      </c>
      <c r="F4999" s="209" t="s">
        <v>21</v>
      </c>
      <c r="G4999" s="209" t="s">
        <v>21</v>
      </c>
      <c r="H4999" s="209" t="s">
        <v>272</v>
      </c>
      <c r="I4999" s="210"/>
    </row>
    <row r="5000" spans="1:9" x14ac:dyDescent="0.25">
      <c r="A5000" s="74"/>
      <c r="B5000" s="45">
        <v>2032</v>
      </c>
      <c r="C5000" s="64" t="s">
        <v>1985</v>
      </c>
      <c r="D5000" s="74"/>
      <c r="E5000" s="208" t="s">
        <v>175</v>
      </c>
      <c r="F5000" s="209" t="s">
        <v>21</v>
      </c>
      <c r="G5000" s="209" t="s">
        <v>21</v>
      </c>
      <c r="H5000" s="209" t="s">
        <v>16</v>
      </c>
      <c r="I5000" s="210"/>
    </row>
    <row r="5001" spans="1:9" x14ac:dyDescent="0.25">
      <c r="A5001" s="74"/>
      <c r="B5001" s="45">
        <v>2030</v>
      </c>
      <c r="C5001" s="64" t="s">
        <v>1582</v>
      </c>
      <c r="D5001" s="74"/>
      <c r="E5001" s="208" t="s">
        <v>175</v>
      </c>
      <c r="F5001" s="209" t="s">
        <v>21</v>
      </c>
      <c r="G5001" s="209" t="s">
        <v>21</v>
      </c>
      <c r="H5001" s="209" t="s">
        <v>272</v>
      </c>
      <c r="I5001" s="210"/>
    </row>
    <row r="5002" spans="1:9" x14ac:dyDescent="0.25">
      <c r="A5002" s="74"/>
      <c r="B5002" s="45">
        <v>2031</v>
      </c>
      <c r="C5002" s="64" t="s">
        <v>1925</v>
      </c>
      <c r="D5002" s="74"/>
      <c r="E5002" s="208" t="s">
        <v>175</v>
      </c>
      <c r="F5002" s="209" t="s">
        <v>21</v>
      </c>
      <c r="G5002" s="209" t="s">
        <v>21</v>
      </c>
      <c r="H5002" s="209" t="s">
        <v>272</v>
      </c>
      <c r="I5002" s="210"/>
    </row>
    <row r="5003" spans="1:9" x14ac:dyDescent="0.25">
      <c r="A5003" s="74"/>
      <c r="B5003" s="45">
        <v>2032</v>
      </c>
      <c r="C5003" s="64" t="s">
        <v>1985</v>
      </c>
      <c r="D5003" s="74"/>
      <c r="E5003" s="208" t="s">
        <v>175</v>
      </c>
      <c r="F5003" s="209" t="s">
        <v>21</v>
      </c>
      <c r="G5003" s="209" t="s">
        <v>21</v>
      </c>
      <c r="H5003" s="209" t="s">
        <v>16</v>
      </c>
      <c r="I5003" s="210"/>
    </row>
    <row r="5004" spans="1:9" x14ac:dyDescent="0.25">
      <c r="A5004" s="74"/>
      <c r="B5004" s="45">
        <v>933</v>
      </c>
      <c r="C5004" s="64" t="s">
        <v>1342</v>
      </c>
      <c r="D5004" s="74"/>
      <c r="E5004" s="208" t="s">
        <v>175</v>
      </c>
      <c r="F5004" s="209" t="s">
        <v>21</v>
      </c>
      <c r="G5004" s="209" t="s">
        <v>21</v>
      </c>
      <c r="H5004" s="209" t="s">
        <v>192</v>
      </c>
      <c r="I5004" s="210"/>
    </row>
    <row r="5005" spans="1:9" x14ac:dyDescent="0.25">
      <c r="A5005" s="74"/>
      <c r="B5005" s="45">
        <v>932</v>
      </c>
      <c r="C5005" s="64" t="s">
        <v>1341</v>
      </c>
      <c r="D5005" s="74"/>
      <c r="E5005" s="208" t="s">
        <v>175</v>
      </c>
      <c r="F5005" s="209" t="s">
        <v>21</v>
      </c>
      <c r="G5005" s="209" t="s">
        <v>21</v>
      </c>
      <c r="H5005" s="209" t="s">
        <v>192</v>
      </c>
      <c r="I5005" s="210"/>
    </row>
    <row r="5006" spans="1:9" x14ac:dyDescent="0.25">
      <c r="A5006" s="74"/>
      <c r="B5006" s="45">
        <v>2033</v>
      </c>
      <c r="C5006" s="64" t="s">
        <v>2125</v>
      </c>
      <c r="D5006" s="74"/>
      <c r="E5006" s="208" t="s">
        <v>175</v>
      </c>
      <c r="F5006" s="209" t="s">
        <v>21</v>
      </c>
      <c r="G5006" s="209" t="s">
        <v>21</v>
      </c>
      <c r="H5006" s="209" t="s">
        <v>272</v>
      </c>
      <c r="I5006" s="210"/>
    </row>
    <row r="5007" spans="1:9" x14ac:dyDescent="0.25">
      <c r="A5007" s="74"/>
      <c r="B5007" s="45">
        <v>2034</v>
      </c>
      <c r="C5007" s="64" t="s">
        <v>1987</v>
      </c>
      <c r="D5007" s="74"/>
      <c r="E5007" s="208" t="s">
        <v>175</v>
      </c>
      <c r="F5007" s="209" t="s">
        <v>21</v>
      </c>
      <c r="G5007" s="209" t="s">
        <v>21</v>
      </c>
      <c r="H5007" s="209" t="s">
        <v>272</v>
      </c>
      <c r="I5007" s="210"/>
    </row>
    <row r="5008" spans="1:9" x14ac:dyDescent="0.25">
      <c r="A5008" s="74"/>
      <c r="B5008" s="45">
        <v>2035</v>
      </c>
      <c r="C5008" s="64" t="s">
        <v>1565</v>
      </c>
      <c r="D5008" s="74"/>
      <c r="E5008" s="208" t="s">
        <v>175</v>
      </c>
      <c r="F5008" s="209" t="s">
        <v>21</v>
      </c>
      <c r="G5008" s="209" t="s">
        <v>21</v>
      </c>
      <c r="H5008" s="209" t="s">
        <v>272</v>
      </c>
      <c r="I5008" s="210"/>
    </row>
    <row r="5009" spans="1:9" x14ac:dyDescent="0.25">
      <c r="A5009" s="74"/>
      <c r="B5009" s="45">
        <v>932</v>
      </c>
      <c r="C5009" s="64" t="s">
        <v>1341</v>
      </c>
      <c r="D5009" s="74"/>
      <c r="E5009" s="208" t="s">
        <v>175</v>
      </c>
      <c r="F5009" s="209" t="s">
        <v>21</v>
      </c>
      <c r="G5009" s="209" t="s">
        <v>21</v>
      </c>
      <c r="H5009" s="209" t="s">
        <v>192</v>
      </c>
      <c r="I5009" s="210"/>
    </row>
    <row r="5010" spans="1:9" x14ac:dyDescent="0.25">
      <c r="A5010" s="74"/>
      <c r="B5010" s="45">
        <v>2036</v>
      </c>
      <c r="C5010" s="64" t="s">
        <v>1970</v>
      </c>
      <c r="D5010" s="74"/>
      <c r="E5010" s="208" t="s">
        <v>175</v>
      </c>
      <c r="F5010" s="209" t="s">
        <v>21</v>
      </c>
      <c r="G5010" s="209" t="s">
        <v>21</v>
      </c>
      <c r="H5010" s="209" t="s">
        <v>272</v>
      </c>
      <c r="I5010" s="210"/>
    </row>
    <row r="5011" spans="1:9" x14ac:dyDescent="0.25">
      <c r="A5011" s="74"/>
      <c r="B5011" s="45">
        <v>2033</v>
      </c>
      <c r="C5011" s="64" t="s">
        <v>2125</v>
      </c>
      <c r="D5011" s="74"/>
      <c r="E5011" s="208" t="s">
        <v>175</v>
      </c>
      <c r="F5011" s="209" t="s">
        <v>21</v>
      </c>
      <c r="G5011" s="209" t="s">
        <v>21</v>
      </c>
      <c r="H5011" s="209" t="s">
        <v>272</v>
      </c>
      <c r="I5011" s="210"/>
    </row>
    <row r="5012" spans="1:9" x14ac:dyDescent="0.25">
      <c r="A5012" s="74"/>
      <c r="B5012" s="45">
        <v>2034</v>
      </c>
      <c r="C5012" s="64" t="s">
        <v>1987</v>
      </c>
      <c r="D5012" s="74"/>
      <c r="E5012" s="208" t="s">
        <v>175</v>
      </c>
      <c r="F5012" s="209" t="s">
        <v>21</v>
      </c>
      <c r="G5012" s="209" t="s">
        <v>21</v>
      </c>
      <c r="H5012" s="209" t="s">
        <v>272</v>
      </c>
      <c r="I5012" s="210"/>
    </row>
    <row r="5013" spans="1:9" x14ac:dyDescent="0.25">
      <c r="A5013" s="74"/>
      <c r="B5013" s="45">
        <v>2035</v>
      </c>
      <c r="C5013" s="64" t="s">
        <v>1565</v>
      </c>
      <c r="D5013" s="74"/>
      <c r="E5013" s="208" t="s">
        <v>175</v>
      </c>
      <c r="F5013" s="209" t="s">
        <v>21</v>
      </c>
      <c r="G5013" s="209" t="s">
        <v>21</v>
      </c>
      <c r="H5013" s="209" t="s">
        <v>272</v>
      </c>
      <c r="I5013" s="210"/>
    </row>
    <row r="5014" spans="1:9" x14ac:dyDescent="0.25">
      <c r="A5014" s="74"/>
      <c r="B5014" s="45">
        <v>2036</v>
      </c>
      <c r="C5014" s="64" t="s">
        <v>1970</v>
      </c>
      <c r="D5014" s="74"/>
      <c r="E5014" s="208" t="s">
        <v>175</v>
      </c>
      <c r="F5014" s="209" t="s">
        <v>21</v>
      </c>
      <c r="G5014" s="209" t="s">
        <v>21</v>
      </c>
      <c r="H5014" s="209" t="s">
        <v>272</v>
      </c>
      <c r="I5014" s="210"/>
    </row>
    <row r="5015" spans="1:9" x14ac:dyDescent="0.25">
      <c r="A5015" s="74"/>
      <c r="B5015" s="45">
        <v>932</v>
      </c>
      <c r="C5015" s="64" t="s">
        <v>1341</v>
      </c>
      <c r="D5015" s="74"/>
      <c r="E5015" s="208" t="s">
        <v>175</v>
      </c>
      <c r="F5015" s="209" t="s">
        <v>21</v>
      </c>
      <c r="G5015" s="209" t="s">
        <v>21</v>
      </c>
      <c r="H5015" s="209" t="s">
        <v>192</v>
      </c>
      <c r="I5015" s="210"/>
    </row>
    <row r="5016" spans="1:9" x14ac:dyDescent="0.25">
      <c r="A5016" s="74"/>
      <c r="B5016" s="45">
        <v>958</v>
      </c>
      <c r="C5016" s="64" t="s">
        <v>1367</v>
      </c>
      <c r="D5016" s="74"/>
      <c r="E5016" s="208" t="s">
        <v>175</v>
      </c>
      <c r="F5016" s="209" t="s">
        <v>21</v>
      </c>
      <c r="G5016" s="209" t="s">
        <v>21</v>
      </c>
      <c r="H5016" s="209" t="s">
        <v>192</v>
      </c>
      <c r="I5016" s="210"/>
    </row>
    <row r="5017" spans="1:9" x14ac:dyDescent="0.25">
      <c r="A5017" s="74"/>
      <c r="B5017" s="45">
        <v>2034</v>
      </c>
      <c r="C5017" s="64" t="s">
        <v>1987</v>
      </c>
      <c r="D5017" s="74"/>
      <c r="E5017" s="208" t="s">
        <v>175</v>
      </c>
      <c r="F5017" s="209" t="s">
        <v>21</v>
      </c>
      <c r="G5017" s="209" t="s">
        <v>21</v>
      </c>
      <c r="H5017" s="209" t="s">
        <v>272</v>
      </c>
      <c r="I5017" s="210"/>
    </row>
    <row r="5018" spans="1:9" x14ac:dyDescent="0.25">
      <c r="A5018" s="74"/>
      <c r="B5018" s="45">
        <v>2037</v>
      </c>
      <c r="C5018" s="64" t="s">
        <v>2001</v>
      </c>
      <c r="D5018" s="74"/>
      <c r="E5018" s="208" t="s">
        <v>175</v>
      </c>
      <c r="F5018" s="209" t="s">
        <v>21</v>
      </c>
      <c r="G5018" s="209" t="s">
        <v>21</v>
      </c>
      <c r="H5018" s="209" t="s">
        <v>272</v>
      </c>
      <c r="I5018" s="210"/>
    </row>
    <row r="5019" spans="1:9" x14ac:dyDescent="0.25">
      <c r="A5019" s="74"/>
      <c r="B5019" s="45">
        <v>2038</v>
      </c>
      <c r="C5019" s="64" t="s">
        <v>2126</v>
      </c>
      <c r="D5019" s="74"/>
      <c r="E5019" s="208" t="s">
        <v>175</v>
      </c>
      <c r="F5019" s="209" t="s">
        <v>21</v>
      </c>
      <c r="G5019" s="209" t="s">
        <v>21</v>
      </c>
      <c r="H5019" s="209" t="s">
        <v>272</v>
      </c>
      <c r="I5019" s="210"/>
    </row>
    <row r="5020" spans="1:9" x14ac:dyDescent="0.25">
      <c r="A5020" s="74"/>
      <c r="B5020" s="45">
        <v>2038</v>
      </c>
      <c r="C5020" s="64" t="s">
        <v>2126</v>
      </c>
      <c r="D5020" s="74"/>
      <c r="E5020" s="208" t="s">
        <v>175</v>
      </c>
      <c r="F5020" s="209" t="s">
        <v>21</v>
      </c>
      <c r="G5020" s="209" t="s">
        <v>21</v>
      </c>
      <c r="H5020" s="209" t="s">
        <v>272</v>
      </c>
      <c r="I5020" s="210"/>
    </row>
    <row r="5021" spans="1:9" x14ac:dyDescent="0.25">
      <c r="A5021" s="74"/>
      <c r="B5021" s="45">
        <v>2038</v>
      </c>
      <c r="C5021" s="64" t="s">
        <v>2126</v>
      </c>
      <c r="D5021" s="74"/>
      <c r="E5021" s="208" t="s">
        <v>175</v>
      </c>
      <c r="F5021" s="209" t="s">
        <v>21</v>
      </c>
      <c r="G5021" s="209" t="s">
        <v>21</v>
      </c>
      <c r="H5021" s="209" t="s">
        <v>272</v>
      </c>
      <c r="I5021" s="210"/>
    </row>
    <row r="5022" spans="1:9" x14ac:dyDescent="0.25">
      <c r="A5022" s="74"/>
      <c r="B5022" s="45">
        <v>2039</v>
      </c>
      <c r="C5022" s="64" t="s">
        <v>2089</v>
      </c>
      <c r="D5022" s="74"/>
      <c r="E5022" s="208" t="s">
        <v>175</v>
      </c>
      <c r="F5022" s="209" t="s">
        <v>21</v>
      </c>
      <c r="G5022" s="209" t="s">
        <v>21</v>
      </c>
      <c r="H5022" s="209" t="s">
        <v>16</v>
      </c>
      <c r="I5022" s="210"/>
    </row>
    <row r="5023" spans="1:9" x14ac:dyDescent="0.25">
      <c r="A5023" s="74"/>
      <c r="B5023" s="45">
        <v>2040</v>
      </c>
      <c r="C5023" s="64" t="s">
        <v>2104</v>
      </c>
      <c r="D5023" s="74"/>
      <c r="E5023" s="208" t="s">
        <v>175</v>
      </c>
      <c r="F5023" s="209" t="s">
        <v>21</v>
      </c>
      <c r="G5023" s="209" t="s">
        <v>21</v>
      </c>
      <c r="H5023" s="209" t="s">
        <v>16</v>
      </c>
      <c r="I5023" s="210"/>
    </row>
    <row r="5024" spans="1:9" x14ac:dyDescent="0.25">
      <c r="A5024" s="74"/>
      <c r="B5024" s="45">
        <v>2041</v>
      </c>
      <c r="C5024" s="64" t="s">
        <v>2060</v>
      </c>
      <c r="D5024" s="74"/>
      <c r="E5024" s="208" t="s">
        <v>175</v>
      </c>
      <c r="F5024" s="209" t="s">
        <v>21</v>
      </c>
      <c r="G5024" s="209" t="s">
        <v>21</v>
      </c>
      <c r="H5024" s="209" t="s">
        <v>16</v>
      </c>
      <c r="I5024" s="210"/>
    </row>
    <row r="5025" spans="1:9" x14ac:dyDescent="0.25">
      <c r="A5025" s="74"/>
      <c r="B5025" s="45">
        <v>2042</v>
      </c>
      <c r="C5025" s="64" t="s">
        <v>1868</v>
      </c>
      <c r="D5025" s="74"/>
      <c r="E5025" s="208" t="s">
        <v>175</v>
      </c>
      <c r="F5025" s="209" t="s">
        <v>21</v>
      </c>
      <c r="G5025" s="209" t="s">
        <v>21</v>
      </c>
      <c r="H5025" s="209" t="s">
        <v>16</v>
      </c>
      <c r="I5025" s="210"/>
    </row>
    <row r="5026" spans="1:9" x14ac:dyDescent="0.25">
      <c r="A5026" s="74"/>
      <c r="B5026" s="45">
        <v>2043</v>
      </c>
      <c r="C5026" s="64" t="s">
        <v>2127</v>
      </c>
      <c r="D5026" s="74"/>
      <c r="E5026" s="208" t="s">
        <v>175</v>
      </c>
      <c r="F5026" s="209" t="s">
        <v>21</v>
      </c>
      <c r="G5026" s="209" t="s">
        <v>21</v>
      </c>
      <c r="H5026" s="209" t="s">
        <v>16</v>
      </c>
      <c r="I5026" s="210"/>
    </row>
    <row r="5027" spans="1:9" x14ac:dyDescent="0.25">
      <c r="A5027" s="74"/>
      <c r="B5027" s="45">
        <v>2044</v>
      </c>
      <c r="C5027" s="64" t="s">
        <v>1786</v>
      </c>
      <c r="D5027" s="74"/>
      <c r="E5027" s="208" t="s">
        <v>175</v>
      </c>
      <c r="F5027" s="209" t="s">
        <v>21</v>
      </c>
      <c r="G5027" s="209" t="s">
        <v>21</v>
      </c>
      <c r="H5027" s="209" t="s">
        <v>16</v>
      </c>
      <c r="I5027" s="210"/>
    </row>
    <row r="5028" spans="1:9" x14ac:dyDescent="0.25">
      <c r="A5028" s="74"/>
      <c r="B5028" s="45">
        <v>2045</v>
      </c>
      <c r="C5028" s="64" t="s">
        <v>2128</v>
      </c>
      <c r="D5028" s="74"/>
      <c r="E5028" s="208" t="s">
        <v>175</v>
      </c>
      <c r="F5028" s="209" t="s">
        <v>21</v>
      </c>
      <c r="G5028" s="209" t="s">
        <v>21</v>
      </c>
      <c r="H5028" s="209" t="s">
        <v>16</v>
      </c>
      <c r="I5028" s="210"/>
    </row>
    <row r="5029" spans="1:9" x14ac:dyDescent="0.25">
      <c r="A5029" s="74"/>
      <c r="B5029" s="45">
        <v>2046</v>
      </c>
      <c r="C5029" s="64" t="s">
        <v>2068</v>
      </c>
      <c r="D5029" s="74"/>
      <c r="E5029" s="208" t="s">
        <v>175</v>
      </c>
      <c r="F5029" s="209" t="s">
        <v>21</v>
      </c>
      <c r="G5029" s="209" t="s">
        <v>21</v>
      </c>
      <c r="H5029" s="209" t="s">
        <v>16</v>
      </c>
      <c r="I5029" s="210"/>
    </row>
    <row r="5030" spans="1:9" x14ac:dyDescent="0.25">
      <c r="A5030" s="74"/>
      <c r="B5030" s="45">
        <v>2047</v>
      </c>
      <c r="C5030" s="64" t="s">
        <v>2129</v>
      </c>
      <c r="D5030" s="74"/>
      <c r="E5030" s="208" t="s">
        <v>175</v>
      </c>
      <c r="F5030" s="209" t="s">
        <v>21</v>
      </c>
      <c r="G5030" s="209" t="s">
        <v>21</v>
      </c>
      <c r="H5030" s="209" t="s">
        <v>16</v>
      </c>
      <c r="I5030" s="210"/>
    </row>
    <row r="5031" spans="1:9" x14ac:dyDescent="0.25">
      <c r="A5031" s="74"/>
      <c r="B5031" s="45">
        <v>946</v>
      </c>
      <c r="C5031" s="64" t="s">
        <v>1355</v>
      </c>
      <c r="D5031" s="74"/>
      <c r="E5031" s="208" t="s">
        <v>175</v>
      </c>
      <c r="F5031" s="209" t="s">
        <v>21</v>
      </c>
      <c r="G5031" s="209" t="s">
        <v>21</v>
      </c>
      <c r="H5031" s="209" t="s">
        <v>186</v>
      </c>
      <c r="I5031" s="210"/>
    </row>
    <row r="5032" spans="1:9" x14ac:dyDescent="0.25">
      <c r="A5032" s="74"/>
      <c r="B5032" s="45">
        <v>920</v>
      </c>
      <c r="C5032" s="64" t="s">
        <v>1329</v>
      </c>
      <c r="D5032" s="74"/>
      <c r="E5032" s="208" t="s">
        <v>175</v>
      </c>
      <c r="F5032" s="209" t="s">
        <v>21</v>
      </c>
      <c r="G5032" s="209" t="s">
        <v>21</v>
      </c>
      <c r="H5032" s="209" t="s">
        <v>187</v>
      </c>
      <c r="I5032" s="210"/>
    </row>
    <row r="5033" spans="1:9" x14ac:dyDescent="0.25">
      <c r="A5033" s="74"/>
      <c r="B5033" s="45">
        <v>2032</v>
      </c>
      <c r="C5033" s="64" t="s">
        <v>1985</v>
      </c>
      <c r="D5033" s="74"/>
      <c r="E5033" s="208" t="s">
        <v>175</v>
      </c>
      <c r="F5033" s="209" t="s">
        <v>21</v>
      </c>
      <c r="G5033" s="209" t="s">
        <v>21</v>
      </c>
      <c r="H5033" s="209" t="s">
        <v>16</v>
      </c>
      <c r="I5033" s="210"/>
    </row>
    <row r="5034" spans="1:9" x14ac:dyDescent="0.25">
      <c r="A5034" s="74"/>
      <c r="B5034" s="45">
        <v>2048</v>
      </c>
      <c r="C5034" s="64" t="s">
        <v>1967</v>
      </c>
      <c r="D5034" s="74"/>
      <c r="E5034" s="208" t="s">
        <v>130</v>
      </c>
      <c r="F5034" s="209" t="s">
        <v>21</v>
      </c>
      <c r="G5034" s="209" t="s">
        <v>21</v>
      </c>
      <c r="H5034" s="209" t="s">
        <v>192</v>
      </c>
      <c r="I5034" s="210"/>
    </row>
    <row r="5035" spans="1:9" x14ac:dyDescent="0.25">
      <c r="A5035" s="74"/>
      <c r="B5035" s="45">
        <v>2049</v>
      </c>
      <c r="C5035" s="64" t="s">
        <v>2068</v>
      </c>
      <c r="D5035" s="74"/>
      <c r="E5035" s="208" t="s">
        <v>175</v>
      </c>
      <c r="F5035" s="209" t="s">
        <v>21</v>
      </c>
      <c r="G5035" s="209" t="s">
        <v>21</v>
      </c>
      <c r="H5035" s="209" t="s">
        <v>16</v>
      </c>
      <c r="I5035" s="210"/>
    </row>
    <row r="5036" spans="1:9" x14ac:dyDescent="0.25">
      <c r="A5036" s="74"/>
      <c r="B5036" s="45">
        <v>2050</v>
      </c>
      <c r="C5036" s="64" t="s">
        <v>2060</v>
      </c>
      <c r="D5036" s="74"/>
      <c r="E5036" s="208" t="s">
        <v>175</v>
      </c>
      <c r="F5036" s="209" t="s">
        <v>21</v>
      </c>
      <c r="G5036" s="209" t="s">
        <v>21</v>
      </c>
      <c r="H5036" s="209" t="s">
        <v>16</v>
      </c>
      <c r="I5036" s="210"/>
    </row>
    <row r="5037" spans="1:9" x14ac:dyDescent="0.25">
      <c r="A5037" s="74"/>
      <c r="B5037" s="45">
        <v>2051</v>
      </c>
      <c r="C5037" s="64" t="s">
        <v>2001</v>
      </c>
      <c r="D5037" s="74"/>
      <c r="E5037" s="208" t="s">
        <v>175</v>
      </c>
      <c r="F5037" s="209" t="s">
        <v>21</v>
      </c>
      <c r="G5037" s="209" t="s">
        <v>21</v>
      </c>
      <c r="H5037" s="209" t="s">
        <v>16</v>
      </c>
      <c r="I5037" s="210"/>
    </row>
    <row r="5038" spans="1:9" x14ac:dyDescent="0.25">
      <c r="A5038" s="74"/>
      <c r="B5038" s="45">
        <v>2052</v>
      </c>
      <c r="C5038" s="64" t="s">
        <v>2099</v>
      </c>
      <c r="D5038" s="74"/>
      <c r="E5038" s="208" t="s">
        <v>175</v>
      </c>
      <c r="F5038" s="209" t="s">
        <v>21</v>
      </c>
      <c r="G5038" s="209" t="s">
        <v>21</v>
      </c>
      <c r="H5038" s="209" t="s">
        <v>16</v>
      </c>
      <c r="I5038" s="210"/>
    </row>
    <row r="5039" spans="1:9" x14ac:dyDescent="0.25">
      <c r="A5039" s="74"/>
      <c r="B5039" s="45">
        <v>2053</v>
      </c>
      <c r="C5039" s="64" t="s">
        <v>2086</v>
      </c>
      <c r="D5039" s="74"/>
      <c r="E5039" s="208" t="s">
        <v>175</v>
      </c>
      <c r="F5039" s="209" t="s">
        <v>21</v>
      </c>
      <c r="G5039" s="209" t="s">
        <v>21</v>
      </c>
      <c r="H5039" s="209" t="s">
        <v>16</v>
      </c>
      <c r="I5039" s="210"/>
    </row>
    <row r="5040" spans="1:9" x14ac:dyDescent="0.25">
      <c r="A5040" s="74"/>
      <c r="B5040" s="45">
        <v>2054</v>
      </c>
      <c r="C5040" s="64" t="s">
        <v>2130</v>
      </c>
      <c r="D5040" s="74"/>
      <c r="E5040" s="208" t="s">
        <v>175</v>
      </c>
      <c r="F5040" s="209" t="s">
        <v>21</v>
      </c>
      <c r="G5040" s="209" t="s">
        <v>21</v>
      </c>
      <c r="H5040" s="209" t="s">
        <v>16</v>
      </c>
      <c r="I5040" s="210"/>
    </row>
    <row r="5041" spans="1:9" x14ac:dyDescent="0.25">
      <c r="A5041" s="74"/>
      <c r="B5041" s="45">
        <v>2052</v>
      </c>
      <c r="C5041" s="64" t="s">
        <v>2099</v>
      </c>
      <c r="D5041" s="74"/>
      <c r="E5041" s="208" t="s">
        <v>175</v>
      </c>
      <c r="F5041" s="209" t="s">
        <v>21</v>
      </c>
      <c r="G5041" s="209" t="s">
        <v>21</v>
      </c>
      <c r="H5041" s="209" t="s">
        <v>16</v>
      </c>
      <c r="I5041" s="210"/>
    </row>
    <row r="5042" spans="1:9" x14ac:dyDescent="0.25">
      <c r="A5042" s="74"/>
      <c r="B5042" s="45">
        <v>949</v>
      </c>
      <c r="C5042" s="64" t="s">
        <v>1358</v>
      </c>
      <c r="D5042" s="74"/>
      <c r="E5042" s="208" t="s">
        <v>175</v>
      </c>
      <c r="F5042" s="209" t="s">
        <v>21</v>
      </c>
      <c r="G5042" s="209" t="s">
        <v>21</v>
      </c>
      <c r="H5042" s="209" t="s">
        <v>192</v>
      </c>
      <c r="I5042" s="210"/>
    </row>
    <row r="5043" spans="1:9" x14ac:dyDescent="0.25">
      <c r="A5043" s="74"/>
      <c r="B5043" s="45">
        <v>2053</v>
      </c>
      <c r="C5043" s="64" t="s">
        <v>2086</v>
      </c>
      <c r="D5043" s="74"/>
      <c r="E5043" s="208" t="s">
        <v>175</v>
      </c>
      <c r="F5043" s="209" t="s">
        <v>21</v>
      </c>
      <c r="G5043" s="209" t="s">
        <v>21</v>
      </c>
      <c r="H5043" s="209" t="s">
        <v>16</v>
      </c>
      <c r="I5043" s="210"/>
    </row>
    <row r="5044" spans="1:9" x14ac:dyDescent="0.25">
      <c r="A5044" s="74"/>
      <c r="B5044" s="45">
        <v>2054</v>
      </c>
      <c r="C5044" s="64" t="s">
        <v>2130</v>
      </c>
      <c r="D5044" s="74"/>
      <c r="E5044" s="208" t="s">
        <v>175</v>
      </c>
      <c r="F5044" s="209" t="s">
        <v>21</v>
      </c>
      <c r="G5044" s="209" t="s">
        <v>21</v>
      </c>
      <c r="H5044" s="209" t="s">
        <v>16</v>
      </c>
      <c r="I5044" s="210"/>
    </row>
    <row r="5045" spans="1:9" x14ac:dyDescent="0.25">
      <c r="A5045" s="74"/>
      <c r="B5045" s="45">
        <v>2052</v>
      </c>
      <c r="C5045" s="64" t="s">
        <v>2099</v>
      </c>
      <c r="D5045" s="74"/>
      <c r="E5045" s="208" t="s">
        <v>175</v>
      </c>
      <c r="F5045" s="209" t="s">
        <v>21</v>
      </c>
      <c r="G5045" s="209" t="s">
        <v>21</v>
      </c>
      <c r="H5045" s="209" t="s">
        <v>16</v>
      </c>
      <c r="I5045" s="210"/>
    </row>
    <row r="5046" spans="1:9" x14ac:dyDescent="0.25">
      <c r="A5046" s="74"/>
      <c r="B5046" s="45">
        <v>949</v>
      </c>
      <c r="C5046" s="64" t="s">
        <v>1358</v>
      </c>
      <c r="D5046" s="74"/>
      <c r="E5046" s="208" t="s">
        <v>175</v>
      </c>
      <c r="F5046" s="209" t="s">
        <v>21</v>
      </c>
      <c r="G5046" s="209" t="s">
        <v>21</v>
      </c>
      <c r="H5046" s="209" t="s">
        <v>192</v>
      </c>
      <c r="I5046" s="210"/>
    </row>
    <row r="5047" spans="1:9" x14ac:dyDescent="0.25">
      <c r="A5047" s="74"/>
      <c r="B5047" s="45">
        <v>2053</v>
      </c>
      <c r="C5047" s="64" t="s">
        <v>2086</v>
      </c>
      <c r="D5047" s="74"/>
      <c r="E5047" s="208" t="s">
        <v>175</v>
      </c>
      <c r="F5047" s="209" t="s">
        <v>21</v>
      </c>
      <c r="G5047" s="209" t="s">
        <v>21</v>
      </c>
      <c r="H5047" s="209" t="s">
        <v>16</v>
      </c>
      <c r="I5047" s="210"/>
    </row>
    <row r="5048" spans="1:9" x14ac:dyDescent="0.25">
      <c r="A5048" s="74"/>
      <c r="B5048" s="45">
        <v>2054</v>
      </c>
      <c r="C5048" s="64" t="s">
        <v>2130</v>
      </c>
      <c r="D5048" s="74"/>
      <c r="E5048" s="208" t="s">
        <v>175</v>
      </c>
      <c r="F5048" s="209" t="s">
        <v>21</v>
      </c>
      <c r="G5048" s="209" t="s">
        <v>21</v>
      </c>
      <c r="H5048" s="209" t="s">
        <v>16</v>
      </c>
      <c r="I5048" s="210"/>
    </row>
    <row r="5049" spans="1:9" x14ac:dyDescent="0.25">
      <c r="A5049" s="74"/>
      <c r="B5049" s="45">
        <v>2052</v>
      </c>
      <c r="C5049" s="64" t="s">
        <v>2099</v>
      </c>
      <c r="D5049" s="74"/>
      <c r="E5049" s="208" t="s">
        <v>175</v>
      </c>
      <c r="F5049" s="209" t="s">
        <v>21</v>
      </c>
      <c r="G5049" s="209" t="s">
        <v>21</v>
      </c>
      <c r="H5049" s="209" t="s">
        <v>16</v>
      </c>
      <c r="I5049" s="210"/>
    </row>
    <row r="5050" spans="1:9" x14ac:dyDescent="0.25">
      <c r="A5050" s="74"/>
      <c r="B5050" s="45">
        <v>949</v>
      </c>
      <c r="C5050" s="64" t="s">
        <v>1358</v>
      </c>
      <c r="D5050" s="74"/>
      <c r="E5050" s="208" t="s">
        <v>175</v>
      </c>
      <c r="F5050" s="209" t="s">
        <v>21</v>
      </c>
      <c r="G5050" s="209" t="s">
        <v>21</v>
      </c>
      <c r="H5050" s="209" t="s">
        <v>192</v>
      </c>
      <c r="I5050" s="210"/>
    </row>
    <row r="5051" spans="1:9" x14ac:dyDescent="0.25">
      <c r="A5051" s="74"/>
      <c r="B5051" s="45">
        <v>2053</v>
      </c>
      <c r="C5051" s="64" t="s">
        <v>2086</v>
      </c>
      <c r="D5051" s="74"/>
      <c r="E5051" s="208" t="s">
        <v>175</v>
      </c>
      <c r="F5051" s="209" t="s">
        <v>21</v>
      </c>
      <c r="G5051" s="209" t="s">
        <v>21</v>
      </c>
      <c r="H5051" s="209" t="s">
        <v>16</v>
      </c>
      <c r="I5051" s="210"/>
    </row>
    <row r="5052" spans="1:9" x14ac:dyDescent="0.25">
      <c r="A5052" s="74"/>
      <c r="B5052" s="45">
        <v>2054</v>
      </c>
      <c r="C5052" s="64" t="s">
        <v>2130</v>
      </c>
      <c r="D5052" s="74"/>
      <c r="E5052" s="208" t="s">
        <v>175</v>
      </c>
      <c r="F5052" s="209" t="s">
        <v>21</v>
      </c>
      <c r="G5052" s="209" t="s">
        <v>21</v>
      </c>
      <c r="H5052" s="209" t="s">
        <v>16</v>
      </c>
      <c r="I5052" s="210"/>
    </row>
    <row r="5053" spans="1:9" x14ac:dyDescent="0.25">
      <c r="A5053" s="74"/>
      <c r="B5053" s="45">
        <v>2052</v>
      </c>
      <c r="C5053" s="64" t="s">
        <v>2099</v>
      </c>
      <c r="D5053" s="74"/>
      <c r="E5053" s="208" t="s">
        <v>175</v>
      </c>
      <c r="F5053" s="209" t="s">
        <v>21</v>
      </c>
      <c r="G5053" s="209" t="s">
        <v>21</v>
      </c>
      <c r="H5053" s="209" t="s">
        <v>16</v>
      </c>
      <c r="I5053" s="210"/>
    </row>
    <row r="5054" spans="1:9" x14ac:dyDescent="0.25">
      <c r="A5054" s="74"/>
      <c r="B5054" s="45">
        <v>949</v>
      </c>
      <c r="C5054" s="64" t="s">
        <v>1358</v>
      </c>
      <c r="D5054" s="74"/>
      <c r="E5054" s="208" t="s">
        <v>175</v>
      </c>
      <c r="F5054" s="209" t="s">
        <v>21</v>
      </c>
      <c r="G5054" s="209" t="s">
        <v>21</v>
      </c>
      <c r="H5054" s="209" t="s">
        <v>192</v>
      </c>
      <c r="I5054" s="210"/>
    </row>
    <row r="5055" spans="1:9" x14ac:dyDescent="0.25">
      <c r="A5055" s="74"/>
      <c r="B5055" s="45">
        <v>2053</v>
      </c>
      <c r="C5055" s="64" t="s">
        <v>2086</v>
      </c>
      <c r="D5055" s="74"/>
      <c r="E5055" s="208" t="s">
        <v>175</v>
      </c>
      <c r="F5055" s="209" t="s">
        <v>21</v>
      </c>
      <c r="G5055" s="209" t="s">
        <v>21</v>
      </c>
      <c r="H5055" s="209" t="s">
        <v>16</v>
      </c>
      <c r="I5055" s="210"/>
    </row>
    <row r="5056" spans="1:9" x14ac:dyDescent="0.25">
      <c r="A5056" s="74"/>
      <c r="B5056" s="45">
        <v>2054</v>
      </c>
      <c r="C5056" s="64" t="s">
        <v>2130</v>
      </c>
      <c r="D5056" s="74"/>
      <c r="E5056" s="208" t="s">
        <v>175</v>
      </c>
      <c r="F5056" s="209" t="s">
        <v>21</v>
      </c>
      <c r="G5056" s="209" t="s">
        <v>21</v>
      </c>
      <c r="H5056" s="209" t="s">
        <v>16</v>
      </c>
      <c r="I5056" s="210"/>
    </row>
    <row r="5057" spans="1:9" x14ac:dyDescent="0.25">
      <c r="A5057" s="74"/>
      <c r="B5057" s="45">
        <v>2052</v>
      </c>
      <c r="C5057" s="64" t="s">
        <v>2099</v>
      </c>
      <c r="D5057" s="74"/>
      <c r="E5057" s="208" t="s">
        <v>175</v>
      </c>
      <c r="F5057" s="209" t="s">
        <v>21</v>
      </c>
      <c r="G5057" s="209" t="s">
        <v>21</v>
      </c>
      <c r="H5057" s="209" t="s">
        <v>16</v>
      </c>
      <c r="I5057" s="210"/>
    </row>
    <row r="5058" spans="1:9" x14ac:dyDescent="0.25">
      <c r="A5058" s="74"/>
      <c r="B5058" s="45">
        <v>949</v>
      </c>
      <c r="C5058" s="64" t="s">
        <v>1358</v>
      </c>
      <c r="D5058" s="74"/>
      <c r="E5058" s="208" t="s">
        <v>175</v>
      </c>
      <c r="F5058" s="209" t="s">
        <v>21</v>
      </c>
      <c r="G5058" s="209" t="s">
        <v>21</v>
      </c>
      <c r="H5058" s="209" t="s">
        <v>192</v>
      </c>
      <c r="I5058" s="210"/>
    </row>
    <row r="5059" spans="1:9" x14ac:dyDescent="0.25">
      <c r="A5059" s="74"/>
      <c r="B5059" s="45">
        <v>928</v>
      </c>
      <c r="C5059" s="64" t="s">
        <v>1337</v>
      </c>
      <c r="D5059" s="74"/>
      <c r="E5059" s="208" t="s">
        <v>175</v>
      </c>
      <c r="F5059" s="209" t="s">
        <v>21</v>
      </c>
      <c r="G5059" s="209" t="s">
        <v>21</v>
      </c>
      <c r="H5059" s="209" t="s">
        <v>198</v>
      </c>
      <c r="I5059" s="210"/>
    </row>
    <row r="5060" spans="1:9" x14ac:dyDescent="0.25">
      <c r="A5060" s="74"/>
      <c r="B5060" s="45">
        <v>953</v>
      </c>
      <c r="C5060" s="64" t="s">
        <v>1362</v>
      </c>
      <c r="D5060" s="74"/>
      <c r="E5060" s="208" t="s">
        <v>175</v>
      </c>
      <c r="F5060" s="209" t="s">
        <v>21</v>
      </c>
      <c r="G5060" s="209" t="s">
        <v>21</v>
      </c>
      <c r="H5060" s="209" t="s">
        <v>198</v>
      </c>
      <c r="I5060" s="210"/>
    </row>
    <row r="5061" spans="1:9" x14ac:dyDescent="0.25">
      <c r="A5061" s="74"/>
      <c r="B5061" s="45">
        <v>924</v>
      </c>
      <c r="C5061" s="64" t="s">
        <v>1333</v>
      </c>
      <c r="D5061" s="74"/>
      <c r="E5061" s="208" t="s">
        <v>175</v>
      </c>
      <c r="F5061" s="209" t="s">
        <v>21</v>
      </c>
      <c r="G5061" s="209" t="s">
        <v>21</v>
      </c>
      <c r="H5061" s="209" t="s">
        <v>192</v>
      </c>
      <c r="I5061" s="210"/>
    </row>
    <row r="5062" spans="1:9" x14ac:dyDescent="0.25">
      <c r="A5062" s="74"/>
      <c r="B5062" s="45">
        <v>925</v>
      </c>
      <c r="C5062" s="64" t="s">
        <v>1334</v>
      </c>
      <c r="D5062" s="74"/>
      <c r="E5062" s="208" t="s">
        <v>175</v>
      </c>
      <c r="F5062" s="209" t="s">
        <v>21</v>
      </c>
      <c r="G5062" s="209" t="s">
        <v>21</v>
      </c>
      <c r="H5062" s="209" t="s">
        <v>192</v>
      </c>
      <c r="I5062" s="210"/>
    </row>
    <row r="5063" spans="1:9" x14ac:dyDescent="0.25">
      <c r="A5063" s="74"/>
      <c r="B5063" s="45">
        <v>927</v>
      </c>
      <c r="C5063" s="64" t="s">
        <v>1336</v>
      </c>
      <c r="D5063" s="74"/>
      <c r="E5063" s="208" t="s">
        <v>175</v>
      </c>
      <c r="F5063" s="209" t="s">
        <v>21</v>
      </c>
      <c r="G5063" s="209" t="s">
        <v>21</v>
      </c>
      <c r="H5063" s="209" t="s">
        <v>192</v>
      </c>
      <c r="I5063" s="210"/>
    </row>
    <row r="5064" spans="1:9" x14ac:dyDescent="0.25">
      <c r="A5064" s="74"/>
      <c r="B5064" s="45">
        <v>926</v>
      </c>
      <c r="C5064" s="64" t="s">
        <v>1335</v>
      </c>
      <c r="D5064" s="74"/>
      <c r="E5064" s="208" t="s">
        <v>175</v>
      </c>
      <c r="F5064" s="209" t="s">
        <v>21</v>
      </c>
      <c r="G5064" s="209" t="s">
        <v>21</v>
      </c>
      <c r="H5064" s="209" t="s">
        <v>192</v>
      </c>
      <c r="I5064" s="210"/>
    </row>
    <row r="5065" spans="1:9" x14ac:dyDescent="0.25">
      <c r="A5065" s="74"/>
      <c r="B5065" s="45">
        <v>924</v>
      </c>
      <c r="C5065" s="64" t="s">
        <v>1333</v>
      </c>
      <c r="D5065" s="74"/>
      <c r="E5065" s="208" t="s">
        <v>175</v>
      </c>
      <c r="F5065" s="209" t="s">
        <v>21</v>
      </c>
      <c r="G5065" s="209" t="s">
        <v>21</v>
      </c>
      <c r="H5065" s="209" t="s">
        <v>192</v>
      </c>
      <c r="I5065" s="210"/>
    </row>
    <row r="5066" spans="1:9" x14ac:dyDescent="0.25">
      <c r="A5066" s="74"/>
      <c r="B5066" s="45">
        <v>925</v>
      </c>
      <c r="C5066" s="64" t="s">
        <v>1334</v>
      </c>
      <c r="D5066" s="74"/>
      <c r="E5066" s="208" t="s">
        <v>175</v>
      </c>
      <c r="F5066" s="209" t="s">
        <v>21</v>
      </c>
      <c r="G5066" s="209" t="s">
        <v>21</v>
      </c>
      <c r="H5066" s="209" t="s">
        <v>192</v>
      </c>
      <c r="I5066" s="210"/>
    </row>
    <row r="5067" spans="1:9" x14ac:dyDescent="0.25">
      <c r="A5067" s="74"/>
      <c r="B5067" s="45">
        <v>927</v>
      </c>
      <c r="C5067" s="64" t="s">
        <v>1336</v>
      </c>
      <c r="D5067" s="74"/>
      <c r="E5067" s="208" t="s">
        <v>175</v>
      </c>
      <c r="F5067" s="209" t="s">
        <v>21</v>
      </c>
      <c r="G5067" s="209" t="s">
        <v>21</v>
      </c>
      <c r="H5067" s="209" t="s">
        <v>192</v>
      </c>
      <c r="I5067" s="210"/>
    </row>
    <row r="5068" spans="1:9" x14ac:dyDescent="0.25">
      <c r="A5068" s="74"/>
      <c r="B5068" s="45">
        <v>926</v>
      </c>
      <c r="C5068" s="64" t="s">
        <v>1335</v>
      </c>
      <c r="D5068" s="74"/>
      <c r="E5068" s="208" t="s">
        <v>175</v>
      </c>
      <c r="F5068" s="209" t="s">
        <v>21</v>
      </c>
      <c r="G5068" s="209" t="s">
        <v>21</v>
      </c>
      <c r="H5068" s="209" t="s">
        <v>192</v>
      </c>
      <c r="I5068" s="210"/>
    </row>
    <row r="5069" spans="1:9" x14ac:dyDescent="0.25">
      <c r="A5069" s="74"/>
      <c r="B5069" s="45">
        <v>956</v>
      </c>
      <c r="C5069" s="64" t="s">
        <v>1365</v>
      </c>
      <c r="D5069" s="74"/>
      <c r="E5069" s="208" t="s">
        <v>175</v>
      </c>
      <c r="F5069" s="209" t="s">
        <v>21</v>
      </c>
      <c r="G5069" s="209" t="s">
        <v>21</v>
      </c>
      <c r="H5069" s="209" t="s">
        <v>198</v>
      </c>
      <c r="I5069" s="210"/>
    </row>
    <row r="5070" spans="1:9" x14ac:dyDescent="0.25">
      <c r="A5070" s="74"/>
      <c r="B5070" s="45">
        <v>930</v>
      </c>
      <c r="C5070" s="64" t="s">
        <v>1339</v>
      </c>
      <c r="D5070" s="74"/>
      <c r="E5070" s="208" t="s">
        <v>175</v>
      </c>
      <c r="F5070" s="209" t="s">
        <v>21</v>
      </c>
      <c r="G5070" s="209" t="s">
        <v>21</v>
      </c>
      <c r="H5070" s="209" t="s">
        <v>192</v>
      </c>
      <c r="I5070" s="210"/>
    </row>
    <row r="5071" spans="1:9" x14ac:dyDescent="0.25">
      <c r="A5071" s="74"/>
      <c r="B5071" s="45">
        <v>939</v>
      </c>
      <c r="C5071" s="64" t="s">
        <v>1348</v>
      </c>
      <c r="D5071" s="74"/>
      <c r="E5071" s="208" t="s">
        <v>175</v>
      </c>
      <c r="F5071" s="209" t="s">
        <v>21</v>
      </c>
      <c r="G5071" s="209" t="s">
        <v>21</v>
      </c>
      <c r="H5071" s="209" t="s">
        <v>251</v>
      </c>
      <c r="I5071" s="210"/>
    </row>
    <row r="5072" spans="1:9" x14ac:dyDescent="0.25">
      <c r="A5072" s="74"/>
      <c r="B5072" s="45">
        <v>940</v>
      </c>
      <c r="C5072" s="64" t="s">
        <v>1349</v>
      </c>
      <c r="D5072" s="74"/>
      <c r="E5072" s="208" t="s">
        <v>175</v>
      </c>
      <c r="F5072" s="209" t="s">
        <v>21</v>
      </c>
      <c r="G5072" s="209" t="s">
        <v>21</v>
      </c>
      <c r="H5072" s="209" t="s">
        <v>251</v>
      </c>
      <c r="I5072" s="210"/>
    </row>
    <row r="5073" spans="1:9" x14ac:dyDescent="0.25">
      <c r="A5073" s="74"/>
      <c r="B5073" s="45">
        <v>2030</v>
      </c>
      <c r="C5073" s="64" t="s">
        <v>1582</v>
      </c>
      <c r="D5073" s="74"/>
      <c r="E5073" s="208" t="s">
        <v>175</v>
      </c>
      <c r="F5073" s="209" t="s">
        <v>21</v>
      </c>
      <c r="G5073" s="209" t="s">
        <v>21</v>
      </c>
      <c r="H5073" s="209" t="s">
        <v>272</v>
      </c>
      <c r="I5073" s="210"/>
    </row>
    <row r="5074" spans="1:9" x14ac:dyDescent="0.25">
      <c r="A5074" s="74"/>
      <c r="B5074" s="45">
        <v>2055</v>
      </c>
      <c r="C5074" s="64" t="s">
        <v>2040</v>
      </c>
      <c r="D5074" s="74"/>
      <c r="E5074" s="208" t="s">
        <v>175</v>
      </c>
      <c r="F5074" s="209" t="s">
        <v>21</v>
      </c>
      <c r="G5074" s="209" t="s">
        <v>21</v>
      </c>
      <c r="H5074" s="209" t="s">
        <v>272</v>
      </c>
      <c r="I5074" s="210"/>
    </row>
    <row r="5075" spans="1:9" x14ac:dyDescent="0.25">
      <c r="A5075" s="74"/>
      <c r="B5075" s="45">
        <v>1001</v>
      </c>
      <c r="C5075" s="64" t="s">
        <v>1410</v>
      </c>
      <c r="D5075" s="74"/>
      <c r="E5075" s="208" t="s">
        <v>168</v>
      </c>
      <c r="F5075" s="209" t="s">
        <v>21</v>
      </c>
      <c r="G5075" s="209" t="s">
        <v>21</v>
      </c>
      <c r="H5075" s="209" t="s">
        <v>192</v>
      </c>
      <c r="I5075" s="210"/>
    </row>
    <row r="5076" spans="1:9" x14ac:dyDescent="0.25">
      <c r="A5076" s="74"/>
      <c r="B5076" s="45">
        <v>2056</v>
      </c>
      <c r="C5076" s="64" t="s">
        <v>2001</v>
      </c>
      <c r="D5076" s="74"/>
      <c r="E5076" s="208" t="s">
        <v>159</v>
      </c>
      <c r="F5076" s="209" t="s">
        <v>21</v>
      </c>
      <c r="G5076" s="209" t="s">
        <v>21</v>
      </c>
      <c r="H5076" s="209" t="s">
        <v>198</v>
      </c>
      <c r="I5076" s="210"/>
    </row>
    <row r="5077" spans="1:9" x14ac:dyDescent="0.25">
      <c r="A5077" s="74"/>
      <c r="B5077" s="45">
        <v>973</v>
      </c>
      <c r="C5077" s="64" t="s">
        <v>1382</v>
      </c>
      <c r="D5077" s="74"/>
      <c r="E5077" s="208" t="s">
        <v>159</v>
      </c>
      <c r="F5077" s="209" t="s">
        <v>21</v>
      </c>
      <c r="G5077" s="209" t="s">
        <v>21</v>
      </c>
      <c r="H5077" s="209" t="s">
        <v>198</v>
      </c>
      <c r="I5077" s="210"/>
    </row>
    <row r="5078" spans="1:9" x14ac:dyDescent="0.25">
      <c r="A5078" s="74"/>
      <c r="B5078" s="45">
        <v>2057</v>
      </c>
      <c r="C5078" s="64" t="s">
        <v>1759</v>
      </c>
      <c r="D5078" s="74"/>
      <c r="E5078" s="208" t="s">
        <v>130</v>
      </c>
      <c r="F5078" s="209" t="s">
        <v>21</v>
      </c>
      <c r="G5078" s="209" t="s">
        <v>21</v>
      </c>
      <c r="H5078" s="209" t="s">
        <v>192</v>
      </c>
      <c r="I5078" s="210"/>
    </row>
    <row r="5079" spans="1:9" x14ac:dyDescent="0.25">
      <c r="A5079" s="74"/>
      <c r="B5079" s="45">
        <v>966</v>
      </c>
      <c r="C5079" s="64" t="s">
        <v>1375</v>
      </c>
      <c r="D5079" s="74"/>
      <c r="E5079" s="208" t="s">
        <v>159</v>
      </c>
      <c r="F5079" s="209" t="s">
        <v>21</v>
      </c>
      <c r="G5079" s="209" t="s">
        <v>21</v>
      </c>
      <c r="H5079" s="209" t="s">
        <v>192</v>
      </c>
      <c r="I5079" s="210"/>
    </row>
    <row r="5080" spans="1:9" x14ac:dyDescent="0.25">
      <c r="A5080" s="74"/>
      <c r="B5080" s="45">
        <v>969</v>
      </c>
      <c r="C5080" s="64" t="s">
        <v>1378</v>
      </c>
      <c r="D5080" s="74"/>
      <c r="E5080" s="208" t="s">
        <v>159</v>
      </c>
      <c r="F5080" s="209" t="s">
        <v>21</v>
      </c>
      <c r="G5080" s="209" t="s">
        <v>21</v>
      </c>
      <c r="H5080" s="209" t="s">
        <v>192</v>
      </c>
      <c r="I5080" s="210"/>
    </row>
    <row r="5081" spans="1:9" x14ac:dyDescent="0.25">
      <c r="A5081" s="74"/>
      <c r="B5081" s="45">
        <v>963</v>
      </c>
      <c r="C5081" s="64" t="s">
        <v>1372</v>
      </c>
      <c r="D5081" s="74"/>
      <c r="E5081" s="208" t="s">
        <v>159</v>
      </c>
      <c r="F5081" s="209" t="s">
        <v>21</v>
      </c>
      <c r="G5081" s="209" t="s">
        <v>21</v>
      </c>
      <c r="H5081" s="209" t="s">
        <v>194</v>
      </c>
      <c r="I5081" s="210"/>
    </row>
    <row r="5082" spans="1:9" x14ac:dyDescent="0.25">
      <c r="A5082" s="74"/>
      <c r="B5082" s="45">
        <v>969</v>
      </c>
      <c r="C5082" s="64" t="s">
        <v>1378</v>
      </c>
      <c r="D5082" s="74"/>
      <c r="E5082" s="208" t="s">
        <v>159</v>
      </c>
      <c r="F5082" s="209" t="s">
        <v>21</v>
      </c>
      <c r="G5082" s="209" t="s">
        <v>21</v>
      </c>
      <c r="H5082" s="209" t="s">
        <v>192</v>
      </c>
      <c r="I5082" s="210"/>
    </row>
    <row r="5083" spans="1:9" x14ac:dyDescent="0.25">
      <c r="A5083" s="74"/>
      <c r="B5083" s="45">
        <v>963</v>
      </c>
      <c r="C5083" s="64" t="s">
        <v>1372</v>
      </c>
      <c r="D5083" s="74"/>
      <c r="E5083" s="208" t="s">
        <v>159</v>
      </c>
      <c r="F5083" s="209" t="s">
        <v>21</v>
      </c>
      <c r="G5083" s="209" t="s">
        <v>21</v>
      </c>
      <c r="H5083" s="209" t="s">
        <v>194</v>
      </c>
      <c r="I5083" s="210"/>
    </row>
    <row r="5084" spans="1:9" x14ac:dyDescent="0.25">
      <c r="A5084" s="74"/>
      <c r="B5084" s="45">
        <v>969</v>
      </c>
      <c r="C5084" s="64" t="s">
        <v>1378</v>
      </c>
      <c r="D5084" s="74"/>
      <c r="E5084" s="208" t="s">
        <v>159</v>
      </c>
      <c r="F5084" s="209" t="s">
        <v>21</v>
      </c>
      <c r="G5084" s="209" t="s">
        <v>21</v>
      </c>
      <c r="H5084" s="209" t="s">
        <v>192</v>
      </c>
      <c r="I5084" s="210"/>
    </row>
    <row r="5085" spans="1:9" x14ac:dyDescent="0.25">
      <c r="A5085" s="74"/>
      <c r="B5085" s="45">
        <v>963</v>
      </c>
      <c r="C5085" s="64" t="s">
        <v>1372</v>
      </c>
      <c r="D5085" s="74"/>
      <c r="E5085" s="208" t="s">
        <v>159</v>
      </c>
      <c r="F5085" s="209" t="s">
        <v>21</v>
      </c>
      <c r="G5085" s="209" t="s">
        <v>21</v>
      </c>
      <c r="H5085" s="209" t="s">
        <v>194</v>
      </c>
      <c r="I5085" s="210"/>
    </row>
    <row r="5086" spans="1:9" x14ac:dyDescent="0.25">
      <c r="A5086" s="74"/>
      <c r="B5086" s="45">
        <v>969</v>
      </c>
      <c r="C5086" s="64" t="s">
        <v>1378</v>
      </c>
      <c r="D5086" s="74"/>
      <c r="E5086" s="208" t="s">
        <v>159</v>
      </c>
      <c r="F5086" s="209" t="s">
        <v>21</v>
      </c>
      <c r="G5086" s="209" t="s">
        <v>21</v>
      </c>
      <c r="H5086" s="209" t="s">
        <v>192</v>
      </c>
      <c r="I5086" s="210"/>
    </row>
    <row r="5087" spans="1:9" x14ac:dyDescent="0.25">
      <c r="A5087" s="74"/>
      <c r="B5087" s="45">
        <v>963</v>
      </c>
      <c r="C5087" s="64" t="s">
        <v>1372</v>
      </c>
      <c r="D5087" s="74"/>
      <c r="E5087" s="208" t="s">
        <v>159</v>
      </c>
      <c r="F5087" s="209" t="s">
        <v>21</v>
      </c>
      <c r="G5087" s="209" t="s">
        <v>21</v>
      </c>
      <c r="H5087" s="209" t="s">
        <v>194</v>
      </c>
      <c r="I5087" s="210"/>
    </row>
    <row r="5088" spans="1:9" x14ac:dyDescent="0.25">
      <c r="A5088" s="74"/>
      <c r="B5088" s="45">
        <v>2058</v>
      </c>
      <c r="C5088" s="64" t="s">
        <v>2115</v>
      </c>
      <c r="D5088" s="74"/>
      <c r="E5088" s="208" t="s">
        <v>159</v>
      </c>
      <c r="F5088" s="209" t="s">
        <v>21</v>
      </c>
      <c r="G5088" s="209" t="s">
        <v>21</v>
      </c>
      <c r="H5088" s="209" t="s">
        <v>272</v>
      </c>
      <c r="I5088" s="210"/>
    </row>
    <row r="5089" spans="1:9" x14ac:dyDescent="0.25">
      <c r="A5089" s="74"/>
      <c r="B5089" s="45">
        <v>2059</v>
      </c>
      <c r="C5089" s="64" t="s">
        <v>2102</v>
      </c>
      <c r="D5089" s="74"/>
      <c r="E5089" s="208" t="s">
        <v>159</v>
      </c>
      <c r="F5089" s="209" t="s">
        <v>21</v>
      </c>
      <c r="G5089" s="209" t="s">
        <v>21</v>
      </c>
      <c r="H5089" s="209" t="s">
        <v>272</v>
      </c>
      <c r="I5089" s="210"/>
    </row>
    <row r="5090" spans="1:9" x14ac:dyDescent="0.25">
      <c r="A5090" s="74"/>
      <c r="B5090" s="45">
        <v>970</v>
      </c>
      <c r="C5090" s="64" t="s">
        <v>1379</v>
      </c>
      <c r="D5090" s="74"/>
      <c r="E5090" s="208" t="s">
        <v>159</v>
      </c>
      <c r="F5090" s="209" t="s">
        <v>21</v>
      </c>
      <c r="G5090" s="209" t="s">
        <v>21</v>
      </c>
      <c r="H5090" s="209" t="s">
        <v>192</v>
      </c>
      <c r="I5090" s="210"/>
    </row>
    <row r="5091" spans="1:9" x14ac:dyDescent="0.25">
      <c r="A5091" s="74"/>
      <c r="B5091" s="45">
        <v>2060</v>
      </c>
      <c r="C5091" s="64" t="s">
        <v>1980</v>
      </c>
      <c r="D5091" s="74"/>
      <c r="E5091" s="208" t="s">
        <v>130</v>
      </c>
      <c r="F5091" s="209" t="s">
        <v>21</v>
      </c>
      <c r="G5091" s="209" t="s">
        <v>21</v>
      </c>
      <c r="H5091" s="209" t="s">
        <v>192</v>
      </c>
      <c r="I5091" s="210"/>
    </row>
    <row r="5092" spans="1:9" x14ac:dyDescent="0.25">
      <c r="A5092" s="74"/>
      <c r="B5092" s="45">
        <v>2058</v>
      </c>
      <c r="C5092" s="64" t="s">
        <v>2115</v>
      </c>
      <c r="D5092" s="74"/>
      <c r="E5092" s="208" t="s">
        <v>159</v>
      </c>
      <c r="F5092" s="209" t="s">
        <v>21</v>
      </c>
      <c r="G5092" s="209" t="s">
        <v>21</v>
      </c>
      <c r="H5092" s="209" t="s">
        <v>272</v>
      </c>
      <c r="I5092" s="210"/>
    </row>
    <row r="5093" spans="1:9" x14ac:dyDescent="0.25">
      <c r="A5093" s="74"/>
      <c r="B5093" s="45">
        <v>2059</v>
      </c>
      <c r="C5093" s="64" t="s">
        <v>2102</v>
      </c>
      <c r="D5093" s="74"/>
      <c r="E5093" s="208" t="s">
        <v>159</v>
      </c>
      <c r="F5093" s="209" t="s">
        <v>21</v>
      </c>
      <c r="G5093" s="209" t="s">
        <v>21</v>
      </c>
      <c r="H5093" s="209" t="s">
        <v>272</v>
      </c>
      <c r="I5093" s="210"/>
    </row>
    <row r="5094" spans="1:9" x14ac:dyDescent="0.25">
      <c r="A5094" s="74"/>
      <c r="B5094" s="45">
        <v>970</v>
      </c>
      <c r="C5094" s="64" t="s">
        <v>1379</v>
      </c>
      <c r="D5094" s="74"/>
      <c r="E5094" s="208" t="s">
        <v>159</v>
      </c>
      <c r="F5094" s="209" t="s">
        <v>21</v>
      </c>
      <c r="G5094" s="209" t="s">
        <v>21</v>
      </c>
      <c r="H5094" s="209" t="s">
        <v>192</v>
      </c>
      <c r="I5094" s="210"/>
    </row>
    <row r="5095" spans="1:9" x14ac:dyDescent="0.25">
      <c r="A5095" s="74"/>
      <c r="B5095" s="45">
        <v>2060</v>
      </c>
      <c r="C5095" s="64" t="s">
        <v>1980</v>
      </c>
      <c r="D5095" s="74"/>
      <c r="E5095" s="208" t="s">
        <v>130</v>
      </c>
      <c r="F5095" s="209" t="s">
        <v>21</v>
      </c>
      <c r="G5095" s="209" t="s">
        <v>21</v>
      </c>
      <c r="H5095" s="209" t="s">
        <v>192</v>
      </c>
      <c r="I5095" s="210"/>
    </row>
    <row r="5096" spans="1:9" x14ac:dyDescent="0.25">
      <c r="A5096" s="74"/>
      <c r="B5096" s="45">
        <v>2058</v>
      </c>
      <c r="C5096" s="64" t="s">
        <v>2115</v>
      </c>
      <c r="D5096" s="74"/>
      <c r="E5096" s="208" t="s">
        <v>159</v>
      </c>
      <c r="F5096" s="209" t="s">
        <v>21</v>
      </c>
      <c r="G5096" s="209" t="s">
        <v>21</v>
      </c>
      <c r="H5096" s="209" t="s">
        <v>272</v>
      </c>
      <c r="I5096" s="210"/>
    </row>
    <row r="5097" spans="1:9" x14ac:dyDescent="0.25">
      <c r="A5097" s="74"/>
      <c r="B5097" s="45">
        <v>2059</v>
      </c>
      <c r="C5097" s="64" t="s">
        <v>2102</v>
      </c>
      <c r="D5097" s="74"/>
      <c r="E5097" s="208" t="s">
        <v>159</v>
      </c>
      <c r="F5097" s="209" t="s">
        <v>21</v>
      </c>
      <c r="G5097" s="209" t="s">
        <v>21</v>
      </c>
      <c r="H5097" s="209" t="s">
        <v>272</v>
      </c>
      <c r="I5097" s="210"/>
    </row>
    <row r="5098" spans="1:9" x14ac:dyDescent="0.25">
      <c r="A5098" s="74"/>
      <c r="B5098" s="45">
        <v>970</v>
      </c>
      <c r="C5098" s="64" t="s">
        <v>1379</v>
      </c>
      <c r="D5098" s="74"/>
      <c r="E5098" s="208" t="s">
        <v>159</v>
      </c>
      <c r="F5098" s="209" t="s">
        <v>21</v>
      </c>
      <c r="G5098" s="209" t="s">
        <v>21</v>
      </c>
      <c r="H5098" s="209" t="s">
        <v>192</v>
      </c>
      <c r="I5098" s="210"/>
    </row>
    <row r="5099" spans="1:9" x14ac:dyDescent="0.25">
      <c r="A5099" s="74"/>
      <c r="B5099" s="45">
        <v>2060</v>
      </c>
      <c r="C5099" s="64" t="s">
        <v>1980</v>
      </c>
      <c r="D5099" s="74"/>
      <c r="E5099" s="208" t="s">
        <v>130</v>
      </c>
      <c r="F5099" s="209" t="s">
        <v>21</v>
      </c>
      <c r="G5099" s="209" t="s">
        <v>21</v>
      </c>
      <c r="H5099" s="209" t="s">
        <v>192</v>
      </c>
      <c r="I5099" s="210"/>
    </row>
    <row r="5100" spans="1:9" x14ac:dyDescent="0.25">
      <c r="A5100" s="74"/>
      <c r="B5100" s="45">
        <v>2058</v>
      </c>
      <c r="C5100" s="64" t="s">
        <v>2115</v>
      </c>
      <c r="D5100" s="74"/>
      <c r="E5100" s="208" t="s">
        <v>159</v>
      </c>
      <c r="F5100" s="209" t="s">
        <v>21</v>
      </c>
      <c r="G5100" s="209" t="s">
        <v>21</v>
      </c>
      <c r="H5100" s="209" t="s">
        <v>272</v>
      </c>
      <c r="I5100" s="210"/>
    </row>
    <row r="5101" spans="1:9" x14ac:dyDescent="0.25">
      <c r="A5101" s="74"/>
      <c r="B5101" s="45">
        <v>2059</v>
      </c>
      <c r="C5101" s="64" t="s">
        <v>2102</v>
      </c>
      <c r="D5101" s="74"/>
      <c r="E5101" s="208" t="s">
        <v>159</v>
      </c>
      <c r="F5101" s="209" t="s">
        <v>21</v>
      </c>
      <c r="G5101" s="209" t="s">
        <v>21</v>
      </c>
      <c r="H5101" s="209" t="s">
        <v>272</v>
      </c>
      <c r="I5101" s="210"/>
    </row>
    <row r="5102" spans="1:9" x14ac:dyDescent="0.25">
      <c r="A5102" s="74"/>
      <c r="B5102" s="45">
        <v>970</v>
      </c>
      <c r="C5102" s="64" t="s">
        <v>1379</v>
      </c>
      <c r="D5102" s="74"/>
      <c r="E5102" s="208" t="s">
        <v>159</v>
      </c>
      <c r="F5102" s="209" t="s">
        <v>21</v>
      </c>
      <c r="G5102" s="209" t="s">
        <v>21</v>
      </c>
      <c r="H5102" s="209" t="s">
        <v>192</v>
      </c>
      <c r="I5102" s="210"/>
    </row>
    <row r="5103" spans="1:9" x14ac:dyDescent="0.25">
      <c r="A5103" s="74"/>
      <c r="B5103" s="45">
        <v>2060</v>
      </c>
      <c r="C5103" s="64" t="s">
        <v>1980</v>
      </c>
      <c r="D5103" s="74"/>
      <c r="E5103" s="208" t="s">
        <v>130</v>
      </c>
      <c r="F5103" s="209" t="s">
        <v>21</v>
      </c>
      <c r="G5103" s="209" t="s">
        <v>21</v>
      </c>
      <c r="H5103" s="209" t="s">
        <v>192</v>
      </c>
      <c r="I5103" s="210"/>
    </row>
    <row r="5104" spans="1:9" x14ac:dyDescent="0.25">
      <c r="A5104" s="74"/>
      <c r="B5104" s="45">
        <v>2058</v>
      </c>
      <c r="C5104" s="64" t="s">
        <v>2115</v>
      </c>
      <c r="D5104" s="74"/>
      <c r="E5104" s="208" t="s">
        <v>159</v>
      </c>
      <c r="F5104" s="209" t="s">
        <v>21</v>
      </c>
      <c r="G5104" s="209" t="s">
        <v>21</v>
      </c>
      <c r="H5104" s="209" t="s">
        <v>272</v>
      </c>
      <c r="I5104" s="210"/>
    </row>
    <row r="5105" spans="1:9" x14ac:dyDescent="0.25">
      <c r="A5105" s="74"/>
      <c r="B5105" s="45">
        <v>2059</v>
      </c>
      <c r="C5105" s="64" t="s">
        <v>2102</v>
      </c>
      <c r="D5105" s="74"/>
      <c r="E5105" s="208" t="s">
        <v>159</v>
      </c>
      <c r="F5105" s="209" t="s">
        <v>21</v>
      </c>
      <c r="G5105" s="209" t="s">
        <v>21</v>
      </c>
      <c r="H5105" s="209" t="s">
        <v>272</v>
      </c>
      <c r="I5105" s="210"/>
    </row>
    <row r="5106" spans="1:9" x14ac:dyDescent="0.25">
      <c r="A5106" s="74"/>
      <c r="B5106" s="45">
        <v>970</v>
      </c>
      <c r="C5106" s="64" t="s">
        <v>1379</v>
      </c>
      <c r="D5106" s="74"/>
      <c r="E5106" s="208" t="s">
        <v>159</v>
      </c>
      <c r="F5106" s="209" t="s">
        <v>21</v>
      </c>
      <c r="G5106" s="209" t="s">
        <v>21</v>
      </c>
      <c r="H5106" s="209" t="s">
        <v>192</v>
      </c>
      <c r="I5106" s="210"/>
    </row>
    <row r="5107" spans="1:9" x14ac:dyDescent="0.25">
      <c r="A5107" s="74"/>
      <c r="B5107" s="45">
        <v>2060</v>
      </c>
      <c r="C5107" s="64" t="s">
        <v>1980</v>
      </c>
      <c r="D5107" s="74"/>
      <c r="E5107" s="208" t="s">
        <v>130</v>
      </c>
      <c r="F5107" s="209" t="s">
        <v>21</v>
      </c>
      <c r="G5107" s="209" t="s">
        <v>21</v>
      </c>
      <c r="H5107" s="209" t="s">
        <v>192</v>
      </c>
      <c r="I5107" s="210"/>
    </row>
    <row r="5108" spans="1:9" x14ac:dyDescent="0.25">
      <c r="A5108" s="74"/>
      <c r="B5108" s="45">
        <v>1085</v>
      </c>
      <c r="C5108" s="64" t="s">
        <v>1494</v>
      </c>
      <c r="D5108" s="74"/>
      <c r="E5108" s="208" t="s">
        <v>159</v>
      </c>
      <c r="F5108" s="209" t="s">
        <v>21</v>
      </c>
      <c r="G5108" s="209" t="s">
        <v>21</v>
      </c>
      <c r="H5108" s="209" t="s">
        <v>192</v>
      </c>
      <c r="I5108" s="210"/>
    </row>
    <row r="5109" spans="1:9" x14ac:dyDescent="0.25">
      <c r="A5109" s="74"/>
      <c r="B5109" s="45">
        <v>995</v>
      </c>
      <c r="C5109" s="64" t="s">
        <v>1404</v>
      </c>
      <c r="D5109" s="74"/>
      <c r="E5109" s="208" t="s">
        <v>159</v>
      </c>
      <c r="F5109" s="209" t="s">
        <v>21</v>
      </c>
      <c r="G5109" s="209" t="s">
        <v>21</v>
      </c>
      <c r="H5109" s="209" t="s">
        <v>192</v>
      </c>
      <c r="I5109" s="210"/>
    </row>
    <row r="5110" spans="1:9" x14ac:dyDescent="0.25">
      <c r="A5110" s="74"/>
      <c r="B5110" s="45">
        <v>2061</v>
      </c>
      <c r="C5110" s="64" t="s">
        <v>1859</v>
      </c>
      <c r="D5110" s="74"/>
      <c r="E5110" s="208" t="s">
        <v>159</v>
      </c>
      <c r="F5110" s="209" t="s">
        <v>21</v>
      </c>
      <c r="G5110" s="209" t="s">
        <v>21</v>
      </c>
      <c r="H5110" s="209" t="s">
        <v>272</v>
      </c>
      <c r="I5110" s="210"/>
    </row>
    <row r="5111" spans="1:9" x14ac:dyDescent="0.25">
      <c r="A5111" s="74"/>
      <c r="B5111" s="45">
        <v>2062</v>
      </c>
      <c r="C5111" s="64" t="s">
        <v>2131</v>
      </c>
      <c r="D5111" s="74"/>
      <c r="E5111" s="208" t="s">
        <v>159</v>
      </c>
      <c r="F5111" s="209" t="s">
        <v>21</v>
      </c>
      <c r="G5111" s="209" t="s">
        <v>21</v>
      </c>
      <c r="H5111" s="209" t="s">
        <v>272</v>
      </c>
      <c r="I5111" s="210"/>
    </row>
    <row r="5112" spans="1:9" x14ac:dyDescent="0.25">
      <c r="A5112" s="74"/>
      <c r="B5112" s="45">
        <v>2063</v>
      </c>
      <c r="C5112" s="64" t="s">
        <v>1925</v>
      </c>
      <c r="D5112" s="74"/>
      <c r="E5112" s="208" t="s">
        <v>159</v>
      </c>
      <c r="F5112" s="209" t="s">
        <v>21</v>
      </c>
      <c r="G5112" s="209" t="s">
        <v>21</v>
      </c>
      <c r="H5112" s="209" t="s">
        <v>272</v>
      </c>
      <c r="I5112" s="210"/>
    </row>
    <row r="5113" spans="1:9" x14ac:dyDescent="0.25">
      <c r="A5113" s="74"/>
      <c r="B5113" s="45">
        <v>982</v>
      </c>
      <c r="C5113" s="64" t="s">
        <v>1391</v>
      </c>
      <c r="D5113" s="74"/>
      <c r="E5113" s="208" t="s">
        <v>159</v>
      </c>
      <c r="F5113" s="209" t="s">
        <v>21</v>
      </c>
      <c r="G5113" s="209" t="s">
        <v>21</v>
      </c>
      <c r="H5113" s="209" t="s">
        <v>192</v>
      </c>
      <c r="I5113" s="210"/>
    </row>
    <row r="5114" spans="1:9" x14ac:dyDescent="0.25">
      <c r="A5114" s="74"/>
      <c r="B5114" s="45">
        <v>975</v>
      </c>
      <c r="C5114" s="64" t="s">
        <v>1384</v>
      </c>
      <c r="D5114" s="74"/>
      <c r="E5114" s="208" t="s">
        <v>159</v>
      </c>
      <c r="F5114" s="209" t="s">
        <v>21</v>
      </c>
      <c r="G5114" s="209" t="s">
        <v>21</v>
      </c>
      <c r="H5114" s="209" t="s">
        <v>192</v>
      </c>
      <c r="I5114" s="210"/>
    </row>
    <row r="5115" spans="1:9" x14ac:dyDescent="0.25">
      <c r="A5115" s="74"/>
      <c r="B5115" s="45">
        <v>2063</v>
      </c>
      <c r="C5115" s="64" t="s">
        <v>1925</v>
      </c>
      <c r="D5115" s="74"/>
      <c r="E5115" s="208" t="s">
        <v>159</v>
      </c>
      <c r="F5115" s="209" t="s">
        <v>21</v>
      </c>
      <c r="G5115" s="209" t="s">
        <v>21</v>
      </c>
      <c r="H5115" s="209" t="s">
        <v>272</v>
      </c>
      <c r="I5115" s="210"/>
    </row>
    <row r="5116" spans="1:9" x14ac:dyDescent="0.25">
      <c r="A5116" s="74"/>
      <c r="B5116" s="45">
        <v>982</v>
      </c>
      <c r="C5116" s="64" t="s">
        <v>1391</v>
      </c>
      <c r="D5116" s="74"/>
      <c r="E5116" s="208" t="s">
        <v>159</v>
      </c>
      <c r="F5116" s="209" t="s">
        <v>21</v>
      </c>
      <c r="G5116" s="209" t="s">
        <v>21</v>
      </c>
      <c r="H5116" s="209" t="s">
        <v>192</v>
      </c>
      <c r="I5116" s="210"/>
    </row>
    <row r="5117" spans="1:9" x14ac:dyDescent="0.25">
      <c r="A5117" s="74"/>
      <c r="B5117" s="45">
        <v>2063</v>
      </c>
      <c r="C5117" s="64" t="s">
        <v>1925</v>
      </c>
      <c r="D5117" s="74"/>
      <c r="E5117" s="208" t="s">
        <v>159</v>
      </c>
      <c r="F5117" s="209" t="s">
        <v>21</v>
      </c>
      <c r="G5117" s="209" t="s">
        <v>21</v>
      </c>
      <c r="H5117" s="209" t="s">
        <v>272</v>
      </c>
      <c r="I5117" s="210"/>
    </row>
    <row r="5118" spans="1:9" x14ac:dyDescent="0.25">
      <c r="A5118" s="74"/>
      <c r="B5118" s="45">
        <v>982</v>
      </c>
      <c r="C5118" s="64" t="s">
        <v>1391</v>
      </c>
      <c r="D5118" s="74"/>
      <c r="E5118" s="208" t="s">
        <v>159</v>
      </c>
      <c r="F5118" s="209" t="s">
        <v>21</v>
      </c>
      <c r="G5118" s="209" t="s">
        <v>21</v>
      </c>
      <c r="H5118" s="209" t="s">
        <v>192</v>
      </c>
      <c r="I5118" s="210"/>
    </row>
    <row r="5119" spans="1:9" x14ac:dyDescent="0.25">
      <c r="A5119" s="74"/>
      <c r="B5119" s="45">
        <v>2063</v>
      </c>
      <c r="C5119" s="64" t="s">
        <v>1925</v>
      </c>
      <c r="D5119" s="74"/>
      <c r="E5119" s="208" t="s">
        <v>159</v>
      </c>
      <c r="F5119" s="209" t="s">
        <v>21</v>
      </c>
      <c r="G5119" s="209" t="s">
        <v>21</v>
      </c>
      <c r="H5119" s="209" t="s">
        <v>272</v>
      </c>
      <c r="I5119" s="210"/>
    </row>
    <row r="5120" spans="1:9" x14ac:dyDescent="0.25">
      <c r="A5120" s="74"/>
      <c r="B5120" s="45">
        <v>982</v>
      </c>
      <c r="C5120" s="64" t="s">
        <v>1391</v>
      </c>
      <c r="D5120" s="74"/>
      <c r="E5120" s="208" t="s">
        <v>159</v>
      </c>
      <c r="F5120" s="209" t="s">
        <v>21</v>
      </c>
      <c r="G5120" s="209" t="s">
        <v>21</v>
      </c>
      <c r="H5120" s="209" t="s">
        <v>192</v>
      </c>
      <c r="I5120" s="210"/>
    </row>
    <row r="5121" spans="1:9" x14ac:dyDescent="0.25">
      <c r="A5121" s="74"/>
      <c r="B5121" s="45">
        <v>978</v>
      </c>
      <c r="C5121" s="64" t="s">
        <v>1387</v>
      </c>
      <c r="D5121" s="74"/>
      <c r="E5121" s="208" t="s">
        <v>159</v>
      </c>
      <c r="F5121" s="209" t="s">
        <v>21</v>
      </c>
      <c r="G5121" s="209" t="s">
        <v>21</v>
      </c>
      <c r="H5121" s="209" t="s">
        <v>192</v>
      </c>
      <c r="I5121" s="210"/>
    </row>
    <row r="5122" spans="1:9" x14ac:dyDescent="0.25">
      <c r="A5122" s="74"/>
      <c r="B5122" s="45">
        <v>2061</v>
      </c>
      <c r="C5122" s="64" t="s">
        <v>1859</v>
      </c>
      <c r="D5122" s="74"/>
      <c r="E5122" s="208" t="s">
        <v>159</v>
      </c>
      <c r="F5122" s="209" t="s">
        <v>21</v>
      </c>
      <c r="G5122" s="209" t="s">
        <v>21</v>
      </c>
      <c r="H5122" s="209" t="s">
        <v>272</v>
      </c>
      <c r="I5122" s="210"/>
    </row>
    <row r="5123" spans="1:9" x14ac:dyDescent="0.25">
      <c r="A5123" s="74"/>
      <c r="B5123" s="45">
        <v>982</v>
      </c>
      <c r="C5123" s="64" t="s">
        <v>1391</v>
      </c>
      <c r="D5123" s="74"/>
      <c r="E5123" s="208" t="s">
        <v>159</v>
      </c>
      <c r="F5123" s="209" t="s">
        <v>21</v>
      </c>
      <c r="G5123" s="209" t="s">
        <v>21</v>
      </c>
      <c r="H5123" s="209" t="s">
        <v>192</v>
      </c>
      <c r="I5123" s="210"/>
    </row>
    <row r="5124" spans="1:9" x14ac:dyDescent="0.25">
      <c r="A5124" s="74"/>
      <c r="B5124" s="45">
        <v>980</v>
      </c>
      <c r="C5124" s="64" t="s">
        <v>1389</v>
      </c>
      <c r="D5124" s="74"/>
      <c r="E5124" s="208" t="s">
        <v>159</v>
      </c>
      <c r="F5124" s="209" t="s">
        <v>21</v>
      </c>
      <c r="G5124" s="209" t="s">
        <v>21</v>
      </c>
      <c r="H5124" s="209" t="s">
        <v>198</v>
      </c>
      <c r="I5124" s="210"/>
    </row>
    <row r="5125" spans="1:9" x14ac:dyDescent="0.25">
      <c r="A5125" s="74"/>
      <c r="B5125" s="45">
        <v>1080</v>
      </c>
      <c r="C5125" s="64" t="s">
        <v>1489</v>
      </c>
      <c r="D5125" s="74"/>
      <c r="E5125" s="208" t="s">
        <v>159</v>
      </c>
      <c r="F5125" s="209" t="s">
        <v>21</v>
      </c>
      <c r="G5125" s="209" t="s">
        <v>21</v>
      </c>
      <c r="H5125" s="209" t="s">
        <v>192</v>
      </c>
      <c r="I5125" s="210"/>
    </row>
    <row r="5126" spans="1:9" x14ac:dyDescent="0.25">
      <c r="A5126" s="74"/>
      <c r="B5126" s="45">
        <v>981</v>
      </c>
      <c r="C5126" s="64" t="s">
        <v>1390</v>
      </c>
      <c r="D5126" s="74"/>
      <c r="E5126" s="208" t="s">
        <v>159</v>
      </c>
      <c r="F5126" s="209" t="s">
        <v>21</v>
      </c>
      <c r="G5126" s="209" t="s">
        <v>21</v>
      </c>
      <c r="H5126" s="209" t="s">
        <v>192</v>
      </c>
      <c r="I5126" s="210"/>
    </row>
    <row r="5127" spans="1:9" x14ac:dyDescent="0.25">
      <c r="A5127" s="74"/>
      <c r="B5127" s="45">
        <v>971</v>
      </c>
      <c r="C5127" s="64" t="s">
        <v>1380</v>
      </c>
      <c r="D5127" s="74"/>
      <c r="E5127" s="208" t="s">
        <v>159</v>
      </c>
      <c r="F5127" s="209" t="s">
        <v>21</v>
      </c>
      <c r="G5127" s="209" t="s">
        <v>21</v>
      </c>
      <c r="H5127" s="209" t="s">
        <v>192</v>
      </c>
      <c r="I5127" s="210"/>
    </row>
    <row r="5128" spans="1:9" x14ac:dyDescent="0.25">
      <c r="A5128" s="74"/>
      <c r="B5128" s="45">
        <v>2064</v>
      </c>
      <c r="C5128" s="64" t="s">
        <v>2049</v>
      </c>
      <c r="D5128" s="74"/>
      <c r="E5128" s="208" t="s">
        <v>159</v>
      </c>
      <c r="F5128" s="209" t="s">
        <v>21</v>
      </c>
      <c r="G5128" s="209" t="s">
        <v>21</v>
      </c>
      <c r="H5128" s="209" t="s">
        <v>272</v>
      </c>
      <c r="I5128" s="210"/>
    </row>
    <row r="5129" spans="1:9" x14ac:dyDescent="0.25">
      <c r="A5129" s="74"/>
      <c r="B5129" s="45">
        <v>2064</v>
      </c>
      <c r="C5129" s="64" t="s">
        <v>2049</v>
      </c>
      <c r="D5129" s="74"/>
      <c r="E5129" s="208" t="s">
        <v>159</v>
      </c>
      <c r="F5129" s="209" t="s">
        <v>21</v>
      </c>
      <c r="G5129" s="209" t="s">
        <v>21</v>
      </c>
      <c r="H5129" s="209" t="s">
        <v>272</v>
      </c>
      <c r="I5129" s="210"/>
    </row>
    <row r="5130" spans="1:9" x14ac:dyDescent="0.25">
      <c r="A5130" s="74"/>
      <c r="B5130" s="45">
        <v>984</v>
      </c>
      <c r="C5130" s="64" t="s">
        <v>1393</v>
      </c>
      <c r="D5130" s="74"/>
      <c r="E5130" s="208" t="s">
        <v>159</v>
      </c>
      <c r="F5130" s="209" t="s">
        <v>21</v>
      </c>
      <c r="G5130" s="209" t="s">
        <v>21</v>
      </c>
      <c r="H5130" s="209" t="s">
        <v>198</v>
      </c>
      <c r="I5130" s="210"/>
    </row>
    <row r="5131" spans="1:9" x14ac:dyDescent="0.25">
      <c r="A5131" s="74"/>
      <c r="B5131" s="45">
        <v>992</v>
      </c>
      <c r="C5131" s="64" t="s">
        <v>1401</v>
      </c>
      <c r="D5131" s="74"/>
      <c r="E5131" s="208" t="s">
        <v>159</v>
      </c>
      <c r="F5131" s="209" t="s">
        <v>21</v>
      </c>
      <c r="G5131" s="209" t="s">
        <v>21</v>
      </c>
      <c r="H5131" s="209" t="s">
        <v>198</v>
      </c>
      <c r="I5131" s="210"/>
    </row>
    <row r="5132" spans="1:9" x14ac:dyDescent="0.25">
      <c r="A5132" s="74"/>
      <c r="B5132" s="45">
        <v>991</v>
      </c>
      <c r="C5132" s="64" t="s">
        <v>1400</v>
      </c>
      <c r="D5132" s="74"/>
      <c r="E5132" s="208" t="s">
        <v>159</v>
      </c>
      <c r="F5132" s="209" t="s">
        <v>21</v>
      </c>
      <c r="G5132" s="209" t="s">
        <v>21</v>
      </c>
      <c r="H5132" s="209" t="s">
        <v>192</v>
      </c>
      <c r="I5132" s="210"/>
    </row>
    <row r="5133" spans="1:9" x14ac:dyDescent="0.25">
      <c r="A5133" s="74"/>
      <c r="B5133" s="45">
        <v>2065</v>
      </c>
      <c r="C5133" s="64" t="s">
        <v>1997</v>
      </c>
      <c r="D5133" s="74"/>
      <c r="E5133" s="208" t="s">
        <v>287</v>
      </c>
      <c r="F5133" s="209" t="s">
        <v>21</v>
      </c>
      <c r="G5133" s="209" t="s">
        <v>21</v>
      </c>
      <c r="H5133" s="209" t="s">
        <v>192</v>
      </c>
      <c r="I5133" s="210"/>
    </row>
    <row r="5134" spans="1:9" x14ac:dyDescent="0.25">
      <c r="A5134" s="74"/>
      <c r="B5134" s="45">
        <v>2066</v>
      </c>
      <c r="C5134" s="64" t="s">
        <v>1886</v>
      </c>
      <c r="D5134" s="74"/>
      <c r="E5134" s="208" t="s">
        <v>159</v>
      </c>
      <c r="F5134" s="209" t="s">
        <v>21</v>
      </c>
      <c r="G5134" s="209" t="s">
        <v>21</v>
      </c>
      <c r="H5134" s="209" t="s">
        <v>272</v>
      </c>
      <c r="I5134" s="210"/>
    </row>
    <row r="5135" spans="1:9" x14ac:dyDescent="0.25">
      <c r="A5135" s="74"/>
      <c r="B5135" s="45">
        <v>2067</v>
      </c>
      <c r="C5135" s="64" t="s">
        <v>1845</v>
      </c>
      <c r="D5135" s="74"/>
      <c r="E5135" s="208" t="s">
        <v>159</v>
      </c>
      <c r="F5135" s="209" t="s">
        <v>21</v>
      </c>
      <c r="G5135" s="209" t="s">
        <v>21</v>
      </c>
      <c r="H5135" s="209" t="s">
        <v>272</v>
      </c>
      <c r="I5135" s="210"/>
    </row>
    <row r="5136" spans="1:9" x14ac:dyDescent="0.25">
      <c r="A5136" s="74"/>
      <c r="B5136" s="45">
        <v>2068</v>
      </c>
      <c r="C5136" s="64" t="s">
        <v>2132</v>
      </c>
      <c r="D5136" s="74"/>
      <c r="E5136" s="208" t="s">
        <v>159</v>
      </c>
      <c r="F5136" s="209" t="s">
        <v>21</v>
      </c>
      <c r="G5136" s="209" t="s">
        <v>21</v>
      </c>
      <c r="H5136" s="209" t="s">
        <v>272</v>
      </c>
      <c r="I5136" s="210"/>
    </row>
    <row r="5137" spans="1:9" x14ac:dyDescent="0.25">
      <c r="A5137" s="74"/>
      <c r="B5137" s="45">
        <v>990</v>
      </c>
      <c r="C5137" s="64" t="s">
        <v>1399</v>
      </c>
      <c r="D5137" s="74"/>
      <c r="E5137" s="208" t="s">
        <v>159</v>
      </c>
      <c r="F5137" s="209" t="s">
        <v>21</v>
      </c>
      <c r="G5137" s="209" t="s">
        <v>21</v>
      </c>
      <c r="H5137" s="209" t="s">
        <v>192</v>
      </c>
      <c r="I5137" s="210"/>
    </row>
    <row r="5138" spans="1:9" x14ac:dyDescent="0.25">
      <c r="A5138" s="74"/>
      <c r="B5138" s="45">
        <v>2066</v>
      </c>
      <c r="C5138" s="64" t="s">
        <v>1886</v>
      </c>
      <c r="D5138" s="74"/>
      <c r="E5138" s="208" t="s">
        <v>159</v>
      </c>
      <c r="F5138" s="209" t="s">
        <v>21</v>
      </c>
      <c r="G5138" s="209" t="s">
        <v>21</v>
      </c>
      <c r="H5138" s="209" t="s">
        <v>272</v>
      </c>
      <c r="I5138" s="210"/>
    </row>
    <row r="5139" spans="1:9" x14ac:dyDescent="0.25">
      <c r="A5139" s="74"/>
      <c r="B5139" s="45">
        <v>2067</v>
      </c>
      <c r="C5139" s="64" t="s">
        <v>1845</v>
      </c>
      <c r="D5139" s="74"/>
      <c r="E5139" s="208" t="s">
        <v>159</v>
      </c>
      <c r="F5139" s="209" t="s">
        <v>21</v>
      </c>
      <c r="G5139" s="209" t="s">
        <v>21</v>
      </c>
      <c r="H5139" s="209" t="s">
        <v>272</v>
      </c>
      <c r="I5139" s="210"/>
    </row>
    <row r="5140" spans="1:9" x14ac:dyDescent="0.25">
      <c r="A5140" s="74"/>
      <c r="B5140" s="45">
        <v>2068</v>
      </c>
      <c r="C5140" s="64" t="s">
        <v>2132</v>
      </c>
      <c r="D5140" s="74"/>
      <c r="E5140" s="208" t="s">
        <v>159</v>
      </c>
      <c r="F5140" s="209" t="s">
        <v>21</v>
      </c>
      <c r="G5140" s="209" t="s">
        <v>21</v>
      </c>
      <c r="H5140" s="209" t="s">
        <v>272</v>
      </c>
      <c r="I5140" s="210"/>
    </row>
    <row r="5141" spans="1:9" x14ac:dyDescent="0.25">
      <c r="A5141" s="74"/>
      <c r="B5141" s="45">
        <v>990</v>
      </c>
      <c r="C5141" s="64" t="s">
        <v>1399</v>
      </c>
      <c r="D5141" s="74"/>
      <c r="E5141" s="208" t="s">
        <v>159</v>
      </c>
      <c r="F5141" s="209" t="s">
        <v>21</v>
      </c>
      <c r="G5141" s="209" t="s">
        <v>21</v>
      </c>
      <c r="H5141" s="209" t="s">
        <v>192</v>
      </c>
      <c r="I5141" s="210"/>
    </row>
    <row r="5142" spans="1:9" x14ac:dyDescent="0.25">
      <c r="A5142" s="74"/>
      <c r="B5142" s="45">
        <v>2066</v>
      </c>
      <c r="C5142" s="64" t="s">
        <v>1886</v>
      </c>
      <c r="D5142" s="74"/>
      <c r="E5142" s="208" t="s">
        <v>159</v>
      </c>
      <c r="F5142" s="209" t="s">
        <v>21</v>
      </c>
      <c r="G5142" s="209" t="s">
        <v>21</v>
      </c>
      <c r="H5142" s="209" t="s">
        <v>272</v>
      </c>
      <c r="I5142" s="210"/>
    </row>
    <row r="5143" spans="1:9" x14ac:dyDescent="0.25">
      <c r="A5143" s="74"/>
      <c r="B5143" s="45">
        <v>2067</v>
      </c>
      <c r="C5143" s="64" t="s">
        <v>1845</v>
      </c>
      <c r="D5143" s="74"/>
      <c r="E5143" s="208" t="s">
        <v>159</v>
      </c>
      <c r="F5143" s="209" t="s">
        <v>21</v>
      </c>
      <c r="G5143" s="209" t="s">
        <v>21</v>
      </c>
      <c r="H5143" s="209" t="s">
        <v>272</v>
      </c>
      <c r="I5143" s="210"/>
    </row>
    <row r="5144" spans="1:9" x14ac:dyDescent="0.25">
      <c r="A5144" s="74"/>
      <c r="B5144" s="45">
        <v>2068</v>
      </c>
      <c r="C5144" s="64" t="s">
        <v>2132</v>
      </c>
      <c r="D5144" s="74"/>
      <c r="E5144" s="208" t="s">
        <v>159</v>
      </c>
      <c r="F5144" s="209" t="s">
        <v>21</v>
      </c>
      <c r="G5144" s="209" t="s">
        <v>21</v>
      </c>
      <c r="H5144" s="209" t="s">
        <v>272</v>
      </c>
      <c r="I5144" s="210"/>
    </row>
    <row r="5145" spans="1:9" x14ac:dyDescent="0.25">
      <c r="A5145" s="74"/>
      <c r="B5145" s="45">
        <v>990</v>
      </c>
      <c r="C5145" s="64" t="s">
        <v>1399</v>
      </c>
      <c r="D5145" s="74"/>
      <c r="E5145" s="208" t="s">
        <v>159</v>
      </c>
      <c r="F5145" s="209" t="s">
        <v>21</v>
      </c>
      <c r="G5145" s="209" t="s">
        <v>21</v>
      </c>
      <c r="H5145" s="209" t="s">
        <v>192</v>
      </c>
      <c r="I5145" s="210"/>
    </row>
    <row r="5146" spans="1:9" x14ac:dyDescent="0.25">
      <c r="A5146" s="74"/>
      <c r="B5146" s="45">
        <v>2066</v>
      </c>
      <c r="C5146" s="64" t="s">
        <v>1886</v>
      </c>
      <c r="D5146" s="74"/>
      <c r="E5146" s="208" t="s">
        <v>159</v>
      </c>
      <c r="F5146" s="209" t="s">
        <v>21</v>
      </c>
      <c r="G5146" s="209" t="s">
        <v>21</v>
      </c>
      <c r="H5146" s="209" t="s">
        <v>272</v>
      </c>
      <c r="I5146" s="210"/>
    </row>
    <row r="5147" spans="1:9" x14ac:dyDescent="0.25">
      <c r="A5147" s="74"/>
      <c r="B5147" s="45">
        <v>2067</v>
      </c>
      <c r="C5147" s="64" t="s">
        <v>1845</v>
      </c>
      <c r="D5147" s="74"/>
      <c r="E5147" s="208" t="s">
        <v>159</v>
      </c>
      <c r="F5147" s="209" t="s">
        <v>21</v>
      </c>
      <c r="G5147" s="209" t="s">
        <v>21</v>
      </c>
      <c r="H5147" s="209" t="s">
        <v>272</v>
      </c>
      <c r="I5147" s="210"/>
    </row>
    <row r="5148" spans="1:9" x14ac:dyDescent="0.25">
      <c r="A5148" s="74"/>
      <c r="B5148" s="45">
        <v>2068</v>
      </c>
      <c r="C5148" s="64" t="s">
        <v>2132</v>
      </c>
      <c r="D5148" s="74"/>
      <c r="E5148" s="208" t="s">
        <v>159</v>
      </c>
      <c r="F5148" s="209" t="s">
        <v>21</v>
      </c>
      <c r="G5148" s="209" t="s">
        <v>21</v>
      </c>
      <c r="H5148" s="209" t="s">
        <v>272</v>
      </c>
      <c r="I5148" s="210"/>
    </row>
    <row r="5149" spans="1:9" x14ac:dyDescent="0.25">
      <c r="A5149" s="74"/>
      <c r="B5149" s="45">
        <v>990</v>
      </c>
      <c r="C5149" s="64" t="s">
        <v>1399</v>
      </c>
      <c r="D5149" s="74"/>
      <c r="E5149" s="208" t="s">
        <v>159</v>
      </c>
      <c r="F5149" s="209" t="s">
        <v>21</v>
      </c>
      <c r="G5149" s="209" t="s">
        <v>21</v>
      </c>
      <c r="H5149" s="209" t="s">
        <v>192</v>
      </c>
      <c r="I5149" s="210"/>
    </row>
    <row r="5150" spans="1:9" x14ac:dyDescent="0.25">
      <c r="A5150" s="74"/>
      <c r="B5150" s="45">
        <v>2066</v>
      </c>
      <c r="C5150" s="64" t="s">
        <v>1886</v>
      </c>
      <c r="D5150" s="74"/>
      <c r="E5150" s="208" t="s">
        <v>159</v>
      </c>
      <c r="F5150" s="209" t="s">
        <v>21</v>
      </c>
      <c r="G5150" s="209" t="s">
        <v>21</v>
      </c>
      <c r="H5150" s="209" t="s">
        <v>272</v>
      </c>
      <c r="I5150" s="210"/>
    </row>
    <row r="5151" spans="1:9" x14ac:dyDescent="0.25">
      <c r="A5151" s="74"/>
      <c r="B5151" s="45">
        <v>2067</v>
      </c>
      <c r="C5151" s="64" t="s">
        <v>1845</v>
      </c>
      <c r="D5151" s="74"/>
      <c r="E5151" s="208" t="s">
        <v>159</v>
      </c>
      <c r="F5151" s="209" t="s">
        <v>21</v>
      </c>
      <c r="G5151" s="209" t="s">
        <v>21</v>
      </c>
      <c r="H5151" s="209" t="s">
        <v>272</v>
      </c>
      <c r="I5151" s="210"/>
    </row>
    <row r="5152" spans="1:9" x14ac:dyDescent="0.25">
      <c r="A5152" s="74"/>
      <c r="B5152" s="45">
        <v>2068</v>
      </c>
      <c r="C5152" s="64" t="s">
        <v>2132</v>
      </c>
      <c r="D5152" s="74"/>
      <c r="E5152" s="208" t="s">
        <v>159</v>
      </c>
      <c r="F5152" s="209" t="s">
        <v>21</v>
      </c>
      <c r="G5152" s="209" t="s">
        <v>21</v>
      </c>
      <c r="H5152" s="209" t="s">
        <v>272</v>
      </c>
      <c r="I5152" s="210"/>
    </row>
    <row r="5153" spans="1:9" x14ac:dyDescent="0.25">
      <c r="A5153" s="74"/>
      <c r="B5153" s="45">
        <v>990</v>
      </c>
      <c r="C5153" s="64" t="s">
        <v>1399</v>
      </c>
      <c r="D5153" s="74"/>
      <c r="E5153" s="208" t="s">
        <v>159</v>
      </c>
      <c r="F5153" s="209" t="s">
        <v>21</v>
      </c>
      <c r="G5153" s="209" t="s">
        <v>21</v>
      </c>
      <c r="H5153" s="209" t="s">
        <v>192</v>
      </c>
      <c r="I5153" s="210"/>
    </row>
    <row r="5154" spans="1:9" x14ac:dyDescent="0.25">
      <c r="A5154" s="74"/>
      <c r="B5154" s="45">
        <v>2066</v>
      </c>
      <c r="C5154" s="64" t="s">
        <v>1886</v>
      </c>
      <c r="D5154" s="74"/>
      <c r="E5154" s="208" t="s">
        <v>159</v>
      </c>
      <c r="F5154" s="209" t="s">
        <v>21</v>
      </c>
      <c r="G5154" s="209" t="s">
        <v>21</v>
      </c>
      <c r="H5154" s="209" t="s">
        <v>272</v>
      </c>
      <c r="I5154" s="210"/>
    </row>
    <row r="5155" spans="1:9" x14ac:dyDescent="0.25">
      <c r="A5155" s="74"/>
      <c r="B5155" s="45">
        <v>2067</v>
      </c>
      <c r="C5155" s="64" t="s">
        <v>1845</v>
      </c>
      <c r="D5155" s="74"/>
      <c r="E5155" s="208" t="s">
        <v>159</v>
      </c>
      <c r="F5155" s="209" t="s">
        <v>21</v>
      </c>
      <c r="G5155" s="209" t="s">
        <v>21</v>
      </c>
      <c r="H5155" s="209" t="s">
        <v>272</v>
      </c>
      <c r="I5155" s="210"/>
    </row>
    <row r="5156" spans="1:9" x14ac:dyDescent="0.25">
      <c r="A5156" s="74"/>
      <c r="B5156" s="45">
        <v>2068</v>
      </c>
      <c r="C5156" s="64" t="s">
        <v>2132</v>
      </c>
      <c r="D5156" s="74"/>
      <c r="E5156" s="208" t="s">
        <v>159</v>
      </c>
      <c r="F5156" s="209" t="s">
        <v>21</v>
      </c>
      <c r="G5156" s="209" t="s">
        <v>21</v>
      </c>
      <c r="H5156" s="209" t="s">
        <v>272</v>
      </c>
      <c r="I5156" s="210"/>
    </row>
    <row r="5157" spans="1:9" x14ac:dyDescent="0.25">
      <c r="A5157" s="74"/>
      <c r="B5157" s="45">
        <v>990</v>
      </c>
      <c r="C5157" s="64" t="s">
        <v>1399</v>
      </c>
      <c r="D5157" s="74"/>
      <c r="E5157" s="208" t="s">
        <v>159</v>
      </c>
      <c r="F5157" s="209" t="s">
        <v>21</v>
      </c>
      <c r="G5157" s="209" t="s">
        <v>21</v>
      </c>
      <c r="H5157" s="209" t="s">
        <v>192</v>
      </c>
      <c r="I5157" s="210"/>
    </row>
    <row r="5158" spans="1:9" x14ac:dyDescent="0.25">
      <c r="A5158" s="74"/>
      <c r="B5158" s="45">
        <v>2066</v>
      </c>
      <c r="C5158" s="64" t="s">
        <v>1886</v>
      </c>
      <c r="D5158" s="74"/>
      <c r="E5158" s="208" t="s">
        <v>159</v>
      </c>
      <c r="F5158" s="209" t="s">
        <v>21</v>
      </c>
      <c r="G5158" s="209" t="s">
        <v>21</v>
      </c>
      <c r="H5158" s="209" t="s">
        <v>272</v>
      </c>
      <c r="I5158" s="210"/>
    </row>
    <row r="5159" spans="1:9" x14ac:dyDescent="0.25">
      <c r="A5159" s="74"/>
      <c r="B5159" s="45">
        <v>2067</v>
      </c>
      <c r="C5159" s="64" t="s">
        <v>1845</v>
      </c>
      <c r="D5159" s="74"/>
      <c r="E5159" s="208" t="s">
        <v>159</v>
      </c>
      <c r="F5159" s="209" t="s">
        <v>21</v>
      </c>
      <c r="G5159" s="209" t="s">
        <v>21</v>
      </c>
      <c r="H5159" s="209" t="s">
        <v>272</v>
      </c>
      <c r="I5159" s="210"/>
    </row>
    <row r="5160" spans="1:9" x14ac:dyDescent="0.25">
      <c r="A5160" s="74"/>
      <c r="B5160" s="45">
        <v>2068</v>
      </c>
      <c r="C5160" s="64" t="s">
        <v>2132</v>
      </c>
      <c r="D5160" s="74"/>
      <c r="E5160" s="208" t="s">
        <v>159</v>
      </c>
      <c r="F5160" s="209" t="s">
        <v>21</v>
      </c>
      <c r="G5160" s="209" t="s">
        <v>21</v>
      </c>
      <c r="H5160" s="209" t="s">
        <v>272</v>
      </c>
      <c r="I5160" s="210"/>
    </row>
    <row r="5161" spans="1:9" x14ac:dyDescent="0.25">
      <c r="A5161" s="74"/>
      <c r="B5161" s="45">
        <v>990</v>
      </c>
      <c r="C5161" s="64" t="s">
        <v>1399</v>
      </c>
      <c r="D5161" s="74"/>
      <c r="E5161" s="208" t="s">
        <v>159</v>
      </c>
      <c r="F5161" s="209" t="s">
        <v>21</v>
      </c>
      <c r="G5161" s="209" t="s">
        <v>21</v>
      </c>
      <c r="H5161" s="209" t="s">
        <v>192</v>
      </c>
      <c r="I5161" s="210"/>
    </row>
    <row r="5162" spans="1:9" x14ac:dyDescent="0.25">
      <c r="A5162" s="74"/>
      <c r="B5162" s="45">
        <v>993</v>
      </c>
      <c r="C5162" s="64" t="s">
        <v>1402</v>
      </c>
      <c r="D5162" s="74"/>
      <c r="E5162" s="208" t="s">
        <v>159</v>
      </c>
      <c r="F5162" s="209" t="s">
        <v>21</v>
      </c>
      <c r="G5162" s="209" t="s">
        <v>21</v>
      </c>
      <c r="H5162" s="209" t="s">
        <v>192</v>
      </c>
      <c r="I5162" s="210"/>
    </row>
    <row r="5163" spans="1:9" x14ac:dyDescent="0.25">
      <c r="A5163" s="74"/>
      <c r="B5163" s="45">
        <v>2065</v>
      </c>
      <c r="C5163" s="64" t="s">
        <v>1997</v>
      </c>
      <c r="D5163" s="74"/>
      <c r="E5163" s="208" t="s">
        <v>287</v>
      </c>
      <c r="F5163" s="209" t="s">
        <v>21</v>
      </c>
      <c r="G5163" s="209" t="s">
        <v>21</v>
      </c>
      <c r="H5163" s="209" t="s">
        <v>192</v>
      </c>
      <c r="I5163" s="210"/>
    </row>
    <row r="5164" spans="1:9" x14ac:dyDescent="0.25">
      <c r="A5164" s="74"/>
      <c r="B5164" s="45">
        <v>2066</v>
      </c>
      <c r="C5164" s="64" t="s">
        <v>1886</v>
      </c>
      <c r="D5164" s="74"/>
      <c r="E5164" s="208" t="s">
        <v>159</v>
      </c>
      <c r="F5164" s="209" t="s">
        <v>21</v>
      </c>
      <c r="G5164" s="209" t="s">
        <v>21</v>
      </c>
      <c r="H5164" s="209" t="s">
        <v>272</v>
      </c>
      <c r="I5164" s="210"/>
    </row>
    <row r="5165" spans="1:9" x14ac:dyDescent="0.25">
      <c r="A5165" s="74"/>
      <c r="B5165" s="45">
        <v>2067</v>
      </c>
      <c r="C5165" s="64" t="s">
        <v>1845</v>
      </c>
      <c r="D5165" s="74"/>
      <c r="E5165" s="208" t="s">
        <v>159</v>
      </c>
      <c r="F5165" s="209" t="s">
        <v>21</v>
      </c>
      <c r="G5165" s="209" t="s">
        <v>21</v>
      </c>
      <c r="H5165" s="209" t="s">
        <v>272</v>
      </c>
      <c r="I5165" s="210"/>
    </row>
    <row r="5166" spans="1:9" x14ac:dyDescent="0.25">
      <c r="A5166" s="74"/>
      <c r="B5166" s="45">
        <v>2068</v>
      </c>
      <c r="C5166" s="64" t="s">
        <v>2132</v>
      </c>
      <c r="D5166" s="74"/>
      <c r="E5166" s="208" t="s">
        <v>159</v>
      </c>
      <c r="F5166" s="209" t="s">
        <v>21</v>
      </c>
      <c r="G5166" s="209" t="s">
        <v>21</v>
      </c>
      <c r="H5166" s="209" t="s">
        <v>272</v>
      </c>
      <c r="I5166" s="210"/>
    </row>
    <row r="5167" spans="1:9" x14ac:dyDescent="0.25">
      <c r="A5167" s="74"/>
      <c r="B5167" s="45">
        <v>2069</v>
      </c>
      <c r="C5167" s="64" t="s">
        <v>2110</v>
      </c>
      <c r="D5167" s="74"/>
      <c r="E5167" s="208" t="s">
        <v>159</v>
      </c>
      <c r="F5167" s="209" t="s">
        <v>21</v>
      </c>
      <c r="G5167" s="209" t="s">
        <v>21</v>
      </c>
      <c r="H5167" s="209" t="s">
        <v>272</v>
      </c>
      <c r="I5167" s="210"/>
    </row>
    <row r="5168" spans="1:9" x14ac:dyDescent="0.25">
      <c r="A5168" s="74"/>
      <c r="B5168" s="45">
        <v>2070</v>
      </c>
      <c r="C5168" s="64" t="s">
        <v>2081</v>
      </c>
      <c r="D5168" s="74"/>
      <c r="E5168" s="208" t="s">
        <v>159</v>
      </c>
      <c r="F5168" s="209" t="s">
        <v>21</v>
      </c>
      <c r="G5168" s="209" t="s">
        <v>21</v>
      </c>
      <c r="H5168" s="209" t="s">
        <v>272</v>
      </c>
      <c r="I5168" s="210"/>
    </row>
    <row r="5169" spans="1:9" x14ac:dyDescent="0.25">
      <c r="A5169" s="74"/>
      <c r="B5169" s="45">
        <v>2071</v>
      </c>
      <c r="C5169" s="64" t="s">
        <v>2077</v>
      </c>
      <c r="D5169" s="74"/>
      <c r="E5169" s="208" t="s">
        <v>159</v>
      </c>
      <c r="F5169" s="209" t="s">
        <v>21</v>
      </c>
      <c r="G5169" s="209" t="s">
        <v>21</v>
      </c>
      <c r="H5169" s="209" t="s">
        <v>272</v>
      </c>
      <c r="I5169" s="210"/>
    </row>
    <row r="5170" spans="1:9" x14ac:dyDescent="0.25">
      <c r="A5170" s="74"/>
      <c r="B5170" s="45">
        <v>2072</v>
      </c>
      <c r="C5170" s="64" t="s">
        <v>2027</v>
      </c>
      <c r="D5170" s="74"/>
      <c r="E5170" s="208" t="s">
        <v>159</v>
      </c>
      <c r="F5170" s="209" t="s">
        <v>21</v>
      </c>
      <c r="G5170" s="209" t="s">
        <v>21</v>
      </c>
      <c r="H5170" s="209" t="s">
        <v>272</v>
      </c>
      <c r="I5170" s="210"/>
    </row>
    <row r="5171" spans="1:9" x14ac:dyDescent="0.25">
      <c r="A5171" s="74"/>
      <c r="B5171" s="45">
        <v>990</v>
      </c>
      <c r="C5171" s="64" t="s">
        <v>1399</v>
      </c>
      <c r="D5171" s="74"/>
      <c r="E5171" s="208" t="s">
        <v>159</v>
      </c>
      <c r="F5171" s="209" t="s">
        <v>21</v>
      </c>
      <c r="G5171" s="209" t="s">
        <v>21</v>
      </c>
      <c r="H5171" s="209" t="s">
        <v>192</v>
      </c>
      <c r="I5171" s="210"/>
    </row>
    <row r="5172" spans="1:9" x14ac:dyDescent="0.25">
      <c r="A5172" s="74"/>
      <c r="B5172" s="45">
        <v>2066</v>
      </c>
      <c r="C5172" s="64" t="s">
        <v>1886</v>
      </c>
      <c r="D5172" s="74"/>
      <c r="E5172" s="208" t="s">
        <v>159</v>
      </c>
      <c r="F5172" s="209" t="s">
        <v>21</v>
      </c>
      <c r="G5172" s="209" t="s">
        <v>21</v>
      </c>
      <c r="H5172" s="209" t="s">
        <v>272</v>
      </c>
      <c r="I5172" s="210"/>
    </row>
    <row r="5173" spans="1:9" x14ac:dyDescent="0.25">
      <c r="A5173" s="74"/>
      <c r="B5173" s="45">
        <v>2067</v>
      </c>
      <c r="C5173" s="64" t="s">
        <v>1845</v>
      </c>
      <c r="D5173" s="74"/>
      <c r="E5173" s="208" t="s">
        <v>159</v>
      </c>
      <c r="F5173" s="209" t="s">
        <v>21</v>
      </c>
      <c r="G5173" s="209" t="s">
        <v>21</v>
      </c>
      <c r="H5173" s="209" t="s">
        <v>272</v>
      </c>
      <c r="I5173" s="210"/>
    </row>
    <row r="5174" spans="1:9" x14ac:dyDescent="0.25">
      <c r="A5174" s="74"/>
      <c r="B5174" s="45">
        <v>2068</v>
      </c>
      <c r="C5174" s="64" t="s">
        <v>2132</v>
      </c>
      <c r="D5174" s="74"/>
      <c r="E5174" s="208" t="s">
        <v>159</v>
      </c>
      <c r="F5174" s="209" t="s">
        <v>21</v>
      </c>
      <c r="G5174" s="209" t="s">
        <v>21</v>
      </c>
      <c r="H5174" s="209" t="s">
        <v>272</v>
      </c>
      <c r="I5174" s="210"/>
    </row>
    <row r="5175" spans="1:9" x14ac:dyDescent="0.25">
      <c r="A5175" s="74"/>
      <c r="B5175" s="45">
        <v>2069</v>
      </c>
      <c r="C5175" s="64" t="s">
        <v>2110</v>
      </c>
      <c r="D5175" s="74"/>
      <c r="E5175" s="208" t="s">
        <v>159</v>
      </c>
      <c r="F5175" s="209" t="s">
        <v>21</v>
      </c>
      <c r="G5175" s="209" t="s">
        <v>21</v>
      </c>
      <c r="H5175" s="209" t="s">
        <v>272</v>
      </c>
      <c r="I5175" s="210"/>
    </row>
    <row r="5176" spans="1:9" x14ac:dyDescent="0.25">
      <c r="A5176" s="74"/>
      <c r="B5176" s="45">
        <v>2070</v>
      </c>
      <c r="C5176" s="64" t="s">
        <v>2081</v>
      </c>
      <c r="D5176" s="74"/>
      <c r="E5176" s="208" t="s">
        <v>159</v>
      </c>
      <c r="F5176" s="209" t="s">
        <v>21</v>
      </c>
      <c r="G5176" s="209" t="s">
        <v>21</v>
      </c>
      <c r="H5176" s="209" t="s">
        <v>272</v>
      </c>
      <c r="I5176" s="210"/>
    </row>
    <row r="5177" spans="1:9" x14ac:dyDescent="0.25">
      <c r="A5177" s="74"/>
      <c r="B5177" s="45">
        <v>2071</v>
      </c>
      <c r="C5177" s="64" t="s">
        <v>2077</v>
      </c>
      <c r="D5177" s="74"/>
      <c r="E5177" s="208" t="s">
        <v>159</v>
      </c>
      <c r="F5177" s="209" t="s">
        <v>21</v>
      </c>
      <c r="G5177" s="209" t="s">
        <v>21</v>
      </c>
      <c r="H5177" s="209" t="s">
        <v>272</v>
      </c>
      <c r="I5177" s="210"/>
    </row>
    <row r="5178" spans="1:9" x14ac:dyDescent="0.25">
      <c r="A5178" s="74"/>
      <c r="B5178" s="45">
        <v>2072</v>
      </c>
      <c r="C5178" s="64" t="s">
        <v>2027</v>
      </c>
      <c r="D5178" s="74"/>
      <c r="E5178" s="208" t="s">
        <v>159</v>
      </c>
      <c r="F5178" s="209" t="s">
        <v>21</v>
      </c>
      <c r="G5178" s="209" t="s">
        <v>21</v>
      </c>
      <c r="H5178" s="209" t="s">
        <v>272</v>
      </c>
      <c r="I5178" s="210"/>
    </row>
    <row r="5179" spans="1:9" x14ac:dyDescent="0.25">
      <c r="A5179" s="74"/>
      <c r="B5179" s="45">
        <v>990</v>
      </c>
      <c r="C5179" s="64" t="s">
        <v>1399</v>
      </c>
      <c r="D5179" s="74"/>
      <c r="E5179" s="208" t="s">
        <v>159</v>
      </c>
      <c r="F5179" s="209" t="s">
        <v>21</v>
      </c>
      <c r="G5179" s="209" t="s">
        <v>21</v>
      </c>
      <c r="H5179" s="209" t="s">
        <v>192</v>
      </c>
      <c r="I5179" s="210"/>
    </row>
    <row r="5180" spans="1:9" x14ac:dyDescent="0.25">
      <c r="A5180" s="74"/>
      <c r="B5180" s="45">
        <v>2066</v>
      </c>
      <c r="C5180" s="64" t="s">
        <v>1886</v>
      </c>
      <c r="D5180" s="74"/>
      <c r="E5180" s="208" t="s">
        <v>159</v>
      </c>
      <c r="F5180" s="209" t="s">
        <v>21</v>
      </c>
      <c r="G5180" s="209" t="s">
        <v>21</v>
      </c>
      <c r="H5180" s="209" t="s">
        <v>272</v>
      </c>
      <c r="I5180" s="210"/>
    </row>
    <row r="5181" spans="1:9" x14ac:dyDescent="0.25">
      <c r="A5181" s="74"/>
      <c r="B5181" s="45">
        <v>2067</v>
      </c>
      <c r="C5181" s="64" t="s">
        <v>1845</v>
      </c>
      <c r="D5181" s="74"/>
      <c r="E5181" s="208" t="s">
        <v>159</v>
      </c>
      <c r="F5181" s="209" t="s">
        <v>21</v>
      </c>
      <c r="G5181" s="209" t="s">
        <v>21</v>
      </c>
      <c r="H5181" s="209" t="s">
        <v>272</v>
      </c>
      <c r="I5181" s="210"/>
    </row>
    <row r="5182" spans="1:9" x14ac:dyDescent="0.25">
      <c r="A5182" s="74"/>
      <c r="B5182" s="45">
        <v>2068</v>
      </c>
      <c r="C5182" s="64" t="s">
        <v>2132</v>
      </c>
      <c r="D5182" s="74"/>
      <c r="E5182" s="208" t="s">
        <v>159</v>
      </c>
      <c r="F5182" s="209" t="s">
        <v>21</v>
      </c>
      <c r="G5182" s="209" t="s">
        <v>21</v>
      </c>
      <c r="H5182" s="209" t="s">
        <v>272</v>
      </c>
      <c r="I5182" s="210"/>
    </row>
    <row r="5183" spans="1:9" x14ac:dyDescent="0.25">
      <c r="A5183" s="74"/>
      <c r="B5183" s="45">
        <v>2069</v>
      </c>
      <c r="C5183" s="64" t="s">
        <v>2110</v>
      </c>
      <c r="D5183" s="74"/>
      <c r="E5183" s="208" t="s">
        <v>159</v>
      </c>
      <c r="F5183" s="209" t="s">
        <v>21</v>
      </c>
      <c r="G5183" s="209" t="s">
        <v>21</v>
      </c>
      <c r="H5183" s="209" t="s">
        <v>272</v>
      </c>
      <c r="I5183" s="210"/>
    </row>
    <row r="5184" spans="1:9" x14ac:dyDescent="0.25">
      <c r="A5184" s="74"/>
      <c r="B5184" s="45">
        <v>2070</v>
      </c>
      <c r="C5184" s="64" t="s">
        <v>2081</v>
      </c>
      <c r="D5184" s="74"/>
      <c r="E5184" s="208" t="s">
        <v>159</v>
      </c>
      <c r="F5184" s="209" t="s">
        <v>21</v>
      </c>
      <c r="G5184" s="209" t="s">
        <v>21</v>
      </c>
      <c r="H5184" s="209" t="s">
        <v>272</v>
      </c>
      <c r="I5184" s="210"/>
    </row>
    <row r="5185" spans="1:9" x14ac:dyDescent="0.25">
      <c r="A5185" s="74"/>
      <c r="B5185" s="45">
        <v>2071</v>
      </c>
      <c r="C5185" s="64" t="s">
        <v>2077</v>
      </c>
      <c r="D5185" s="74"/>
      <c r="E5185" s="208" t="s">
        <v>159</v>
      </c>
      <c r="F5185" s="209" t="s">
        <v>21</v>
      </c>
      <c r="G5185" s="209" t="s">
        <v>21</v>
      </c>
      <c r="H5185" s="209" t="s">
        <v>272</v>
      </c>
      <c r="I5185" s="210"/>
    </row>
    <row r="5186" spans="1:9" x14ac:dyDescent="0.25">
      <c r="A5186" s="74"/>
      <c r="B5186" s="45">
        <v>2072</v>
      </c>
      <c r="C5186" s="64" t="s">
        <v>2027</v>
      </c>
      <c r="D5186" s="74"/>
      <c r="E5186" s="208" t="s">
        <v>159</v>
      </c>
      <c r="F5186" s="209" t="s">
        <v>21</v>
      </c>
      <c r="G5186" s="209" t="s">
        <v>21</v>
      </c>
      <c r="H5186" s="209" t="s">
        <v>272</v>
      </c>
      <c r="I5186" s="210"/>
    </row>
    <row r="5187" spans="1:9" x14ac:dyDescent="0.25">
      <c r="A5187" s="74"/>
      <c r="B5187" s="45">
        <v>990</v>
      </c>
      <c r="C5187" s="64" t="s">
        <v>1399</v>
      </c>
      <c r="D5187" s="74"/>
      <c r="E5187" s="208" t="s">
        <v>159</v>
      </c>
      <c r="F5187" s="209" t="s">
        <v>21</v>
      </c>
      <c r="G5187" s="209" t="s">
        <v>21</v>
      </c>
      <c r="H5187" s="209" t="s">
        <v>192</v>
      </c>
      <c r="I5187" s="210"/>
    </row>
    <row r="5188" spans="1:9" x14ac:dyDescent="0.25">
      <c r="A5188" s="74"/>
      <c r="B5188" s="45">
        <v>2066</v>
      </c>
      <c r="C5188" s="64" t="s">
        <v>1886</v>
      </c>
      <c r="D5188" s="74"/>
      <c r="E5188" s="208" t="s">
        <v>159</v>
      </c>
      <c r="F5188" s="209" t="s">
        <v>21</v>
      </c>
      <c r="G5188" s="209" t="s">
        <v>21</v>
      </c>
      <c r="H5188" s="209" t="s">
        <v>272</v>
      </c>
      <c r="I5188" s="210"/>
    </row>
    <row r="5189" spans="1:9" x14ac:dyDescent="0.25">
      <c r="A5189" s="74"/>
      <c r="B5189" s="45">
        <v>2067</v>
      </c>
      <c r="C5189" s="64" t="s">
        <v>1845</v>
      </c>
      <c r="D5189" s="74"/>
      <c r="E5189" s="208" t="s">
        <v>159</v>
      </c>
      <c r="F5189" s="209" t="s">
        <v>21</v>
      </c>
      <c r="G5189" s="209" t="s">
        <v>21</v>
      </c>
      <c r="H5189" s="209" t="s">
        <v>272</v>
      </c>
      <c r="I5189" s="210"/>
    </row>
    <row r="5190" spans="1:9" x14ac:dyDescent="0.25">
      <c r="A5190" s="74"/>
      <c r="B5190" s="45">
        <v>2068</v>
      </c>
      <c r="C5190" s="64" t="s">
        <v>2132</v>
      </c>
      <c r="D5190" s="74"/>
      <c r="E5190" s="208" t="s">
        <v>159</v>
      </c>
      <c r="F5190" s="209" t="s">
        <v>21</v>
      </c>
      <c r="G5190" s="209" t="s">
        <v>21</v>
      </c>
      <c r="H5190" s="209" t="s">
        <v>272</v>
      </c>
      <c r="I5190" s="210"/>
    </row>
    <row r="5191" spans="1:9" x14ac:dyDescent="0.25">
      <c r="A5191" s="74"/>
      <c r="B5191" s="45">
        <v>2069</v>
      </c>
      <c r="C5191" s="64" t="s">
        <v>2110</v>
      </c>
      <c r="D5191" s="74"/>
      <c r="E5191" s="208" t="s">
        <v>159</v>
      </c>
      <c r="F5191" s="209" t="s">
        <v>21</v>
      </c>
      <c r="G5191" s="209" t="s">
        <v>21</v>
      </c>
      <c r="H5191" s="209" t="s">
        <v>272</v>
      </c>
      <c r="I5191" s="210"/>
    </row>
    <row r="5192" spans="1:9" x14ac:dyDescent="0.25">
      <c r="A5192" s="74"/>
      <c r="B5192" s="45">
        <v>2070</v>
      </c>
      <c r="C5192" s="64" t="s">
        <v>2081</v>
      </c>
      <c r="D5192" s="74"/>
      <c r="E5192" s="208" t="s">
        <v>159</v>
      </c>
      <c r="F5192" s="209" t="s">
        <v>21</v>
      </c>
      <c r="G5192" s="209" t="s">
        <v>21</v>
      </c>
      <c r="H5192" s="209" t="s">
        <v>272</v>
      </c>
      <c r="I5192" s="210"/>
    </row>
    <row r="5193" spans="1:9" x14ac:dyDescent="0.25">
      <c r="A5193" s="74"/>
      <c r="B5193" s="45">
        <v>2071</v>
      </c>
      <c r="C5193" s="64" t="s">
        <v>2077</v>
      </c>
      <c r="D5193" s="74"/>
      <c r="E5193" s="208" t="s">
        <v>159</v>
      </c>
      <c r="F5193" s="209" t="s">
        <v>21</v>
      </c>
      <c r="G5193" s="209" t="s">
        <v>21</v>
      </c>
      <c r="H5193" s="209" t="s">
        <v>272</v>
      </c>
      <c r="I5193" s="210"/>
    </row>
    <row r="5194" spans="1:9" x14ac:dyDescent="0.25">
      <c r="A5194" s="74"/>
      <c r="B5194" s="45">
        <v>2072</v>
      </c>
      <c r="C5194" s="64" t="s">
        <v>2027</v>
      </c>
      <c r="D5194" s="74"/>
      <c r="E5194" s="208" t="s">
        <v>159</v>
      </c>
      <c r="F5194" s="209" t="s">
        <v>21</v>
      </c>
      <c r="G5194" s="209" t="s">
        <v>21</v>
      </c>
      <c r="H5194" s="209" t="s">
        <v>272</v>
      </c>
      <c r="I5194" s="210"/>
    </row>
    <row r="5195" spans="1:9" x14ac:dyDescent="0.25">
      <c r="A5195" s="74"/>
      <c r="B5195" s="45">
        <v>990</v>
      </c>
      <c r="C5195" s="64" t="s">
        <v>1399</v>
      </c>
      <c r="D5195" s="74"/>
      <c r="E5195" s="208" t="s">
        <v>159</v>
      </c>
      <c r="F5195" s="209" t="s">
        <v>21</v>
      </c>
      <c r="G5195" s="209" t="s">
        <v>21</v>
      </c>
      <c r="H5195" s="209" t="s">
        <v>192</v>
      </c>
      <c r="I5195" s="210"/>
    </row>
    <row r="5196" spans="1:9" x14ac:dyDescent="0.25">
      <c r="A5196" s="74"/>
      <c r="B5196" s="45">
        <v>998</v>
      </c>
      <c r="C5196" s="64" t="s">
        <v>1407</v>
      </c>
      <c r="D5196" s="74"/>
      <c r="E5196" s="208" t="s">
        <v>159</v>
      </c>
      <c r="F5196" s="209" t="s">
        <v>21</v>
      </c>
      <c r="G5196" s="209" t="s">
        <v>21</v>
      </c>
      <c r="H5196" s="209" t="s">
        <v>192</v>
      </c>
      <c r="I5196" s="210"/>
    </row>
    <row r="5197" spans="1:9" x14ac:dyDescent="0.25">
      <c r="A5197" s="74"/>
      <c r="B5197" s="45">
        <v>2065</v>
      </c>
      <c r="C5197" s="64" t="s">
        <v>1997</v>
      </c>
      <c r="D5197" s="74"/>
      <c r="E5197" s="208" t="s">
        <v>287</v>
      </c>
      <c r="F5197" s="209" t="s">
        <v>21</v>
      </c>
      <c r="G5197" s="209" t="s">
        <v>21</v>
      </c>
      <c r="H5197" s="209" t="s">
        <v>192</v>
      </c>
      <c r="I5197" s="210"/>
    </row>
    <row r="5198" spans="1:9" x14ac:dyDescent="0.25">
      <c r="A5198" s="74"/>
      <c r="B5198" s="45">
        <v>2070</v>
      </c>
      <c r="C5198" s="64" t="s">
        <v>2081</v>
      </c>
      <c r="D5198" s="74"/>
      <c r="E5198" s="208" t="s">
        <v>159</v>
      </c>
      <c r="F5198" s="209" t="s">
        <v>21</v>
      </c>
      <c r="G5198" s="209" t="s">
        <v>21</v>
      </c>
      <c r="H5198" s="209" t="s">
        <v>272</v>
      </c>
      <c r="I5198" s="210"/>
    </row>
    <row r="5199" spans="1:9" x14ac:dyDescent="0.25">
      <c r="A5199" s="74"/>
      <c r="B5199" s="45">
        <v>990</v>
      </c>
      <c r="C5199" s="64" t="s">
        <v>1399</v>
      </c>
      <c r="D5199" s="74"/>
      <c r="E5199" s="208" t="s">
        <v>159</v>
      </c>
      <c r="F5199" s="209" t="s">
        <v>21</v>
      </c>
      <c r="G5199" s="209" t="s">
        <v>21</v>
      </c>
      <c r="H5199" s="209" t="s">
        <v>192</v>
      </c>
      <c r="I5199" s="210"/>
    </row>
    <row r="5200" spans="1:9" x14ac:dyDescent="0.25">
      <c r="A5200" s="74"/>
      <c r="B5200" s="45">
        <v>2070</v>
      </c>
      <c r="C5200" s="64" t="s">
        <v>2081</v>
      </c>
      <c r="D5200" s="74"/>
      <c r="E5200" s="208" t="s">
        <v>159</v>
      </c>
      <c r="F5200" s="209" t="s">
        <v>21</v>
      </c>
      <c r="G5200" s="209" t="s">
        <v>21</v>
      </c>
      <c r="H5200" s="209" t="s">
        <v>272</v>
      </c>
      <c r="I5200" s="210"/>
    </row>
    <row r="5201" spans="1:9" x14ac:dyDescent="0.25">
      <c r="A5201" s="74"/>
      <c r="B5201" s="45">
        <v>990</v>
      </c>
      <c r="C5201" s="64" t="s">
        <v>1399</v>
      </c>
      <c r="D5201" s="74"/>
      <c r="E5201" s="208" t="s">
        <v>159</v>
      </c>
      <c r="F5201" s="209" t="s">
        <v>21</v>
      </c>
      <c r="G5201" s="209" t="s">
        <v>21</v>
      </c>
      <c r="H5201" s="209" t="s">
        <v>192</v>
      </c>
      <c r="I5201" s="210"/>
    </row>
    <row r="5202" spans="1:9" x14ac:dyDescent="0.25">
      <c r="A5202" s="74"/>
      <c r="B5202" s="45">
        <v>2066</v>
      </c>
      <c r="C5202" s="64" t="s">
        <v>1886</v>
      </c>
      <c r="D5202" s="74"/>
      <c r="E5202" s="208" t="s">
        <v>159</v>
      </c>
      <c r="F5202" s="209" t="s">
        <v>21</v>
      </c>
      <c r="G5202" s="209" t="s">
        <v>21</v>
      </c>
      <c r="H5202" s="209" t="s">
        <v>272</v>
      </c>
      <c r="I5202" s="210"/>
    </row>
    <row r="5203" spans="1:9" x14ac:dyDescent="0.25">
      <c r="A5203" s="74"/>
      <c r="B5203" s="45">
        <v>2067</v>
      </c>
      <c r="C5203" s="64" t="s">
        <v>1845</v>
      </c>
      <c r="D5203" s="74"/>
      <c r="E5203" s="208" t="s">
        <v>159</v>
      </c>
      <c r="F5203" s="209" t="s">
        <v>21</v>
      </c>
      <c r="G5203" s="209" t="s">
        <v>21</v>
      </c>
      <c r="H5203" s="209" t="s">
        <v>272</v>
      </c>
      <c r="I5203" s="210"/>
    </row>
    <row r="5204" spans="1:9" x14ac:dyDescent="0.25">
      <c r="A5204" s="74"/>
      <c r="B5204" s="45">
        <v>2068</v>
      </c>
      <c r="C5204" s="64" t="s">
        <v>2132</v>
      </c>
      <c r="D5204" s="74"/>
      <c r="E5204" s="208" t="s">
        <v>159</v>
      </c>
      <c r="F5204" s="209" t="s">
        <v>21</v>
      </c>
      <c r="G5204" s="209" t="s">
        <v>21</v>
      </c>
      <c r="H5204" s="209" t="s">
        <v>272</v>
      </c>
      <c r="I5204" s="210"/>
    </row>
    <row r="5205" spans="1:9" x14ac:dyDescent="0.25">
      <c r="A5205" s="74"/>
      <c r="B5205" s="45">
        <v>2069</v>
      </c>
      <c r="C5205" s="64" t="s">
        <v>2110</v>
      </c>
      <c r="D5205" s="74"/>
      <c r="E5205" s="208" t="s">
        <v>159</v>
      </c>
      <c r="F5205" s="209" t="s">
        <v>21</v>
      </c>
      <c r="G5205" s="209" t="s">
        <v>21</v>
      </c>
      <c r="H5205" s="209" t="s">
        <v>272</v>
      </c>
      <c r="I5205" s="210"/>
    </row>
    <row r="5206" spans="1:9" x14ac:dyDescent="0.25">
      <c r="A5206" s="74"/>
      <c r="B5206" s="45">
        <v>2070</v>
      </c>
      <c r="C5206" s="64" t="s">
        <v>2081</v>
      </c>
      <c r="D5206" s="74"/>
      <c r="E5206" s="208" t="s">
        <v>159</v>
      </c>
      <c r="F5206" s="209" t="s">
        <v>21</v>
      </c>
      <c r="G5206" s="209" t="s">
        <v>21</v>
      </c>
      <c r="H5206" s="209" t="s">
        <v>272</v>
      </c>
      <c r="I5206" s="210"/>
    </row>
    <row r="5207" spans="1:9" x14ac:dyDescent="0.25">
      <c r="A5207" s="74"/>
      <c r="B5207" s="45">
        <v>2071</v>
      </c>
      <c r="C5207" s="64" t="s">
        <v>2077</v>
      </c>
      <c r="D5207" s="74"/>
      <c r="E5207" s="208" t="s">
        <v>159</v>
      </c>
      <c r="F5207" s="209" t="s">
        <v>21</v>
      </c>
      <c r="G5207" s="209" t="s">
        <v>21</v>
      </c>
      <c r="H5207" s="209" t="s">
        <v>272</v>
      </c>
      <c r="I5207" s="210"/>
    </row>
    <row r="5208" spans="1:9" x14ac:dyDescent="0.25">
      <c r="A5208" s="74"/>
      <c r="B5208" s="45">
        <v>2072</v>
      </c>
      <c r="C5208" s="64" t="s">
        <v>2027</v>
      </c>
      <c r="D5208" s="74"/>
      <c r="E5208" s="208" t="s">
        <v>159</v>
      </c>
      <c r="F5208" s="209" t="s">
        <v>21</v>
      </c>
      <c r="G5208" s="209" t="s">
        <v>21</v>
      </c>
      <c r="H5208" s="209" t="s">
        <v>272</v>
      </c>
      <c r="I5208" s="210"/>
    </row>
    <row r="5209" spans="1:9" x14ac:dyDescent="0.25">
      <c r="A5209" s="74"/>
      <c r="B5209" s="45">
        <v>990</v>
      </c>
      <c r="C5209" s="64" t="s">
        <v>1399</v>
      </c>
      <c r="D5209" s="74"/>
      <c r="E5209" s="208" t="s">
        <v>159</v>
      </c>
      <c r="F5209" s="209" t="s">
        <v>21</v>
      </c>
      <c r="G5209" s="209" t="s">
        <v>21</v>
      </c>
      <c r="H5209" s="209" t="s">
        <v>192</v>
      </c>
      <c r="I5209" s="210"/>
    </row>
    <row r="5210" spans="1:9" x14ac:dyDescent="0.25">
      <c r="A5210" s="74"/>
      <c r="B5210" s="45">
        <v>2073</v>
      </c>
      <c r="C5210" s="64" t="s">
        <v>1866</v>
      </c>
      <c r="D5210" s="74"/>
      <c r="E5210" s="208" t="s">
        <v>168</v>
      </c>
      <c r="F5210" s="209" t="s">
        <v>21</v>
      </c>
      <c r="G5210" s="209" t="s">
        <v>21</v>
      </c>
      <c r="H5210" s="209" t="s">
        <v>16</v>
      </c>
      <c r="I5210" s="210"/>
    </row>
    <row r="5211" spans="1:9" x14ac:dyDescent="0.25">
      <c r="A5211" s="74"/>
      <c r="B5211" s="45">
        <v>2074</v>
      </c>
      <c r="C5211" s="64" t="s">
        <v>2056</v>
      </c>
      <c r="D5211" s="74"/>
      <c r="E5211" s="208" t="s">
        <v>168</v>
      </c>
      <c r="F5211" s="209" t="s">
        <v>21</v>
      </c>
      <c r="G5211" s="209" t="s">
        <v>21</v>
      </c>
      <c r="H5211" s="209" t="s">
        <v>192</v>
      </c>
      <c r="I5211" s="210"/>
    </row>
    <row r="5212" spans="1:9" x14ac:dyDescent="0.25">
      <c r="A5212" s="74"/>
      <c r="B5212" s="45">
        <v>1016</v>
      </c>
      <c r="C5212" s="64" t="s">
        <v>1425</v>
      </c>
      <c r="D5212" s="74"/>
      <c r="E5212" s="208" t="s">
        <v>168</v>
      </c>
      <c r="F5212" s="209" t="s">
        <v>21</v>
      </c>
      <c r="G5212" s="209" t="s">
        <v>21</v>
      </c>
      <c r="H5212" s="209" t="s">
        <v>186</v>
      </c>
      <c r="I5212" s="210"/>
    </row>
    <row r="5213" spans="1:9" x14ac:dyDescent="0.25">
      <c r="A5213" s="74"/>
      <c r="B5213" s="45">
        <v>2075</v>
      </c>
      <c r="C5213" s="64" t="s">
        <v>1839</v>
      </c>
      <c r="D5213" s="74"/>
      <c r="E5213" s="208" t="s">
        <v>286</v>
      </c>
      <c r="F5213" s="209" t="s">
        <v>21</v>
      </c>
      <c r="G5213" s="209" t="s">
        <v>21</v>
      </c>
      <c r="H5213" s="209" t="s">
        <v>200</v>
      </c>
      <c r="I5213" s="210"/>
    </row>
    <row r="5214" spans="1:9" x14ac:dyDescent="0.25">
      <c r="A5214" s="74"/>
      <c r="B5214" s="45">
        <v>1060</v>
      </c>
      <c r="C5214" s="64" t="s">
        <v>1469</v>
      </c>
      <c r="D5214" s="74"/>
      <c r="E5214" s="208" t="s">
        <v>171</v>
      </c>
      <c r="F5214" s="209" t="s">
        <v>21</v>
      </c>
      <c r="G5214" s="209" t="s">
        <v>21</v>
      </c>
      <c r="H5214" s="209" t="s">
        <v>186</v>
      </c>
      <c r="I5214" s="210"/>
    </row>
    <row r="5215" spans="1:9" x14ac:dyDescent="0.25">
      <c r="A5215" s="74"/>
      <c r="B5215" s="45">
        <v>1002</v>
      </c>
      <c r="C5215" s="64" t="s">
        <v>1411</v>
      </c>
      <c r="D5215" s="74"/>
      <c r="E5215" s="208" t="s">
        <v>168</v>
      </c>
      <c r="F5215" s="209" t="s">
        <v>21</v>
      </c>
      <c r="G5215" s="209" t="s">
        <v>21</v>
      </c>
      <c r="H5215" s="209" t="s">
        <v>192</v>
      </c>
      <c r="I5215" s="210"/>
    </row>
    <row r="5216" spans="1:9" x14ac:dyDescent="0.25">
      <c r="A5216" s="74"/>
      <c r="B5216" s="45">
        <v>2076</v>
      </c>
      <c r="C5216" s="64" t="s">
        <v>2068</v>
      </c>
      <c r="D5216" s="74"/>
      <c r="E5216" s="208" t="s">
        <v>168</v>
      </c>
      <c r="F5216" s="209" t="s">
        <v>21</v>
      </c>
      <c r="G5216" s="209" t="s">
        <v>21</v>
      </c>
      <c r="H5216" s="209" t="s">
        <v>192</v>
      </c>
      <c r="I5216" s="210"/>
    </row>
    <row r="5217" spans="1:9" x14ac:dyDescent="0.25">
      <c r="A5217" s="74"/>
      <c r="B5217" s="45">
        <v>1032</v>
      </c>
      <c r="C5217" s="64" t="s">
        <v>1441</v>
      </c>
      <c r="D5217" s="74"/>
      <c r="E5217" s="208" t="s">
        <v>168</v>
      </c>
      <c r="F5217" s="209" t="s">
        <v>21</v>
      </c>
      <c r="G5217" s="209" t="s">
        <v>21</v>
      </c>
      <c r="H5217" s="209" t="s">
        <v>192</v>
      </c>
      <c r="I5217" s="210"/>
    </row>
    <row r="5218" spans="1:9" x14ac:dyDescent="0.25">
      <c r="A5218" s="74"/>
      <c r="B5218" s="45">
        <v>2077</v>
      </c>
      <c r="C5218" s="64" t="s">
        <v>2133</v>
      </c>
      <c r="D5218" s="74"/>
      <c r="E5218" s="208" t="s">
        <v>168</v>
      </c>
      <c r="F5218" s="209" t="s">
        <v>21</v>
      </c>
      <c r="G5218" s="209" t="s">
        <v>21</v>
      </c>
      <c r="H5218" s="209" t="s">
        <v>16</v>
      </c>
      <c r="I5218" s="210"/>
    </row>
    <row r="5219" spans="1:9" x14ac:dyDescent="0.25">
      <c r="A5219" s="74"/>
      <c r="B5219" s="45">
        <v>1032</v>
      </c>
      <c r="C5219" s="64" t="s">
        <v>1441</v>
      </c>
      <c r="D5219" s="74"/>
      <c r="E5219" s="208" t="s">
        <v>168</v>
      </c>
      <c r="F5219" s="209" t="s">
        <v>21</v>
      </c>
      <c r="G5219" s="209" t="s">
        <v>21</v>
      </c>
      <c r="H5219" s="209" t="s">
        <v>192</v>
      </c>
      <c r="I5219" s="210"/>
    </row>
    <row r="5220" spans="1:9" x14ac:dyDescent="0.25">
      <c r="A5220" s="74"/>
      <c r="B5220" s="45">
        <v>2077</v>
      </c>
      <c r="C5220" s="64" t="s">
        <v>2133</v>
      </c>
      <c r="D5220" s="74"/>
      <c r="E5220" s="208" t="s">
        <v>168</v>
      </c>
      <c r="F5220" s="209" t="s">
        <v>21</v>
      </c>
      <c r="G5220" s="209" t="s">
        <v>21</v>
      </c>
      <c r="H5220" s="209" t="s">
        <v>16</v>
      </c>
      <c r="I5220" s="210"/>
    </row>
    <row r="5221" spans="1:9" x14ac:dyDescent="0.25">
      <c r="A5221" s="74"/>
      <c r="B5221" s="45">
        <v>1032</v>
      </c>
      <c r="C5221" s="64" t="s">
        <v>1441</v>
      </c>
      <c r="D5221" s="74"/>
      <c r="E5221" s="208" t="s">
        <v>168</v>
      </c>
      <c r="F5221" s="209" t="s">
        <v>21</v>
      </c>
      <c r="G5221" s="209" t="s">
        <v>21</v>
      </c>
      <c r="H5221" s="209" t="s">
        <v>192</v>
      </c>
      <c r="I5221" s="210"/>
    </row>
    <row r="5222" spans="1:9" x14ac:dyDescent="0.25">
      <c r="A5222" s="74"/>
      <c r="B5222" s="45">
        <v>2077</v>
      </c>
      <c r="C5222" s="64" t="s">
        <v>2133</v>
      </c>
      <c r="D5222" s="74"/>
      <c r="E5222" s="208" t="s">
        <v>168</v>
      </c>
      <c r="F5222" s="209" t="s">
        <v>21</v>
      </c>
      <c r="G5222" s="209" t="s">
        <v>21</v>
      </c>
      <c r="H5222" s="209" t="s">
        <v>16</v>
      </c>
      <c r="I5222" s="210"/>
    </row>
    <row r="5223" spans="1:9" x14ac:dyDescent="0.25">
      <c r="A5223" s="74"/>
      <c r="B5223" s="45">
        <v>1032</v>
      </c>
      <c r="C5223" s="64" t="s">
        <v>1441</v>
      </c>
      <c r="D5223" s="74"/>
      <c r="E5223" s="208" t="s">
        <v>168</v>
      </c>
      <c r="F5223" s="209" t="s">
        <v>21</v>
      </c>
      <c r="G5223" s="209" t="s">
        <v>21</v>
      </c>
      <c r="H5223" s="209" t="s">
        <v>192</v>
      </c>
      <c r="I5223" s="210"/>
    </row>
    <row r="5224" spans="1:9" x14ac:dyDescent="0.25">
      <c r="A5224" s="74"/>
      <c r="B5224" s="45">
        <v>2077</v>
      </c>
      <c r="C5224" s="64" t="s">
        <v>2133</v>
      </c>
      <c r="D5224" s="74"/>
      <c r="E5224" s="208" t="s">
        <v>168</v>
      </c>
      <c r="F5224" s="209" t="s">
        <v>21</v>
      </c>
      <c r="G5224" s="209" t="s">
        <v>21</v>
      </c>
      <c r="H5224" s="209" t="s">
        <v>16</v>
      </c>
      <c r="I5224" s="210"/>
    </row>
    <row r="5225" spans="1:9" x14ac:dyDescent="0.25">
      <c r="A5225" s="74"/>
      <c r="B5225" s="45">
        <v>1032</v>
      </c>
      <c r="C5225" s="64" t="s">
        <v>1441</v>
      </c>
      <c r="D5225" s="74"/>
      <c r="E5225" s="208" t="s">
        <v>168</v>
      </c>
      <c r="F5225" s="209" t="s">
        <v>21</v>
      </c>
      <c r="G5225" s="209" t="s">
        <v>21</v>
      </c>
      <c r="H5225" s="209" t="s">
        <v>192</v>
      </c>
      <c r="I5225" s="210"/>
    </row>
    <row r="5226" spans="1:9" x14ac:dyDescent="0.25">
      <c r="A5226" s="74"/>
      <c r="B5226" s="45">
        <v>2077</v>
      </c>
      <c r="C5226" s="64" t="s">
        <v>2133</v>
      </c>
      <c r="D5226" s="74"/>
      <c r="E5226" s="208" t="s">
        <v>168</v>
      </c>
      <c r="F5226" s="209" t="s">
        <v>21</v>
      </c>
      <c r="G5226" s="209" t="s">
        <v>21</v>
      </c>
      <c r="H5226" s="209" t="s">
        <v>16</v>
      </c>
      <c r="I5226" s="210"/>
    </row>
    <row r="5227" spans="1:9" x14ac:dyDescent="0.25">
      <c r="A5227" s="74"/>
      <c r="B5227" s="45">
        <v>1010</v>
      </c>
      <c r="C5227" s="64" t="s">
        <v>1419</v>
      </c>
      <c r="D5227" s="74"/>
      <c r="E5227" s="208" t="s">
        <v>168</v>
      </c>
      <c r="F5227" s="209" t="s">
        <v>21</v>
      </c>
      <c r="G5227" s="209" t="s">
        <v>21</v>
      </c>
      <c r="H5227" s="209" t="s">
        <v>198</v>
      </c>
      <c r="I5227" s="210"/>
    </row>
    <row r="5228" spans="1:9" x14ac:dyDescent="0.25">
      <c r="A5228" s="74"/>
      <c r="B5228" s="45">
        <v>2078</v>
      </c>
      <c r="C5228" s="64" t="s">
        <v>1850</v>
      </c>
      <c r="D5228" s="74"/>
      <c r="E5228" s="208" t="s">
        <v>172</v>
      </c>
      <c r="F5228" s="209" t="s">
        <v>21</v>
      </c>
      <c r="G5228" s="209" t="s">
        <v>21</v>
      </c>
      <c r="H5228" s="209" t="s">
        <v>189</v>
      </c>
      <c r="I5228" s="210"/>
    </row>
    <row r="5229" spans="1:9" x14ac:dyDescent="0.25">
      <c r="A5229" s="74"/>
      <c r="B5229" s="45">
        <v>1013</v>
      </c>
      <c r="C5229" s="64" t="s">
        <v>1422</v>
      </c>
      <c r="D5229" s="74"/>
      <c r="E5229" s="208" t="s">
        <v>168</v>
      </c>
      <c r="F5229" s="209" t="s">
        <v>21</v>
      </c>
      <c r="G5229" s="209" t="s">
        <v>21</v>
      </c>
      <c r="H5229" s="209" t="s">
        <v>192</v>
      </c>
      <c r="I5229" s="210"/>
    </row>
    <row r="5230" spans="1:9" x14ac:dyDescent="0.25">
      <c r="A5230" s="74"/>
      <c r="B5230" s="45">
        <v>2079</v>
      </c>
      <c r="C5230" s="64" t="s">
        <v>2093</v>
      </c>
      <c r="D5230" s="74"/>
      <c r="E5230" s="208" t="s">
        <v>168</v>
      </c>
      <c r="F5230" s="209" t="s">
        <v>21</v>
      </c>
      <c r="G5230" s="209" t="s">
        <v>21</v>
      </c>
      <c r="H5230" s="209" t="s">
        <v>272</v>
      </c>
      <c r="I5230" s="210"/>
    </row>
    <row r="5231" spans="1:9" x14ac:dyDescent="0.25">
      <c r="A5231" s="74"/>
      <c r="B5231" s="45">
        <v>2080</v>
      </c>
      <c r="C5231" s="64" t="s">
        <v>1582</v>
      </c>
      <c r="D5231" s="74"/>
      <c r="E5231" s="208" t="s">
        <v>168</v>
      </c>
      <c r="F5231" s="209" t="s">
        <v>21</v>
      </c>
      <c r="G5231" s="209" t="s">
        <v>21</v>
      </c>
      <c r="H5231" s="209" t="s">
        <v>272</v>
      </c>
      <c r="I5231" s="210"/>
    </row>
    <row r="5232" spans="1:9" x14ac:dyDescent="0.25">
      <c r="A5232" s="74"/>
      <c r="B5232" s="45">
        <v>2081</v>
      </c>
      <c r="C5232" s="64" t="s">
        <v>1956</v>
      </c>
      <c r="D5232" s="74"/>
      <c r="E5232" s="208" t="s">
        <v>168</v>
      </c>
      <c r="F5232" s="209" t="s">
        <v>21</v>
      </c>
      <c r="G5232" s="209" t="s">
        <v>21</v>
      </c>
      <c r="H5232" s="209" t="s">
        <v>272</v>
      </c>
      <c r="I5232" s="210"/>
    </row>
    <row r="5233" spans="1:9" x14ac:dyDescent="0.25">
      <c r="A5233" s="74"/>
      <c r="B5233" s="45">
        <v>2082</v>
      </c>
      <c r="C5233" s="64" t="s">
        <v>1928</v>
      </c>
      <c r="D5233" s="74"/>
      <c r="E5233" s="208" t="s">
        <v>168</v>
      </c>
      <c r="F5233" s="209" t="s">
        <v>21</v>
      </c>
      <c r="G5233" s="209" t="s">
        <v>21</v>
      </c>
      <c r="H5233" s="209" t="s">
        <v>272</v>
      </c>
      <c r="I5233" s="210"/>
    </row>
    <row r="5234" spans="1:9" x14ac:dyDescent="0.25">
      <c r="A5234" s="74"/>
      <c r="B5234" s="45">
        <v>2083</v>
      </c>
      <c r="C5234" s="64" t="s">
        <v>1949</v>
      </c>
      <c r="D5234" s="74"/>
      <c r="E5234" s="208" t="s">
        <v>168</v>
      </c>
      <c r="F5234" s="209" t="s">
        <v>21</v>
      </c>
      <c r="G5234" s="209" t="s">
        <v>21</v>
      </c>
      <c r="H5234" s="209" t="s">
        <v>272</v>
      </c>
      <c r="I5234" s="210"/>
    </row>
    <row r="5235" spans="1:9" x14ac:dyDescent="0.25">
      <c r="A5235" s="74"/>
      <c r="B5235" s="45">
        <v>1013</v>
      </c>
      <c r="C5235" s="64" t="s">
        <v>1422</v>
      </c>
      <c r="D5235" s="74"/>
      <c r="E5235" s="208" t="s">
        <v>168</v>
      </c>
      <c r="F5235" s="209" t="s">
        <v>21</v>
      </c>
      <c r="G5235" s="209" t="s">
        <v>21</v>
      </c>
      <c r="H5235" s="209" t="s">
        <v>192</v>
      </c>
      <c r="I5235" s="210"/>
    </row>
    <row r="5236" spans="1:9" x14ac:dyDescent="0.25">
      <c r="A5236" s="74"/>
      <c r="B5236" s="45">
        <v>1012</v>
      </c>
      <c r="C5236" s="64" t="s">
        <v>1421</v>
      </c>
      <c r="D5236" s="74"/>
      <c r="E5236" s="208" t="s">
        <v>168</v>
      </c>
      <c r="F5236" s="209" t="s">
        <v>21</v>
      </c>
      <c r="G5236" s="209" t="s">
        <v>21</v>
      </c>
      <c r="H5236" s="209" t="s">
        <v>192</v>
      </c>
      <c r="I5236" s="210"/>
    </row>
    <row r="5237" spans="1:9" x14ac:dyDescent="0.25">
      <c r="A5237" s="74"/>
      <c r="B5237" s="45">
        <v>2084</v>
      </c>
      <c r="C5237" s="64" t="s">
        <v>2134</v>
      </c>
      <c r="D5237" s="74"/>
      <c r="E5237" s="208" t="s">
        <v>168</v>
      </c>
      <c r="F5237" s="209" t="s">
        <v>21</v>
      </c>
      <c r="G5237" s="209" t="s">
        <v>21</v>
      </c>
      <c r="H5237" s="209" t="s">
        <v>272</v>
      </c>
      <c r="I5237" s="210"/>
    </row>
    <row r="5238" spans="1:9" x14ac:dyDescent="0.25">
      <c r="A5238" s="74"/>
      <c r="B5238" s="45">
        <v>2079</v>
      </c>
      <c r="C5238" s="64" t="s">
        <v>2093</v>
      </c>
      <c r="D5238" s="74"/>
      <c r="E5238" s="208" t="s">
        <v>168</v>
      </c>
      <c r="F5238" s="209" t="s">
        <v>21</v>
      </c>
      <c r="G5238" s="209" t="s">
        <v>21</v>
      </c>
      <c r="H5238" s="209" t="s">
        <v>272</v>
      </c>
      <c r="I5238" s="210"/>
    </row>
    <row r="5239" spans="1:9" x14ac:dyDescent="0.25">
      <c r="A5239" s="74"/>
      <c r="B5239" s="45">
        <v>2079</v>
      </c>
      <c r="C5239" s="64" t="s">
        <v>2093</v>
      </c>
      <c r="D5239" s="74"/>
      <c r="E5239" s="208" t="s">
        <v>168</v>
      </c>
      <c r="F5239" s="209" t="s">
        <v>21</v>
      </c>
      <c r="G5239" s="209" t="s">
        <v>21</v>
      </c>
      <c r="H5239" s="209" t="s">
        <v>272</v>
      </c>
      <c r="I5239" s="210"/>
    </row>
    <row r="5240" spans="1:9" x14ac:dyDescent="0.25">
      <c r="A5240" s="74"/>
      <c r="B5240" s="45">
        <v>2080</v>
      </c>
      <c r="C5240" s="64" t="s">
        <v>1582</v>
      </c>
      <c r="D5240" s="74"/>
      <c r="E5240" s="208" t="s">
        <v>168</v>
      </c>
      <c r="F5240" s="209" t="s">
        <v>21</v>
      </c>
      <c r="G5240" s="209" t="s">
        <v>21</v>
      </c>
      <c r="H5240" s="209" t="s">
        <v>272</v>
      </c>
      <c r="I5240" s="210"/>
    </row>
    <row r="5241" spans="1:9" x14ac:dyDescent="0.25">
      <c r="A5241" s="74"/>
      <c r="B5241" s="45">
        <v>2081</v>
      </c>
      <c r="C5241" s="64" t="s">
        <v>1956</v>
      </c>
      <c r="D5241" s="74"/>
      <c r="E5241" s="208" t="s">
        <v>168</v>
      </c>
      <c r="F5241" s="209" t="s">
        <v>21</v>
      </c>
      <c r="G5241" s="209" t="s">
        <v>21</v>
      </c>
      <c r="H5241" s="209" t="s">
        <v>272</v>
      </c>
      <c r="I5241" s="210"/>
    </row>
    <row r="5242" spans="1:9" x14ac:dyDescent="0.25">
      <c r="A5242" s="74"/>
      <c r="B5242" s="45">
        <v>2082</v>
      </c>
      <c r="C5242" s="64" t="s">
        <v>1928</v>
      </c>
      <c r="D5242" s="74"/>
      <c r="E5242" s="208" t="s">
        <v>168</v>
      </c>
      <c r="F5242" s="209" t="s">
        <v>21</v>
      </c>
      <c r="G5242" s="209" t="s">
        <v>21</v>
      </c>
      <c r="H5242" s="209" t="s">
        <v>272</v>
      </c>
      <c r="I5242" s="210"/>
    </row>
    <row r="5243" spans="1:9" x14ac:dyDescent="0.25">
      <c r="A5243" s="74"/>
      <c r="B5243" s="45">
        <v>2083</v>
      </c>
      <c r="C5243" s="64" t="s">
        <v>1949</v>
      </c>
      <c r="D5243" s="74"/>
      <c r="E5243" s="208" t="s">
        <v>168</v>
      </c>
      <c r="F5243" s="209" t="s">
        <v>21</v>
      </c>
      <c r="G5243" s="209" t="s">
        <v>21</v>
      </c>
      <c r="H5243" s="209" t="s">
        <v>272</v>
      </c>
      <c r="I5243" s="210"/>
    </row>
    <row r="5244" spans="1:9" x14ac:dyDescent="0.25">
      <c r="A5244" s="74"/>
      <c r="B5244" s="45">
        <v>2079</v>
      </c>
      <c r="C5244" s="64" t="s">
        <v>2093</v>
      </c>
      <c r="D5244" s="74"/>
      <c r="E5244" s="208" t="s">
        <v>168</v>
      </c>
      <c r="F5244" s="209" t="s">
        <v>21</v>
      </c>
      <c r="G5244" s="209" t="s">
        <v>21</v>
      </c>
      <c r="H5244" s="209" t="s">
        <v>272</v>
      </c>
      <c r="I5244" s="210"/>
    </row>
    <row r="5245" spans="1:9" x14ac:dyDescent="0.25">
      <c r="A5245" s="74"/>
      <c r="B5245" s="45">
        <v>2080</v>
      </c>
      <c r="C5245" s="64" t="s">
        <v>1582</v>
      </c>
      <c r="D5245" s="74"/>
      <c r="E5245" s="208" t="s">
        <v>168</v>
      </c>
      <c r="F5245" s="209" t="s">
        <v>21</v>
      </c>
      <c r="G5245" s="209" t="s">
        <v>21</v>
      </c>
      <c r="H5245" s="209" t="s">
        <v>272</v>
      </c>
      <c r="I5245" s="210"/>
    </row>
    <row r="5246" spans="1:9" x14ac:dyDescent="0.25">
      <c r="A5246" s="74"/>
      <c r="B5246" s="45">
        <v>2081</v>
      </c>
      <c r="C5246" s="64" t="s">
        <v>1956</v>
      </c>
      <c r="D5246" s="74"/>
      <c r="E5246" s="208" t="s">
        <v>168</v>
      </c>
      <c r="F5246" s="209" t="s">
        <v>21</v>
      </c>
      <c r="G5246" s="209" t="s">
        <v>21</v>
      </c>
      <c r="H5246" s="209" t="s">
        <v>272</v>
      </c>
      <c r="I5246" s="210"/>
    </row>
    <row r="5247" spans="1:9" x14ac:dyDescent="0.25">
      <c r="A5247" s="74"/>
      <c r="B5247" s="45">
        <v>2082</v>
      </c>
      <c r="C5247" s="64" t="s">
        <v>1928</v>
      </c>
      <c r="D5247" s="74"/>
      <c r="E5247" s="208" t="s">
        <v>168</v>
      </c>
      <c r="F5247" s="209" t="s">
        <v>21</v>
      </c>
      <c r="G5247" s="209" t="s">
        <v>21</v>
      </c>
      <c r="H5247" s="209" t="s">
        <v>272</v>
      </c>
      <c r="I5247" s="210"/>
    </row>
    <row r="5248" spans="1:9" x14ac:dyDescent="0.25">
      <c r="A5248" s="74"/>
      <c r="B5248" s="45">
        <v>2083</v>
      </c>
      <c r="C5248" s="64" t="s">
        <v>1949</v>
      </c>
      <c r="D5248" s="74"/>
      <c r="E5248" s="208" t="s">
        <v>168</v>
      </c>
      <c r="F5248" s="209" t="s">
        <v>21</v>
      </c>
      <c r="G5248" s="209" t="s">
        <v>21</v>
      </c>
      <c r="H5248" s="209" t="s">
        <v>272</v>
      </c>
      <c r="I5248" s="210"/>
    </row>
    <row r="5249" spans="1:9" x14ac:dyDescent="0.25">
      <c r="A5249" s="74"/>
      <c r="B5249" s="45">
        <v>2079</v>
      </c>
      <c r="C5249" s="64" t="s">
        <v>2093</v>
      </c>
      <c r="D5249" s="74"/>
      <c r="E5249" s="208" t="s">
        <v>168</v>
      </c>
      <c r="F5249" s="209" t="s">
        <v>21</v>
      </c>
      <c r="G5249" s="209" t="s">
        <v>21</v>
      </c>
      <c r="H5249" s="209" t="s">
        <v>272</v>
      </c>
      <c r="I5249" s="210"/>
    </row>
    <row r="5250" spans="1:9" x14ac:dyDescent="0.25">
      <c r="A5250" s="74"/>
      <c r="B5250" s="45">
        <v>2080</v>
      </c>
      <c r="C5250" s="64" t="s">
        <v>1582</v>
      </c>
      <c r="D5250" s="74"/>
      <c r="E5250" s="208" t="s">
        <v>168</v>
      </c>
      <c r="F5250" s="209" t="s">
        <v>21</v>
      </c>
      <c r="G5250" s="209" t="s">
        <v>21</v>
      </c>
      <c r="H5250" s="209" t="s">
        <v>272</v>
      </c>
      <c r="I5250" s="210"/>
    </row>
    <row r="5251" spans="1:9" x14ac:dyDescent="0.25">
      <c r="A5251" s="74"/>
      <c r="B5251" s="45">
        <v>2081</v>
      </c>
      <c r="C5251" s="64" t="s">
        <v>1956</v>
      </c>
      <c r="D5251" s="74"/>
      <c r="E5251" s="208" t="s">
        <v>168</v>
      </c>
      <c r="F5251" s="209" t="s">
        <v>21</v>
      </c>
      <c r="G5251" s="209" t="s">
        <v>21</v>
      </c>
      <c r="H5251" s="209" t="s">
        <v>272</v>
      </c>
      <c r="I5251" s="210"/>
    </row>
    <row r="5252" spans="1:9" x14ac:dyDescent="0.25">
      <c r="A5252" s="74"/>
      <c r="B5252" s="45">
        <v>2082</v>
      </c>
      <c r="C5252" s="64" t="s">
        <v>1928</v>
      </c>
      <c r="D5252" s="74"/>
      <c r="E5252" s="208" t="s">
        <v>168</v>
      </c>
      <c r="F5252" s="209" t="s">
        <v>21</v>
      </c>
      <c r="G5252" s="209" t="s">
        <v>21</v>
      </c>
      <c r="H5252" s="209" t="s">
        <v>272</v>
      </c>
      <c r="I5252" s="210"/>
    </row>
    <row r="5253" spans="1:9" x14ac:dyDescent="0.25">
      <c r="A5253" s="74"/>
      <c r="B5253" s="45">
        <v>2083</v>
      </c>
      <c r="C5253" s="64" t="s">
        <v>1949</v>
      </c>
      <c r="D5253" s="74"/>
      <c r="E5253" s="208" t="s">
        <v>168</v>
      </c>
      <c r="F5253" s="209" t="s">
        <v>21</v>
      </c>
      <c r="G5253" s="209" t="s">
        <v>21</v>
      </c>
      <c r="H5253" s="209" t="s">
        <v>272</v>
      </c>
      <c r="I5253" s="210"/>
    </row>
    <row r="5254" spans="1:9" x14ac:dyDescent="0.25">
      <c r="A5254" s="74"/>
      <c r="B5254" s="45">
        <v>2079</v>
      </c>
      <c r="C5254" s="64" t="s">
        <v>2093</v>
      </c>
      <c r="D5254" s="74"/>
      <c r="E5254" s="208" t="s">
        <v>168</v>
      </c>
      <c r="F5254" s="209" t="s">
        <v>21</v>
      </c>
      <c r="G5254" s="209" t="s">
        <v>21</v>
      </c>
      <c r="H5254" s="209" t="s">
        <v>272</v>
      </c>
      <c r="I5254" s="210"/>
    </row>
    <row r="5255" spans="1:9" x14ac:dyDescent="0.25">
      <c r="A5255" s="74"/>
      <c r="B5255" s="45">
        <v>2080</v>
      </c>
      <c r="C5255" s="64" t="s">
        <v>1582</v>
      </c>
      <c r="D5255" s="74"/>
      <c r="E5255" s="208" t="s">
        <v>168</v>
      </c>
      <c r="F5255" s="209" t="s">
        <v>21</v>
      </c>
      <c r="G5255" s="209" t="s">
        <v>21</v>
      </c>
      <c r="H5255" s="209" t="s">
        <v>272</v>
      </c>
      <c r="I5255" s="210"/>
    </row>
    <row r="5256" spans="1:9" x14ac:dyDescent="0.25">
      <c r="A5256" s="74"/>
      <c r="B5256" s="45">
        <v>2081</v>
      </c>
      <c r="C5256" s="64" t="s">
        <v>1956</v>
      </c>
      <c r="D5256" s="74"/>
      <c r="E5256" s="208" t="s">
        <v>168</v>
      </c>
      <c r="F5256" s="209" t="s">
        <v>21</v>
      </c>
      <c r="G5256" s="209" t="s">
        <v>21</v>
      </c>
      <c r="H5256" s="209" t="s">
        <v>272</v>
      </c>
      <c r="I5256" s="210"/>
    </row>
    <row r="5257" spans="1:9" x14ac:dyDescent="0.25">
      <c r="A5257" s="74"/>
      <c r="B5257" s="45">
        <v>2082</v>
      </c>
      <c r="C5257" s="64" t="s">
        <v>1928</v>
      </c>
      <c r="D5257" s="74"/>
      <c r="E5257" s="208" t="s">
        <v>168</v>
      </c>
      <c r="F5257" s="209" t="s">
        <v>21</v>
      </c>
      <c r="G5257" s="209" t="s">
        <v>21</v>
      </c>
      <c r="H5257" s="209" t="s">
        <v>272</v>
      </c>
      <c r="I5257" s="210"/>
    </row>
    <row r="5258" spans="1:9" x14ac:dyDescent="0.25">
      <c r="A5258" s="74"/>
      <c r="B5258" s="45">
        <v>2083</v>
      </c>
      <c r="C5258" s="64" t="s">
        <v>1949</v>
      </c>
      <c r="D5258" s="74"/>
      <c r="E5258" s="208" t="s">
        <v>168</v>
      </c>
      <c r="F5258" s="209" t="s">
        <v>21</v>
      </c>
      <c r="G5258" s="209" t="s">
        <v>21</v>
      </c>
      <c r="H5258" s="209" t="s">
        <v>272</v>
      </c>
      <c r="I5258" s="210"/>
    </row>
    <row r="5259" spans="1:9" x14ac:dyDescent="0.25">
      <c r="A5259" s="74"/>
      <c r="B5259" s="45">
        <v>1013</v>
      </c>
      <c r="C5259" s="64" t="s">
        <v>1422</v>
      </c>
      <c r="D5259" s="74"/>
      <c r="E5259" s="208" t="s">
        <v>168</v>
      </c>
      <c r="F5259" s="209" t="s">
        <v>21</v>
      </c>
      <c r="G5259" s="209" t="s">
        <v>21</v>
      </c>
      <c r="H5259" s="209" t="s">
        <v>192</v>
      </c>
      <c r="I5259" s="210"/>
    </row>
    <row r="5260" spans="1:9" x14ac:dyDescent="0.25">
      <c r="A5260" s="74"/>
      <c r="B5260" s="45">
        <v>1012</v>
      </c>
      <c r="C5260" s="64" t="s">
        <v>1421</v>
      </c>
      <c r="D5260" s="74"/>
      <c r="E5260" s="208" t="s">
        <v>168</v>
      </c>
      <c r="F5260" s="209" t="s">
        <v>21</v>
      </c>
      <c r="G5260" s="209" t="s">
        <v>21</v>
      </c>
      <c r="H5260" s="209" t="s">
        <v>192</v>
      </c>
      <c r="I5260" s="210"/>
    </row>
    <row r="5261" spans="1:9" x14ac:dyDescent="0.25">
      <c r="A5261" s="74"/>
      <c r="B5261" s="45">
        <v>2084</v>
      </c>
      <c r="C5261" s="64" t="s">
        <v>2134</v>
      </c>
      <c r="D5261" s="74"/>
      <c r="E5261" s="208" t="s">
        <v>168</v>
      </c>
      <c r="F5261" s="209" t="s">
        <v>21</v>
      </c>
      <c r="G5261" s="209" t="s">
        <v>21</v>
      </c>
      <c r="H5261" s="209" t="s">
        <v>272</v>
      </c>
      <c r="I5261" s="210"/>
    </row>
    <row r="5262" spans="1:9" x14ac:dyDescent="0.25">
      <c r="A5262" s="74"/>
      <c r="B5262" s="45">
        <v>2085</v>
      </c>
      <c r="C5262" s="64" t="s">
        <v>2040</v>
      </c>
      <c r="D5262" s="74"/>
      <c r="E5262" s="208" t="s">
        <v>168</v>
      </c>
      <c r="F5262" s="209" t="s">
        <v>21</v>
      </c>
      <c r="G5262" s="209" t="s">
        <v>21</v>
      </c>
      <c r="H5262" s="209" t="s">
        <v>272</v>
      </c>
      <c r="I5262" s="210"/>
    </row>
    <row r="5263" spans="1:9" x14ac:dyDescent="0.25">
      <c r="A5263" s="74"/>
      <c r="B5263" s="45">
        <v>1023</v>
      </c>
      <c r="C5263" s="64" t="s">
        <v>1432</v>
      </c>
      <c r="D5263" s="74"/>
      <c r="E5263" s="208" t="s">
        <v>168</v>
      </c>
      <c r="F5263" s="209" t="s">
        <v>21</v>
      </c>
      <c r="G5263" s="209" t="s">
        <v>21</v>
      </c>
      <c r="H5263" s="209" t="s">
        <v>198</v>
      </c>
      <c r="I5263" s="210"/>
    </row>
    <row r="5264" spans="1:9" x14ac:dyDescent="0.25">
      <c r="A5264" s="74"/>
      <c r="B5264" s="45">
        <v>1016</v>
      </c>
      <c r="C5264" s="64" t="s">
        <v>1425</v>
      </c>
      <c r="D5264" s="74"/>
      <c r="E5264" s="208" t="s">
        <v>168</v>
      </c>
      <c r="F5264" s="209" t="s">
        <v>21</v>
      </c>
      <c r="G5264" s="209" t="s">
        <v>21</v>
      </c>
      <c r="H5264" s="209" t="s">
        <v>192</v>
      </c>
      <c r="I5264" s="210"/>
    </row>
    <row r="5265" spans="1:9" x14ac:dyDescent="0.25">
      <c r="A5265" s="74"/>
      <c r="B5265" s="45">
        <v>2086</v>
      </c>
      <c r="C5265" s="64" t="s">
        <v>2120</v>
      </c>
      <c r="D5265" s="74"/>
      <c r="E5265" s="208" t="s">
        <v>172</v>
      </c>
      <c r="F5265" s="209" t="s">
        <v>21</v>
      </c>
      <c r="G5265" s="209" t="s">
        <v>21</v>
      </c>
      <c r="H5265" s="209" t="s">
        <v>186</v>
      </c>
      <c r="I5265" s="210"/>
    </row>
    <row r="5266" spans="1:9" x14ac:dyDescent="0.25">
      <c r="A5266" s="74"/>
      <c r="B5266" s="45">
        <v>2087</v>
      </c>
      <c r="C5266" s="64" t="s">
        <v>2135</v>
      </c>
      <c r="D5266" s="74"/>
      <c r="E5266" s="208" t="s">
        <v>168</v>
      </c>
      <c r="F5266" s="209" t="s">
        <v>21</v>
      </c>
      <c r="G5266" s="209" t="s">
        <v>21</v>
      </c>
      <c r="H5266" s="209" t="s">
        <v>272</v>
      </c>
      <c r="I5266" s="210"/>
    </row>
    <row r="5267" spans="1:9" x14ac:dyDescent="0.25">
      <c r="A5267" s="74"/>
      <c r="B5267" s="45">
        <v>2088</v>
      </c>
      <c r="C5267" s="64" t="s">
        <v>2089</v>
      </c>
      <c r="D5267" s="74"/>
      <c r="E5267" s="208" t="s">
        <v>168</v>
      </c>
      <c r="F5267" s="209" t="s">
        <v>21</v>
      </c>
      <c r="G5267" s="209" t="s">
        <v>21</v>
      </c>
      <c r="H5267" s="209" t="s">
        <v>272</v>
      </c>
      <c r="I5267" s="210"/>
    </row>
    <row r="5268" spans="1:9" x14ac:dyDescent="0.25">
      <c r="A5268" s="74"/>
      <c r="B5268" s="45">
        <v>2089</v>
      </c>
      <c r="C5268" s="64" t="s">
        <v>1990</v>
      </c>
      <c r="D5268" s="74"/>
      <c r="E5268" s="208" t="s">
        <v>168</v>
      </c>
      <c r="F5268" s="209" t="s">
        <v>21</v>
      </c>
      <c r="G5268" s="209" t="s">
        <v>21</v>
      </c>
      <c r="H5268" s="209" t="s">
        <v>272</v>
      </c>
      <c r="I5268" s="210"/>
    </row>
    <row r="5269" spans="1:9" x14ac:dyDescent="0.25">
      <c r="A5269" s="74"/>
      <c r="B5269" s="45">
        <v>2090</v>
      </c>
      <c r="C5269" s="64" t="s">
        <v>1647</v>
      </c>
      <c r="D5269" s="74"/>
      <c r="E5269" s="208" t="s">
        <v>168</v>
      </c>
      <c r="F5269" s="209" t="s">
        <v>21</v>
      </c>
      <c r="G5269" s="209" t="s">
        <v>21</v>
      </c>
      <c r="H5269" s="209" t="s">
        <v>272</v>
      </c>
      <c r="I5269" s="210"/>
    </row>
    <row r="5270" spans="1:9" x14ac:dyDescent="0.25">
      <c r="A5270" s="74"/>
      <c r="B5270" s="45">
        <v>2091</v>
      </c>
      <c r="C5270" s="64" t="s">
        <v>2072</v>
      </c>
      <c r="D5270" s="74"/>
      <c r="E5270" s="208" t="s">
        <v>168</v>
      </c>
      <c r="F5270" s="209" t="s">
        <v>21</v>
      </c>
      <c r="G5270" s="209" t="s">
        <v>21</v>
      </c>
      <c r="H5270" s="209" t="s">
        <v>272</v>
      </c>
      <c r="I5270" s="210"/>
    </row>
    <row r="5271" spans="1:9" x14ac:dyDescent="0.25">
      <c r="A5271" s="74"/>
      <c r="B5271" s="45">
        <v>2092</v>
      </c>
      <c r="C5271" s="64" t="s">
        <v>2021</v>
      </c>
      <c r="D5271" s="74"/>
      <c r="E5271" s="208" t="s">
        <v>168</v>
      </c>
      <c r="F5271" s="209" t="s">
        <v>21</v>
      </c>
      <c r="G5271" s="209" t="s">
        <v>21</v>
      </c>
      <c r="H5271" s="209" t="s">
        <v>272</v>
      </c>
      <c r="I5271" s="210"/>
    </row>
    <row r="5272" spans="1:9" x14ac:dyDescent="0.25">
      <c r="A5272" s="74"/>
      <c r="B5272" s="45">
        <v>1020</v>
      </c>
      <c r="C5272" s="64" t="s">
        <v>1429</v>
      </c>
      <c r="D5272" s="74"/>
      <c r="E5272" s="208" t="s">
        <v>168</v>
      </c>
      <c r="F5272" s="209" t="s">
        <v>21</v>
      </c>
      <c r="G5272" s="209" t="s">
        <v>21</v>
      </c>
      <c r="H5272" s="209" t="s">
        <v>192</v>
      </c>
      <c r="I5272" s="210"/>
    </row>
    <row r="5273" spans="1:9" x14ac:dyDescent="0.25">
      <c r="A5273" s="74"/>
      <c r="B5273" s="45">
        <v>2093</v>
      </c>
      <c r="C5273" s="64" t="s">
        <v>2106</v>
      </c>
      <c r="D5273" s="74"/>
      <c r="E5273" s="208" t="s">
        <v>168</v>
      </c>
      <c r="F5273" s="209" t="s">
        <v>21</v>
      </c>
      <c r="G5273" s="209" t="s">
        <v>21</v>
      </c>
      <c r="H5273" s="209" t="s">
        <v>192</v>
      </c>
      <c r="I5273" s="210"/>
    </row>
    <row r="5274" spans="1:9" x14ac:dyDescent="0.25">
      <c r="A5274" s="74"/>
      <c r="B5274" s="45">
        <v>2094</v>
      </c>
      <c r="C5274" s="64" t="s">
        <v>1965</v>
      </c>
      <c r="D5274" s="74"/>
      <c r="E5274" s="208" t="s">
        <v>168</v>
      </c>
      <c r="F5274" s="209" t="s">
        <v>21</v>
      </c>
      <c r="G5274" s="209" t="s">
        <v>21</v>
      </c>
      <c r="H5274" s="209" t="s">
        <v>192</v>
      </c>
      <c r="I5274" s="210"/>
    </row>
    <row r="5275" spans="1:9" x14ac:dyDescent="0.25">
      <c r="A5275" s="74"/>
      <c r="B5275" s="45">
        <v>2087</v>
      </c>
      <c r="C5275" s="64" t="s">
        <v>2135</v>
      </c>
      <c r="D5275" s="74"/>
      <c r="E5275" s="208" t="s">
        <v>168</v>
      </c>
      <c r="F5275" s="209" t="s">
        <v>21</v>
      </c>
      <c r="G5275" s="209" t="s">
        <v>21</v>
      </c>
      <c r="H5275" s="209" t="s">
        <v>272</v>
      </c>
      <c r="I5275" s="210"/>
    </row>
    <row r="5276" spans="1:9" x14ac:dyDescent="0.25">
      <c r="A5276" s="74"/>
      <c r="B5276" s="45">
        <v>2088</v>
      </c>
      <c r="C5276" s="64" t="s">
        <v>2089</v>
      </c>
      <c r="D5276" s="74"/>
      <c r="E5276" s="208" t="s">
        <v>168</v>
      </c>
      <c r="F5276" s="209" t="s">
        <v>21</v>
      </c>
      <c r="G5276" s="209" t="s">
        <v>21</v>
      </c>
      <c r="H5276" s="209" t="s">
        <v>272</v>
      </c>
      <c r="I5276" s="210"/>
    </row>
    <row r="5277" spans="1:9" x14ac:dyDescent="0.25">
      <c r="A5277" s="74"/>
      <c r="B5277" s="45">
        <v>2089</v>
      </c>
      <c r="C5277" s="64" t="s">
        <v>1990</v>
      </c>
      <c r="D5277" s="74"/>
      <c r="E5277" s="208" t="s">
        <v>168</v>
      </c>
      <c r="F5277" s="209" t="s">
        <v>21</v>
      </c>
      <c r="G5277" s="209" t="s">
        <v>21</v>
      </c>
      <c r="H5277" s="209" t="s">
        <v>272</v>
      </c>
      <c r="I5277" s="210"/>
    </row>
    <row r="5278" spans="1:9" x14ac:dyDescent="0.25">
      <c r="A5278" s="74"/>
      <c r="B5278" s="45">
        <v>2090</v>
      </c>
      <c r="C5278" s="64" t="s">
        <v>1647</v>
      </c>
      <c r="D5278" s="74"/>
      <c r="E5278" s="208" t="s">
        <v>168</v>
      </c>
      <c r="F5278" s="209" t="s">
        <v>21</v>
      </c>
      <c r="G5278" s="209" t="s">
        <v>21</v>
      </c>
      <c r="H5278" s="209" t="s">
        <v>272</v>
      </c>
      <c r="I5278" s="210"/>
    </row>
    <row r="5279" spans="1:9" x14ac:dyDescent="0.25">
      <c r="A5279" s="74"/>
      <c r="B5279" s="45">
        <v>2091</v>
      </c>
      <c r="C5279" s="64" t="s">
        <v>2072</v>
      </c>
      <c r="D5279" s="74"/>
      <c r="E5279" s="208" t="s">
        <v>168</v>
      </c>
      <c r="F5279" s="209" t="s">
        <v>21</v>
      </c>
      <c r="G5279" s="209" t="s">
        <v>21</v>
      </c>
      <c r="H5279" s="209" t="s">
        <v>272</v>
      </c>
      <c r="I5279" s="210"/>
    </row>
    <row r="5280" spans="1:9" x14ac:dyDescent="0.25">
      <c r="A5280" s="74"/>
      <c r="B5280" s="45">
        <v>2092</v>
      </c>
      <c r="C5280" s="64" t="s">
        <v>2021</v>
      </c>
      <c r="D5280" s="74"/>
      <c r="E5280" s="208" t="s">
        <v>168</v>
      </c>
      <c r="F5280" s="209" t="s">
        <v>21</v>
      </c>
      <c r="G5280" s="209" t="s">
        <v>21</v>
      </c>
      <c r="H5280" s="209" t="s">
        <v>272</v>
      </c>
      <c r="I5280" s="210"/>
    </row>
    <row r="5281" spans="1:9" x14ac:dyDescent="0.25">
      <c r="A5281" s="74"/>
      <c r="B5281" s="45">
        <v>1020</v>
      </c>
      <c r="C5281" s="64" t="s">
        <v>1429</v>
      </c>
      <c r="D5281" s="74"/>
      <c r="E5281" s="208" t="s">
        <v>168</v>
      </c>
      <c r="F5281" s="209" t="s">
        <v>21</v>
      </c>
      <c r="G5281" s="209" t="s">
        <v>21</v>
      </c>
      <c r="H5281" s="209" t="s">
        <v>192</v>
      </c>
      <c r="I5281" s="210"/>
    </row>
    <row r="5282" spans="1:9" x14ac:dyDescent="0.25">
      <c r="A5282" s="74"/>
      <c r="B5282" s="45">
        <v>2093</v>
      </c>
      <c r="C5282" s="64" t="s">
        <v>2106</v>
      </c>
      <c r="D5282" s="74"/>
      <c r="E5282" s="208" t="s">
        <v>168</v>
      </c>
      <c r="F5282" s="209" t="s">
        <v>21</v>
      </c>
      <c r="G5282" s="209" t="s">
        <v>21</v>
      </c>
      <c r="H5282" s="209" t="s">
        <v>192</v>
      </c>
      <c r="I5282" s="210"/>
    </row>
    <row r="5283" spans="1:9" x14ac:dyDescent="0.25">
      <c r="A5283" s="74"/>
      <c r="B5283" s="45">
        <v>2094</v>
      </c>
      <c r="C5283" s="64" t="s">
        <v>1965</v>
      </c>
      <c r="D5283" s="74"/>
      <c r="E5283" s="208" t="s">
        <v>168</v>
      </c>
      <c r="F5283" s="209" t="s">
        <v>21</v>
      </c>
      <c r="G5283" s="209" t="s">
        <v>21</v>
      </c>
      <c r="H5283" s="209" t="s">
        <v>192</v>
      </c>
      <c r="I5283" s="210"/>
    </row>
    <row r="5284" spans="1:9" x14ac:dyDescent="0.25">
      <c r="A5284" s="74"/>
      <c r="B5284" s="45">
        <v>2087</v>
      </c>
      <c r="C5284" s="64" t="s">
        <v>2135</v>
      </c>
      <c r="D5284" s="74"/>
      <c r="E5284" s="208" t="s">
        <v>168</v>
      </c>
      <c r="F5284" s="209" t="s">
        <v>21</v>
      </c>
      <c r="G5284" s="209" t="s">
        <v>21</v>
      </c>
      <c r="H5284" s="209" t="s">
        <v>272</v>
      </c>
      <c r="I5284" s="210"/>
    </row>
    <row r="5285" spans="1:9" x14ac:dyDescent="0.25">
      <c r="A5285" s="74"/>
      <c r="B5285" s="45">
        <v>2088</v>
      </c>
      <c r="C5285" s="64" t="s">
        <v>2089</v>
      </c>
      <c r="D5285" s="74"/>
      <c r="E5285" s="208" t="s">
        <v>168</v>
      </c>
      <c r="F5285" s="209" t="s">
        <v>21</v>
      </c>
      <c r="G5285" s="209" t="s">
        <v>21</v>
      </c>
      <c r="H5285" s="209" t="s">
        <v>272</v>
      </c>
      <c r="I5285" s="210"/>
    </row>
    <row r="5286" spans="1:9" x14ac:dyDescent="0.25">
      <c r="A5286" s="74"/>
      <c r="B5286" s="45">
        <v>2089</v>
      </c>
      <c r="C5286" s="64" t="s">
        <v>1990</v>
      </c>
      <c r="D5286" s="74"/>
      <c r="E5286" s="208" t="s">
        <v>168</v>
      </c>
      <c r="F5286" s="209" t="s">
        <v>21</v>
      </c>
      <c r="G5286" s="209" t="s">
        <v>21</v>
      </c>
      <c r="H5286" s="209" t="s">
        <v>272</v>
      </c>
      <c r="I5286" s="210"/>
    </row>
    <row r="5287" spans="1:9" x14ac:dyDescent="0.25">
      <c r="A5287" s="74"/>
      <c r="B5287" s="45">
        <v>2090</v>
      </c>
      <c r="C5287" s="64" t="s">
        <v>1647</v>
      </c>
      <c r="D5287" s="74"/>
      <c r="E5287" s="208" t="s">
        <v>168</v>
      </c>
      <c r="F5287" s="209" t="s">
        <v>21</v>
      </c>
      <c r="G5287" s="209" t="s">
        <v>21</v>
      </c>
      <c r="H5287" s="209" t="s">
        <v>272</v>
      </c>
      <c r="I5287" s="210"/>
    </row>
    <row r="5288" spans="1:9" x14ac:dyDescent="0.25">
      <c r="A5288" s="74"/>
      <c r="B5288" s="45">
        <v>2091</v>
      </c>
      <c r="C5288" s="64" t="s">
        <v>2072</v>
      </c>
      <c r="D5288" s="74"/>
      <c r="E5288" s="208" t="s">
        <v>168</v>
      </c>
      <c r="F5288" s="209" t="s">
        <v>21</v>
      </c>
      <c r="G5288" s="209" t="s">
        <v>21</v>
      </c>
      <c r="H5288" s="209" t="s">
        <v>272</v>
      </c>
      <c r="I5288" s="210"/>
    </row>
    <row r="5289" spans="1:9" x14ac:dyDescent="0.25">
      <c r="A5289" s="74"/>
      <c r="B5289" s="45">
        <v>2092</v>
      </c>
      <c r="C5289" s="64" t="s">
        <v>2021</v>
      </c>
      <c r="D5289" s="74"/>
      <c r="E5289" s="208" t="s">
        <v>168</v>
      </c>
      <c r="F5289" s="209" t="s">
        <v>21</v>
      </c>
      <c r="G5289" s="209" t="s">
        <v>21</v>
      </c>
      <c r="H5289" s="209" t="s">
        <v>272</v>
      </c>
      <c r="I5289" s="210"/>
    </row>
    <row r="5290" spans="1:9" x14ac:dyDescent="0.25">
      <c r="A5290" s="74"/>
      <c r="B5290" s="45">
        <v>1020</v>
      </c>
      <c r="C5290" s="64" t="s">
        <v>1429</v>
      </c>
      <c r="D5290" s="74"/>
      <c r="E5290" s="208" t="s">
        <v>168</v>
      </c>
      <c r="F5290" s="209" t="s">
        <v>21</v>
      </c>
      <c r="G5290" s="209" t="s">
        <v>21</v>
      </c>
      <c r="H5290" s="209" t="s">
        <v>192</v>
      </c>
      <c r="I5290" s="210"/>
    </row>
    <row r="5291" spans="1:9" x14ac:dyDescent="0.25">
      <c r="A5291" s="74"/>
      <c r="B5291" s="45">
        <v>2093</v>
      </c>
      <c r="C5291" s="64" t="s">
        <v>2106</v>
      </c>
      <c r="D5291" s="74"/>
      <c r="E5291" s="208" t="s">
        <v>168</v>
      </c>
      <c r="F5291" s="209" t="s">
        <v>21</v>
      </c>
      <c r="G5291" s="209" t="s">
        <v>21</v>
      </c>
      <c r="H5291" s="209" t="s">
        <v>192</v>
      </c>
      <c r="I5291" s="210"/>
    </row>
    <row r="5292" spans="1:9" x14ac:dyDescent="0.25">
      <c r="A5292" s="74"/>
      <c r="B5292" s="45">
        <v>2094</v>
      </c>
      <c r="C5292" s="64" t="s">
        <v>1965</v>
      </c>
      <c r="D5292" s="74"/>
      <c r="E5292" s="208" t="s">
        <v>168</v>
      </c>
      <c r="F5292" s="209" t="s">
        <v>21</v>
      </c>
      <c r="G5292" s="209" t="s">
        <v>21</v>
      </c>
      <c r="H5292" s="209" t="s">
        <v>192</v>
      </c>
      <c r="I5292" s="210"/>
    </row>
    <row r="5293" spans="1:9" x14ac:dyDescent="0.25">
      <c r="A5293" s="74"/>
      <c r="B5293" s="45">
        <v>2087</v>
      </c>
      <c r="C5293" s="64" t="s">
        <v>2135</v>
      </c>
      <c r="D5293" s="74"/>
      <c r="E5293" s="208" t="s">
        <v>168</v>
      </c>
      <c r="F5293" s="209" t="s">
        <v>21</v>
      </c>
      <c r="G5293" s="209" t="s">
        <v>21</v>
      </c>
      <c r="H5293" s="209" t="s">
        <v>272</v>
      </c>
      <c r="I5293" s="210"/>
    </row>
    <row r="5294" spans="1:9" x14ac:dyDescent="0.25">
      <c r="A5294" s="74"/>
      <c r="B5294" s="45">
        <v>2088</v>
      </c>
      <c r="C5294" s="64" t="s">
        <v>2089</v>
      </c>
      <c r="D5294" s="74"/>
      <c r="E5294" s="208" t="s">
        <v>168</v>
      </c>
      <c r="F5294" s="209" t="s">
        <v>21</v>
      </c>
      <c r="G5294" s="209" t="s">
        <v>21</v>
      </c>
      <c r="H5294" s="209" t="s">
        <v>272</v>
      </c>
      <c r="I5294" s="210"/>
    </row>
    <row r="5295" spans="1:9" x14ac:dyDescent="0.25">
      <c r="A5295" s="74"/>
      <c r="B5295" s="45">
        <v>2089</v>
      </c>
      <c r="C5295" s="64" t="s">
        <v>1990</v>
      </c>
      <c r="D5295" s="74"/>
      <c r="E5295" s="208" t="s">
        <v>168</v>
      </c>
      <c r="F5295" s="209" t="s">
        <v>21</v>
      </c>
      <c r="G5295" s="209" t="s">
        <v>21</v>
      </c>
      <c r="H5295" s="209" t="s">
        <v>272</v>
      </c>
      <c r="I5295" s="210"/>
    </row>
    <row r="5296" spans="1:9" x14ac:dyDescent="0.25">
      <c r="A5296" s="74"/>
      <c r="B5296" s="45">
        <v>2090</v>
      </c>
      <c r="C5296" s="64" t="s">
        <v>1647</v>
      </c>
      <c r="D5296" s="74"/>
      <c r="E5296" s="208" t="s">
        <v>168</v>
      </c>
      <c r="F5296" s="209" t="s">
        <v>21</v>
      </c>
      <c r="G5296" s="209" t="s">
        <v>21</v>
      </c>
      <c r="H5296" s="209" t="s">
        <v>272</v>
      </c>
      <c r="I5296" s="210"/>
    </row>
    <row r="5297" spans="1:9" x14ac:dyDescent="0.25">
      <c r="A5297" s="74"/>
      <c r="B5297" s="45">
        <v>2091</v>
      </c>
      <c r="C5297" s="64" t="s">
        <v>2072</v>
      </c>
      <c r="D5297" s="74"/>
      <c r="E5297" s="208" t="s">
        <v>168</v>
      </c>
      <c r="F5297" s="209" t="s">
        <v>21</v>
      </c>
      <c r="G5297" s="209" t="s">
        <v>21</v>
      </c>
      <c r="H5297" s="209" t="s">
        <v>272</v>
      </c>
      <c r="I5297" s="210"/>
    </row>
    <row r="5298" spans="1:9" x14ac:dyDescent="0.25">
      <c r="A5298" s="74"/>
      <c r="B5298" s="45">
        <v>2092</v>
      </c>
      <c r="C5298" s="64" t="s">
        <v>2021</v>
      </c>
      <c r="D5298" s="74"/>
      <c r="E5298" s="208" t="s">
        <v>168</v>
      </c>
      <c r="F5298" s="209" t="s">
        <v>21</v>
      </c>
      <c r="G5298" s="209" t="s">
        <v>21</v>
      </c>
      <c r="H5298" s="209" t="s">
        <v>272</v>
      </c>
      <c r="I5298" s="210"/>
    </row>
    <row r="5299" spans="1:9" x14ac:dyDescent="0.25">
      <c r="A5299" s="74"/>
      <c r="B5299" s="45">
        <v>1020</v>
      </c>
      <c r="C5299" s="64" t="s">
        <v>1429</v>
      </c>
      <c r="D5299" s="74"/>
      <c r="E5299" s="208" t="s">
        <v>168</v>
      </c>
      <c r="F5299" s="209" t="s">
        <v>21</v>
      </c>
      <c r="G5299" s="209" t="s">
        <v>21</v>
      </c>
      <c r="H5299" s="209" t="s">
        <v>192</v>
      </c>
      <c r="I5299" s="210"/>
    </row>
    <row r="5300" spans="1:9" x14ac:dyDescent="0.25">
      <c r="A5300" s="74"/>
      <c r="B5300" s="45">
        <v>2093</v>
      </c>
      <c r="C5300" s="64" t="s">
        <v>2106</v>
      </c>
      <c r="D5300" s="74"/>
      <c r="E5300" s="208" t="s">
        <v>168</v>
      </c>
      <c r="F5300" s="209" t="s">
        <v>21</v>
      </c>
      <c r="G5300" s="209" t="s">
        <v>21</v>
      </c>
      <c r="H5300" s="209" t="s">
        <v>192</v>
      </c>
      <c r="I5300" s="210"/>
    </row>
    <row r="5301" spans="1:9" x14ac:dyDescent="0.25">
      <c r="A5301" s="74"/>
      <c r="B5301" s="45">
        <v>2094</v>
      </c>
      <c r="C5301" s="64" t="s">
        <v>1965</v>
      </c>
      <c r="D5301" s="74"/>
      <c r="E5301" s="208" t="s">
        <v>168</v>
      </c>
      <c r="F5301" s="209" t="s">
        <v>21</v>
      </c>
      <c r="G5301" s="209" t="s">
        <v>21</v>
      </c>
      <c r="H5301" s="209" t="s">
        <v>192</v>
      </c>
      <c r="I5301" s="210"/>
    </row>
    <row r="5302" spans="1:9" x14ac:dyDescent="0.25">
      <c r="A5302" s="74"/>
      <c r="B5302" s="45">
        <v>2087</v>
      </c>
      <c r="C5302" s="64" t="s">
        <v>2135</v>
      </c>
      <c r="D5302" s="74"/>
      <c r="E5302" s="208" t="s">
        <v>168</v>
      </c>
      <c r="F5302" s="209" t="s">
        <v>21</v>
      </c>
      <c r="G5302" s="209" t="s">
        <v>21</v>
      </c>
      <c r="H5302" s="209" t="s">
        <v>272</v>
      </c>
      <c r="I5302" s="210"/>
    </row>
    <row r="5303" spans="1:9" x14ac:dyDescent="0.25">
      <c r="A5303" s="74"/>
      <c r="B5303" s="45">
        <v>2088</v>
      </c>
      <c r="C5303" s="64" t="s">
        <v>2089</v>
      </c>
      <c r="D5303" s="74"/>
      <c r="E5303" s="208" t="s">
        <v>168</v>
      </c>
      <c r="F5303" s="209" t="s">
        <v>21</v>
      </c>
      <c r="G5303" s="209" t="s">
        <v>21</v>
      </c>
      <c r="H5303" s="209" t="s">
        <v>272</v>
      </c>
      <c r="I5303" s="210"/>
    </row>
    <row r="5304" spans="1:9" x14ac:dyDescent="0.25">
      <c r="A5304" s="74"/>
      <c r="B5304" s="45">
        <v>2089</v>
      </c>
      <c r="C5304" s="64" t="s">
        <v>1990</v>
      </c>
      <c r="D5304" s="74"/>
      <c r="E5304" s="208" t="s">
        <v>168</v>
      </c>
      <c r="F5304" s="209" t="s">
        <v>21</v>
      </c>
      <c r="G5304" s="209" t="s">
        <v>21</v>
      </c>
      <c r="H5304" s="209" t="s">
        <v>272</v>
      </c>
      <c r="I5304" s="210"/>
    </row>
    <row r="5305" spans="1:9" x14ac:dyDescent="0.25">
      <c r="A5305" s="74"/>
      <c r="B5305" s="45">
        <v>2090</v>
      </c>
      <c r="C5305" s="64" t="s">
        <v>1647</v>
      </c>
      <c r="D5305" s="74"/>
      <c r="E5305" s="208" t="s">
        <v>168</v>
      </c>
      <c r="F5305" s="209" t="s">
        <v>21</v>
      </c>
      <c r="G5305" s="209" t="s">
        <v>21</v>
      </c>
      <c r="H5305" s="209" t="s">
        <v>272</v>
      </c>
      <c r="I5305" s="210"/>
    </row>
    <row r="5306" spans="1:9" x14ac:dyDescent="0.25">
      <c r="A5306" s="74"/>
      <c r="B5306" s="45">
        <v>2091</v>
      </c>
      <c r="C5306" s="64" t="s">
        <v>2072</v>
      </c>
      <c r="D5306" s="74"/>
      <c r="E5306" s="208" t="s">
        <v>168</v>
      </c>
      <c r="F5306" s="209" t="s">
        <v>21</v>
      </c>
      <c r="G5306" s="209" t="s">
        <v>21</v>
      </c>
      <c r="H5306" s="209" t="s">
        <v>272</v>
      </c>
      <c r="I5306" s="210"/>
    </row>
    <row r="5307" spans="1:9" x14ac:dyDescent="0.25">
      <c r="A5307" s="74"/>
      <c r="B5307" s="45">
        <v>2092</v>
      </c>
      <c r="C5307" s="64" t="s">
        <v>2021</v>
      </c>
      <c r="D5307" s="74"/>
      <c r="E5307" s="208" t="s">
        <v>168</v>
      </c>
      <c r="F5307" s="209" t="s">
        <v>21</v>
      </c>
      <c r="G5307" s="209" t="s">
        <v>21</v>
      </c>
      <c r="H5307" s="209" t="s">
        <v>272</v>
      </c>
      <c r="I5307" s="210"/>
    </row>
    <row r="5308" spans="1:9" x14ac:dyDescent="0.25">
      <c r="A5308" s="74"/>
      <c r="B5308" s="45">
        <v>1020</v>
      </c>
      <c r="C5308" s="64" t="s">
        <v>1429</v>
      </c>
      <c r="D5308" s="74"/>
      <c r="E5308" s="208" t="s">
        <v>168</v>
      </c>
      <c r="F5308" s="209" t="s">
        <v>21</v>
      </c>
      <c r="G5308" s="209" t="s">
        <v>21</v>
      </c>
      <c r="H5308" s="209" t="s">
        <v>192</v>
      </c>
      <c r="I5308" s="210"/>
    </row>
    <row r="5309" spans="1:9" x14ac:dyDescent="0.25">
      <c r="A5309" s="74"/>
      <c r="B5309" s="45">
        <v>2093</v>
      </c>
      <c r="C5309" s="64" t="s">
        <v>2106</v>
      </c>
      <c r="D5309" s="74"/>
      <c r="E5309" s="208" t="s">
        <v>168</v>
      </c>
      <c r="F5309" s="209" t="s">
        <v>21</v>
      </c>
      <c r="G5309" s="209" t="s">
        <v>21</v>
      </c>
      <c r="H5309" s="209" t="s">
        <v>192</v>
      </c>
      <c r="I5309" s="210"/>
    </row>
    <row r="5310" spans="1:9" x14ac:dyDescent="0.25">
      <c r="A5310" s="74"/>
      <c r="B5310" s="45">
        <v>2094</v>
      </c>
      <c r="C5310" s="64" t="s">
        <v>1965</v>
      </c>
      <c r="D5310" s="74"/>
      <c r="E5310" s="208" t="s">
        <v>168</v>
      </c>
      <c r="F5310" s="209" t="s">
        <v>21</v>
      </c>
      <c r="G5310" s="209" t="s">
        <v>21</v>
      </c>
      <c r="H5310" s="209" t="s">
        <v>192</v>
      </c>
      <c r="I5310" s="210"/>
    </row>
    <row r="5311" spans="1:9" x14ac:dyDescent="0.25">
      <c r="A5311" s="74"/>
      <c r="B5311" s="45">
        <v>1021</v>
      </c>
      <c r="C5311" s="64" t="s">
        <v>1430</v>
      </c>
      <c r="D5311" s="74"/>
      <c r="E5311" s="208" t="s">
        <v>168</v>
      </c>
      <c r="F5311" s="209" t="s">
        <v>21</v>
      </c>
      <c r="G5311" s="209" t="s">
        <v>21</v>
      </c>
      <c r="H5311" s="209" t="s">
        <v>192</v>
      </c>
      <c r="I5311" s="210"/>
    </row>
    <row r="5312" spans="1:9" x14ac:dyDescent="0.25">
      <c r="A5312" s="74"/>
      <c r="B5312" s="45">
        <v>1020</v>
      </c>
      <c r="C5312" s="64" t="s">
        <v>1429</v>
      </c>
      <c r="D5312" s="74"/>
      <c r="E5312" s="208" t="s">
        <v>168</v>
      </c>
      <c r="F5312" s="209" t="s">
        <v>21</v>
      </c>
      <c r="G5312" s="209" t="s">
        <v>21</v>
      </c>
      <c r="H5312" s="209" t="s">
        <v>192</v>
      </c>
      <c r="I5312" s="210"/>
    </row>
    <row r="5313" spans="1:9" x14ac:dyDescent="0.25">
      <c r="A5313" s="74"/>
      <c r="B5313" s="45">
        <v>1027</v>
      </c>
      <c r="C5313" s="64" t="s">
        <v>1436</v>
      </c>
      <c r="D5313" s="74"/>
      <c r="E5313" s="208" t="s">
        <v>168</v>
      </c>
      <c r="F5313" s="209" t="s">
        <v>21</v>
      </c>
      <c r="G5313" s="209" t="s">
        <v>21</v>
      </c>
      <c r="H5313" s="209" t="s">
        <v>192</v>
      </c>
      <c r="I5313" s="210"/>
    </row>
    <row r="5314" spans="1:9" x14ac:dyDescent="0.25">
      <c r="A5314" s="74"/>
      <c r="B5314" s="45">
        <v>2091</v>
      </c>
      <c r="C5314" s="64" t="s">
        <v>2072</v>
      </c>
      <c r="D5314" s="74"/>
      <c r="E5314" s="208" t="s">
        <v>168</v>
      </c>
      <c r="F5314" s="209" t="s">
        <v>21</v>
      </c>
      <c r="G5314" s="209" t="s">
        <v>21</v>
      </c>
      <c r="H5314" s="209" t="s">
        <v>272</v>
      </c>
      <c r="I5314" s="210"/>
    </row>
    <row r="5315" spans="1:9" x14ac:dyDescent="0.25">
      <c r="A5315" s="74"/>
      <c r="B5315" s="45">
        <v>2086</v>
      </c>
      <c r="C5315" s="64" t="s">
        <v>2120</v>
      </c>
      <c r="D5315" s="74"/>
      <c r="E5315" s="208" t="s">
        <v>172</v>
      </c>
      <c r="F5315" s="209" t="s">
        <v>21</v>
      </c>
      <c r="G5315" s="209" t="s">
        <v>21</v>
      </c>
      <c r="H5315" s="209" t="s">
        <v>186</v>
      </c>
      <c r="I5315" s="210"/>
    </row>
    <row r="5316" spans="1:9" x14ac:dyDescent="0.25">
      <c r="A5316" s="74"/>
      <c r="B5316" s="45">
        <v>2086</v>
      </c>
      <c r="C5316" s="64" t="s">
        <v>2120</v>
      </c>
      <c r="D5316" s="74"/>
      <c r="E5316" s="208" t="s">
        <v>172</v>
      </c>
      <c r="F5316" s="209" t="s">
        <v>21</v>
      </c>
      <c r="G5316" s="209" t="s">
        <v>21</v>
      </c>
      <c r="H5316" s="209" t="s">
        <v>186</v>
      </c>
      <c r="I5316" s="210"/>
    </row>
    <row r="5317" spans="1:9" x14ac:dyDescent="0.25">
      <c r="A5317" s="74"/>
      <c r="B5317" s="45">
        <v>1021</v>
      </c>
      <c r="C5317" s="64" t="s">
        <v>1430</v>
      </c>
      <c r="D5317" s="74"/>
      <c r="E5317" s="208" t="s">
        <v>168</v>
      </c>
      <c r="F5317" s="209" t="s">
        <v>21</v>
      </c>
      <c r="G5317" s="209" t="s">
        <v>21</v>
      </c>
      <c r="H5317" s="209" t="s">
        <v>192</v>
      </c>
      <c r="I5317" s="210"/>
    </row>
    <row r="5318" spans="1:9" x14ac:dyDescent="0.25">
      <c r="A5318" s="74"/>
      <c r="B5318" s="45">
        <v>1020</v>
      </c>
      <c r="C5318" s="64" t="s">
        <v>1429</v>
      </c>
      <c r="D5318" s="74"/>
      <c r="E5318" s="208" t="s">
        <v>168</v>
      </c>
      <c r="F5318" s="209" t="s">
        <v>21</v>
      </c>
      <c r="G5318" s="209" t="s">
        <v>21</v>
      </c>
      <c r="H5318" s="209" t="s">
        <v>192</v>
      </c>
      <c r="I5318" s="210"/>
    </row>
    <row r="5319" spans="1:9" x14ac:dyDescent="0.25">
      <c r="A5319" s="74"/>
      <c r="B5319" s="45">
        <v>1027</v>
      </c>
      <c r="C5319" s="64" t="s">
        <v>1436</v>
      </c>
      <c r="D5319" s="74"/>
      <c r="E5319" s="208" t="s">
        <v>168</v>
      </c>
      <c r="F5319" s="209" t="s">
        <v>21</v>
      </c>
      <c r="G5319" s="209" t="s">
        <v>21</v>
      </c>
      <c r="H5319" s="209" t="s">
        <v>192</v>
      </c>
      <c r="I5319" s="210"/>
    </row>
    <row r="5320" spans="1:9" x14ac:dyDescent="0.25">
      <c r="A5320" s="74"/>
      <c r="B5320" s="45">
        <v>2091</v>
      </c>
      <c r="C5320" s="64" t="s">
        <v>2072</v>
      </c>
      <c r="D5320" s="74"/>
      <c r="E5320" s="208" t="s">
        <v>168</v>
      </c>
      <c r="F5320" s="209" t="s">
        <v>21</v>
      </c>
      <c r="G5320" s="209" t="s">
        <v>21</v>
      </c>
      <c r="H5320" s="209" t="s">
        <v>272</v>
      </c>
      <c r="I5320" s="210"/>
    </row>
    <row r="5321" spans="1:9" x14ac:dyDescent="0.25">
      <c r="A5321" s="74"/>
      <c r="B5321" s="45">
        <v>2087</v>
      </c>
      <c r="C5321" s="64" t="s">
        <v>2135</v>
      </c>
      <c r="D5321" s="74"/>
      <c r="E5321" s="208" t="s">
        <v>168</v>
      </c>
      <c r="F5321" s="209" t="s">
        <v>21</v>
      </c>
      <c r="G5321" s="209" t="s">
        <v>21</v>
      </c>
      <c r="H5321" s="209" t="s">
        <v>272</v>
      </c>
      <c r="I5321" s="210"/>
    </row>
    <row r="5322" spans="1:9" x14ac:dyDescent="0.25">
      <c r="A5322" s="74"/>
      <c r="B5322" s="45">
        <v>2088</v>
      </c>
      <c r="C5322" s="64" t="s">
        <v>2089</v>
      </c>
      <c r="D5322" s="74"/>
      <c r="E5322" s="208" t="s">
        <v>168</v>
      </c>
      <c r="F5322" s="209" t="s">
        <v>21</v>
      </c>
      <c r="G5322" s="209" t="s">
        <v>21</v>
      </c>
      <c r="H5322" s="209" t="s">
        <v>272</v>
      </c>
      <c r="I5322" s="210"/>
    </row>
    <row r="5323" spans="1:9" x14ac:dyDescent="0.25">
      <c r="A5323" s="74"/>
      <c r="B5323" s="45">
        <v>2089</v>
      </c>
      <c r="C5323" s="64" t="s">
        <v>1990</v>
      </c>
      <c r="D5323" s="74"/>
      <c r="E5323" s="208" t="s">
        <v>168</v>
      </c>
      <c r="F5323" s="209" t="s">
        <v>21</v>
      </c>
      <c r="G5323" s="209" t="s">
        <v>21</v>
      </c>
      <c r="H5323" s="209" t="s">
        <v>272</v>
      </c>
      <c r="I5323" s="210"/>
    </row>
    <row r="5324" spans="1:9" x14ac:dyDescent="0.25">
      <c r="A5324" s="74"/>
      <c r="B5324" s="45">
        <v>2090</v>
      </c>
      <c r="C5324" s="64" t="s">
        <v>1647</v>
      </c>
      <c r="D5324" s="74"/>
      <c r="E5324" s="208" t="s">
        <v>168</v>
      </c>
      <c r="F5324" s="209" t="s">
        <v>21</v>
      </c>
      <c r="G5324" s="209" t="s">
        <v>21</v>
      </c>
      <c r="H5324" s="209" t="s">
        <v>272</v>
      </c>
      <c r="I5324" s="210"/>
    </row>
    <row r="5325" spans="1:9" x14ac:dyDescent="0.25">
      <c r="A5325" s="74"/>
      <c r="B5325" s="45">
        <v>2091</v>
      </c>
      <c r="C5325" s="64" t="s">
        <v>2072</v>
      </c>
      <c r="D5325" s="74"/>
      <c r="E5325" s="208" t="s">
        <v>168</v>
      </c>
      <c r="F5325" s="209" t="s">
        <v>21</v>
      </c>
      <c r="G5325" s="209" t="s">
        <v>21</v>
      </c>
      <c r="H5325" s="209" t="s">
        <v>272</v>
      </c>
      <c r="I5325" s="210"/>
    </row>
    <row r="5326" spans="1:9" x14ac:dyDescent="0.25">
      <c r="A5326" s="74"/>
      <c r="B5326" s="45">
        <v>2092</v>
      </c>
      <c r="C5326" s="64" t="s">
        <v>2021</v>
      </c>
      <c r="D5326" s="74"/>
      <c r="E5326" s="208" t="s">
        <v>168</v>
      </c>
      <c r="F5326" s="209" t="s">
        <v>21</v>
      </c>
      <c r="G5326" s="209" t="s">
        <v>21</v>
      </c>
      <c r="H5326" s="209" t="s">
        <v>272</v>
      </c>
      <c r="I5326" s="210"/>
    </row>
    <row r="5327" spans="1:9" x14ac:dyDescent="0.25">
      <c r="A5327" s="74"/>
      <c r="B5327" s="45">
        <v>1020</v>
      </c>
      <c r="C5327" s="64" t="s">
        <v>1429</v>
      </c>
      <c r="D5327" s="74"/>
      <c r="E5327" s="208" t="s">
        <v>168</v>
      </c>
      <c r="F5327" s="209" t="s">
        <v>21</v>
      </c>
      <c r="G5327" s="209" t="s">
        <v>21</v>
      </c>
      <c r="H5327" s="209" t="s">
        <v>192</v>
      </c>
      <c r="I5327" s="210"/>
    </row>
    <row r="5328" spans="1:9" x14ac:dyDescent="0.25">
      <c r="A5328" s="74"/>
      <c r="B5328" s="45">
        <v>2093</v>
      </c>
      <c r="C5328" s="64" t="s">
        <v>2106</v>
      </c>
      <c r="D5328" s="74"/>
      <c r="E5328" s="208" t="s">
        <v>168</v>
      </c>
      <c r="F5328" s="209" t="s">
        <v>21</v>
      </c>
      <c r="G5328" s="209" t="s">
        <v>21</v>
      </c>
      <c r="H5328" s="209" t="s">
        <v>192</v>
      </c>
      <c r="I5328" s="210"/>
    </row>
    <row r="5329" spans="1:9" x14ac:dyDescent="0.25">
      <c r="A5329" s="74"/>
      <c r="B5329" s="45">
        <v>2094</v>
      </c>
      <c r="C5329" s="64" t="s">
        <v>1965</v>
      </c>
      <c r="D5329" s="74"/>
      <c r="E5329" s="208" t="s">
        <v>168</v>
      </c>
      <c r="F5329" s="209" t="s">
        <v>21</v>
      </c>
      <c r="G5329" s="209" t="s">
        <v>21</v>
      </c>
      <c r="H5329" s="209" t="s">
        <v>192</v>
      </c>
      <c r="I5329" s="210"/>
    </row>
    <row r="5330" spans="1:9" x14ac:dyDescent="0.25">
      <c r="A5330" s="74"/>
      <c r="B5330" s="45">
        <v>2087</v>
      </c>
      <c r="C5330" s="64" t="s">
        <v>2135</v>
      </c>
      <c r="D5330" s="74"/>
      <c r="E5330" s="208" t="s">
        <v>168</v>
      </c>
      <c r="F5330" s="209" t="s">
        <v>21</v>
      </c>
      <c r="G5330" s="209" t="s">
        <v>21</v>
      </c>
      <c r="H5330" s="209" t="s">
        <v>272</v>
      </c>
      <c r="I5330" s="210"/>
    </row>
    <row r="5331" spans="1:9" x14ac:dyDescent="0.25">
      <c r="A5331" s="74"/>
      <c r="B5331" s="45">
        <v>2088</v>
      </c>
      <c r="C5331" s="64" t="s">
        <v>2089</v>
      </c>
      <c r="D5331" s="74"/>
      <c r="E5331" s="208" t="s">
        <v>168</v>
      </c>
      <c r="F5331" s="209" t="s">
        <v>21</v>
      </c>
      <c r="G5331" s="209" t="s">
        <v>21</v>
      </c>
      <c r="H5331" s="209" t="s">
        <v>272</v>
      </c>
      <c r="I5331" s="210"/>
    </row>
    <row r="5332" spans="1:9" x14ac:dyDescent="0.25">
      <c r="A5332" s="74"/>
      <c r="B5332" s="45">
        <v>2089</v>
      </c>
      <c r="C5332" s="64" t="s">
        <v>1990</v>
      </c>
      <c r="D5332" s="74"/>
      <c r="E5332" s="208" t="s">
        <v>168</v>
      </c>
      <c r="F5332" s="209" t="s">
        <v>21</v>
      </c>
      <c r="G5332" s="209" t="s">
        <v>21</v>
      </c>
      <c r="H5332" s="209" t="s">
        <v>272</v>
      </c>
      <c r="I5332" s="210"/>
    </row>
    <row r="5333" spans="1:9" x14ac:dyDescent="0.25">
      <c r="A5333" s="74"/>
      <c r="B5333" s="45">
        <v>2090</v>
      </c>
      <c r="C5333" s="64" t="s">
        <v>1647</v>
      </c>
      <c r="D5333" s="74"/>
      <c r="E5333" s="208" t="s">
        <v>168</v>
      </c>
      <c r="F5333" s="209" t="s">
        <v>21</v>
      </c>
      <c r="G5333" s="209" t="s">
        <v>21</v>
      </c>
      <c r="H5333" s="209" t="s">
        <v>272</v>
      </c>
      <c r="I5333" s="210"/>
    </row>
    <row r="5334" spans="1:9" x14ac:dyDescent="0.25">
      <c r="A5334" s="74"/>
      <c r="B5334" s="45">
        <v>2091</v>
      </c>
      <c r="C5334" s="64" t="s">
        <v>2072</v>
      </c>
      <c r="D5334" s="74"/>
      <c r="E5334" s="208" t="s">
        <v>168</v>
      </c>
      <c r="F5334" s="209" t="s">
        <v>21</v>
      </c>
      <c r="G5334" s="209" t="s">
        <v>21</v>
      </c>
      <c r="H5334" s="209" t="s">
        <v>272</v>
      </c>
      <c r="I5334" s="210"/>
    </row>
    <row r="5335" spans="1:9" x14ac:dyDescent="0.25">
      <c r="A5335" s="74"/>
      <c r="B5335" s="45">
        <v>2092</v>
      </c>
      <c r="C5335" s="64" t="s">
        <v>2021</v>
      </c>
      <c r="D5335" s="74"/>
      <c r="E5335" s="208" t="s">
        <v>168</v>
      </c>
      <c r="F5335" s="209" t="s">
        <v>21</v>
      </c>
      <c r="G5335" s="209" t="s">
        <v>21</v>
      </c>
      <c r="H5335" s="209" t="s">
        <v>272</v>
      </c>
      <c r="I5335" s="210"/>
    </row>
    <row r="5336" spans="1:9" x14ac:dyDescent="0.25">
      <c r="A5336" s="74"/>
      <c r="B5336" s="45">
        <v>1020</v>
      </c>
      <c r="C5336" s="64" t="s">
        <v>1429</v>
      </c>
      <c r="D5336" s="74"/>
      <c r="E5336" s="208" t="s">
        <v>168</v>
      </c>
      <c r="F5336" s="209" t="s">
        <v>21</v>
      </c>
      <c r="G5336" s="209" t="s">
        <v>21</v>
      </c>
      <c r="H5336" s="209" t="s">
        <v>192</v>
      </c>
      <c r="I5336" s="210"/>
    </row>
    <row r="5337" spans="1:9" x14ac:dyDescent="0.25">
      <c r="A5337" s="74"/>
      <c r="B5337" s="45">
        <v>2093</v>
      </c>
      <c r="C5337" s="64" t="s">
        <v>2106</v>
      </c>
      <c r="D5337" s="74"/>
      <c r="E5337" s="208" t="s">
        <v>168</v>
      </c>
      <c r="F5337" s="209" t="s">
        <v>21</v>
      </c>
      <c r="G5337" s="209" t="s">
        <v>21</v>
      </c>
      <c r="H5337" s="209" t="s">
        <v>192</v>
      </c>
      <c r="I5337" s="210"/>
    </row>
    <row r="5338" spans="1:9" x14ac:dyDescent="0.25">
      <c r="A5338" s="74"/>
      <c r="B5338" s="45">
        <v>2094</v>
      </c>
      <c r="C5338" s="64" t="s">
        <v>1965</v>
      </c>
      <c r="D5338" s="74"/>
      <c r="E5338" s="208" t="s">
        <v>168</v>
      </c>
      <c r="F5338" s="209" t="s">
        <v>21</v>
      </c>
      <c r="G5338" s="209" t="s">
        <v>21</v>
      </c>
      <c r="H5338" s="209" t="s">
        <v>192</v>
      </c>
      <c r="I5338" s="210"/>
    </row>
    <row r="5339" spans="1:9" x14ac:dyDescent="0.25">
      <c r="A5339" s="74"/>
      <c r="B5339" s="45">
        <v>2087</v>
      </c>
      <c r="C5339" s="64" t="s">
        <v>2135</v>
      </c>
      <c r="D5339" s="74"/>
      <c r="E5339" s="208" t="s">
        <v>168</v>
      </c>
      <c r="F5339" s="209" t="s">
        <v>21</v>
      </c>
      <c r="G5339" s="209" t="s">
        <v>21</v>
      </c>
      <c r="H5339" s="209" t="s">
        <v>272</v>
      </c>
      <c r="I5339" s="210"/>
    </row>
    <row r="5340" spans="1:9" x14ac:dyDescent="0.25">
      <c r="A5340" s="74"/>
      <c r="B5340" s="45">
        <v>2088</v>
      </c>
      <c r="C5340" s="64" t="s">
        <v>2089</v>
      </c>
      <c r="D5340" s="74"/>
      <c r="E5340" s="208" t="s">
        <v>168</v>
      </c>
      <c r="F5340" s="209" t="s">
        <v>21</v>
      </c>
      <c r="G5340" s="209" t="s">
        <v>21</v>
      </c>
      <c r="H5340" s="209" t="s">
        <v>272</v>
      </c>
      <c r="I5340" s="210"/>
    </row>
    <row r="5341" spans="1:9" x14ac:dyDescent="0.25">
      <c r="A5341" s="74"/>
      <c r="B5341" s="45">
        <v>2089</v>
      </c>
      <c r="C5341" s="64" t="s">
        <v>1990</v>
      </c>
      <c r="D5341" s="74"/>
      <c r="E5341" s="208" t="s">
        <v>168</v>
      </c>
      <c r="F5341" s="209" t="s">
        <v>21</v>
      </c>
      <c r="G5341" s="209" t="s">
        <v>21</v>
      </c>
      <c r="H5341" s="209" t="s">
        <v>272</v>
      </c>
      <c r="I5341" s="210"/>
    </row>
    <row r="5342" spans="1:9" x14ac:dyDescent="0.25">
      <c r="A5342" s="74"/>
      <c r="B5342" s="45">
        <v>2090</v>
      </c>
      <c r="C5342" s="64" t="s">
        <v>1647</v>
      </c>
      <c r="D5342" s="74"/>
      <c r="E5342" s="208" t="s">
        <v>168</v>
      </c>
      <c r="F5342" s="209" t="s">
        <v>21</v>
      </c>
      <c r="G5342" s="209" t="s">
        <v>21</v>
      </c>
      <c r="H5342" s="209" t="s">
        <v>272</v>
      </c>
      <c r="I5342" s="210"/>
    </row>
    <row r="5343" spans="1:9" x14ac:dyDescent="0.25">
      <c r="A5343" s="74"/>
      <c r="B5343" s="45">
        <v>2091</v>
      </c>
      <c r="C5343" s="64" t="s">
        <v>2072</v>
      </c>
      <c r="D5343" s="74"/>
      <c r="E5343" s="208" t="s">
        <v>168</v>
      </c>
      <c r="F5343" s="209" t="s">
        <v>21</v>
      </c>
      <c r="G5343" s="209" t="s">
        <v>21</v>
      </c>
      <c r="H5343" s="209" t="s">
        <v>272</v>
      </c>
      <c r="I5343" s="210"/>
    </row>
    <row r="5344" spans="1:9" x14ac:dyDescent="0.25">
      <c r="A5344" s="74"/>
      <c r="B5344" s="45">
        <v>2092</v>
      </c>
      <c r="C5344" s="64" t="s">
        <v>2021</v>
      </c>
      <c r="D5344" s="74"/>
      <c r="E5344" s="208" t="s">
        <v>168</v>
      </c>
      <c r="F5344" s="209" t="s">
        <v>21</v>
      </c>
      <c r="G5344" s="209" t="s">
        <v>21</v>
      </c>
      <c r="H5344" s="209" t="s">
        <v>272</v>
      </c>
      <c r="I5344" s="210"/>
    </row>
    <row r="5345" spans="1:9" x14ac:dyDescent="0.25">
      <c r="A5345" s="74"/>
      <c r="B5345" s="45">
        <v>1020</v>
      </c>
      <c r="C5345" s="64" t="s">
        <v>1429</v>
      </c>
      <c r="D5345" s="74"/>
      <c r="E5345" s="208" t="s">
        <v>168</v>
      </c>
      <c r="F5345" s="209" t="s">
        <v>21</v>
      </c>
      <c r="G5345" s="209" t="s">
        <v>21</v>
      </c>
      <c r="H5345" s="209" t="s">
        <v>192</v>
      </c>
      <c r="I5345" s="210"/>
    </row>
    <row r="5346" spans="1:9" x14ac:dyDescent="0.25">
      <c r="A5346" s="74"/>
      <c r="B5346" s="45">
        <v>2093</v>
      </c>
      <c r="C5346" s="64" t="s">
        <v>2106</v>
      </c>
      <c r="D5346" s="74"/>
      <c r="E5346" s="208" t="s">
        <v>168</v>
      </c>
      <c r="F5346" s="209" t="s">
        <v>21</v>
      </c>
      <c r="G5346" s="209" t="s">
        <v>21</v>
      </c>
      <c r="H5346" s="209" t="s">
        <v>192</v>
      </c>
      <c r="I5346" s="210"/>
    </row>
    <row r="5347" spans="1:9" x14ac:dyDescent="0.25">
      <c r="A5347" s="74"/>
      <c r="B5347" s="45">
        <v>2094</v>
      </c>
      <c r="C5347" s="64" t="s">
        <v>1965</v>
      </c>
      <c r="D5347" s="74"/>
      <c r="E5347" s="208" t="s">
        <v>168</v>
      </c>
      <c r="F5347" s="209" t="s">
        <v>21</v>
      </c>
      <c r="G5347" s="209" t="s">
        <v>21</v>
      </c>
      <c r="H5347" s="209" t="s">
        <v>192</v>
      </c>
      <c r="I5347" s="210"/>
    </row>
    <row r="5348" spans="1:9" x14ac:dyDescent="0.25">
      <c r="A5348" s="74"/>
      <c r="B5348" s="45">
        <v>2087</v>
      </c>
      <c r="C5348" s="64" t="s">
        <v>2135</v>
      </c>
      <c r="D5348" s="74"/>
      <c r="E5348" s="208" t="s">
        <v>168</v>
      </c>
      <c r="F5348" s="209" t="s">
        <v>21</v>
      </c>
      <c r="G5348" s="209" t="s">
        <v>21</v>
      </c>
      <c r="H5348" s="209" t="s">
        <v>272</v>
      </c>
      <c r="I5348" s="210"/>
    </row>
    <row r="5349" spans="1:9" x14ac:dyDescent="0.25">
      <c r="A5349" s="74"/>
      <c r="B5349" s="45">
        <v>2088</v>
      </c>
      <c r="C5349" s="64" t="s">
        <v>2089</v>
      </c>
      <c r="D5349" s="74"/>
      <c r="E5349" s="208" t="s">
        <v>168</v>
      </c>
      <c r="F5349" s="209" t="s">
        <v>21</v>
      </c>
      <c r="G5349" s="209" t="s">
        <v>21</v>
      </c>
      <c r="H5349" s="209" t="s">
        <v>272</v>
      </c>
      <c r="I5349" s="210"/>
    </row>
    <row r="5350" spans="1:9" x14ac:dyDescent="0.25">
      <c r="A5350" s="74"/>
      <c r="B5350" s="45">
        <v>2089</v>
      </c>
      <c r="C5350" s="64" t="s">
        <v>1990</v>
      </c>
      <c r="D5350" s="74"/>
      <c r="E5350" s="208" t="s">
        <v>168</v>
      </c>
      <c r="F5350" s="209" t="s">
        <v>21</v>
      </c>
      <c r="G5350" s="209" t="s">
        <v>21</v>
      </c>
      <c r="H5350" s="209" t="s">
        <v>272</v>
      </c>
      <c r="I5350" s="210"/>
    </row>
    <row r="5351" spans="1:9" x14ac:dyDescent="0.25">
      <c r="A5351" s="74"/>
      <c r="B5351" s="45">
        <v>2090</v>
      </c>
      <c r="C5351" s="64" t="s">
        <v>1647</v>
      </c>
      <c r="D5351" s="74"/>
      <c r="E5351" s="208" t="s">
        <v>168</v>
      </c>
      <c r="F5351" s="209" t="s">
        <v>21</v>
      </c>
      <c r="G5351" s="209" t="s">
        <v>21</v>
      </c>
      <c r="H5351" s="209" t="s">
        <v>272</v>
      </c>
      <c r="I5351" s="210"/>
    </row>
    <row r="5352" spans="1:9" x14ac:dyDescent="0.25">
      <c r="A5352" s="74"/>
      <c r="B5352" s="45">
        <v>2091</v>
      </c>
      <c r="C5352" s="64" t="s">
        <v>2072</v>
      </c>
      <c r="D5352" s="74"/>
      <c r="E5352" s="208" t="s">
        <v>168</v>
      </c>
      <c r="F5352" s="209" t="s">
        <v>21</v>
      </c>
      <c r="G5352" s="209" t="s">
        <v>21</v>
      </c>
      <c r="H5352" s="209" t="s">
        <v>272</v>
      </c>
      <c r="I5352" s="210"/>
    </row>
    <row r="5353" spans="1:9" x14ac:dyDescent="0.25">
      <c r="A5353" s="74"/>
      <c r="B5353" s="45">
        <v>2092</v>
      </c>
      <c r="C5353" s="64" t="s">
        <v>2021</v>
      </c>
      <c r="D5353" s="74"/>
      <c r="E5353" s="208" t="s">
        <v>168</v>
      </c>
      <c r="F5353" s="209" t="s">
        <v>21</v>
      </c>
      <c r="G5353" s="209" t="s">
        <v>21</v>
      </c>
      <c r="H5353" s="209" t="s">
        <v>272</v>
      </c>
      <c r="I5353" s="210"/>
    </row>
    <row r="5354" spans="1:9" x14ac:dyDescent="0.25">
      <c r="A5354" s="74"/>
      <c r="B5354" s="45">
        <v>1020</v>
      </c>
      <c r="C5354" s="64" t="s">
        <v>1429</v>
      </c>
      <c r="D5354" s="74"/>
      <c r="E5354" s="208" t="s">
        <v>168</v>
      </c>
      <c r="F5354" s="209" t="s">
        <v>21</v>
      </c>
      <c r="G5354" s="209" t="s">
        <v>21</v>
      </c>
      <c r="H5354" s="209" t="s">
        <v>192</v>
      </c>
      <c r="I5354" s="210"/>
    </row>
    <row r="5355" spans="1:9" x14ac:dyDescent="0.25">
      <c r="A5355" s="74"/>
      <c r="B5355" s="45">
        <v>2093</v>
      </c>
      <c r="C5355" s="64" t="s">
        <v>2106</v>
      </c>
      <c r="D5355" s="74"/>
      <c r="E5355" s="208" t="s">
        <v>168</v>
      </c>
      <c r="F5355" s="209" t="s">
        <v>21</v>
      </c>
      <c r="G5355" s="209" t="s">
        <v>21</v>
      </c>
      <c r="H5355" s="209" t="s">
        <v>192</v>
      </c>
      <c r="I5355" s="210"/>
    </row>
    <row r="5356" spans="1:9" x14ac:dyDescent="0.25">
      <c r="A5356" s="74"/>
      <c r="B5356" s="45">
        <v>2094</v>
      </c>
      <c r="C5356" s="64" t="s">
        <v>1965</v>
      </c>
      <c r="D5356" s="74"/>
      <c r="E5356" s="208" t="s">
        <v>168</v>
      </c>
      <c r="F5356" s="209" t="s">
        <v>21</v>
      </c>
      <c r="G5356" s="209" t="s">
        <v>21</v>
      </c>
      <c r="H5356" s="209" t="s">
        <v>192</v>
      </c>
      <c r="I5356" s="210"/>
    </row>
    <row r="5357" spans="1:9" x14ac:dyDescent="0.25">
      <c r="A5357" s="74"/>
      <c r="B5357" s="45">
        <v>1034</v>
      </c>
      <c r="C5357" s="64" t="s">
        <v>1443</v>
      </c>
      <c r="D5357" s="74"/>
      <c r="E5357" s="208" t="s">
        <v>168</v>
      </c>
      <c r="F5357" s="209" t="s">
        <v>21</v>
      </c>
      <c r="G5357" s="209" t="s">
        <v>21</v>
      </c>
      <c r="H5357" s="209" t="s">
        <v>251</v>
      </c>
      <c r="I5357" s="210"/>
    </row>
    <row r="5358" spans="1:9" x14ac:dyDescent="0.25">
      <c r="A5358" s="74"/>
      <c r="B5358" s="45">
        <v>1028</v>
      </c>
      <c r="C5358" s="64" t="s">
        <v>1437</v>
      </c>
      <c r="D5358" s="74"/>
      <c r="E5358" s="208" t="s">
        <v>168</v>
      </c>
      <c r="F5358" s="209" t="s">
        <v>21</v>
      </c>
      <c r="G5358" s="209" t="s">
        <v>21</v>
      </c>
      <c r="H5358" s="209" t="s">
        <v>186</v>
      </c>
      <c r="I5358" s="210"/>
    </row>
    <row r="5359" spans="1:9" x14ac:dyDescent="0.25">
      <c r="A5359" s="74"/>
      <c r="B5359" s="45">
        <v>1033</v>
      </c>
      <c r="C5359" s="64" t="s">
        <v>1442</v>
      </c>
      <c r="D5359" s="74"/>
      <c r="E5359" s="208" t="s">
        <v>168</v>
      </c>
      <c r="F5359" s="209" t="s">
        <v>21</v>
      </c>
      <c r="G5359" s="209" t="s">
        <v>21</v>
      </c>
      <c r="H5359" s="209" t="s">
        <v>192</v>
      </c>
      <c r="I5359" s="210"/>
    </row>
    <row r="5360" spans="1:9" x14ac:dyDescent="0.25">
      <c r="A5360" s="74"/>
      <c r="B5360" s="45">
        <v>2095</v>
      </c>
      <c r="C5360" s="64" t="s">
        <v>2136</v>
      </c>
      <c r="D5360" s="74"/>
      <c r="E5360" s="208" t="s">
        <v>168</v>
      </c>
      <c r="F5360" s="209" t="s">
        <v>21</v>
      </c>
      <c r="G5360" s="209" t="s">
        <v>21</v>
      </c>
      <c r="H5360" s="209" t="s">
        <v>16</v>
      </c>
      <c r="I5360" s="210"/>
    </row>
    <row r="5361" spans="1:9" x14ac:dyDescent="0.25">
      <c r="A5361" s="74"/>
      <c r="B5361" s="45">
        <v>2096</v>
      </c>
      <c r="C5361" s="64" t="s">
        <v>2001</v>
      </c>
      <c r="D5361" s="74"/>
      <c r="E5361" s="208" t="s">
        <v>172</v>
      </c>
      <c r="F5361" s="209" t="s">
        <v>21</v>
      </c>
      <c r="G5361" s="209" t="s">
        <v>21</v>
      </c>
      <c r="H5361" s="209" t="s">
        <v>192</v>
      </c>
      <c r="I5361" s="210"/>
    </row>
    <row r="5362" spans="1:9" x14ac:dyDescent="0.25">
      <c r="A5362" s="74"/>
      <c r="B5362" s="45">
        <v>2097</v>
      </c>
      <c r="C5362" s="64" t="s">
        <v>2014</v>
      </c>
      <c r="D5362" s="74"/>
      <c r="E5362" s="208" t="s">
        <v>168</v>
      </c>
      <c r="F5362" s="209" t="s">
        <v>21</v>
      </c>
      <c r="G5362" s="209" t="s">
        <v>21</v>
      </c>
      <c r="H5362" s="209" t="s">
        <v>272</v>
      </c>
      <c r="I5362" s="210"/>
    </row>
    <row r="5363" spans="1:9" x14ac:dyDescent="0.25">
      <c r="A5363" s="74"/>
      <c r="B5363" s="45">
        <v>2077</v>
      </c>
      <c r="C5363" s="64" t="s">
        <v>2133</v>
      </c>
      <c r="D5363" s="74"/>
      <c r="E5363" s="208" t="s">
        <v>168</v>
      </c>
      <c r="F5363" s="209" t="s">
        <v>21</v>
      </c>
      <c r="G5363" s="209" t="s">
        <v>21</v>
      </c>
      <c r="H5363" s="209" t="s">
        <v>16</v>
      </c>
      <c r="I5363" s="210"/>
    </row>
    <row r="5364" spans="1:9" x14ac:dyDescent="0.25">
      <c r="A5364" s="74"/>
      <c r="B5364" s="45">
        <v>2095</v>
      </c>
      <c r="C5364" s="64" t="s">
        <v>2136</v>
      </c>
      <c r="D5364" s="74"/>
      <c r="E5364" s="208" t="s">
        <v>168</v>
      </c>
      <c r="F5364" s="209" t="s">
        <v>21</v>
      </c>
      <c r="G5364" s="209" t="s">
        <v>21</v>
      </c>
      <c r="H5364" s="209" t="s">
        <v>16</v>
      </c>
      <c r="I5364" s="210"/>
    </row>
    <row r="5365" spans="1:9" x14ac:dyDescent="0.25">
      <c r="A5365" s="74"/>
      <c r="B5365" s="45">
        <v>2098</v>
      </c>
      <c r="C5365" s="64" t="s">
        <v>1833</v>
      </c>
      <c r="D5365" s="74"/>
      <c r="E5365" s="208" t="s">
        <v>168</v>
      </c>
      <c r="F5365" s="209" t="s">
        <v>21</v>
      </c>
      <c r="G5365" s="209" t="s">
        <v>21</v>
      </c>
      <c r="H5365" s="209" t="s">
        <v>16</v>
      </c>
      <c r="I5365" s="210"/>
    </row>
    <row r="5366" spans="1:9" x14ac:dyDescent="0.25">
      <c r="A5366" s="74"/>
      <c r="B5366" s="45">
        <v>2099</v>
      </c>
      <c r="C5366" s="64" t="s">
        <v>2089</v>
      </c>
      <c r="D5366" s="74"/>
      <c r="E5366" s="208" t="s">
        <v>168</v>
      </c>
      <c r="F5366" s="209" t="s">
        <v>21</v>
      </c>
      <c r="G5366" s="209" t="s">
        <v>21</v>
      </c>
      <c r="H5366" s="209" t="s">
        <v>16</v>
      </c>
      <c r="I5366" s="210"/>
    </row>
    <row r="5367" spans="1:9" x14ac:dyDescent="0.25">
      <c r="A5367" s="74"/>
      <c r="B5367" s="45">
        <v>2100</v>
      </c>
      <c r="C5367" s="64" t="s">
        <v>2121</v>
      </c>
      <c r="D5367" s="74"/>
      <c r="E5367" s="208" t="s">
        <v>168</v>
      </c>
      <c r="F5367" s="209" t="s">
        <v>21</v>
      </c>
      <c r="G5367" s="209" t="s">
        <v>21</v>
      </c>
      <c r="H5367" s="209" t="s">
        <v>272</v>
      </c>
      <c r="I5367" s="210"/>
    </row>
    <row r="5368" spans="1:9" x14ac:dyDescent="0.25">
      <c r="A5368" s="74"/>
      <c r="B5368" s="45">
        <v>2101</v>
      </c>
      <c r="C5368" s="64" t="s">
        <v>1582</v>
      </c>
      <c r="D5368" s="74"/>
      <c r="E5368" s="208" t="s">
        <v>168</v>
      </c>
      <c r="F5368" s="209" t="s">
        <v>21</v>
      </c>
      <c r="G5368" s="209" t="s">
        <v>21</v>
      </c>
      <c r="H5368" s="209" t="s">
        <v>272</v>
      </c>
      <c r="I5368" s="210"/>
    </row>
    <row r="5369" spans="1:9" x14ac:dyDescent="0.25">
      <c r="A5369" s="74"/>
      <c r="B5369" s="45">
        <v>1035</v>
      </c>
      <c r="C5369" s="64" t="s">
        <v>1444</v>
      </c>
      <c r="D5369" s="74"/>
      <c r="E5369" s="208" t="s">
        <v>168</v>
      </c>
      <c r="F5369" s="209" t="s">
        <v>21</v>
      </c>
      <c r="G5369" s="209" t="s">
        <v>21</v>
      </c>
      <c r="H5369" s="209" t="s">
        <v>192</v>
      </c>
      <c r="I5369" s="210"/>
    </row>
    <row r="5370" spans="1:9" x14ac:dyDescent="0.25">
      <c r="A5370" s="74"/>
      <c r="B5370" s="45">
        <v>2102</v>
      </c>
      <c r="C5370" s="64" t="s">
        <v>1457</v>
      </c>
      <c r="D5370" s="74"/>
      <c r="E5370" s="208" t="s">
        <v>168</v>
      </c>
      <c r="F5370" s="209" t="s">
        <v>21</v>
      </c>
      <c r="G5370" s="209" t="s">
        <v>21</v>
      </c>
      <c r="H5370" s="209" t="s">
        <v>272</v>
      </c>
      <c r="I5370" s="210"/>
    </row>
    <row r="5371" spans="1:9" x14ac:dyDescent="0.25">
      <c r="A5371" s="74"/>
      <c r="B5371" s="45">
        <v>2097</v>
      </c>
      <c r="C5371" s="64" t="s">
        <v>2014</v>
      </c>
      <c r="D5371" s="74"/>
      <c r="E5371" s="208" t="s">
        <v>168</v>
      </c>
      <c r="F5371" s="209" t="s">
        <v>21</v>
      </c>
      <c r="G5371" s="209" t="s">
        <v>21</v>
      </c>
      <c r="H5371" s="209" t="s">
        <v>272</v>
      </c>
      <c r="I5371" s="210"/>
    </row>
    <row r="5372" spans="1:9" x14ac:dyDescent="0.25">
      <c r="A5372" s="74"/>
      <c r="B5372" s="45">
        <v>2077</v>
      </c>
      <c r="C5372" s="64" t="s">
        <v>2133</v>
      </c>
      <c r="D5372" s="74"/>
      <c r="E5372" s="208" t="s">
        <v>168</v>
      </c>
      <c r="F5372" s="209" t="s">
        <v>21</v>
      </c>
      <c r="G5372" s="209" t="s">
        <v>21</v>
      </c>
      <c r="H5372" s="209" t="s">
        <v>16</v>
      </c>
      <c r="I5372" s="210"/>
    </row>
    <row r="5373" spans="1:9" x14ac:dyDescent="0.25">
      <c r="A5373" s="74"/>
      <c r="B5373" s="45">
        <v>2095</v>
      </c>
      <c r="C5373" s="64" t="s">
        <v>2136</v>
      </c>
      <c r="D5373" s="74"/>
      <c r="E5373" s="208" t="s">
        <v>168</v>
      </c>
      <c r="F5373" s="209" t="s">
        <v>21</v>
      </c>
      <c r="G5373" s="209" t="s">
        <v>21</v>
      </c>
      <c r="H5373" s="209" t="s">
        <v>16</v>
      </c>
      <c r="I5373" s="210"/>
    </row>
    <row r="5374" spans="1:9" x14ac:dyDescent="0.25">
      <c r="A5374" s="74"/>
      <c r="B5374" s="45">
        <v>2098</v>
      </c>
      <c r="C5374" s="64" t="s">
        <v>1833</v>
      </c>
      <c r="D5374" s="74"/>
      <c r="E5374" s="208" t="s">
        <v>168</v>
      </c>
      <c r="F5374" s="209" t="s">
        <v>21</v>
      </c>
      <c r="G5374" s="209" t="s">
        <v>21</v>
      </c>
      <c r="H5374" s="209" t="s">
        <v>16</v>
      </c>
      <c r="I5374" s="210"/>
    </row>
    <row r="5375" spans="1:9" x14ac:dyDescent="0.25">
      <c r="A5375" s="74"/>
      <c r="B5375" s="45">
        <v>2099</v>
      </c>
      <c r="C5375" s="64" t="s">
        <v>2089</v>
      </c>
      <c r="D5375" s="74"/>
      <c r="E5375" s="208" t="s">
        <v>168</v>
      </c>
      <c r="F5375" s="209" t="s">
        <v>21</v>
      </c>
      <c r="G5375" s="209" t="s">
        <v>21</v>
      </c>
      <c r="H5375" s="209" t="s">
        <v>16</v>
      </c>
      <c r="I5375" s="210"/>
    </row>
    <row r="5376" spans="1:9" x14ac:dyDescent="0.25">
      <c r="A5376" s="74"/>
      <c r="B5376" s="45">
        <v>2100</v>
      </c>
      <c r="C5376" s="64" t="s">
        <v>2121</v>
      </c>
      <c r="D5376" s="74"/>
      <c r="E5376" s="208" t="s">
        <v>168</v>
      </c>
      <c r="F5376" s="209" t="s">
        <v>21</v>
      </c>
      <c r="G5376" s="209" t="s">
        <v>21</v>
      </c>
      <c r="H5376" s="209" t="s">
        <v>272</v>
      </c>
      <c r="I5376" s="210"/>
    </row>
    <row r="5377" spans="1:9" x14ac:dyDescent="0.25">
      <c r="A5377" s="74"/>
      <c r="B5377" s="45">
        <v>2101</v>
      </c>
      <c r="C5377" s="64" t="s">
        <v>1582</v>
      </c>
      <c r="D5377" s="74"/>
      <c r="E5377" s="208" t="s">
        <v>168</v>
      </c>
      <c r="F5377" s="209" t="s">
        <v>21</v>
      </c>
      <c r="G5377" s="209" t="s">
        <v>21</v>
      </c>
      <c r="H5377" s="209" t="s">
        <v>272</v>
      </c>
      <c r="I5377" s="210"/>
    </row>
    <row r="5378" spans="1:9" x14ac:dyDescent="0.25">
      <c r="A5378" s="74"/>
      <c r="B5378" s="45">
        <v>1035</v>
      </c>
      <c r="C5378" s="64" t="s">
        <v>1444</v>
      </c>
      <c r="D5378" s="74"/>
      <c r="E5378" s="208" t="s">
        <v>168</v>
      </c>
      <c r="F5378" s="209" t="s">
        <v>21</v>
      </c>
      <c r="G5378" s="209" t="s">
        <v>21</v>
      </c>
      <c r="H5378" s="209" t="s">
        <v>192</v>
      </c>
      <c r="I5378" s="210"/>
    </row>
    <row r="5379" spans="1:9" x14ac:dyDescent="0.25">
      <c r="A5379" s="74"/>
      <c r="B5379" s="45">
        <v>2102</v>
      </c>
      <c r="C5379" s="64" t="s">
        <v>1457</v>
      </c>
      <c r="D5379" s="74"/>
      <c r="E5379" s="208" t="s">
        <v>168</v>
      </c>
      <c r="F5379" s="209" t="s">
        <v>21</v>
      </c>
      <c r="G5379" s="209" t="s">
        <v>21</v>
      </c>
      <c r="H5379" s="209" t="s">
        <v>272</v>
      </c>
      <c r="I5379" s="210"/>
    </row>
    <row r="5380" spans="1:9" x14ac:dyDescent="0.25">
      <c r="A5380" s="74"/>
      <c r="B5380" s="45">
        <v>2097</v>
      </c>
      <c r="C5380" s="64" t="s">
        <v>2014</v>
      </c>
      <c r="D5380" s="74"/>
      <c r="E5380" s="208" t="s">
        <v>168</v>
      </c>
      <c r="F5380" s="209" t="s">
        <v>21</v>
      </c>
      <c r="G5380" s="209" t="s">
        <v>21</v>
      </c>
      <c r="H5380" s="209" t="s">
        <v>272</v>
      </c>
      <c r="I5380" s="210"/>
    </row>
    <row r="5381" spans="1:9" x14ac:dyDescent="0.25">
      <c r="A5381" s="74"/>
      <c r="B5381" s="45">
        <v>2077</v>
      </c>
      <c r="C5381" s="64" t="s">
        <v>2133</v>
      </c>
      <c r="D5381" s="74"/>
      <c r="E5381" s="208" t="s">
        <v>168</v>
      </c>
      <c r="F5381" s="209" t="s">
        <v>21</v>
      </c>
      <c r="G5381" s="209" t="s">
        <v>21</v>
      </c>
      <c r="H5381" s="209" t="s">
        <v>16</v>
      </c>
      <c r="I5381" s="210"/>
    </row>
    <row r="5382" spans="1:9" x14ac:dyDescent="0.25">
      <c r="A5382" s="74"/>
      <c r="B5382" s="45">
        <v>2095</v>
      </c>
      <c r="C5382" s="64" t="s">
        <v>2136</v>
      </c>
      <c r="D5382" s="74"/>
      <c r="E5382" s="208" t="s">
        <v>168</v>
      </c>
      <c r="F5382" s="209" t="s">
        <v>21</v>
      </c>
      <c r="G5382" s="209" t="s">
        <v>21</v>
      </c>
      <c r="H5382" s="209" t="s">
        <v>16</v>
      </c>
      <c r="I5382" s="210"/>
    </row>
    <row r="5383" spans="1:9" x14ac:dyDescent="0.25">
      <c r="A5383" s="74"/>
      <c r="B5383" s="45">
        <v>2098</v>
      </c>
      <c r="C5383" s="64" t="s">
        <v>1833</v>
      </c>
      <c r="D5383" s="74"/>
      <c r="E5383" s="208" t="s">
        <v>168</v>
      </c>
      <c r="F5383" s="209" t="s">
        <v>21</v>
      </c>
      <c r="G5383" s="209" t="s">
        <v>21</v>
      </c>
      <c r="H5383" s="209" t="s">
        <v>16</v>
      </c>
      <c r="I5383" s="210"/>
    </row>
    <row r="5384" spans="1:9" x14ac:dyDescent="0.25">
      <c r="A5384" s="74"/>
      <c r="B5384" s="45">
        <v>2099</v>
      </c>
      <c r="C5384" s="64" t="s">
        <v>2089</v>
      </c>
      <c r="D5384" s="74"/>
      <c r="E5384" s="208" t="s">
        <v>168</v>
      </c>
      <c r="F5384" s="209" t="s">
        <v>21</v>
      </c>
      <c r="G5384" s="209" t="s">
        <v>21</v>
      </c>
      <c r="H5384" s="209" t="s">
        <v>16</v>
      </c>
      <c r="I5384" s="210"/>
    </row>
    <row r="5385" spans="1:9" x14ac:dyDescent="0.25">
      <c r="A5385" s="74"/>
      <c r="B5385" s="45">
        <v>2100</v>
      </c>
      <c r="C5385" s="64" t="s">
        <v>2121</v>
      </c>
      <c r="D5385" s="74"/>
      <c r="E5385" s="208" t="s">
        <v>168</v>
      </c>
      <c r="F5385" s="209" t="s">
        <v>21</v>
      </c>
      <c r="G5385" s="209" t="s">
        <v>21</v>
      </c>
      <c r="H5385" s="209" t="s">
        <v>272</v>
      </c>
      <c r="I5385" s="210"/>
    </row>
    <row r="5386" spans="1:9" x14ac:dyDescent="0.25">
      <c r="A5386" s="74"/>
      <c r="B5386" s="45">
        <v>2101</v>
      </c>
      <c r="C5386" s="64" t="s">
        <v>1582</v>
      </c>
      <c r="D5386" s="74"/>
      <c r="E5386" s="208" t="s">
        <v>168</v>
      </c>
      <c r="F5386" s="209" t="s">
        <v>21</v>
      </c>
      <c r="G5386" s="209" t="s">
        <v>21</v>
      </c>
      <c r="H5386" s="209" t="s">
        <v>272</v>
      </c>
      <c r="I5386" s="210"/>
    </row>
    <row r="5387" spans="1:9" x14ac:dyDescent="0.25">
      <c r="A5387" s="74"/>
      <c r="B5387" s="45">
        <v>1035</v>
      </c>
      <c r="C5387" s="64" t="s">
        <v>1444</v>
      </c>
      <c r="D5387" s="74"/>
      <c r="E5387" s="208" t="s">
        <v>168</v>
      </c>
      <c r="F5387" s="209" t="s">
        <v>21</v>
      </c>
      <c r="G5387" s="209" t="s">
        <v>21</v>
      </c>
      <c r="H5387" s="209" t="s">
        <v>192</v>
      </c>
      <c r="I5387" s="210"/>
    </row>
    <row r="5388" spans="1:9" x14ac:dyDescent="0.25">
      <c r="A5388" s="74"/>
      <c r="B5388" s="45">
        <v>2102</v>
      </c>
      <c r="C5388" s="64" t="s">
        <v>1457</v>
      </c>
      <c r="D5388" s="74"/>
      <c r="E5388" s="208" t="s">
        <v>168</v>
      </c>
      <c r="F5388" s="209" t="s">
        <v>21</v>
      </c>
      <c r="G5388" s="209" t="s">
        <v>21</v>
      </c>
      <c r="H5388" s="209" t="s">
        <v>272</v>
      </c>
      <c r="I5388" s="210"/>
    </row>
    <row r="5389" spans="1:9" x14ac:dyDescent="0.25">
      <c r="A5389" s="74"/>
      <c r="B5389" s="45">
        <v>2097</v>
      </c>
      <c r="C5389" s="64" t="s">
        <v>2014</v>
      </c>
      <c r="D5389" s="74"/>
      <c r="E5389" s="208" t="s">
        <v>168</v>
      </c>
      <c r="F5389" s="209" t="s">
        <v>21</v>
      </c>
      <c r="G5389" s="209" t="s">
        <v>21</v>
      </c>
      <c r="H5389" s="209" t="s">
        <v>272</v>
      </c>
      <c r="I5389" s="210"/>
    </row>
    <row r="5390" spans="1:9" x14ac:dyDescent="0.25">
      <c r="A5390" s="74"/>
      <c r="B5390" s="45">
        <v>2077</v>
      </c>
      <c r="C5390" s="64" t="s">
        <v>2133</v>
      </c>
      <c r="D5390" s="74"/>
      <c r="E5390" s="208" t="s">
        <v>168</v>
      </c>
      <c r="F5390" s="209" t="s">
        <v>21</v>
      </c>
      <c r="G5390" s="209" t="s">
        <v>21</v>
      </c>
      <c r="H5390" s="209" t="s">
        <v>16</v>
      </c>
      <c r="I5390" s="210"/>
    </row>
    <row r="5391" spans="1:9" x14ac:dyDescent="0.25">
      <c r="A5391" s="74"/>
      <c r="B5391" s="45">
        <v>2095</v>
      </c>
      <c r="C5391" s="64" t="s">
        <v>2136</v>
      </c>
      <c r="D5391" s="74"/>
      <c r="E5391" s="208" t="s">
        <v>168</v>
      </c>
      <c r="F5391" s="209" t="s">
        <v>21</v>
      </c>
      <c r="G5391" s="209" t="s">
        <v>21</v>
      </c>
      <c r="H5391" s="209" t="s">
        <v>16</v>
      </c>
      <c r="I5391" s="210"/>
    </row>
    <row r="5392" spans="1:9" x14ac:dyDescent="0.25">
      <c r="A5392" s="74"/>
      <c r="B5392" s="45">
        <v>2098</v>
      </c>
      <c r="C5392" s="64" t="s">
        <v>1833</v>
      </c>
      <c r="D5392" s="74"/>
      <c r="E5392" s="208" t="s">
        <v>168</v>
      </c>
      <c r="F5392" s="209" t="s">
        <v>21</v>
      </c>
      <c r="G5392" s="209" t="s">
        <v>21</v>
      </c>
      <c r="H5392" s="209" t="s">
        <v>16</v>
      </c>
      <c r="I5392" s="210"/>
    </row>
    <row r="5393" spans="1:9" x14ac:dyDescent="0.25">
      <c r="A5393" s="74"/>
      <c r="B5393" s="45">
        <v>2099</v>
      </c>
      <c r="C5393" s="64" t="s">
        <v>2089</v>
      </c>
      <c r="D5393" s="74"/>
      <c r="E5393" s="208" t="s">
        <v>168</v>
      </c>
      <c r="F5393" s="209" t="s">
        <v>21</v>
      </c>
      <c r="G5393" s="209" t="s">
        <v>21</v>
      </c>
      <c r="H5393" s="209" t="s">
        <v>16</v>
      </c>
      <c r="I5393" s="210"/>
    </row>
    <row r="5394" spans="1:9" x14ac:dyDescent="0.25">
      <c r="A5394" s="74"/>
      <c r="B5394" s="45">
        <v>2100</v>
      </c>
      <c r="C5394" s="64" t="s">
        <v>2121</v>
      </c>
      <c r="D5394" s="74"/>
      <c r="E5394" s="208" t="s">
        <v>168</v>
      </c>
      <c r="F5394" s="209" t="s">
        <v>21</v>
      </c>
      <c r="G5394" s="209" t="s">
        <v>21</v>
      </c>
      <c r="H5394" s="209" t="s">
        <v>272</v>
      </c>
      <c r="I5394" s="210"/>
    </row>
    <row r="5395" spans="1:9" x14ac:dyDescent="0.25">
      <c r="A5395" s="74"/>
      <c r="B5395" s="45">
        <v>2101</v>
      </c>
      <c r="C5395" s="64" t="s">
        <v>1582</v>
      </c>
      <c r="D5395" s="74"/>
      <c r="E5395" s="208" t="s">
        <v>168</v>
      </c>
      <c r="F5395" s="209" t="s">
        <v>21</v>
      </c>
      <c r="G5395" s="209" t="s">
        <v>21</v>
      </c>
      <c r="H5395" s="209" t="s">
        <v>272</v>
      </c>
      <c r="I5395" s="210"/>
    </row>
    <row r="5396" spans="1:9" x14ac:dyDescent="0.25">
      <c r="A5396" s="74"/>
      <c r="B5396" s="45">
        <v>1035</v>
      </c>
      <c r="C5396" s="64" t="s">
        <v>1444</v>
      </c>
      <c r="D5396" s="74"/>
      <c r="E5396" s="208" t="s">
        <v>168</v>
      </c>
      <c r="F5396" s="209" t="s">
        <v>21</v>
      </c>
      <c r="G5396" s="209" t="s">
        <v>21</v>
      </c>
      <c r="H5396" s="209" t="s">
        <v>192</v>
      </c>
      <c r="I5396" s="210"/>
    </row>
    <row r="5397" spans="1:9" x14ac:dyDescent="0.25">
      <c r="A5397" s="74"/>
      <c r="B5397" s="45">
        <v>2102</v>
      </c>
      <c r="C5397" s="64" t="s">
        <v>1457</v>
      </c>
      <c r="D5397" s="74"/>
      <c r="E5397" s="208" t="s">
        <v>168</v>
      </c>
      <c r="F5397" s="209" t="s">
        <v>21</v>
      </c>
      <c r="G5397" s="209" t="s">
        <v>21</v>
      </c>
      <c r="H5397" s="209" t="s">
        <v>272</v>
      </c>
      <c r="I5397" s="210"/>
    </row>
    <row r="5398" spans="1:9" x14ac:dyDescent="0.25">
      <c r="A5398" s="74"/>
      <c r="B5398" s="45">
        <v>2097</v>
      </c>
      <c r="C5398" s="64" t="s">
        <v>2014</v>
      </c>
      <c r="D5398" s="74"/>
      <c r="E5398" s="208" t="s">
        <v>168</v>
      </c>
      <c r="F5398" s="209" t="s">
        <v>21</v>
      </c>
      <c r="G5398" s="209" t="s">
        <v>21</v>
      </c>
      <c r="H5398" s="209" t="s">
        <v>272</v>
      </c>
      <c r="I5398" s="210"/>
    </row>
    <row r="5399" spans="1:9" x14ac:dyDescent="0.25">
      <c r="A5399" s="74"/>
      <c r="B5399" s="45">
        <v>2077</v>
      </c>
      <c r="C5399" s="64" t="s">
        <v>2133</v>
      </c>
      <c r="D5399" s="74"/>
      <c r="E5399" s="208" t="s">
        <v>168</v>
      </c>
      <c r="F5399" s="209" t="s">
        <v>21</v>
      </c>
      <c r="G5399" s="209" t="s">
        <v>21</v>
      </c>
      <c r="H5399" s="209" t="s">
        <v>16</v>
      </c>
      <c r="I5399" s="210"/>
    </row>
    <row r="5400" spans="1:9" x14ac:dyDescent="0.25">
      <c r="A5400" s="74"/>
      <c r="B5400" s="45">
        <v>2095</v>
      </c>
      <c r="C5400" s="64" t="s">
        <v>2136</v>
      </c>
      <c r="D5400" s="74"/>
      <c r="E5400" s="208" t="s">
        <v>168</v>
      </c>
      <c r="F5400" s="209" t="s">
        <v>21</v>
      </c>
      <c r="G5400" s="209" t="s">
        <v>21</v>
      </c>
      <c r="H5400" s="209" t="s">
        <v>16</v>
      </c>
      <c r="I5400" s="210"/>
    </row>
    <row r="5401" spans="1:9" x14ac:dyDescent="0.25">
      <c r="A5401" s="74"/>
      <c r="B5401" s="45">
        <v>2098</v>
      </c>
      <c r="C5401" s="64" t="s">
        <v>1833</v>
      </c>
      <c r="D5401" s="74"/>
      <c r="E5401" s="208" t="s">
        <v>168</v>
      </c>
      <c r="F5401" s="209" t="s">
        <v>21</v>
      </c>
      <c r="G5401" s="209" t="s">
        <v>21</v>
      </c>
      <c r="H5401" s="209" t="s">
        <v>16</v>
      </c>
      <c r="I5401" s="210"/>
    </row>
    <row r="5402" spans="1:9" x14ac:dyDescent="0.25">
      <c r="A5402" s="74"/>
      <c r="B5402" s="45">
        <v>2099</v>
      </c>
      <c r="C5402" s="64" t="s">
        <v>2089</v>
      </c>
      <c r="D5402" s="74"/>
      <c r="E5402" s="208" t="s">
        <v>168</v>
      </c>
      <c r="F5402" s="209" t="s">
        <v>21</v>
      </c>
      <c r="G5402" s="209" t="s">
        <v>21</v>
      </c>
      <c r="H5402" s="209" t="s">
        <v>16</v>
      </c>
      <c r="I5402" s="210"/>
    </row>
    <row r="5403" spans="1:9" x14ac:dyDescent="0.25">
      <c r="A5403" s="74"/>
      <c r="B5403" s="45">
        <v>2100</v>
      </c>
      <c r="C5403" s="64" t="s">
        <v>2121</v>
      </c>
      <c r="D5403" s="74"/>
      <c r="E5403" s="208" t="s">
        <v>168</v>
      </c>
      <c r="F5403" s="209" t="s">
        <v>21</v>
      </c>
      <c r="G5403" s="209" t="s">
        <v>21</v>
      </c>
      <c r="H5403" s="209" t="s">
        <v>272</v>
      </c>
      <c r="I5403" s="210"/>
    </row>
    <row r="5404" spans="1:9" x14ac:dyDescent="0.25">
      <c r="A5404" s="74"/>
      <c r="B5404" s="45">
        <v>2101</v>
      </c>
      <c r="C5404" s="64" t="s">
        <v>1582</v>
      </c>
      <c r="D5404" s="74"/>
      <c r="E5404" s="208" t="s">
        <v>168</v>
      </c>
      <c r="F5404" s="209" t="s">
        <v>21</v>
      </c>
      <c r="G5404" s="209" t="s">
        <v>21</v>
      </c>
      <c r="H5404" s="209" t="s">
        <v>272</v>
      </c>
      <c r="I5404" s="210"/>
    </row>
    <row r="5405" spans="1:9" x14ac:dyDescent="0.25">
      <c r="A5405" s="74"/>
      <c r="B5405" s="45">
        <v>1035</v>
      </c>
      <c r="C5405" s="64" t="s">
        <v>1444</v>
      </c>
      <c r="D5405" s="74"/>
      <c r="E5405" s="208" t="s">
        <v>168</v>
      </c>
      <c r="F5405" s="209" t="s">
        <v>21</v>
      </c>
      <c r="G5405" s="209" t="s">
        <v>21</v>
      </c>
      <c r="H5405" s="209" t="s">
        <v>192</v>
      </c>
      <c r="I5405" s="210"/>
    </row>
    <row r="5406" spans="1:9" x14ac:dyDescent="0.25">
      <c r="A5406" s="74"/>
      <c r="B5406" s="45">
        <v>2102</v>
      </c>
      <c r="C5406" s="64" t="s">
        <v>1457</v>
      </c>
      <c r="D5406" s="74"/>
      <c r="E5406" s="208" t="s">
        <v>168</v>
      </c>
      <c r="F5406" s="209" t="s">
        <v>21</v>
      </c>
      <c r="G5406" s="209" t="s">
        <v>21</v>
      </c>
      <c r="H5406" s="209" t="s">
        <v>272</v>
      </c>
      <c r="I5406" s="210"/>
    </row>
    <row r="5407" spans="1:9" x14ac:dyDescent="0.25">
      <c r="A5407" s="74"/>
      <c r="B5407" s="45">
        <v>2103</v>
      </c>
      <c r="C5407" s="64" t="s">
        <v>1963</v>
      </c>
      <c r="D5407" s="74"/>
      <c r="E5407" s="208" t="s">
        <v>168</v>
      </c>
      <c r="F5407" s="209" t="s">
        <v>21</v>
      </c>
      <c r="G5407" s="209" t="s">
        <v>21</v>
      </c>
      <c r="H5407" s="209" t="s">
        <v>272</v>
      </c>
      <c r="I5407" s="210"/>
    </row>
    <row r="5408" spans="1:9" x14ac:dyDescent="0.25">
      <c r="A5408" s="74"/>
      <c r="B5408" s="45">
        <v>1029</v>
      </c>
      <c r="C5408" s="64" t="s">
        <v>1438</v>
      </c>
      <c r="D5408" s="74"/>
      <c r="E5408" s="208" t="s">
        <v>168</v>
      </c>
      <c r="F5408" s="209" t="s">
        <v>21</v>
      </c>
      <c r="G5408" s="209" t="s">
        <v>21</v>
      </c>
      <c r="H5408" s="209" t="s">
        <v>198</v>
      </c>
      <c r="I5408" s="210"/>
    </row>
    <row r="5409" spans="1:9" x14ac:dyDescent="0.25">
      <c r="A5409" s="74"/>
      <c r="B5409" s="45">
        <v>2097</v>
      </c>
      <c r="C5409" s="64" t="s">
        <v>2014</v>
      </c>
      <c r="D5409" s="74"/>
      <c r="E5409" s="208" t="s">
        <v>168</v>
      </c>
      <c r="F5409" s="209" t="s">
        <v>21</v>
      </c>
      <c r="G5409" s="209" t="s">
        <v>21</v>
      </c>
      <c r="H5409" s="209" t="s">
        <v>272</v>
      </c>
      <c r="I5409" s="210"/>
    </row>
    <row r="5410" spans="1:9" x14ac:dyDescent="0.25">
      <c r="A5410" s="74"/>
      <c r="B5410" s="45">
        <v>2077</v>
      </c>
      <c r="C5410" s="64" t="s">
        <v>2133</v>
      </c>
      <c r="D5410" s="74"/>
      <c r="E5410" s="208" t="s">
        <v>168</v>
      </c>
      <c r="F5410" s="209" t="s">
        <v>21</v>
      </c>
      <c r="G5410" s="209" t="s">
        <v>21</v>
      </c>
      <c r="H5410" s="209" t="s">
        <v>16</v>
      </c>
      <c r="I5410" s="210"/>
    </row>
    <row r="5411" spans="1:9" x14ac:dyDescent="0.25">
      <c r="A5411" s="74"/>
      <c r="B5411" s="45">
        <v>2095</v>
      </c>
      <c r="C5411" s="64" t="s">
        <v>2136</v>
      </c>
      <c r="D5411" s="74"/>
      <c r="E5411" s="208" t="s">
        <v>168</v>
      </c>
      <c r="F5411" s="209" t="s">
        <v>21</v>
      </c>
      <c r="G5411" s="209" t="s">
        <v>21</v>
      </c>
      <c r="H5411" s="209" t="s">
        <v>16</v>
      </c>
      <c r="I5411" s="210"/>
    </row>
    <row r="5412" spans="1:9" x14ac:dyDescent="0.25">
      <c r="A5412" s="74"/>
      <c r="B5412" s="45">
        <v>2098</v>
      </c>
      <c r="C5412" s="64" t="s">
        <v>1833</v>
      </c>
      <c r="D5412" s="74"/>
      <c r="E5412" s="208" t="s">
        <v>168</v>
      </c>
      <c r="F5412" s="209" t="s">
        <v>21</v>
      </c>
      <c r="G5412" s="209" t="s">
        <v>21</v>
      </c>
      <c r="H5412" s="209" t="s">
        <v>16</v>
      </c>
      <c r="I5412" s="210"/>
    </row>
    <row r="5413" spans="1:9" x14ac:dyDescent="0.25">
      <c r="A5413" s="74"/>
      <c r="B5413" s="45">
        <v>2099</v>
      </c>
      <c r="C5413" s="64" t="s">
        <v>2089</v>
      </c>
      <c r="D5413" s="74"/>
      <c r="E5413" s="208" t="s">
        <v>168</v>
      </c>
      <c r="F5413" s="209" t="s">
        <v>21</v>
      </c>
      <c r="G5413" s="209" t="s">
        <v>21</v>
      </c>
      <c r="H5413" s="209" t="s">
        <v>16</v>
      </c>
      <c r="I5413" s="210"/>
    </row>
    <row r="5414" spans="1:9" x14ac:dyDescent="0.25">
      <c r="A5414" s="74"/>
      <c r="B5414" s="45">
        <v>2100</v>
      </c>
      <c r="C5414" s="64" t="s">
        <v>2121</v>
      </c>
      <c r="D5414" s="74"/>
      <c r="E5414" s="208" t="s">
        <v>168</v>
      </c>
      <c r="F5414" s="209" t="s">
        <v>21</v>
      </c>
      <c r="G5414" s="209" t="s">
        <v>21</v>
      </c>
      <c r="H5414" s="209" t="s">
        <v>272</v>
      </c>
      <c r="I5414" s="210"/>
    </row>
    <row r="5415" spans="1:9" x14ac:dyDescent="0.25">
      <c r="A5415" s="74"/>
      <c r="B5415" s="45">
        <v>2101</v>
      </c>
      <c r="C5415" s="64" t="s">
        <v>1582</v>
      </c>
      <c r="D5415" s="74"/>
      <c r="E5415" s="208" t="s">
        <v>168</v>
      </c>
      <c r="F5415" s="209" t="s">
        <v>21</v>
      </c>
      <c r="G5415" s="209" t="s">
        <v>21</v>
      </c>
      <c r="H5415" s="209" t="s">
        <v>272</v>
      </c>
      <c r="I5415" s="210"/>
    </row>
    <row r="5416" spans="1:9" x14ac:dyDescent="0.25">
      <c r="A5416" s="74"/>
      <c r="B5416" s="45">
        <v>1035</v>
      </c>
      <c r="C5416" s="64" t="s">
        <v>1444</v>
      </c>
      <c r="D5416" s="74"/>
      <c r="E5416" s="208" t="s">
        <v>168</v>
      </c>
      <c r="F5416" s="209" t="s">
        <v>21</v>
      </c>
      <c r="G5416" s="209" t="s">
        <v>21</v>
      </c>
      <c r="H5416" s="209" t="s">
        <v>192</v>
      </c>
      <c r="I5416" s="210"/>
    </row>
    <row r="5417" spans="1:9" x14ac:dyDescent="0.25">
      <c r="A5417" s="74"/>
      <c r="B5417" s="45">
        <v>2102</v>
      </c>
      <c r="C5417" s="64" t="s">
        <v>1457</v>
      </c>
      <c r="D5417" s="74"/>
      <c r="E5417" s="208" t="s">
        <v>168</v>
      </c>
      <c r="F5417" s="209" t="s">
        <v>21</v>
      </c>
      <c r="G5417" s="209" t="s">
        <v>21</v>
      </c>
      <c r="H5417" s="209" t="s">
        <v>272</v>
      </c>
      <c r="I5417" s="210"/>
    </row>
    <row r="5418" spans="1:9" x14ac:dyDescent="0.25">
      <c r="A5418" s="74"/>
      <c r="B5418" s="45">
        <v>2097</v>
      </c>
      <c r="C5418" s="64" t="s">
        <v>2014</v>
      </c>
      <c r="D5418" s="74"/>
      <c r="E5418" s="208" t="s">
        <v>168</v>
      </c>
      <c r="F5418" s="209" t="s">
        <v>21</v>
      </c>
      <c r="G5418" s="209" t="s">
        <v>21</v>
      </c>
      <c r="H5418" s="209" t="s">
        <v>272</v>
      </c>
      <c r="I5418" s="210"/>
    </row>
    <row r="5419" spans="1:9" x14ac:dyDescent="0.25">
      <c r="A5419" s="74"/>
      <c r="B5419" s="45">
        <v>2077</v>
      </c>
      <c r="C5419" s="64" t="s">
        <v>2133</v>
      </c>
      <c r="D5419" s="74"/>
      <c r="E5419" s="208" t="s">
        <v>168</v>
      </c>
      <c r="F5419" s="209" t="s">
        <v>21</v>
      </c>
      <c r="G5419" s="209" t="s">
        <v>21</v>
      </c>
      <c r="H5419" s="209" t="s">
        <v>16</v>
      </c>
      <c r="I5419" s="210"/>
    </row>
    <row r="5420" spans="1:9" x14ac:dyDescent="0.25">
      <c r="A5420" s="74"/>
      <c r="B5420" s="45">
        <v>2095</v>
      </c>
      <c r="C5420" s="64" t="s">
        <v>2136</v>
      </c>
      <c r="D5420" s="74"/>
      <c r="E5420" s="208" t="s">
        <v>168</v>
      </c>
      <c r="F5420" s="209" t="s">
        <v>21</v>
      </c>
      <c r="G5420" s="209" t="s">
        <v>21</v>
      </c>
      <c r="H5420" s="209" t="s">
        <v>16</v>
      </c>
      <c r="I5420" s="210"/>
    </row>
    <row r="5421" spans="1:9" x14ac:dyDescent="0.25">
      <c r="A5421" s="74"/>
      <c r="B5421" s="45">
        <v>2098</v>
      </c>
      <c r="C5421" s="64" t="s">
        <v>1833</v>
      </c>
      <c r="D5421" s="74"/>
      <c r="E5421" s="208" t="s">
        <v>168</v>
      </c>
      <c r="F5421" s="209" t="s">
        <v>21</v>
      </c>
      <c r="G5421" s="209" t="s">
        <v>21</v>
      </c>
      <c r="H5421" s="209" t="s">
        <v>16</v>
      </c>
      <c r="I5421" s="210"/>
    </row>
    <row r="5422" spans="1:9" x14ac:dyDescent="0.25">
      <c r="A5422" s="74"/>
      <c r="B5422" s="45">
        <v>2099</v>
      </c>
      <c r="C5422" s="64" t="s">
        <v>2089</v>
      </c>
      <c r="D5422" s="74"/>
      <c r="E5422" s="208" t="s">
        <v>168</v>
      </c>
      <c r="F5422" s="209" t="s">
        <v>21</v>
      </c>
      <c r="G5422" s="209" t="s">
        <v>21</v>
      </c>
      <c r="H5422" s="209" t="s">
        <v>16</v>
      </c>
      <c r="I5422" s="210"/>
    </row>
    <row r="5423" spans="1:9" x14ac:dyDescent="0.25">
      <c r="A5423" s="74"/>
      <c r="B5423" s="45">
        <v>2100</v>
      </c>
      <c r="C5423" s="64" t="s">
        <v>2121</v>
      </c>
      <c r="D5423" s="74"/>
      <c r="E5423" s="208" t="s">
        <v>168</v>
      </c>
      <c r="F5423" s="209" t="s">
        <v>21</v>
      </c>
      <c r="G5423" s="209" t="s">
        <v>21</v>
      </c>
      <c r="H5423" s="209" t="s">
        <v>272</v>
      </c>
      <c r="I5423" s="210"/>
    </row>
    <row r="5424" spans="1:9" x14ac:dyDescent="0.25">
      <c r="A5424" s="74"/>
      <c r="B5424" s="45">
        <v>2101</v>
      </c>
      <c r="C5424" s="64" t="s">
        <v>1582</v>
      </c>
      <c r="D5424" s="74"/>
      <c r="E5424" s="208" t="s">
        <v>168</v>
      </c>
      <c r="F5424" s="209" t="s">
        <v>21</v>
      </c>
      <c r="G5424" s="209" t="s">
        <v>21</v>
      </c>
      <c r="H5424" s="209" t="s">
        <v>272</v>
      </c>
      <c r="I5424" s="210"/>
    </row>
    <row r="5425" spans="1:9" x14ac:dyDescent="0.25">
      <c r="A5425" s="74"/>
      <c r="B5425" s="45">
        <v>1035</v>
      </c>
      <c r="C5425" s="64" t="s">
        <v>1444</v>
      </c>
      <c r="D5425" s="74"/>
      <c r="E5425" s="208" t="s">
        <v>168</v>
      </c>
      <c r="F5425" s="209" t="s">
        <v>21</v>
      </c>
      <c r="G5425" s="209" t="s">
        <v>21</v>
      </c>
      <c r="H5425" s="209" t="s">
        <v>192</v>
      </c>
      <c r="I5425" s="210"/>
    </row>
    <row r="5426" spans="1:9" x14ac:dyDescent="0.25">
      <c r="A5426" s="74"/>
      <c r="B5426" s="45">
        <v>2102</v>
      </c>
      <c r="C5426" s="64" t="s">
        <v>1457</v>
      </c>
      <c r="D5426" s="74"/>
      <c r="E5426" s="208" t="s">
        <v>168</v>
      </c>
      <c r="F5426" s="209" t="s">
        <v>21</v>
      </c>
      <c r="G5426" s="209" t="s">
        <v>21</v>
      </c>
      <c r="H5426" s="209" t="s">
        <v>272</v>
      </c>
      <c r="I5426" s="210"/>
    </row>
    <row r="5427" spans="1:9" x14ac:dyDescent="0.25">
      <c r="A5427" s="74"/>
      <c r="B5427" s="45">
        <v>1039</v>
      </c>
      <c r="C5427" s="64" t="s">
        <v>1448</v>
      </c>
      <c r="D5427" s="74"/>
      <c r="E5427" s="208" t="s">
        <v>168</v>
      </c>
      <c r="F5427" s="209" t="s">
        <v>21</v>
      </c>
      <c r="G5427" s="209" t="s">
        <v>21</v>
      </c>
      <c r="H5427" s="209" t="s">
        <v>251</v>
      </c>
      <c r="I5427" s="210"/>
    </row>
    <row r="5428" spans="1:9" x14ac:dyDescent="0.25">
      <c r="A5428" s="74"/>
      <c r="B5428" s="45">
        <v>1038</v>
      </c>
      <c r="C5428" s="64" t="s">
        <v>1447</v>
      </c>
      <c r="D5428" s="74"/>
      <c r="E5428" s="208" t="s">
        <v>168</v>
      </c>
      <c r="F5428" s="209" t="s">
        <v>21</v>
      </c>
      <c r="G5428" s="209" t="s">
        <v>21</v>
      </c>
      <c r="H5428" s="209" t="s">
        <v>198</v>
      </c>
      <c r="I5428" s="210"/>
    </row>
    <row r="5429" spans="1:9" x14ac:dyDescent="0.25">
      <c r="A5429" s="74"/>
      <c r="B5429" s="45">
        <v>2104</v>
      </c>
      <c r="C5429" s="64" t="s">
        <v>1986</v>
      </c>
      <c r="D5429" s="74"/>
      <c r="E5429" s="208" t="s">
        <v>168</v>
      </c>
      <c r="F5429" s="209" t="s">
        <v>21</v>
      </c>
      <c r="G5429" s="209" t="s">
        <v>21</v>
      </c>
      <c r="H5429" s="209" t="s">
        <v>272</v>
      </c>
      <c r="I5429" s="210"/>
    </row>
    <row r="5430" spans="1:9" x14ac:dyDescent="0.25">
      <c r="A5430" s="74"/>
      <c r="B5430" s="45">
        <v>2104</v>
      </c>
      <c r="C5430" s="64" t="s">
        <v>1986</v>
      </c>
      <c r="D5430" s="74"/>
      <c r="E5430" s="208" t="s">
        <v>168</v>
      </c>
      <c r="F5430" s="209" t="s">
        <v>21</v>
      </c>
      <c r="G5430" s="209" t="s">
        <v>21</v>
      </c>
      <c r="H5430" s="209" t="s">
        <v>272</v>
      </c>
      <c r="I5430" s="210"/>
    </row>
    <row r="5431" spans="1:9" x14ac:dyDescent="0.25">
      <c r="A5431" s="74"/>
      <c r="B5431" s="45">
        <v>1039</v>
      </c>
      <c r="C5431" s="64" t="s">
        <v>1448</v>
      </c>
      <c r="D5431" s="74"/>
      <c r="E5431" s="208" t="s">
        <v>168</v>
      </c>
      <c r="F5431" s="209" t="s">
        <v>21</v>
      </c>
      <c r="G5431" s="209" t="s">
        <v>21</v>
      </c>
      <c r="H5431" s="209" t="s">
        <v>251</v>
      </c>
      <c r="I5431" s="210"/>
    </row>
    <row r="5432" spans="1:9" x14ac:dyDescent="0.25">
      <c r="A5432" s="74"/>
      <c r="B5432" s="45">
        <v>2105</v>
      </c>
      <c r="C5432" s="64" t="s">
        <v>2089</v>
      </c>
      <c r="D5432" s="74"/>
      <c r="E5432" s="208" t="s">
        <v>168</v>
      </c>
      <c r="F5432" s="209" t="s">
        <v>21</v>
      </c>
      <c r="G5432" s="209" t="s">
        <v>21</v>
      </c>
      <c r="H5432" s="209" t="s">
        <v>272</v>
      </c>
      <c r="I5432" s="210"/>
    </row>
    <row r="5433" spans="1:9" x14ac:dyDescent="0.25">
      <c r="A5433" s="74"/>
      <c r="B5433" s="45">
        <v>2106</v>
      </c>
      <c r="C5433" s="64" t="s">
        <v>1582</v>
      </c>
      <c r="D5433" s="74"/>
      <c r="E5433" s="208" t="s">
        <v>168</v>
      </c>
      <c r="F5433" s="209" t="s">
        <v>21</v>
      </c>
      <c r="G5433" s="209" t="s">
        <v>21</v>
      </c>
      <c r="H5433" s="209" t="s">
        <v>272</v>
      </c>
      <c r="I5433" s="210"/>
    </row>
    <row r="5434" spans="1:9" x14ac:dyDescent="0.25">
      <c r="A5434" s="74"/>
      <c r="B5434" s="45">
        <v>2107</v>
      </c>
      <c r="C5434" s="64" t="s">
        <v>2115</v>
      </c>
      <c r="D5434" s="74"/>
      <c r="E5434" s="208" t="s">
        <v>168</v>
      </c>
      <c r="F5434" s="209" t="s">
        <v>21</v>
      </c>
      <c r="G5434" s="209" t="s">
        <v>21</v>
      </c>
      <c r="H5434" s="209" t="s">
        <v>16</v>
      </c>
      <c r="I5434" s="210"/>
    </row>
    <row r="5435" spans="1:9" x14ac:dyDescent="0.25">
      <c r="A5435" s="74"/>
      <c r="B5435" s="45">
        <v>1041</v>
      </c>
      <c r="C5435" s="64" t="s">
        <v>1450</v>
      </c>
      <c r="D5435" s="74"/>
      <c r="E5435" s="208" t="s">
        <v>168</v>
      </c>
      <c r="F5435" s="209" t="s">
        <v>21</v>
      </c>
      <c r="G5435" s="209" t="s">
        <v>21</v>
      </c>
      <c r="H5435" s="209" t="s">
        <v>198</v>
      </c>
      <c r="I5435" s="210"/>
    </row>
    <row r="5436" spans="1:9" x14ac:dyDescent="0.25">
      <c r="A5436" s="74"/>
      <c r="B5436" s="45">
        <v>2107</v>
      </c>
      <c r="C5436" s="64" t="s">
        <v>2115</v>
      </c>
      <c r="D5436" s="74"/>
      <c r="E5436" s="208" t="s">
        <v>168</v>
      </c>
      <c r="F5436" s="209" t="s">
        <v>21</v>
      </c>
      <c r="G5436" s="209" t="s">
        <v>21</v>
      </c>
      <c r="H5436" s="209" t="s">
        <v>16</v>
      </c>
      <c r="I5436" s="210"/>
    </row>
    <row r="5437" spans="1:9" x14ac:dyDescent="0.25">
      <c r="A5437" s="74"/>
      <c r="B5437" s="45">
        <v>2108</v>
      </c>
      <c r="C5437" s="64" t="s">
        <v>2111</v>
      </c>
      <c r="D5437" s="74"/>
      <c r="E5437" s="208" t="s">
        <v>168</v>
      </c>
      <c r="F5437" s="209" t="s">
        <v>21</v>
      </c>
      <c r="G5437" s="209" t="s">
        <v>21</v>
      </c>
      <c r="H5437" s="209" t="s">
        <v>272</v>
      </c>
      <c r="I5437" s="210"/>
    </row>
    <row r="5438" spans="1:9" x14ac:dyDescent="0.25">
      <c r="A5438" s="74"/>
      <c r="B5438" s="45">
        <v>2109</v>
      </c>
      <c r="C5438" s="64" t="s">
        <v>2137</v>
      </c>
      <c r="D5438" s="74"/>
      <c r="E5438" s="208" t="s">
        <v>168</v>
      </c>
      <c r="F5438" s="209" t="s">
        <v>21</v>
      </c>
      <c r="G5438" s="209" t="s">
        <v>21</v>
      </c>
      <c r="H5438" s="209" t="s">
        <v>272</v>
      </c>
      <c r="I5438" s="210"/>
    </row>
    <row r="5439" spans="1:9" x14ac:dyDescent="0.25">
      <c r="A5439" s="74"/>
      <c r="B5439" s="45">
        <v>2110</v>
      </c>
      <c r="C5439" s="64" t="s">
        <v>1918</v>
      </c>
      <c r="D5439" s="74"/>
      <c r="E5439" s="208" t="s">
        <v>168</v>
      </c>
      <c r="F5439" s="209" t="s">
        <v>21</v>
      </c>
      <c r="G5439" s="209" t="s">
        <v>21</v>
      </c>
      <c r="H5439" s="209" t="s">
        <v>272</v>
      </c>
      <c r="I5439" s="210"/>
    </row>
    <row r="5440" spans="1:9" x14ac:dyDescent="0.25">
      <c r="A5440" s="74"/>
      <c r="B5440" s="45">
        <v>2108</v>
      </c>
      <c r="C5440" s="64" t="s">
        <v>2111</v>
      </c>
      <c r="D5440" s="74"/>
      <c r="E5440" s="208" t="s">
        <v>168</v>
      </c>
      <c r="F5440" s="209" t="s">
        <v>21</v>
      </c>
      <c r="G5440" s="209" t="s">
        <v>21</v>
      </c>
      <c r="H5440" s="209" t="s">
        <v>272</v>
      </c>
      <c r="I5440" s="210"/>
    </row>
    <row r="5441" spans="1:9" x14ac:dyDescent="0.25">
      <c r="A5441" s="74"/>
      <c r="B5441" s="45">
        <v>2109</v>
      </c>
      <c r="C5441" s="64" t="s">
        <v>2137</v>
      </c>
      <c r="D5441" s="74"/>
      <c r="E5441" s="208" t="s">
        <v>168</v>
      </c>
      <c r="F5441" s="209" t="s">
        <v>21</v>
      </c>
      <c r="G5441" s="209" t="s">
        <v>21</v>
      </c>
      <c r="H5441" s="209" t="s">
        <v>272</v>
      </c>
      <c r="I5441" s="210"/>
    </row>
    <row r="5442" spans="1:9" x14ac:dyDescent="0.25">
      <c r="A5442" s="74"/>
      <c r="B5442" s="45">
        <v>2110</v>
      </c>
      <c r="C5442" s="64" t="s">
        <v>1918</v>
      </c>
      <c r="D5442" s="74"/>
      <c r="E5442" s="208" t="s">
        <v>168</v>
      </c>
      <c r="F5442" s="209" t="s">
        <v>21</v>
      </c>
      <c r="G5442" s="209" t="s">
        <v>21</v>
      </c>
      <c r="H5442" s="209" t="s">
        <v>272</v>
      </c>
      <c r="I5442" s="210"/>
    </row>
    <row r="5443" spans="1:9" x14ac:dyDescent="0.25">
      <c r="A5443" s="74"/>
      <c r="B5443" s="45">
        <v>2108</v>
      </c>
      <c r="C5443" s="64" t="s">
        <v>2111</v>
      </c>
      <c r="D5443" s="74"/>
      <c r="E5443" s="208" t="s">
        <v>168</v>
      </c>
      <c r="F5443" s="209" t="s">
        <v>21</v>
      </c>
      <c r="G5443" s="209" t="s">
        <v>21</v>
      </c>
      <c r="H5443" s="209" t="s">
        <v>272</v>
      </c>
      <c r="I5443" s="210"/>
    </row>
    <row r="5444" spans="1:9" x14ac:dyDescent="0.25">
      <c r="A5444" s="74"/>
      <c r="B5444" s="45">
        <v>2109</v>
      </c>
      <c r="C5444" s="64" t="s">
        <v>2137</v>
      </c>
      <c r="D5444" s="74"/>
      <c r="E5444" s="208" t="s">
        <v>168</v>
      </c>
      <c r="F5444" s="209" t="s">
        <v>21</v>
      </c>
      <c r="G5444" s="209" t="s">
        <v>21</v>
      </c>
      <c r="H5444" s="209" t="s">
        <v>272</v>
      </c>
      <c r="I5444" s="210"/>
    </row>
    <row r="5445" spans="1:9" x14ac:dyDescent="0.25">
      <c r="A5445" s="74"/>
      <c r="B5445" s="45">
        <v>2110</v>
      </c>
      <c r="C5445" s="64" t="s">
        <v>1918</v>
      </c>
      <c r="D5445" s="74"/>
      <c r="E5445" s="208" t="s">
        <v>168</v>
      </c>
      <c r="F5445" s="209" t="s">
        <v>21</v>
      </c>
      <c r="G5445" s="209" t="s">
        <v>21</v>
      </c>
      <c r="H5445" s="209" t="s">
        <v>272</v>
      </c>
      <c r="I5445" s="210"/>
    </row>
    <row r="5446" spans="1:9" x14ac:dyDescent="0.25">
      <c r="A5446" s="74"/>
      <c r="B5446" s="45">
        <v>1010</v>
      </c>
      <c r="C5446" s="64" t="s">
        <v>1419</v>
      </c>
      <c r="D5446" s="74"/>
      <c r="E5446" s="208" t="s">
        <v>168</v>
      </c>
      <c r="F5446" s="209" t="s">
        <v>21</v>
      </c>
      <c r="G5446" s="209" t="s">
        <v>21</v>
      </c>
      <c r="H5446" s="209" t="s">
        <v>198</v>
      </c>
      <c r="I5446" s="210"/>
    </row>
    <row r="5447" spans="1:9" x14ac:dyDescent="0.25">
      <c r="A5447" s="74"/>
      <c r="B5447" s="45">
        <v>2075</v>
      </c>
      <c r="C5447" s="64" t="s">
        <v>1839</v>
      </c>
      <c r="D5447" s="74"/>
      <c r="E5447" s="208" t="s">
        <v>286</v>
      </c>
      <c r="F5447" s="209" t="s">
        <v>21</v>
      </c>
      <c r="G5447" s="209" t="s">
        <v>21</v>
      </c>
      <c r="H5447" s="209" t="s">
        <v>192</v>
      </c>
      <c r="I5447" s="210"/>
    </row>
    <row r="5448" spans="1:9" x14ac:dyDescent="0.25">
      <c r="A5448" s="74"/>
      <c r="B5448" s="45">
        <v>2111</v>
      </c>
      <c r="C5448" s="64" t="s">
        <v>2138</v>
      </c>
      <c r="D5448" s="74"/>
      <c r="E5448" s="208" t="s">
        <v>293</v>
      </c>
      <c r="F5448" s="209" t="s">
        <v>21</v>
      </c>
      <c r="G5448" s="209" t="s">
        <v>21</v>
      </c>
      <c r="H5448" s="209" t="s">
        <v>200</v>
      </c>
      <c r="I5448" s="210"/>
    </row>
    <row r="5449" spans="1:9" x14ac:dyDescent="0.25">
      <c r="A5449" s="74"/>
      <c r="B5449" s="45">
        <v>1053</v>
      </c>
      <c r="C5449" s="64" t="s">
        <v>1462</v>
      </c>
      <c r="D5449" s="74"/>
      <c r="E5449" s="208" t="s">
        <v>168</v>
      </c>
      <c r="F5449" s="209" t="s">
        <v>21</v>
      </c>
      <c r="G5449" s="209" t="s">
        <v>21</v>
      </c>
      <c r="H5449" s="209" t="s">
        <v>198</v>
      </c>
      <c r="I5449" s="210"/>
    </row>
    <row r="5450" spans="1:9" x14ac:dyDescent="0.25">
      <c r="A5450" s="74"/>
      <c r="B5450" s="45">
        <v>2099</v>
      </c>
      <c r="C5450" s="64" t="s">
        <v>2089</v>
      </c>
      <c r="D5450" s="74"/>
      <c r="E5450" s="208" t="s">
        <v>168</v>
      </c>
      <c r="F5450" s="209" t="s">
        <v>21</v>
      </c>
      <c r="G5450" s="209" t="s">
        <v>21</v>
      </c>
      <c r="H5450" s="209" t="s">
        <v>16</v>
      </c>
      <c r="I5450" s="210"/>
    </row>
    <row r="5451" spans="1:9" x14ac:dyDescent="0.25">
      <c r="A5451" s="74"/>
      <c r="B5451" s="45">
        <v>1054</v>
      </c>
      <c r="C5451" s="64" t="s">
        <v>1463</v>
      </c>
      <c r="D5451" s="74"/>
      <c r="E5451" s="208" t="s">
        <v>171</v>
      </c>
      <c r="F5451" s="209" t="s">
        <v>21</v>
      </c>
      <c r="G5451" s="209" t="s">
        <v>21</v>
      </c>
      <c r="H5451" s="209" t="s">
        <v>198</v>
      </c>
      <c r="I5451" s="210"/>
    </row>
    <row r="5452" spans="1:9" x14ac:dyDescent="0.25">
      <c r="A5452" s="74"/>
      <c r="B5452" s="45">
        <v>1052</v>
      </c>
      <c r="C5452" s="64" t="s">
        <v>1461</v>
      </c>
      <c r="D5452" s="74"/>
      <c r="E5452" s="208" t="s">
        <v>171</v>
      </c>
      <c r="F5452" s="209" t="s">
        <v>21</v>
      </c>
      <c r="G5452" s="209" t="s">
        <v>21</v>
      </c>
      <c r="H5452" s="209" t="s">
        <v>198</v>
      </c>
      <c r="I5452" s="210"/>
    </row>
    <row r="5453" spans="1:9" x14ac:dyDescent="0.25">
      <c r="A5453" s="74"/>
      <c r="B5453" s="45">
        <v>2112</v>
      </c>
      <c r="C5453" s="64" t="s">
        <v>2139</v>
      </c>
      <c r="D5453" s="74"/>
      <c r="E5453" s="208" t="s">
        <v>171</v>
      </c>
      <c r="F5453" s="209" t="s">
        <v>21</v>
      </c>
      <c r="G5453" s="209" t="s">
        <v>21</v>
      </c>
      <c r="H5453" s="209" t="s">
        <v>272</v>
      </c>
      <c r="I5453" s="210"/>
    </row>
    <row r="5454" spans="1:9" x14ac:dyDescent="0.25">
      <c r="A5454" s="74"/>
      <c r="B5454" s="45">
        <v>1048</v>
      </c>
      <c r="C5454" s="64" t="s">
        <v>1457</v>
      </c>
      <c r="D5454" s="74"/>
      <c r="E5454" s="208" t="s">
        <v>171</v>
      </c>
      <c r="F5454" s="209" t="s">
        <v>21</v>
      </c>
      <c r="G5454" s="209" t="s">
        <v>21</v>
      </c>
      <c r="H5454" s="209" t="s">
        <v>192</v>
      </c>
      <c r="I5454" s="210"/>
    </row>
    <row r="5455" spans="1:9" x14ac:dyDescent="0.25">
      <c r="A5455" s="74"/>
      <c r="B5455" s="45">
        <v>1049</v>
      </c>
      <c r="C5455" s="64" t="s">
        <v>1458</v>
      </c>
      <c r="D5455" s="74"/>
      <c r="E5455" s="208" t="s">
        <v>171</v>
      </c>
      <c r="F5455" s="209" t="s">
        <v>21</v>
      </c>
      <c r="G5455" s="209" t="s">
        <v>21</v>
      </c>
      <c r="H5455" s="209" t="s">
        <v>192</v>
      </c>
      <c r="I5455" s="210"/>
    </row>
    <row r="5456" spans="1:9" x14ac:dyDescent="0.25">
      <c r="A5456" s="74"/>
      <c r="B5456" s="45">
        <v>2112</v>
      </c>
      <c r="C5456" s="64" t="s">
        <v>2139</v>
      </c>
      <c r="D5456" s="74"/>
      <c r="E5456" s="208" t="s">
        <v>171</v>
      </c>
      <c r="F5456" s="209" t="s">
        <v>21</v>
      </c>
      <c r="G5456" s="209" t="s">
        <v>21</v>
      </c>
      <c r="H5456" s="209" t="s">
        <v>272</v>
      </c>
      <c r="I5456" s="210"/>
    </row>
    <row r="5457" spans="1:9" x14ac:dyDescent="0.25">
      <c r="A5457" s="74"/>
      <c r="B5457" s="45">
        <v>1048</v>
      </c>
      <c r="C5457" s="64" t="s">
        <v>1457</v>
      </c>
      <c r="D5457" s="74"/>
      <c r="E5457" s="208" t="s">
        <v>171</v>
      </c>
      <c r="F5457" s="209" t="s">
        <v>21</v>
      </c>
      <c r="G5457" s="209" t="s">
        <v>21</v>
      </c>
      <c r="H5457" s="209" t="s">
        <v>192</v>
      </c>
      <c r="I5457" s="210"/>
    </row>
    <row r="5458" spans="1:9" x14ac:dyDescent="0.25">
      <c r="A5458" s="74"/>
      <c r="B5458" s="45">
        <v>1049</v>
      </c>
      <c r="C5458" s="64" t="s">
        <v>1458</v>
      </c>
      <c r="D5458" s="74"/>
      <c r="E5458" s="208" t="s">
        <v>171</v>
      </c>
      <c r="F5458" s="209" t="s">
        <v>21</v>
      </c>
      <c r="G5458" s="209" t="s">
        <v>21</v>
      </c>
      <c r="H5458" s="209" t="s">
        <v>192</v>
      </c>
      <c r="I5458" s="210"/>
    </row>
    <row r="5459" spans="1:9" x14ac:dyDescent="0.25">
      <c r="A5459" s="74"/>
      <c r="B5459" s="45">
        <v>2112</v>
      </c>
      <c r="C5459" s="64" t="s">
        <v>2139</v>
      </c>
      <c r="D5459" s="74"/>
      <c r="E5459" s="208" t="s">
        <v>171</v>
      </c>
      <c r="F5459" s="209" t="s">
        <v>21</v>
      </c>
      <c r="G5459" s="209" t="s">
        <v>21</v>
      </c>
      <c r="H5459" s="209" t="s">
        <v>272</v>
      </c>
      <c r="I5459" s="210"/>
    </row>
    <row r="5460" spans="1:9" x14ac:dyDescent="0.25">
      <c r="A5460" s="74"/>
      <c r="B5460" s="45">
        <v>1048</v>
      </c>
      <c r="C5460" s="64" t="s">
        <v>1457</v>
      </c>
      <c r="D5460" s="74"/>
      <c r="E5460" s="208" t="s">
        <v>171</v>
      </c>
      <c r="F5460" s="209" t="s">
        <v>21</v>
      </c>
      <c r="G5460" s="209" t="s">
        <v>21</v>
      </c>
      <c r="H5460" s="209" t="s">
        <v>192</v>
      </c>
      <c r="I5460" s="210"/>
    </row>
    <row r="5461" spans="1:9" x14ac:dyDescent="0.25">
      <c r="A5461" s="74"/>
      <c r="B5461" s="45">
        <v>1049</v>
      </c>
      <c r="C5461" s="64" t="s">
        <v>1458</v>
      </c>
      <c r="D5461" s="74"/>
      <c r="E5461" s="208" t="s">
        <v>171</v>
      </c>
      <c r="F5461" s="209" t="s">
        <v>21</v>
      </c>
      <c r="G5461" s="209" t="s">
        <v>21</v>
      </c>
      <c r="H5461" s="209" t="s">
        <v>192</v>
      </c>
      <c r="I5461" s="210"/>
    </row>
    <row r="5462" spans="1:9" x14ac:dyDescent="0.25">
      <c r="A5462" s="74"/>
      <c r="B5462" s="45">
        <v>2112</v>
      </c>
      <c r="C5462" s="64" t="s">
        <v>2139</v>
      </c>
      <c r="D5462" s="74"/>
      <c r="E5462" s="208" t="s">
        <v>171</v>
      </c>
      <c r="F5462" s="209" t="s">
        <v>21</v>
      </c>
      <c r="G5462" s="209" t="s">
        <v>21</v>
      </c>
      <c r="H5462" s="209" t="s">
        <v>272</v>
      </c>
      <c r="I5462" s="210"/>
    </row>
    <row r="5463" spans="1:9" x14ac:dyDescent="0.25">
      <c r="A5463" s="74"/>
      <c r="B5463" s="45">
        <v>1048</v>
      </c>
      <c r="C5463" s="64" t="s">
        <v>1457</v>
      </c>
      <c r="D5463" s="74"/>
      <c r="E5463" s="208" t="s">
        <v>171</v>
      </c>
      <c r="F5463" s="209" t="s">
        <v>21</v>
      </c>
      <c r="G5463" s="209" t="s">
        <v>21</v>
      </c>
      <c r="H5463" s="209" t="s">
        <v>192</v>
      </c>
      <c r="I5463" s="210"/>
    </row>
    <row r="5464" spans="1:9" x14ac:dyDescent="0.25">
      <c r="A5464" s="74"/>
      <c r="B5464" s="45">
        <v>1049</v>
      </c>
      <c r="C5464" s="64" t="s">
        <v>1458</v>
      </c>
      <c r="D5464" s="74"/>
      <c r="E5464" s="208" t="s">
        <v>171</v>
      </c>
      <c r="F5464" s="209" t="s">
        <v>21</v>
      </c>
      <c r="G5464" s="209" t="s">
        <v>21</v>
      </c>
      <c r="H5464" s="209" t="s">
        <v>192</v>
      </c>
      <c r="I5464" s="210"/>
    </row>
    <row r="5465" spans="1:9" x14ac:dyDescent="0.25">
      <c r="A5465" s="74"/>
      <c r="B5465" s="45">
        <v>2113</v>
      </c>
      <c r="C5465" s="64" t="s">
        <v>2140</v>
      </c>
      <c r="D5465" s="74"/>
      <c r="E5465" s="208" t="s">
        <v>171</v>
      </c>
      <c r="F5465" s="209" t="s">
        <v>21</v>
      </c>
      <c r="G5465" s="209" t="s">
        <v>21</v>
      </c>
      <c r="H5465" s="209" t="s">
        <v>16</v>
      </c>
      <c r="I5465" s="210"/>
    </row>
    <row r="5466" spans="1:9" x14ac:dyDescent="0.25">
      <c r="A5466" s="74"/>
      <c r="B5466" s="45">
        <v>2114</v>
      </c>
      <c r="C5466" s="64" t="s">
        <v>1967</v>
      </c>
      <c r="D5466" s="74"/>
      <c r="E5466" s="208" t="s">
        <v>273</v>
      </c>
      <c r="F5466" s="209" t="s">
        <v>21</v>
      </c>
      <c r="G5466" s="209" t="s">
        <v>21</v>
      </c>
      <c r="H5466" s="209" t="s">
        <v>16</v>
      </c>
      <c r="I5466" s="210"/>
    </row>
    <row r="5467" spans="1:9" x14ac:dyDescent="0.25">
      <c r="A5467" s="74"/>
      <c r="B5467" s="45">
        <v>1064</v>
      </c>
      <c r="C5467" s="64" t="s">
        <v>1473</v>
      </c>
      <c r="D5467" s="74"/>
      <c r="E5467" s="208" t="s">
        <v>171</v>
      </c>
      <c r="F5467" s="209" t="s">
        <v>21</v>
      </c>
      <c r="G5467" s="209" t="s">
        <v>21</v>
      </c>
      <c r="H5467" s="209" t="s">
        <v>194</v>
      </c>
      <c r="I5467" s="210"/>
    </row>
    <row r="5468" spans="1:9" x14ac:dyDescent="0.25">
      <c r="A5468" s="74"/>
      <c r="B5468" s="45">
        <v>1099</v>
      </c>
      <c r="C5468" s="64" t="s">
        <v>1508</v>
      </c>
      <c r="D5468" s="74"/>
      <c r="E5468" s="208" t="s">
        <v>171</v>
      </c>
      <c r="F5468" s="209" t="s">
        <v>21</v>
      </c>
      <c r="G5468" s="209" t="s">
        <v>21</v>
      </c>
      <c r="H5468" s="209" t="s">
        <v>192</v>
      </c>
      <c r="I5468" s="210"/>
    </row>
    <row r="5469" spans="1:9" x14ac:dyDescent="0.25">
      <c r="A5469" s="74"/>
      <c r="B5469" s="45">
        <v>2115</v>
      </c>
      <c r="C5469" s="64" t="s">
        <v>1582</v>
      </c>
      <c r="D5469" s="74"/>
      <c r="E5469" s="208" t="s">
        <v>171</v>
      </c>
      <c r="F5469" s="209" t="s">
        <v>21</v>
      </c>
      <c r="G5469" s="209" t="s">
        <v>21</v>
      </c>
      <c r="H5469" s="209" t="s">
        <v>251</v>
      </c>
      <c r="I5469" s="210"/>
    </row>
    <row r="5470" spans="1:9" x14ac:dyDescent="0.25">
      <c r="A5470" s="74"/>
      <c r="B5470" s="45">
        <v>1056</v>
      </c>
      <c r="C5470" s="64" t="s">
        <v>1465</v>
      </c>
      <c r="D5470" s="74"/>
      <c r="E5470" s="208" t="s">
        <v>171</v>
      </c>
      <c r="F5470" s="209" t="s">
        <v>21</v>
      </c>
      <c r="G5470" s="209" t="s">
        <v>21</v>
      </c>
      <c r="H5470" s="209" t="s">
        <v>192</v>
      </c>
      <c r="I5470" s="210"/>
    </row>
    <row r="5471" spans="1:9" x14ac:dyDescent="0.25">
      <c r="A5471" s="74"/>
      <c r="B5471" s="45">
        <v>1056</v>
      </c>
      <c r="C5471" s="64" t="s">
        <v>1465</v>
      </c>
      <c r="D5471" s="74"/>
      <c r="E5471" s="208" t="s">
        <v>171</v>
      </c>
      <c r="F5471" s="209" t="s">
        <v>21</v>
      </c>
      <c r="G5471" s="209" t="s">
        <v>21</v>
      </c>
      <c r="H5471" s="209" t="s">
        <v>192</v>
      </c>
      <c r="I5471" s="210"/>
    </row>
    <row r="5472" spans="1:9" x14ac:dyDescent="0.25">
      <c r="A5472" s="74"/>
      <c r="B5472" s="45">
        <v>1056</v>
      </c>
      <c r="C5472" s="64" t="s">
        <v>1465</v>
      </c>
      <c r="D5472" s="74"/>
      <c r="E5472" s="208" t="s">
        <v>171</v>
      </c>
      <c r="F5472" s="209" t="s">
        <v>21</v>
      </c>
      <c r="G5472" s="209" t="s">
        <v>21</v>
      </c>
      <c r="H5472" s="209" t="s">
        <v>192</v>
      </c>
      <c r="I5472" s="210"/>
    </row>
    <row r="5473" spans="1:9" x14ac:dyDescent="0.25">
      <c r="A5473" s="74"/>
      <c r="B5473" s="45">
        <v>1056</v>
      </c>
      <c r="C5473" s="64" t="s">
        <v>1465</v>
      </c>
      <c r="D5473" s="74"/>
      <c r="E5473" s="208" t="s">
        <v>171</v>
      </c>
      <c r="F5473" s="209" t="s">
        <v>21</v>
      </c>
      <c r="G5473" s="209" t="s">
        <v>21</v>
      </c>
      <c r="H5473" s="209" t="s">
        <v>192</v>
      </c>
      <c r="I5473" s="210"/>
    </row>
    <row r="5474" spans="1:9" x14ac:dyDescent="0.25">
      <c r="A5474" s="74"/>
      <c r="B5474" s="45">
        <v>2116</v>
      </c>
      <c r="C5474" s="64" t="s">
        <v>1582</v>
      </c>
      <c r="D5474" s="74"/>
      <c r="E5474" s="208" t="s">
        <v>171</v>
      </c>
      <c r="F5474" s="209" t="s">
        <v>21</v>
      </c>
      <c r="G5474" s="209" t="s">
        <v>21</v>
      </c>
      <c r="H5474" s="209" t="s">
        <v>189</v>
      </c>
      <c r="I5474" s="210"/>
    </row>
    <row r="5475" spans="1:9" x14ac:dyDescent="0.25">
      <c r="A5475" s="74"/>
      <c r="B5475" s="45">
        <v>2117</v>
      </c>
      <c r="C5475" s="64" t="s">
        <v>2014</v>
      </c>
      <c r="D5475" s="74"/>
      <c r="E5475" s="208" t="s">
        <v>294</v>
      </c>
      <c r="F5475" s="209" t="s">
        <v>21</v>
      </c>
      <c r="G5475" s="209" t="s">
        <v>21</v>
      </c>
      <c r="H5475" s="209" t="s">
        <v>189</v>
      </c>
      <c r="I5475" s="210"/>
    </row>
    <row r="5476" spans="1:9" x14ac:dyDescent="0.25">
      <c r="A5476" s="74"/>
      <c r="B5476" s="45">
        <v>2118</v>
      </c>
      <c r="C5476" s="64" t="s">
        <v>1759</v>
      </c>
      <c r="D5476" s="74"/>
      <c r="E5476" s="208" t="s">
        <v>171</v>
      </c>
      <c r="F5476" s="209" t="s">
        <v>21</v>
      </c>
      <c r="G5476" s="209" t="s">
        <v>21</v>
      </c>
      <c r="H5476" s="209" t="s">
        <v>16</v>
      </c>
      <c r="I5476" s="210"/>
    </row>
    <row r="5477" spans="1:9" x14ac:dyDescent="0.25">
      <c r="A5477" s="74"/>
      <c r="B5477" s="45">
        <v>2119</v>
      </c>
      <c r="C5477" s="64" t="s">
        <v>1987</v>
      </c>
      <c r="D5477" s="74"/>
      <c r="E5477" s="208" t="s">
        <v>171</v>
      </c>
      <c r="F5477" s="209" t="s">
        <v>21</v>
      </c>
      <c r="G5477" s="209" t="s">
        <v>21</v>
      </c>
      <c r="H5477" s="209" t="s">
        <v>16</v>
      </c>
      <c r="I5477" s="210"/>
    </row>
    <row r="5478" spans="1:9" x14ac:dyDescent="0.25">
      <c r="A5478" s="74"/>
      <c r="B5478" s="45">
        <v>1062</v>
      </c>
      <c r="C5478" s="64" t="s">
        <v>1471</v>
      </c>
      <c r="D5478" s="74"/>
      <c r="E5478" s="208" t="s">
        <v>171</v>
      </c>
      <c r="F5478" s="209" t="s">
        <v>21</v>
      </c>
      <c r="G5478" s="209" t="s">
        <v>21</v>
      </c>
      <c r="H5478" s="209" t="s">
        <v>194</v>
      </c>
      <c r="I5478" s="210"/>
    </row>
    <row r="5479" spans="1:9" x14ac:dyDescent="0.25">
      <c r="A5479" s="74"/>
      <c r="B5479" s="45">
        <v>1064</v>
      </c>
      <c r="C5479" s="64" t="s">
        <v>1473</v>
      </c>
      <c r="D5479" s="74"/>
      <c r="E5479" s="208" t="s">
        <v>171</v>
      </c>
      <c r="F5479" s="209" t="s">
        <v>21</v>
      </c>
      <c r="G5479" s="209" t="s">
        <v>21</v>
      </c>
      <c r="H5479" s="209" t="s">
        <v>194</v>
      </c>
      <c r="I5479" s="210"/>
    </row>
    <row r="5480" spans="1:9" x14ac:dyDescent="0.25">
      <c r="A5480" s="74"/>
      <c r="B5480" s="45">
        <v>2118</v>
      </c>
      <c r="C5480" s="64" t="s">
        <v>1759</v>
      </c>
      <c r="D5480" s="74"/>
      <c r="E5480" s="208" t="s">
        <v>171</v>
      </c>
      <c r="F5480" s="209" t="s">
        <v>21</v>
      </c>
      <c r="G5480" s="209" t="s">
        <v>21</v>
      </c>
      <c r="H5480" s="209" t="s">
        <v>16</v>
      </c>
      <c r="I5480" s="210"/>
    </row>
    <row r="5481" spans="1:9" x14ac:dyDescent="0.25">
      <c r="A5481" s="74"/>
      <c r="B5481" s="45">
        <v>2119</v>
      </c>
      <c r="C5481" s="64" t="s">
        <v>1987</v>
      </c>
      <c r="D5481" s="74"/>
      <c r="E5481" s="208" t="s">
        <v>171</v>
      </c>
      <c r="F5481" s="209" t="s">
        <v>21</v>
      </c>
      <c r="G5481" s="209" t="s">
        <v>21</v>
      </c>
      <c r="H5481" s="209" t="s">
        <v>16</v>
      </c>
      <c r="I5481" s="210"/>
    </row>
    <row r="5482" spans="1:9" x14ac:dyDescent="0.25">
      <c r="A5482" s="74"/>
      <c r="B5482" s="45">
        <v>1062</v>
      </c>
      <c r="C5482" s="64" t="s">
        <v>1471</v>
      </c>
      <c r="D5482" s="74"/>
      <c r="E5482" s="208" t="s">
        <v>171</v>
      </c>
      <c r="F5482" s="209" t="s">
        <v>21</v>
      </c>
      <c r="G5482" s="209" t="s">
        <v>21</v>
      </c>
      <c r="H5482" s="209" t="s">
        <v>194</v>
      </c>
      <c r="I5482" s="210"/>
    </row>
    <row r="5483" spans="1:9" x14ac:dyDescent="0.25">
      <c r="A5483" s="74"/>
      <c r="B5483" s="45">
        <v>1064</v>
      </c>
      <c r="C5483" s="64" t="s">
        <v>1473</v>
      </c>
      <c r="D5483" s="74"/>
      <c r="E5483" s="208" t="s">
        <v>171</v>
      </c>
      <c r="F5483" s="209" t="s">
        <v>21</v>
      </c>
      <c r="G5483" s="209" t="s">
        <v>21</v>
      </c>
      <c r="H5483" s="209" t="s">
        <v>194</v>
      </c>
      <c r="I5483" s="210"/>
    </row>
    <row r="5484" spans="1:9" x14ac:dyDescent="0.25">
      <c r="A5484" s="74"/>
      <c r="B5484" s="45">
        <v>2118</v>
      </c>
      <c r="C5484" s="64" t="s">
        <v>1759</v>
      </c>
      <c r="D5484" s="74"/>
      <c r="E5484" s="208" t="s">
        <v>171</v>
      </c>
      <c r="F5484" s="209" t="s">
        <v>21</v>
      </c>
      <c r="G5484" s="209" t="s">
        <v>21</v>
      </c>
      <c r="H5484" s="209" t="s">
        <v>16</v>
      </c>
      <c r="I5484" s="210"/>
    </row>
    <row r="5485" spans="1:9" x14ac:dyDescent="0.25">
      <c r="A5485" s="74"/>
      <c r="B5485" s="45">
        <v>2119</v>
      </c>
      <c r="C5485" s="64" t="s">
        <v>1987</v>
      </c>
      <c r="D5485" s="74"/>
      <c r="E5485" s="208" t="s">
        <v>171</v>
      </c>
      <c r="F5485" s="209" t="s">
        <v>21</v>
      </c>
      <c r="G5485" s="209" t="s">
        <v>21</v>
      </c>
      <c r="H5485" s="209" t="s">
        <v>16</v>
      </c>
      <c r="I5485" s="210"/>
    </row>
    <row r="5486" spans="1:9" x14ac:dyDescent="0.25">
      <c r="A5486" s="74"/>
      <c r="B5486" s="45">
        <v>1062</v>
      </c>
      <c r="C5486" s="64" t="s">
        <v>1471</v>
      </c>
      <c r="D5486" s="74"/>
      <c r="E5486" s="208" t="s">
        <v>171</v>
      </c>
      <c r="F5486" s="209" t="s">
        <v>21</v>
      </c>
      <c r="G5486" s="209" t="s">
        <v>21</v>
      </c>
      <c r="H5486" s="209" t="s">
        <v>194</v>
      </c>
      <c r="I5486" s="210"/>
    </row>
    <row r="5487" spans="1:9" x14ac:dyDescent="0.25">
      <c r="A5487" s="74"/>
      <c r="B5487" s="45">
        <v>1064</v>
      </c>
      <c r="C5487" s="64" t="s">
        <v>1473</v>
      </c>
      <c r="D5487" s="74"/>
      <c r="E5487" s="208" t="s">
        <v>171</v>
      </c>
      <c r="F5487" s="209" t="s">
        <v>21</v>
      </c>
      <c r="G5487" s="209" t="s">
        <v>21</v>
      </c>
      <c r="H5487" s="209" t="s">
        <v>194</v>
      </c>
      <c r="I5487" s="210"/>
    </row>
    <row r="5488" spans="1:9" x14ac:dyDescent="0.25">
      <c r="A5488" s="74"/>
      <c r="B5488" s="45">
        <v>2118</v>
      </c>
      <c r="C5488" s="64" t="s">
        <v>1759</v>
      </c>
      <c r="D5488" s="74"/>
      <c r="E5488" s="208" t="s">
        <v>171</v>
      </c>
      <c r="F5488" s="209" t="s">
        <v>21</v>
      </c>
      <c r="G5488" s="209" t="s">
        <v>21</v>
      </c>
      <c r="H5488" s="209" t="s">
        <v>16</v>
      </c>
      <c r="I5488" s="210"/>
    </row>
    <row r="5489" spans="1:9" x14ac:dyDescent="0.25">
      <c r="A5489" s="74"/>
      <c r="B5489" s="45">
        <v>2119</v>
      </c>
      <c r="C5489" s="64" t="s">
        <v>1987</v>
      </c>
      <c r="D5489" s="74"/>
      <c r="E5489" s="208" t="s">
        <v>171</v>
      </c>
      <c r="F5489" s="209" t="s">
        <v>21</v>
      </c>
      <c r="G5489" s="209" t="s">
        <v>21</v>
      </c>
      <c r="H5489" s="209" t="s">
        <v>16</v>
      </c>
      <c r="I5489" s="210"/>
    </row>
    <row r="5490" spans="1:9" x14ac:dyDescent="0.25">
      <c r="A5490" s="74"/>
      <c r="B5490" s="45">
        <v>1062</v>
      </c>
      <c r="C5490" s="64" t="s">
        <v>1471</v>
      </c>
      <c r="D5490" s="74"/>
      <c r="E5490" s="208" t="s">
        <v>171</v>
      </c>
      <c r="F5490" s="209" t="s">
        <v>21</v>
      </c>
      <c r="G5490" s="209" t="s">
        <v>21</v>
      </c>
      <c r="H5490" s="209" t="s">
        <v>194</v>
      </c>
      <c r="I5490" s="210"/>
    </row>
    <row r="5491" spans="1:9" x14ac:dyDescent="0.25">
      <c r="A5491" s="74"/>
      <c r="B5491" s="45">
        <v>1064</v>
      </c>
      <c r="C5491" s="64" t="s">
        <v>1473</v>
      </c>
      <c r="D5491" s="74"/>
      <c r="E5491" s="208" t="s">
        <v>171</v>
      </c>
      <c r="F5491" s="209" t="s">
        <v>21</v>
      </c>
      <c r="G5491" s="209" t="s">
        <v>21</v>
      </c>
      <c r="H5491" s="209" t="s">
        <v>194</v>
      </c>
      <c r="I5491" s="210"/>
    </row>
    <row r="5492" spans="1:9" x14ac:dyDescent="0.25">
      <c r="A5492" s="74"/>
      <c r="B5492" s="45">
        <v>2118</v>
      </c>
      <c r="C5492" s="64" t="s">
        <v>1759</v>
      </c>
      <c r="D5492" s="74"/>
      <c r="E5492" s="208" t="s">
        <v>171</v>
      </c>
      <c r="F5492" s="209" t="s">
        <v>21</v>
      </c>
      <c r="G5492" s="209" t="s">
        <v>21</v>
      </c>
      <c r="H5492" s="209" t="s">
        <v>16</v>
      </c>
      <c r="I5492" s="210"/>
    </row>
    <row r="5493" spans="1:9" x14ac:dyDescent="0.25">
      <c r="A5493" s="74"/>
      <c r="B5493" s="45">
        <v>2119</v>
      </c>
      <c r="C5493" s="64" t="s">
        <v>1987</v>
      </c>
      <c r="D5493" s="74"/>
      <c r="E5493" s="208" t="s">
        <v>171</v>
      </c>
      <c r="F5493" s="209" t="s">
        <v>21</v>
      </c>
      <c r="G5493" s="209" t="s">
        <v>21</v>
      </c>
      <c r="H5493" s="209" t="s">
        <v>16</v>
      </c>
      <c r="I5493" s="210"/>
    </row>
    <row r="5494" spans="1:9" x14ac:dyDescent="0.25">
      <c r="A5494" s="74"/>
      <c r="B5494" s="45">
        <v>1062</v>
      </c>
      <c r="C5494" s="64" t="s">
        <v>1471</v>
      </c>
      <c r="D5494" s="74"/>
      <c r="E5494" s="208" t="s">
        <v>171</v>
      </c>
      <c r="F5494" s="209" t="s">
        <v>21</v>
      </c>
      <c r="G5494" s="209" t="s">
        <v>21</v>
      </c>
      <c r="H5494" s="209" t="s">
        <v>194</v>
      </c>
      <c r="I5494" s="210"/>
    </row>
    <row r="5495" spans="1:9" x14ac:dyDescent="0.25">
      <c r="A5495" s="74"/>
      <c r="B5495" s="45">
        <v>1064</v>
      </c>
      <c r="C5495" s="64" t="s">
        <v>1473</v>
      </c>
      <c r="D5495" s="74"/>
      <c r="E5495" s="208" t="s">
        <v>171</v>
      </c>
      <c r="F5495" s="209" t="s">
        <v>21</v>
      </c>
      <c r="G5495" s="209" t="s">
        <v>21</v>
      </c>
      <c r="H5495" s="209" t="s">
        <v>194</v>
      </c>
      <c r="I5495" s="210"/>
    </row>
    <row r="5496" spans="1:9" x14ac:dyDescent="0.25">
      <c r="A5496" s="74"/>
      <c r="B5496" s="45">
        <v>1067</v>
      </c>
      <c r="C5496" s="64" t="s">
        <v>1476</v>
      </c>
      <c r="D5496" s="74"/>
      <c r="E5496" s="208" t="s">
        <v>171</v>
      </c>
      <c r="F5496" s="209" t="s">
        <v>21</v>
      </c>
      <c r="G5496" s="209" t="s">
        <v>21</v>
      </c>
      <c r="H5496" s="209" t="s">
        <v>186</v>
      </c>
      <c r="I5496" s="210"/>
    </row>
    <row r="5497" spans="1:9" x14ac:dyDescent="0.25">
      <c r="A5497" s="74"/>
      <c r="B5497" s="45">
        <v>2116</v>
      </c>
      <c r="C5497" s="64" t="s">
        <v>1582</v>
      </c>
      <c r="D5497" s="74"/>
      <c r="E5497" s="208" t="s">
        <v>171</v>
      </c>
      <c r="F5497" s="209" t="s">
        <v>21</v>
      </c>
      <c r="G5497" s="209" t="s">
        <v>21</v>
      </c>
      <c r="H5497" s="209" t="s">
        <v>189</v>
      </c>
      <c r="I5497" s="210"/>
    </row>
    <row r="5498" spans="1:9" x14ac:dyDescent="0.25">
      <c r="A5498" s="74"/>
      <c r="B5498" s="45">
        <v>1060</v>
      </c>
      <c r="C5498" s="64" t="s">
        <v>1469</v>
      </c>
      <c r="D5498" s="74"/>
      <c r="E5498" s="208" t="s">
        <v>171</v>
      </c>
      <c r="F5498" s="209" t="s">
        <v>21</v>
      </c>
      <c r="G5498" s="209" t="s">
        <v>21</v>
      </c>
      <c r="H5498" s="209" t="s">
        <v>186</v>
      </c>
      <c r="I5498" s="210"/>
    </row>
    <row r="5499" spans="1:9" x14ac:dyDescent="0.25">
      <c r="A5499" s="74"/>
      <c r="B5499" s="45">
        <v>2120</v>
      </c>
      <c r="C5499" s="64" t="s">
        <v>2101</v>
      </c>
      <c r="D5499" s="74"/>
      <c r="E5499" s="208" t="s">
        <v>171</v>
      </c>
      <c r="F5499" s="209" t="s">
        <v>21</v>
      </c>
      <c r="G5499" s="209" t="s">
        <v>21</v>
      </c>
      <c r="H5499" s="209" t="s">
        <v>192</v>
      </c>
      <c r="I5499" s="210"/>
    </row>
    <row r="5500" spans="1:9" x14ac:dyDescent="0.25">
      <c r="A5500" s="74"/>
      <c r="B5500" s="45">
        <v>1045</v>
      </c>
      <c r="C5500" s="64" t="s">
        <v>1454</v>
      </c>
      <c r="D5500" s="74"/>
      <c r="E5500" s="208" t="s">
        <v>171</v>
      </c>
      <c r="F5500" s="209" t="s">
        <v>21</v>
      </c>
      <c r="G5500" s="209" t="s">
        <v>21</v>
      </c>
      <c r="H5500" s="209" t="s">
        <v>189</v>
      </c>
      <c r="I5500" s="210"/>
    </row>
    <row r="5501" spans="1:9" x14ac:dyDescent="0.25">
      <c r="A5501" s="74"/>
      <c r="B5501" s="45">
        <v>2121</v>
      </c>
      <c r="C5501" s="64" t="s">
        <v>1582</v>
      </c>
      <c r="D5501" s="74"/>
      <c r="E5501" s="208" t="s">
        <v>171</v>
      </c>
      <c r="F5501" s="209" t="s">
        <v>21</v>
      </c>
      <c r="G5501" s="209" t="s">
        <v>21</v>
      </c>
      <c r="H5501" s="209" t="s">
        <v>189</v>
      </c>
      <c r="I5501" s="210"/>
    </row>
    <row r="5502" spans="1:9" x14ac:dyDescent="0.25">
      <c r="A5502" s="74"/>
      <c r="B5502" s="45">
        <v>2122</v>
      </c>
      <c r="C5502" s="64" t="s">
        <v>1647</v>
      </c>
      <c r="D5502" s="74"/>
      <c r="E5502" s="208" t="s">
        <v>171</v>
      </c>
      <c r="F5502" s="209" t="s">
        <v>21</v>
      </c>
      <c r="G5502" s="209" t="s">
        <v>21</v>
      </c>
      <c r="H5502" s="209" t="s">
        <v>272</v>
      </c>
      <c r="I5502" s="210"/>
    </row>
    <row r="5503" spans="1:9" x14ac:dyDescent="0.25">
      <c r="A5503" s="74"/>
      <c r="B5503" s="45">
        <v>2123</v>
      </c>
      <c r="C5503" s="64" t="s">
        <v>2089</v>
      </c>
      <c r="D5503" s="74"/>
      <c r="E5503" s="208" t="s">
        <v>171</v>
      </c>
      <c r="F5503" s="209" t="s">
        <v>21</v>
      </c>
      <c r="G5503" s="209" t="s">
        <v>21</v>
      </c>
      <c r="H5503" s="209" t="s">
        <v>272</v>
      </c>
      <c r="I5503" s="210"/>
    </row>
    <row r="5504" spans="1:9" x14ac:dyDescent="0.25">
      <c r="A5504" s="74"/>
      <c r="B5504" s="45">
        <v>2122</v>
      </c>
      <c r="C5504" s="64" t="s">
        <v>1647</v>
      </c>
      <c r="D5504" s="74"/>
      <c r="E5504" s="208" t="s">
        <v>171</v>
      </c>
      <c r="F5504" s="209" t="s">
        <v>21</v>
      </c>
      <c r="G5504" s="209" t="s">
        <v>21</v>
      </c>
      <c r="H5504" s="209" t="s">
        <v>272</v>
      </c>
      <c r="I5504" s="210"/>
    </row>
    <row r="5505" spans="1:9" x14ac:dyDescent="0.25">
      <c r="A5505" s="74"/>
      <c r="B5505" s="45">
        <v>2123</v>
      </c>
      <c r="C5505" s="64" t="s">
        <v>2089</v>
      </c>
      <c r="D5505" s="74"/>
      <c r="E5505" s="208" t="s">
        <v>171</v>
      </c>
      <c r="F5505" s="209" t="s">
        <v>21</v>
      </c>
      <c r="G5505" s="209" t="s">
        <v>21</v>
      </c>
      <c r="H5505" s="209" t="s">
        <v>272</v>
      </c>
      <c r="I5505" s="210"/>
    </row>
    <row r="5506" spans="1:9" x14ac:dyDescent="0.25">
      <c r="A5506" s="74"/>
      <c r="B5506" s="45">
        <v>2122</v>
      </c>
      <c r="C5506" s="64" t="s">
        <v>1647</v>
      </c>
      <c r="D5506" s="74"/>
      <c r="E5506" s="208" t="s">
        <v>171</v>
      </c>
      <c r="F5506" s="209" t="s">
        <v>21</v>
      </c>
      <c r="G5506" s="209" t="s">
        <v>21</v>
      </c>
      <c r="H5506" s="209" t="s">
        <v>272</v>
      </c>
      <c r="I5506" s="210"/>
    </row>
    <row r="5507" spans="1:9" x14ac:dyDescent="0.25">
      <c r="A5507" s="74"/>
      <c r="B5507" s="45">
        <v>2123</v>
      </c>
      <c r="C5507" s="64" t="s">
        <v>2089</v>
      </c>
      <c r="D5507" s="74"/>
      <c r="E5507" s="208" t="s">
        <v>171</v>
      </c>
      <c r="F5507" s="209" t="s">
        <v>21</v>
      </c>
      <c r="G5507" s="209" t="s">
        <v>21</v>
      </c>
      <c r="H5507" s="209" t="s">
        <v>272</v>
      </c>
      <c r="I5507" s="210"/>
    </row>
    <row r="5508" spans="1:9" x14ac:dyDescent="0.25">
      <c r="A5508" s="74"/>
      <c r="B5508" s="45">
        <v>2122</v>
      </c>
      <c r="C5508" s="64" t="s">
        <v>1647</v>
      </c>
      <c r="D5508" s="74"/>
      <c r="E5508" s="208" t="s">
        <v>171</v>
      </c>
      <c r="F5508" s="209" t="s">
        <v>21</v>
      </c>
      <c r="G5508" s="209" t="s">
        <v>21</v>
      </c>
      <c r="H5508" s="209" t="s">
        <v>272</v>
      </c>
      <c r="I5508" s="210"/>
    </row>
    <row r="5509" spans="1:9" x14ac:dyDescent="0.25">
      <c r="A5509" s="74"/>
      <c r="B5509" s="45">
        <v>2123</v>
      </c>
      <c r="C5509" s="64" t="s">
        <v>2089</v>
      </c>
      <c r="D5509" s="74"/>
      <c r="E5509" s="208" t="s">
        <v>171</v>
      </c>
      <c r="F5509" s="209" t="s">
        <v>21</v>
      </c>
      <c r="G5509" s="209" t="s">
        <v>21</v>
      </c>
      <c r="H5509" s="209" t="s">
        <v>272</v>
      </c>
      <c r="I5509" s="210"/>
    </row>
    <row r="5510" spans="1:9" x14ac:dyDescent="0.25">
      <c r="A5510" s="74"/>
      <c r="B5510" s="45">
        <v>2122</v>
      </c>
      <c r="C5510" s="64" t="s">
        <v>1647</v>
      </c>
      <c r="D5510" s="74"/>
      <c r="E5510" s="208" t="s">
        <v>171</v>
      </c>
      <c r="F5510" s="209" t="s">
        <v>21</v>
      </c>
      <c r="G5510" s="209" t="s">
        <v>21</v>
      </c>
      <c r="H5510" s="209" t="s">
        <v>272</v>
      </c>
      <c r="I5510" s="210"/>
    </row>
    <row r="5511" spans="1:9" x14ac:dyDescent="0.25">
      <c r="A5511" s="74"/>
      <c r="B5511" s="45">
        <v>2123</v>
      </c>
      <c r="C5511" s="64" t="s">
        <v>2089</v>
      </c>
      <c r="D5511" s="74"/>
      <c r="E5511" s="208" t="s">
        <v>171</v>
      </c>
      <c r="F5511" s="209" t="s">
        <v>21</v>
      </c>
      <c r="G5511" s="209" t="s">
        <v>21</v>
      </c>
      <c r="H5511" s="209" t="s">
        <v>272</v>
      </c>
      <c r="I5511" s="210"/>
    </row>
    <row r="5512" spans="1:9" x14ac:dyDescent="0.25">
      <c r="A5512" s="74"/>
      <c r="B5512" s="45">
        <v>2124</v>
      </c>
      <c r="C5512" s="64" t="s">
        <v>2074</v>
      </c>
      <c r="D5512" s="74"/>
      <c r="E5512" s="208" t="s">
        <v>171</v>
      </c>
      <c r="F5512" s="209" t="s">
        <v>21</v>
      </c>
      <c r="G5512" s="209" t="s">
        <v>21</v>
      </c>
      <c r="H5512" s="209" t="s">
        <v>272</v>
      </c>
      <c r="I5512" s="210"/>
    </row>
    <row r="5513" spans="1:9" x14ac:dyDescent="0.25">
      <c r="A5513" s="74"/>
      <c r="B5513" s="45">
        <v>1074</v>
      </c>
      <c r="C5513" s="64" t="s">
        <v>1483</v>
      </c>
      <c r="D5513" s="74"/>
      <c r="E5513" s="208" t="s">
        <v>171</v>
      </c>
      <c r="F5513" s="209" t="s">
        <v>21</v>
      </c>
      <c r="G5513" s="209" t="s">
        <v>21</v>
      </c>
      <c r="H5513" s="209" t="s">
        <v>192</v>
      </c>
      <c r="I5513" s="210"/>
    </row>
    <row r="5514" spans="1:9" x14ac:dyDescent="0.25">
      <c r="A5514" s="74"/>
      <c r="B5514" s="45">
        <v>2125</v>
      </c>
      <c r="C5514" s="64" t="s">
        <v>2046</v>
      </c>
      <c r="D5514" s="74"/>
      <c r="E5514" s="208" t="s">
        <v>171</v>
      </c>
      <c r="F5514" s="209" t="s">
        <v>21</v>
      </c>
      <c r="G5514" s="209" t="s">
        <v>21</v>
      </c>
      <c r="H5514" s="209" t="s">
        <v>272</v>
      </c>
      <c r="I5514" s="210"/>
    </row>
    <row r="5515" spans="1:9" x14ac:dyDescent="0.25">
      <c r="A5515" s="74"/>
      <c r="B5515" s="45">
        <v>2125</v>
      </c>
      <c r="C5515" s="64" t="s">
        <v>2046</v>
      </c>
      <c r="D5515" s="74"/>
      <c r="E5515" s="208" t="s">
        <v>171</v>
      </c>
      <c r="F5515" s="209" t="s">
        <v>21</v>
      </c>
      <c r="G5515" s="209" t="s">
        <v>21</v>
      </c>
      <c r="H5515" s="209" t="s">
        <v>272</v>
      </c>
      <c r="I5515" s="210"/>
    </row>
    <row r="5516" spans="1:9" x14ac:dyDescent="0.25">
      <c r="A5516" s="74"/>
      <c r="B5516" s="45">
        <v>2125</v>
      </c>
      <c r="C5516" s="64" t="s">
        <v>2046</v>
      </c>
      <c r="D5516" s="74"/>
      <c r="E5516" s="208" t="s">
        <v>171</v>
      </c>
      <c r="F5516" s="209" t="s">
        <v>21</v>
      </c>
      <c r="G5516" s="209" t="s">
        <v>21</v>
      </c>
      <c r="H5516" s="209" t="s">
        <v>272</v>
      </c>
      <c r="I5516" s="210"/>
    </row>
    <row r="5517" spans="1:9" x14ac:dyDescent="0.25">
      <c r="A5517" s="74"/>
      <c r="B5517" s="45">
        <v>2125</v>
      </c>
      <c r="C5517" s="64" t="s">
        <v>2046</v>
      </c>
      <c r="D5517" s="74"/>
      <c r="E5517" s="208" t="s">
        <v>171</v>
      </c>
      <c r="F5517" s="209" t="s">
        <v>21</v>
      </c>
      <c r="G5517" s="209" t="s">
        <v>21</v>
      </c>
      <c r="H5517" s="209" t="s">
        <v>272</v>
      </c>
      <c r="I5517" s="210"/>
    </row>
    <row r="5518" spans="1:9" x14ac:dyDescent="0.25">
      <c r="A5518" s="74"/>
      <c r="B5518" s="45">
        <v>2064</v>
      </c>
      <c r="C5518" s="64" t="s">
        <v>2049</v>
      </c>
      <c r="D5518" s="74"/>
      <c r="E5518" s="208" t="s">
        <v>159</v>
      </c>
      <c r="F5518" s="209" t="s">
        <v>21</v>
      </c>
      <c r="G5518" s="209" t="s">
        <v>21</v>
      </c>
      <c r="H5518" s="209" t="s">
        <v>272</v>
      </c>
      <c r="I5518" s="210"/>
    </row>
    <row r="5519" spans="1:9" x14ac:dyDescent="0.25">
      <c r="A5519" s="74"/>
      <c r="B5519" s="45">
        <v>2126</v>
      </c>
      <c r="C5519" s="64" t="s">
        <v>2115</v>
      </c>
      <c r="D5519" s="74"/>
      <c r="E5519" s="208" t="s">
        <v>159</v>
      </c>
      <c r="F5519" s="209" t="s">
        <v>21</v>
      </c>
      <c r="G5519" s="209" t="s">
        <v>21</v>
      </c>
      <c r="H5519" s="209" t="s">
        <v>272</v>
      </c>
      <c r="I5519" s="210"/>
    </row>
    <row r="5520" spans="1:9" x14ac:dyDescent="0.25">
      <c r="A5520" s="74"/>
      <c r="B5520" s="45">
        <v>2061</v>
      </c>
      <c r="C5520" s="64" t="s">
        <v>1859</v>
      </c>
      <c r="D5520" s="74"/>
      <c r="E5520" s="208" t="s">
        <v>159</v>
      </c>
      <c r="F5520" s="209" t="s">
        <v>21</v>
      </c>
      <c r="G5520" s="209" t="s">
        <v>21</v>
      </c>
      <c r="H5520" s="209" t="s">
        <v>272</v>
      </c>
      <c r="I5520" s="210"/>
    </row>
    <row r="5521" spans="1:9" x14ac:dyDescent="0.25">
      <c r="A5521" s="74"/>
      <c r="B5521" s="45">
        <v>2061</v>
      </c>
      <c r="C5521" s="64" t="s">
        <v>1859</v>
      </c>
      <c r="D5521" s="74"/>
      <c r="E5521" s="208" t="s">
        <v>159</v>
      </c>
      <c r="F5521" s="209" t="s">
        <v>21</v>
      </c>
      <c r="G5521" s="209" t="s">
        <v>21</v>
      </c>
      <c r="H5521" s="209" t="s">
        <v>272</v>
      </c>
      <c r="I5521" s="210"/>
    </row>
    <row r="5522" spans="1:9" x14ac:dyDescent="0.25">
      <c r="A5522" s="74"/>
      <c r="B5522" s="45">
        <v>982</v>
      </c>
      <c r="C5522" s="64" t="s">
        <v>1391</v>
      </c>
      <c r="D5522" s="74"/>
      <c r="E5522" s="208" t="s">
        <v>159</v>
      </c>
      <c r="F5522" s="209" t="s">
        <v>21</v>
      </c>
      <c r="G5522" s="209" t="s">
        <v>21</v>
      </c>
      <c r="H5522" s="209" t="s">
        <v>192</v>
      </c>
      <c r="I5522" s="210"/>
    </row>
    <row r="5523" spans="1:9" x14ac:dyDescent="0.25">
      <c r="A5523" s="74"/>
      <c r="B5523" s="45">
        <v>2127</v>
      </c>
      <c r="C5523" s="64" t="s">
        <v>2075</v>
      </c>
      <c r="D5523" s="74"/>
      <c r="E5523" s="208" t="s">
        <v>147</v>
      </c>
      <c r="F5523" s="209" t="s">
        <v>21</v>
      </c>
      <c r="G5523" s="209" t="s">
        <v>21</v>
      </c>
      <c r="H5523" s="209" t="s">
        <v>272</v>
      </c>
      <c r="I5523" s="210"/>
    </row>
    <row r="5524" spans="1:9" x14ac:dyDescent="0.25">
      <c r="A5524" s="74"/>
      <c r="B5524" s="45">
        <v>2128</v>
      </c>
      <c r="C5524" s="64" t="s">
        <v>2060</v>
      </c>
      <c r="D5524" s="74"/>
      <c r="E5524" s="208" t="s">
        <v>147</v>
      </c>
      <c r="F5524" s="209" t="s">
        <v>21</v>
      </c>
      <c r="G5524" s="209" t="s">
        <v>21</v>
      </c>
      <c r="H5524" s="209" t="s">
        <v>272</v>
      </c>
      <c r="I5524" s="210"/>
    </row>
    <row r="5525" spans="1:9" x14ac:dyDescent="0.25">
      <c r="A5525" s="74"/>
      <c r="B5525" s="45">
        <v>2127</v>
      </c>
      <c r="C5525" s="64" t="s">
        <v>2075</v>
      </c>
      <c r="D5525" s="74"/>
      <c r="E5525" s="208" t="s">
        <v>147</v>
      </c>
      <c r="F5525" s="209" t="s">
        <v>21</v>
      </c>
      <c r="G5525" s="209" t="s">
        <v>21</v>
      </c>
      <c r="H5525" s="209" t="s">
        <v>272</v>
      </c>
      <c r="I5525" s="210"/>
    </row>
    <row r="5526" spans="1:9" x14ac:dyDescent="0.25">
      <c r="A5526" s="74"/>
      <c r="B5526" s="45">
        <v>2128</v>
      </c>
      <c r="C5526" s="64" t="s">
        <v>2060</v>
      </c>
      <c r="D5526" s="74"/>
      <c r="E5526" s="208" t="s">
        <v>147</v>
      </c>
      <c r="F5526" s="209" t="s">
        <v>21</v>
      </c>
      <c r="G5526" s="209" t="s">
        <v>21</v>
      </c>
      <c r="H5526" s="209" t="s">
        <v>272</v>
      </c>
      <c r="I5526" s="210"/>
    </row>
    <row r="5527" spans="1:9" x14ac:dyDescent="0.25">
      <c r="A5527" s="74"/>
      <c r="B5527" s="45">
        <v>1088</v>
      </c>
      <c r="C5527" s="64" t="s">
        <v>1497</v>
      </c>
      <c r="D5527" s="74"/>
      <c r="E5527" s="208" t="s">
        <v>130</v>
      </c>
      <c r="F5527" s="209" t="s">
        <v>21</v>
      </c>
      <c r="G5527" s="209" t="s">
        <v>21</v>
      </c>
      <c r="H5527" s="209" t="s">
        <v>179</v>
      </c>
      <c r="I5527" s="210"/>
    </row>
    <row r="5528" spans="1:9" x14ac:dyDescent="0.25">
      <c r="A5528" s="74"/>
      <c r="B5528" s="45">
        <v>1066</v>
      </c>
      <c r="C5528" s="64" t="s">
        <v>1475</v>
      </c>
      <c r="D5528" s="74"/>
      <c r="E5528" s="208" t="s">
        <v>171</v>
      </c>
      <c r="F5528" s="209" t="s">
        <v>21</v>
      </c>
      <c r="G5528" s="209" t="s">
        <v>21</v>
      </c>
      <c r="H5528" s="209" t="s">
        <v>183</v>
      </c>
      <c r="I5528" s="210"/>
    </row>
    <row r="5529" spans="1:9" x14ac:dyDescent="0.25">
      <c r="A5529" s="74"/>
      <c r="B5529" s="45">
        <v>1084</v>
      </c>
      <c r="C5529" s="64" t="s">
        <v>1493</v>
      </c>
      <c r="D5529" s="74"/>
      <c r="E5529" s="208" t="s">
        <v>130</v>
      </c>
      <c r="F5529" s="209" t="s">
        <v>21</v>
      </c>
      <c r="G5529" s="209" t="s">
        <v>21</v>
      </c>
      <c r="H5529" s="209" t="s">
        <v>183</v>
      </c>
      <c r="I5529" s="210"/>
    </row>
    <row r="5530" spans="1:9" x14ac:dyDescent="0.25">
      <c r="A5530" s="74"/>
      <c r="B5530" s="45">
        <v>995</v>
      </c>
      <c r="C5530" s="64" t="s">
        <v>1404</v>
      </c>
      <c r="D5530" s="74"/>
      <c r="E5530" s="208" t="s">
        <v>159</v>
      </c>
      <c r="F5530" s="209" t="s">
        <v>21</v>
      </c>
      <c r="G5530" s="209" t="s">
        <v>21</v>
      </c>
      <c r="H5530" s="209" t="s">
        <v>192</v>
      </c>
      <c r="I5530" s="210"/>
    </row>
    <row r="5531" spans="1:9" x14ac:dyDescent="0.25">
      <c r="A5531" s="74"/>
      <c r="B5531" s="45">
        <v>2061</v>
      </c>
      <c r="C5531" s="64" t="s">
        <v>1859</v>
      </c>
      <c r="D5531" s="74"/>
      <c r="E5531" s="208" t="s">
        <v>159</v>
      </c>
      <c r="F5531" s="209" t="s">
        <v>21</v>
      </c>
      <c r="G5531" s="209" t="s">
        <v>21</v>
      </c>
      <c r="H5531" s="209" t="s">
        <v>272</v>
      </c>
      <c r="I5531" s="210"/>
    </row>
    <row r="5532" spans="1:9" x14ac:dyDescent="0.25">
      <c r="A5532" s="74"/>
      <c r="B5532" s="45">
        <v>2062</v>
      </c>
      <c r="C5532" s="64" t="s">
        <v>2131</v>
      </c>
      <c r="D5532" s="74"/>
      <c r="E5532" s="208" t="s">
        <v>159</v>
      </c>
      <c r="F5532" s="209" t="s">
        <v>21</v>
      </c>
      <c r="G5532" s="209" t="s">
        <v>21</v>
      </c>
      <c r="H5532" s="209" t="s">
        <v>272</v>
      </c>
      <c r="I5532" s="210"/>
    </row>
    <row r="5533" spans="1:9" x14ac:dyDescent="0.25">
      <c r="A5533" s="74"/>
      <c r="B5533" s="45">
        <v>2063</v>
      </c>
      <c r="C5533" s="64" t="s">
        <v>1925</v>
      </c>
      <c r="D5533" s="74"/>
      <c r="E5533" s="208" t="s">
        <v>159</v>
      </c>
      <c r="F5533" s="209" t="s">
        <v>21</v>
      </c>
      <c r="G5533" s="209" t="s">
        <v>21</v>
      </c>
      <c r="H5533" s="209" t="s">
        <v>272</v>
      </c>
      <c r="I5533" s="210"/>
    </row>
    <row r="5534" spans="1:9" x14ac:dyDescent="0.25">
      <c r="A5534" s="74"/>
      <c r="B5534" s="45">
        <v>982</v>
      </c>
      <c r="C5534" s="64" t="s">
        <v>1391</v>
      </c>
      <c r="D5534" s="74"/>
      <c r="E5534" s="208" t="s">
        <v>159</v>
      </c>
      <c r="F5534" s="209" t="s">
        <v>21</v>
      </c>
      <c r="G5534" s="209" t="s">
        <v>21</v>
      </c>
      <c r="H5534" s="209" t="s">
        <v>192</v>
      </c>
      <c r="I5534" s="210"/>
    </row>
    <row r="5535" spans="1:9" x14ac:dyDescent="0.25">
      <c r="A5535" s="74"/>
      <c r="B5535" s="45">
        <v>1986</v>
      </c>
      <c r="C5535" s="64" t="s">
        <v>1457</v>
      </c>
      <c r="D5535" s="74"/>
      <c r="E5535" s="208" t="s">
        <v>123</v>
      </c>
      <c r="F5535" s="209" t="s">
        <v>21</v>
      </c>
      <c r="G5535" s="209" t="s">
        <v>21</v>
      </c>
      <c r="H5535" s="209" t="s">
        <v>272</v>
      </c>
      <c r="I5535" s="210"/>
    </row>
    <row r="5536" spans="1:9" x14ac:dyDescent="0.25">
      <c r="A5536" s="74"/>
      <c r="B5536" s="45">
        <v>1987</v>
      </c>
      <c r="C5536" s="64" t="s">
        <v>1956</v>
      </c>
      <c r="D5536" s="74"/>
      <c r="E5536" s="208" t="s">
        <v>123</v>
      </c>
      <c r="F5536" s="209" t="s">
        <v>21</v>
      </c>
      <c r="G5536" s="209" t="s">
        <v>21</v>
      </c>
      <c r="H5536" s="209" t="s">
        <v>272</v>
      </c>
      <c r="I5536" s="210"/>
    </row>
    <row r="5537" spans="1:9" x14ac:dyDescent="0.25">
      <c r="A5537" s="74"/>
      <c r="B5537" s="45">
        <v>1988</v>
      </c>
      <c r="C5537" s="64" t="s">
        <v>2116</v>
      </c>
      <c r="D5537" s="74"/>
      <c r="E5537" s="208" t="s">
        <v>123</v>
      </c>
      <c r="F5537" s="209" t="s">
        <v>21</v>
      </c>
      <c r="G5537" s="209" t="s">
        <v>21</v>
      </c>
      <c r="H5537" s="209" t="s">
        <v>272</v>
      </c>
      <c r="I5537" s="210"/>
    </row>
    <row r="5538" spans="1:9" x14ac:dyDescent="0.25">
      <c r="A5538" s="74"/>
      <c r="B5538" s="45">
        <v>1086</v>
      </c>
      <c r="C5538" s="64" t="s">
        <v>1495</v>
      </c>
      <c r="D5538" s="74"/>
      <c r="E5538" s="208" t="s">
        <v>123</v>
      </c>
      <c r="F5538" s="209" t="s">
        <v>21</v>
      </c>
      <c r="G5538" s="209" t="s">
        <v>21</v>
      </c>
      <c r="H5538" s="209" t="s">
        <v>192</v>
      </c>
      <c r="I5538" s="210"/>
    </row>
    <row r="5539" spans="1:9" x14ac:dyDescent="0.25">
      <c r="A5539" s="74"/>
      <c r="B5539" s="45">
        <v>1989</v>
      </c>
      <c r="C5539" s="64" t="s">
        <v>2117</v>
      </c>
      <c r="D5539" s="74"/>
      <c r="E5539" s="208" t="s">
        <v>123</v>
      </c>
      <c r="F5539" s="209" t="s">
        <v>21</v>
      </c>
      <c r="G5539" s="209" t="s">
        <v>21</v>
      </c>
      <c r="H5539" s="209" t="s">
        <v>272</v>
      </c>
      <c r="I5539" s="210"/>
    </row>
    <row r="5540" spans="1:9" x14ac:dyDescent="0.25">
      <c r="A5540" s="74"/>
      <c r="B5540" s="45">
        <v>884</v>
      </c>
      <c r="C5540" s="64" t="s">
        <v>1293</v>
      </c>
      <c r="D5540" s="74"/>
      <c r="E5540" s="208" t="s">
        <v>123</v>
      </c>
      <c r="F5540" s="209" t="s">
        <v>21</v>
      </c>
      <c r="G5540" s="209" t="s">
        <v>21</v>
      </c>
      <c r="H5540" s="209" t="s">
        <v>192</v>
      </c>
      <c r="I5540" s="210"/>
    </row>
    <row r="5541" spans="1:9" x14ac:dyDescent="0.25">
      <c r="A5541" s="74"/>
      <c r="B5541" s="45">
        <v>2129</v>
      </c>
      <c r="C5541" s="64" t="s">
        <v>1833</v>
      </c>
      <c r="D5541" s="74"/>
      <c r="E5541" s="208" t="s">
        <v>130</v>
      </c>
      <c r="F5541" s="209" t="s">
        <v>21</v>
      </c>
      <c r="G5541" s="209" t="s">
        <v>21</v>
      </c>
      <c r="H5541" s="209" t="s">
        <v>189</v>
      </c>
      <c r="I5541" s="210"/>
    </row>
    <row r="5542" spans="1:9" x14ac:dyDescent="0.25">
      <c r="A5542" s="74"/>
      <c r="B5542" s="45">
        <v>2130</v>
      </c>
      <c r="C5542" s="64" t="s">
        <v>1866</v>
      </c>
      <c r="D5542" s="74"/>
      <c r="E5542" s="208" t="s">
        <v>130</v>
      </c>
      <c r="F5542" s="209" t="s">
        <v>21</v>
      </c>
      <c r="G5542" s="209" t="s">
        <v>21</v>
      </c>
      <c r="H5542" s="209" t="s">
        <v>189</v>
      </c>
      <c r="I5542" s="210"/>
    </row>
    <row r="5543" spans="1:9" x14ac:dyDescent="0.25">
      <c r="A5543" s="74"/>
      <c r="B5543" s="45">
        <v>1087</v>
      </c>
      <c r="C5543" s="64" t="s">
        <v>1496</v>
      </c>
      <c r="D5543" s="74"/>
      <c r="E5543" s="208" t="s">
        <v>130</v>
      </c>
      <c r="F5543" s="209" t="s">
        <v>21</v>
      </c>
      <c r="G5543" s="209" t="s">
        <v>21</v>
      </c>
      <c r="H5543" s="209" t="s">
        <v>186</v>
      </c>
      <c r="I5543" s="210"/>
    </row>
    <row r="5544" spans="1:9" x14ac:dyDescent="0.25">
      <c r="A5544" s="74"/>
      <c r="B5544" s="45">
        <v>861</v>
      </c>
      <c r="C5544" s="64" t="s">
        <v>1270</v>
      </c>
      <c r="D5544" s="74"/>
      <c r="E5544" s="208" t="s">
        <v>123</v>
      </c>
      <c r="F5544" s="209" t="s">
        <v>21</v>
      </c>
      <c r="G5544" s="209" t="s">
        <v>21</v>
      </c>
      <c r="H5544" s="209" t="s">
        <v>183</v>
      </c>
      <c r="I5544" s="210"/>
    </row>
    <row r="5545" spans="1:9" x14ac:dyDescent="0.25">
      <c r="A5545" s="74"/>
      <c r="B5545" s="45">
        <v>1067</v>
      </c>
      <c r="C5545" s="64" t="s">
        <v>1476</v>
      </c>
      <c r="D5545" s="74"/>
      <c r="E5545" s="208" t="s">
        <v>171</v>
      </c>
      <c r="F5545" s="209" t="s">
        <v>21</v>
      </c>
      <c r="G5545" s="209" t="s">
        <v>21</v>
      </c>
      <c r="H5545" s="209" t="s">
        <v>186</v>
      </c>
      <c r="I5545" s="210"/>
    </row>
    <row r="5546" spans="1:9" x14ac:dyDescent="0.25">
      <c r="A5546" s="74"/>
      <c r="B5546" s="45">
        <v>1066</v>
      </c>
      <c r="C5546" s="64" t="s">
        <v>1475</v>
      </c>
      <c r="D5546" s="74"/>
      <c r="E5546" s="208" t="s">
        <v>171</v>
      </c>
      <c r="F5546" s="209" t="s">
        <v>21</v>
      </c>
      <c r="G5546" s="209" t="s">
        <v>21</v>
      </c>
      <c r="H5546" s="209" t="s">
        <v>183</v>
      </c>
      <c r="I5546" s="210"/>
    </row>
    <row r="5547" spans="1:9" x14ac:dyDescent="0.25">
      <c r="A5547" s="74"/>
      <c r="B5547" s="45">
        <v>1089</v>
      </c>
      <c r="C5547" s="64" t="s">
        <v>1498</v>
      </c>
      <c r="D5547" s="74"/>
      <c r="E5547" s="208" t="s">
        <v>130</v>
      </c>
      <c r="F5547" s="209" t="s">
        <v>21</v>
      </c>
      <c r="G5547" s="209" t="s">
        <v>21</v>
      </c>
      <c r="H5547" s="209" t="s">
        <v>187</v>
      </c>
      <c r="I5547" s="210"/>
    </row>
    <row r="5548" spans="1:9" x14ac:dyDescent="0.25">
      <c r="A5548" s="74"/>
      <c r="B5548" s="45">
        <v>2132</v>
      </c>
      <c r="C5548" s="64" t="s">
        <v>1994</v>
      </c>
      <c r="D5548" s="74"/>
      <c r="E5548" s="208" t="s">
        <v>130</v>
      </c>
      <c r="F5548" s="209" t="s">
        <v>21</v>
      </c>
      <c r="G5548" s="209" t="s">
        <v>21</v>
      </c>
      <c r="H5548" s="209" t="s">
        <v>189</v>
      </c>
      <c r="I5548" s="210"/>
    </row>
    <row r="5549" spans="1:9" x14ac:dyDescent="0.25">
      <c r="A5549" s="74"/>
      <c r="B5549" s="45">
        <v>2133</v>
      </c>
      <c r="C5549" s="64" t="s">
        <v>1582</v>
      </c>
      <c r="D5549" s="74"/>
      <c r="E5549" s="208" t="s">
        <v>130</v>
      </c>
      <c r="F5549" s="209" t="s">
        <v>21</v>
      </c>
      <c r="G5549" s="209" t="s">
        <v>21</v>
      </c>
      <c r="H5549" s="209" t="s">
        <v>16</v>
      </c>
      <c r="I5549" s="210"/>
    </row>
    <row r="5550" spans="1:9" x14ac:dyDescent="0.25">
      <c r="A5550" s="74"/>
      <c r="B5550" s="45">
        <v>1089</v>
      </c>
      <c r="C5550" s="64" t="s">
        <v>1498</v>
      </c>
      <c r="D5550" s="74"/>
      <c r="E5550" s="208" t="s">
        <v>130</v>
      </c>
      <c r="F5550" s="209" t="s">
        <v>21</v>
      </c>
      <c r="G5550" s="209" t="s">
        <v>21</v>
      </c>
      <c r="H5550" s="209" t="s">
        <v>187</v>
      </c>
      <c r="I5550" s="210"/>
    </row>
    <row r="5551" spans="1:9" x14ac:dyDescent="0.25">
      <c r="A5551" s="74"/>
      <c r="B5551" s="45">
        <v>2133</v>
      </c>
      <c r="C5551" s="64" t="s">
        <v>1582</v>
      </c>
      <c r="D5551" s="74"/>
      <c r="E5551" s="208" t="s">
        <v>130</v>
      </c>
      <c r="F5551" s="209" t="s">
        <v>21</v>
      </c>
      <c r="G5551" s="209" t="s">
        <v>21</v>
      </c>
      <c r="H5551" s="209" t="s">
        <v>16</v>
      </c>
      <c r="I5551" s="210"/>
    </row>
    <row r="5552" spans="1:9" x14ac:dyDescent="0.25">
      <c r="A5552" s="74"/>
      <c r="B5552" s="45">
        <v>1091</v>
      </c>
      <c r="C5552" s="64" t="s">
        <v>1500</v>
      </c>
      <c r="D5552" s="74"/>
      <c r="E5552" s="208" t="s">
        <v>130</v>
      </c>
      <c r="F5552" s="209" t="s">
        <v>21</v>
      </c>
      <c r="G5552" s="209" t="s">
        <v>21</v>
      </c>
      <c r="H5552" s="209" t="s">
        <v>187</v>
      </c>
      <c r="I5552" s="210"/>
    </row>
    <row r="5553" spans="1:9" x14ac:dyDescent="0.25">
      <c r="A5553" s="74"/>
      <c r="B5553" s="45">
        <v>880</v>
      </c>
      <c r="C5553" s="64" t="s">
        <v>1289</v>
      </c>
      <c r="D5553" s="74"/>
      <c r="E5553" s="208" t="s">
        <v>123</v>
      </c>
      <c r="F5553" s="209" t="s">
        <v>21</v>
      </c>
      <c r="G5553" s="209" t="s">
        <v>21</v>
      </c>
      <c r="H5553" s="209" t="s">
        <v>198</v>
      </c>
      <c r="I5553" s="210"/>
    </row>
    <row r="5554" spans="1:9" x14ac:dyDescent="0.25">
      <c r="A5554" s="74"/>
      <c r="B5554" s="45">
        <v>865</v>
      </c>
      <c r="C5554" s="64" t="s">
        <v>1274</v>
      </c>
      <c r="D5554" s="74"/>
      <c r="E5554" s="208" t="s">
        <v>134</v>
      </c>
      <c r="F5554" s="209" t="s">
        <v>21</v>
      </c>
      <c r="G5554" s="209" t="s">
        <v>21</v>
      </c>
      <c r="H5554" s="209" t="s">
        <v>183</v>
      </c>
      <c r="I5554" s="210"/>
    </row>
    <row r="5555" spans="1:9" x14ac:dyDescent="0.25">
      <c r="A5555" s="74"/>
      <c r="B5555" s="45">
        <v>2132</v>
      </c>
      <c r="C5555" s="64" t="s">
        <v>1994</v>
      </c>
      <c r="D5555" s="74"/>
      <c r="E5555" s="208" t="s">
        <v>130</v>
      </c>
      <c r="F5555" s="209" t="s">
        <v>21</v>
      </c>
      <c r="G5555" s="209" t="s">
        <v>21</v>
      </c>
      <c r="H5555" s="209" t="s">
        <v>189</v>
      </c>
      <c r="I5555" s="210"/>
    </row>
    <row r="5556" spans="1:9" x14ac:dyDescent="0.25">
      <c r="A5556" s="74"/>
      <c r="B5556" s="45">
        <v>2134</v>
      </c>
      <c r="C5556" s="64" t="s">
        <v>1925</v>
      </c>
      <c r="D5556" s="74"/>
      <c r="E5556" s="208" t="s">
        <v>293</v>
      </c>
      <c r="F5556" s="209" t="s">
        <v>21</v>
      </c>
      <c r="G5556" s="209" t="s">
        <v>21</v>
      </c>
      <c r="H5556" s="209" t="s">
        <v>189</v>
      </c>
      <c r="I5556" s="210"/>
    </row>
    <row r="5557" spans="1:9" x14ac:dyDescent="0.25">
      <c r="A5557" s="74"/>
      <c r="B5557" s="45">
        <v>2135</v>
      </c>
      <c r="C5557" s="64" t="s">
        <v>1986</v>
      </c>
      <c r="D5557" s="74"/>
      <c r="E5557" s="208" t="s">
        <v>130</v>
      </c>
      <c r="F5557" s="209" t="s">
        <v>21</v>
      </c>
      <c r="G5557" s="209" t="s">
        <v>21</v>
      </c>
      <c r="H5557" s="209" t="s">
        <v>16</v>
      </c>
      <c r="I5557" s="210"/>
    </row>
    <row r="5558" spans="1:9" x14ac:dyDescent="0.25">
      <c r="A5558" s="74"/>
      <c r="B5558" s="45">
        <v>1039</v>
      </c>
      <c r="C5558" s="64" t="s">
        <v>1448</v>
      </c>
      <c r="D5558" s="74"/>
      <c r="E5558" s="208" t="s">
        <v>168</v>
      </c>
      <c r="F5558" s="209" t="s">
        <v>21</v>
      </c>
      <c r="G5558" s="209" t="s">
        <v>21</v>
      </c>
      <c r="H5558" s="209" t="s">
        <v>251</v>
      </c>
      <c r="I5558" s="210"/>
    </row>
    <row r="5559" spans="1:9" x14ac:dyDescent="0.25">
      <c r="A5559" s="74"/>
      <c r="B5559" s="45">
        <v>2136</v>
      </c>
      <c r="C5559" s="64" t="s">
        <v>2001</v>
      </c>
      <c r="D5559" s="74"/>
      <c r="E5559" s="208" t="s">
        <v>134</v>
      </c>
      <c r="F5559" s="209" t="s">
        <v>21</v>
      </c>
      <c r="G5559" s="209" t="s">
        <v>21</v>
      </c>
      <c r="H5559" s="209" t="s">
        <v>272</v>
      </c>
      <c r="I5559" s="210"/>
    </row>
    <row r="5560" spans="1:9" x14ac:dyDescent="0.25">
      <c r="A5560" s="74"/>
      <c r="B5560" s="45">
        <v>890</v>
      </c>
      <c r="C5560" s="64" t="s">
        <v>1299</v>
      </c>
      <c r="D5560" s="74"/>
      <c r="E5560" s="208" t="s">
        <v>134</v>
      </c>
      <c r="F5560" s="209" t="s">
        <v>21</v>
      </c>
      <c r="G5560" s="209" t="s">
        <v>21</v>
      </c>
      <c r="H5560" s="209" t="s">
        <v>194</v>
      </c>
      <c r="I5560" s="210"/>
    </row>
    <row r="5561" spans="1:9" x14ac:dyDescent="0.25">
      <c r="A5561" s="74"/>
      <c r="B5561" s="45">
        <v>2137</v>
      </c>
      <c r="C5561" s="64" t="s">
        <v>1965</v>
      </c>
      <c r="D5561" s="74"/>
      <c r="E5561" s="208" t="s">
        <v>147</v>
      </c>
      <c r="F5561" s="209" t="s">
        <v>21</v>
      </c>
      <c r="G5561" s="209" t="s">
        <v>21</v>
      </c>
      <c r="H5561" s="209" t="s">
        <v>189</v>
      </c>
      <c r="I5561" s="210"/>
    </row>
    <row r="5562" spans="1:9" x14ac:dyDescent="0.25">
      <c r="A5562" s="74"/>
      <c r="B5562" s="45">
        <v>1097</v>
      </c>
      <c r="C5562" s="64" t="s">
        <v>1506</v>
      </c>
      <c r="D5562" s="74"/>
      <c r="E5562" s="208" t="s">
        <v>130</v>
      </c>
      <c r="F5562" s="209" t="s">
        <v>21</v>
      </c>
      <c r="G5562" s="209" t="s">
        <v>21</v>
      </c>
      <c r="H5562" s="209" t="s">
        <v>187</v>
      </c>
      <c r="I5562" s="210"/>
    </row>
    <row r="5563" spans="1:9" x14ac:dyDescent="0.25">
      <c r="A5563" s="74"/>
      <c r="B5563" s="45">
        <v>2138</v>
      </c>
      <c r="C5563" s="64" t="s">
        <v>2029</v>
      </c>
      <c r="D5563" s="74"/>
      <c r="E5563" s="208" t="s">
        <v>130</v>
      </c>
      <c r="F5563" s="209" t="s">
        <v>21</v>
      </c>
      <c r="G5563" s="209" t="s">
        <v>21</v>
      </c>
      <c r="H5563" s="209" t="s">
        <v>189</v>
      </c>
      <c r="I5563" s="210"/>
    </row>
    <row r="5564" spans="1:9" x14ac:dyDescent="0.25">
      <c r="A5564" s="74"/>
      <c r="B5564" s="45">
        <v>1047</v>
      </c>
      <c r="C5564" s="64" t="s">
        <v>1456</v>
      </c>
      <c r="D5564" s="74"/>
      <c r="E5564" s="208" t="s">
        <v>171</v>
      </c>
      <c r="F5564" s="209" t="s">
        <v>21</v>
      </c>
      <c r="G5564" s="209" t="s">
        <v>21</v>
      </c>
      <c r="H5564" s="209" t="s">
        <v>186</v>
      </c>
      <c r="I5564" s="210"/>
    </row>
    <row r="5565" spans="1:9" x14ac:dyDescent="0.25">
      <c r="A5565" s="74"/>
      <c r="B5565" s="45">
        <v>2139</v>
      </c>
      <c r="C5565" s="64" t="s">
        <v>2095</v>
      </c>
      <c r="D5565" s="74"/>
      <c r="E5565" s="208" t="s">
        <v>130</v>
      </c>
      <c r="F5565" s="209" t="s">
        <v>21</v>
      </c>
      <c r="G5565" s="209" t="s">
        <v>21</v>
      </c>
      <c r="H5565" s="209" t="s">
        <v>189</v>
      </c>
      <c r="I5565" s="210"/>
    </row>
    <row r="5566" spans="1:9" x14ac:dyDescent="0.25">
      <c r="A5566" s="74"/>
      <c r="B5566" s="45">
        <v>2138</v>
      </c>
      <c r="C5566" s="64" t="s">
        <v>2029</v>
      </c>
      <c r="D5566" s="74"/>
      <c r="E5566" s="208" t="s">
        <v>130</v>
      </c>
      <c r="F5566" s="209" t="s">
        <v>21</v>
      </c>
      <c r="G5566" s="209" t="s">
        <v>21</v>
      </c>
      <c r="H5566" s="209" t="s">
        <v>189</v>
      </c>
      <c r="I5566" s="210"/>
    </row>
    <row r="5567" spans="1:9" x14ac:dyDescent="0.25">
      <c r="A5567" s="74"/>
      <c r="B5567" s="45">
        <v>2140</v>
      </c>
      <c r="C5567" s="64" t="s">
        <v>1839</v>
      </c>
      <c r="D5567" s="74"/>
      <c r="E5567" s="208" t="s">
        <v>166</v>
      </c>
      <c r="F5567" s="209" t="s">
        <v>21</v>
      </c>
      <c r="G5567" s="209" t="s">
        <v>21</v>
      </c>
      <c r="H5567" s="209" t="s">
        <v>272</v>
      </c>
      <c r="I5567" s="210"/>
    </row>
    <row r="5568" spans="1:9" x14ac:dyDescent="0.25">
      <c r="A5568" s="74"/>
      <c r="B5568" s="45">
        <v>2141</v>
      </c>
      <c r="C5568" s="64" t="s">
        <v>1647</v>
      </c>
      <c r="D5568" s="74"/>
      <c r="E5568" s="208" t="s">
        <v>130</v>
      </c>
      <c r="F5568" s="209" t="s">
        <v>21</v>
      </c>
      <c r="G5568" s="209" t="s">
        <v>21</v>
      </c>
      <c r="H5568" s="209" t="s">
        <v>192</v>
      </c>
      <c r="I5568" s="210"/>
    </row>
    <row r="5569" spans="1:9" x14ac:dyDescent="0.25">
      <c r="A5569" s="74"/>
      <c r="B5569" s="45">
        <v>2142</v>
      </c>
      <c r="C5569" s="64" t="s">
        <v>2141</v>
      </c>
      <c r="D5569" s="74"/>
      <c r="E5569" s="208" t="s">
        <v>172</v>
      </c>
      <c r="F5569" s="209" t="s">
        <v>21</v>
      </c>
      <c r="G5569" s="209" t="s">
        <v>21</v>
      </c>
      <c r="H5569" s="209" t="s">
        <v>186</v>
      </c>
      <c r="I5569" s="210"/>
    </row>
    <row r="5570" spans="1:9" x14ac:dyDescent="0.25">
      <c r="A5570" s="74"/>
      <c r="B5570" s="45">
        <v>2143</v>
      </c>
      <c r="C5570" s="64" t="s">
        <v>1986</v>
      </c>
      <c r="D5570" s="74"/>
      <c r="E5570" s="208" t="s">
        <v>172</v>
      </c>
      <c r="F5570" s="209" t="s">
        <v>21</v>
      </c>
      <c r="G5570" s="209" t="s">
        <v>21</v>
      </c>
      <c r="H5570" s="209" t="s">
        <v>186</v>
      </c>
      <c r="I5570" s="210"/>
    </row>
    <row r="5571" spans="1:9" x14ac:dyDescent="0.25">
      <c r="A5571" s="74"/>
      <c r="B5571" s="45">
        <v>2144</v>
      </c>
      <c r="C5571" s="64" t="s">
        <v>2142</v>
      </c>
      <c r="D5571" s="74"/>
      <c r="E5571" s="208" t="s">
        <v>171</v>
      </c>
      <c r="F5571" s="209" t="s">
        <v>21</v>
      </c>
      <c r="G5571" s="209" t="s">
        <v>21</v>
      </c>
      <c r="H5571" s="209" t="s">
        <v>272</v>
      </c>
      <c r="I5571" s="210"/>
    </row>
    <row r="5572" spans="1:9" x14ac:dyDescent="0.25">
      <c r="A5572" s="74"/>
      <c r="B5572" s="45">
        <v>2145</v>
      </c>
      <c r="C5572" s="64" t="s">
        <v>2143</v>
      </c>
      <c r="D5572" s="74"/>
      <c r="E5572" s="208" t="s">
        <v>159</v>
      </c>
      <c r="F5572" s="209" t="s">
        <v>21</v>
      </c>
      <c r="G5572" s="209" t="s">
        <v>21</v>
      </c>
      <c r="H5572" s="209" t="s">
        <v>272</v>
      </c>
      <c r="I5572" s="210"/>
    </row>
    <row r="5573" spans="1:9" x14ac:dyDescent="0.25">
      <c r="A5573" s="74"/>
      <c r="B5573" s="45">
        <v>2146</v>
      </c>
      <c r="C5573" s="64" t="s">
        <v>2060</v>
      </c>
      <c r="D5573" s="74"/>
      <c r="E5573" s="208" t="s">
        <v>159</v>
      </c>
      <c r="F5573" s="209" t="s">
        <v>21</v>
      </c>
      <c r="G5573" s="209" t="s">
        <v>21</v>
      </c>
      <c r="H5573" s="209" t="s">
        <v>272</v>
      </c>
      <c r="I5573" s="210"/>
    </row>
    <row r="5574" spans="1:9" x14ac:dyDescent="0.25">
      <c r="A5574" s="74"/>
      <c r="B5574" s="45">
        <v>2147</v>
      </c>
      <c r="C5574" s="64" t="s">
        <v>1710</v>
      </c>
      <c r="D5574" s="74"/>
      <c r="E5574" s="208" t="s">
        <v>171</v>
      </c>
      <c r="F5574" s="209" t="s">
        <v>21</v>
      </c>
      <c r="G5574" s="209" t="s">
        <v>21</v>
      </c>
      <c r="H5574" s="209" t="s">
        <v>272</v>
      </c>
      <c r="I5574" s="210"/>
    </row>
    <row r="5575" spans="1:9" x14ac:dyDescent="0.25">
      <c r="A5575" s="74"/>
      <c r="B5575" s="45">
        <v>2148</v>
      </c>
      <c r="C5575" s="64" t="s">
        <v>1582</v>
      </c>
      <c r="D5575" s="74"/>
      <c r="E5575" s="208" t="s">
        <v>171</v>
      </c>
      <c r="F5575" s="209" t="s">
        <v>21</v>
      </c>
      <c r="G5575" s="209" t="s">
        <v>21</v>
      </c>
      <c r="H5575" s="209" t="s">
        <v>272</v>
      </c>
      <c r="I5575" s="210"/>
    </row>
    <row r="5576" spans="1:9" x14ac:dyDescent="0.25">
      <c r="A5576" s="74"/>
      <c r="B5576" s="45">
        <v>1105</v>
      </c>
      <c r="C5576" s="64" t="s">
        <v>1514</v>
      </c>
      <c r="D5576" s="74"/>
      <c r="E5576" s="208" t="s">
        <v>134</v>
      </c>
      <c r="F5576" s="209" t="s">
        <v>21</v>
      </c>
      <c r="G5576" s="209" t="s">
        <v>21</v>
      </c>
      <c r="H5576" s="209" t="s">
        <v>198</v>
      </c>
      <c r="I5576" s="210"/>
    </row>
    <row r="5577" spans="1:9" x14ac:dyDescent="0.25">
      <c r="A5577" s="74"/>
      <c r="B5577" s="45">
        <v>2149</v>
      </c>
      <c r="C5577" s="64" t="s">
        <v>1986</v>
      </c>
      <c r="D5577" s="74"/>
      <c r="E5577" s="208" t="s">
        <v>134</v>
      </c>
      <c r="F5577" s="209" t="s">
        <v>21</v>
      </c>
      <c r="G5577" s="209" t="s">
        <v>21</v>
      </c>
      <c r="H5577" s="209" t="s">
        <v>272</v>
      </c>
      <c r="I5577" s="210"/>
    </row>
    <row r="5578" spans="1:9" x14ac:dyDescent="0.25">
      <c r="A5578" s="74"/>
      <c r="B5578" s="45">
        <v>2149</v>
      </c>
      <c r="C5578" s="64" t="s">
        <v>1986</v>
      </c>
      <c r="D5578" s="74"/>
      <c r="E5578" s="208" t="s">
        <v>134</v>
      </c>
      <c r="F5578" s="209" t="s">
        <v>21</v>
      </c>
      <c r="G5578" s="209" t="s">
        <v>21</v>
      </c>
      <c r="H5578" s="209" t="s">
        <v>272</v>
      </c>
      <c r="I5578" s="210"/>
    </row>
    <row r="5579" spans="1:9" x14ac:dyDescent="0.25">
      <c r="A5579" s="74"/>
      <c r="B5579" s="45">
        <v>1104</v>
      </c>
      <c r="C5579" s="64" t="s">
        <v>1513</v>
      </c>
      <c r="D5579" s="74"/>
      <c r="E5579" s="208" t="s">
        <v>134</v>
      </c>
      <c r="F5579" s="209" t="s">
        <v>21</v>
      </c>
      <c r="G5579" s="209" t="s">
        <v>21</v>
      </c>
      <c r="H5579" s="209" t="s">
        <v>192</v>
      </c>
      <c r="I5579" s="210"/>
    </row>
    <row r="5580" spans="1:9" x14ac:dyDescent="0.25">
      <c r="A5580" s="74"/>
      <c r="B5580" s="45">
        <v>2150</v>
      </c>
      <c r="C5580" s="64" t="s">
        <v>1967</v>
      </c>
      <c r="D5580" s="74"/>
      <c r="E5580" s="208" t="s">
        <v>130</v>
      </c>
      <c r="F5580" s="209" t="s">
        <v>21</v>
      </c>
      <c r="G5580" s="209" t="s">
        <v>21</v>
      </c>
      <c r="H5580" s="209" t="s">
        <v>189</v>
      </c>
      <c r="I5580" s="210"/>
    </row>
    <row r="5581" spans="1:9" x14ac:dyDescent="0.25">
      <c r="A5581" s="74"/>
      <c r="B5581" s="45">
        <v>2151</v>
      </c>
      <c r="C5581" s="64" t="s">
        <v>2001</v>
      </c>
      <c r="D5581" s="74"/>
      <c r="E5581" s="208" t="s">
        <v>130</v>
      </c>
      <c r="F5581" s="209" t="s">
        <v>21</v>
      </c>
      <c r="G5581" s="209" t="s">
        <v>21</v>
      </c>
      <c r="H5581" s="209" t="s">
        <v>189</v>
      </c>
      <c r="I5581" s="210"/>
    </row>
    <row r="5582" spans="1:9" x14ac:dyDescent="0.25">
      <c r="A5582" s="74"/>
      <c r="B5582" s="45">
        <v>2152</v>
      </c>
      <c r="C5582" s="64" t="s">
        <v>2144</v>
      </c>
      <c r="D5582" s="74"/>
      <c r="E5582" s="208" t="s">
        <v>147</v>
      </c>
      <c r="F5582" s="209" t="s">
        <v>21</v>
      </c>
      <c r="G5582" s="209" t="s">
        <v>21</v>
      </c>
      <c r="H5582" s="209" t="s">
        <v>16</v>
      </c>
      <c r="I5582" s="210"/>
    </row>
    <row r="5583" spans="1:9" x14ac:dyDescent="0.25">
      <c r="A5583" s="74"/>
      <c r="B5583" s="45">
        <v>1109</v>
      </c>
      <c r="C5583" s="64" t="s">
        <v>1518</v>
      </c>
      <c r="D5583" s="74"/>
      <c r="E5583" s="208" t="s">
        <v>147</v>
      </c>
      <c r="F5583" s="209" t="s">
        <v>21</v>
      </c>
      <c r="G5583" s="209" t="s">
        <v>21</v>
      </c>
      <c r="H5583" s="209" t="s">
        <v>192</v>
      </c>
      <c r="I5583" s="210"/>
    </row>
    <row r="5584" spans="1:9" x14ac:dyDescent="0.25">
      <c r="A5584" s="74"/>
      <c r="B5584" s="45">
        <v>2153</v>
      </c>
      <c r="C5584" s="64" t="s">
        <v>1710</v>
      </c>
      <c r="D5584" s="74"/>
      <c r="E5584" s="208" t="s">
        <v>147</v>
      </c>
      <c r="F5584" s="209" t="s">
        <v>21</v>
      </c>
      <c r="G5584" s="209" t="s">
        <v>21</v>
      </c>
      <c r="H5584" s="209" t="s">
        <v>272</v>
      </c>
      <c r="I5584" s="210"/>
    </row>
    <row r="5585" spans="1:9" x14ac:dyDescent="0.25">
      <c r="A5585" s="74"/>
      <c r="B5585" s="45">
        <v>2154</v>
      </c>
      <c r="C5585" s="64" t="s">
        <v>1866</v>
      </c>
      <c r="D5585" s="74"/>
      <c r="E5585" s="208" t="s">
        <v>147</v>
      </c>
      <c r="F5585" s="209" t="s">
        <v>21</v>
      </c>
      <c r="G5585" s="209" t="s">
        <v>21</v>
      </c>
      <c r="H5585" s="209" t="s">
        <v>272</v>
      </c>
      <c r="I5585" s="210"/>
    </row>
    <row r="5586" spans="1:9" x14ac:dyDescent="0.25">
      <c r="A5586" s="74"/>
      <c r="B5586" s="45">
        <v>1317</v>
      </c>
      <c r="C5586" s="64" t="s">
        <v>1713</v>
      </c>
      <c r="D5586" s="74"/>
      <c r="E5586" s="208" t="s">
        <v>164</v>
      </c>
      <c r="F5586" s="209" t="s">
        <v>21</v>
      </c>
      <c r="G5586" s="209" t="s">
        <v>21</v>
      </c>
      <c r="H5586" s="209" t="s">
        <v>272</v>
      </c>
      <c r="I5586" s="210"/>
    </row>
    <row r="5587" spans="1:9" x14ac:dyDescent="0.25">
      <c r="A5587" s="74"/>
      <c r="B5587" s="45">
        <v>1317</v>
      </c>
      <c r="C5587" s="64" t="s">
        <v>1713</v>
      </c>
      <c r="D5587" s="74"/>
      <c r="E5587" s="208" t="s">
        <v>164</v>
      </c>
      <c r="F5587" s="209" t="s">
        <v>21</v>
      </c>
      <c r="G5587" s="209" t="s">
        <v>21</v>
      </c>
      <c r="H5587" s="209" t="s">
        <v>272</v>
      </c>
      <c r="I5587" s="210"/>
    </row>
    <row r="5588" spans="1:9" x14ac:dyDescent="0.25">
      <c r="A5588" s="74"/>
      <c r="B5588" s="45">
        <v>1317</v>
      </c>
      <c r="C5588" s="64" t="s">
        <v>1713</v>
      </c>
      <c r="D5588" s="74"/>
      <c r="E5588" s="208" t="s">
        <v>164</v>
      </c>
      <c r="F5588" s="209" t="s">
        <v>21</v>
      </c>
      <c r="G5588" s="209" t="s">
        <v>21</v>
      </c>
      <c r="H5588" s="209" t="s">
        <v>272</v>
      </c>
      <c r="I5588" s="210"/>
    </row>
    <row r="5589" spans="1:9" x14ac:dyDescent="0.25">
      <c r="A5589" s="74"/>
      <c r="B5589" s="45">
        <v>1317</v>
      </c>
      <c r="C5589" s="64" t="s">
        <v>1713</v>
      </c>
      <c r="D5589" s="74"/>
      <c r="E5589" s="208" t="s">
        <v>164</v>
      </c>
      <c r="F5589" s="209" t="s">
        <v>21</v>
      </c>
      <c r="G5589" s="209" t="s">
        <v>21</v>
      </c>
      <c r="H5589" s="209" t="s">
        <v>272</v>
      </c>
      <c r="I5589" s="210"/>
    </row>
    <row r="5590" spans="1:9" x14ac:dyDescent="0.25">
      <c r="A5590" s="74"/>
      <c r="B5590" s="45">
        <v>2155</v>
      </c>
      <c r="C5590" s="64" t="s">
        <v>1988</v>
      </c>
      <c r="D5590" s="74"/>
      <c r="E5590" s="208" t="s">
        <v>164</v>
      </c>
      <c r="F5590" s="209" t="s">
        <v>21</v>
      </c>
      <c r="G5590" s="209" t="s">
        <v>21</v>
      </c>
      <c r="H5590" s="209" t="s">
        <v>272</v>
      </c>
      <c r="I5590" s="210"/>
    </row>
    <row r="5591" spans="1:9" x14ac:dyDescent="0.25">
      <c r="A5591" s="74"/>
      <c r="B5591" s="45">
        <v>2155</v>
      </c>
      <c r="C5591" s="64" t="s">
        <v>1988</v>
      </c>
      <c r="D5591" s="74"/>
      <c r="E5591" s="208" t="s">
        <v>164</v>
      </c>
      <c r="F5591" s="209" t="s">
        <v>21</v>
      </c>
      <c r="G5591" s="209" t="s">
        <v>21</v>
      </c>
      <c r="H5591" s="209" t="s">
        <v>272</v>
      </c>
      <c r="I5591" s="210"/>
    </row>
    <row r="5592" spans="1:9" x14ac:dyDescent="0.25">
      <c r="A5592" s="74"/>
      <c r="B5592" s="45">
        <v>2155</v>
      </c>
      <c r="C5592" s="64" t="s">
        <v>1988</v>
      </c>
      <c r="D5592" s="74"/>
      <c r="E5592" s="208" t="s">
        <v>164</v>
      </c>
      <c r="F5592" s="209" t="s">
        <v>21</v>
      </c>
      <c r="G5592" s="209" t="s">
        <v>21</v>
      </c>
      <c r="H5592" s="209" t="s">
        <v>272</v>
      </c>
      <c r="I5592" s="210"/>
    </row>
    <row r="5593" spans="1:9" x14ac:dyDescent="0.25">
      <c r="A5593" s="74"/>
      <c r="B5593" s="45">
        <v>2155</v>
      </c>
      <c r="C5593" s="64" t="s">
        <v>1988</v>
      </c>
      <c r="D5593" s="74"/>
      <c r="E5593" s="208" t="s">
        <v>164</v>
      </c>
      <c r="F5593" s="209" t="s">
        <v>21</v>
      </c>
      <c r="G5593" s="209" t="s">
        <v>21</v>
      </c>
      <c r="H5593" s="209" t="s">
        <v>272</v>
      </c>
      <c r="I5593" s="210"/>
    </row>
    <row r="5594" spans="1:9" x14ac:dyDescent="0.25">
      <c r="A5594" s="74"/>
      <c r="B5594" s="45">
        <v>2156</v>
      </c>
      <c r="C5594" s="64" t="s">
        <v>1866</v>
      </c>
      <c r="D5594" s="74"/>
      <c r="E5594" s="208" t="s">
        <v>164</v>
      </c>
      <c r="F5594" s="209" t="s">
        <v>21</v>
      </c>
      <c r="G5594" s="209" t="s">
        <v>21</v>
      </c>
      <c r="H5594" s="209" t="s">
        <v>272</v>
      </c>
      <c r="I5594" s="210"/>
    </row>
    <row r="5595" spans="1:9" x14ac:dyDescent="0.25">
      <c r="A5595" s="74"/>
      <c r="B5595" s="45">
        <v>2156</v>
      </c>
      <c r="C5595" s="64" t="s">
        <v>1866</v>
      </c>
      <c r="D5595" s="74"/>
      <c r="E5595" s="208" t="s">
        <v>164</v>
      </c>
      <c r="F5595" s="209" t="s">
        <v>21</v>
      </c>
      <c r="G5595" s="209" t="s">
        <v>21</v>
      </c>
      <c r="H5595" s="209" t="s">
        <v>272</v>
      </c>
      <c r="I5595" s="210"/>
    </row>
    <row r="5596" spans="1:9" x14ac:dyDescent="0.25">
      <c r="A5596" s="74"/>
      <c r="B5596" s="45">
        <v>2156</v>
      </c>
      <c r="C5596" s="64" t="s">
        <v>1866</v>
      </c>
      <c r="D5596" s="74"/>
      <c r="E5596" s="208" t="s">
        <v>164</v>
      </c>
      <c r="F5596" s="209" t="s">
        <v>21</v>
      </c>
      <c r="G5596" s="209" t="s">
        <v>21</v>
      </c>
      <c r="H5596" s="209" t="s">
        <v>272</v>
      </c>
      <c r="I5596" s="210"/>
    </row>
    <row r="5597" spans="1:9" x14ac:dyDescent="0.25">
      <c r="A5597" s="74"/>
      <c r="B5597" s="45">
        <v>2156</v>
      </c>
      <c r="C5597" s="64" t="s">
        <v>1866</v>
      </c>
      <c r="D5597" s="74"/>
      <c r="E5597" s="208" t="s">
        <v>164</v>
      </c>
      <c r="F5597" s="209" t="s">
        <v>21</v>
      </c>
      <c r="G5597" s="209" t="s">
        <v>21</v>
      </c>
      <c r="H5597" s="209" t="s">
        <v>272</v>
      </c>
      <c r="I5597" s="210"/>
    </row>
    <row r="5598" spans="1:9" x14ac:dyDescent="0.25">
      <c r="A5598" s="74"/>
      <c r="B5598" s="45">
        <v>2157</v>
      </c>
      <c r="C5598" s="64" t="s">
        <v>2060</v>
      </c>
      <c r="D5598" s="74"/>
      <c r="E5598" s="208" t="s">
        <v>164</v>
      </c>
      <c r="F5598" s="209" t="s">
        <v>21</v>
      </c>
      <c r="G5598" s="209" t="s">
        <v>21</v>
      </c>
      <c r="H5598" s="209" t="s">
        <v>272</v>
      </c>
      <c r="I5598" s="210"/>
    </row>
    <row r="5599" spans="1:9" x14ac:dyDescent="0.25">
      <c r="A5599" s="74"/>
      <c r="B5599" s="45">
        <v>2157</v>
      </c>
      <c r="C5599" s="64" t="s">
        <v>2060</v>
      </c>
      <c r="D5599" s="74"/>
      <c r="E5599" s="208" t="s">
        <v>164</v>
      </c>
      <c r="F5599" s="209" t="s">
        <v>21</v>
      </c>
      <c r="G5599" s="209" t="s">
        <v>21</v>
      </c>
      <c r="H5599" s="209" t="s">
        <v>272</v>
      </c>
      <c r="I5599" s="210"/>
    </row>
    <row r="5600" spans="1:9" x14ac:dyDescent="0.25">
      <c r="A5600" s="74"/>
      <c r="B5600" s="45">
        <v>2157</v>
      </c>
      <c r="C5600" s="64" t="s">
        <v>2060</v>
      </c>
      <c r="D5600" s="74"/>
      <c r="E5600" s="208" t="s">
        <v>164</v>
      </c>
      <c r="F5600" s="209" t="s">
        <v>21</v>
      </c>
      <c r="G5600" s="209" t="s">
        <v>21</v>
      </c>
      <c r="H5600" s="209" t="s">
        <v>272</v>
      </c>
      <c r="I5600" s="210"/>
    </row>
    <row r="5601" spans="1:9" x14ac:dyDescent="0.25">
      <c r="A5601" s="74"/>
      <c r="B5601" s="45">
        <v>2157</v>
      </c>
      <c r="C5601" s="64" t="s">
        <v>2060</v>
      </c>
      <c r="D5601" s="74"/>
      <c r="E5601" s="208" t="s">
        <v>164</v>
      </c>
      <c r="F5601" s="209" t="s">
        <v>21</v>
      </c>
      <c r="G5601" s="209" t="s">
        <v>21</v>
      </c>
      <c r="H5601" s="209" t="s">
        <v>272</v>
      </c>
      <c r="I5601" s="210"/>
    </row>
    <row r="5602" spans="1:9" x14ac:dyDescent="0.25">
      <c r="A5602" s="74"/>
      <c r="B5602" s="45">
        <v>2158</v>
      </c>
      <c r="C5602" s="64" t="s">
        <v>2068</v>
      </c>
      <c r="D5602" s="74"/>
      <c r="E5602" s="208" t="s">
        <v>164</v>
      </c>
      <c r="F5602" s="209" t="s">
        <v>21</v>
      </c>
      <c r="G5602" s="209" t="s">
        <v>21</v>
      </c>
      <c r="H5602" s="209" t="s">
        <v>272</v>
      </c>
      <c r="I5602" s="210"/>
    </row>
    <row r="5603" spans="1:9" x14ac:dyDescent="0.25">
      <c r="A5603" s="74"/>
      <c r="B5603" s="45">
        <v>2158</v>
      </c>
      <c r="C5603" s="64" t="s">
        <v>2068</v>
      </c>
      <c r="D5603" s="74"/>
      <c r="E5603" s="208" t="s">
        <v>164</v>
      </c>
      <c r="F5603" s="209" t="s">
        <v>21</v>
      </c>
      <c r="G5603" s="209" t="s">
        <v>21</v>
      </c>
      <c r="H5603" s="209" t="s">
        <v>272</v>
      </c>
      <c r="I5603" s="210"/>
    </row>
    <row r="5604" spans="1:9" x14ac:dyDescent="0.25">
      <c r="A5604" s="74"/>
      <c r="B5604" s="45">
        <v>2158</v>
      </c>
      <c r="C5604" s="64" t="s">
        <v>2068</v>
      </c>
      <c r="D5604" s="74"/>
      <c r="E5604" s="208" t="s">
        <v>164</v>
      </c>
      <c r="F5604" s="209" t="s">
        <v>21</v>
      </c>
      <c r="G5604" s="209" t="s">
        <v>21</v>
      </c>
      <c r="H5604" s="209" t="s">
        <v>272</v>
      </c>
      <c r="I5604" s="210"/>
    </row>
    <row r="5605" spans="1:9" x14ac:dyDescent="0.25">
      <c r="A5605" s="74"/>
      <c r="B5605" s="45">
        <v>2158</v>
      </c>
      <c r="C5605" s="64" t="s">
        <v>2068</v>
      </c>
      <c r="D5605" s="74"/>
      <c r="E5605" s="208" t="s">
        <v>164</v>
      </c>
      <c r="F5605" s="209" t="s">
        <v>21</v>
      </c>
      <c r="G5605" s="209" t="s">
        <v>21</v>
      </c>
      <c r="H5605" s="209" t="s">
        <v>272</v>
      </c>
      <c r="I5605" s="210"/>
    </row>
    <row r="5606" spans="1:9" x14ac:dyDescent="0.25">
      <c r="A5606" s="74"/>
      <c r="B5606" s="45">
        <v>2159</v>
      </c>
      <c r="C5606" s="64" t="s">
        <v>1922</v>
      </c>
      <c r="D5606" s="74"/>
      <c r="E5606" s="208" t="s">
        <v>164</v>
      </c>
      <c r="F5606" s="209" t="s">
        <v>21</v>
      </c>
      <c r="G5606" s="209" t="s">
        <v>21</v>
      </c>
      <c r="H5606" s="209" t="s">
        <v>272</v>
      </c>
      <c r="I5606" s="210"/>
    </row>
    <row r="5607" spans="1:9" x14ac:dyDescent="0.25">
      <c r="A5607" s="74"/>
      <c r="B5607" s="45">
        <v>2159</v>
      </c>
      <c r="C5607" s="64" t="s">
        <v>1922</v>
      </c>
      <c r="D5607" s="74"/>
      <c r="E5607" s="208" t="s">
        <v>164</v>
      </c>
      <c r="F5607" s="209" t="s">
        <v>21</v>
      </c>
      <c r="G5607" s="209" t="s">
        <v>21</v>
      </c>
      <c r="H5607" s="209" t="s">
        <v>272</v>
      </c>
      <c r="I5607" s="210"/>
    </row>
    <row r="5608" spans="1:9" x14ac:dyDescent="0.25">
      <c r="A5608" s="74"/>
      <c r="B5608" s="45">
        <v>2159</v>
      </c>
      <c r="C5608" s="64" t="s">
        <v>1922</v>
      </c>
      <c r="D5608" s="74"/>
      <c r="E5608" s="208" t="s">
        <v>164</v>
      </c>
      <c r="F5608" s="209" t="s">
        <v>21</v>
      </c>
      <c r="G5608" s="209" t="s">
        <v>21</v>
      </c>
      <c r="H5608" s="209" t="s">
        <v>272</v>
      </c>
      <c r="I5608" s="210"/>
    </row>
    <row r="5609" spans="1:9" x14ac:dyDescent="0.25">
      <c r="A5609" s="74"/>
      <c r="B5609" s="45">
        <v>2159</v>
      </c>
      <c r="C5609" s="64" t="s">
        <v>1922</v>
      </c>
      <c r="D5609" s="74"/>
      <c r="E5609" s="208" t="s">
        <v>164</v>
      </c>
      <c r="F5609" s="209" t="s">
        <v>21</v>
      </c>
      <c r="G5609" s="209" t="s">
        <v>21</v>
      </c>
      <c r="H5609" s="209" t="s">
        <v>272</v>
      </c>
      <c r="I5609" s="210"/>
    </row>
    <row r="5610" spans="1:9" x14ac:dyDescent="0.25">
      <c r="A5610" s="74"/>
      <c r="B5610" s="45">
        <v>2160</v>
      </c>
      <c r="C5610" s="64" t="s">
        <v>2145</v>
      </c>
      <c r="D5610" s="74"/>
      <c r="E5610" s="208" t="s">
        <v>164</v>
      </c>
      <c r="F5610" s="209" t="s">
        <v>21</v>
      </c>
      <c r="G5610" s="209" t="s">
        <v>21</v>
      </c>
      <c r="H5610" s="209" t="s">
        <v>272</v>
      </c>
      <c r="I5610" s="210"/>
    </row>
    <row r="5611" spans="1:9" x14ac:dyDescent="0.25">
      <c r="A5611" s="74"/>
      <c r="B5611" s="45">
        <v>715</v>
      </c>
      <c r="C5611" s="64" t="s">
        <v>1124</v>
      </c>
      <c r="D5611" s="74"/>
      <c r="E5611" s="208" t="s">
        <v>138</v>
      </c>
      <c r="F5611" s="209" t="s">
        <v>21</v>
      </c>
      <c r="G5611" s="209" t="s">
        <v>21</v>
      </c>
      <c r="H5611" s="209" t="s">
        <v>198</v>
      </c>
      <c r="I5611" s="210"/>
    </row>
    <row r="5612" spans="1:9" x14ac:dyDescent="0.25">
      <c r="A5612" s="74"/>
      <c r="B5612" s="45">
        <v>722</v>
      </c>
      <c r="C5612" s="64" t="s">
        <v>1131</v>
      </c>
      <c r="D5612" s="74"/>
      <c r="E5612" s="208" t="s">
        <v>138</v>
      </c>
      <c r="F5612" s="209" t="s">
        <v>21</v>
      </c>
      <c r="G5612" s="209" t="s">
        <v>21</v>
      </c>
      <c r="H5612" s="209" t="s">
        <v>192</v>
      </c>
      <c r="I5612" s="210"/>
    </row>
    <row r="1041466" spans="1:4" x14ac:dyDescent="0.25">
      <c r="A1041466" s="34"/>
      <c r="D1041466" s="34"/>
    </row>
    <row r="1041856" spans="1:4" x14ac:dyDescent="0.25">
      <c r="A1041856" s="34"/>
      <c r="D1041856" s="34"/>
    </row>
    <row r="1041919" spans="1:4" x14ac:dyDescent="0.25">
      <c r="A1041919" s="34"/>
      <c r="D1041919" s="34"/>
    </row>
    <row r="1041927" spans="1:4" x14ac:dyDescent="0.25">
      <c r="A1041927" s="34"/>
      <c r="D1041927" s="34"/>
    </row>
    <row r="1041951" spans="1:4" x14ac:dyDescent="0.25">
      <c r="A1041951" s="34"/>
      <c r="D1041951" s="34"/>
    </row>
  </sheetData>
  <autoFilter ref="A1:I5612"/>
  <conditionalFormatting sqref="B2:B1156">
    <cfRule type="expression" dxfId="72" priority="4">
      <formula>OR(AND(NOT(ISBLANK($Q2)),ISBLANK($R2),$T2&lt;&gt;"вакансия"),AND(OR(NOT(ISBLANK($R2)),NOT(ISBLANK($S2))),OR($T2="вакансия",ISBLANK($T2))))</formula>
    </cfRule>
  </conditionalFormatting>
  <conditionalFormatting sqref="C2:C1156">
    <cfRule type="expression" dxfId="71" priority="3">
      <formula>OR(AND(NOT(ISBLANK($Q2)),ISBLANK($R2),$U2&lt;&gt;"вакансия"),AND(OR(NOT(ISBLANK($R2)),NOT(ISBLANK($S2))),OR($U2="вакансия",ISBLANK($U2))))</formula>
    </cfRule>
  </conditionalFormatting>
  <conditionalFormatting sqref="B1157:B5612">
    <cfRule type="expression" dxfId="70" priority="2">
      <formula>OR(AND(NOT(ISBLANK($Q1157)),ISBLANK($R1157),$T1157&lt;&gt;"вакансия"),AND(OR(NOT(ISBLANK($R1157)),NOT(ISBLANK($S1157))),OR($T1157="вакансия",ISBLANK($T1157))))</formula>
    </cfRule>
  </conditionalFormatting>
  <conditionalFormatting sqref="C1157:C5612">
    <cfRule type="expression" dxfId="69" priority="1">
      <formula>OR(AND(NOT(ISBLANK($Q1157)),ISBLANK($R1157),$U1157&lt;&gt;"вакансия"),AND(OR(NOT(ISBLANK($R1157)),NOT(ISBLANK($S1157))),OR($U1157="вакансия",ISBLANK($U1157))))</formula>
    </cfRule>
  </conditionalFormatting>
  <dataValidations disablePrompts="1" count="1">
    <dataValidation operator="greaterThan" allowBlank="1" showInputMessage="1" showErrorMessage="1" sqref="A2:A1156"/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'Списки данных'!$C$2:$C$58</xm:f>
          </x14:formula1>
          <xm:sqref>E2:E1156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theme="0"/>
  </sheetPr>
  <dimension ref="A1:AE11"/>
  <sheetViews>
    <sheetView workbookViewId="0">
      <selection activeCell="D3" sqref="D3"/>
    </sheetView>
  </sheetViews>
  <sheetFormatPr defaultColWidth="9.140625" defaultRowHeight="15" x14ac:dyDescent="0.25"/>
  <cols>
    <col min="1" max="1" width="9.140625" style="113" customWidth="1"/>
    <col min="2" max="2" width="35" style="113" customWidth="1"/>
    <col min="3" max="3" width="11.42578125" style="113" customWidth="1"/>
    <col min="4" max="5" width="13.7109375" style="113" customWidth="1"/>
    <col min="6" max="7" width="13.7109375" customWidth="1"/>
    <col min="8" max="13" width="13.7109375" style="113" customWidth="1"/>
    <col min="14" max="15" width="13.7109375" customWidth="1"/>
    <col min="16" max="16" width="9.140625" customWidth="1"/>
    <col min="17" max="17" width="10.85546875" style="56" hidden="1" customWidth="1"/>
    <col min="18" max="18" width="30.85546875" hidden="1" customWidth="1"/>
    <col min="19" max="19" width="9.140625" hidden="1" customWidth="1"/>
    <col min="20" max="31" width="13.7109375" style="113" hidden="1" customWidth="1"/>
    <col min="32" max="16384" width="9.140625" style="113"/>
  </cols>
  <sheetData>
    <row r="1" spans="1:31" ht="38.25" x14ac:dyDescent="0.2">
      <c r="A1" s="109" t="s">
        <v>67</v>
      </c>
      <c r="B1" s="110" t="s">
        <v>68</v>
      </c>
      <c r="C1" s="110" t="s">
        <v>69</v>
      </c>
      <c r="D1" s="111" t="s">
        <v>111</v>
      </c>
      <c r="E1" s="111" t="s">
        <v>70</v>
      </c>
      <c r="F1" s="111" t="s">
        <v>112</v>
      </c>
      <c r="G1" s="111" t="s">
        <v>71</v>
      </c>
      <c r="H1" s="111" t="s">
        <v>113</v>
      </c>
      <c r="I1" s="111" t="s">
        <v>72</v>
      </c>
      <c r="J1" s="111" t="s">
        <v>114</v>
      </c>
      <c r="K1" s="111" t="s">
        <v>73</v>
      </c>
      <c r="L1" s="111" t="s">
        <v>74</v>
      </c>
      <c r="M1" s="111" t="s">
        <v>75</v>
      </c>
      <c r="N1" s="111" t="s">
        <v>76</v>
      </c>
      <c r="O1" s="112" t="s">
        <v>77</v>
      </c>
      <c r="P1" s="113"/>
      <c r="Q1" s="141" t="str">
        <f>Защищенность[[#Headers],[Год]]</f>
        <v>Год</v>
      </c>
      <c r="R1" s="141" t="str">
        <f>Защищенность[[#Headers],[ФН]]</f>
        <v>ФН</v>
      </c>
      <c r="S1" s="142" t="str">
        <f>Защищенность[[#Headers],[УУ]]</f>
        <v>УУ</v>
      </c>
      <c r="T1" s="142" t="str">
        <f>Защищенность[[#Headers],[Высокая защищенность1]]</f>
        <v>Высокая защищенность1</v>
      </c>
      <c r="U1" s="142" t="str">
        <f>Защищенность[[#Headers],[Высокая защищенность]]</f>
        <v>Высокая защищенность</v>
      </c>
      <c r="V1" s="142" t="str">
        <f>Защищенность[[#Headers],[Средняя защищенность1]]</f>
        <v>Средняя защищенность1</v>
      </c>
      <c r="W1" s="142" t="str">
        <f>Защищенность[[#Headers],[Средняя защищенность]]</f>
        <v>Средняя защищенность</v>
      </c>
      <c r="X1" s="142" t="str">
        <f>Защищенность[[#Headers],[Низкая защищенность1]]</f>
        <v>Низкая защищенность1</v>
      </c>
      <c r="Y1" s="142" t="str">
        <f>Защищенность[[#Headers],[Низкая защищенность]]</f>
        <v>Низкая защищенность</v>
      </c>
      <c r="Z1" s="142" t="str">
        <f>Защищенность[[#Headers],[Незащищенные должности1]]</f>
        <v>Незащищенные должности1</v>
      </c>
      <c r="AA1" s="142" t="str">
        <f>Защищенность[[#Headers],[Незащищенные должности]]</f>
        <v>Незащищенные должности</v>
      </c>
      <c r="AB1" s="142" t="str">
        <f>Защищенность[[#Headers],[Должностей рассмотрено (всего)]]</f>
        <v>Должностей рассмотрено (всего)</v>
      </c>
      <c r="AC1" s="142" t="str">
        <f>Защищенность[[#Headers],[Должностей защищено (всего)]]</f>
        <v>Должностей защищено (всего)</v>
      </c>
      <c r="AD1" s="142" t="str">
        <f>Защищенность[[#Headers],[Плановая защищенность]]</f>
        <v>Плановая защищенность</v>
      </c>
      <c r="AE1" s="142" t="str">
        <f>Защищенность[[#Headers],[Фактическая защищенность]]</f>
        <v>Фактическая защищенность</v>
      </c>
    </row>
    <row r="2" spans="1:31" ht="12.75" x14ac:dyDescent="0.2">
      <c r="A2" s="114">
        <f>КПЭ!$W$1</f>
        <v>2023</v>
      </c>
      <c r="B2" s="115" t="str">
        <f>КПЭ!$B$2</f>
        <v>все ФН</v>
      </c>
      <c r="C2" s="116" t="s">
        <v>78</v>
      </c>
      <c r="D2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должности],"высокий"),SUMIFS(База_КР_КК[Кол-во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должности],"высокий"))</f>
        <v>2</v>
      </c>
      <c r="E2" s="118">
        <f>IFERROR(Защищенность[[#This Row],[Высокая защищенность1]]/Защищенность[[#This Row],[Должностей рассмотрено (всего)]],"-")</f>
        <v>0.25</v>
      </c>
      <c r="F2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должности],"средний"),SUMIFS(База_КР_КК[Кол-во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должности],"средний"))</f>
        <v>5</v>
      </c>
      <c r="G2" s="118">
        <f>IFERROR(Защищенность[[#This Row],[Средняя защищенность1]]/Защищенность[[#This Row],[Должностей рассмотрено (всего)]],"-")</f>
        <v>0.625</v>
      </c>
      <c r="H2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должности],"низкий"),SUMIFS(База_КР_КК[Кол-во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должности],"низкий"))</f>
        <v>1</v>
      </c>
      <c r="I2" s="118">
        <f>IFERROR(Защищенность[[#This Row],[Низкая защищенность1]]/Защищенность[[#This Row],[Должностей рассмотрено (всего)]],"-")</f>
        <v>0.125</v>
      </c>
      <c r="J2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должности],"не защищена"))</f>
        <v>0</v>
      </c>
      <c r="K2" s="118">
        <f>IFERROR(Защищенность[[#This Row],[Незащищенные должности1]]/Защищенность[[#This Row],[Должностей рассмотрено (всего)]],"-")</f>
        <v>0</v>
      </c>
      <c r="L2" s="117">
        <f>IF(Защищенность[[#This Row],[ФН]]="ВСЕ ФН",SUMIF(База_КР_КК[[Уровень должности ]],LEFT(Защищенность[[#This Row],[УУ]],1),База_КР_КК[Кол-во резервируемых должностей]),SUMIFS(База_КР_КК[Кол-во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Row],[ФН]]))</f>
        <v>8</v>
      </c>
      <c r="M2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должности],"&lt;&gt;не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должности],"&lt;&gt;не защищена"))</f>
        <v>8</v>
      </c>
      <c r="N2" s="118">
        <f>VLOOKUP(Защищенность[[#This Row],[Год]]&amp;Защищенность[[#Headers],[Плановая защищенность]],целевые_показатели[[Технический столбец]:[Значение плана]],2,0)</f>
        <v>0.8</v>
      </c>
      <c r="O2" s="118">
        <f>IFERROR(Защищенность[[#This Row],[Должностей защищено (всего)]]/Защищенность[[#This Row],[Должностей рассмотрено (всего)]],"-")</f>
        <v>1</v>
      </c>
      <c r="P2" s="113"/>
      <c r="Q2" s="97">
        <f>Защищенность[[#This Row],[Год]]</f>
        <v>2023</v>
      </c>
      <c r="R2" s="146" t="str">
        <f>Защищенность[[#This Row],[ФН]]</f>
        <v>все ФН</v>
      </c>
      <c r="S2" s="146" t="str">
        <f>Защищенность[[#This Row],[УУ]]</f>
        <v>3 УУ</v>
      </c>
      <c r="T2" s="144">
        <f>IF(Защищенность[[#This Row],[Высокая защищенность1]]=0,"",Защищенность[[#This Row],[Высокая защищенность1]])</f>
        <v>2</v>
      </c>
      <c r="U2" s="145">
        <f>IF(Защищенность[[#This Row],[Высокая защищенность]]=0,"-",Защищенность[[#This Row],[Высокая защищенность]])</f>
        <v>0.25</v>
      </c>
      <c r="V2" s="144">
        <f>IF(Защищенность[[#This Row],[Средняя защищенность1]]=0,"",Защищенность[[#This Row],[Средняя защищенность1]])</f>
        <v>5</v>
      </c>
      <c r="W2" s="145">
        <f>IF(Защищенность[[#This Row],[Средняя защищенность]]=0,"-",Защищенность[[#This Row],[Средняя защищенность]])</f>
        <v>0.625</v>
      </c>
      <c r="X2" s="144">
        <f>IF(Защищенность[[#This Row],[Низкая защищенность1]]=0,"",Защищенность[[#This Row],[Низкая защищенность1]])</f>
        <v>1</v>
      </c>
      <c r="Y2" s="145">
        <f>IF(Защищенность[[#This Row],[Низкая защищенность]]=0,"-",Защищенность[[#This Row],[Низкая защищенность]])</f>
        <v>0.125</v>
      </c>
      <c r="Z2" s="144" t="str">
        <f>IF(Защищенность[[#This Row],[Незащищенные должности1]]=0,"",Защищенность[[#This Row],[Незащищенные должности1]])</f>
        <v/>
      </c>
      <c r="AA2" s="145" t="str">
        <f>IF(Защищенность[[#This Row],[Незащищенные должности]]=0,"-",Защищенность[[#This Row],[Незащищенные должности]])</f>
        <v>-</v>
      </c>
      <c r="AB2" s="144">
        <f>IF(Защищенность[[#This Row],[Должностей рассмотрено (всего)]]=0,"",Защищенность[[#This Row],[Должностей рассмотрено (всего)]])</f>
        <v>8</v>
      </c>
      <c r="AC2" s="144">
        <f>IF(Защищенность[[#This Row],[Должностей защищено (всего)]]=0,"",Защищенность[[#This Row],[Должностей защищено (всего)]])</f>
        <v>8</v>
      </c>
      <c r="AD2" s="145">
        <f>Защищенность[[#This Row],[Плановая защищенность]]</f>
        <v>0.8</v>
      </c>
      <c r="AE2" s="219">
        <f>Защищенность[[#This Row],[Фактическая защищенность]]</f>
        <v>1</v>
      </c>
    </row>
    <row r="3" spans="1:31" ht="12.75" x14ac:dyDescent="0.2">
      <c r="A3" s="114">
        <f>КПЭ!$W$1</f>
        <v>2023</v>
      </c>
      <c r="B3" s="115" t="str">
        <f>КПЭ!$B$2</f>
        <v>все ФН</v>
      </c>
      <c r="C3" s="116" t="s">
        <v>79</v>
      </c>
      <c r="D3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должности],"высокий"),SUMIFS(База_КР_КК[Кол-во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должности],"высокий"))</f>
        <v>17</v>
      </c>
      <c r="E3" s="118">
        <f>IFERROR(Защищенность[[#This Row],[Высокая защищенность1]]/Защищенность[[#This Row],[Должностей рассмотрено (всего)]],"-")</f>
        <v>0.53125</v>
      </c>
      <c r="F3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должности],"средний"),SUMIFS(База_КР_КК[Кол-во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должности],"средний"))</f>
        <v>9</v>
      </c>
      <c r="G3" s="118">
        <f>IFERROR(Защищенность[[#This Row],[Средняя защищенность1]]/Защищенность[[#This Row],[Должностей рассмотрено (всего)]],"-")</f>
        <v>0.28125</v>
      </c>
      <c r="H3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должности],"низкий"),SUMIFS(База_КР_КК[Кол-во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должности],"низкий"))</f>
        <v>3</v>
      </c>
      <c r="I3" s="118">
        <f>IFERROR(Защищенность[[#This Row],[Низкая защищенность1]]/Защищенность[[#This Row],[Должностей рассмотрено (всего)]],"-")</f>
        <v>9.375E-2</v>
      </c>
      <c r="J3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должности],"не защищена"))</f>
        <v>3</v>
      </c>
      <c r="K3" s="118">
        <f>IFERROR(Защищенность[[#This Row],[Незащищенные должности1]]/Защищенность[[#This Row],[Должностей рассмотрено (всего)]],"-")</f>
        <v>9.375E-2</v>
      </c>
      <c r="L3" s="117">
        <f>IF(Защищенность[[#This Row],[ФН]]="ВСЕ ФН",SUMIF(База_КР_КК[[Уровень должности ]],LEFT(Защищенность[[#This Row],[УУ]],1),База_КР_КК[Кол-во резервируемых должностей]),SUMIFS(База_КР_КК[Кол-во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Row],[ФН]]))</f>
        <v>32</v>
      </c>
      <c r="M3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должности],"&lt;&gt;не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должности],"&lt;&gt;не защищена"))</f>
        <v>29</v>
      </c>
      <c r="N3" s="118">
        <f>VLOOKUP(Защищенность[[#This Row],[Год]]&amp;Защищенность[[#Headers],[Плановая защищенность]],целевые_показатели[[Технический столбец]:[Значение плана]],2,0)</f>
        <v>0.8</v>
      </c>
      <c r="O3" s="118">
        <f>IFERROR(Защищенность[[#This Row],[Должностей защищено (всего)]]/Защищенность[[#This Row],[Должностей рассмотрено (всего)]],"-")</f>
        <v>0.90625</v>
      </c>
      <c r="P3" s="113"/>
      <c r="Q3" s="97">
        <f>Защищенность[[#This Row],[Год]]</f>
        <v>2023</v>
      </c>
      <c r="R3" s="146" t="str">
        <f>Защищенность[[#This Row],[ФН]]</f>
        <v>все ФН</v>
      </c>
      <c r="S3" s="146" t="str">
        <f>Защищенность[[#This Row],[УУ]]</f>
        <v>4 УУ</v>
      </c>
      <c r="T3" s="144">
        <f>IF(Защищенность[[#This Row],[Высокая защищенность1]]=0,"",Защищенность[[#This Row],[Высокая защищенность1]])</f>
        <v>17</v>
      </c>
      <c r="U3" s="145">
        <f>IF(Защищенность[[#This Row],[Высокая защищенность]]=0,"-",Защищенность[[#This Row],[Высокая защищенность]])</f>
        <v>0.53125</v>
      </c>
      <c r="V3" s="144">
        <f>IF(Защищенность[[#This Row],[Средняя защищенность1]]=0,"",Защищенность[[#This Row],[Средняя защищенность1]])</f>
        <v>9</v>
      </c>
      <c r="W3" s="145">
        <f>IF(Защищенность[[#This Row],[Средняя защищенность]]=0,"-",Защищенность[[#This Row],[Средняя защищенность]])</f>
        <v>0.28125</v>
      </c>
      <c r="X3" s="144">
        <f>IF(Защищенность[[#This Row],[Низкая защищенность1]]=0,"",Защищенность[[#This Row],[Низкая защищенность1]])</f>
        <v>3</v>
      </c>
      <c r="Y3" s="145">
        <f>IF(Защищенность[[#This Row],[Низкая защищенность]]=0,"-",Защищенность[[#This Row],[Низкая защищенность]])</f>
        <v>9.375E-2</v>
      </c>
      <c r="Z3" s="144">
        <f>IF(Защищенность[[#This Row],[Незащищенные должности1]]=0,"",Защищенность[[#This Row],[Незащищенные должности1]])</f>
        <v>3</v>
      </c>
      <c r="AA3" s="145">
        <f>IF(Защищенность[[#This Row],[Незащищенные должности]]=0,"-",Защищенность[[#This Row],[Незащищенные должности]])</f>
        <v>9.375E-2</v>
      </c>
      <c r="AB3" s="144">
        <f>IF(Защищенность[[#This Row],[Должностей рассмотрено (всего)]]=0,"",Защищенность[[#This Row],[Должностей рассмотрено (всего)]])</f>
        <v>32</v>
      </c>
      <c r="AC3" s="144">
        <f>IF(Защищенность[[#This Row],[Должностей защищено (всего)]]=0,"",Защищенность[[#This Row],[Должностей защищено (всего)]])</f>
        <v>29</v>
      </c>
      <c r="AD3" s="145">
        <f>Защищенность[[#This Row],[Плановая защищенность]]</f>
        <v>0.8</v>
      </c>
      <c r="AE3" s="219">
        <f>Защищенность[[#This Row],[Фактическая защищенность]]</f>
        <v>0.90625</v>
      </c>
    </row>
    <row r="4" spans="1:31" ht="12.75" x14ac:dyDescent="0.2">
      <c r="A4" s="114">
        <f>КПЭ!$W$1</f>
        <v>2023</v>
      </c>
      <c r="B4" s="115" t="str">
        <f>КПЭ!$B$2</f>
        <v>все ФН</v>
      </c>
      <c r="C4" s="116" t="s">
        <v>80</v>
      </c>
      <c r="D4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должности],"высокий"),SUMIFS(База_КР_КК[Кол-во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должности],"высокий"))</f>
        <v>86</v>
      </c>
      <c r="E4" s="118">
        <f>IFERROR(Защищенность[[#This Row],[Высокая защищенность1]]/Защищенность[[#This Row],[Должностей рассмотрено (всего)]],"-")</f>
        <v>0.55128205128205132</v>
      </c>
      <c r="F4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должности],"средний"),SUMIFS(База_КР_КК[Кол-во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должности],"средний"))</f>
        <v>41</v>
      </c>
      <c r="G4" s="118">
        <f>IFERROR(Защищенность[[#This Row],[Средняя защищенность1]]/Защищенность[[#This Row],[Должностей рассмотрено (всего)]],"-")</f>
        <v>0.26282051282051283</v>
      </c>
      <c r="H4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должности],"низкий"),SUMIFS(База_КР_КК[Кол-во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должности],"низкий"))</f>
        <v>18</v>
      </c>
      <c r="I4" s="118">
        <f>IFERROR(Защищенность[[#This Row],[Низкая защищенность1]]/Защищенность[[#This Row],[Должностей рассмотрено (всего)]],"-")</f>
        <v>0.11538461538461539</v>
      </c>
      <c r="J4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должности],"не защищена"))</f>
        <v>11</v>
      </c>
      <c r="K4" s="118">
        <f>IFERROR(Защищенность[[#This Row],[Незащищенные должности1]]/Защищенность[[#This Row],[Должностей рассмотрено (всего)]],"-")</f>
        <v>7.0512820512820512E-2</v>
      </c>
      <c r="L4" s="117">
        <f>IF(Защищенность[[#This Row],[ФН]]="ВСЕ ФН",SUMIF(База_КР_КК[[Уровень должности ]],LEFT(Защищенность[[#This Row],[УУ]],1),База_КР_КК[Кол-во резервируемых должностей]),SUMIFS(База_КР_КК[Кол-во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Row],[ФН]]))</f>
        <v>156</v>
      </c>
      <c r="M4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должности],"&lt;&gt;не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должности],"&lt;&gt;не защищена"))</f>
        <v>145</v>
      </c>
      <c r="N4" s="118">
        <f>VLOOKUP(Защищенность[[#This Row],[Год]]&amp;Защищенность[[#Headers],[Плановая защищенность]],целевые_показатели[[Технический столбец]:[Значение плана]],2,0)</f>
        <v>0.8</v>
      </c>
      <c r="O4" s="118">
        <f>IFERROR(Защищенность[[#This Row],[Должностей защищено (всего)]]/Защищенность[[#This Row],[Должностей рассмотрено (всего)]],"-")</f>
        <v>0.92948717948717952</v>
      </c>
      <c r="P4" s="113"/>
      <c r="Q4" s="97">
        <f>Защищенность[[#This Row],[Год]]</f>
        <v>2023</v>
      </c>
      <c r="R4" s="146" t="str">
        <f>Защищенность[[#This Row],[ФН]]</f>
        <v>все ФН</v>
      </c>
      <c r="S4" s="146" t="str">
        <f>Защищенность[[#This Row],[УУ]]</f>
        <v>5 УУ</v>
      </c>
      <c r="T4" s="144">
        <f>IF(Защищенность[[#This Row],[Высокая защищенность1]]=0,"",Защищенность[[#This Row],[Высокая защищенность1]])</f>
        <v>86</v>
      </c>
      <c r="U4" s="145">
        <f>IF(Защищенность[[#This Row],[Высокая защищенность]]=0,"-",Защищенность[[#This Row],[Высокая защищенность]])</f>
        <v>0.55128205128205132</v>
      </c>
      <c r="V4" s="144">
        <f>IF(Защищенность[[#This Row],[Средняя защищенность1]]=0,"",Защищенность[[#This Row],[Средняя защищенность1]])</f>
        <v>41</v>
      </c>
      <c r="W4" s="145">
        <f>IF(Защищенность[[#This Row],[Средняя защищенность]]=0,"-",Защищенность[[#This Row],[Средняя защищенность]])</f>
        <v>0.26282051282051283</v>
      </c>
      <c r="X4" s="144">
        <f>IF(Защищенность[[#This Row],[Низкая защищенность1]]=0,"",Защищенность[[#This Row],[Низкая защищенность1]])</f>
        <v>18</v>
      </c>
      <c r="Y4" s="145">
        <f>IF(Защищенность[[#This Row],[Низкая защищенность]]=0,"-",Защищенность[[#This Row],[Низкая защищенность]])</f>
        <v>0.11538461538461539</v>
      </c>
      <c r="Z4" s="144">
        <f>IF(Защищенность[[#This Row],[Незащищенные должности1]]=0,"",Защищенность[[#This Row],[Незащищенные должности1]])</f>
        <v>11</v>
      </c>
      <c r="AA4" s="145">
        <f>IF(Защищенность[[#This Row],[Незащищенные должности]]=0,"-",Защищенность[[#This Row],[Незащищенные должности]])</f>
        <v>7.0512820512820512E-2</v>
      </c>
      <c r="AB4" s="144">
        <f>IF(Защищенность[[#This Row],[Должностей рассмотрено (всего)]]=0,"",Защищенность[[#This Row],[Должностей рассмотрено (всего)]])</f>
        <v>156</v>
      </c>
      <c r="AC4" s="144">
        <f>IF(Защищенность[[#This Row],[Должностей защищено (всего)]]=0,"",Защищенность[[#This Row],[Должностей защищено (всего)]])</f>
        <v>145</v>
      </c>
      <c r="AD4" s="145">
        <f>Защищенность[[#This Row],[Плановая защищенность]]</f>
        <v>0.8</v>
      </c>
      <c r="AE4" s="219">
        <f>Защищенность[[#This Row],[Фактическая защищенность]]</f>
        <v>0.92948717948717952</v>
      </c>
    </row>
    <row r="5" spans="1:31" ht="12.75" x14ac:dyDescent="0.2">
      <c r="A5" s="114">
        <f>КПЭ!$W$1</f>
        <v>2023</v>
      </c>
      <c r="B5" s="115" t="str">
        <f>КПЭ!$B$2</f>
        <v>все ФН</v>
      </c>
      <c r="C5" s="116" t="s">
        <v>81</v>
      </c>
      <c r="D5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должности],"высокий"),SUMIFS(База_КР_КК[Кол-во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должности],"высокий"))</f>
        <v>285</v>
      </c>
      <c r="E5" s="118">
        <f>IFERROR(Защищенность[[#This Row],[Высокая защищенность1]]/Защищенность[[#This Row],[Должностей рассмотрено (всего)]],"-")</f>
        <v>0.60381355932203384</v>
      </c>
      <c r="F5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должности],"средний"),SUMIFS(База_КР_КК[Кол-во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должности],"средний"))</f>
        <v>102</v>
      </c>
      <c r="G5" s="118">
        <f>IFERROR(Защищенность[[#This Row],[Средняя защищенность1]]/Защищенность[[#This Row],[Должностей рассмотрено (всего)]],"-")</f>
        <v>0.21610169491525424</v>
      </c>
      <c r="H5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должности],"низкий"),SUMIFS(База_КР_КК[Кол-во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должности],"низкий"))</f>
        <v>69</v>
      </c>
      <c r="I5" s="118">
        <f>IFERROR(Защищенность[[#This Row],[Низкая защищенность1]]/Защищенность[[#This Row],[Должностей рассмотрено (всего)]],"-")</f>
        <v>0.1461864406779661</v>
      </c>
      <c r="J5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должности],"не защищена"))</f>
        <v>16</v>
      </c>
      <c r="K5" s="118">
        <f>IFERROR(Защищенность[[#This Row],[Незащищенные должности1]]/Защищенность[[#This Row],[Должностей рассмотрено (всего)]],"-")</f>
        <v>3.3898305084745763E-2</v>
      </c>
      <c r="L5" s="117">
        <f>IF(Защищенность[[#This Row],[ФН]]="ВСЕ ФН",SUMIF(База_КР_КК[[Уровень должности ]],LEFT(Защищенность[[#This Row],[УУ]],1),База_КР_КК[Кол-во резервируемых должностей]),SUMIFS(База_КР_КК[Кол-во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Row],[ФН]]))</f>
        <v>472</v>
      </c>
      <c r="M5" s="117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должности],"&lt;&gt;не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должности],"&lt;&gt;не защищена"))</f>
        <v>456</v>
      </c>
      <c r="N5" s="118">
        <f>VLOOKUP(Защищенность[[#This Row],[Год]]&amp;Защищенность[[#Headers],[Плановая защищенность]],целевые_показатели[[Технический столбец]:[Значение плана]],2,0)</f>
        <v>0.8</v>
      </c>
      <c r="O5" s="118">
        <f>IFERROR(Защищенность[[#This Row],[Должностей защищено (всего)]]/Защищенность[[#This Row],[Должностей рассмотрено (всего)]],"-")</f>
        <v>0.96610169491525422</v>
      </c>
      <c r="P5" s="113"/>
      <c r="Q5" s="97">
        <f>Защищенность[[#This Row],[Год]]</f>
        <v>2023</v>
      </c>
      <c r="R5" s="146" t="str">
        <f>Защищенность[[#This Row],[ФН]]</f>
        <v>все ФН</v>
      </c>
      <c r="S5" s="146" t="str">
        <f>Защищенность[[#This Row],[УУ]]</f>
        <v>6 УУ</v>
      </c>
      <c r="T5" s="144">
        <f>IF(Защищенность[[#This Row],[Высокая защищенность1]]=0,"",Защищенность[[#This Row],[Высокая защищенность1]])</f>
        <v>285</v>
      </c>
      <c r="U5" s="145">
        <f>IF(Защищенность[[#This Row],[Высокая защищенность]]=0,"-",Защищенность[[#This Row],[Высокая защищенность]])</f>
        <v>0.60381355932203384</v>
      </c>
      <c r="V5" s="144">
        <f>IF(Защищенность[[#This Row],[Средняя защищенность1]]=0,"",Защищенность[[#This Row],[Средняя защищенность1]])</f>
        <v>102</v>
      </c>
      <c r="W5" s="145">
        <f>IF(Защищенность[[#This Row],[Средняя защищенность]]=0,"-",Защищенность[[#This Row],[Средняя защищенность]])</f>
        <v>0.21610169491525424</v>
      </c>
      <c r="X5" s="144">
        <f>IF(Защищенность[[#This Row],[Низкая защищенность1]]=0,"",Защищенность[[#This Row],[Низкая защищенность1]])</f>
        <v>69</v>
      </c>
      <c r="Y5" s="145">
        <f>IF(Защищенность[[#This Row],[Низкая защищенность]]=0,"-",Защищенность[[#This Row],[Низкая защищенность]])</f>
        <v>0.1461864406779661</v>
      </c>
      <c r="Z5" s="144">
        <f>IF(Защищенность[[#This Row],[Незащищенные должности1]]=0,"",Защищенность[[#This Row],[Незащищенные должности1]])</f>
        <v>16</v>
      </c>
      <c r="AA5" s="145">
        <f>IF(Защищенность[[#This Row],[Незащищенные должности]]=0,"-",Защищенность[[#This Row],[Незащищенные должности]])</f>
        <v>3.3898305084745763E-2</v>
      </c>
      <c r="AB5" s="144">
        <f>IF(Защищенность[[#This Row],[Должностей рассмотрено (всего)]]=0,"",Защищенность[[#This Row],[Должностей рассмотрено (всего)]])</f>
        <v>472</v>
      </c>
      <c r="AC5" s="144">
        <f>IF(Защищенность[[#This Row],[Должностей защищено (всего)]]=0,"",Защищенность[[#This Row],[Должностей защищено (всего)]])</f>
        <v>456</v>
      </c>
      <c r="AD5" s="145">
        <f>Защищенность[[#This Row],[Плановая защищенность]]</f>
        <v>0.8</v>
      </c>
      <c r="AE5" s="219">
        <f>Защищенность[[#This Row],[Фактическая защищенность]]</f>
        <v>0.96610169491525422</v>
      </c>
    </row>
    <row r="6" spans="1:31" ht="12.75" x14ac:dyDescent="0.2">
      <c r="A6" s="119">
        <f>КПЭ!$W$1</f>
        <v>2023</v>
      </c>
      <c r="B6" s="120" t="str">
        <f>КПЭ!$B$2</f>
        <v>все ФН</v>
      </c>
      <c r="C6" s="121" t="s">
        <v>82</v>
      </c>
      <c r="D6" s="122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должности],"высокий"),SUMIFS(База_КР_КК[Кол-во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должности],"высокий"))</f>
        <v>176</v>
      </c>
      <c r="E6" s="118">
        <f>IFERROR(Защищенность[[#This Row],[Высокая защищенность1]]/Защищенность[[#This Row],[Должностей рассмотрено (всего)]],"-")</f>
        <v>0.37446808510638296</v>
      </c>
      <c r="F6" s="122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должности],"средний"),SUMIFS(База_КР_КК[Кол-во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должности],"средний"))</f>
        <v>169</v>
      </c>
      <c r="G6" s="118">
        <f>IFERROR(Защищенность[[#This Row],[Средняя защищенность1]]/Защищенность[[#This Row],[Должностей рассмотрено (всего)]],"-")</f>
        <v>0.3595744680851064</v>
      </c>
      <c r="H6" s="122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должности],"низкий"),SUMIFS(База_КР_КК[Кол-во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должности],"низкий"))</f>
        <v>100</v>
      </c>
      <c r="I6" s="118">
        <f>IFERROR(Защищенность[[#This Row],[Низкая защищенность1]]/Защищенность[[#This Row],[Должностей рассмотрено (всего)]],"-")</f>
        <v>0.21276595744680851</v>
      </c>
      <c r="J6" s="122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должности],"не защищена"))</f>
        <v>25</v>
      </c>
      <c r="K6" s="118">
        <f>IFERROR(Защищенность[[#This Row],[Незащищенные должности1]]/Защищенность[[#This Row],[Должностей рассмотрено (всего)]],"-")</f>
        <v>5.3191489361702128E-2</v>
      </c>
      <c r="L6" s="123">
        <f>IF(Защищенность[[#This Row],[ФН]]="ВСЕ ФН",SUMIF(База_КР_КК[[Уровень должности ]],LEFT(Защищенность[[#This Row],[УУ]],1),База_КР_КК[Кол-во резервируемых должностей]),SUMIFS(База_КР_КК[Кол-во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Row],[ФН]]))</f>
        <v>470</v>
      </c>
      <c r="M6" s="122">
        <f>IF(Защищенность[[#This Row],[ФН]]="ВСЕ ФН",SUMIFS(База_КР_КК[Кол-во резервируемых должностей],База_КР_КК[[Уровень должности ]],LEFT(Защищенность[[#This Row],[УУ]],1),База_КР_КК[Уровень защищенности должности],"&lt;&gt;не защищена"),SUMIFS(База_КР_КК[Кол-во резервируемых должностей],База_КР_КК[[Уровень должности ]],LEFT(Защищенность[[#This Row],[УУ]],1),База_КР_КК[ФН резервируемой должности],Защищенность[[#This Row],[ФН]],База_КР_КК[Уровень защищенности должности],"&lt;&gt;не защищена"))</f>
        <v>445</v>
      </c>
      <c r="N6" s="118">
        <f>VLOOKUP(Защищенность[[#This Row],[Год]]&amp;Защищенность[[#Headers],[Плановая защищенность]],целевые_показатели[[Технический столбец]:[Значение плана]],2,0)</f>
        <v>0.8</v>
      </c>
      <c r="O6" s="118">
        <f>IFERROR(Защищенность[[#This Row],[Должностей защищено (всего)]]/Защищенность[[#This Row],[Должностей рассмотрено (всего)]],"-")</f>
        <v>0.94680851063829785</v>
      </c>
      <c r="P6" s="113"/>
      <c r="Q6" s="97">
        <f>Защищенность[[#This Row],[Год]]</f>
        <v>2023</v>
      </c>
      <c r="R6" s="146" t="str">
        <f>Защищенность[[#This Row],[ФН]]</f>
        <v>все ФН</v>
      </c>
      <c r="S6" s="146" t="str">
        <f>Защищенность[[#This Row],[УУ]]</f>
        <v>7 УУ</v>
      </c>
      <c r="T6" s="144">
        <f>IF(Защищенность[[#This Row],[Высокая защищенность1]]=0,"",Защищенность[[#This Row],[Высокая защищенность1]])</f>
        <v>176</v>
      </c>
      <c r="U6" s="145">
        <f>IF(Защищенность[[#This Row],[Высокая защищенность]]=0,"-",Защищенность[[#This Row],[Высокая защищенность]])</f>
        <v>0.37446808510638296</v>
      </c>
      <c r="V6" s="144">
        <f>IF(Защищенность[[#This Row],[Средняя защищенность1]]=0,"",Защищенность[[#This Row],[Средняя защищенность1]])</f>
        <v>169</v>
      </c>
      <c r="W6" s="145">
        <f>IF(Защищенность[[#This Row],[Средняя защищенность]]=0,"-",Защищенность[[#This Row],[Средняя защищенность]])</f>
        <v>0.3595744680851064</v>
      </c>
      <c r="X6" s="144">
        <f>IF(Защищенность[[#This Row],[Низкая защищенность1]]=0,"",Защищенность[[#This Row],[Низкая защищенность1]])</f>
        <v>100</v>
      </c>
      <c r="Y6" s="145">
        <f>IF(Защищенность[[#This Row],[Низкая защищенность]]=0,"-",Защищенность[[#This Row],[Низкая защищенность]])</f>
        <v>0.21276595744680851</v>
      </c>
      <c r="Z6" s="144">
        <f>IF(Защищенность[[#This Row],[Незащищенные должности1]]=0,"",Защищенность[[#This Row],[Незащищенные должности1]])</f>
        <v>25</v>
      </c>
      <c r="AA6" s="145">
        <f>IF(Защищенность[[#This Row],[Незащищенные должности]]=0,"-",Защищенность[[#This Row],[Незащищенные должности]])</f>
        <v>5.3191489361702128E-2</v>
      </c>
      <c r="AB6" s="144">
        <f>IF(Защищенность[[#This Row],[Должностей рассмотрено (всего)]]=0,"",Защищенность[[#This Row],[Должностей рассмотрено (всего)]])</f>
        <v>470</v>
      </c>
      <c r="AC6" s="144">
        <f>IF(Защищенность[[#This Row],[Должностей защищено (всего)]]=0,"",Защищенность[[#This Row],[Должностей защищено (всего)]])</f>
        <v>445</v>
      </c>
      <c r="AD6" s="145">
        <f>Защищенность[[#This Row],[Плановая защищенность]]</f>
        <v>0.8</v>
      </c>
      <c r="AE6" s="219">
        <f>Защищенность[[#This Row],[Фактическая защищенность]]</f>
        <v>0.94680851063829785</v>
      </c>
    </row>
    <row r="7" spans="1:31" ht="12.75" x14ac:dyDescent="0.2">
      <c r="A7" s="124"/>
      <c r="B7" s="125"/>
      <c r="C7" s="126" t="s">
        <v>83</v>
      </c>
      <c r="D7" s="127">
        <f>SUBTOTAL(109,Защищенность[Высокая защищенность1])</f>
        <v>566</v>
      </c>
      <c r="E7" s="128">
        <f>Защищенность[[#Totals],[Высокая защищенность1]]/Защищенность[[#Totals],[Должностей рассмотрено (всего)]]</f>
        <v>0.49736379613356768</v>
      </c>
      <c r="F7" s="127">
        <f>SUBTOTAL(109,Защищенность[Средняя защищенность1])</f>
        <v>326</v>
      </c>
      <c r="G7" s="128">
        <f>Защищенность[[#Totals],[Средняя защищенность1]]/Защищенность[[#Totals],[Должностей рассмотрено (всего)]]</f>
        <v>0.28646748681898065</v>
      </c>
      <c r="H7" s="127">
        <f>SUBTOTAL(109,Защищенность[Низкая защищенность1])</f>
        <v>191</v>
      </c>
      <c r="I7" s="128">
        <f>Защищенность[[#Totals],[Низкая защищенность1]]/Защищенность[[#Totals],[Должностей рассмотрено (всего)]]</f>
        <v>0.16783831282952549</v>
      </c>
      <c r="J7" s="127">
        <f>SUBTOTAL(109,Защищенность[Незащищенные должности1])</f>
        <v>55</v>
      </c>
      <c r="K7" s="128">
        <f>Защищенность[[#Totals],[Незащищенные должности1]]/Защищенность[[#Totals],[Должностей рассмотрено (всего)]]</f>
        <v>4.8330404217926184E-2</v>
      </c>
      <c r="L7" s="127">
        <f>SUBTOTAL(109,Защищенность[Должностей рассмотрено (всего)])</f>
        <v>1138</v>
      </c>
      <c r="M7" s="127">
        <f>SUBTOTAL(109,Защищенность[Должностей защищено (всего)])</f>
        <v>1083</v>
      </c>
      <c r="N7" s="128">
        <f>SUBTOTAL(101,Защищенность[Плановая защищенность])</f>
        <v>0.8</v>
      </c>
      <c r="O7" s="118">
        <f>Защищенность[[#Totals],[Должностей защищено (всего)]]/Защищенность[[#Totals],[Должностей рассмотрено (всего)]]</f>
        <v>0.95166959578207377</v>
      </c>
      <c r="P7" s="113"/>
      <c r="Q7" s="144"/>
      <c r="R7" s="143"/>
      <c r="S7" s="146" t="str">
        <f>Защищенность[[#Totals],[УУ]]</f>
        <v>ВСЕ УУ</v>
      </c>
      <c r="T7" s="97">
        <f>IF(Защищенность[[#Totals],[Высокая защищенность1]]=0,"",Защищенность[[#Totals],[Высокая защищенность1]])</f>
        <v>566</v>
      </c>
      <c r="U7" s="147">
        <f>IF(Защищенность[[#Totals],[Высокая защищенность]]=0,"-",Защищенность[[#Totals],[Высокая защищенность]])</f>
        <v>0.49736379613356768</v>
      </c>
      <c r="V7" s="97">
        <f>IF(Защищенность[[#Totals],[Средняя защищенность1]]=0,"",Защищенность[[#Totals],[Средняя защищенность1]])</f>
        <v>326</v>
      </c>
      <c r="W7" s="147">
        <f>IF(Защищенность[[#Totals],[Средняя защищенность]]=0,"-",Защищенность[[#Totals],[Средняя защищенность]])</f>
        <v>0.28646748681898065</v>
      </c>
      <c r="X7" s="97">
        <f>IF(Защищенность[[#Totals],[Низкая защищенность1]]=0,"",Защищенность[[#Totals],[Низкая защищенность1]])</f>
        <v>191</v>
      </c>
      <c r="Y7" s="147">
        <f>IF(Защищенность[[#Totals],[Низкая защищенность]]=0,"-",Защищенность[[#Totals],[Низкая защищенность]])</f>
        <v>0.16783831282952549</v>
      </c>
      <c r="Z7" s="97">
        <f>IF(Защищенность[[#Totals],[Незащищенные должности1]]=0,"",Защищенность[[#Totals],[Незащищенные должности1]])</f>
        <v>55</v>
      </c>
      <c r="AA7" s="147">
        <f>IF(Защищенность[[#Totals],[Незащищенные должности]]=0,"-",Защищенность[[#Totals],[Незащищенные должности]])</f>
        <v>4.8330404217926184E-2</v>
      </c>
      <c r="AB7" s="97">
        <f>Защищенность[[#Totals],[Должностей рассмотрено (всего)]]</f>
        <v>1138</v>
      </c>
      <c r="AC7" s="97">
        <f>Защищенность[[#Totals],[Должностей защищено (всего)]]</f>
        <v>1083</v>
      </c>
      <c r="AD7" s="147">
        <f>Защищенность[[#Totals],[Плановая защищенность]]</f>
        <v>0.8</v>
      </c>
      <c r="AE7" s="220">
        <f>Защищенность[[#Totals],[Фактическая защищенность]]</f>
        <v>0.95166959578207377</v>
      </c>
    </row>
    <row r="11" spans="1:31" x14ac:dyDescent="0.25">
      <c r="D11" s="129"/>
      <c r="H11" s="129"/>
      <c r="J11" s="129"/>
      <c r="M11" s="129"/>
      <c r="T11" s="129"/>
    </row>
  </sheetData>
  <conditionalFormatting sqref="AE2:AE7">
    <cfRule type="cellIs" dxfId="68" priority="1" operator="lessThan">
      <formula>$AD2</formula>
    </cfRule>
    <cfRule type="cellIs" dxfId="67" priority="2" operator="greaterThan">
      <formula>$AD2</formula>
    </cfRule>
  </conditionalFormatting>
  <conditionalFormatting sqref="O2:O7">
    <cfRule type="cellIs" dxfId="66" priority="5" operator="lessThan">
      <formula>$N2</formula>
    </cfRule>
    <cfRule type="cellIs" dxfId="65" priority="6" operator="greaterThan">
      <formula>$N2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theme="0"/>
  </sheetPr>
  <dimension ref="A1:AN81"/>
  <sheetViews>
    <sheetView topLeftCell="V1" zoomScale="90" zoomScaleNormal="90" workbookViewId="0">
      <selection activeCell="AN1" sqref="T1:AN1048576"/>
    </sheetView>
  </sheetViews>
  <sheetFormatPr defaultColWidth="9.140625" defaultRowHeight="15" x14ac:dyDescent="0.25"/>
  <cols>
    <col min="1" max="1" width="9.140625" style="130"/>
    <col min="2" max="2" width="28.85546875" style="130" customWidth="1"/>
    <col min="3" max="4" width="14.7109375" style="130" customWidth="1"/>
    <col min="5" max="5" width="17" style="130" customWidth="1"/>
    <col min="6" max="10" width="14.7109375" style="130" customWidth="1"/>
    <col min="11" max="14" width="16" style="130" customWidth="1"/>
    <col min="15" max="18" width="14.7109375" style="130" customWidth="1"/>
    <col min="19" max="19" width="15" style="130" customWidth="1"/>
    <col min="20" max="20" width="9.140625" style="130"/>
    <col min="21" max="21" width="9.140625" style="130" customWidth="1"/>
    <col min="22" max="22" width="28.85546875" style="130" customWidth="1"/>
    <col min="23" max="24" width="14.7109375" style="130" customWidth="1"/>
    <col min="25" max="25" width="17" style="130" customWidth="1"/>
    <col min="26" max="30" width="14.7109375" style="130" customWidth="1"/>
    <col min="31" max="34" width="16" style="130" customWidth="1"/>
    <col min="35" max="38" width="14.7109375" style="130" customWidth="1"/>
    <col min="39" max="39" width="15" style="130" customWidth="1"/>
    <col min="41" max="16384" width="9.140625" style="130"/>
  </cols>
  <sheetData>
    <row r="1" spans="1:40" s="1" customFormat="1" ht="60" x14ac:dyDescent="0.25">
      <c r="A1" s="148" t="s">
        <v>67</v>
      </c>
      <c r="B1" s="148" t="s">
        <v>68</v>
      </c>
      <c r="C1" s="148" t="s">
        <v>84</v>
      </c>
      <c r="D1" s="148" t="s">
        <v>84</v>
      </c>
      <c r="E1" s="148" t="s">
        <v>298</v>
      </c>
      <c r="F1" s="148" t="s">
        <v>298</v>
      </c>
      <c r="G1" s="148" t="s">
        <v>299</v>
      </c>
      <c r="H1" s="148" t="s">
        <v>299</v>
      </c>
      <c r="I1" s="148" t="s">
        <v>300</v>
      </c>
      <c r="J1" s="148" t="s">
        <v>300</v>
      </c>
      <c r="K1" s="148" t="s">
        <v>85</v>
      </c>
      <c r="L1" s="148" t="s">
        <v>85</v>
      </c>
      <c r="M1" s="148" t="s">
        <v>86</v>
      </c>
      <c r="N1" s="148" t="s">
        <v>86</v>
      </c>
      <c r="O1" s="148" t="s">
        <v>87</v>
      </c>
      <c r="P1" s="148" t="s">
        <v>87</v>
      </c>
      <c r="Q1" s="148" t="s">
        <v>88</v>
      </c>
      <c r="R1" s="148" t="s">
        <v>89</v>
      </c>
      <c r="U1" s="148" t="s">
        <v>67</v>
      </c>
      <c r="V1" s="148" t="s">
        <v>68</v>
      </c>
      <c r="W1" s="148" t="s">
        <v>84</v>
      </c>
      <c r="X1" s="148" t="s">
        <v>84</v>
      </c>
      <c r="Y1" s="148" t="s">
        <v>298</v>
      </c>
      <c r="Z1" s="148" t="s">
        <v>298</v>
      </c>
      <c r="AA1" s="148" t="s">
        <v>299</v>
      </c>
      <c r="AB1" s="148" t="s">
        <v>299</v>
      </c>
      <c r="AC1" s="148" t="s">
        <v>300</v>
      </c>
      <c r="AD1" s="148" t="s">
        <v>300</v>
      </c>
      <c r="AE1" s="148" t="s">
        <v>85</v>
      </c>
      <c r="AF1" s="148" t="s">
        <v>85</v>
      </c>
      <c r="AG1" s="148" t="s">
        <v>86</v>
      </c>
      <c r="AH1" s="148" t="s">
        <v>86</v>
      </c>
      <c r="AI1" s="148" t="s">
        <v>87</v>
      </c>
      <c r="AJ1" s="148" t="s">
        <v>87</v>
      </c>
      <c r="AK1" s="148" t="s">
        <v>88</v>
      </c>
      <c r="AL1" s="148" t="s">
        <v>89</v>
      </c>
      <c r="AN1"/>
    </row>
    <row r="2" spans="1:40" s="1" customFormat="1" x14ac:dyDescent="0.25">
      <c r="A2" s="149"/>
      <c r="B2" s="149"/>
      <c r="C2" s="151"/>
      <c r="D2" s="152"/>
      <c r="E2" s="151"/>
      <c r="F2" s="151"/>
      <c r="G2" s="151"/>
      <c r="H2" s="151"/>
      <c r="I2" s="151"/>
      <c r="J2" s="151"/>
      <c r="K2" s="151"/>
      <c r="L2" s="151"/>
      <c r="M2" s="151"/>
      <c r="N2" s="151"/>
      <c r="O2" s="151"/>
      <c r="P2" s="151"/>
      <c r="Q2" s="153">
        <f>VLOOKUP($A$3&amp;$Q$1,целевые_показатели[[Технический столбец]:[Значение плана]],2,0)</f>
        <v>0.7</v>
      </c>
      <c r="R2" s="153">
        <f>IFERROR((($E$4+$G$4+$I$4+$K$4)/$C$3),"-")</f>
        <v>0.93617021276595747</v>
      </c>
      <c r="S2"/>
      <c r="U2" s="149"/>
      <c r="V2" s="149"/>
      <c r="W2" s="151"/>
      <c r="X2" s="152"/>
      <c r="Y2" s="151"/>
      <c r="Z2" s="151"/>
      <c r="AA2" s="151"/>
      <c r="AB2" s="151"/>
      <c r="AC2" s="151"/>
      <c r="AD2" s="151"/>
      <c r="AE2" s="151"/>
      <c r="AF2" s="151"/>
      <c r="AG2" s="151"/>
      <c r="AH2" s="151"/>
      <c r="AI2" s="151"/>
      <c r="AJ2" s="151"/>
      <c r="AK2" s="152">
        <f t="shared" ref="AK2:AK5" si="0">IF(Q2=0,"",Q2)</f>
        <v>0.7</v>
      </c>
      <c r="AL2" s="152">
        <f t="shared" ref="AL2:AL5" si="1">IF(R2=0,"",R2)</f>
        <v>0.93617021276595747</v>
      </c>
      <c r="AM2"/>
      <c r="AN2"/>
    </row>
    <row r="3" spans="1:40" s="1" customFormat="1" x14ac:dyDescent="0.25">
      <c r="A3" s="151">
        <f>КПЭ!$W$1</f>
        <v>2023</v>
      </c>
      <c r="B3" s="151" t="str">
        <f>КПЭ!$B$2</f>
        <v>все ФН</v>
      </c>
      <c r="C3" s="151">
        <f>IF($B$3="ВСЕ ФН",SUMIFS(База_КР_КК[Кол-во резервируемых должностей],База_КР_КК[Дата закрытия вакансии (Дата назначения)],"&gt;=01/01/"&amp;$A$3,База_КР_КК[Дата закрытия вакансии (Дата назначения)],"&lt;=31/12/"&amp;$A$3,База_КР_КК[Тип назначения],"*(учитываем)"),SUMIFS(База_КР_КК[Кол-во резервируемых должностей],База_КР_КК[Дата закрытия вакансии (Дата назначения)],"&gt;=01/01/"&amp;$A$3,База_КР_КК[Дата закрытия вакансии (Дата назначения)],"&lt;=31/12/"&amp;$A$3,База_КР_КК[Тип назначения],"*(учитываем)",База_КР_КК[ФН резервируемой должности],$B$3))</f>
        <v>47</v>
      </c>
      <c r="D3" s="152">
        <f>IF(C3=0,0,1)</f>
        <v>1</v>
      </c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3">
        <f>VLOOKUP($A$3&amp;$Q$1,целевые_показатели[[Технический столбец]:[Значение плана]],2,0)</f>
        <v>0.7</v>
      </c>
      <c r="R3" s="153">
        <f>IFERROR((($E$4+$G$4+$I$4+$K$4)/$C$3),"-")</f>
        <v>0.93617021276595747</v>
      </c>
      <c r="S3" s="148" t="s">
        <v>109</v>
      </c>
      <c r="U3" s="151">
        <f>A3</f>
        <v>2023</v>
      </c>
      <c r="V3" s="151" t="str">
        <f>B3</f>
        <v>все ФН</v>
      </c>
      <c r="W3" s="151">
        <f>IF(C3=0,"",C3)</f>
        <v>47</v>
      </c>
      <c r="X3" s="152">
        <f>IF(D3=0,"",D3)</f>
        <v>1</v>
      </c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2">
        <f t="shared" si="0"/>
        <v>0.7</v>
      </c>
      <c r="AL3" s="152">
        <f t="shared" si="1"/>
        <v>0.93617021276595747</v>
      </c>
      <c r="AM3" s="148" t="s">
        <v>109</v>
      </c>
      <c r="AN3"/>
    </row>
    <row r="4" spans="1:40" s="1" customFormat="1" x14ac:dyDescent="0.25">
      <c r="A4" s="149"/>
      <c r="B4" s="149"/>
      <c r="C4" s="150"/>
      <c r="D4" s="150"/>
      <c r="E4" s="151">
        <f>IF($B$3="все ФН",SUMIFS(База_КР_КК[Назначен на целевую должность (1 - назначен, 0 - не назначен)],База_КР_КК[Дата закрытия вакансии (Дата назначения)],"&gt;=01.01."&amp;$A$3,База_КР_КК[Дата закрытия вакансии (Дата назначения)],"&lt;=31.12."&amp;$A$3,База_КР_КК[Текущий статус готовности],'Списки данных'!$J$2),SUMIFS(База_КР_КК[Назначен на целевую должность (1 - назначен, 0 - не назначен)],База_КР_КК[Дата закрытия вакансии (Дата назначения)],"&gt;=01/01/"&amp;$A$3,База_КР_КК[Дата закрытия вакансии (Дата назначения)],"&lt;=31/12/"&amp;$A$3,База_КР_КК[Текущий статус готовности],'Списки данных'!$J$2,База_КР_КК[ФН резервируемой должности],$B$3))</f>
        <v>23</v>
      </c>
      <c r="F4" s="152">
        <f>IFERROR(E$4/$C$3,"-")</f>
        <v>0.48936170212765956</v>
      </c>
      <c r="G4" s="151">
        <f>IF($B$3="все ФН",SUMIFS(База_КР_КК[Назначен на целевую должность (1 - назначен, 0 - не назначен)],База_КР_КК[Дата закрытия вакансии (Дата назначения)],"&gt;=01/01/"&amp;$A$3,База_КР_КК[Дата закрытия вакансии (Дата назначения)],"&lt;=31/12/"&amp;$A$3,База_КР_КК[Текущий статус готовности],'Списки данных'!$J$3),SUMIFS(База_КР_КК[Назначен на целевую должность (1 - назначен, 0 - не назначен)],База_КР_КК[Дата закрытия вакансии (Дата назначения)],"&gt;=01/01/"&amp;$A$3,База_КР_КК[Дата закрытия вакансии (Дата назначения)],"&lt;=31/12/"&amp;$A$3,База_КР_КК[Текущий статус готовности],'Списки данных'!$J$3,База_КР_КК[ФН резервируемой должности],$B$3))</f>
        <v>10</v>
      </c>
      <c r="H4" s="152">
        <f>IFERROR(G$4/$C$3,"-")</f>
        <v>0.21276595744680851</v>
      </c>
      <c r="I4" s="151">
        <f>IF($B$3="все ФН",SUMIFS(База_КР_КК[Назначен на целевую должность (1 - назначен, 0 - не назначен)],База_КР_КК[Дата закрытия вакансии (Дата назначения)],"&gt;=01/01/"&amp;$A$3,База_КР_КК[Дата закрытия вакансии (Дата назначения)],"&lt;=31/12/"&amp;$A$3,База_КР_КК[Текущий статус готовности],'Списки данных'!$J$4),SUMIFS(База_КР_КК[Назначен на целевую должность (1 - назначен, 0 - не назначен)],База_КР_КК[Дата закрытия вакансии (Дата назначения)],"&gt;=01/01/"&amp;$A$3,База_КР_КК[Дата закрытия вакансии (Дата назначения)],"&lt;=31/12/"&amp;$A$3,База_КР_КК[Текущий статус готовности],'Списки данных'!$J$4,База_КР_КК[ФН резервируемой должности],$B$3))</f>
        <v>6</v>
      </c>
      <c r="J4" s="152">
        <f>IFERROR(I$4/$C$3,"-")</f>
        <v>0.1276595744680851</v>
      </c>
      <c r="K4" s="151">
        <f>IF($B$3="все ФН",SUMIFS(База_КР_КК[Кол-во резервируемых должностей],База_КР_КК[Дата закрытия вакансии (Дата назначения)],"&gt;=01/01/"&amp;$A$3,База_КР_КК[Дата закрытия вакансии (Дата назначения)],"&lt;=31/12/"&amp;$A$3,База_КР_КК[Тип назначения],'Списки данных'!$G$3),SUMIFS(База_КР_КК[Кол-во резервируемых должностей],База_КР_КК[Дата закрытия вакансии (Дата назначения)],"&gt;=01/01/"&amp;$A$3,База_КР_КК[Дата закрытия вакансии (Дата назначения)],"&lt;=31/12/"&amp;$A$3,База_КР_КК[Тип назначения],'Списки данных'!$G$3,База_КР_КК[ФН резервируемой должности],$B$3))</f>
        <v>5</v>
      </c>
      <c r="L4" s="152">
        <f>IFERROR(K$4/$C$3,"-")</f>
        <v>0.10638297872340426</v>
      </c>
      <c r="M4" s="151">
        <f>IF($B$3="все ФН",SUMIFS(База_КР_КК[Кол-во резервируемых должностей],База_КР_КК[Дата закрытия вакансии (Дата назначения)],"&gt;=01/01/"&amp;$A$3,База_КР_КК[Дата закрытия вакансии (Дата назначения)],"&lt;=31/12/"&amp;$A$3,База_КР_КК[Тип назначения],'Списки данных'!$G$4),SUMIFS(База_КР_КК[Кол-во резервируемых должностей],База_КР_КК[Дата закрытия вакансии (Дата назначения)],"&gt;=01/01/"&amp;$A$3,База_КР_КК[Дата закрытия вакансии (Дата назначения)],"&lt;=31/12/"&amp;$A$3,База_КР_КК[Тип назначения],'Списки данных'!$G$4,База_КР_КК[ФН резервируемой должности],$B$3))</f>
        <v>3</v>
      </c>
      <c r="N4" s="152">
        <f>IFERROR(M$4/$C$3,"-")</f>
        <v>6.3829787234042548E-2</v>
      </c>
      <c r="O4" s="151">
        <f>IF($B$3="все ФН",SUMIFS(База_КР_КК[Кол-во резервируемых должностей],База_КР_КК[Дата закрытия вакансии (Дата назначения)],"&gt;=01/01/"&amp;$A$3,База_КР_КК[Дата закрытия вакансии (Дата назначения)],"&lt;=31/12/"&amp;$A$3,База_КР_КК[Тип назначения],'Списки данных'!$G$6),SUMIFS(База_КР_КК[Кол-во резервируемых должностей],База_КР_КК[Дата закрытия вакансии (Дата назначения)],"&gt;=01/01/"&amp;$A$3,База_КР_КК[Дата закрытия вакансии (Дата назначения)],"&lt;=31/12/"&amp;$A$3,База_КР_КК[Тип назначения],'Списки данных'!$G$6,База_КР_КК[ФН резервируемой должности],$B$3))</f>
        <v>0</v>
      </c>
      <c r="P4" s="152">
        <f>IFERROR(O$4/$C$3,"-")</f>
        <v>0</v>
      </c>
      <c r="Q4" s="153">
        <f>VLOOKUP($A$3&amp;$Q$1,целевые_показатели[[Технический столбец]:[Значение плана]],2,0)</f>
        <v>0.7</v>
      </c>
      <c r="R4" s="153">
        <f>IFERROR((($E$4+$G$4+$I$4+$K$4)/$C$3),"-")</f>
        <v>0.93617021276595747</v>
      </c>
      <c r="S4" s="148" t="s">
        <v>110</v>
      </c>
      <c r="U4" s="149"/>
      <c r="V4" s="149"/>
      <c r="W4" s="150"/>
      <c r="X4" s="150"/>
      <c r="Y4" s="151">
        <f t="shared" ref="Y4:AJ4" si="2">IF(E4=0,"",E4)</f>
        <v>23</v>
      </c>
      <c r="Z4" s="152">
        <f t="shared" si="2"/>
        <v>0.48936170212765956</v>
      </c>
      <c r="AA4" s="151">
        <f t="shared" si="2"/>
        <v>10</v>
      </c>
      <c r="AB4" s="152">
        <f t="shared" si="2"/>
        <v>0.21276595744680851</v>
      </c>
      <c r="AC4" s="151">
        <f t="shared" si="2"/>
        <v>6</v>
      </c>
      <c r="AD4" s="152">
        <f t="shared" si="2"/>
        <v>0.1276595744680851</v>
      </c>
      <c r="AE4" s="151">
        <f t="shared" si="2"/>
        <v>5</v>
      </c>
      <c r="AF4" s="152">
        <f t="shared" si="2"/>
        <v>0.10638297872340426</v>
      </c>
      <c r="AG4" s="151">
        <f t="shared" si="2"/>
        <v>3</v>
      </c>
      <c r="AH4" s="152">
        <f t="shared" si="2"/>
        <v>6.3829787234042548E-2</v>
      </c>
      <c r="AI4" s="151" t="str">
        <f t="shared" si="2"/>
        <v/>
      </c>
      <c r="AJ4" s="152" t="str">
        <f t="shared" si="2"/>
        <v/>
      </c>
      <c r="AK4" s="152">
        <f t="shared" si="0"/>
        <v>0.7</v>
      </c>
      <c r="AL4" s="152">
        <f t="shared" si="1"/>
        <v>0.93617021276595747</v>
      </c>
      <c r="AM4" s="148" t="s">
        <v>110</v>
      </c>
      <c r="AN4"/>
    </row>
    <row r="5" spans="1:40" s="1" customFormat="1" x14ac:dyDescent="0.25">
      <c r="A5" s="149"/>
      <c r="B5" s="149"/>
      <c r="C5" s="149"/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53">
        <f>VLOOKUP($A$3&amp;$Q$1,целевые_показатели[[Технический столбец]:[Значение плана]],2,0)</f>
        <v>0.7</v>
      </c>
      <c r="R5" s="153">
        <f>IFERROR((($E$4+$G$4+$I$4+$K$4)/$C$3),"-")</f>
        <v>0.93617021276595747</v>
      </c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52">
        <f t="shared" si="0"/>
        <v>0.7</v>
      </c>
      <c r="AL5" s="152">
        <f t="shared" si="1"/>
        <v>0.93617021276595747</v>
      </c>
      <c r="AN5"/>
    </row>
    <row r="6" spans="1:40" s="1" customFormat="1" x14ac:dyDescent="0.25">
      <c r="AN6"/>
    </row>
    <row r="7" spans="1:40" s="1" customFormat="1" x14ac:dyDescent="0.25">
      <c r="AN7"/>
    </row>
    <row r="8" spans="1:40" s="1" customFormat="1" x14ac:dyDescent="0.25">
      <c r="AN8"/>
    </row>
    <row r="9" spans="1:40" s="1" customFormat="1" x14ac:dyDescent="0.25">
      <c r="AN9"/>
    </row>
    <row r="10" spans="1:40" s="1" customFormat="1" x14ac:dyDescent="0.25">
      <c r="AN10"/>
    </row>
    <row r="11" spans="1:40" s="1" customFormat="1" x14ac:dyDescent="0.25">
      <c r="AN11"/>
    </row>
    <row r="12" spans="1:40" s="1" customFormat="1" x14ac:dyDescent="0.25">
      <c r="AN12"/>
    </row>
    <row r="13" spans="1:40" s="1" customFormat="1" x14ac:dyDescent="0.25">
      <c r="AN13"/>
    </row>
    <row r="14" spans="1:40" s="1" customFormat="1" x14ac:dyDescent="0.25">
      <c r="AN14"/>
    </row>
    <row r="15" spans="1:40" s="1" customFormat="1" x14ac:dyDescent="0.25">
      <c r="AN15"/>
    </row>
    <row r="16" spans="1:40" s="1" customFormat="1" x14ac:dyDescent="0.25">
      <c r="AN16"/>
    </row>
    <row r="17" spans="40:40" s="1" customFormat="1" x14ac:dyDescent="0.25">
      <c r="AN17"/>
    </row>
    <row r="18" spans="40:40" s="1" customFormat="1" x14ac:dyDescent="0.25">
      <c r="AN18"/>
    </row>
    <row r="19" spans="40:40" s="1" customFormat="1" x14ac:dyDescent="0.25">
      <c r="AN19"/>
    </row>
    <row r="20" spans="40:40" s="1" customFormat="1" x14ac:dyDescent="0.25">
      <c r="AN20"/>
    </row>
    <row r="21" spans="40:40" s="1" customFormat="1" x14ac:dyDescent="0.25">
      <c r="AN21"/>
    </row>
    <row r="22" spans="40:40" s="1" customFormat="1" x14ac:dyDescent="0.25">
      <c r="AN22"/>
    </row>
    <row r="23" spans="40:40" s="1" customFormat="1" x14ac:dyDescent="0.25">
      <c r="AN23"/>
    </row>
    <row r="24" spans="40:40" s="1" customFormat="1" x14ac:dyDescent="0.25">
      <c r="AN24"/>
    </row>
    <row r="25" spans="40:40" s="1" customFormat="1" x14ac:dyDescent="0.25">
      <c r="AN25"/>
    </row>
    <row r="26" spans="40:40" s="1" customFormat="1" x14ac:dyDescent="0.25">
      <c r="AN26"/>
    </row>
    <row r="27" spans="40:40" s="1" customFormat="1" x14ac:dyDescent="0.25">
      <c r="AN27"/>
    </row>
    <row r="28" spans="40:40" s="1" customFormat="1" x14ac:dyDescent="0.25">
      <c r="AN28"/>
    </row>
    <row r="29" spans="40:40" s="1" customFormat="1" x14ac:dyDescent="0.25">
      <c r="AN29"/>
    </row>
    <row r="30" spans="40:40" s="1" customFormat="1" x14ac:dyDescent="0.25">
      <c r="AN30"/>
    </row>
    <row r="31" spans="40:40" s="1" customFormat="1" x14ac:dyDescent="0.25">
      <c r="AN31"/>
    </row>
    <row r="32" spans="40:40" s="1" customFormat="1" x14ac:dyDescent="0.25">
      <c r="AN32"/>
    </row>
    <row r="33" spans="40:40" s="1" customFormat="1" x14ac:dyDescent="0.25">
      <c r="AN33"/>
    </row>
    <row r="34" spans="40:40" s="1" customFormat="1" x14ac:dyDescent="0.25">
      <c r="AN34"/>
    </row>
    <row r="35" spans="40:40" s="1" customFormat="1" x14ac:dyDescent="0.25">
      <c r="AN35"/>
    </row>
    <row r="36" spans="40:40" s="1" customFormat="1" x14ac:dyDescent="0.25">
      <c r="AN36"/>
    </row>
    <row r="37" spans="40:40" s="1" customFormat="1" x14ac:dyDescent="0.25">
      <c r="AN37"/>
    </row>
    <row r="38" spans="40:40" s="1" customFormat="1" x14ac:dyDescent="0.25">
      <c r="AN38"/>
    </row>
    <row r="39" spans="40:40" s="1" customFormat="1" x14ac:dyDescent="0.25">
      <c r="AN39"/>
    </row>
    <row r="43" spans="40:40" s="1" customFormat="1" x14ac:dyDescent="0.25">
      <c r="AN43"/>
    </row>
    <row r="44" spans="40:40" s="1" customFormat="1" x14ac:dyDescent="0.25">
      <c r="AN44"/>
    </row>
    <row r="45" spans="40:40" s="1" customFormat="1" x14ac:dyDescent="0.25">
      <c r="AN45"/>
    </row>
    <row r="46" spans="40:40" s="1" customFormat="1" x14ac:dyDescent="0.25">
      <c r="AN46"/>
    </row>
    <row r="47" spans="40:40" s="1" customFormat="1" x14ac:dyDescent="0.25">
      <c r="AN47"/>
    </row>
    <row r="48" spans="40:40" s="1" customFormat="1" x14ac:dyDescent="0.25">
      <c r="AN48"/>
    </row>
    <row r="49" spans="40:40" s="1" customFormat="1" x14ac:dyDescent="0.25">
      <c r="AN49"/>
    </row>
    <row r="50" spans="40:40" s="1" customFormat="1" x14ac:dyDescent="0.25">
      <c r="AN50"/>
    </row>
    <row r="51" spans="40:40" s="1" customFormat="1" x14ac:dyDescent="0.25">
      <c r="AN51"/>
    </row>
    <row r="52" spans="40:40" s="1" customFormat="1" x14ac:dyDescent="0.25">
      <c r="AN52"/>
    </row>
    <row r="53" spans="40:40" s="1" customFormat="1" x14ac:dyDescent="0.25">
      <c r="AN53"/>
    </row>
    <row r="54" spans="40:40" s="1" customFormat="1" x14ac:dyDescent="0.25">
      <c r="AN54"/>
    </row>
    <row r="55" spans="40:40" s="1" customFormat="1" x14ac:dyDescent="0.25">
      <c r="AN55"/>
    </row>
    <row r="56" spans="40:40" s="1" customFormat="1" x14ac:dyDescent="0.25">
      <c r="AN56"/>
    </row>
    <row r="57" spans="40:40" s="1" customFormat="1" x14ac:dyDescent="0.25">
      <c r="AN57"/>
    </row>
    <row r="58" spans="40:40" s="1" customFormat="1" x14ac:dyDescent="0.25">
      <c r="AN58"/>
    </row>
    <row r="59" spans="40:40" s="1" customFormat="1" x14ac:dyDescent="0.25">
      <c r="AN59"/>
    </row>
    <row r="60" spans="40:40" s="1" customFormat="1" x14ac:dyDescent="0.25">
      <c r="AN60"/>
    </row>
    <row r="61" spans="40:40" s="1" customFormat="1" x14ac:dyDescent="0.25">
      <c r="AN61"/>
    </row>
    <row r="62" spans="40:40" s="1" customFormat="1" x14ac:dyDescent="0.25">
      <c r="AN62"/>
    </row>
    <row r="63" spans="40:40" s="1" customFormat="1" x14ac:dyDescent="0.25">
      <c r="AN63"/>
    </row>
    <row r="64" spans="40:40" s="1" customFormat="1" x14ac:dyDescent="0.25">
      <c r="AN64"/>
    </row>
    <row r="65" spans="40:40" s="1" customFormat="1" x14ac:dyDescent="0.25">
      <c r="AN65"/>
    </row>
    <row r="66" spans="40:40" s="1" customFormat="1" x14ac:dyDescent="0.25">
      <c r="AN66"/>
    </row>
    <row r="67" spans="40:40" s="1" customFormat="1" x14ac:dyDescent="0.25">
      <c r="AN67"/>
    </row>
    <row r="68" spans="40:40" s="1" customFormat="1" x14ac:dyDescent="0.25">
      <c r="AN68"/>
    </row>
    <row r="69" spans="40:40" s="1" customFormat="1" x14ac:dyDescent="0.25">
      <c r="AN69"/>
    </row>
    <row r="70" spans="40:40" s="1" customFormat="1" x14ac:dyDescent="0.25">
      <c r="AN70"/>
    </row>
    <row r="71" spans="40:40" s="1" customFormat="1" x14ac:dyDescent="0.25">
      <c r="AN71"/>
    </row>
    <row r="72" spans="40:40" s="1" customFormat="1" x14ac:dyDescent="0.25">
      <c r="AN72"/>
    </row>
    <row r="73" spans="40:40" s="1" customFormat="1" x14ac:dyDescent="0.25">
      <c r="AN73"/>
    </row>
    <row r="74" spans="40:40" s="1" customFormat="1" x14ac:dyDescent="0.25">
      <c r="AN74"/>
    </row>
    <row r="75" spans="40:40" s="1" customFormat="1" x14ac:dyDescent="0.25">
      <c r="AN75"/>
    </row>
    <row r="76" spans="40:40" s="1" customFormat="1" x14ac:dyDescent="0.25">
      <c r="AN76"/>
    </row>
    <row r="77" spans="40:40" s="1" customFormat="1" x14ac:dyDescent="0.25">
      <c r="AN77"/>
    </row>
    <row r="78" spans="40:40" s="1" customFormat="1" x14ac:dyDescent="0.25">
      <c r="AN78"/>
    </row>
    <row r="79" spans="40:40" s="1" customFormat="1" x14ac:dyDescent="0.25">
      <c r="AN79"/>
    </row>
    <row r="80" spans="40:40" s="1" customFormat="1" x14ac:dyDescent="0.25">
      <c r="AN80"/>
    </row>
    <row r="81" spans="40:40" s="1" customFormat="1" x14ac:dyDescent="0.25">
      <c r="AN8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theme="0"/>
  </sheetPr>
  <dimension ref="A1:W6"/>
  <sheetViews>
    <sheetView workbookViewId="0">
      <selection activeCell="D4" sqref="D4"/>
    </sheetView>
  </sheetViews>
  <sheetFormatPr defaultColWidth="9.140625" defaultRowHeight="15" x14ac:dyDescent="0.25"/>
  <cols>
    <col min="1" max="1" width="9.140625" style="131"/>
    <col min="2" max="2" width="21.85546875" style="131" customWidth="1"/>
    <col min="3" max="10" width="20.7109375" style="131" customWidth="1"/>
    <col min="11" max="11" width="9.140625" style="131"/>
    <col min="13" max="13" width="23.7109375" customWidth="1"/>
    <col min="14" max="21" width="17.7109375" customWidth="1"/>
    <col min="24" max="16384" width="9.140625" style="131"/>
  </cols>
  <sheetData>
    <row r="1" spans="1:23" ht="25.5" x14ac:dyDescent="0.25">
      <c r="A1" s="155" t="s">
        <v>67</v>
      </c>
      <c r="B1" s="155" t="s">
        <v>68</v>
      </c>
      <c r="C1" s="155" t="s">
        <v>90</v>
      </c>
      <c r="D1" s="155" t="s">
        <v>91</v>
      </c>
      <c r="E1" s="155" t="s">
        <v>92</v>
      </c>
      <c r="F1" s="155" t="s">
        <v>93</v>
      </c>
      <c r="G1" s="155" t="s">
        <v>94</v>
      </c>
      <c r="H1" s="155" t="s">
        <v>95</v>
      </c>
      <c r="I1" s="155" t="s">
        <v>96</v>
      </c>
      <c r="J1" s="155" t="s">
        <v>97</v>
      </c>
    </row>
    <row r="2" spans="1:23" s="154" customFormat="1" ht="20.25" customHeight="1" x14ac:dyDescent="0.25">
      <c r="A2" s="156"/>
      <c r="B2" s="155" t="s">
        <v>115</v>
      </c>
      <c r="C2" s="156"/>
      <c r="D2" s="156">
        <f>C3-D3</f>
        <v>1369</v>
      </c>
      <c r="E2" s="158">
        <f>D2-E3</f>
        <v>1356</v>
      </c>
      <c r="F2" s="158">
        <f>E2-F3</f>
        <v>1352</v>
      </c>
      <c r="G2" s="158">
        <f>F2-G3</f>
        <v>1336</v>
      </c>
      <c r="H2" s="158">
        <f>G2-H3</f>
        <v>1283</v>
      </c>
      <c r="I2" s="158">
        <f>H2+I3</f>
        <v>1292</v>
      </c>
      <c r="J2" s="158"/>
      <c r="L2"/>
      <c r="M2"/>
      <c r="N2"/>
      <c r="O2"/>
      <c r="P2"/>
      <c r="Q2"/>
      <c r="R2"/>
      <c r="S2"/>
      <c r="T2"/>
      <c r="U2"/>
      <c r="V2"/>
      <c r="W2"/>
    </row>
    <row r="3" spans="1:23" s="154" customFormat="1" ht="20.25" customHeight="1" x14ac:dyDescent="0.25">
      <c r="A3" s="156">
        <f>КПЭ!$W$1</f>
        <v>2023</v>
      </c>
      <c r="B3" s="156" t="str">
        <f>КПЭ!$B$2</f>
        <v>все ФН</v>
      </c>
      <c r="C3" s="156">
        <f>IF($B$3="ВСЕ ФН",SUMIFS(База_КР_КК[Кол-во резервистов на уникальных должностях],База_КР_КК[Дата включения в резерв],"&lt;01.01."&amp;A3,База_КР_КК[Статус в резерве],'Списки данных'!$L$2)+SUMIFS(База_КР_КК[Кол-во резервистов на уникальных должностях],База_КР_КК[Дата включения в резерв],"&lt;01.01."&amp;A3,База_КР_КК[Статус в резерве],"&lt;&gt;'Списки данных'!$L$2",База_КР_КК[Дата исключения из КР],"&gt;=01.01."&amp;A3),SUMIFS(База_КР_КК[Кол-во резервистов на уникальных должностях],База_КР_КК[Дата включения в резерв],"&lt;01.01."&amp;A3,База_КР_КК[Статус в резерве],'Списки данных'!$L$2,База_КР_КК[ФН резервируемой должности],$B$3)+SUMIFS(База_КР_КК[Кол-во резервистов на уникальных должностях],База_КР_КК[Дата включения в резерв],"&lt;01.01."&amp;A3,База_КР_КК[Статус в резерве],"&lt;&gt;'Списки данных'!$L$2",База_КР_КК[Дата исключения из КР],"&gt;=01.01."&amp;A3,База_КР_КК[ФН резервируемой должности],$B$3))</f>
        <v>1386</v>
      </c>
      <c r="D3" s="156">
        <f>IF($B$3="ВСЕ ФН",SUMIFS(База_КР_КК[Кол-во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КР],'Списки данных'!$N$2),SUMIFS(База_КР_КК[Кол-во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КР],'Списки данных'!$N$2,База_КР_КК[ФН резервируемой должности],$B$3))</f>
        <v>17</v>
      </c>
      <c r="E3" s="158">
        <f>IF($B$3="ВСЕ ФН",SUMIFS(База_КР_КК[Кол-во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КР],'Списки данных'!$N$7),SUMIFS(База_КР_КК[Кол-во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КР],'Списки данных'!$N$7,База_КР_КК[ФН резервируемой должности],$B$3))</f>
        <v>13</v>
      </c>
      <c r="F3" s="158">
        <f>IF($B$3="ВСЕ ФН",SUMIFS(База_КР_КК[Кол-во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КР],'Списки данных'!$N$6),SUMIFS(База_КР_КК[Кол-во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КР],'Списки данных'!$N$6,База_КР_КК[ФН резервируемой должности],$B$3))</f>
        <v>4</v>
      </c>
      <c r="G3" s="158">
        <f>IF($B$3="ВСЕ ФН",SUMIFS(База_КР_КК[Кол-во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КР],"прочее*"),SUMIFS(База_КР_КК[Кол-во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КР],"прочее*",База_КР_КК[ФН резервируемой должности],$B$3))</f>
        <v>16</v>
      </c>
      <c r="H3" s="158">
        <f>IF($B$3="ВСЕ ФН",SUMIFS(База_КР_КК[Кол-во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КР],"назначение*"),SUMIFS(База_КР_КК[Кол-во резервистов на уникальных должностях],База_КР_КК[Статус в резерве],"&lt;&gt;'Списки данных'!$L$2",База_КР_КК[Дата исключения из КР],"&gt;=01.01."&amp;A3,База_КР_КК[Дата исключения из КР],"&lt;=31.12."&amp;A3,База_КР_КК[Причина исключения из КР],"назначение*",База_КР_КК[ФН резервируемой должности],$B$3))</f>
        <v>53</v>
      </c>
      <c r="I3" s="158">
        <f>IF($B$3="ВСЕ ФН",SUMIFS(База_КР_КК[Кол-во резервистов на уникальных должностях],База_КР_КК[Дата включения в резерв],"&gt;=01.01."&amp;A3,База_КР_КК[Дата включения в резерв],"&lt;=31.12."&amp;A3),SUMIFS('База КР'!Z:Z,'База КР'!C:C,"&gt;=01.01."&amp;A3,'База КР'!C:C,"&lt;=31.12."&amp;A3,'База КР'!A:A,$B$3))</f>
        <v>9</v>
      </c>
      <c r="J3" s="158">
        <f>IF($B$3="ВСЕ ФН",SUMIFS('База КР'!Z:Z,'База КР'!Y:Y,'Списки данных'!$L$2),SUMIFS('База КР'!Z:Z,'База КР'!Y:Y,'Списки данных'!$L$2,'База КР'!A:A,$B$3))</f>
        <v>1290</v>
      </c>
      <c r="L3"/>
      <c r="M3"/>
      <c r="N3"/>
      <c r="O3"/>
      <c r="P3"/>
      <c r="Q3"/>
      <c r="R3"/>
      <c r="S3"/>
      <c r="T3"/>
      <c r="U3"/>
      <c r="V3"/>
      <c r="W3"/>
    </row>
    <row r="4" spans="1:23" ht="25.5" x14ac:dyDescent="0.25">
      <c r="A4" s="159"/>
      <c r="B4" s="155" t="s">
        <v>98</v>
      </c>
      <c r="C4" s="157">
        <f>VLOOKUP($A$3&amp;$B$4,целевые_показатели[[Технический столбец]:[Значение плана]],2,0)</f>
        <v>7.0000000000000007E-2</v>
      </c>
      <c r="D4" s="157">
        <f>VLOOKUP($A$3&amp;$B$4,целевые_показатели[[Технический столбец]:[Значение плана]],2,0)</f>
        <v>7.0000000000000007E-2</v>
      </c>
      <c r="E4" s="157">
        <f>VLOOKUP($A$3&amp;$B$4,целевые_показатели[[Технический столбец]:[Значение плана]],2,0)</f>
        <v>7.0000000000000007E-2</v>
      </c>
      <c r="F4" s="157">
        <f>VLOOKUP($A$3&amp;$B$4,целевые_показатели[[Технический столбец]:[Значение плана]],2,0)</f>
        <v>7.0000000000000007E-2</v>
      </c>
      <c r="G4" s="157">
        <f>VLOOKUP($A$3&amp;$B$4,целевые_показатели[[Технический столбец]:[Значение плана]],2,0)</f>
        <v>7.0000000000000007E-2</v>
      </c>
      <c r="H4" s="157">
        <f>VLOOKUP($A$3&amp;$B$4,целевые_показатели[[Технический столбец]:[Значение плана]],2,0)</f>
        <v>7.0000000000000007E-2</v>
      </c>
      <c r="I4" s="157">
        <f>VLOOKUP($A$3&amp;$B$4,целевые_показатели[[Технический столбец]:[Значение плана]],2,0)</f>
        <v>7.0000000000000007E-2</v>
      </c>
      <c r="J4" s="157">
        <f>VLOOKUP($A$3&amp;$B$4,целевые_показатели[[Технический столбец]:[Значение плана]],2,0)</f>
        <v>7.0000000000000007E-2</v>
      </c>
    </row>
    <row r="5" spans="1:23" ht="38.25" x14ac:dyDescent="0.25">
      <c r="A5" s="159"/>
      <c r="B5" s="155" t="s">
        <v>99</v>
      </c>
      <c r="C5" s="157">
        <f>(D3+E3+F3+G3)/((C3+J3)/2)</f>
        <v>3.7369207772795218E-2</v>
      </c>
      <c r="D5" s="157">
        <f>(D3+E3+F3+G3)/((C3+J3)/2)</f>
        <v>3.7369207772795218E-2</v>
      </c>
      <c r="E5" s="157">
        <f>(D3+E3+F3+G3)/((C3+J3)/2)</f>
        <v>3.7369207772795218E-2</v>
      </c>
      <c r="F5" s="157">
        <f>(D3+E3+F3+G3)/((C3+J3)/2)</f>
        <v>3.7369207772795218E-2</v>
      </c>
      <c r="G5" s="157">
        <f>(D3+E3+F3+G3)/((C3+J3)/2)</f>
        <v>3.7369207772795218E-2</v>
      </c>
      <c r="H5" s="157">
        <f>(D3+E3+F3+G3)/((C3+J3)/2)</f>
        <v>3.7369207772795218E-2</v>
      </c>
      <c r="I5" s="157">
        <f>(D3+E3+F3+G3)/((C3+J3)/2)</f>
        <v>3.7369207772795218E-2</v>
      </c>
      <c r="J5" s="157">
        <f>(D3+E3+F3+G3)/((C3+J3)/2)</f>
        <v>3.7369207772795218E-2</v>
      </c>
    </row>
    <row r="6" spans="1:23" ht="38.25" x14ac:dyDescent="0.25">
      <c r="A6" s="159"/>
      <c r="B6" s="155" t="s">
        <v>100</v>
      </c>
      <c r="C6" s="157">
        <f>E3/((C3+J3)/2)</f>
        <v>9.7159940209267555E-3</v>
      </c>
      <c r="D6" s="157">
        <f>E3/((C3+J3)/2)</f>
        <v>9.7159940209267555E-3</v>
      </c>
      <c r="E6" s="157">
        <f>E3/((C3+J3)/2)</f>
        <v>9.7159940209267555E-3</v>
      </c>
      <c r="F6" s="157">
        <f>E3/((C3+J3)/2)</f>
        <v>9.7159940209267555E-3</v>
      </c>
      <c r="G6" s="157">
        <f>E3/((C3+J3)/2)</f>
        <v>9.7159940209267555E-3</v>
      </c>
      <c r="H6" s="157">
        <f>E3/((C3+J3)/2)</f>
        <v>9.7159940209267555E-3</v>
      </c>
      <c r="I6" s="157">
        <f>E3/((C3+J3)/2)</f>
        <v>9.7159940209267555E-3</v>
      </c>
      <c r="J6" s="157">
        <f>E3/((C3+J3)/2)</f>
        <v>9.7159940209267555E-3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>
    <tabColor theme="0"/>
  </sheetPr>
  <dimension ref="C1:T1042024"/>
  <sheetViews>
    <sheetView workbookViewId="0">
      <selection activeCell="G9" sqref="G9"/>
    </sheetView>
  </sheetViews>
  <sheetFormatPr defaultRowHeight="15" outlineLevelCol="1" x14ac:dyDescent="0.25"/>
  <cols>
    <col min="1" max="1" width="5.140625" customWidth="1"/>
    <col min="2" max="2" width="5.42578125" customWidth="1"/>
    <col min="3" max="3" width="26.5703125" style="2" customWidth="1" outlineLevel="1"/>
    <col min="4" max="4" width="12.140625" style="2" customWidth="1" outlineLevel="1"/>
    <col min="5" max="5" width="37.5703125" style="1" customWidth="1"/>
    <col min="7" max="7" width="44.7109375" bestFit="1" customWidth="1"/>
    <col min="8" max="9" width="3.28515625" customWidth="1"/>
    <col min="10" max="10" width="15.28515625" customWidth="1"/>
    <col min="12" max="12" width="24.140625" customWidth="1"/>
    <col min="14" max="14" width="26.28515625" customWidth="1"/>
    <col min="16" max="16" width="14.7109375" customWidth="1"/>
    <col min="18" max="18" width="38.42578125" bestFit="1" customWidth="1"/>
  </cols>
  <sheetData>
    <row r="1" spans="3:20" ht="48" x14ac:dyDescent="0.25">
      <c r="C1" s="14" t="s">
        <v>11</v>
      </c>
      <c r="D1" s="14" t="s">
        <v>39</v>
      </c>
      <c r="E1" s="13" t="s">
        <v>0</v>
      </c>
      <c r="G1" s="14" t="s">
        <v>40</v>
      </c>
      <c r="H1" s="72"/>
      <c r="J1" s="13" t="s">
        <v>6</v>
      </c>
      <c r="L1" s="13" t="s">
        <v>7</v>
      </c>
      <c r="N1" s="13" t="s">
        <v>8</v>
      </c>
      <c r="P1" s="13" t="s">
        <v>9</v>
      </c>
      <c r="R1" s="21" t="s">
        <v>68</v>
      </c>
      <c r="T1" s="100" t="s">
        <v>102</v>
      </c>
    </row>
    <row r="2" spans="3:20" x14ac:dyDescent="0.25">
      <c r="C2" s="6" t="s">
        <v>121</v>
      </c>
      <c r="D2" s="8">
        <v>61</v>
      </c>
      <c r="E2" s="3" t="s">
        <v>2146</v>
      </c>
      <c r="G2" s="4" t="s">
        <v>66</v>
      </c>
      <c r="H2" s="71"/>
      <c r="J2" s="4" t="s">
        <v>295</v>
      </c>
      <c r="L2" s="4" t="s">
        <v>12</v>
      </c>
      <c r="N2" s="4" t="s">
        <v>38</v>
      </c>
      <c r="P2" s="4" t="s">
        <v>15</v>
      </c>
      <c r="R2" s="105" t="s">
        <v>2149</v>
      </c>
      <c r="T2" s="132" t="s">
        <v>78</v>
      </c>
    </row>
    <row r="3" spans="3:20" x14ac:dyDescent="0.25">
      <c r="C3" s="5" t="s">
        <v>122</v>
      </c>
      <c r="D3" s="7">
        <v>18</v>
      </c>
      <c r="E3" s="3" t="s">
        <v>2147</v>
      </c>
      <c r="G3" s="9" t="s">
        <v>65</v>
      </c>
      <c r="H3" s="71"/>
      <c r="J3" s="4" t="s">
        <v>297</v>
      </c>
      <c r="L3" s="4" t="s">
        <v>18</v>
      </c>
      <c r="N3" s="4" t="s">
        <v>24</v>
      </c>
      <c r="P3" s="4" t="s">
        <v>17</v>
      </c>
      <c r="R3" s="105" t="s">
        <v>2146</v>
      </c>
      <c r="T3" s="132" t="s">
        <v>79</v>
      </c>
    </row>
    <row r="4" spans="3:20" x14ac:dyDescent="0.25">
      <c r="C4" s="5" t="s">
        <v>123</v>
      </c>
      <c r="D4" s="7">
        <v>52</v>
      </c>
      <c r="E4" s="3" t="s">
        <v>2148</v>
      </c>
      <c r="G4" s="4" t="s">
        <v>57</v>
      </c>
      <c r="H4" s="70"/>
      <c r="J4" s="4" t="s">
        <v>296</v>
      </c>
      <c r="L4" s="4" t="s">
        <v>14</v>
      </c>
      <c r="N4" s="4" t="s">
        <v>37</v>
      </c>
      <c r="P4" s="4" t="s">
        <v>13</v>
      </c>
      <c r="R4" s="105" t="s">
        <v>2147</v>
      </c>
      <c r="T4" s="132" t="s">
        <v>80</v>
      </c>
    </row>
    <row r="5" spans="3:20" x14ac:dyDescent="0.25">
      <c r="C5" s="5" t="s">
        <v>124</v>
      </c>
      <c r="D5" s="7">
        <v>243</v>
      </c>
      <c r="E5" s="3" t="s">
        <v>2149</v>
      </c>
      <c r="G5" s="4" t="s">
        <v>58</v>
      </c>
      <c r="H5" s="70"/>
      <c r="N5" s="4" t="s">
        <v>34</v>
      </c>
      <c r="P5" s="4" t="s">
        <v>22</v>
      </c>
      <c r="R5" s="105" t="s">
        <v>2151</v>
      </c>
      <c r="T5" s="132" t="s">
        <v>81</v>
      </c>
    </row>
    <row r="6" spans="3:20" x14ac:dyDescent="0.25">
      <c r="C6" s="5" t="s">
        <v>125</v>
      </c>
      <c r="D6" s="7">
        <v>216</v>
      </c>
      <c r="E6" s="3" t="s">
        <v>2147</v>
      </c>
      <c r="G6" s="4" t="s">
        <v>49</v>
      </c>
      <c r="H6" s="70"/>
      <c r="N6" s="4" t="s">
        <v>20</v>
      </c>
      <c r="P6" s="4" t="s">
        <v>31</v>
      </c>
      <c r="R6" s="105" t="s">
        <v>2150</v>
      </c>
      <c r="T6" s="132" t="s">
        <v>82</v>
      </c>
    </row>
    <row r="7" spans="3:20" x14ac:dyDescent="0.25">
      <c r="C7" s="5" t="s">
        <v>126</v>
      </c>
      <c r="D7" s="7">
        <v>409</v>
      </c>
      <c r="E7" s="3" t="s">
        <v>2150</v>
      </c>
      <c r="G7" s="4" t="s">
        <v>48</v>
      </c>
      <c r="H7" s="70"/>
      <c r="N7" s="4" t="s">
        <v>19</v>
      </c>
      <c r="R7" s="105" t="s">
        <v>2152</v>
      </c>
      <c r="T7" s="133" t="s">
        <v>104</v>
      </c>
    </row>
    <row r="8" spans="3:20" x14ac:dyDescent="0.25">
      <c r="C8" s="5" t="s">
        <v>127</v>
      </c>
      <c r="D8" s="7">
        <v>202</v>
      </c>
      <c r="E8" s="3" t="s">
        <v>2151</v>
      </c>
      <c r="G8" s="4" t="s">
        <v>51</v>
      </c>
      <c r="H8" s="70"/>
      <c r="N8" s="4" t="s">
        <v>33</v>
      </c>
      <c r="R8" s="105" t="s">
        <v>2154</v>
      </c>
    </row>
    <row r="9" spans="3:20" x14ac:dyDescent="0.25">
      <c r="C9" s="5" t="s">
        <v>128</v>
      </c>
      <c r="D9" s="7">
        <v>219</v>
      </c>
      <c r="E9" s="3" t="s">
        <v>2152</v>
      </c>
      <c r="G9" s="4" t="s">
        <v>50</v>
      </c>
      <c r="H9" s="70"/>
      <c r="N9" s="4" t="s">
        <v>41</v>
      </c>
      <c r="R9" s="105" t="s">
        <v>2155</v>
      </c>
    </row>
    <row r="10" spans="3:20" x14ac:dyDescent="0.25">
      <c r="C10" s="5" t="s">
        <v>129</v>
      </c>
      <c r="D10" s="7">
        <v>217</v>
      </c>
      <c r="E10" s="3" t="s">
        <v>2153</v>
      </c>
      <c r="N10" s="4" t="s">
        <v>301</v>
      </c>
      <c r="R10" s="105" t="s">
        <v>2153</v>
      </c>
    </row>
    <row r="11" spans="3:20" x14ac:dyDescent="0.25">
      <c r="C11" s="5" t="s">
        <v>130</v>
      </c>
      <c r="D11" s="7">
        <v>110</v>
      </c>
      <c r="E11" s="3" t="s">
        <v>2148</v>
      </c>
      <c r="N11" s="4" t="s">
        <v>43</v>
      </c>
      <c r="R11" s="105" t="s">
        <v>2156</v>
      </c>
    </row>
    <row r="12" spans="3:20" x14ac:dyDescent="0.25">
      <c r="C12" s="5" t="s">
        <v>131</v>
      </c>
      <c r="D12" s="7">
        <v>262</v>
      </c>
      <c r="E12" s="3" t="s">
        <v>2154</v>
      </c>
      <c r="N12" s="4" t="s">
        <v>44</v>
      </c>
      <c r="R12" s="105" t="s">
        <v>2157</v>
      </c>
    </row>
    <row r="13" spans="3:20" x14ac:dyDescent="0.25">
      <c r="C13" s="5" t="s">
        <v>132</v>
      </c>
      <c r="D13" s="7">
        <v>1</v>
      </c>
      <c r="E13" s="3" t="s">
        <v>2147</v>
      </c>
      <c r="N13" s="4" t="s">
        <v>45</v>
      </c>
      <c r="R13" s="105" t="s">
        <v>2148</v>
      </c>
    </row>
    <row r="14" spans="3:20" x14ac:dyDescent="0.25">
      <c r="C14" s="5" t="s">
        <v>133</v>
      </c>
      <c r="D14" s="7">
        <v>2</v>
      </c>
      <c r="E14" s="3" t="s">
        <v>2147</v>
      </c>
      <c r="R14" s="134" t="s">
        <v>105</v>
      </c>
    </row>
    <row r="15" spans="3:20" x14ac:dyDescent="0.25">
      <c r="C15" s="5" t="s">
        <v>134</v>
      </c>
      <c r="D15" s="7">
        <v>51</v>
      </c>
      <c r="E15" s="3" t="s">
        <v>2148</v>
      </c>
    </row>
    <row r="16" spans="3:20" x14ac:dyDescent="0.25">
      <c r="C16" s="5" t="s">
        <v>135</v>
      </c>
      <c r="D16" s="7">
        <v>22</v>
      </c>
      <c r="E16" s="3" t="s">
        <v>2147</v>
      </c>
    </row>
    <row r="17" spans="3:5" x14ac:dyDescent="0.25">
      <c r="C17" s="5" t="s">
        <v>136</v>
      </c>
      <c r="D17" s="7">
        <v>6</v>
      </c>
      <c r="E17" s="3" t="s">
        <v>2153</v>
      </c>
    </row>
    <row r="18" spans="3:5" x14ac:dyDescent="0.25">
      <c r="C18" s="5" t="s">
        <v>137</v>
      </c>
      <c r="D18" s="7">
        <v>7</v>
      </c>
      <c r="E18" s="3" t="s">
        <v>2153</v>
      </c>
    </row>
    <row r="19" spans="3:5" x14ac:dyDescent="0.25">
      <c r="C19" s="5" t="s">
        <v>138</v>
      </c>
      <c r="D19" s="7">
        <v>21</v>
      </c>
      <c r="E19" s="3" t="s">
        <v>2153</v>
      </c>
    </row>
    <row r="20" spans="3:5" x14ac:dyDescent="0.25">
      <c r="C20" s="5" t="s">
        <v>139</v>
      </c>
      <c r="D20" s="7">
        <v>379</v>
      </c>
      <c r="E20" s="3" t="s">
        <v>2154</v>
      </c>
    </row>
    <row r="21" spans="3:5" x14ac:dyDescent="0.25">
      <c r="C21" s="5" t="s">
        <v>140</v>
      </c>
      <c r="D21" s="7">
        <v>47</v>
      </c>
      <c r="E21" s="3" t="s">
        <v>2155</v>
      </c>
    </row>
    <row r="22" spans="3:5" x14ac:dyDescent="0.25">
      <c r="C22" s="5" t="s">
        <v>141</v>
      </c>
      <c r="D22" s="7">
        <v>36</v>
      </c>
      <c r="E22" s="3" t="s">
        <v>2155</v>
      </c>
    </row>
    <row r="23" spans="3:5" x14ac:dyDescent="0.25">
      <c r="C23" s="6" t="s">
        <v>142</v>
      </c>
      <c r="D23" s="8">
        <v>81</v>
      </c>
      <c r="E23" s="3" t="s">
        <v>2155</v>
      </c>
    </row>
    <row r="24" spans="3:5" x14ac:dyDescent="0.25">
      <c r="C24" s="5" t="s">
        <v>143</v>
      </c>
      <c r="D24" s="7">
        <v>20</v>
      </c>
      <c r="E24" s="3" t="s">
        <v>2153</v>
      </c>
    </row>
    <row r="25" spans="3:5" x14ac:dyDescent="0.25">
      <c r="C25" s="5" t="s">
        <v>144</v>
      </c>
      <c r="D25" s="7">
        <v>33</v>
      </c>
      <c r="E25" s="3" t="s">
        <v>2155</v>
      </c>
    </row>
    <row r="26" spans="3:5" x14ac:dyDescent="0.25">
      <c r="C26" s="5" t="s">
        <v>145</v>
      </c>
      <c r="D26" s="7">
        <v>94</v>
      </c>
      <c r="E26" s="3" t="s">
        <v>2155</v>
      </c>
    </row>
    <row r="27" spans="3:5" x14ac:dyDescent="0.25">
      <c r="C27" s="5" t="s">
        <v>146</v>
      </c>
      <c r="D27" s="7">
        <v>32</v>
      </c>
      <c r="E27" s="3" t="s">
        <v>2154</v>
      </c>
    </row>
    <row r="28" spans="3:5" x14ac:dyDescent="0.25">
      <c r="C28" s="5" t="s">
        <v>147</v>
      </c>
      <c r="D28" s="7">
        <v>49</v>
      </c>
      <c r="E28" s="3" t="s">
        <v>2148</v>
      </c>
    </row>
    <row r="29" spans="3:5" x14ac:dyDescent="0.25">
      <c r="C29" s="5" t="s">
        <v>148</v>
      </c>
      <c r="D29" s="7">
        <v>317</v>
      </c>
      <c r="E29" s="3" t="s">
        <v>2156</v>
      </c>
    </row>
    <row r="30" spans="3:5" x14ac:dyDescent="0.25">
      <c r="C30" s="5" t="s">
        <v>149</v>
      </c>
      <c r="D30" s="7">
        <v>60</v>
      </c>
      <c r="E30" s="3" t="s">
        <v>2157</v>
      </c>
    </row>
    <row r="31" spans="3:5" x14ac:dyDescent="0.25">
      <c r="C31" s="5" t="s">
        <v>150</v>
      </c>
      <c r="D31" s="7">
        <v>253</v>
      </c>
      <c r="E31" s="3" t="s">
        <v>2156</v>
      </c>
    </row>
    <row r="32" spans="3:5" x14ac:dyDescent="0.25">
      <c r="C32" s="5" t="s">
        <v>151</v>
      </c>
      <c r="D32" s="7">
        <v>358</v>
      </c>
      <c r="E32" s="3" t="s">
        <v>2154</v>
      </c>
    </row>
    <row r="33" spans="3:5" x14ac:dyDescent="0.25">
      <c r="C33" s="5" t="s">
        <v>152</v>
      </c>
      <c r="D33" s="7">
        <v>380</v>
      </c>
      <c r="E33" s="3" t="s">
        <v>2154</v>
      </c>
    </row>
    <row r="34" spans="3:5" x14ac:dyDescent="0.25">
      <c r="C34" s="11" t="s">
        <v>153</v>
      </c>
      <c r="D34" s="12">
        <v>417</v>
      </c>
      <c r="E34" s="10" t="s">
        <v>2156</v>
      </c>
    </row>
    <row r="35" spans="3:5" x14ac:dyDescent="0.25">
      <c r="C35" s="11" t="s">
        <v>154</v>
      </c>
      <c r="D35" s="12">
        <v>399</v>
      </c>
      <c r="E35" s="10" t="s">
        <v>2156</v>
      </c>
    </row>
    <row r="36" spans="3:5" x14ac:dyDescent="0.25">
      <c r="C36" s="5" t="s">
        <v>155</v>
      </c>
      <c r="D36" s="7">
        <v>381</v>
      </c>
      <c r="E36" s="3" t="s">
        <v>2154</v>
      </c>
    </row>
    <row r="37" spans="3:5" x14ac:dyDescent="0.25">
      <c r="C37" s="5" t="s">
        <v>156</v>
      </c>
      <c r="D37" s="7">
        <v>31</v>
      </c>
      <c r="E37" s="3" t="s">
        <v>2155</v>
      </c>
    </row>
    <row r="38" spans="3:5" x14ac:dyDescent="0.25">
      <c r="C38" s="5" t="s">
        <v>157</v>
      </c>
      <c r="D38" s="7">
        <v>4</v>
      </c>
      <c r="E38" s="3" t="s">
        <v>2153</v>
      </c>
    </row>
    <row r="39" spans="3:5" x14ac:dyDescent="0.25">
      <c r="C39" s="5" t="s">
        <v>158</v>
      </c>
      <c r="D39" s="7">
        <v>72</v>
      </c>
      <c r="E39" s="3" t="s">
        <v>2156</v>
      </c>
    </row>
    <row r="40" spans="3:5" x14ac:dyDescent="0.25">
      <c r="C40" s="5" t="s">
        <v>159</v>
      </c>
      <c r="D40" s="7">
        <v>50</v>
      </c>
      <c r="E40" s="3" t="s">
        <v>2148</v>
      </c>
    </row>
    <row r="41" spans="3:5" x14ac:dyDescent="0.25">
      <c r="C41" s="5" t="s">
        <v>160</v>
      </c>
      <c r="D41" s="7">
        <v>12</v>
      </c>
      <c r="E41" s="3" t="s">
        <v>2152</v>
      </c>
    </row>
    <row r="42" spans="3:5" x14ac:dyDescent="0.25">
      <c r="C42" s="5" t="s">
        <v>161</v>
      </c>
      <c r="D42" s="7">
        <v>15</v>
      </c>
      <c r="E42" s="3" t="s">
        <v>2152</v>
      </c>
    </row>
    <row r="43" spans="3:5" x14ac:dyDescent="0.25">
      <c r="C43" s="5" t="s">
        <v>162</v>
      </c>
      <c r="D43" s="7">
        <v>337</v>
      </c>
      <c r="E43" s="3" t="s">
        <v>2150</v>
      </c>
    </row>
    <row r="44" spans="3:5" x14ac:dyDescent="0.25">
      <c r="C44" s="5" t="s">
        <v>163</v>
      </c>
      <c r="D44" s="7">
        <v>34</v>
      </c>
      <c r="E44" s="3" t="s">
        <v>2155</v>
      </c>
    </row>
    <row r="45" spans="3:5" x14ac:dyDescent="0.25">
      <c r="C45" s="5" t="s">
        <v>164</v>
      </c>
      <c r="D45" s="7">
        <v>28</v>
      </c>
      <c r="E45" s="3" t="s">
        <v>2150</v>
      </c>
    </row>
    <row r="46" spans="3:5" x14ac:dyDescent="0.25">
      <c r="C46" s="5" t="s">
        <v>165</v>
      </c>
      <c r="D46" s="7">
        <v>213</v>
      </c>
      <c r="E46" s="3" t="s">
        <v>2154</v>
      </c>
    </row>
    <row r="47" spans="3:5" x14ac:dyDescent="0.25">
      <c r="C47" s="5" t="s">
        <v>166</v>
      </c>
      <c r="D47" s="7">
        <v>214</v>
      </c>
      <c r="E47" s="3" t="s">
        <v>2154</v>
      </c>
    </row>
    <row r="48" spans="3:5" x14ac:dyDescent="0.25">
      <c r="C48" s="5" t="s">
        <v>167</v>
      </c>
      <c r="D48" s="7">
        <v>218</v>
      </c>
      <c r="E48" s="3" t="s">
        <v>2154</v>
      </c>
    </row>
    <row r="49" spans="3:5" x14ac:dyDescent="0.25">
      <c r="C49" s="5" t="s">
        <v>168</v>
      </c>
      <c r="D49" s="7">
        <v>48</v>
      </c>
      <c r="E49" s="3" t="s">
        <v>2148</v>
      </c>
    </row>
    <row r="50" spans="3:5" x14ac:dyDescent="0.25">
      <c r="C50" s="5" t="s">
        <v>169</v>
      </c>
      <c r="D50" s="7">
        <v>11</v>
      </c>
      <c r="E50" s="3" t="s">
        <v>2152</v>
      </c>
    </row>
    <row r="51" spans="3:5" x14ac:dyDescent="0.25">
      <c r="C51" s="5" t="s">
        <v>170</v>
      </c>
      <c r="D51" s="7">
        <v>238</v>
      </c>
      <c r="E51" s="3" t="s">
        <v>2152</v>
      </c>
    </row>
    <row r="52" spans="3:5" x14ac:dyDescent="0.25">
      <c r="C52" s="5" t="s">
        <v>171</v>
      </c>
      <c r="D52" s="7">
        <v>221</v>
      </c>
      <c r="E52" s="3" t="s">
        <v>2148</v>
      </c>
    </row>
    <row r="53" spans="3:5" x14ac:dyDescent="0.25">
      <c r="C53" s="6" t="s">
        <v>172</v>
      </c>
      <c r="D53" s="8">
        <v>384</v>
      </c>
      <c r="E53" s="3" t="s">
        <v>2148</v>
      </c>
    </row>
    <row r="54" spans="3:5" x14ac:dyDescent="0.25">
      <c r="C54" s="5" t="s">
        <v>173</v>
      </c>
      <c r="D54" s="7">
        <v>13</v>
      </c>
      <c r="E54" s="3" t="s">
        <v>2152</v>
      </c>
    </row>
    <row r="55" spans="3:5" x14ac:dyDescent="0.25">
      <c r="C55" s="5" t="s">
        <v>174</v>
      </c>
      <c r="D55" s="7">
        <v>252</v>
      </c>
      <c r="E55" s="3" t="s">
        <v>2156</v>
      </c>
    </row>
    <row r="56" spans="3:5" x14ac:dyDescent="0.25">
      <c r="C56" s="5" t="s">
        <v>175</v>
      </c>
      <c r="D56" s="7">
        <v>63</v>
      </c>
      <c r="E56" s="3" t="s">
        <v>2148</v>
      </c>
    </row>
    <row r="57" spans="3:5" x14ac:dyDescent="0.25">
      <c r="C57" s="5" t="s">
        <v>176</v>
      </c>
      <c r="D57" s="7">
        <v>421</v>
      </c>
      <c r="E57" s="3" t="s">
        <v>2150</v>
      </c>
    </row>
    <row r="58" spans="3:5" x14ac:dyDescent="0.25">
      <c r="C58" s="5" t="s">
        <v>177</v>
      </c>
      <c r="D58" s="7">
        <v>41</v>
      </c>
      <c r="E58" s="3" t="s">
        <v>2154</v>
      </c>
    </row>
    <row r="59" spans="3:5" x14ac:dyDescent="0.25">
      <c r="C59"/>
      <c r="D59"/>
      <c r="E59" s="15"/>
    </row>
    <row r="60" spans="3:5" x14ac:dyDescent="0.25">
      <c r="C60"/>
      <c r="D60"/>
      <c r="E60"/>
    </row>
    <row r="61" spans="3:5" x14ac:dyDescent="0.25">
      <c r="C61"/>
      <c r="D61"/>
      <c r="E61"/>
    </row>
    <row r="62" spans="3:5" x14ac:dyDescent="0.25">
      <c r="C62"/>
      <c r="D62"/>
      <c r="E62"/>
    </row>
    <row r="63" spans="3:5" x14ac:dyDescent="0.25">
      <c r="C63"/>
      <c r="D63"/>
      <c r="E63"/>
    </row>
    <row r="64" spans="3:5" x14ac:dyDescent="0.25">
      <c r="C64"/>
      <c r="D64"/>
      <c r="E64"/>
    </row>
    <row r="65" spans="3:5" x14ac:dyDescent="0.25">
      <c r="C65"/>
      <c r="D65"/>
      <c r="E65"/>
    </row>
    <row r="66" spans="3:5" x14ac:dyDescent="0.25">
      <c r="C66"/>
      <c r="D66"/>
      <c r="E66"/>
    </row>
    <row r="67" spans="3:5" x14ac:dyDescent="0.25">
      <c r="C67"/>
      <c r="D67"/>
      <c r="E67"/>
    </row>
    <row r="68" spans="3:5" x14ac:dyDescent="0.25">
      <c r="C68"/>
      <c r="D68"/>
      <c r="E68"/>
    </row>
    <row r="69" spans="3:5" x14ac:dyDescent="0.25">
      <c r="C69"/>
      <c r="D69"/>
      <c r="E69"/>
    </row>
    <row r="70" spans="3:5" x14ac:dyDescent="0.25">
      <c r="C70"/>
      <c r="D70"/>
      <c r="E70"/>
    </row>
    <row r="71" spans="3:5" x14ac:dyDescent="0.25">
      <c r="C71"/>
      <c r="D71"/>
      <c r="E71"/>
    </row>
    <row r="72" spans="3:5" x14ac:dyDescent="0.25">
      <c r="C72"/>
      <c r="D72"/>
      <c r="E72"/>
    </row>
    <row r="73" spans="3:5" x14ac:dyDescent="0.25">
      <c r="C73"/>
      <c r="D73"/>
      <c r="E73"/>
    </row>
    <row r="74" spans="3:5" x14ac:dyDescent="0.25">
      <c r="C74"/>
      <c r="D74"/>
      <c r="E74"/>
    </row>
    <row r="75" spans="3:5" x14ac:dyDescent="0.25">
      <c r="C75"/>
      <c r="D75"/>
      <c r="E75"/>
    </row>
    <row r="76" spans="3:5" x14ac:dyDescent="0.25">
      <c r="C76"/>
      <c r="D76"/>
      <c r="E76"/>
    </row>
    <row r="77" spans="3:5" x14ac:dyDescent="0.25">
      <c r="C77"/>
      <c r="D77"/>
      <c r="E77"/>
    </row>
    <row r="78" spans="3:5" x14ac:dyDescent="0.25">
      <c r="C78"/>
      <c r="D78"/>
      <c r="E78"/>
    </row>
    <row r="79" spans="3:5" x14ac:dyDescent="0.25">
      <c r="C79"/>
      <c r="D79"/>
      <c r="E79"/>
    </row>
    <row r="80" spans="3:5" x14ac:dyDescent="0.25">
      <c r="C80"/>
      <c r="D80"/>
      <c r="E80"/>
    </row>
    <row r="81" spans="3:5" x14ac:dyDescent="0.25">
      <c r="C81"/>
      <c r="D81"/>
      <c r="E81"/>
    </row>
    <row r="82" spans="3:5" x14ac:dyDescent="0.25">
      <c r="C82"/>
      <c r="D82"/>
      <c r="E82"/>
    </row>
    <row r="83" spans="3:5" x14ac:dyDescent="0.25">
      <c r="C83"/>
      <c r="D83"/>
      <c r="E83"/>
    </row>
    <row r="84" spans="3:5" x14ac:dyDescent="0.25">
      <c r="C84"/>
      <c r="D84"/>
      <c r="E84"/>
    </row>
    <row r="85" spans="3:5" x14ac:dyDescent="0.25">
      <c r="C85"/>
      <c r="D85"/>
      <c r="E85"/>
    </row>
    <row r="86" spans="3:5" x14ac:dyDescent="0.25">
      <c r="C86"/>
      <c r="D86"/>
      <c r="E86"/>
    </row>
    <row r="87" spans="3:5" x14ac:dyDescent="0.25">
      <c r="C87"/>
      <c r="D87"/>
      <c r="E87"/>
    </row>
    <row r="88" spans="3:5" x14ac:dyDescent="0.25">
      <c r="C88"/>
      <c r="D88"/>
      <c r="E88"/>
    </row>
    <row r="89" spans="3:5" x14ac:dyDescent="0.25">
      <c r="C89"/>
      <c r="D89"/>
      <c r="E89"/>
    </row>
    <row r="90" spans="3:5" x14ac:dyDescent="0.25">
      <c r="C90"/>
      <c r="D90"/>
      <c r="E90"/>
    </row>
    <row r="91" spans="3:5" x14ac:dyDescent="0.25">
      <c r="C91"/>
      <c r="D91"/>
      <c r="E91"/>
    </row>
    <row r="92" spans="3:5" x14ac:dyDescent="0.25">
      <c r="C92"/>
      <c r="D92"/>
      <c r="E92"/>
    </row>
    <row r="93" spans="3:5" x14ac:dyDescent="0.25">
      <c r="C93"/>
      <c r="D93"/>
      <c r="E93"/>
    </row>
    <row r="94" spans="3:5" x14ac:dyDescent="0.25">
      <c r="C94"/>
      <c r="D94"/>
      <c r="E94"/>
    </row>
    <row r="95" spans="3:5" x14ac:dyDescent="0.25">
      <c r="C95"/>
      <c r="D95"/>
      <c r="E95"/>
    </row>
    <row r="96" spans="3:5" x14ac:dyDescent="0.25">
      <c r="C96"/>
      <c r="D96"/>
      <c r="E96"/>
    </row>
    <row r="97" spans="3:5" x14ac:dyDescent="0.25">
      <c r="C97"/>
      <c r="D97"/>
      <c r="E97"/>
    </row>
    <row r="98" spans="3:5" x14ac:dyDescent="0.25">
      <c r="C98"/>
      <c r="D98"/>
      <c r="E98"/>
    </row>
    <row r="99" spans="3:5" x14ac:dyDescent="0.25">
      <c r="C99"/>
      <c r="D99"/>
      <c r="E99"/>
    </row>
    <row r="100" spans="3:5" x14ac:dyDescent="0.25">
      <c r="C100"/>
      <c r="D100"/>
      <c r="E100"/>
    </row>
    <row r="101" spans="3:5" x14ac:dyDescent="0.25">
      <c r="C101"/>
      <c r="D101"/>
      <c r="E101"/>
    </row>
    <row r="102" spans="3:5" x14ac:dyDescent="0.25">
      <c r="C102"/>
      <c r="D102"/>
      <c r="E102"/>
    </row>
    <row r="103" spans="3:5" x14ac:dyDescent="0.25">
      <c r="C103"/>
      <c r="D103"/>
      <c r="E103"/>
    </row>
    <row r="104" spans="3:5" x14ac:dyDescent="0.25">
      <c r="C104"/>
      <c r="D104"/>
      <c r="E104"/>
    </row>
    <row r="105" spans="3:5" x14ac:dyDescent="0.25">
      <c r="C105"/>
      <c r="D105"/>
      <c r="E105"/>
    </row>
    <row r="106" spans="3:5" x14ac:dyDescent="0.25">
      <c r="C106"/>
      <c r="D106"/>
      <c r="E106"/>
    </row>
    <row r="107" spans="3:5" x14ac:dyDescent="0.25">
      <c r="C107"/>
      <c r="D107"/>
      <c r="E107"/>
    </row>
    <row r="108" spans="3:5" x14ac:dyDescent="0.25">
      <c r="C108"/>
      <c r="D108"/>
      <c r="E108"/>
    </row>
    <row r="109" spans="3:5" x14ac:dyDescent="0.25">
      <c r="C109"/>
      <c r="D109"/>
      <c r="E109"/>
    </row>
    <row r="110" spans="3:5" x14ac:dyDescent="0.25">
      <c r="C110"/>
      <c r="D110"/>
      <c r="E110"/>
    </row>
    <row r="111" spans="3:5" x14ac:dyDescent="0.25">
      <c r="C111"/>
      <c r="D111"/>
      <c r="E111"/>
    </row>
    <row r="112" spans="3:5" x14ac:dyDescent="0.25">
      <c r="C112"/>
      <c r="D112"/>
      <c r="E112"/>
    </row>
    <row r="113" spans="3:5" x14ac:dyDescent="0.25">
      <c r="C113"/>
      <c r="D113"/>
      <c r="E113"/>
    </row>
    <row r="114" spans="3:5" x14ac:dyDescent="0.25">
      <c r="C114"/>
      <c r="D114"/>
      <c r="E114"/>
    </row>
    <row r="115" spans="3:5" x14ac:dyDescent="0.25">
      <c r="C115"/>
      <c r="D115"/>
      <c r="E115"/>
    </row>
    <row r="116" spans="3:5" x14ac:dyDescent="0.25">
      <c r="C116"/>
      <c r="D116"/>
      <c r="E116"/>
    </row>
    <row r="117" spans="3:5" x14ac:dyDescent="0.25">
      <c r="C117"/>
      <c r="D117"/>
      <c r="E117"/>
    </row>
    <row r="118" spans="3:5" x14ac:dyDescent="0.25">
      <c r="C118"/>
      <c r="D118"/>
      <c r="E118"/>
    </row>
    <row r="119" spans="3:5" x14ac:dyDescent="0.25">
      <c r="C119"/>
      <c r="D119"/>
      <c r="E119"/>
    </row>
    <row r="120" spans="3:5" x14ac:dyDescent="0.25">
      <c r="C120"/>
      <c r="D120"/>
      <c r="E120"/>
    </row>
    <row r="121" spans="3:5" x14ac:dyDescent="0.25">
      <c r="C121"/>
      <c r="D121"/>
      <c r="E121"/>
    </row>
    <row r="122" spans="3:5" x14ac:dyDescent="0.25">
      <c r="C122"/>
      <c r="D122"/>
      <c r="E122"/>
    </row>
    <row r="123" spans="3:5" x14ac:dyDescent="0.25">
      <c r="C123"/>
      <c r="D123"/>
      <c r="E123"/>
    </row>
    <row r="124" spans="3:5" x14ac:dyDescent="0.25">
      <c r="C124"/>
      <c r="D124"/>
      <c r="E124"/>
    </row>
    <row r="125" spans="3:5" x14ac:dyDescent="0.25">
      <c r="C125"/>
      <c r="D125"/>
      <c r="E125"/>
    </row>
    <row r="126" spans="3:5" x14ac:dyDescent="0.25">
      <c r="C126"/>
      <c r="D126"/>
      <c r="E126"/>
    </row>
    <row r="127" spans="3:5" x14ac:dyDescent="0.25">
      <c r="C127"/>
      <c r="D127"/>
      <c r="E127"/>
    </row>
    <row r="128" spans="3:5" x14ac:dyDescent="0.25">
      <c r="C128"/>
      <c r="D128"/>
      <c r="E128"/>
    </row>
    <row r="129" spans="3:5" x14ac:dyDescent="0.25">
      <c r="C129"/>
      <c r="D129"/>
      <c r="E129"/>
    </row>
    <row r="130" spans="3:5" x14ac:dyDescent="0.25">
      <c r="C130"/>
      <c r="D130"/>
      <c r="E130"/>
    </row>
    <row r="131" spans="3:5" x14ac:dyDescent="0.25">
      <c r="C131"/>
      <c r="D131"/>
      <c r="E131"/>
    </row>
    <row r="132" spans="3:5" x14ac:dyDescent="0.25">
      <c r="C132"/>
      <c r="D132"/>
      <c r="E132"/>
    </row>
    <row r="133" spans="3:5" x14ac:dyDescent="0.25">
      <c r="C133"/>
      <c r="D133"/>
      <c r="E133"/>
    </row>
    <row r="134" spans="3:5" x14ac:dyDescent="0.25">
      <c r="C134"/>
      <c r="D134"/>
      <c r="E134"/>
    </row>
    <row r="135" spans="3:5" x14ac:dyDescent="0.25">
      <c r="C135"/>
      <c r="D135"/>
      <c r="E135"/>
    </row>
    <row r="136" spans="3:5" x14ac:dyDescent="0.25">
      <c r="C136"/>
      <c r="D136"/>
      <c r="E136"/>
    </row>
    <row r="137" spans="3:5" x14ac:dyDescent="0.25">
      <c r="C137"/>
      <c r="D137"/>
      <c r="E137"/>
    </row>
    <row r="138" spans="3:5" x14ac:dyDescent="0.25">
      <c r="C138"/>
      <c r="D138"/>
      <c r="E138"/>
    </row>
    <row r="139" spans="3:5" x14ac:dyDescent="0.25">
      <c r="C139"/>
      <c r="D139"/>
      <c r="E139"/>
    </row>
    <row r="140" spans="3:5" x14ac:dyDescent="0.25">
      <c r="C140"/>
      <c r="D140"/>
      <c r="E140"/>
    </row>
    <row r="141" spans="3:5" x14ac:dyDescent="0.25">
      <c r="C141"/>
      <c r="D141"/>
      <c r="E141"/>
    </row>
    <row r="142" spans="3:5" x14ac:dyDescent="0.25">
      <c r="C142"/>
      <c r="D142"/>
      <c r="E142"/>
    </row>
    <row r="143" spans="3:5" x14ac:dyDescent="0.25">
      <c r="C143"/>
      <c r="D143"/>
      <c r="E143"/>
    </row>
    <row r="144" spans="3:5" x14ac:dyDescent="0.25">
      <c r="C144"/>
      <c r="D144"/>
      <c r="E144"/>
    </row>
    <row r="145" spans="3:5" x14ac:dyDescent="0.25">
      <c r="C145"/>
      <c r="D145"/>
      <c r="E145"/>
    </row>
    <row r="146" spans="3:5" x14ac:dyDescent="0.25">
      <c r="C146"/>
      <c r="D146"/>
      <c r="E146"/>
    </row>
    <row r="147" spans="3:5" x14ac:dyDescent="0.25">
      <c r="C147"/>
      <c r="D147"/>
      <c r="E147"/>
    </row>
    <row r="148" spans="3:5" x14ac:dyDescent="0.25">
      <c r="C148"/>
      <c r="D148"/>
      <c r="E148"/>
    </row>
    <row r="149" spans="3:5" x14ac:dyDescent="0.25">
      <c r="C149"/>
      <c r="D149"/>
      <c r="E149"/>
    </row>
    <row r="150" spans="3:5" x14ac:dyDescent="0.25">
      <c r="C150"/>
      <c r="D150"/>
      <c r="E150"/>
    </row>
    <row r="151" spans="3:5" x14ac:dyDescent="0.25">
      <c r="C151"/>
      <c r="D151"/>
      <c r="E151"/>
    </row>
    <row r="152" spans="3:5" x14ac:dyDescent="0.25">
      <c r="C152"/>
      <c r="D152"/>
      <c r="E152"/>
    </row>
    <row r="153" spans="3:5" x14ac:dyDescent="0.25">
      <c r="C153"/>
      <c r="D153"/>
      <c r="E153"/>
    </row>
    <row r="154" spans="3:5" x14ac:dyDescent="0.25">
      <c r="C154"/>
      <c r="D154"/>
      <c r="E154"/>
    </row>
    <row r="155" spans="3:5" x14ac:dyDescent="0.25">
      <c r="C155"/>
      <c r="D155"/>
      <c r="E155"/>
    </row>
    <row r="156" spans="3:5" x14ac:dyDescent="0.25">
      <c r="C156"/>
      <c r="D156"/>
      <c r="E156"/>
    </row>
    <row r="157" spans="3:5" x14ac:dyDescent="0.25">
      <c r="C157"/>
      <c r="D157"/>
      <c r="E157"/>
    </row>
    <row r="158" spans="3:5" x14ac:dyDescent="0.25">
      <c r="C158"/>
      <c r="D158"/>
      <c r="E158"/>
    </row>
    <row r="159" spans="3:5" x14ac:dyDescent="0.25">
      <c r="C159"/>
      <c r="D159"/>
      <c r="E159"/>
    </row>
    <row r="160" spans="3:5" x14ac:dyDescent="0.25">
      <c r="C160"/>
      <c r="D160"/>
      <c r="E160"/>
    </row>
    <row r="161" spans="3:5" x14ac:dyDescent="0.25">
      <c r="C161"/>
      <c r="D161"/>
      <c r="E161"/>
    </row>
    <row r="162" spans="3:5" x14ac:dyDescent="0.25">
      <c r="C162"/>
      <c r="D162"/>
      <c r="E162"/>
    </row>
    <row r="163" spans="3:5" x14ac:dyDescent="0.25">
      <c r="C163"/>
      <c r="D163"/>
      <c r="E163"/>
    </row>
    <row r="164" spans="3:5" x14ac:dyDescent="0.25">
      <c r="C164"/>
      <c r="D164"/>
      <c r="E164"/>
    </row>
    <row r="165" spans="3:5" x14ac:dyDescent="0.25">
      <c r="C165"/>
      <c r="D165"/>
      <c r="E165"/>
    </row>
    <row r="166" spans="3:5" x14ac:dyDescent="0.25">
      <c r="C166"/>
      <c r="D166"/>
      <c r="E166"/>
    </row>
    <row r="167" spans="3:5" x14ac:dyDescent="0.25">
      <c r="C167"/>
      <c r="D167"/>
      <c r="E167"/>
    </row>
    <row r="168" spans="3:5" x14ac:dyDescent="0.25">
      <c r="C168"/>
      <c r="D168"/>
      <c r="E168"/>
    </row>
    <row r="169" spans="3:5" x14ac:dyDescent="0.25">
      <c r="C169"/>
      <c r="D169"/>
      <c r="E169"/>
    </row>
    <row r="170" spans="3:5" x14ac:dyDescent="0.25">
      <c r="C170"/>
      <c r="D170"/>
      <c r="E170"/>
    </row>
    <row r="171" spans="3:5" x14ac:dyDescent="0.25">
      <c r="C171"/>
      <c r="D171"/>
      <c r="E171"/>
    </row>
    <row r="172" spans="3:5" x14ac:dyDescent="0.25">
      <c r="C172"/>
      <c r="D172"/>
      <c r="E172"/>
    </row>
    <row r="173" spans="3:5" x14ac:dyDescent="0.25">
      <c r="C173"/>
      <c r="D173"/>
      <c r="E173"/>
    </row>
    <row r="174" spans="3:5" x14ac:dyDescent="0.25">
      <c r="C174"/>
      <c r="D174"/>
      <c r="E174"/>
    </row>
    <row r="175" spans="3:5" x14ac:dyDescent="0.25">
      <c r="C175"/>
      <c r="D175"/>
      <c r="E175"/>
    </row>
    <row r="176" spans="3:5" x14ac:dyDescent="0.25">
      <c r="C176"/>
      <c r="D176"/>
      <c r="E176"/>
    </row>
    <row r="177" spans="3:5" x14ac:dyDescent="0.25">
      <c r="C177"/>
      <c r="D177"/>
      <c r="E177"/>
    </row>
    <row r="178" spans="3:5" x14ac:dyDescent="0.25">
      <c r="C178"/>
      <c r="D178"/>
      <c r="E178"/>
    </row>
    <row r="179" spans="3:5" x14ac:dyDescent="0.25">
      <c r="C179"/>
      <c r="D179"/>
      <c r="E179"/>
    </row>
    <row r="180" spans="3:5" x14ac:dyDescent="0.25">
      <c r="C180"/>
      <c r="D180"/>
      <c r="E180"/>
    </row>
    <row r="181" spans="3:5" x14ac:dyDescent="0.25">
      <c r="C181"/>
      <c r="D181"/>
      <c r="E181"/>
    </row>
    <row r="182" spans="3:5" x14ac:dyDescent="0.25">
      <c r="C182"/>
      <c r="D182"/>
      <c r="E182"/>
    </row>
    <row r="183" spans="3:5" x14ac:dyDescent="0.25">
      <c r="C183"/>
      <c r="D183"/>
      <c r="E183"/>
    </row>
    <row r="184" spans="3:5" x14ac:dyDescent="0.25">
      <c r="C184"/>
      <c r="D184"/>
      <c r="E184"/>
    </row>
    <row r="185" spans="3:5" x14ac:dyDescent="0.25">
      <c r="C185"/>
      <c r="D185"/>
      <c r="E185"/>
    </row>
    <row r="186" spans="3:5" x14ac:dyDescent="0.25">
      <c r="C186"/>
      <c r="D186"/>
      <c r="E186"/>
    </row>
    <row r="187" spans="3:5" x14ac:dyDescent="0.25">
      <c r="C187"/>
      <c r="D187"/>
      <c r="E187"/>
    </row>
    <row r="188" spans="3:5" x14ac:dyDescent="0.25">
      <c r="C188"/>
      <c r="D188"/>
      <c r="E188"/>
    </row>
    <row r="189" spans="3:5" x14ac:dyDescent="0.25">
      <c r="C189"/>
      <c r="D189"/>
      <c r="E189"/>
    </row>
    <row r="190" spans="3:5" x14ac:dyDescent="0.25">
      <c r="C190"/>
      <c r="D190"/>
      <c r="E190"/>
    </row>
    <row r="191" spans="3:5" x14ac:dyDescent="0.25">
      <c r="C191"/>
      <c r="D191"/>
      <c r="E191"/>
    </row>
    <row r="192" spans="3:5" x14ac:dyDescent="0.25">
      <c r="C192"/>
      <c r="D192"/>
      <c r="E192"/>
    </row>
    <row r="193" spans="3:5" x14ac:dyDescent="0.25">
      <c r="C193"/>
      <c r="D193"/>
      <c r="E193"/>
    </row>
    <row r="194" spans="3:5" x14ac:dyDescent="0.25">
      <c r="C194"/>
      <c r="D194"/>
      <c r="E194"/>
    </row>
    <row r="195" spans="3:5" x14ac:dyDescent="0.25">
      <c r="C195"/>
      <c r="D195"/>
      <c r="E195"/>
    </row>
    <row r="196" spans="3:5" x14ac:dyDescent="0.25">
      <c r="C196"/>
      <c r="D196"/>
      <c r="E196"/>
    </row>
    <row r="197" spans="3:5" x14ac:dyDescent="0.25">
      <c r="C197"/>
      <c r="D197"/>
      <c r="E197"/>
    </row>
    <row r="198" spans="3:5" x14ac:dyDescent="0.25">
      <c r="C198"/>
      <c r="D198"/>
      <c r="E198"/>
    </row>
    <row r="199" spans="3:5" x14ac:dyDescent="0.25">
      <c r="C199"/>
      <c r="D199"/>
      <c r="E199"/>
    </row>
    <row r="200" spans="3:5" x14ac:dyDescent="0.25">
      <c r="C200"/>
      <c r="D200"/>
      <c r="E200"/>
    </row>
    <row r="201" spans="3:5" x14ac:dyDescent="0.25">
      <c r="C201"/>
      <c r="D201"/>
      <c r="E201"/>
    </row>
    <row r="202" spans="3:5" x14ac:dyDescent="0.25">
      <c r="C202"/>
      <c r="D202"/>
      <c r="E202"/>
    </row>
    <row r="203" spans="3:5" x14ac:dyDescent="0.25">
      <c r="C203"/>
      <c r="D203"/>
      <c r="E203"/>
    </row>
    <row r="204" spans="3:5" x14ac:dyDescent="0.25">
      <c r="C204"/>
      <c r="D204"/>
      <c r="E204"/>
    </row>
    <row r="205" spans="3:5" x14ac:dyDescent="0.25">
      <c r="C205"/>
      <c r="D205"/>
      <c r="E205"/>
    </row>
    <row r="206" spans="3:5" x14ac:dyDescent="0.25">
      <c r="C206"/>
      <c r="D206"/>
      <c r="E206"/>
    </row>
    <row r="207" spans="3:5" x14ac:dyDescent="0.25">
      <c r="C207"/>
      <c r="D207"/>
      <c r="E207"/>
    </row>
    <row r="208" spans="3:5" x14ac:dyDescent="0.25">
      <c r="C208"/>
      <c r="D208"/>
      <c r="E208"/>
    </row>
    <row r="209" spans="3:5" x14ac:dyDescent="0.25">
      <c r="C209"/>
      <c r="D209"/>
      <c r="E209"/>
    </row>
    <row r="210" spans="3:5" x14ac:dyDescent="0.25">
      <c r="C210"/>
      <c r="D210"/>
      <c r="E210"/>
    </row>
    <row r="211" spans="3:5" x14ac:dyDescent="0.25">
      <c r="C211"/>
      <c r="D211"/>
      <c r="E211"/>
    </row>
    <row r="212" spans="3:5" x14ac:dyDescent="0.25">
      <c r="C212"/>
      <c r="D212"/>
      <c r="E212"/>
    </row>
    <row r="213" spans="3:5" x14ac:dyDescent="0.25">
      <c r="C213"/>
      <c r="D213"/>
      <c r="E213"/>
    </row>
    <row r="214" spans="3:5" x14ac:dyDescent="0.25">
      <c r="C214"/>
      <c r="D214"/>
      <c r="E214"/>
    </row>
    <row r="215" spans="3:5" x14ac:dyDescent="0.25">
      <c r="C215"/>
      <c r="D215"/>
      <c r="E215"/>
    </row>
    <row r="216" spans="3:5" x14ac:dyDescent="0.25">
      <c r="C216"/>
      <c r="D216"/>
      <c r="E216"/>
    </row>
    <row r="217" spans="3:5" x14ac:dyDescent="0.25">
      <c r="C217"/>
      <c r="D217"/>
      <c r="E217"/>
    </row>
    <row r="218" spans="3:5" x14ac:dyDescent="0.25">
      <c r="C218"/>
      <c r="D218"/>
      <c r="E218"/>
    </row>
    <row r="219" spans="3:5" x14ac:dyDescent="0.25">
      <c r="C219"/>
      <c r="D219"/>
      <c r="E219"/>
    </row>
    <row r="220" spans="3:5" x14ac:dyDescent="0.25">
      <c r="C220"/>
      <c r="D220"/>
      <c r="E220"/>
    </row>
    <row r="221" spans="3:5" x14ac:dyDescent="0.25">
      <c r="C221"/>
      <c r="D221"/>
      <c r="E221"/>
    </row>
    <row r="222" spans="3:5" x14ac:dyDescent="0.25">
      <c r="C222"/>
      <c r="D222"/>
      <c r="E222"/>
    </row>
    <row r="223" spans="3:5" x14ac:dyDescent="0.25">
      <c r="C223"/>
      <c r="D223"/>
      <c r="E223"/>
    </row>
    <row r="224" spans="3:5" x14ac:dyDescent="0.25">
      <c r="C224"/>
      <c r="D224"/>
      <c r="E224"/>
    </row>
    <row r="225" spans="3:5" x14ac:dyDescent="0.25">
      <c r="C225"/>
      <c r="D225"/>
      <c r="E225"/>
    </row>
    <row r="226" spans="3:5" x14ac:dyDescent="0.25">
      <c r="C226"/>
      <c r="D226"/>
      <c r="E226"/>
    </row>
    <row r="227" spans="3:5" x14ac:dyDescent="0.25">
      <c r="C227"/>
      <c r="D227"/>
      <c r="E227"/>
    </row>
    <row r="228" spans="3:5" x14ac:dyDescent="0.25">
      <c r="C228"/>
      <c r="D228"/>
      <c r="E228"/>
    </row>
    <row r="229" spans="3:5" x14ac:dyDescent="0.25">
      <c r="C229"/>
      <c r="D229"/>
      <c r="E229"/>
    </row>
    <row r="230" spans="3:5" x14ac:dyDescent="0.25">
      <c r="C230"/>
      <c r="D230"/>
      <c r="E230"/>
    </row>
    <row r="231" spans="3:5" x14ac:dyDescent="0.25">
      <c r="C231"/>
      <c r="D231"/>
      <c r="E231"/>
    </row>
    <row r="232" spans="3:5" x14ac:dyDescent="0.25">
      <c r="C232"/>
      <c r="D232"/>
      <c r="E232"/>
    </row>
    <row r="233" spans="3:5" x14ac:dyDescent="0.25">
      <c r="C233"/>
      <c r="D233"/>
      <c r="E233"/>
    </row>
    <row r="234" spans="3:5" x14ac:dyDescent="0.25">
      <c r="C234"/>
      <c r="D234"/>
      <c r="E234"/>
    </row>
    <row r="235" spans="3:5" x14ac:dyDescent="0.25">
      <c r="C235"/>
      <c r="D235"/>
      <c r="E235"/>
    </row>
    <row r="236" spans="3:5" x14ac:dyDescent="0.25">
      <c r="C236"/>
      <c r="D236"/>
      <c r="E236"/>
    </row>
    <row r="237" spans="3:5" x14ac:dyDescent="0.25">
      <c r="C237"/>
      <c r="D237"/>
      <c r="E237"/>
    </row>
    <row r="238" spans="3:5" x14ac:dyDescent="0.25">
      <c r="C238"/>
      <c r="D238"/>
      <c r="E238"/>
    </row>
    <row r="239" spans="3:5" x14ac:dyDescent="0.25">
      <c r="C239"/>
      <c r="D239"/>
      <c r="E239"/>
    </row>
    <row r="240" spans="3:5" x14ac:dyDescent="0.25">
      <c r="C240"/>
      <c r="D240"/>
      <c r="E240"/>
    </row>
    <row r="241" spans="3:5" x14ac:dyDescent="0.25">
      <c r="C241"/>
      <c r="D241"/>
      <c r="E241"/>
    </row>
    <row r="242" spans="3:5" x14ac:dyDescent="0.25">
      <c r="C242"/>
      <c r="D242"/>
      <c r="E242"/>
    </row>
    <row r="243" spans="3:5" x14ac:dyDescent="0.25">
      <c r="C243"/>
      <c r="D243"/>
      <c r="E243"/>
    </row>
    <row r="244" spans="3:5" x14ac:dyDescent="0.25">
      <c r="C244"/>
      <c r="D244"/>
      <c r="E244"/>
    </row>
    <row r="245" spans="3:5" x14ac:dyDescent="0.25">
      <c r="C245"/>
      <c r="D245"/>
      <c r="E245"/>
    </row>
    <row r="246" spans="3:5" x14ac:dyDescent="0.25">
      <c r="C246"/>
      <c r="D246"/>
      <c r="E246"/>
    </row>
    <row r="247" spans="3:5" x14ac:dyDescent="0.25">
      <c r="C247"/>
      <c r="D247"/>
      <c r="E247"/>
    </row>
    <row r="248" spans="3:5" x14ac:dyDescent="0.25">
      <c r="C248"/>
      <c r="D248"/>
      <c r="E248"/>
    </row>
    <row r="249" spans="3:5" x14ac:dyDescent="0.25">
      <c r="C249"/>
      <c r="D249"/>
      <c r="E249"/>
    </row>
    <row r="250" spans="3:5" x14ac:dyDescent="0.25">
      <c r="C250"/>
      <c r="D250"/>
      <c r="E250"/>
    </row>
    <row r="251" spans="3:5" x14ac:dyDescent="0.25">
      <c r="C251"/>
      <c r="D251"/>
      <c r="E251"/>
    </row>
    <row r="252" spans="3:5" x14ac:dyDescent="0.25">
      <c r="C252"/>
      <c r="D252"/>
      <c r="E252"/>
    </row>
    <row r="253" spans="3:5" x14ac:dyDescent="0.25">
      <c r="C253"/>
      <c r="D253"/>
      <c r="E253"/>
    </row>
    <row r="254" spans="3:5" x14ac:dyDescent="0.25">
      <c r="C254"/>
      <c r="D254"/>
      <c r="E254"/>
    </row>
    <row r="255" spans="3:5" x14ac:dyDescent="0.25">
      <c r="C255"/>
      <c r="D255"/>
      <c r="E255"/>
    </row>
    <row r="256" spans="3:5" x14ac:dyDescent="0.25">
      <c r="C256"/>
      <c r="D256"/>
      <c r="E256"/>
    </row>
    <row r="257" spans="3:5" x14ac:dyDescent="0.25">
      <c r="C257"/>
      <c r="D257"/>
      <c r="E257"/>
    </row>
    <row r="258" spans="3:5" x14ac:dyDescent="0.25">
      <c r="C258"/>
      <c r="D258"/>
      <c r="E258"/>
    </row>
    <row r="259" spans="3:5" x14ac:dyDescent="0.25">
      <c r="C259"/>
      <c r="D259"/>
      <c r="E259"/>
    </row>
    <row r="260" spans="3:5" x14ac:dyDescent="0.25">
      <c r="C260"/>
      <c r="D260"/>
      <c r="E260"/>
    </row>
    <row r="261" spans="3:5" x14ac:dyDescent="0.25">
      <c r="C261"/>
      <c r="D261"/>
      <c r="E261"/>
    </row>
    <row r="262" spans="3:5" x14ac:dyDescent="0.25">
      <c r="C262"/>
      <c r="D262"/>
      <c r="E262"/>
    </row>
    <row r="263" spans="3:5" x14ac:dyDescent="0.25">
      <c r="C263"/>
      <c r="D263"/>
      <c r="E263"/>
    </row>
    <row r="264" spans="3:5" x14ac:dyDescent="0.25">
      <c r="C264"/>
      <c r="D264"/>
      <c r="E264"/>
    </row>
    <row r="265" spans="3:5" x14ac:dyDescent="0.25">
      <c r="C265"/>
      <c r="D265"/>
      <c r="E265"/>
    </row>
    <row r="266" spans="3:5" x14ac:dyDescent="0.25">
      <c r="C266"/>
      <c r="D266"/>
      <c r="E266"/>
    </row>
    <row r="267" spans="3:5" x14ac:dyDescent="0.25">
      <c r="C267"/>
      <c r="D267"/>
      <c r="E267"/>
    </row>
    <row r="268" spans="3:5" x14ac:dyDescent="0.25">
      <c r="C268"/>
      <c r="D268"/>
      <c r="E268"/>
    </row>
    <row r="269" spans="3:5" x14ac:dyDescent="0.25">
      <c r="C269"/>
      <c r="D269"/>
      <c r="E269"/>
    </row>
    <row r="270" spans="3:5" x14ac:dyDescent="0.25">
      <c r="C270"/>
      <c r="D270"/>
      <c r="E270"/>
    </row>
    <row r="271" spans="3:5" x14ac:dyDescent="0.25">
      <c r="C271"/>
      <c r="D271"/>
      <c r="E271"/>
    </row>
    <row r="272" spans="3:5" x14ac:dyDescent="0.25">
      <c r="C272"/>
      <c r="D272"/>
      <c r="E272"/>
    </row>
    <row r="273" spans="3:5" x14ac:dyDescent="0.25">
      <c r="C273"/>
      <c r="D273"/>
      <c r="E273"/>
    </row>
    <row r="274" spans="3:5" x14ac:dyDescent="0.25">
      <c r="C274"/>
      <c r="D274"/>
      <c r="E274"/>
    </row>
    <row r="275" spans="3:5" x14ac:dyDescent="0.25">
      <c r="C275"/>
      <c r="D275"/>
      <c r="E275"/>
    </row>
    <row r="276" spans="3:5" x14ac:dyDescent="0.25">
      <c r="C276"/>
      <c r="D276"/>
      <c r="E276"/>
    </row>
    <row r="277" spans="3:5" x14ac:dyDescent="0.25">
      <c r="C277"/>
      <c r="D277"/>
      <c r="E277"/>
    </row>
    <row r="278" spans="3:5" x14ac:dyDescent="0.25">
      <c r="C278"/>
      <c r="D278"/>
      <c r="E278"/>
    </row>
    <row r="279" spans="3:5" x14ac:dyDescent="0.25">
      <c r="C279"/>
      <c r="D279"/>
      <c r="E279"/>
    </row>
    <row r="280" spans="3:5" x14ac:dyDescent="0.25">
      <c r="C280"/>
      <c r="D280"/>
      <c r="E280"/>
    </row>
    <row r="281" spans="3:5" x14ac:dyDescent="0.25">
      <c r="C281"/>
      <c r="D281"/>
      <c r="E281"/>
    </row>
    <row r="282" spans="3:5" x14ac:dyDescent="0.25">
      <c r="C282"/>
      <c r="D282"/>
      <c r="E282"/>
    </row>
    <row r="283" spans="3:5" x14ac:dyDescent="0.25">
      <c r="C283"/>
      <c r="D283"/>
      <c r="E283"/>
    </row>
    <row r="284" spans="3:5" x14ac:dyDescent="0.25">
      <c r="C284"/>
      <c r="D284"/>
      <c r="E284"/>
    </row>
    <row r="285" spans="3:5" x14ac:dyDescent="0.25">
      <c r="C285"/>
      <c r="D285"/>
      <c r="E285"/>
    </row>
    <row r="286" spans="3:5" x14ac:dyDescent="0.25">
      <c r="C286"/>
      <c r="D286"/>
      <c r="E286"/>
    </row>
    <row r="287" spans="3:5" x14ac:dyDescent="0.25">
      <c r="C287"/>
      <c r="D287"/>
      <c r="E287"/>
    </row>
    <row r="288" spans="3:5" x14ac:dyDescent="0.25">
      <c r="C288"/>
      <c r="D288"/>
      <c r="E288"/>
    </row>
    <row r="289" spans="3:5" x14ac:dyDescent="0.25">
      <c r="C289"/>
      <c r="D289"/>
      <c r="E289"/>
    </row>
    <row r="290" spans="3:5" x14ac:dyDescent="0.25">
      <c r="C290"/>
      <c r="D290"/>
      <c r="E290"/>
    </row>
    <row r="291" spans="3:5" x14ac:dyDescent="0.25">
      <c r="C291"/>
      <c r="D291"/>
      <c r="E291"/>
    </row>
    <row r="292" spans="3:5" x14ac:dyDescent="0.25">
      <c r="C292"/>
      <c r="D292"/>
      <c r="E292"/>
    </row>
    <row r="293" spans="3:5" x14ac:dyDescent="0.25">
      <c r="C293"/>
      <c r="D293"/>
      <c r="E293"/>
    </row>
    <row r="294" spans="3:5" x14ac:dyDescent="0.25">
      <c r="C294"/>
      <c r="D294"/>
      <c r="E294"/>
    </row>
    <row r="295" spans="3:5" x14ac:dyDescent="0.25">
      <c r="C295"/>
      <c r="D295"/>
      <c r="E295"/>
    </row>
    <row r="296" spans="3:5" x14ac:dyDescent="0.25">
      <c r="C296"/>
      <c r="D296"/>
      <c r="E296"/>
    </row>
    <row r="297" spans="3:5" x14ac:dyDescent="0.25">
      <c r="C297"/>
      <c r="D297"/>
      <c r="E297"/>
    </row>
    <row r="298" spans="3:5" x14ac:dyDescent="0.25">
      <c r="C298"/>
      <c r="D298"/>
      <c r="E298"/>
    </row>
    <row r="299" spans="3:5" x14ac:dyDescent="0.25">
      <c r="C299"/>
      <c r="D299"/>
      <c r="E299"/>
    </row>
    <row r="300" spans="3:5" x14ac:dyDescent="0.25">
      <c r="C300"/>
      <c r="D300"/>
      <c r="E300"/>
    </row>
    <row r="301" spans="3:5" x14ac:dyDescent="0.25">
      <c r="C301"/>
      <c r="D301"/>
      <c r="E301"/>
    </row>
    <row r="302" spans="3:5" x14ac:dyDescent="0.25">
      <c r="C302"/>
      <c r="D302"/>
      <c r="E302"/>
    </row>
    <row r="303" spans="3:5" x14ac:dyDescent="0.25">
      <c r="C303"/>
      <c r="D303"/>
      <c r="E303"/>
    </row>
    <row r="304" spans="3:5" x14ac:dyDescent="0.25">
      <c r="C304"/>
      <c r="D304"/>
      <c r="E304"/>
    </row>
    <row r="305" spans="3:5" x14ac:dyDescent="0.25">
      <c r="C305"/>
      <c r="D305"/>
      <c r="E305"/>
    </row>
    <row r="306" spans="3:5" x14ac:dyDescent="0.25">
      <c r="C306"/>
      <c r="D306"/>
      <c r="E306"/>
    </row>
    <row r="307" spans="3:5" x14ac:dyDescent="0.25">
      <c r="C307"/>
      <c r="D307"/>
      <c r="E307"/>
    </row>
    <row r="308" spans="3:5" x14ac:dyDescent="0.25">
      <c r="C308"/>
      <c r="D308"/>
      <c r="E308"/>
    </row>
    <row r="309" spans="3:5" x14ac:dyDescent="0.25">
      <c r="C309"/>
      <c r="D309"/>
      <c r="E309"/>
    </row>
    <row r="310" spans="3:5" x14ac:dyDescent="0.25">
      <c r="C310"/>
      <c r="D310"/>
      <c r="E310"/>
    </row>
    <row r="311" spans="3:5" x14ac:dyDescent="0.25">
      <c r="C311"/>
      <c r="D311"/>
      <c r="E311"/>
    </row>
    <row r="312" spans="3:5" x14ac:dyDescent="0.25">
      <c r="C312"/>
      <c r="D312"/>
      <c r="E312"/>
    </row>
    <row r="313" spans="3:5" x14ac:dyDescent="0.25">
      <c r="C313"/>
      <c r="D313"/>
      <c r="E313"/>
    </row>
    <row r="314" spans="3:5" x14ac:dyDescent="0.25">
      <c r="C314"/>
      <c r="D314"/>
      <c r="E314"/>
    </row>
    <row r="315" spans="3:5" x14ac:dyDescent="0.25">
      <c r="C315"/>
      <c r="D315"/>
      <c r="E315"/>
    </row>
    <row r="316" spans="3:5" x14ac:dyDescent="0.25">
      <c r="C316"/>
      <c r="D316"/>
      <c r="E316"/>
    </row>
    <row r="317" spans="3:5" x14ac:dyDescent="0.25">
      <c r="C317"/>
      <c r="D317"/>
      <c r="E317"/>
    </row>
    <row r="318" spans="3:5" x14ac:dyDescent="0.25">
      <c r="C318"/>
      <c r="D318"/>
      <c r="E318"/>
    </row>
    <row r="319" spans="3:5" x14ac:dyDescent="0.25">
      <c r="C319"/>
      <c r="D319"/>
      <c r="E319"/>
    </row>
    <row r="320" spans="3:5" x14ac:dyDescent="0.25">
      <c r="C320"/>
      <c r="D320"/>
      <c r="E320"/>
    </row>
    <row r="321" spans="3:5" x14ac:dyDescent="0.25">
      <c r="C321"/>
      <c r="D321"/>
      <c r="E321"/>
    </row>
    <row r="322" spans="3:5" x14ac:dyDescent="0.25">
      <c r="C322"/>
      <c r="D322"/>
      <c r="E322"/>
    </row>
    <row r="323" spans="3:5" x14ac:dyDescent="0.25">
      <c r="C323"/>
      <c r="D323"/>
      <c r="E323"/>
    </row>
    <row r="324" spans="3:5" x14ac:dyDescent="0.25">
      <c r="C324"/>
      <c r="D324"/>
      <c r="E324"/>
    </row>
    <row r="325" spans="3:5" x14ac:dyDescent="0.25">
      <c r="C325"/>
      <c r="D325"/>
      <c r="E325"/>
    </row>
    <row r="326" spans="3:5" x14ac:dyDescent="0.25">
      <c r="C326"/>
      <c r="D326"/>
      <c r="E326"/>
    </row>
    <row r="327" spans="3:5" x14ac:dyDescent="0.25">
      <c r="C327"/>
      <c r="D327"/>
      <c r="E327"/>
    </row>
    <row r="328" spans="3:5" x14ac:dyDescent="0.25">
      <c r="C328"/>
      <c r="D328"/>
      <c r="E328"/>
    </row>
    <row r="329" spans="3:5" x14ac:dyDescent="0.25">
      <c r="C329"/>
      <c r="D329"/>
      <c r="E329"/>
    </row>
    <row r="330" spans="3:5" x14ac:dyDescent="0.25">
      <c r="C330"/>
      <c r="D330"/>
      <c r="E330"/>
    </row>
    <row r="331" spans="3:5" x14ac:dyDescent="0.25">
      <c r="C331"/>
      <c r="D331"/>
      <c r="E331"/>
    </row>
    <row r="332" spans="3:5" x14ac:dyDescent="0.25">
      <c r="C332"/>
      <c r="D332"/>
      <c r="E332"/>
    </row>
    <row r="333" spans="3:5" x14ac:dyDescent="0.25">
      <c r="C333"/>
      <c r="D333"/>
      <c r="E333"/>
    </row>
    <row r="334" spans="3:5" x14ac:dyDescent="0.25">
      <c r="C334"/>
      <c r="D334"/>
      <c r="E334"/>
    </row>
    <row r="335" spans="3:5" x14ac:dyDescent="0.25">
      <c r="C335"/>
      <c r="D335"/>
      <c r="E335"/>
    </row>
    <row r="336" spans="3:5" x14ac:dyDescent="0.25">
      <c r="C336"/>
      <c r="D336"/>
      <c r="E336"/>
    </row>
    <row r="337" spans="3:5" x14ac:dyDescent="0.25">
      <c r="C337"/>
      <c r="D337"/>
      <c r="E337"/>
    </row>
    <row r="338" spans="3:5" x14ac:dyDescent="0.25">
      <c r="C338"/>
      <c r="D338"/>
      <c r="E338"/>
    </row>
    <row r="339" spans="3:5" x14ac:dyDescent="0.25">
      <c r="C339"/>
      <c r="D339"/>
      <c r="E339"/>
    </row>
    <row r="340" spans="3:5" x14ac:dyDescent="0.25">
      <c r="C340"/>
      <c r="D340"/>
      <c r="E340"/>
    </row>
    <row r="341" spans="3:5" x14ac:dyDescent="0.25">
      <c r="C341"/>
      <c r="D341"/>
      <c r="E341"/>
    </row>
    <row r="342" spans="3:5" x14ac:dyDescent="0.25">
      <c r="C342"/>
      <c r="D342"/>
      <c r="E342"/>
    </row>
    <row r="343" spans="3:5" x14ac:dyDescent="0.25">
      <c r="C343"/>
      <c r="D343"/>
      <c r="E343"/>
    </row>
    <row r="344" spans="3:5" x14ac:dyDescent="0.25">
      <c r="C344"/>
      <c r="D344"/>
      <c r="E344"/>
    </row>
    <row r="345" spans="3:5" x14ac:dyDescent="0.25">
      <c r="C345"/>
      <c r="D345"/>
      <c r="E345"/>
    </row>
    <row r="346" spans="3:5" x14ac:dyDescent="0.25">
      <c r="C346"/>
      <c r="D346"/>
      <c r="E346"/>
    </row>
    <row r="347" spans="3:5" x14ac:dyDescent="0.25">
      <c r="C347"/>
      <c r="D347"/>
      <c r="E347"/>
    </row>
    <row r="348" spans="3:5" x14ac:dyDescent="0.25">
      <c r="C348"/>
      <c r="D348"/>
      <c r="E348"/>
    </row>
    <row r="349" spans="3:5" x14ac:dyDescent="0.25">
      <c r="C349"/>
      <c r="D349"/>
      <c r="E349"/>
    </row>
    <row r="350" spans="3:5" x14ac:dyDescent="0.25">
      <c r="C350"/>
      <c r="D350"/>
      <c r="E350"/>
    </row>
    <row r="351" spans="3:5" x14ac:dyDescent="0.25">
      <c r="C351"/>
      <c r="D351"/>
      <c r="E351"/>
    </row>
    <row r="352" spans="3:5" x14ac:dyDescent="0.25">
      <c r="C352"/>
      <c r="D352"/>
      <c r="E352"/>
    </row>
    <row r="353" spans="3:5" x14ac:dyDescent="0.25">
      <c r="C353"/>
      <c r="D353"/>
      <c r="E353"/>
    </row>
    <row r="354" spans="3:5" x14ac:dyDescent="0.25">
      <c r="C354"/>
      <c r="D354"/>
      <c r="E354"/>
    </row>
    <row r="355" spans="3:5" x14ac:dyDescent="0.25">
      <c r="C355"/>
      <c r="D355"/>
      <c r="E355"/>
    </row>
    <row r="356" spans="3:5" x14ac:dyDescent="0.25">
      <c r="C356"/>
      <c r="D356"/>
      <c r="E356"/>
    </row>
    <row r="357" spans="3:5" x14ac:dyDescent="0.25">
      <c r="C357"/>
      <c r="D357"/>
      <c r="E357"/>
    </row>
    <row r="358" spans="3:5" x14ac:dyDescent="0.25">
      <c r="C358"/>
      <c r="D358"/>
      <c r="E358"/>
    </row>
    <row r="359" spans="3:5" x14ac:dyDescent="0.25">
      <c r="C359"/>
      <c r="D359"/>
      <c r="E359"/>
    </row>
    <row r="360" spans="3:5" x14ac:dyDescent="0.25">
      <c r="C360"/>
      <c r="D360"/>
      <c r="E360"/>
    </row>
    <row r="361" spans="3:5" x14ac:dyDescent="0.25">
      <c r="C361"/>
      <c r="D361"/>
      <c r="E361"/>
    </row>
    <row r="362" spans="3:5" x14ac:dyDescent="0.25">
      <c r="C362"/>
      <c r="D362"/>
      <c r="E362"/>
    </row>
    <row r="363" spans="3:5" x14ac:dyDescent="0.25">
      <c r="C363"/>
      <c r="D363"/>
      <c r="E363"/>
    </row>
    <row r="364" spans="3:5" x14ac:dyDescent="0.25">
      <c r="C364"/>
      <c r="D364"/>
      <c r="E364"/>
    </row>
    <row r="365" spans="3:5" x14ac:dyDescent="0.25">
      <c r="C365"/>
      <c r="D365"/>
      <c r="E365"/>
    </row>
    <row r="366" spans="3:5" x14ac:dyDescent="0.25">
      <c r="C366"/>
      <c r="D366"/>
      <c r="E366"/>
    </row>
    <row r="367" spans="3:5" x14ac:dyDescent="0.25">
      <c r="C367"/>
      <c r="D367"/>
      <c r="E367"/>
    </row>
    <row r="368" spans="3:5" x14ac:dyDescent="0.25">
      <c r="C368"/>
      <c r="D368"/>
      <c r="E368"/>
    </row>
    <row r="369" spans="3:5" x14ac:dyDescent="0.25">
      <c r="C369"/>
      <c r="D369"/>
      <c r="E369"/>
    </row>
    <row r="370" spans="3:5" x14ac:dyDescent="0.25">
      <c r="C370"/>
      <c r="D370"/>
      <c r="E370"/>
    </row>
    <row r="371" spans="3:5" x14ac:dyDescent="0.25">
      <c r="C371"/>
      <c r="D371"/>
      <c r="E371"/>
    </row>
    <row r="372" spans="3:5" x14ac:dyDescent="0.25">
      <c r="C372"/>
      <c r="D372"/>
      <c r="E372"/>
    </row>
    <row r="373" spans="3:5" x14ac:dyDescent="0.25">
      <c r="C373"/>
      <c r="D373"/>
      <c r="E373"/>
    </row>
    <row r="374" spans="3:5" x14ac:dyDescent="0.25">
      <c r="C374"/>
      <c r="D374"/>
      <c r="E374"/>
    </row>
    <row r="375" spans="3:5" x14ac:dyDescent="0.25">
      <c r="C375"/>
      <c r="D375"/>
      <c r="E375"/>
    </row>
    <row r="376" spans="3:5" x14ac:dyDescent="0.25">
      <c r="C376"/>
      <c r="D376"/>
      <c r="E376"/>
    </row>
    <row r="377" spans="3:5" x14ac:dyDescent="0.25">
      <c r="C377"/>
      <c r="D377"/>
      <c r="E377"/>
    </row>
    <row r="378" spans="3:5" x14ac:dyDescent="0.25">
      <c r="C378"/>
      <c r="D378"/>
      <c r="E378"/>
    </row>
    <row r="379" spans="3:5" x14ac:dyDescent="0.25">
      <c r="C379"/>
      <c r="D379"/>
      <c r="E379"/>
    </row>
    <row r="380" spans="3:5" x14ac:dyDescent="0.25">
      <c r="C380"/>
      <c r="D380"/>
      <c r="E380"/>
    </row>
    <row r="381" spans="3:5" x14ac:dyDescent="0.25">
      <c r="C381"/>
      <c r="D381"/>
      <c r="E381"/>
    </row>
    <row r="382" spans="3:5" x14ac:dyDescent="0.25">
      <c r="C382"/>
      <c r="D382"/>
      <c r="E382"/>
    </row>
    <row r="383" spans="3:5" x14ac:dyDescent="0.25">
      <c r="C383"/>
      <c r="D383"/>
      <c r="E383"/>
    </row>
    <row r="384" spans="3:5" x14ac:dyDescent="0.25">
      <c r="C384"/>
      <c r="D384"/>
      <c r="E384"/>
    </row>
    <row r="385" spans="3:5" x14ac:dyDescent="0.25">
      <c r="C385"/>
      <c r="D385"/>
      <c r="E385"/>
    </row>
    <row r="386" spans="3:5" x14ac:dyDescent="0.25">
      <c r="C386"/>
      <c r="D386"/>
      <c r="E386"/>
    </row>
    <row r="387" spans="3:5" x14ac:dyDescent="0.25">
      <c r="C387"/>
      <c r="D387"/>
      <c r="E387"/>
    </row>
    <row r="388" spans="3:5" x14ac:dyDescent="0.25">
      <c r="C388"/>
      <c r="D388"/>
      <c r="E388"/>
    </row>
    <row r="389" spans="3:5" x14ac:dyDescent="0.25">
      <c r="C389"/>
      <c r="D389"/>
      <c r="E389"/>
    </row>
    <row r="390" spans="3:5" x14ac:dyDescent="0.25">
      <c r="C390"/>
      <c r="D390"/>
      <c r="E390"/>
    </row>
    <row r="391" spans="3:5" x14ac:dyDescent="0.25">
      <c r="C391"/>
      <c r="D391"/>
      <c r="E391"/>
    </row>
    <row r="392" spans="3:5" x14ac:dyDescent="0.25">
      <c r="C392"/>
      <c r="D392"/>
      <c r="E392"/>
    </row>
    <row r="393" spans="3:5" x14ac:dyDescent="0.25">
      <c r="C393"/>
      <c r="D393"/>
      <c r="E393"/>
    </row>
    <row r="394" spans="3:5" x14ac:dyDescent="0.25">
      <c r="C394"/>
      <c r="D394"/>
      <c r="E394"/>
    </row>
    <row r="395" spans="3:5" x14ac:dyDescent="0.25">
      <c r="C395"/>
      <c r="D395"/>
      <c r="E395"/>
    </row>
    <row r="396" spans="3:5" x14ac:dyDescent="0.25">
      <c r="C396"/>
      <c r="D396"/>
      <c r="E396"/>
    </row>
    <row r="397" spans="3:5" x14ac:dyDescent="0.25">
      <c r="C397"/>
      <c r="D397"/>
      <c r="E397"/>
    </row>
    <row r="398" spans="3:5" x14ac:dyDescent="0.25">
      <c r="C398"/>
      <c r="D398"/>
      <c r="E398"/>
    </row>
    <row r="399" spans="3:5" x14ac:dyDescent="0.25">
      <c r="C399"/>
      <c r="D399"/>
      <c r="E399"/>
    </row>
    <row r="400" spans="3:5" x14ac:dyDescent="0.25">
      <c r="C400"/>
      <c r="D400"/>
      <c r="E400"/>
    </row>
    <row r="401" spans="3:5" x14ac:dyDescent="0.25">
      <c r="C401"/>
      <c r="D401"/>
      <c r="E401"/>
    </row>
    <row r="402" spans="3:5" x14ac:dyDescent="0.25">
      <c r="C402"/>
      <c r="D402"/>
      <c r="E402"/>
    </row>
    <row r="403" spans="3:5" x14ac:dyDescent="0.25">
      <c r="C403"/>
      <c r="D403"/>
      <c r="E403"/>
    </row>
    <row r="404" spans="3:5" x14ac:dyDescent="0.25">
      <c r="C404"/>
      <c r="D404"/>
      <c r="E404"/>
    </row>
    <row r="405" spans="3:5" x14ac:dyDescent="0.25">
      <c r="C405"/>
      <c r="D405"/>
      <c r="E405"/>
    </row>
    <row r="406" spans="3:5" x14ac:dyDescent="0.25">
      <c r="C406"/>
      <c r="D406"/>
      <c r="E406"/>
    </row>
    <row r="407" spans="3:5" x14ac:dyDescent="0.25">
      <c r="C407"/>
      <c r="D407"/>
      <c r="E407"/>
    </row>
    <row r="408" spans="3:5" x14ac:dyDescent="0.25">
      <c r="C408"/>
      <c r="D408"/>
      <c r="E408"/>
    </row>
    <row r="409" spans="3:5" x14ac:dyDescent="0.25">
      <c r="C409"/>
      <c r="D409"/>
      <c r="E409"/>
    </row>
    <row r="410" spans="3:5" x14ac:dyDescent="0.25">
      <c r="C410"/>
      <c r="D410"/>
      <c r="E410"/>
    </row>
    <row r="411" spans="3:5" x14ac:dyDescent="0.25">
      <c r="C411"/>
      <c r="D411"/>
      <c r="E411"/>
    </row>
    <row r="412" spans="3:5" x14ac:dyDescent="0.25">
      <c r="C412"/>
      <c r="D412"/>
      <c r="E412"/>
    </row>
    <row r="413" spans="3:5" x14ac:dyDescent="0.25">
      <c r="C413"/>
      <c r="D413"/>
      <c r="E413"/>
    </row>
    <row r="414" spans="3:5" x14ac:dyDescent="0.25">
      <c r="C414"/>
      <c r="D414"/>
      <c r="E414"/>
    </row>
    <row r="415" spans="3:5" x14ac:dyDescent="0.25">
      <c r="C415"/>
      <c r="D415"/>
      <c r="E415"/>
    </row>
    <row r="416" spans="3:5" x14ac:dyDescent="0.25">
      <c r="C416"/>
      <c r="D416"/>
      <c r="E416"/>
    </row>
    <row r="417" spans="3:5" x14ac:dyDescent="0.25">
      <c r="C417"/>
      <c r="D417"/>
      <c r="E417"/>
    </row>
    <row r="418" spans="3:5" x14ac:dyDescent="0.25">
      <c r="C418"/>
      <c r="D418"/>
      <c r="E418"/>
    </row>
    <row r="419" spans="3:5" x14ac:dyDescent="0.25">
      <c r="C419"/>
      <c r="D419"/>
      <c r="E419"/>
    </row>
    <row r="420" spans="3:5" x14ac:dyDescent="0.25">
      <c r="C420"/>
      <c r="D420"/>
      <c r="E420"/>
    </row>
    <row r="421" spans="3:5" x14ac:dyDescent="0.25">
      <c r="C421"/>
      <c r="D421"/>
      <c r="E421"/>
    </row>
    <row r="422" spans="3:5" x14ac:dyDescent="0.25">
      <c r="C422"/>
      <c r="D422"/>
      <c r="E422"/>
    </row>
    <row r="423" spans="3:5" x14ac:dyDescent="0.25">
      <c r="C423"/>
      <c r="D423"/>
      <c r="E423"/>
    </row>
    <row r="424" spans="3:5" x14ac:dyDescent="0.25">
      <c r="C424"/>
      <c r="D424"/>
      <c r="E424"/>
    </row>
    <row r="425" spans="3:5" x14ac:dyDescent="0.25">
      <c r="C425"/>
      <c r="D425"/>
      <c r="E425"/>
    </row>
    <row r="426" spans="3:5" x14ac:dyDescent="0.25">
      <c r="C426"/>
      <c r="D426"/>
      <c r="E426"/>
    </row>
    <row r="427" spans="3:5" x14ac:dyDescent="0.25">
      <c r="C427"/>
      <c r="D427"/>
      <c r="E427"/>
    </row>
    <row r="428" spans="3:5" x14ac:dyDescent="0.25">
      <c r="C428"/>
      <c r="D428"/>
      <c r="E428"/>
    </row>
    <row r="429" spans="3:5" x14ac:dyDescent="0.25">
      <c r="C429"/>
      <c r="D429"/>
      <c r="E429"/>
    </row>
    <row r="430" spans="3:5" x14ac:dyDescent="0.25">
      <c r="C430"/>
      <c r="D430"/>
      <c r="E430"/>
    </row>
    <row r="431" spans="3:5" x14ac:dyDescent="0.25">
      <c r="C431"/>
      <c r="D431"/>
      <c r="E431"/>
    </row>
    <row r="432" spans="3:5" x14ac:dyDescent="0.25">
      <c r="C432"/>
      <c r="D432"/>
      <c r="E432"/>
    </row>
    <row r="433" spans="3:5" x14ac:dyDescent="0.25">
      <c r="C433"/>
      <c r="D433"/>
      <c r="E433"/>
    </row>
    <row r="434" spans="3:5" x14ac:dyDescent="0.25">
      <c r="C434"/>
      <c r="D434"/>
      <c r="E434"/>
    </row>
    <row r="435" spans="3:5" x14ac:dyDescent="0.25">
      <c r="C435"/>
      <c r="D435"/>
      <c r="E435"/>
    </row>
    <row r="436" spans="3:5" x14ac:dyDescent="0.25">
      <c r="C436"/>
      <c r="D436"/>
      <c r="E436"/>
    </row>
    <row r="437" spans="3:5" x14ac:dyDescent="0.25">
      <c r="C437"/>
      <c r="D437"/>
      <c r="E437"/>
    </row>
    <row r="438" spans="3:5" x14ac:dyDescent="0.25">
      <c r="C438"/>
      <c r="D438"/>
      <c r="E438"/>
    </row>
    <row r="439" spans="3:5" x14ac:dyDescent="0.25">
      <c r="C439"/>
      <c r="D439"/>
      <c r="E439"/>
    </row>
    <row r="440" spans="3:5" x14ac:dyDescent="0.25">
      <c r="C440"/>
      <c r="D440"/>
      <c r="E440"/>
    </row>
    <row r="441" spans="3:5" x14ac:dyDescent="0.25">
      <c r="C441"/>
      <c r="D441"/>
      <c r="E441"/>
    </row>
    <row r="442" spans="3:5" x14ac:dyDescent="0.25">
      <c r="C442"/>
      <c r="D442"/>
      <c r="E442"/>
    </row>
    <row r="443" spans="3:5" x14ac:dyDescent="0.25">
      <c r="C443"/>
      <c r="D443"/>
      <c r="E443"/>
    </row>
    <row r="444" spans="3:5" x14ac:dyDescent="0.25">
      <c r="C444"/>
      <c r="D444"/>
      <c r="E444"/>
    </row>
    <row r="445" spans="3:5" x14ac:dyDescent="0.25">
      <c r="C445"/>
      <c r="D445"/>
      <c r="E445"/>
    </row>
    <row r="446" spans="3:5" x14ac:dyDescent="0.25">
      <c r="C446"/>
      <c r="D446"/>
      <c r="E446"/>
    </row>
    <row r="447" spans="3:5" x14ac:dyDescent="0.25">
      <c r="C447"/>
      <c r="D447"/>
      <c r="E447"/>
    </row>
    <row r="448" spans="3:5" x14ac:dyDescent="0.25">
      <c r="C448"/>
      <c r="D448"/>
      <c r="E448"/>
    </row>
    <row r="449" spans="3:5" x14ac:dyDescent="0.25">
      <c r="C449"/>
      <c r="D449"/>
      <c r="E449"/>
    </row>
    <row r="450" spans="3:5" x14ac:dyDescent="0.25">
      <c r="C450"/>
      <c r="D450"/>
      <c r="E450"/>
    </row>
    <row r="451" spans="3:5" x14ac:dyDescent="0.25">
      <c r="C451"/>
      <c r="D451"/>
      <c r="E451"/>
    </row>
    <row r="452" spans="3:5" x14ac:dyDescent="0.25">
      <c r="C452"/>
      <c r="D452"/>
      <c r="E452"/>
    </row>
    <row r="453" spans="3:5" x14ac:dyDescent="0.25">
      <c r="C453"/>
      <c r="D453"/>
      <c r="E453"/>
    </row>
    <row r="454" spans="3:5" x14ac:dyDescent="0.25">
      <c r="C454"/>
      <c r="D454"/>
      <c r="E454"/>
    </row>
    <row r="455" spans="3:5" x14ac:dyDescent="0.25">
      <c r="C455"/>
      <c r="D455"/>
      <c r="E455"/>
    </row>
    <row r="456" spans="3:5" x14ac:dyDescent="0.25">
      <c r="C456"/>
      <c r="D456"/>
      <c r="E456"/>
    </row>
    <row r="457" spans="3:5" x14ac:dyDescent="0.25">
      <c r="C457"/>
      <c r="D457"/>
      <c r="E457"/>
    </row>
    <row r="458" spans="3:5" x14ac:dyDescent="0.25">
      <c r="C458"/>
      <c r="D458"/>
      <c r="E458"/>
    </row>
    <row r="459" spans="3:5" x14ac:dyDescent="0.25">
      <c r="C459"/>
      <c r="D459"/>
      <c r="E459"/>
    </row>
    <row r="460" spans="3:5" x14ac:dyDescent="0.25">
      <c r="C460"/>
      <c r="D460"/>
      <c r="E460"/>
    </row>
    <row r="461" spans="3:5" x14ac:dyDescent="0.25">
      <c r="C461"/>
      <c r="D461"/>
      <c r="E461"/>
    </row>
    <row r="462" spans="3:5" x14ac:dyDescent="0.25">
      <c r="C462"/>
      <c r="D462"/>
      <c r="E462"/>
    </row>
    <row r="463" spans="3:5" x14ac:dyDescent="0.25">
      <c r="C463"/>
      <c r="D463"/>
      <c r="E463"/>
    </row>
    <row r="464" spans="3:5" x14ac:dyDescent="0.25">
      <c r="C464"/>
      <c r="D464"/>
      <c r="E464"/>
    </row>
    <row r="465" spans="3:5" x14ac:dyDescent="0.25">
      <c r="C465"/>
      <c r="D465"/>
      <c r="E465"/>
    </row>
    <row r="466" spans="3:5" x14ac:dyDescent="0.25">
      <c r="C466"/>
      <c r="D466"/>
      <c r="E466"/>
    </row>
    <row r="467" spans="3:5" x14ac:dyDescent="0.25">
      <c r="C467"/>
      <c r="D467"/>
      <c r="E467"/>
    </row>
    <row r="468" spans="3:5" x14ac:dyDescent="0.25">
      <c r="C468"/>
      <c r="D468"/>
      <c r="E468"/>
    </row>
    <row r="469" spans="3:5" x14ac:dyDescent="0.25">
      <c r="C469"/>
      <c r="D469"/>
      <c r="E469"/>
    </row>
    <row r="470" spans="3:5" x14ac:dyDescent="0.25">
      <c r="C470"/>
      <c r="D470"/>
      <c r="E470"/>
    </row>
    <row r="471" spans="3:5" x14ac:dyDescent="0.25">
      <c r="C471"/>
      <c r="D471"/>
      <c r="E471"/>
    </row>
    <row r="472" spans="3:5" x14ac:dyDescent="0.25">
      <c r="C472"/>
      <c r="D472"/>
      <c r="E472"/>
    </row>
    <row r="473" spans="3:5" x14ac:dyDescent="0.25">
      <c r="C473"/>
      <c r="D473"/>
      <c r="E473"/>
    </row>
    <row r="474" spans="3:5" x14ac:dyDescent="0.25">
      <c r="C474"/>
      <c r="D474"/>
      <c r="E474"/>
    </row>
    <row r="475" spans="3:5" x14ac:dyDescent="0.25">
      <c r="C475"/>
      <c r="D475"/>
      <c r="E475"/>
    </row>
    <row r="476" spans="3:5" x14ac:dyDescent="0.25">
      <c r="C476"/>
      <c r="D476"/>
      <c r="E476"/>
    </row>
    <row r="477" spans="3:5" x14ac:dyDescent="0.25">
      <c r="C477"/>
      <c r="D477"/>
      <c r="E477"/>
    </row>
    <row r="478" spans="3:5" x14ac:dyDescent="0.25">
      <c r="C478"/>
      <c r="D478"/>
      <c r="E478"/>
    </row>
    <row r="479" spans="3:5" x14ac:dyDescent="0.25">
      <c r="C479"/>
      <c r="D479"/>
      <c r="E479"/>
    </row>
    <row r="480" spans="3:5" x14ac:dyDescent="0.25">
      <c r="C480"/>
      <c r="D480"/>
      <c r="E480"/>
    </row>
    <row r="481" spans="3:5" x14ac:dyDescent="0.25">
      <c r="C481"/>
      <c r="D481"/>
      <c r="E481"/>
    </row>
    <row r="482" spans="3:5" x14ac:dyDescent="0.25">
      <c r="C482"/>
      <c r="D482"/>
      <c r="E482"/>
    </row>
    <row r="483" spans="3:5" x14ac:dyDescent="0.25">
      <c r="C483"/>
      <c r="D483"/>
      <c r="E483"/>
    </row>
    <row r="484" spans="3:5" x14ac:dyDescent="0.25">
      <c r="C484"/>
      <c r="D484"/>
      <c r="E484"/>
    </row>
    <row r="485" spans="3:5" x14ac:dyDescent="0.25">
      <c r="C485"/>
      <c r="D485"/>
      <c r="E485"/>
    </row>
    <row r="486" spans="3:5" x14ac:dyDescent="0.25">
      <c r="C486"/>
      <c r="D486"/>
      <c r="E486"/>
    </row>
    <row r="487" spans="3:5" x14ac:dyDescent="0.25">
      <c r="C487"/>
      <c r="D487"/>
      <c r="E487"/>
    </row>
    <row r="488" spans="3:5" x14ac:dyDescent="0.25">
      <c r="C488"/>
      <c r="D488"/>
      <c r="E488"/>
    </row>
    <row r="489" spans="3:5" x14ac:dyDescent="0.25">
      <c r="C489"/>
      <c r="D489"/>
      <c r="E489"/>
    </row>
    <row r="490" spans="3:5" x14ac:dyDescent="0.25">
      <c r="C490"/>
      <c r="D490"/>
      <c r="E490"/>
    </row>
    <row r="491" spans="3:5" x14ac:dyDescent="0.25">
      <c r="C491"/>
      <c r="D491"/>
      <c r="E491"/>
    </row>
    <row r="492" spans="3:5" x14ac:dyDescent="0.25">
      <c r="C492"/>
      <c r="D492"/>
      <c r="E492"/>
    </row>
    <row r="493" spans="3:5" x14ac:dyDescent="0.25">
      <c r="C493"/>
      <c r="D493"/>
      <c r="E493"/>
    </row>
    <row r="494" spans="3:5" x14ac:dyDescent="0.25">
      <c r="C494"/>
      <c r="D494"/>
      <c r="E494"/>
    </row>
    <row r="495" spans="3:5" x14ac:dyDescent="0.25">
      <c r="C495"/>
      <c r="D495"/>
      <c r="E495"/>
    </row>
    <row r="496" spans="3:5" x14ac:dyDescent="0.25">
      <c r="C496"/>
      <c r="D496"/>
      <c r="E496"/>
    </row>
    <row r="497" spans="3:5" x14ac:dyDescent="0.25">
      <c r="C497"/>
      <c r="D497"/>
      <c r="E497"/>
    </row>
    <row r="498" spans="3:5" x14ac:dyDescent="0.25">
      <c r="C498"/>
      <c r="D498"/>
      <c r="E498"/>
    </row>
    <row r="499" spans="3:5" x14ac:dyDescent="0.25">
      <c r="C499"/>
      <c r="D499"/>
      <c r="E499"/>
    </row>
    <row r="500" spans="3:5" x14ac:dyDescent="0.25">
      <c r="C500"/>
      <c r="D500"/>
      <c r="E500"/>
    </row>
    <row r="501" spans="3:5" x14ac:dyDescent="0.25">
      <c r="C501"/>
      <c r="D501"/>
      <c r="E501"/>
    </row>
    <row r="502" spans="3:5" x14ac:dyDescent="0.25">
      <c r="C502"/>
      <c r="D502"/>
      <c r="E502"/>
    </row>
    <row r="503" spans="3:5" x14ac:dyDescent="0.25">
      <c r="C503"/>
      <c r="D503"/>
      <c r="E503"/>
    </row>
    <row r="504" spans="3:5" x14ac:dyDescent="0.25">
      <c r="C504"/>
      <c r="D504"/>
      <c r="E504"/>
    </row>
    <row r="505" spans="3:5" x14ac:dyDescent="0.25">
      <c r="C505"/>
      <c r="D505"/>
      <c r="E505"/>
    </row>
    <row r="506" spans="3:5" x14ac:dyDescent="0.25">
      <c r="C506"/>
      <c r="D506"/>
      <c r="E506"/>
    </row>
    <row r="507" spans="3:5" x14ac:dyDescent="0.25">
      <c r="C507"/>
      <c r="D507"/>
      <c r="E507"/>
    </row>
    <row r="508" spans="3:5" x14ac:dyDescent="0.25">
      <c r="C508"/>
      <c r="D508"/>
      <c r="E508"/>
    </row>
    <row r="509" spans="3:5" x14ac:dyDescent="0.25">
      <c r="C509"/>
      <c r="D509"/>
      <c r="E509"/>
    </row>
    <row r="510" spans="3:5" x14ac:dyDescent="0.25">
      <c r="C510"/>
      <c r="D510"/>
      <c r="E510"/>
    </row>
    <row r="511" spans="3:5" x14ac:dyDescent="0.25">
      <c r="C511"/>
      <c r="D511"/>
      <c r="E511"/>
    </row>
    <row r="512" spans="3:5" x14ac:dyDescent="0.25">
      <c r="C512"/>
      <c r="D512"/>
      <c r="E512"/>
    </row>
    <row r="513" spans="3:5" x14ac:dyDescent="0.25">
      <c r="C513"/>
      <c r="D513"/>
      <c r="E513"/>
    </row>
    <row r="514" spans="3:5" x14ac:dyDescent="0.25">
      <c r="C514"/>
      <c r="D514"/>
      <c r="E514"/>
    </row>
    <row r="515" spans="3:5" x14ac:dyDescent="0.25">
      <c r="C515"/>
      <c r="D515"/>
      <c r="E515"/>
    </row>
    <row r="516" spans="3:5" x14ac:dyDescent="0.25">
      <c r="C516"/>
      <c r="D516"/>
      <c r="E516"/>
    </row>
    <row r="517" spans="3:5" x14ac:dyDescent="0.25">
      <c r="C517"/>
      <c r="D517"/>
      <c r="E517"/>
    </row>
    <row r="518" spans="3:5" x14ac:dyDescent="0.25">
      <c r="C518"/>
      <c r="D518"/>
      <c r="E518"/>
    </row>
    <row r="519" spans="3:5" x14ac:dyDescent="0.25">
      <c r="C519"/>
      <c r="D519"/>
      <c r="E519"/>
    </row>
    <row r="520" spans="3:5" x14ac:dyDescent="0.25">
      <c r="C520"/>
      <c r="D520"/>
      <c r="E520"/>
    </row>
    <row r="521" spans="3:5" x14ac:dyDescent="0.25">
      <c r="C521"/>
      <c r="D521"/>
      <c r="E521"/>
    </row>
    <row r="522" spans="3:5" x14ac:dyDescent="0.25">
      <c r="C522"/>
      <c r="D522"/>
      <c r="E522"/>
    </row>
    <row r="523" spans="3:5" x14ac:dyDescent="0.25">
      <c r="C523"/>
      <c r="D523"/>
      <c r="E523"/>
    </row>
    <row r="524" spans="3:5" x14ac:dyDescent="0.25">
      <c r="C524"/>
      <c r="D524"/>
      <c r="E524"/>
    </row>
    <row r="525" spans="3:5" x14ac:dyDescent="0.25">
      <c r="C525"/>
      <c r="D525"/>
      <c r="E525"/>
    </row>
    <row r="526" spans="3:5" x14ac:dyDescent="0.25">
      <c r="C526"/>
      <c r="D526"/>
      <c r="E526"/>
    </row>
    <row r="527" spans="3:5" x14ac:dyDescent="0.25">
      <c r="C527"/>
      <c r="D527"/>
      <c r="E527"/>
    </row>
    <row r="528" spans="3:5" x14ac:dyDescent="0.25">
      <c r="C528"/>
      <c r="D528"/>
      <c r="E528"/>
    </row>
    <row r="529" spans="3:5" x14ac:dyDescent="0.25">
      <c r="C529"/>
      <c r="D529"/>
      <c r="E529"/>
    </row>
    <row r="530" spans="3:5" x14ac:dyDescent="0.25">
      <c r="C530"/>
      <c r="D530"/>
      <c r="E530"/>
    </row>
    <row r="531" spans="3:5" x14ac:dyDescent="0.25">
      <c r="C531"/>
      <c r="D531"/>
      <c r="E531"/>
    </row>
    <row r="532" spans="3:5" x14ac:dyDescent="0.25">
      <c r="C532"/>
      <c r="D532"/>
      <c r="E532"/>
    </row>
    <row r="533" spans="3:5" x14ac:dyDescent="0.25">
      <c r="C533"/>
      <c r="D533"/>
      <c r="E533"/>
    </row>
    <row r="534" spans="3:5" x14ac:dyDescent="0.25">
      <c r="C534"/>
      <c r="D534"/>
      <c r="E534"/>
    </row>
    <row r="535" spans="3:5" x14ac:dyDescent="0.25">
      <c r="C535"/>
      <c r="D535"/>
      <c r="E535"/>
    </row>
    <row r="536" spans="3:5" x14ac:dyDescent="0.25">
      <c r="C536"/>
      <c r="D536"/>
      <c r="E536"/>
    </row>
    <row r="537" spans="3:5" x14ac:dyDescent="0.25">
      <c r="C537"/>
      <c r="D537"/>
      <c r="E537"/>
    </row>
    <row r="538" spans="3:5" x14ac:dyDescent="0.25">
      <c r="C538"/>
      <c r="D538"/>
      <c r="E538"/>
    </row>
    <row r="539" spans="3:5" x14ac:dyDescent="0.25">
      <c r="C539"/>
      <c r="D539"/>
      <c r="E539"/>
    </row>
    <row r="540" spans="3:5" x14ac:dyDescent="0.25">
      <c r="C540"/>
      <c r="D540"/>
      <c r="E540"/>
    </row>
    <row r="541" spans="3:5" x14ac:dyDescent="0.25">
      <c r="C541"/>
      <c r="D541"/>
      <c r="E541"/>
    </row>
    <row r="542" spans="3:5" x14ac:dyDescent="0.25">
      <c r="C542"/>
      <c r="D542"/>
      <c r="E542"/>
    </row>
    <row r="543" spans="3:5" x14ac:dyDescent="0.25">
      <c r="C543"/>
      <c r="D543"/>
      <c r="E543"/>
    </row>
    <row r="544" spans="3:5" x14ac:dyDescent="0.25">
      <c r="C544"/>
      <c r="D544"/>
      <c r="E544"/>
    </row>
    <row r="545" spans="3:5" x14ac:dyDescent="0.25">
      <c r="C545"/>
      <c r="D545"/>
      <c r="E545"/>
    </row>
    <row r="546" spans="3:5" x14ac:dyDescent="0.25">
      <c r="C546"/>
      <c r="D546"/>
      <c r="E546"/>
    </row>
    <row r="547" spans="3:5" x14ac:dyDescent="0.25">
      <c r="C547"/>
      <c r="D547"/>
      <c r="E547"/>
    </row>
    <row r="548" spans="3:5" x14ac:dyDescent="0.25">
      <c r="C548"/>
      <c r="D548"/>
      <c r="E548"/>
    </row>
    <row r="549" spans="3:5" x14ac:dyDescent="0.25">
      <c r="C549"/>
      <c r="D549"/>
      <c r="E549"/>
    </row>
    <row r="550" spans="3:5" x14ac:dyDescent="0.25">
      <c r="C550"/>
      <c r="D550"/>
      <c r="E550"/>
    </row>
    <row r="551" spans="3:5" x14ac:dyDescent="0.25">
      <c r="C551"/>
      <c r="D551"/>
      <c r="E551"/>
    </row>
    <row r="552" spans="3:5" x14ac:dyDescent="0.25">
      <c r="C552"/>
      <c r="D552"/>
      <c r="E552"/>
    </row>
    <row r="553" spans="3:5" x14ac:dyDescent="0.25">
      <c r="C553"/>
      <c r="D553"/>
      <c r="E553"/>
    </row>
    <row r="554" spans="3:5" x14ac:dyDescent="0.25">
      <c r="C554"/>
      <c r="D554"/>
      <c r="E554"/>
    </row>
    <row r="555" spans="3:5" x14ac:dyDescent="0.25">
      <c r="C555"/>
      <c r="D555"/>
      <c r="E555"/>
    </row>
    <row r="556" spans="3:5" x14ac:dyDescent="0.25">
      <c r="C556"/>
      <c r="D556"/>
      <c r="E556"/>
    </row>
    <row r="557" spans="3:5" x14ac:dyDescent="0.25">
      <c r="C557"/>
      <c r="D557"/>
      <c r="E557"/>
    </row>
    <row r="558" spans="3:5" x14ac:dyDescent="0.25">
      <c r="C558"/>
      <c r="D558"/>
      <c r="E558"/>
    </row>
    <row r="559" spans="3:5" x14ac:dyDescent="0.25">
      <c r="C559"/>
      <c r="D559"/>
      <c r="E559"/>
    </row>
    <row r="560" spans="3:5" x14ac:dyDescent="0.25">
      <c r="C560"/>
      <c r="D560"/>
      <c r="E560"/>
    </row>
    <row r="561" spans="3:5" x14ac:dyDescent="0.25">
      <c r="C561"/>
      <c r="D561"/>
      <c r="E561"/>
    </row>
    <row r="562" spans="3:5" x14ac:dyDescent="0.25">
      <c r="C562"/>
      <c r="D562"/>
      <c r="E562"/>
    </row>
    <row r="563" spans="3:5" x14ac:dyDescent="0.25">
      <c r="C563"/>
      <c r="D563"/>
      <c r="E563"/>
    </row>
    <row r="564" spans="3:5" x14ac:dyDescent="0.25">
      <c r="C564"/>
      <c r="D564"/>
      <c r="E564"/>
    </row>
    <row r="565" spans="3:5" x14ac:dyDescent="0.25">
      <c r="C565"/>
      <c r="D565"/>
      <c r="E565"/>
    </row>
    <row r="566" spans="3:5" x14ac:dyDescent="0.25">
      <c r="C566"/>
      <c r="D566"/>
      <c r="E566"/>
    </row>
    <row r="567" spans="3:5" x14ac:dyDescent="0.25">
      <c r="C567"/>
      <c r="D567"/>
      <c r="E567"/>
    </row>
    <row r="568" spans="3:5" x14ac:dyDescent="0.25">
      <c r="C568"/>
      <c r="D568"/>
      <c r="E568"/>
    </row>
    <row r="569" spans="3:5" x14ac:dyDescent="0.25">
      <c r="C569"/>
      <c r="D569"/>
      <c r="E569"/>
    </row>
    <row r="570" spans="3:5" x14ac:dyDescent="0.25">
      <c r="C570"/>
      <c r="D570"/>
      <c r="E570"/>
    </row>
    <row r="571" spans="3:5" x14ac:dyDescent="0.25">
      <c r="C571"/>
      <c r="D571"/>
      <c r="E571"/>
    </row>
    <row r="572" spans="3:5" x14ac:dyDescent="0.25">
      <c r="C572"/>
      <c r="D572"/>
      <c r="E572"/>
    </row>
    <row r="573" spans="3:5" x14ac:dyDescent="0.25">
      <c r="C573"/>
      <c r="D573"/>
      <c r="E573"/>
    </row>
    <row r="574" spans="3:5" x14ac:dyDescent="0.25">
      <c r="C574"/>
      <c r="D574"/>
      <c r="E574"/>
    </row>
    <row r="575" spans="3:5" x14ac:dyDescent="0.25">
      <c r="C575"/>
      <c r="D575"/>
      <c r="E575"/>
    </row>
    <row r="576" spans="3:5" x14ac:dyDescent="0.25">
      <c r="C576"/>
      <c r="D576"/>
      <c r="E576"/>
    </row>
    <row r="577" spans="3:5" x14ac:dyDescent="0.25">
      <c r="C577"/>
      <c r="D577"/>
      <c r="E577"/>
    </row>
    <row r="578" spans="3:5" x14ac:dyDescent="0.25">
      <c r="C578"/>
      <c r="D578"/>
      <c r="E578"/>
    </row>
    <row r="579" spans="3:5" x14ac:dyDescent="0.25">
      <c r="C579"/>
      <c r="D579"/>
      <c r="E579"/>
    </row>
    <row r="580" spans="3:5" x14ac:dyDescent="0.25">
      <c r="C580"/>
      <c r="D580"/>
      <c r="E580"/>
    </row>
    <row r="581" spans="3:5" x14ac:dyDescent="0.25">
      <c r="C581"/>
      <c r="D581"/>
      <c r="E581"/>
    </row>
    <row r="582" spans="3:5" x14ac:dyDescent="0.25">
      <c r="C582"/>
      <c r="D582"/>
      <c r="E582"/>
    </row>
    <row r="583" spans="3:5" x14ac:dyDescent="0.25">
      <c r="C583"/>
      <c r="D583"/>
      <c r="E583"/>
    </row>
    <row r="584" spans="3:5" x14ac:dyDescent="0.25">
      <c r="C584"/>
      <c r="D584"/>
      <c r="E584"/>
    </row>
    <row r="585" spans="3:5" x14ac:dyDescent="0.25">
      <c r="C585"/>
      <c r="D585"/>
      <c r="E585"/>
    </row>
    <row r="586" spans="3:5" x14ac:dyDescent="0.25">
      <c r="C586"/>
      <c r="D586"/>
      <c r="E586"/>
    </row>
    <row r="587" spans="3:5" x14ac:dyDescent="0.25">
      <c r="C587"/>
      <c r="D587"/>
      <c r="E587"/>
    </row>
    <row r="588" spans="3:5" x14ac:dyDescent="0.25">
      <c r="C588"/>
      <c r="D588"/>
      <c r="E588"/>
    </row>
    <row r="589" spans="3:5" x14ac:dyDescent="0.25">
      <c r="C589"/>
      <c r="D589"/>
      <c r="E589"/>
    </row>
    <row r="590" spans="3:5" x14ac:dyDescent="0.25">
      <c r="C590"/>
      <c r="D590"/>
      <c r="E590"/>
    </row>
    <row r="591" spans="3:5" x14ac:dyDescent="0.25">
      <c r="C591"/>
      <c r="D591"/>
      <c r="E591"/>
    </row>
    <row r="592" spans="3:5" x14ac:dyDescent="0.25">
      <c r="C592"/>
      <c r="D592"/>
      <c r="E592"/>
    </row>
    <row r="593" spans="3:5" x14ac:dyDescent="0.25">
      <c r="C593"/>
      <c r="D593"/>
      <c r="E593"/>
    </row>
    <row r="594" spans="3:5" x14ac:dyDescent="0.25">
      <c r="C594"/>
      <c r="D594"/>
      <c r="E594"/>
    </row>
    <row r="595" spans="3:5" x14ac:dyDescent="0.25">
      <c r="C595"/>
      <c r="D595"/>
      <c r="E595"/>
    </row>
    <row r="596" spans="3:5" x14ac:dyDescent="0.25">
      <c r="C596"/>
      <c r="D596"/>
      <c r="E596"/>
    </row>
    <row r="597" spans="3:5" x14ac:dyDescent="0.25">
      <c r="C597"/>
      <c r="D597"/>
      <c r="E597"/>
    </row>
    <row r="598" spans="3:5" x14ac:dyDescent="0.25">
      <c r="C598"/>
      <c r="D598"/>
      <c r="E598"/>
    </row>
    <row r="599" spans="3:5" x14ac:dyDescent="0.25">
      <c r="C599"/>
      <c r="D599"/>
      <c r="E599"/>
    </row>
    <row r="600" spans="3:5" x14ac:dyDescent="0.25">
      <c r="C600"/>
      <c r="D600"/>
      <c r="E600"/>
    </row>
    <row r="601" spans="3:5" x14ac:dyDescent="0.25">
      <c r="C601"/>
      <c r="D601"/>
      <c r="E601"/>
    </row>
    <row r="602" spans="3:5" x14ac:dyDescent="0.25">
      <c r="C602"/>
      <c r="D602"/>
      <c r="E602"/>
    </row>
    <row r="603" spans="3:5" x14ac:dyDescent="0.25">
      <c r="C603"/>
      <c r="D603"/>
      <c r="E603"/>
    </row>
    <row r="604" spans="3:5" x14ac:dyDescent="0.25">
      <c r="C604"/>
      <c r="D604"/>
      <c r="E604"/>
    </row>
    <row r="605" spans="3:5" x14ac:dyDescent="0.25">
      <c r="C605"/>
      <c r="D605"/>
      <c r="E605"/>
    </row>
    <row r="606" spans="3:5" x14ac:dyDescent="0.25">
      <c r="C606"/>
      <c r="D606"/>
      <c r="E606"/>
    </row>
    <row r="607" spans="3:5" x14ac:dyDescent="0.25">
      <c r="C607"/>
      <c r="D607"/>
      <c r="E607"/>
    </row>
    <row r="608" spans="3:5" x14ac:dyDescent="0.25">
      <c r="C608"/>
      <c r="D608"/>
      <c r="E608"/>
    </row>
    <row r="609" spans="3:5" x14ac:dyDescent="0.25">
      <c r="C609"/>
      <c r="D609"/>
      <c r="E609"/>
    </row>
    <row r="610" spans="3:5" x14ac:dyDescent="0.25">
      <c r="C610"/>
      <c r="D610"/>
      <c r="E610"/>
    </row>
    <row r="611" spans="3:5" x14ac:dyDescent="0.25">
      <c r="C611"/>
      <c r="D611"/>
      <c r="E611"/>
    </row>
    <row r="612" spans="3:5" x14ac:dyDescent="0.25">
      <c r="C612"/>
      <c r="D612"/>
      <c r="E612"/>
    </row>
    <row r="613" spans="3:5" x14ac:dyDescent="0.25">
      <c r="C613"/>
      <c r="D613"/>
      <c r="E613"/>
    </row>
    <row r="614" spans="3:5" x14ac:dyDescent="0.25">
      <c r="C614"/>
      <c r="D614"/>
      <c r="E614"/>
    </row>
    <row r="615" spans="3:5" x14ac:dyDescent="0.25">
      <c r="C615"/>
      <c r="D615"/>
      <c r="E615"/>
    </row>
    <row r="616" spans="3:5" x14ac:dyDescent="0.25">
      <c r="C616"/>
      <c r="D616"/>
      <c r="E616"/>
    </row>
    <row r="617" spans="3:5" x14ac:dyDescent="0.25">
      <c r="C617"/>
      <c r="D617"/>
      <c r="E617"/>
    </row>
    <row r="618" spans="3:5" x14ac:dyDescent="0.25">
      <c r="C618"/>
      <c r="D618"/>
      <c r="E618"/>
    </row>
    <row r="619" spans="3:5" x14ac:dyDescent="0.25">
      <c r="C619"/>
      <c r="D619"/>
      <c r="E619"/>
    </row>
    <row r="620" spans="3:5" x14ac:dyDescent="0.25">
      <c r="C620"/>
      <c r="D620"/>
      <c r="E620"/>
    </row>
    <row r="621" spans="3:5" x14ac:dyDescent="0.25">
      <c r="C621"/>
      <c r="D621"/>
      <c r="E621"/>
    </row>
    <row r="622" spans="3:5" x14ac:dyDescent="0.25">
      <c r="C622"/>
      <c r="D622"/>
      <c r="E622"/>
    </row>
    <row r="623" spans="3:5" x14ac:dyDescent="0.25">
      <c r="C623"/>
      <c r="D623"/>
      <c r="E623"/>
    </row>
    <row r="624" spans="3:5" x14ac:dyDescent="0.25">
      <c r="C624"/>
      <c r="D624"/>
      <c r="E624"/>
    </row>
    <row r="625" spans="3:5" x14ac:dyDescent="0.25">
      <c r="C625"/>
      <c r="D625"/>
      <c r="E625"/>
    </row>
    <row r="626" spans="3:5" x14ac:dyDescent="0.25">
      <c r="C626"/>
      <c r="D626"/>
      <c r="E626"/>
    </row>
    <row r="627" spans="3:5" x14ac:dyDescent="0.25">
      <c r="C627"/>
      <c r="D627"/>
      <c r="E627"/>
    </row>
    <row r="628" spans="3:5" x14ac:dyDescent="0.25">
      <c r="C628"/>
      <c r="D628"/>
      <c r="E628"/>
    </row>
    <row r="629" spans="3:5" x14ac:dyDescent="0.25">
      <c r="C629"/>
      <c r="D629"/>
      <c r="E629"/>
    </row>
    <row r="630" spans="3:5" x14ac:dyDescent="0.25">
      <c r="C630"/>
      <c r="D630"/>
      <c r="E630"/>
    </row>
    <row r="631" spans="3:5" x14ac:dyDescent="0.25">
      <c r="C631"/>
      <c r="D631"/>
      <c r="E631"/>
    </row>
    <row r="632" spans="3:5" x14ac:dyDescent="0.25">
      <c r="C632"/>
      <c r="D632"/>
      <c r="E632"/>
    </row>
    <row r="633" spans="3:5" x14ac:dyDescent="0.25">
      <c r="C633"/>
      <c r="D633"/>
      <c r="E633"/>
    </row>
    <row r="634" spans="3:5" x14ac:dyDescent="0.25">
      <c r="C634"/>
      <c r="D634"/>
      <c r="E634"/>
    </row>
    <row r="635" spans="3:5" x14ac:dyDescent="0.25">
      <c r="C635"/>
      <c r="D635"/>
      <c r="E635"/>
    </row>
    <row r="636" spans="3:5" x14ac:dyDescent="0.25">
      <c r="C636"/>
      <c r="D636"/>
      <c r="E636"/>
    </row>
    <row r="637" spans="3:5" x14ac:dyDescent="0.25">
      <c r="C637"/>
      <c r="D637"/>
      <c r="E637"/>
    </row>
    <row r="638" spans="3:5" x14ac:dyDescent="0.25">
      <c r="C638"/>
      <c r="D638"/>
      <c r="E638"/>
    </row>
    <row r="639" spans="3:5" x14ac:dyDescent="0.25">
      <c r="C639"/>
      <c r="D639"/>
      <c r="E639"/>
    </row>
    <row r="640" spans="3:5" x14ac:dyDescent="0.25">
      <c r="C640"/>
      <c r="D640"/>
      <c r="E640"/>
    </row>
    <row r="641" spans="3:5" x14ac:dyDescent="0.25">
      <c r="C641"/>
      <c r="D641"/>
      <c r="E641"/>
    </row>
    <row r="642" spans="3:5" x14ac:dyDescent="0.25">
      <c r="C642"/>
      <c r="D642"/>
      <c r="E642"/>
    </row>
    <row r="643" spans="3:5" x14ac:dyDescent="0.25">
      <c r="C643"/>
      <c r="D643"/>
      <c r="E643"/>
    </row>
    <row r="644" spans="3:5" x14ac:dyDescent="0.25">
      <c r="C644"/>
      <c r="D644"/>
      <c r="E644"/>
    </row>
    <row r="645" spans="3:5" x14ac:dyDescent="0.25">
      <c r="C645"/>
      <c r="D645"/>
      <c r="E645"/>
    </row>
    <row r="646" spans="3:5" x14ac:dyDescent="0.25">
      <c r="C646"/>
      <c r="D646"/>
      <c r="E646"/>
    </row>
    <row r="647" spans="3:5" x14ac:dyDescent="0.25">
      <c r="C647"/>
      <c r="D647"/>
      <c r="E647"/>
    </row>
    <row r="648" spans="3:5" x14ac:dyDescent="0.25">
      <c r="C648"/>
      <c r="D648"/>
      <c r="E648"/>
    </row>
    <row r="649" spans="3:5" x14ac:dyDescent="0.25">
      <c r="C649"/>
      <c r="D649"/>
      <c r="E649"/>
    </row>
    <row r="650" spans="3:5" x14ac:dyDescent="0.25">
      <c r="C650"/>
      <c r="D650"/>
      <c r="E650"/>
    </row>
    <row r="651" spans="3:5" x14ac:dyDescent="0.25">
      <c r="C651"/>
      <c r="D651"/>
      <c r="E651"/>
    </row>
    <row r="652" spans="3:5" x14ac:dyDescent="0.25">
      <c r="C652"/>
      <c r="D652"/>
      <c r="E652"/>
    </row>
    <row r="653" spans="3:5" x14ac:dyDescent="0.25">
      <c r="C653"/>
      <c r="D653"/>
      <c r="E653"/>
    </row>
    <row r="654" spans="3:5" x14ac:dyDescent="0.25">
      <c r="C654"/>
      <c r="D654"/>
      <c r="E654"/>
    </row>
    <row r="655" spans="3:5" x14ac:dyDescent="0.25">
      <c r="C655"/>
      <c r="D655"/>
      <c r="E655"/>
    </row>
    <row r="656" spans="3:5" x14ac:dyDescent="0.25">
      <c r="C656"/>
      <c r="D656"/>
      <c r="E656"/>
    </row>
    <row r="657" spans="3:5" x14ac:dyDescent="0.25">
      <c r="C657"/>
      <c r="D657"/>
      <c r="E657"/>
    </row>
    <row r="658" spans="3:5" x14ac:dyDescent="0.25">
      <c r="C658"/>
      <c r="D658"/>
      <c r="E658"/>
    </row>
    <row r="659" spans="3:5" x14ac:dyDescent="0.25">
      <c r="C659"/>
      <c r="D659"/>
      <c r="E659"/>
    </row>
    <row r="660" spans="3:5" x14ac:dyDescent="0.25">
      <c r="C660"/>
      <c r="D660"/>
      <c r="E660"/>
    </row>
    <row r="661" spans="3:5" x14ac:dyDescent="0.25">
      <c r="C661"/>
      <c r="D661"/>
      <c r="E661"/>
    </row>
    <row r="662" spans="3:5" x14ac:dyDescent="0.25">
      <c r="C662"/>
      <c r="D662"/>
      <c r="E662"/>
    </row>
    <row r="663" spans="3:5" x14ac:dyDescent="0.25">
      <c r="C663"/>
      <c r="D663"/>
      <c r="E663"/>
    </row>
    <row r="664" spans="3:5" x14ac:dyDescent="0.25">
      <c r="C664"/>
      <c r="D664"/>
      <c r="E664"/>
    </row>
    <row r="665" spans="3:5" x14ac:dyDescent="0.25">
      <c r="C665"/>
      <c r="D665"/>
      <c r="E665"/>
    </row>
    <row r="666" spans="3:5" x14ac:dyDescent="0.25">
      <c r="C666"/>
      <c r="D666"/>
      <c r="E666"/>
    </row>
    <row r="667" spans="3:5" x14ac:dyDescent="0.25">
      <c r="C667"/>
      <c r="D667"/>
      <c r="E667"/>
    </row>
    <row r="668" spans="3:5" x14ac:dyDescent="0.25">
      <c r="C668"/>
      <c r="D668"/>
      <c r="E668"/>
    </row>
    <row r="669" spans="3:5" x14ac:dyDescent="0.25">
      <c r="C669"/>
      <c r="D669"/>
      <c r="E669"/>
    </row>
    <row r="670" spans="3:5" x14ac:dyDescent="0.25">
      <c r="C670"/>
      <c r="D670"/>
      <c r="E670"/>
    </row>
    <row r="671" spans="3:5" x14ac:dyDescent="0.25">
      <c r="C671"/>
      <c r="D671"/>
      <c r="E671"/>
    </row>
    <row r="672" spans="3:5" x14ac:dyDescent="0.25">
      <c r="C672"/>
      <c r="D672"/>
      <c r="E672"/>
    </row>
    <row r="673" spans="3:5" x14ac:dyDescent="0.25">
      <c r="C673"/>
      <c r="D673"/>
      <c r="E673"/>
    </row>
    <row r="674" spans="3:5" x14ac:dyDescent="0.25">
      <c r="C674"/>
      <c r="D674"/>
      <c r="E674"/>
    </row>
    <row r="675" spans="3:5" x14ac:dyDescent="0.25">
      <c r="C675"/>
      <c r="D675"/>
      <c r="E675"/>
    </row>
    <row r="676" spans="3:5" x14ac:dyDescent="0.25">
      <c r="C676"/>
      <c r="D676"/>
      <c r="E676"/>
    </row>
    <row r="677" spans="3:5" x14ac:dyDescent="0.25">
      <c r="C677"/>
      <c r="D677"/>
      <c r="E677"/>
    </row>
    <row r="678" spans="3:5" x14ac:dyDescent="0.25">
      <c r="C678"/>
      <c r="D678"/>
      <c r="E678"/>
    </row>
    <row r="679" spans="3:5" x14ac:dyDescent="0.25">
      <c r="C679"/>
      <c r="D679"/>
      <c r="E679"/>
    </row>
    <row r="680" spans="3:5" x14ac:dyDescent="0.25">
      <c r="C680"/>
      <c r="D680"/>
      <c r="E680"/>
    </row>
    <row r="681" spans="3:5" x14ac:dyDescent="0.25">
      <c r="C681"/>
      <c r="D681"/>
      <c r="E681"/>
    </row>
    <row r="682" spans="3:5" x14ac:dyDescent="0.25">
      <c r="C682"/>
      <c r="D682"/>
      <c r="E682"/>
    </row>
    <row r="683" spans="3:5" x14ac:dyDescent="0.25">
      <c r="C683"/>
      <c r="D683"/>
      <c r="E683"/>
    </row>
    <row r="684" spans="3:5" x14ac:dyDescent="0.25">
      <c r="C684"/>
      <c r="D684"/>
      <c r="E684"/>
    </row>
    <row r="685" spans="3:5" x14ac:dyDescent="0.25">
      <c r="C685"/>
      <c r="D685"/>
      <c r="E685"/>
    </row>
    <row r="686" spans="3:5" x14ac:dyDescent="0.25">
      <c r="C686"/>
      <c r="D686"/>
      <c r="E686"/>
    </row>
    <row r="687" spans="3:5" x14ac:dyDescent="0.25">
      <c r="C687"/>
      <c r="D687"/>
      <c r="E687"/>
    </row>
    <row r="688" spans="3:5" x14ac:dyDescent="0.25">
      <c r="C688"/>
      <c r="D688"/>
      <c r="E688"/>
    </row>
    <row r="689" spans="3:5" x14ac:dyDescent="0.25">
      <c r="C689"/>
      <c r="D689"/>
      <c r="E689"/>
    </row>
    <row r="690" spans="3:5" x14ac:dyDescent="0.25">
      <c r="C690"/>
      <c r="D690"/>
      <c r="E690"/>
    </row>
    <row r="691" spans="3:5" x14ac:dyDescent="0.25">
      <c r="C691"/>
      <c r="D691"/>
      <c r="E691"/>
    </row>
    <row r="692" spans="3:5" x14ac:dyDescent="0.25">
      <c r="C692"/>
      <c r="D692"/>
      <c r="E692"/>
    </row>
    <row r="693" spans="3:5" x14ac:dyDescent="0.25">
      <c r="C693"/>
      <c r="D693"/>
      <c r="E693"/>
    </row>
    <row r="694" spans="3:5" x14ac:dyDescent="0.25">
      <c r="C694"/>
      <c r="D694"/>
      <c r="E694"/>
    </row>
    <row r="695" spans="3:5" x14ac:dyDescent="0.25">
      <c r="C695"/>
      <c r="D695"/>
      <c r="E695"/>
    </row>
    <row r="696" spans="3:5" x14ac:dyDescent="0.25">
      <c r="C696"/>
      <c r="D696"/>
      <c r="E696"/>
    </row>
    <row r="697" spans="3:5" x14ac:dyDescent="0.25">
      <c r="C697"/>
      <c r="D697"/>
      <c r="E697"/>
    </row>
    <row r="698" spans="3:5" x14ac:dyDescent="0.25">
      <c r="C698"/>
      <c r="D698"/>
      <c r="E698"/>
    </row>
    <row r="699" spans="3:5" x14ac:dyDescent="0.25">
      <c r="C699"/>
      <c r="D699"/>
      <c r="E699"/>
    </row>
    <row r="700" spans="3:5" x14ac:dyDescent="0.25">
      <c r="C700"/>
      <c r="D700"/>
      <c r="E700"/>
    </row>
    <row r="701" spans="3:5" x14ac:dyDescent="0.25">
      <c r="C701"/>
      <c r="D701"/>
      <c r="E701"/>
    </row>
    <row r="702" spans="3:5" x14ac:dyDescent="0.25">
      <c r="C702"/>
      <c r="D702"/>
      <c r="E702"/>
    </row>
    <row r="703" spans="3:5" x14ac:dyDescent="0.25">
      <c r="C703"/>
      <c r="D703"/>
      <c r="E703"/>
    </row>
    <row r="704" spans="3:5" x14ac:dyDescent="0.25">
      <c r="C704"/>
      <c r="D704"/>
      <c r="E704"/>
    </row>
    <row r="705" spans="3:5" x14ac:dyDescent="0.25">
      <c r="C705"/>
      <c r="D705"/>
      <c r="E705"/>
    </row>
    <row r="706" spans="3:5" x14ac:dyDescent="0.25">
      <c r="C706"/>
      <c r="D706"/>
      <c r="E706"/>
    </row>
    <row r="707" spans="3:5" x14ac:dyDescent="0.25">
      <c r="C707"/>
      <c r="D707"/>
      <c r="E707"/>
    </row>
    <row r="708" spans="3:5" x14ac:dyDescent="0.25">
      <c r="C708"/>
      <c r="D708"/>
      <c r="E708"/>
    </row>
    <row r="709" spans="3:5" x14ac:dyDescent="0.25">
      <c r="C709"/>
      <c r="D709"/>
      <c r="E709"/>
    </row>
    <row r="710" spans="3:5" x14ac:dyDescent="0.25">
      <c r="C710"/>
      <c r="D710"/>
      <c r="E710"/>
    </row>
    <row r="711" spans="3:5" x14ac:dyDescent="0.25">
      <c r="C711"/>
      <c r="D711"/>
      <c r="E711"/>
    </row>
    <row r="712" spans="3:5" x14ac:dyDescent="0.25">
      <c r="C712"/>
      <c r="D712"/>
      <c r="E712"/>
    </row>
    <row r="713" spans="3:5" x14ac:dyDescent="0.25">
      <c r="C713"/>
      <c r="D713"/>
      <c r="E713"/>
    </row>
    <row r="714" spans="3:5" x14ac:dyDescent="0.25">
      <c r="C714"/>
      <c r="D714"/>
      <c r="E714"/>
    </row>
    <row r="715" spans="3:5" x14ac:dyDescent="0.25">
      <c r="C715"/>
      <c r="D715"/>
      <c r="E715"/>
    </row>
    <row r="716" spans="3:5" x14ac:dyDescent="0.25">
      <c r="C716"/>
      <c r="D716"/>
      <c r="E716"/>
    </row>
    <row r="717" spans="3:5" x14ac:dyDescent="0.25">
      <c r="C717"/>
      <c r="D717"/>
      <c r="E717"/>
    </row>
    <row r="718" spans="3:5" x14ac:dyDescent="0.25">
      <c r="C718"/>
      <c r="D718"/>
      <c r="E718"/>
    </row>
    <row r="719" spans="3:5" x14ac:dyDescent="0.25">
      <c r="C719"/>
      <c r="D719"/>
      <c r="E719"/>
    </row>
    <row r="720" spans="3:5" x14ac:dyDescent="0.25">
      <c r="C720"/>
      <c r="D720"/>
      <c r="E720"/>
    </row>
    <row r="721" spans="3:5" x14ac:dyDescent="0.25">
      <c r="C721"/>
      <c r="D721"/>
      <c r="E721"/>
    </row>
    <row r="722" spans="3:5" x14ac:dyDescent="0.25">
      <c r="C722"/>
      <c r="D722"/>
      <c r="E722"/>
    </row>
    <row r="723" spans="3:5" x14ac:dyDescent="0.25">
      <c r="C723"/>
      <c r="D723"/>
      <c r="E723"/>
    </row>
    <row r="724" spans="3:5" x14ac:dyDescent="0.25">
      <c r="C724"/>
      <c r="D724"/>
      <c r="E724"/>
    </row>
    <row r="725" spans="3:5" x14ac:dyDescent="0.25">
      <c r="C725"/>
      <c r="D725"/>
      <c r="E725"/>
    </row>
    <row r="726" spans="3:5" x14ac:dyDescent="0.25">
      <c r="C726"/>
      <c r="D726"/>
      <c r="E726"/>
    </row>
    <row r="727" spans="3:5" x14ac:dyDescent="0.25">
      <c r="C727"/>
      <c r="D727"/>
      <c r="E727"/>
    </row>
    <row r="728" spans="3:5" x14ac:dyDescent="0.25">
      <c r="C728"/>
      <c r="D728"/>
      <c r="E728"/>
    </row>
    <row r="729" spans="3:5" x14ac:dyDescent="0.25">
      <c r="C729"/>
      <c r="D729"/>
      <c r="E729"/>
    </row>
    <row r="730" spans="3:5" x14ac:dyDescent="0.25">
      <c r="C730"/>
      <c r="D730"/>
      <c r="E730"/>
    </row>
    <row r="731" spans="3:5" x14ac:dyDescent="0.25">
      <c r="C731"/>
      <c r="D731"/>
      <c r="E731"/>
    </row>
    <row r="732" spans="3:5" x14ac:dyDescent="0.25">
      <c r="C732"/>
      <c r="D732"/>
      <c r="E732"/>
    </row>
    <row r="733" spans="3:5" x14ac:dyDescent="0.25">
      <c r="C733"/>
      <c r="D733"/>
      <c r="E733"/>
    </row>
    <row r="734" spans="3:5" x14ac:dyDescent="0.25">
      <c r="C734"/>
      <c r="D734"/>
      <c r="E734"/>
    </row>
    <row r="735" spans="3:5" x14ac:dyDescent="0.25">
      <c r="C735"/>
      <c r="D735"/>
      <c r="E735"/>
    </row>
    <row r="736" spans="3:5" x14ac:dyDescent="0.25">
      <c r="C736"/>
      <c r="D736"/>
      <c r="E736"/>
    </row>
    <row r="737" spans="3:5" x14ac:dyDescent="0.25">
      <c r="C737"/>
      <c r="D737"/>
      <c r="E737"/>
    </row>
    <row r="738" spans="3:5" x14ac:dyDescent="0.25">
      <c r="C738"/>
      <c r="D738"/>
      <c r="E738"/>
    </row>
    <row r="739" spans="3:5" x14ac:dyDescent="0.25">
      <c r="C739"/>
      <c r="D739"/>
      <c r="E739"/>
    </row>
    <row r="740" spans="3:5" x14ac:dyDescent="0.25">
      <c r="C740"/>
      <c r="D740"/>
      <c r="E740"/>
    </row>
    <row r="741" spans="3:5" x14ac:dyDescent="0.25">
      <c r="C741"/>
      <c r="D741"/>
      <c r="E741"/>
    </row>
    <row r="742" spans="3:5" x14ac:dyDescent="0.25">
      <c r="C742"/>
      <c r="D742"/>
      <c r="E742"/>
    </row>
    <row r="743" spans="3:5" x14ac:dyDescent="0.25">
      <c r="C743"/>
      <c r="D743"/>
      <c r="E743"/>
    </row>
    <row r="744" spans="3:5" x14ac:dyDescent="0.25">
      <c r="C744"/>
      <c r="D744"/>
      <c r="E744"/>
    </row>
    <row r="745" spans="3:5" x14ac:dyDescent="0.25">
      <c r="C745"/>
      <c r="D745"/>
      <c r="E745"/>
    </row>
    <row r="746" spans="3:5" x14ac:dyDescent="0.25">
      <c r="C746"/>
      <c r="D746"/>
      <c r="E746"/>
    </row>
    <row r="747" spans="3:5" x14ac:dyDescent="0.25">
      <c r="C747"/>
      <c r="D747"/>
      <c r="E747"/>
    </row>
    <row r="748" spans="3:5" x14ac:dyDescent="0.25">
      <c r="C748"/>
      <c r="D748"/>
      <c r="E748"/>
    </row>
    <row r="749" spans="3:5" x14ac:dyDescent="0.25">
      <c r="C749"/>
      <c r="D749"/>
      <c r="E749"/>
    </row>
    <row r="750" spans="3:5" x14ac:dyDescent="0.25">
      <c r="C750"/>
      <c r="D750"/>
      <c r="E750"/>
    </row>
    <row r="751" spans="3:5" x14ac:dyDescent="0.25">
      <c r="C751"/>
      <c r="D751"/>
      <c r="E751"/>
    </row>
    <row r="752" spans="3:5" x14ac:dyDescent="0.25">
      <c r="C752"/>
      <c r="D752"/>
      <c r="E752"/>
    </row>
    <row r="753" spans="3:5" x14ac:dyDescent="0.25">
      <c r="C753"/>
      <c r="D753"/>
      <c r="E753"/>
    </row>
    <row r="754" spans="3:5" x14ac:dyDescent="0.25">
      <c r="C754"/>
      <c r="D754"/>
      <c r="E754"/>
    </row>
    <row r="755" spans="3:5" x14ac:dyDescent="0.25">
      <c r="C755"/>
      <c r="D755"/>
      <c r="E755"/>
    </row>
    <row r="756" spans="3:5" x14ac:dyDescent="0.25">
      <c r="C756"/>
      <c r="D756"/>
      <c r="E756"/>
    </row>
    <row r="757" spans="3:5" x14ac:dyDescent="0.25">
      <c r="C757"/>
      <c r="D757"/>
      <c r="E757"/>
    </row>
    <row r="758" spans="3:5" x14ac:dyDescent="0.25">
      <c r="C758"/>
      <c r="D758"/>
      <c r="E758"/>
    </row>
    <row r="759" spans="3:5" x14ac:dyDescent="0.25">
      <c r="C759"/>
      <c r="D759"/>
      <c r="E759"/>
    </row>
    <row r="760" spans="3:5" x14ac:dyDescent="0.25">
      <c r="C760"/>
      <c r="D760"/>
      <c r="E760"/>
    </row>
    <row r="761" spans="3:5" x14ac:dyDescent="0.25">
      <c r="C761"/>
      <c r="D761"/>
      <c r="E761"/>
    </row>
    <row r="762" spans="3:5" x14ac:dyDescent="0.25">
      <c r="C762"/>
      <c r="D762"/>
      <c r="E762"/>
    </row>
    <row r="763" spans="3:5" x14ac:dyDescent="0.25">
      <c r="C763"/>
      <c r="D763"/>
      <c r="E763"/>
    </row>
    <row r="764" spans="3:5" x14ac:dyDescent="0.25">
      <c r="C764"/>
      <c r="D764"/>
      <c r="E764"/>
    </row>
    <row r="765" spans="3:5" x14ac:dyDescent="0.25">
      <c r="C765"/>
      <c r="D765"/>
      <c r="E765"/>
    </row>
    <row r="766" spans="3:5" x14ac:dyDescent="0.25">
      <c r="C766"/>
      <c r="D766"/>
      <c r="E766"/>
    </row>
    <row r="767" spans="3:5" x14ac:dyDescent="0.25">
      <c r="C767"/>
      <c r="D767"/>
      <c r="E767"/>
    </row>
    <row r="768" spans="3:5" x14ac:dyDescent="0.25">
      <c r="C768"/>
      <c r="D768"/>
      <c r="E768"/>
    </row>
    <row r="769" spans="3:5" x14ac:dyDescent="0.25">
      <c r="C769"/>
      <c r="D769"/>
      <c r="E769"/>
    </row>
    <row r="770" spans="3:5" x14ac:dyDescent="0.25">
      <c r="C770"/>
      <c r="D770"/>
      <c r="E770"/>
    </row>
    <row r="771" spans="3:5" x14ac:dyDescent="0.25">
      <c r="C771"/>
      <c r="D771"/>
      <c r="E771"/>
    </row>
    <row r="772" spans="3:5" x14ac:dyDescent="0.25">
      <c r="C772"/>
      <c r="D772"/>
      <c r="E772"/>
    </row>
    <row r="773" spans="3:5" x14ac:dyDescent="0.25">
      <c r="C773"/>
      <c r="D773"/>
      <c r="E773"/>
    </row>
    <row r="774" spans="3:5" x14ac:dyDescent="0.25">
      <c r="C774"/>
      <c r="D774"/>
      <c r="E774"/>
    </row>
    <row r="775" spans="3:5" x14ac:dyDescent="0.25">
      <c r="C775"/>
      <c r="D775"/>
      <c r="E775"/>
    </row>
    <row r="776" spans="3:5" x14ac:dyDescent="0.25">
      <c r="C776"/>
      <c r="D776"/>
      <c r="E776"/>
    </row>
    <row r="777" spans="3:5" x14ac:dyDescent="0.25">
      <c r="C777"/>
      <c r="D777"/>
      <c r="E777"/>
    </row>
    <row r="778" spans="3:5" x14ac:dyDescent="0.25">
      <c r="C778"/>
      <c r="D778"/>
      <c r="E778"/>
    </row>
    <row r="779" spans="3:5" x14ac:dyDescent="0.25">
      <c r="C779"/>
      <c r="D779"/>
      <c r="E779"/>
    </row>
    <row r="780" spans="3:5" x14ac:dyDescent="0.25">
      <c r="C780"/>
      <c r="D780"/>
      <c r="E780"/>
    </row>
    <row r="781" spans="3:5" x14ac:dyDescent="0.25">
      <c r="C781"/>
      <c r="D781"/>
      <c r="E781"/>
    </row>
    <row r="782" spans="3:5" x14ac:dyDescent="0.25">
      <c r="C782"/>
      <c r="D782"/>
      <c r="E782"/>
    </row>
    <row r="783" spans="3:5" x14ac:dyDescent="0.25">
      <c r="C783"/>
      <c r="D783"/>
      <c r="E783"/>
    </row>
    <row r="784" spans="3:5" x14ac:dyDescent="0.25">
      <c r="C784"/>
      <c r="D784"/>
      <c r="E784"/>
    </row>
    <row r="785" spans="3:7" x14ac:dyDescent="0.25">
      <c r="C785"/>
      <c r="D785"/>
      <c r="E785"/>
    </row>
    <row r="786" spans="3:7" x14ac:dyDescent="0.25">
      <c r="C786"/>
      <c r="D786"/>
      <c r="E786"/>
    </row>
    <row r="787" spans="3:7" x14ac:dyDescent="0.25">
      <c r="C787"/>
      <c r="D787"/>
      <c r="E787"/>
    </row>
    <row r="788" spans="3:7" x14ac:dyDescent="0.25">
      <c r="C788"/>
      <c r="D788"/>
      <c r="E788"/>
    </row>
    <row r="789" spans="3:7" x14ac:dyDescent="0.25">
      <c r="C789"/>
      <c r="D789"/>
      <c r="E789"/>
    </row>
    <row r="790" spans="3:7" x14ac:dyDescent="0.25">
      <c r="C790"/>
      <c r="D790"/>
      <c r="E790"/>
    </row>
    <row r="791" spans="3:7" x14ac:dyDescent="0.25">
      <c r="C791"/>
      <c r="D791"/>
      <c r="E791"/>
    </row>
    <row r="792" spans="3:7" x14ac:dyDescent="0.25">
      <c r="C792"/>
      <c r="D792"/>
      <c r="E792"/>
    </row>
    <row r="793" spans="3:7" x14ac:dyDescent="0.25">
      <c r="C793"/>
      <c r="D793"/>
      <c r="E793"/>
    </row>
    <row r="794" spans="3:7" x14ac:dyDescent="0.25">
      <c r="C794"/>
      <c r="D794"/>
      <c r="E794"/>
    </row>
    <row r="795" spans="3:7" x14ac:dyDescent="0.25">
      <c r="C795"/>
      <c r="D795"/>
      <c r="E795"/>
    </row>
    <row r="796" spans="3:7" x14ac:dyDescent="0.25">
      <c r="C796"/>
      <c r="D796"/>
      <c r="E796"/>
    </row>
    <row r="797" spans="3:7" x14ac:dyDescent="0.25">
      <c r="C797"/>
      <c r="D797"/>
      <c r="E797"/>
    </row>
    <row r="798" spans="3:7" x14ac:dyDescent="0.25">
      <c r="C798"/>
      <c r="D798"/>
      <c r="E798"/>
    </row>
    <row r="799" spans="3:7" x14ac:dyDescent="0.25">
      <c r="C799"/>
      <c r="D799"/>
      <c r="E799"/>
    </row>
    <row r="800" spans="3:7" x14ac:dyDescent="0.25">
      <c r="C800"/>
      <c r="D800"/>
      <c r="E800"/>
    </row>
    <row r="801" spans="3:5" x14ac:dyDescent="0.25">
      <c r="C801"/>
      <c r="D801"/>
      <c r="E801"/>
    </row>
    <row r="802" spans="3:5" x14ac:dyDescent="0.25">
      <c r="C802"/>
      <c r="D802"/>
      <c r="E802"/>
    </row>
    <row r="803" spans="3:5" x14ac:dyDescent="0.25">
      <c r="C803"/>
      <c r="D803"/>
      <c r="E803"/>
    </row>
    <row r="804" spans="3:5" x14ac:dyDescent="0.25">
      <c r="C804"/>
      <c r="D804"/>
      <c r="E804"/>
    </row>
    <row r="805" spans="3:5" x14ac:dyDescent="0.25">
      <c r="C805"/>
      <c r="D805"/>
      <c r="E805"/>
    </row>
    <row r="806" spans="3:5" x14ac:dyDescent="0.25">
      <c r="C806"/>
      <c r="D806"/>
      <c r="E806"/>
    </row>
    <row r="807" spans="3:5" x14ac:dyDescent="0.25">
      <c r="C807"/>
      <c r="D807"/>
      <c r="E807"/>
    </row>
    <row r="808" spans="3:5" x14ac:dyDescent="0.25">
      <c r="C808"/>
      <c r="D808"/>
      <c r="E808"/>
    </row>
    <row r="809" spans="3:5" x14ac:dyDescent="0.25">
      <c r="C809"/>
      <c r="D809"/>
      <c r="E809"/>
    </row>
    <row r="810" spans="3:5" x14ac:dyDescent="0.25">
      <c r="C810"/>
      <c r="D810"/>
      <c r="E810"/>
    </row>
    <row r="811" spans="3:5" x14ac:dyDescent="0.25">
      <c r="C811"/>
      <c r="D811"/>
      <c r="E811"/>
    </row>
    <row r="812" spans="3:5" x14ac:dyDescent="0.25">
      <c r="C812"/>
      <c r="D812"/>
      <c r="E812"/>
    </row>
    <row r="813" spans="3:5" x14ac:dyDescent="0.25">
      <c r="C813"/>
      <c r="D813"/>
      <c r="E813"/>
    </row>
    <row r="814" spans="3:5" x14ac:dyDescent="0.25">
      <c r="C814"/>
      <c r="D814"/>
      <c r="E814"/>
    </row>
    <row r="815" spans="3:5" x14ac:dyDescent="0.25">
      <c r="C815"/>
      <c r="D815"/>
      <c r="E815"/>
    </row>
    <row r="816" spans="3:5" x14ac:dyDescent="0.25">
      <c r="C816"/>
      <c r="D816"/>
      <c r="E816"/>
    </row>
    <row r="817" spans="3:5" x14ac:dyDescent="0.25">
      <c r="C817"/>
      <c r="D817"/>
      <c r="E817"/>
    </row>
    <row r="818" spans="3:5" x14ac:dyDescent="0.25">
      <c r="C818"/>
      <c r="D818"/>
      <c r="E818"/>
    </row>
    <row r="819" spans="3:5" x14ac:dyDescent="0.25">
      <c r="C819"/>
      <c r="D819"/>
      <c r="E819"/>
    </row>
    <row r="820" spans="3:5" x14ac:dyDescent="0.25">
      <c r="C820"/>
      <c r="D820"/>
      <c r="E820"/>
    </row>
    <row r="821" spans="3:5" x14ac:dyDescent="0.25">
      <c r="C821"/>
      <c r="D821"/>
      <c r="E821"/>
    </row>
    <row r="822" spans="3:5" x14ac:dyDescent="0.25">
      <c r="C822"/>
      <c r="D822"/>
      <c r="E822"/>
    </row>
    <row r="823" spans="3:5" x14ac:dyDescent="0.25">
      <c r="C823"/>
      <c r="D823"/>
      <c r="E823"/>
    </row>
    <row r="824" spans="3:5" x14ac:dyDescent="0.25">
      <c r="C824"/>
      <c r="D824"/>
      <c r="E824"/>
    </row>
    <row r="825" spans="3:5" x14ac:dyDescent="0.25">
      <c r="C825"/>
      <c r="D825"/>
      <c r="E825"/>
    </row>
    <row r="826" spans="3:5" x14ac:dyDescent="0.25">
      <c r="C826"/>
      <c r="D826"/>
      <c r="E826"/>
    </row>
    <row r="827" spans="3:5" x14ac:dyDescent="0.25">
      <c r="C827"/>
      <c r="D827"/>
      <c r="E827"/>
    </row>
    <row r="828" spans="3:5" x14ac:dyDescent="0.25">
      <c r="C828"/>
      <c r="D828"/>
      <c r="E828"/>
    </row>
    <row r="829" spans="3:5" x14ac:dyDescent="0.25">
      <c r="C829"/>
      <c r="D829"/>
      <c r="E829"/>
    </row>
    <row r="830" spans="3:5" x14ac:dyDescent="0.25">
      <c r="C830"/>
      <c r="D830"/>
      <c r="E830"/>
    </row>
    <row r="831" spans="3:5" x14ac:dyDescent="0.25">
      <c r="C831"/>
      <c r="D831"/>
      <c r="E831"/>
    </row>
    <row r="832" spans="3:5" x14ac:dyDescent="0.25">
      <c r="C832"/>
      <c r="D832"/>
      <c r="E832"/>
    </row>
    <row r="833" spans="3:5" x14ac:dyDescent="0.25">
      <c r="C833"/>
      <c r="D833"/>
      <c r="E833"/>
    </row>
    <row r="834" spans="3:5" x14ac:dyDescent="0.25">
      <c r="C834"/>
      <c r="D834"/>
      <c r="E834"/>
    </row>
    <row r="835" spans="3:5" x14ac:dyDescent="0.25">
      <c r="C835"/>
      <c r="D835"/>
      <c r="E835"/>
    </row>
    <row r="836" spans="3:5" x14ac:dyDescent="0.25">
      <c r="C836"/>
      <c r="D836"/>
      <c r="E836"/>
    </row>
    <row r="837" spans="3:5" x14ac:dyDescent="0.25">
      <c r="C837"/>
      <c r="D837"/>
      <c r="E837"/>
    </row>
    <row r="838" spans="3:5" x14ac:dyDescent="0.25">
      <c r="C838"/>
      <c r="D838"/>
      <c r="E838"/>
    </row>
    <row r="839" spans="3:5" x14ac:dyDescent="0.25">
      <c r="C839"/>
      <c r="D839"/>
      <c r="E839"/>
    </row>
    <row r="840" spans="3:5" x14ac:dyDescent="0.25">
      <c r="C840"/>
      <c r="D840"/>
      <c r="E840"/>
    </row>
    <row r="841" spans="3:5" x14ac:dyDescent="0.25">
      <c r="C841"/>
      <c r="D841"/>
      <c r="E841"/>
    </row>
    <row r="842" spans="3:5" x14ac:dyDescent="0.25">
      <c r="C842"/>
      <c r="D842"/>
      <c r="E842"/>
    </row>
    <row r="843" spans="3:5" x14ac:dyDescent="0.25">
      <c r="C843"/>
      <c r="D843"/>
      <c r="E843"/>
    </row>
    <row r="844" spans="3:5" x14ac:dyDescent="0.25">
      <c r="C844"/>
      <c r="D844"/>
      <c r="E844"/>
    </row>
    <row r="845" spans="3:5" x14ac:dyDescent="0.25">
      <c r="C845"/>
      <c r="D845"/>
      <c r="E845"/>
    </row>
    <row r="846" spans="3:5" x14ac:dyDescent="0.25">
      <c r="C846"/>
      <c r="D846"/>
      <c r="E846"/>
    </row>
    <row r="847" spans="3:5" x14ac:dyDescent="0.25">
      <c r="C847"/>
      <c r="D847"/>
      <c r="E847"/>
    </row>
    <row r="848" spans="3:5" x14ac:dyDescent="0.25">
      <c r="C848"/>
      <c r="D848"/>
      <c r="E848"/>
    </row>
    <row r="849" spans="3:5" x14ac:dyDescent="0.25">
      <c r="C849"/>
      <c r="D849"/>
      <c r="E849"/>
    </row>
    <row r="850" spans="3:5" x14ac:dyDescent="0.25">
      <c r="C850"/>
      <c r="D850"/>
      <c r="E850"/>
    </row>
    <row r="851" spans="3:5" x14ac:dyDescent="0.25">
      <c r="C851"/>
      <c r="D851"/>
      <c r="E851"/>
    </row>
    <row r="852" spans="3:5" x14ac:dyDescent="0.25">
      <c r="C852"/>
      <c r="D852"/>
      <c r="E852"/>
    </row>
    <row r="853" spans="3:5" x14ac:dyDescent="0.25">
      <c r="C853"/>
      <c r="D853"/>
      <c r="E853"/>
    </row>
    <row r="854" spans="3:5" x14ac:dyDescent="0.25">
      <c r="C854"/>
      <c r="D854"/>
      <c r="E854"/>
    </row>
    <row r="855" spans="3:5" x14ac:dyDescent="0.25">
      <c r="C855"/>
      <c r="D855"/>
      <c r="E855"/>
    </row>
    <row r="856" spans="3:5" x14ac:dyDescent="0.25">
      <c r="C856"/>
      <c r="D856"/>
      <c r="E856"/>
    </row>
    <row r="857" spans="3:5" x14ac:dyDescent="0.25">
      <c r="C857"/>
      <c r="D857"/>
      <c r="E857"/>
    </row>
    <row r="858" spans="3:5" x14ac:dyDescent="0.25">
      <c r="C858"/>
      <c r="D858"/>
      <c r="E858"/>
    </row>
    <row r="859" spans="3:5" x14ac:dyDescent="0.25">
      <c r="C859"/>
      <c r="D859"/>
      <c r="E859"/>
    </row>
    <row r="860" spans="3:5" x14ac:dyDescent="0.25">
      <c r="C860"/>
      <c r="D860"/>
      <c r="E860"/>
    </row>
    <row r="861" spans="3:5" x14ac:dyDescent="0.25">
      <c r="C861"/>
      <c r="D861"/>
      <c r="E861"/>
    </row>
    <row r="862" spans="3:5" x14ac:dyDescent="0.25">
      <c r="C862"/>
      <c r="D862"/>
      <c r="E862"/>
    </row>
    <row r="863" spans="3:5" x14ac:dyDescent="0.25">
      <c r="C863"/>
      <c r="D863"/>
      <c r="E863"/>
    </row>
    <row r="864" spans="3:5" x14ac:dyDescent="0.25">
      <c r="C864"/>
      <c r="D864"/>
      <c r="E864"/>
    </row>
    <row r="865" spans="3:5" x14ac:dyDescent="0.25">
      <c r="C865"/>
      <c r="D865"/>
      <c r="E865"/>
    </row>
    <row r="866" spans="3:5" x14ac:dyDescent="0.25">
      <c r="C866"/>
      <c r="D866"/>
      <c r="E866"/>
    </row>
    <row r="867" spans="3:5" x14ac:dyDescent="0.25">
      <c r="C867"/>
      <c r="D867"/>
      <c r="E867"/>
    </row>
    <row r="868" spans="3:5" x14ac:dyDescent="0.25">
      <c r="C868"/>
      <c r="D868"/>
      <c r="E868"/>
    </row>
    <row r="869" spans="3:5" x14ac:dyDescent="0.25">
      <c r="C869"/>
      <c r="D869"/>
      <c r="E869"/>
    </row>
    <row r="870" spans="3:5" x14ac:dyDescent="0.25">
      <c r="C870"/>
      <c r="D870"/>
      <c r="E870"/>
    </row>
    <row r="871" spans="3:5" x14ac:dyDescent="0.25">
      <c r="C871"/>
      <c r="D871"/>
      <c r="E871"/>
    </row>
    <row r="872" spans="3:5" x14ac:dyDescent="0.25">
      <c r="C872"/>
      <c r="D872"/>
      <c r="E872"/>
    </row>
    <row r="873" spans="3:5" x14ac:dyDescent="0.25">
      <c r="C873"/>
      <c r="D873"/>
      <c r="E873"/>
    </row>
    <row r="874" spans="3:5" x14ac:dyDescent="0.25">
      <c r="C874"/>
      <c r="D874"/>
      <c r="E874"/>
    </row>
    <row r="875" spans="3:5" x14ac:dyDescent="0.25">
      <c r="C875"/>
      <c r="D875"/>
      <c r="E875"/>
    </row>
    <row r="876" spans="3:5" x14ac:dyDescent="0.25">
      <c r="C876"/>
      <c r="D876"/>
      <c r="E876"/>
    </row>
    <row r="877" spans="3:5" x14ac:dyDescent="0.25">
      <c r="C877"/>
      <c r="D877"/>
      <c r="E877"/>
    </row>
    <row r="878" spans="3:5" x14ac:dyDescent="0.25">
      <c r="C878"/>
      <c r="D878"/>
      <c r="E878"/>
    </row>
    <row r="879" spans="3:5" x14ac:dyDescent="0.25">
      <c r="C879"/>
      <c r="D879"/>
      <c r="E879"/>
    </row>
    <row r="880" spans="3:5" x14ac:dyDescent="0.25">
      <c r="C880"/>
      <c r="D880"/>
      <c r="E880"/>
    </row>
    <row r="881" spans="3:5" x14ac:dyDescent="0.25">
      <c r="C881"/>
      <c r="D881"/>
      <c r="E881"/>
    </row>
    <row r="882" spans="3:5" x14ac:dyDescent="0.25">
      <c r="C882"/>
      <c r="D882"/>
      <c r="E882"/>
    </row>
    <row r="883" spans="3:5" x14ac:dyDescent="0.25">
      <c r="C883"/>
      <c r="D883"/>
      <c r="E883"/>
    </row>
    <row r="884" spans="3:5" x14ac:dyDescent="0.25">
      <c r="C884"/>
      <c r="D884"/>
      <c r="E884"/>
    </row>
    <row r="885" spans="3:5" x14ac:dyDescent="0.25">
      <c r="C885"/>
      <c r="D885"/>
      <c r="E885"/>
    </row>
    <row r="886" spans="3:5" x14ac:dyDescent="0.25">
      <c r="C886"/>
      <c r="D886"/>
      <c r="E886"/>
    </row>
    <row r="887" spans="3:5" x14ac:dyDescent="0.25">
      <c r="C887"/>
      <c r="D887"/>
      <c r="E887"/>
    </row>
    <row r="888" spans="3:5" x14ac:dyDescent="0.25">
      <c r="C888"/>
      <c r="D888"/>
      <c r="E888"/>
    </row>
    <row r="889" spans="3:5" x14ac:dyDescent="0.25">
      <c r="C889"/>
      <c r="D889"/>
      <c r="E889"/>
    </row>
    <row r="890" spans="3:5" x14ac:dyDescent="0.25">
      <c r="C890"/>
      <c r="D890"/>
      <c r="E890"/>
    </row>
    <row r="891" spans="3:5" x14ac:dyDescent="0.25">
      <c r="C891"/>
      <c r="D891"/>
      <c r="E891"/>
    </row>
    <row r="892" spans="3:5" x14ac:dyDescent="0.25">
      <c r="C892"/>
      <c r="D892"/>
      <c r="E892"/>
    </row>
    <row r="893" spans="3:5" x14ac:dyDescent="0.25">
      <c r="C893"/>
      <c r="D893"/>
      <c r="E893"/>
    </row>
    <row r="894" spans="3:5" x14ac:dyDescent="0.25">
      <c r="C894"/>
      <c r="D894"/>
      <c r="E894"/>
    </row>
    <row r="895" spans="3:5" x14ac:dyDescent="0.25">
      <c r="C895"/>
      <c r="D895"/>
      <c r="E895"/>
    </row>
    <row r="896" spans="3:5" x14ac:dyDescent="0.25">
      <c r="C896"/>
      <c r="D896"/>
      <c r="E896"/>
    </row>
    <row r="897" spans="3:7" x14ac:dyDescent="0.25">
      <c r="C897"/>
      <c r="D897"/>
      <c r="E897"/>
    </row>
    <row r="898" spans="3:7" x14ac:dyDescent="0.25">
      <c r="C898"/>
      <c r="D898"/>
      <c r="E898"/>
    </row>
    <row r="899" spans="3:7" x14ac:dyDescent="0.25">
      <c r="C899"/>
      <c r="D899"/>
      <c r="E899"/>
    </row>
    <row r="900" spans="3:7" x14ac:dyDescent="0.25">
      <c r="C900"/>
      <c r="D900"/>
      <c r="E900"/>
    </row>
    <row r="901" spans="3:7" x14ac:dyDescent="0.25">
      <c r="C901"/>
      <c r="D901"/>
      <c r="E901"/>
    </row>
    <row r="902" spans="3:7" x14ac:dyDescent="0.25">
      <c r="C902"/>
      <c r="D902"/>
      <c r="E902"/>
    </row>
    <row r="903" spans="3:7" x14ac:dyDescent="0.25">
      <c r="C903"/>
      <c r="D903"/>
      <c r="E903"/>
    </row>
    <row r="904" spans="3:7" x14ac:dyDescent="0.25">
      <c r="C904"/>
      <c r="D904"/>
      <c r="E904"/>
    </row>
    <row r="905" spans="3:7" x14ac:dyDescent="0.25">
      <c r="C905"/>
      <c r="D905"/>
      <c r="E905"/>
    </row>
    <row r="906" spans="3:7" x14ac:dyDescent="0.25">
      <c r="C906"/>
      <c r="D906"/>
      <c r="E906"/>
    </row>
    <row r="907" spans="3:7" x14ac:dyDescent="0.25">
      <c r="C907"/>
      <c r="D907"/>
      <c r="E907"/>
    </row>
    <row r="908" spans="3:7" x14ac:dyDescent="0.25">
      <c r="C908"/>
      <c r="D908"/>
      <c r="E908"/>
    </row>
    <row r="909" spans="3:7" x14ac:dyDescent="0.25">
      <c r="C909"/>
      <c r="D909"/>
      <c r="E909"/>
    </row>
    <row r="910" spans="3:7" x14ac:dyDescent="0.25">
      <c r="C910"/>
      <c r="D910"/>
      <c r="E910"/>
    </row>
    <row r="911" spans="3:7" x14ac:dyDescent="0.25">
      <c r="C911"/>
      <c r="D911"/>
      <c r="E911"/>
    </row>
    <row r="912" spans="3:7" x14ac:dyDescent="0.25">
      <c r="C912"/>
      <c r="D912"/>
      <c r="E912"/>
    </row>
    <row r="913" spans="3:7" x14ac:dyDescent="0.25">
      <c r="C913"/>
      <c r="D913"/>
      <c r="E913"/>
    </row>
    <row r="914" spans="3:7" x14ac:dyDescent="0.25">
      <c r="C914"/>
      <c r="D914"/>
      <c r="E914"/>
    </row>
    <row r="915" spans="3:7" x14ac:dyDescent="0.25">
      <c r="C915"/>
      <c r="D915"/>
      <c r="E915"/>
    </row>
    <row r="916" spans="3:7" x14ac:dyDescent="0.25">
      <c r="C916"/>
      <c r="D916"/>
      <c r="E916"/>
    </row>
    <row r="917" spans="3:7" x14ac:dyDescent="0.25">
      <c r="C917"/>
      <c r="D917"/>
      <c r="E917"/>
    </row>
    <row r="918" spans="3:7" x14ac:dyDescent="0.25">
      <c r="C918"/>
      <c r="D918"/>
      <c r="E918"/>
    </row>
    <row r="919" spans="3:7" x14ac:dyDescent="0.25">
      <c r="C919"/>
      <c r="D919"/>
      <c r="E919"/>
    </row>
    <row r="920" spans="3:7" x14ac:dyDescent="0.25">
      <c r="C920"/>
      <c r="D920"/>
      <c r="E920"/>
    </row>
    <row r="921" spans="3:7" x14ac:dyDescent="0.25">
      <c r="C921"/>
      <c r="D921"/>
      <c r="E921"/>
    </row>
    <row r="922" spans="3:7" x14ac:dyDescent="0.25">
      <c r="C922"/>
      <c r="D922"/>
      <c r="E922"/>
    </row>
    <row r="923" spans="3:7" x14ac:dyDescent="0.25">
      <c r="C923"/>
      <c r="D923"/>
      <c r="E923"/>
    </row>
    <row r="924" spans="3:7" x14ac:dyDescent="0.25">
      <c r="C924"/>
      <c r="D924"/>
      <c r="E924"/>
    </row>
    <row r="925" spans="3:7" x14ac:dyDescent="0.25">
      <c r="C925"/>
      <c r="D925"/>
      <c r="E925"/>
    </row>
    <row r="926" spans="3:7" x14ac:dyDescent="0.25">
      <c r="C926"/>
      <c r="D926"/>
      <c r="E926"/>
    </row>
    <row r="927" spans="3:7" x14ac:dyDescent="0.25">
      <c r="C927"/>
      <c r="D927"/>
      <c r="E927"/>
    </row>
    <row r="928" spans="3:7" x14ac:dyDescent="0.25">
      <c r="C928"/>
      <c r="D928"/>
      <c r="E928"/>
    </row>
    <row r="929" spans="3:5" x14ac:dyDescent="0.25">
      <c r="C929"/>
      <c r="D929"/>
      <c r="E929"/>
    </row>
    <row r="930" spans="3:5" x14ac:dyDescent="0.25">
      <c r="C930"/>
      <c r="D930"/>
      <c r="E930"/>
    </row>
    <row r="931" spans="3:5" x14ac:dyDescent="0.25">
      <c r="C931"/>
      <c r="D931"/>
      <c r="E931"/>
    </row>
    <row r="932" spans="3:5" x14ac:dyDescent="0.25">
      <c r="C932"/>
      <c r="D932"/>
      <c r="E932"/>
    </row>
    <row r="933" spans="3:5" x14ac:dyDescent="0.25">
      <c r="C933"/>
      <c r="D933"/>
      <c r="E933"/>
    </row>
    <row r="934" spans="3:5" x14ac:dyDescent="0.25">
      <c r="C934"/>
      <c r="D934"/>
      <c r="E934"/>
    </row>
    <row r="935" spans="3:5" x14ac:dyDescent="0.25">
      <c r="C935"/>
      <c r="D935"/>
      <c r="E935"/>
    </row>
    <row r="936" spans="3:5" x14ac:dyDescent="0.25">
      <c r="C936"/>
      <c r="D936"/>
      <c r="E936"/>
    </row>
    <row r="937" spans="3:5" x14ac:dyDescent="0.25">
      <c r="C937"/>
      <c r="D937"/>
      <c r="E937"/>
    </row>
    <row r="938" spans="3:5" x14ac:dyDescent="0.25">
      <c r="C938"/>
      <c r="D938"/>
      <c r="E938"/>
    </row>
    <row r="939" spans="3:5" x14ac:dyDescent="0.25">
      <c r="C939"/>
      <c r="D939"/>
      <c r="E939"/>
    </row>
    <row r="940" spans="3:5" x14ac:dyDescent="0.25">
      <c r="C940"/>
      <c r="D940"/>
      <c r="E940"/>
    </row>
    <row r="941" spans="3:5" x14ac:dyDescent="0.25">
      <c r="C941"/>
      <c r="D941"/>
      <c r="E941"/>
    </row>
    <row r="942" spans="3:5" x14ac:dyDescent="0.25">
      <c r="C942"/>
      <c r="D942"/>
      <c r="E942"/>
    </row>
    <row r="943" spans="3:5" x14ac:dyDescent="0.25">
      <c r="C943"/>
      <c r="D943"/>
      <c r="E943"/>
    </row>
    <row r="944" spans="3:5" x14ac:dyDescent="0.25">
      <c r="C944"/>
      <c r="D944"/>
      <c r="E944"/>
    </row>
    <row r="945" spans="3:5" x14ac:dyDescent="0.25">
      <c r="C945"/>
      <c r="D945"/>
      <c r="E945"/>
    </row>
    <row r="946" spans="3:5" x14ac:dyDescent="0.25">
      <c r="C946"/>
      <c r="D946"/>
      <c r="E946"/>
    </row>
    <row r="947" spans="3:5" x14ac:dyDescent="0.25">
      <c r="C947"/>
      <c r="D947"/>
      <c r="E947"/>
    </row>
    <row r="948" spans="3:5" x14ac:dyDescent="0.25">
      <c r="C948"/>
      <c r="D948"/>
      <c r="E948"/>
    </row>
    <row r="949" spans="3:5" x14ac:dyDescent="0.25">
      <c r="C949"/>
      <c r="D949"/>
      <c r="E949"/>
    </row>
    <row r="950" spans="3:5" x14ac:dyDescent="0.25">
      <c r="C950"/>
      <c r="D950"/>
      <c r="E950"/>
    </row>
    <row r="951" spans="3:5" x14ac:dyDescent="0.25">
      <c r="C951"/>
      <c r="D951"/>
      <c r="E951"/>
    </row>
    <row r="952" spans="3:5" x14ac:dyDescent="0.25">
      <c r="C952"/>
      <c r="D952"/>
      <c r="E952"/>
    </row>
    <row r="953" spans="3:5" x14ac:dyDescent="0.25">
      <c r="C953"/>
      <c r="D953"/>
      <c r="E953"/>
    </row>
    <row r="954" spans="3:5" x14ac:dyDescent="0.25">
      <c r="C954"/>
      <c r="D954"/>
      <c r="E954"/>
    </row>
    <row r="955" spans="3:5" x14ac:dyDescent="0.25">
      <c r="C955"/>
      <c r="D955"/>
      <c r="E955"/>
    </row>
    <row r="956" spans="3:5" x14ac:dyDescent="0.25">
      <c r="C956"/>
      <c r="D956"/>
      <c r="E956"/>
    </row>
    <row r="957" spans="3:5" x14ac:dyDescent="0.25">
      <c r="C957"/>
      <c r="D957"/>
      <c r="E957"/>
    </row>
    <row r="958" spans="3:5" x14ac:dyDescent="0.25">
      <c r="C958"/>
      <c r="D958"/>
      <c r="E958"/>
    </row>
    <row r="959" spans="3:5" x14ac:dyDescent="0.25">
      <c r="C959"/>
      <c r="D959"/>
      <c r="E959"/>
    </row>
    <row r="960" spans="3:5" x14ac:dyDescent="0.25">
      <c r="C960"/>
      <c r="D960"/>
      <c r="E960"/>
    </row>
    <row r="961" spans="3:5" x14ac:dyDescent="0.25">
      <c r="C961"/>
      <c r="D961"/>
      <c r="E961"/>
    </row>
    <row r="962" spans="3:5" x14ac:dyDescent="0.25">
      <c r="C962"/>
      <c r="D962"/>
      <c r="E962"/>
    </row>
    <row r="963" spans="3:5" x14ac:dyDescent="0.25">
      <c r="C963"/>
      <c r="D963"/>
      <c r="E963"/>
    </row>
    <row r="964" spans="3:5" x14ac:dyDescent="0.25">
      <c r="C964"/>
      <c r="D964"/>
      <c r="E964"/>
    </row>
    <row r="965" spans="3:5" x14ac:dyDescent="0.25">
      <c r="C965"/>
      <c r="D965"/>
      <c r="E965"/>
    </row>
    <row r="966" spans="3:5" x14ac:dyDescent="0.25">
      <c r="C966"/>
      <c r="D966"/>
      <c r="E966"/>
    </row>
    <row r="967" spans="3:5" x14ac:dyDescent="0.25">
      <c r="C967"/>
      <c r="D967"/>
      <c r="E967"/>
    </row>
    <row r="968" spans="3:5" x14ac:dyDescent="0.25">
      <c r="C968"/>
      <c r="D968"/>
      <c r="E968"/>
    </row>
    <row r="969" spans="3:5" x14ac:dyDescent="0.25">
      <c r="C969"/>
      <c r="D969"/>
      <c r="E969"/>
    </row>
    <row r="970" spans="3:5" x14ac:dyDescent="0.25">
      <c r="C970"/>
      <c r="D970"/>
      <c r="E970"/>
    </row>
    <row r="971" spans="3:5" x14ac:dyDescent="0.25">
      <c r="C971"/>
      <c r="D971"/>
      <c r="E971"/>
    </row>
    <row r="972" spans="3:5" x14ac:dyDescent="0.25">
      <c r="C972"/>
      <c r="D972"/>
      <c r="E972"/>
    </row>
    <row r="973" spans="3:5" x14ac:dyDescent="0.25">
      <c r="C973"/>
      <c r="D973"/>
      <c r="E973"/>
    </row>
    <row r="974" spans="3:5" x14ac:dyDescent="0.25">
      <c r="C974"/>
      <c r="D974"/>
      <c r="E974"/>
    </row>
    <row r="975" spans="3:5" x14ac:dyDescent="0.25">
      <c r="C975"/>
      <c r="D975"/>
      <c r="E975"/>
    </row>
    <row r="976" spans="3:5" x14ac:dyDescent="0.25">
      <c r="C976"/>
      <c r="D976"/>
      <c r="E976"/>
    </row>
    <row r="977" spans="3:5" x14ac:dyDescent="0.25">
      <c r="C977"/>
      <c r="D977"/>
      <c r="E977"/>
    </row>
    <row r="978" spans="3:5" x14ac:dyDescent="0.25">
      <c r="C978"/>
      <c r="D978"/>
      <c r="E978"/>
    </row>
    <row r="979" spans="3:5" x14ac:dyDescent="0.25">
      <c r="C979"/>
      <c r="D979"/>
      <c r="E979"/>
    </row>
    <row r="980" spans="3:5" x14ac:dyDescent="0.25">
      <c r="C980"/>
      <c r="D980"/>
      <c r="E980"/>
    </row>
    <row r="981" spans="3:5" x14ac:dyDescent="0.25">
      <c r="C981"/>
      <c r="D981"/>
      <c r="E981"/>
    </row>
    <row r="982" spans="3:5" x14ac:dyDescent="0.25">
      <c r="C982"/>
      <c r="D982"/>
      <c r="E982"/>
    </row>
    <row r="983" spans="3:5" x14ac:dyDescent="0.25">
      <c r="C983"/>
      <c r="D983"/>
      <c r="E983"/>
    </row>
    <row r="984" spans="3:5" x14ac:dyDescent="0.25">
      <c r="C984"/>
      <c r="D984"/>
      <c r="E984"/>
    </row>
    <row r="985" spans="3:5" x14ac:dyDescent="0.25">
      <c r="C985"/>
      <c r="D985"/>
      <c r="E985"/>
    </row>
    <row r="986" spans="3:5" x14ac:dyDescent="0.25">
      <c r="C986"/>
      <c r="D986"/>
      <c r="E986"/>
    </row>
    <row r="987" spans="3:5" x14ac:dyDescent="0.25">
      <c r="C987"/>
      <c r="D987"/>
      <c r="E987"/>
    </row>
    <row r="988" spans="3:5" x14ac:dyDescent="0.25">
      <c r="C988"/>
      <c r="D988"/>
      <c r="E988"/>
    </row>
    <row r="989" spans="3:5" x14ac:dyDescent="0.25">
      <c r="C989"/>
      <c r="D989"/>
      <c r="E989"/>
    </row>
    <row r="990" spans="3:5" x14ac:dyDescent="0.25">
      <c r="C990"/>
      <c r="D990"/>
      <c r="E990"/>
    </row>
    <row r="991" spans="3:5" x14ac:dyDescent="0.25">
      <c r="C991"/>
      <c r="D991"/>
      <c r="E991"/>
    </row>
    <row r="992" spans="3:5" x14ac:dyDescent="0.25">
      <c r="C992"/>
      <c r="D992"/>
      <c r="E992"/>
    </row>
    <row r="993" spans="3:5" x14ac:dyDescent="0.25">
      <c r="C993"/>
      <c r="D993"/>
      <c r="E993"/>
    </row>
    <row r="994" spans="3:5" x14ac:dyDescent="0.25">
      <c r="C994"/>
      <c r="D994"/>
      <c r="E994"/>
    </row>
    <row r="995" spans="3:5" x14ac:dyDescent="0.25">
      <c r="C995"/>
      <c r="D995"/>
      <c r="E995"/>
    </row>
    <row r="996" spans="3:5" x14ac:dyDescent="0.25">
      <c r="C996"/>
      <c r="D996"/>
      <c r="E996"/>
    </row>
    <row r="997" spans="3:5" x14ac:dyDescent="0.25">
      <c r="C997"/>
      <c r="D997"/>
      <c r="E997"/>
    </row>
    <row r="998" spans="3:5" x14ac:dyDescent="0.25">
      <c r="C998"/>
      <c r="D998"/>
      <c r="E998"/>
    </row>
    <row r="999" spans="3:5" x14ac:dyDescent="0.25">
      <c r="C999"/>
      <c r="D999"/>
      <c r="E999"/>
    </row>
    <row r="1000" spans="3:5" x14ac:dyDescent="0.25">
      <c r="C1000"/>
      <c r="D1000"/>
      <c r="E1000"/>
    </row>
    <row r="1001" spans="3:5" x14ac:dyDescent="0.25">
      <c r="C1001"/>
      <c r="D1001"/>
      <c r="E1001"/>
    </row>
    <row r="1002" spans="3:5" x14ac:dyDescent="0.25">
      <c r="C1002"/>
      <c r="D1002"/>
      <c r="E1002"/>
    </row>
    <row r="1003" spans="3:5" x14ac:dyDescent="0.25">
      <c r="C1003"/>
      <c r="D1003"/>
      <c r="E1003"/>
    </row>
    <row r="1004" spans="3:5" x14ac:dyDescent="0.25">
      <c r="C1004"/>
      <c r="D1004"/>
      <c r="E1004"/>
    </row>
    <row r="1005" spans="3:5" x14ac:dyDescent="0.25">
      <c r="C1005"/>
      <c r="D1005"/>
      <c r="E1005"/>
    </row>
    <row r="1006" spans="3:5" x14ac:dyDescent="0.25">
      <c r="C1006"/>
      <c r="D1006"/>
      <c r="E1006"/>
    </row>
    <row r="1007" spans="3:5" x14ac:dyDescent="0.25">
      <c r="C1007"/>
      <c r="D1007"/>
      <c r="E1007"/>
    </row>
    <row r="1008" spans="3:5" x14ac:dyDescent="0.25">
      <c r="C1008"/>
      <c r="D1008"/>
      <c r="E1008"/>
    </row>
    <row r="1009" spans="3:5" x14ac:dyDescent="0.25">
      <c r="C1009"/>
      <c r="D1009"/>
      <c r="E1009"/>
    </row>
    <row r="1010" spans="3:5" x14ac:dyDescent="0.25">
      <c r="C1010"/>
      <c r="D1010"/>
      <c r="E1010"/>
    </row>
    <row r="1011" spans="3:5" x14ac:dyDescent="0.25">
      <c r="C1011"/>
      <c r="D1011"/>
      <c r="E1011"/>
    </row>
    <row r="1012" spans="3:5" x14ac:dyDescent="0.25">
      <c r="C1012"/>
      <c r="D1012"/>
      <c r="E1012"/>
    </row>
    <row r="1013" spans="3:5" x14ac:dyDescent="0.25">
      <c r="C1013"/>
      <c r="D1013"/>
      <c r="E1013"/>
    </row>
    <row r="1014" spans="3:5" x14ac:dyDescent="0.25">
      <c r="C1014"/>
      <c r="D1014"/>
      <c r="E1014"/>
    </row>
    <row r="1015" spans="3:5" x14ac:dyDescent="0.25">
      <c r="C1015"/>
      <c r="D1015"/>
      <c r="E1015"/>
    </row>
    <row r="1016" spans="3:5" x14ac:dyDescent="0.25">
      <c r="C1016"/>
      <c r="D1016"/>
      <c r="E1016"/>
    </row>
    <row r="1017" spans="3:5" x14ac:dyDescent="0.25">
      <c r="C1017"/>
      <c r="D1017"/>
      <c r="E1017"/>
    </row>
    <row r="1018" spans="3:5" x14ac:dyDescent="0.25">
      <c r="C1018"/>
      <c r="D1018"/>
      <c r="E1018"/>
    </row>
    <row r="1019" spans="3:5" x14ac:dyDescent="0.25">
      <c r="C1019"/>
      <c r="D1019"/>
      <c r="E1019"/>
    </row>
    <row r="1020" spans="3:5" x14ac:dyDescent="0.25">
      <c r="C1020"/>
      <c r="D1020"/>
      <c r="E1020"/>
    </row>
    <row r="1021" spans="3:5" x14ac:dyDescent="0.25">
      <c r="C1021"/>
      <c r="D1021"/>
      <c r="E1021"/>
    </row>
    <row r="1022" spans="3:5" x14ac:dyDescent="0.25">
      <c r="C1022"/>
      <c r="D1022"/>
      <c r="E1022"/>
    </row>
    <row r="1023" spans="3:5" x14ac:dyDescent="0.25">
      <c r="C1023"/>
      <c r="D1023"/>
      <c r="E1023"/>
    </row>
    <row r="1024" spans="3:5" x14ac:dyDescent="0.25">
      <c r="C1024"/>
      <c r="D1024"/>
      <c r="E1024"/>
    </row>
    <row r="1025" spans="3:5" x14ac:dyDescent="0.25">
      <c r="C1025"/>
      <c r="D1025"/>
      <c r="E1025"/>
    </row>
    <row r="1026" spans="3:5" x14ac:dyDescent="0.25">
      <c r="C1026"/>
      <c r="D1026"/>
      <c r="E1026"/>
    </row>
    <row r="1027" spans="3:5" x14ac:dyDescent="0.25">
      <c r="C1027"/>
      <c r="D1027"/>
      <c r="E1027"/>
    </row>
    <row r="1028" spans="3:5" x14ac:dyDescent="0.25">
      <c r="C1028"/>
      <c r="D1028"/>
      <c r="E1028"/>
    </row>
    <row r="1029" spans="3:5" x14ac:dyDescent="0.25">
      <c r="C1029"/>
      <c r="D1029"/>
      <c r="E1029"/>
    </row>
    <row r="1030" spans="3:5" x14ac:dyDescent="0.25">
      <c r="C1030"/>
      <c r="D1030"/>
      <c r="E1030"/>
    </row>
    <row r="1031" spans="3:5" x14ac:dyDescent="0.25">
      <c r="C1031"/>
      <c r="D1031"/>
      <c r="E1031"/>
    </row>
    <row r="1032" spans="3:5" x14ac:dyDescent="0.25">
      <c r="C1032"/>
      <c r="D1032"/>
      <c r="E1032"/>
    </row>
    <row r="1033" spans="3:5" x14ac:dyDescent="0.25">
      <c r="C1033"/>
      <c r="D1033"/>
      <c r="E1033"/>
    </row>
    <row r="1034" spans="3:5" x14ac:dyDescent="0.25">
      <c r="C1034"/>
      <c r="D1034"/>
      <c r="E1034"/>
    </row>
    <row r="1035" spans="3:5" x14ac:dyDescent="0.25">
      <c r="C1035"/>
      <c r="D1035"/>
      <c r="E1035"/>
    </row>
    <row r="1036" spans="3:5" x14ac:dyDescent="0.25">
      <c r="C1036"/>
      <c r="D1036"/>
      <c r="E1036"/>
    </row>
    <row r="1037" spans="3:5" x14ac:dyDescent="0.25">
      <c r="C1037"/>
      <c r="D1037"/>
      <c r="E1037"/>
    </row>
    <row r="1038" spans="3:5" x14ac:dyDescent="0.25">
      <c r="C1038"/>
      <c r="D1038"/>
      <c r="E1038"/>
    </row>
    <row r="1039" spans="3:5" x14ac:dyDescent="0.25">
      <c r="C1039"/>
      <c r="D1039"/>
      <c r="E1039"/>
    </row>
    <row r="1040" spans="3:5" x14ac:dyDescent="0.25">
      <c r="C1040"/>
      <c r="D1040"/>
      <c r="E1040"/>
    </row>
    <row r="1041" spans="3:5" x14ac:dyDescent="0.25">
      <c r="C1041"/>
      <c r="D1041"/>
      <c r="E1041"/>
    </row>
    <row r="1042" spans="3:5" x14ac:dyDescent="0.25">
      <c r="C1042"/>
      <c r="D1042"/>
      <c r="E1042"/>
    </row>
    <row r="1043" spans="3:5" x14ac:dyDescent="0.25">
      <c r="C1043"/>
      <c r="D1043"/>
      <c r="E1043"/>
    </row>
    <row r="1044" spans="3:5" x14ac:dyDescent="0.25">
      <c r="C1044"/>
      <c r="D1044"/>
      <c r="E1044"/>
    </row>
    <row r="1045" spans="3:5" x14ac:dyDescent="0.25">
      <c r="C1045"/>
      <c r="D1045"/>
      <c r="E1045"/>
    </row>
    <row r="1046" spans="3:5" x14ac:dyDescent="0.25">
      <c r="C1046"/>
      <c r="D1046"/>
      <c r="E1046"/>
    </row>
    <row r="1047" spans="3:5" x14ac:dyDescent="0.25">
      <c r="C1047"/>
      <c r="D1047"/>
      <c r="E1047"/>
    </row>
    <row r="1048" spans="3:5" x14ac:dyDescent="0.25">
      <c r="C1048"/>
      <c r="D1048"/>
      <c r="E1048"/>
    </row>
    <row r="1049" spans="3:5" x14ac:dyDescent="0.25">
      <c r="C1049"/>
      <c r="D1049"/>
      <c r="E1049"/>
    </row>
    <row r="1050" spans="3:5" x14ac:dyDescent="0.25">
      <c r="C1050"/>
      <c r="D1050"/>
      <c r="E1050"/>
    </row>
    <row r="1051" spans="3:5" x14ac:dyDescent="0.25">
      <c r="C1051"/>
      <c r="D1051"/>
      <c r="E1051"/>
    </row>
    <row r="1052" spans="3:5" x14ac:dyDescent="0.25">
      <c r="C1052"/>
      <c r="D1052"/>
      <c r="E1052"/>
    </row>
    <row r="1053" spans="3:5" x14ac:dyDescent="0.25">
      <c r="C1053"/>
      <c r="D1053"/>
      <c r="E1053"/>
    </row>
    <row r="1054" spans="3:5" x14ac:dyDescent="0.25">
      <c r="C1054"/>
      <c r="D1054"/>
      <c r="E1054"/>
    </row>
    <row r="1055" spans="3:5" x14ac:dyDescent="0.25">
      <c r="C1055"/>
      <c r="D1055"/>
      <c r="E1055"/>
    </row>
    <row r="1056" spans="3:5" x14ac:dyDescent="0.25">
      <c r="C1056"/>
      <c r="D1056"/>
      <c r="E1056"/>
    </row>
    <row r="1057" spans="3:5" x14ac:dyDescent="0.25">
      <c r="C1057"/>
      <c r="D1057"/>
      <c r="E1057"/>
    </row>
    <row r="1058" spans="3:5" x14ac:dyDescent="0.25">
      <c r="C1058"/>
      <c r="D1058"/>
      <c r="E1058"/>
    </row>
    <row r="1059" spans="3:5" x14ac:dyDescent="0.25">
      <c r="C1059"/>
      <c r="D1059"/>
      <c r="E1059"/>
    </row>
    <row r="1060" spans="3:5" x14ac:dyDescent="0.25">
      <c r="C1060"/>
      <c r="D1060"/>
      <c r="E1060"/>
    </row>
    <row r="1061" spans="3:5" x14ac:dyDescent="0.25">
      <c r="C1061"/>
      <c r="D1061"/>
      <c r="E1061"/>
    </row>
    <row r="1062" spans="3:5" x14ac:dyDescent="0.25">
      <c r="C1062"/>
      <c r="D1062"/>
      <c r="E1062"/>
    </row>
    <row r="1063" spans="3:5" x14ac:dyDescent="0.25">
      <c r="C1063"/>
      <c r="D1063"/>
      <c r="E1063"/>
    </row>
    <row r="1064" spans="3:5" x14ac:dyDescent="0.25">
      <c r="C1064"/>
      <c r="D1064"/>
      <c r="E1064"/>
    </row>
    <row r="1065" spans="3:5" x14ac:dyDescent="0.25">
      <c r="C1065"/>
      <c r="D1065"/>
      <c r="E1065"/>
    </row>
    <row r="1066" spans="3:5" x14ac:dyDescent="0.25">
      <c r="C1066"/>
      <c r="D1066"/>
      <c r="E1066"/>
    </row>
    <row r="1067" spans="3:5" x14ac:dyDescent="0.25">
      <c r="C1067"/>
      <c r="D1067"/>
      <c r="E1067"/>
    </row>
    <row r="1068" spans="3:5" x14ac:dyDescent="0.25">
      <c r="C1068"/>
      <c r="D1068"/>
      <c r="E1068"/>
    </row>
    <row r="1069" spans="3:5" x14ac:dyDescent="0.25">
      <c r="C1069"/>
      <c r="D1069"/>
      <c r="E1069"/>
    </row>
    <row r="1070" spans="3:5" x14ac:dyDescent="0.25">
      <c r="C1070"/>
      <c r="D1070"/>
      <c r="E1070"/>
    </row>
    <row r="1071" spans="3:5" x14ac:dyDescent="0.25">
      <c r="C1071"/>
      <c r="D1071"/>
      <c r="E1071"/>
    </row>
    <row r="1072" spans="3:5" x14ac:dyDescent="0.25">
      <c r="C1072"/>
      <c r="D1072"/>
      <c r="E1072"/>
    </row>
    <row r="1073" spans="3:5" x14ac:dyDescent="0.25">
      <c r="C1073"/>
      <c r="D1073"/>
      <c r="E1073"/>
    </row>
    <row r="1074" spans="3:5" x14ac:dyDescent="0.25">
      <c r="C1074"/>
      <c r="D1074"/>
      <c r="E1074"/>
    </row>
    <row r="1075" spans="3:5" x14ac:dyDescent="0.25">
      <c r="C1075"/>
      <c r="D1075"/>
      <c r="E1075"/>
    </row>
    <row r="1076" spans="3:5" x14ac:dyDescent="0.25">
      <c r="C1076"/>
      <c r="D1076"/>
      <c r="E1076"/>
    </row>
    <row r="1077" spans="3:5" x14ac:dyDescent="0.25">
      <c r="C1077"/>
      <c r="D1077"/>
      <c r="E1077"/>
    </row>
    <row r="1078" spans="3:5" x14ac:dyDescent="0.25">
      <c r="C1078"/>
      <c r="D1078"/>
      <c r="E1078"/>
    </row>
    <row r="1079" spans="3:5" x14ac:dyDescent="0.25">
      <c r="C1079"/>
      <c r="D1079"/>
      <c r="E1079"/>
    </row>
    <row r="1080" spans="3:5" x14ac:dyDescent="0.25">
      <c r="C1080"/>
      <c r="D1080"/>
      <c r="E1080"/>
    </row>
    <row r="1081" spans="3:5" x14ac:dyDescent="0.25">
      <c r="C1081"/>
      <c r="D1081"/>
      <c r="E1081"/>
    </row>
    <row r="1082" spans="3:5" x14ac:dyDescent="0.25">
      <c r="C1082"/>
      <c r="D1082"/>
      <c r="E1082"/>
    </row>
    <row r="1083" spans="3:5" x14ac:dyDescent="0.25">
      <c r="C1083"/>
      <c r="D1083"/>
      <c r="E1083"/>
    </row>
    <row r="1084" spans="3:5" x14ac:dyDescent="0.25">
      <c r="C1084"/>
      <c r="D1084"/>
      <c r="E1084"/>
    </row>
    <row r="1085" spans="3:5" x14ac:dyDescent="0.25">
      <c r="C1085"/>
      <c r="D1085"/>
      <c r="E1085"/>
    </row>
    <row r="1086" spans="3:5" x14ac:dyDescent="0.25">
      <c r="C1086"/>
      <c r="D1086"/>
      <c r="E1086"/>
    </row>
    <row r="1087" spans="3:5" x14ac:dyDescent="0.25">
      <c r="C1087"/>
      <c r="D1087"/>
      <c r="E1087"/>
    </row>
    <row r="1088" spans="3:5" x14ac:dyDescent="0.25">
      <c r="C1088"/>
      <c r="D1088"/>
      <c r="E1088"/>
    </row>
    <row r="1089" spans="3:5" x14ac:dyDescent="0.25">
      <c r="C1089"/>
      <c r="D1089"/>
      <c r="E1089"/>
    </row>
    <row r="1090" spans="3:5" x14ac:dyDescent="0.25">
      <c r="C1090"/>
      <c r="D1090"/>
      <c r="E1090"/>
    </row>
    <row r="1091" spans="3:5" x14ac:dyDescent="0.25">
      <c r="C1091"/>
      <c r="D1091"/>
      <c r="E1091"/>
    </row>
    <row r="1092" spans="3:5" x14ac:dyDescent="0.25">
      <c r="C1092"/>
      <c r="D1092"/>
      <c r="E1092"/>
    </row>
    <row r="1093" spans="3:5" x14ac:dyDescent="0.25">
      <c r="C1093"/>
      <c r="D1093"/>
      <c r="E1093"/>
    </row>
    <row r="1094" spans="3:5" x14ac:dyDescent="0.25">
      <c r="C1094"/>
      <c r="D1094"/>
      <c r="E1094"/>
    </row>
    <row r="1095" spans="3:5" x14ac:dyDescent="0.25">
      <c r="C1095"/>
      <c r="D1095"/>
      <c r="E1095"/>
    </row>
    <row r="1096" spans="3:5" x14ac:dyDescent="0.25">
      <c r="C1096"/>
      <c r="D1096"/>
      <c r="E1096"/>
    </row>
    <row r="1097" spans="3:5" x14ac:dyDescent="0.25">
      <c r="C1097"/>
      <c r="D1097"/>
      <c r="E1097"/>
    </row>
    <row r="1098" spans="3:5" x14ac:dyDescent="0.25">
      <c r="C1098"/>
      <c r="D1098"/>
      <c r="E1098"/>
    </row>
    <row r="1099" spans="3:5" x14ac:dyDescent="0.25">
      <c r="C1099"/>
      <c r="D1099"/>
      <c r="E1099"/>
    </row>
    <row r="1100" spans="3:5" x14ac:dyDescent="0.25">
      <c r="C1100"/>
      <c r="D1100"/>
      <c r="E1100"/>
    </row>
    <row r="1101" spans="3:5" x14ac:dyDescent="0.25">
      <c r="C1101"/>
      <c r="D1101"/>
      <c r="E1101"/>
    </row>
    <row r="1102" spans="3:5" x14ac:dyDescent="0.25">
      <c r="C1102"/>
      <c r="D1102"/>
      <c r="E1102"/>
    </row>
    <row r="1103" spans="3:5" x14ac:dyDescent="0.25">
      <c r="C1103"/>
      <c r="D1103"/>
      <c r="E1103"/>
    </row>
    <row r="1104" spans="3:5" x14ac:dyDescent="0.25">
      <c r="C1104"/>
      <c r="D1104"/>
      <c r="E1104"/>
    </row>
    <row r="1105" spans="3:5" x14ac:dyDescent="0.25">
      <c r="C1105"/>
      <c r="D1105"/>
      <c r="E1105"/>
    </row>
    <row r="1106" spans="3:5" x14ac:dyDescent="0.25">
      <c r="C1106"/>
      <c r="D1106"/>
      <c r="E1106"/>
    </row>
    <row r="1107" spans="3:5" x14ac:dyDescent="0.25">
      <c r="C1107"/>
      <c r="D1107"/>
      <c r="E1107"/>
    </row>
    <row r="1108" spans="3:5" x14ac:dyDescent="0.25">
      <c r="C1108"/>
      <c r="D1108"/>
      <c r="E1108"/>
    </row>
    <row r="1109" spans="3:5" x14ac:dyDescent="0.25">
      <c r="C1109"/>
      <c r="D1109"/>
      <c r="E1109"/>
    </row>
    <row r="1110" spans="3:5" x14ac:dyDescent="0.25">
      <c r="C1110"/>
      <c r="D1110"/>
      <c r="E1110"/>
    </row>
    <row r="1111" spans="3:5" x14ac:dyDescent="0.25">
      <c r="C1111"/>
      <c r="D1111"/>
      <c r="E1111"/>
    </row>
    <row r="1112" spans="3:5" x14ac:dyDescent="0.25">
      <c r="C1112"/>
      <c r="D1112"/>
      <c r="E1112"/>
    </row>
    <row r="1113" spans="3:5" x14ac:dyDescent="0.25">
      <c r="C1113"/>
      <c r="D1113"/>
      <c r="E1113"/>
    </row>
    <row r="1114" spans="3:5" x14ac:dyDescent="0.25">
      <c r="C1114"/>
      <c r="D1114"/>
      <c r="E1114"/>
    </row>
    <row r="1115" spans="3:5" x14ac:dyDescent="0.25">
      <c r="C1115"/>
      <c r="D1115"/>
      <c r="E1115"/>
    </row>
    <row r="1116" spans="3:5" x14ac:dyDescent="0.25">
      <c r="C1116"/>
      <c r="D1116"/>
      <c r="E1116"/>
    </row>
    <row r="1117" spans="3:5" x14ac:dyDescent="0.25">
      <c r="C1117"/>
      <c r="D1117"/>
      <c r="E1117"/>
    </row>
    <row r="1118" spans="3:5" x14ac:dyDescent="0.25">
      <c r="C1118"/>
      <c r="D1118"/>
      <c r="E1118"/>
    </row>
    <row r="1119" spans="3:5" x14ac:dyDescent="0.25">
      <c r="C1119"/>
      <c r="D1119"/>
      <c r="E1119"/>
    </row>
    <row r="1120" spans="3:5" x14ac:dyDescent="0.25">
      <c r="C1120"/>
      <c r="D1120"/>
      <c r="E1120"/>
    </row>
    <row r="1121" spans="3:5" x14ac:dyDescent="0.25">
      <c r="C1121"/>
      <c r="D1121"/>
      <c r="E1121"/>
    </row>
    <row r="1122" spans="3:5" x14ac:dyDescent="0.25">
      <c r="C1122"/>
      <c r="D1122"/>
      <c r="E1122"/>
    </row>
    <row r="1123" spans="3:5" x14ac:dyDescent="0.25">
      <c r="C1123"/>
      <c r="D1123"/>
      <c r="E1123"/>
    </row>
    <row r="1124" spans="3:5" x14ac:dyDescent="0.25">
      <c r="C1124"/>
      <c r="D1124"/>
      <c r="E1124"/>
    </row>
    <row r="1125" spans="3:5" x14ac:dyDescent="0.25">
      <c r="C1125"/>
      <c r="D1125"/>
      <c r="E1125"/>
    </row>
    <row r="1126" spans="3:5" x14ac:dyDescent="0.25">
      <c r="C1126"/>
      <c r="D1126"/>
      <c r="E1126"/>
    </row>
    <row r="1127" spans="3:5" x14ac:dyDescent="0.25">
      <c r="C1127"/>
      <c r="D1127"/>
      <c r="E1127"/>
    </row>
    <row r="1128" spans="3:5" x14ac:dyDescent="0.25">
      <c r="C1128"/>
      <c r="D1128"/>
      <c r="E1128"/>
    </row>
    <row r="1129" spans="3:5" x14ac:dyDescent="0.25">
      <c r="C1129"/>
      <c r="D1129"/>
      <c r="E1129"/>
    </row>
    <row r="1130" spans="3:5" x14ac:dyDescent="0.25">
      <c r="C1130"/>
      <c r="D1130"/>
      <c r="E1130"/>
    </row>
    <row r="1131" spans="3:5" x14ac:dyDescent="0.25">
      <c r="C1131"/>
      <c r="D1131"/>
      <c r="E1131"/>
    </row>
    <row r="1132" spans="3:5" x14ac:dyDescent="0.25">
      <c r="C1132"/>
      <c r="D1132"/>
      <c r="E1132"/>
    </row>
    <row r="1133" spans="3:5" x14ac:dyDescent="0.25">
      <c r="C1133"/>
      <c r="D1133"/>
      <c r="E1133"/>
    </row>
    <row r="1134" spans="3:5" x14ac:dyDescent="0.25">
      <c r="C1134"/>
      <c r="D1134"/>
      <c r="E1134"/>
    </row>
    <row r="1135" spans="3:5" x14ac:dyDescent="0.25">
      <c r="C1135"/>
      <c r="D1135"/>
      <c r="E1135"/>
    </row>
    <row r="1136" spans="3:5" x14ac:dyDescent="0.25">
      <c r="C1136"/>
      <c r="D1136"/>
      <c r="E1136"/>
    </row>
    <row r="1137" spans="3:5" x14ac:dyDescent="0.25">
      <c r="C1137"/>
      <c r="D1137"/>
      <c r="E1137"/>
    </row>
    <row r="1138" spans="3:5" x14ac:dyDescent="0.25">
      <c r="C1138"/>
      <c r="D1138"/>
      <c r="E1138"/>
    </row>
    <row r="1139" spans="3:5" x14ac:dyDescent="0.25">
      <c r="C1139"/>
      <c r="D1139"/>
      <c r="E1139"/>
    </row>
    <row r="1140" spans="3:5" x14ac:dyDescent="0.25">
      <c r="C1140"/>
      <c r="D1140"/>
      <c r="E1140"/>
    </row>
    <row r="1141" spans="3:5" x14ac:dyDescent="0.25">
      <c r="C1141"/>
      <c r="D1141"/>
      <c r="E1141"/>
    </row>
    <row r="1142" spans="3:5" x14ac:dyDescent="0.25">
      <c r="C1142"/>
      <c r="D1142"/>
      <c r="E1142"/>
    </row>
    <row r="1143" spans="3:5" x14ac:dyDescent="0.25">
      <c r="C1143"/>
      <c r="D1143"/>
      <c r="E1143"/>
    </row>
    <row r="1144" spans="3:5" x14ac:dyDescent="0.25">
      <c r="C1144"/>
      <c r="D1144"/>
      <c r="E1144"/>
    </row>
    <row r="1145" spans="3:5" x14ac:dyDescent="0.25">
      <c r="C1145"/>
      <c r="D1145"/>
      <c r="E1145"/>
    </row>
    <row r="1146" spans="3:5" x14ac:dyDescent="0.25">
      <c r="C1146"/>
      <c r="D1146"/>
      <c r="E1146"/>
    </row>
    <row r="1147" spans="3:5" x14ac:dyDescent="0.25">
      <c r="C1147"/>
      <c r="D1147"/>
      <c r="E1147"/>
    </row>
    <row r="1148" spans="3:5" x14ac:dyDescent="0.25">
      <c r="C1148"/>
      <c r="D1148"/>
      <c r="E1148"/>
    </row>
    <row r="1149" spans="3:5" x14ac:dyDescent="0.25">
      <c r="C1149"/>
      <c r="D1149"/>
      <c r="E1149"/>
    </row>
    <row r="1150" spans="3:5" x14ac:dyDescent="0.25">
      <c r="C1150"/>
      <c r="D1150"/>
      <c r="E1150"/>
    </row>
    <row r="1151" spans="3:5" x14ac:dyDescent="0.25">
      <c r="C1151"/>
      <c r="D1151"/>
      <c r="E1151"/>
    </row>
    <row r="1152" spans="3:5" x14ac:dyDescent="0.25">
      <c r="C1152"/>
      <c r="D1152"/>
      <c r="E1152"/>
    </row>
    <row r="1153" spans="3:5" x14ac:dyDescent="0.25">
      <c r="C1153"/>
      <c r="D1153"/>
      <c r="E1153"/>
    </row>
    <row r="1154" spans="3:5" x14ac:dyDescent="0.25">
      <c r="C1154"/>
      <c r="D1154"/>
      <c r="E1154"/>
    </row>
    <row r="1155" spans="3:5" x14ac:dyDescent="0.25">
      <c r="C1155"/>
      <c r="D1155"/>
      <c r="E1155"/>
    </row>
    <row r="1156" spans="3:5" x14ac:dyDescent="0.25">
      <c r="C1156"/>
      <c r="D1156"/>
      <c r="E1156"/>
    </row>
    <row r="1157" spans="3:5" x14ac:dyDescent="0.25">
      <c r="C1157"/>
      <c r="D1157"/>
      <c r="E1157"/>
    </row>
    <row r="1158" spans="3:5" x14ac:dyDescent="0.25">
      <c r="C1158"/>
      <c r="D1158"/>
      <c r="E1158"/>
    </row>
    <row r="1159" spans="3:5" x14ac:dyDescent="0.25">
      <c r="C1159"/>
      <c r="D1159"/>
      <c r="E1159"/>
    </row>
    <row r="1160" spans="3:5" x14ac:dyDescent="0.25">
      <c r="C1160"/>
      <c r="D1160"/>
      <c r="E1160"/>
    </row>
    <row r="1161" spans="3:5" x14ac:dyDescent="0.25">
      <c r="C1161"/>
      <c r="D1161"/>
      <c r="E1161"/>
    </row>
    <row r="1162" spans="3:5" x14ac:dyDescent="0.25">
      <c r="C1162"/>
      <c r="D1162"/>
      <c r="E1162"/>
    </row>
    <row r="1163" spans="3:5" x14ac:dyDescent="0.25">
      <c r="C1163"/>
      <c r="D1163"/>
      <c r="E1163"/>
    </row>
    <row r="1164" spans="3:5" x14ac:dyDescent="0.25">
      <c r="C1164"/>
      <c r="D1164"/>
      <c r="E1164"/>
    </row>
    <row r="1165" spans="3:5" x14ac:dyDescent="0.25">
      <c r="C1165"/>
      <c r="D1165"/>
      <c r="E1165"/>
    </row>
    <row r="1166" spans="3:5" x14ac:dyDescent="0.25">
      <c r="C1166"/>
      <c r="D1166"/>
      <c r="E1166"/>
    </row>
    <row r="1167" spans="3:5" x14ac:dyDescent="0.25">
      <c r="C1167"/>
      <c r="D1167"/>
      <c r="E1167"/>
    </row>
    <row r="1168" spans="3:5" x14ac:dyDescent="0.25">
      <c r="C1168"/>
      <c r="D1168"/>
      <c r="E1168"/>
    </row>
    <row r="1169" spans="3:5" x14ac:dyDescent="0.25">
      <c r="C1169"/>
      <c r="D1169"/>
      <c r="E1169"/>
    </row>
    <row r="1170" spans="3:5" x14ac:dyDescent="0.25">
      <c r="C1170"/>
      <c r="D1170"/>
      <c r="E1170"/>
    </row>
    <row r="1171" spans="3:5" x14ac:dyDescent="0.25">
      <c r="C1171"/>
      <c r="D1171"/>
      <c r="E1171"/>
    </row>
    <row r="1172" spans="3:5" x14ac:dyDescent="0.25">
      <c r="C1172"/>
      <c r="D1172"/>
      <c r="E1172"/>
    </row>
    <row r="1173" spans="3:5" x14ac:dyDescent="0.25">
      <c r="C1173"/>
      <c r="D1173"/>
      <c r="E1173"/>
    </row>
    <row r="1174" spans="3:5" x14ac:dyDescent="0.25">
      <c r="C1174"/>
      <c r="D1174"/>
      <c r="E1174"/>
    </row>
    <row r="1175" spans="3:5" x14ac:dyDescent="0.25">
      <c r="C1175"/>
      <c r="D1175"/>
      <c r="E1175"/>
    </row>
    <row r="1176" spans="3:5" x14ac:dyDescent="0.25">
      <c r="C1176"/>
      <c r="D1176"/>
      <c r="E1176"/>
    </row>
    <row r="1177" spans="3:5" x14ac:dyDescent="0.25">
      <c r="C1177"/>
      <c r="D1177"/>
      <c r="E1177"/>
    </row>
    <row r="1178" spans="3:5" x14ac:dyDescent="0.25">
      <c r="C1178"/>
      <c r="D1178"/>
      <c r="E1178"/>
    </row>
    <row r="1179" spans="3:5" x14ac:dyDescent="0.25">
      <c r="C1179"/>
      <c r="D1179"/>
      <c r="E1179"/>
    </row>
    <row r="1180" spans="3:5" x14ac:dyDescent="0.25">
      <c r="C1180"/>
      <c r="D1180"/>
      <c r="E1180"/>
    </row>
    <row r="1181" spans="3:5" x14ac:dyDescent="0.25">
      <c r="C1181"/>
      <c r="D1181"/>
      <c r="E1181"/>
    </row>
    <row r="1182" spans="3:5" x14ac:dyDescent="0.25">
      <c r="C1182"/>
      <c r="D1182"/>
      <c r="E1182"/>
    </row>
    <row r="1183" spans="3:5" x14ac:dyDescent="0.25">
      <c r="C1183"/>
      <c r="D1183"/>
      <c r="E1183"/>
    </row>
    <row r="1184" spans="3:5" x14ac:dyDescent="0.25">
      <c r="C1184"/>
      <c r="D1184"/>
      <c r="E1184"/>
    </row>
    <row r="1185" spans="3:5" x14ac:dyDescent="0.25">
      <c r="C1185"/>
      <c r="D1185"/>
      <c r="E1185"/>
    </row>
    <row r="1186" spans="3:5" x14ac:dyDescent="0.25">
      <c r="C1186"/>
      <c r="D1186"/>
      <c r="E1186"/>
    </row>
    <row r="1187" spans="3:5" x14ac:dyDescent="0.25">
      <c r="C1187"/>
      <c r="D1187"/>
      <c r="E1187"/>
    </row>
    <row r="1188" spans="3:5" x14ac:dyDescent="0.25">
      <c r="C1188"/>
      <c r="D1188"/>
      <c r="E1188"/>
    </row>
    <row r="1189" spans="3:5" x14ac:dyDescent="0.25">
      <c r="C1189"/>
      <c r="D1189"/>
      <c r="E1189"/>
    </row>
    <row r="1190" spans="3:5" x14ac:dyDescent="0.25">
      <c r="C1190"/>
      <c r="D1190"/>
      <c r="E1190"/>
    </row>
    <row r="1191" spans="3:5" x14ac:dyDescent="0.25">
      <c r="C1191"/>
      <c r="D1191"/>
      <c r="E1191"/>
    </row>
    <row r="1192" spans="3:5" x14ac:dyDescent="0.25">
      <c r="C1192"/>
      <c r="D1192"/>
      <c r="E1192"/>
    </row>
    <row r="1193" spans="3:5" x14ac:dyDescent="0.25">
      <c r="C1193"/>
      <c r="D1193"/>
      <c r="E1193"/>
    </row>
    <row r="1194" spans="3:5" x14ac:dyDescent="0.25">
      <c r="C1194"/>
      <c r="D1194"/>
      <c r="E1194"/>
    </row>
    <row r="1195" spans="3:5" x14ac:dyDescent="0.25">
      <c r="C1195"/>
      <c r="D1195"/>
      <c r="E1195"/>
    </row>
    <row r="1196" spans="3:5" x14ac:dyDescent="0.25">
      <c r="C1196"/>
      <c r="D1196"/>
      <c r="E1196"/>
    </row>
    <row r="1197" spans="3:5" x14ac:dyDescent="0.25">
      <c r="C1197"/>
      <c r="D1197"/>
      <c r="E1197"/>
    </row>
    <row r="1198" spans="3:5" x14ac:dyDescent="0.25">
      <c r="C1198"/>
      <c r="D1198"/>
      <c r="E1198"/>
    </row>
    <row r="1199" spans="3:5" x14ac:dyDescent="0.25">
      <c r="C1199"/>
      <c r="D1199"/>
      <c r="E1199"/>
    </row>
    <row r="1200" spans="3:5" x14ac:dyDescent="0.25">
      <c r="C1200"/>
      <c r="D1200"/>
      <c r="E1200"/>
    </row>
    <row r="1201" spans="3:5" x14ac:dyDescent="0.25">
      <c r="C1201"/>
      <c r="D1201"/>
      <c r="E1201"/>
    </row>
    <row r="1202" spans="3:5" x14ac:dyDescent="0.25">
      <c r="C1202"/>
      <c r="D1202"/>
      <c r="E1202"/>
    </row>
    <row r="1203" spans="3:5" x14ac:dyDescent="0.25">
      <c r="C1203"/>
      <c r="D1203"/>
      <c r="E1203"/>
    </row>
    <row r="1204" spans="3:5" x14ac:dyDescent="0.25">
      <c r="C1204"/>
      <c r="D1204"/>
      <c r="E1204"/>
    </row>
    <row r="1205" spans="3:5" x14ac:dyDescent="0.25">
      <c r="C1205"/>
      <c r="D1205"/>
      <c r="E1205"/>
    </row>
    <row r="1206" spans="3:5" x14ac:dyDescent="0.25">
      <c r="C1206"/>
      <c r="D1206"/>
      <c r="E1206"/>
    </row>
    <row r="1207" spans="3:5" x14ac:dyDescent="0.25">
      <c r="C1207"/>
      <c r="D1207"/>
      <c r="E1207"/>
    </row>
    <row r="1208" spans="3:5" x14ac:dyDescent="0.25">
      <c r="C1208"/>
      <c r="D1208"/>
      <c r="E1208"/>
    </row>
    <row r="1209" spans="3:5" x14ac:dyDescent="0.25">
      <c r="C1209"/>
      <c r="D1209"/>
      <c r="E1209"/>
    </row>
    <row r="1210" spans="3:5" x14ac:dyDescent="0.25">
      <c r="C1210"/>
      <c r="D1210"/>
      <c r="E1210"/>
    </row>
    <row r="1211" spans="3:5" x14ac:dyDescent="0.25">
      <c r="C1211"/>
      <c r="D1211"/>
      <c r="E1211"/>
    </row>
    <row r="1212" spans="3:5" x14ac:dyDescent="0.25">
      <c r="C1212"/>
      <c r="D1212"/>
      <c r="E1212"/>
    </row>
    <row r="1213" spans="3:5" x14ac:dyDescent="0.25">
      <c r="C1213"/>
      <c r="D1213"/>
      <c r="E1213"/>
    </row>
    <row r="1214" spans="3:5" x14ac:dyDescent="0.25">
      <c r="C1214"/>
      <c r="D1214"/>
      <c r="E1214"/>
    </row>
    <row r="1215" spans="3:5" x14ac:dyDescent="0.25">
      <c r="C1215"/>
      <c r="D1215"/>
      <c r="E1215"/>
    </row>
    <row r="1216" spans="3:5" x14ac:dyDescent="0.25">
      <c r="C1216"/>
      <c r="D1216"/>
      <c r="E1216"/>
    </row>
    <row r="1217" spans="3:5" x14ac:dyDescent="0.25">
      <c r="C1217"/>
      <c r="D1217"/>
      <c r="E1217"/>
    </row>
    <row r="1218" spans="3:5" x14ac:dyDescent="0.25">
      <c r="C1218"/>
      <c r="D1218"/>
      <c r="E1218"/>
    </row>
    <row r="1219" spans="3:5" x14ac:dyDescent="0.25">
      <c r="C1219"/>
      <c r="D1219"/>
      <c r="E1219"/>
    </row>
    <row r="1220" spans="3:5" x14ac:dyDescent="0.25">
      <c r="C1220"/>
      <c r="D1220"/>
      <c r="E1220"/>
    </row>
    <row r="1221" spans="3:5" x14ac:dyDescent="0.25">
      <c r="C1221"/>
      <c r="D1221"/>
      <c r="E1221"/>
    </row>
    <row r="1222" spans="3:5" x14ac:dyDescent="0.25">
      <c r="C1222"/>
      <c r="D1222"/>
      <c r="E1222"/>
    </row>
    <row r="1223" spans="3:5" x14ac:dyDescent="0.25">
      <c r="C1223"/>
      <c r="D1223"/>
      <c r="E1223"/>
    </row>
    <row r="1224" spans="3:5" x14ac:dyDescent="0.25">
      <c r="C1224"/>
      <c r="D1224"/>
      <c r="E1224"/>
    </row>
    <row r="1225" spans="3:5" x14ac:dyDescent="0.25">
      <c r="C1225"/>
      <c r="D1225"/>
      <c r="E1225"/>
    </row>
    <row r="1226" spans="3:5" x14ac:dyDescent="0.25">
      <c r="C1226"/>
      <c r="D1226"/>
      <c r="E1226"/>
    </row>
    <row r="1227" spans="3:5" x14ac:dyDescent="0.25">
      <c r="C1227"/>
      <c r="D1227"/>
      <c r="E1227"/>
    </row>
    <row r="1228" spans="3:5" x14ac:dyDescent="0.25">
      <c r="C1228"/>
      <c r="D1228"/>
      <c r="E1228"/>
    </row>
    <row r="1229" spans="3:5" x14ac:dyDescent="0.25">
      <c r="C1229"/>
      <c r="D1229"/>
      <c r="E1229"/>
    </row>
    <row r="1230" spans="3:5" x14ac:dyDescent="0.25">
      <c r="C1230"/>
      <c r="D1230"/>
      <c r="E1230"/>
    </row>
    <row r="1231" spans="3:5" x14ac:dyDescent="0.25">
      <c r="C1231"/>
      <c r="D1231"/>
      <c r="E1231"/>
    </row>
    <row r="1232" spans="3:5" x14ac:dyDescent="0.25">
      <c r="C1232"/>
      <c r="D1232"/>
      <c r="E1232"/>
    </row>
    <row r="1233" spans="3:5" x14ac:dyDescent="0.25">
      <c r="C1233"/>
      <c r="D1233"/>
      <c r="E1233"/>
    </row>
    <row r="1234" spans="3:5" x14ac:dyDescent="0.25">
      <c r="C1234"/>
      <c r="D1234"/>
      <c r="E1234"/>
    </row>
    <row r="1235" spans="3:5" x14ac:dyDescent="0.25">
      <c r="C1235"/>
      <c r="D1235"/>
      <c r="E1235"/>
    </row>
    <row r="1236" spans="3:5" x14ac:dyDescent="0.25">
      <c r="C1236"/>
      <c r="D1236"/>
      <c r="E1236"/>
    </row>
    <row r="1237" spans="3:5" x14ac:dyDescent="0.25">
      <c r="C1237"/>
      <c r="D1237"/>
      <c r="E1237"/>
    </row>
    <row r="1238" spans="3:5" x14ac:dyDescent="0.25">
      <c r="C1238"/>
      <c r="D1238"/>
      <c r="E1238"/>
    </row>
    <row r="1239" spans="3:5" x14ac:dyDescent="0.25">
      <c r="C1239"/>
      <c r="D1239"/>
      <c r="E1239"/>
    </row>
    <row r="1240" spans="3:5" x14ac:dyDescent="0.25">
      <c r="C1240"/>
      <c r="D1240"/>
      <c r="E1240"/>
    </row>
    <row r="1241" spans="3:5" x14ac:dyDescent="0.25">
      <c r="C1241"/>
      <c r="D1241"/>
      <c r="E1241"/>
    </row>
    <row r="1242" spans="3:5" x14ac:dyDescent="0.25">
      <c r="C1242"/>
      <c r="D1242"/>
      <c r="E1242"/>
    </row>
    <row r="1243" spans="3:5" x14ac:dyDescent="0.25">
      <c r="C1243"/>
      <c r="D1243"/>
      <c r="E1243"/>
    </row>
    <row r="1244" spans="3:5" x14ac:dyDescent="0.25">
      <c r="C1244"/>
      <c r="D1244"/>
      <c r="E1244"/>
    </row>
    <row r="1245" spans="3:5" x14ac:dyDescent="0.25">
      <c r="C1245"/>
      <c r="D1245"/>
      <c r="E1245"/>
    </row>
    <row r="1246" spans="3:5" x14ac:dyDescent="0.25">
      <c r="C1246"/>
      <c r="D1246"/>
      <c r="E1246"/>
    </row>
    <row r="1247" spans="3:5" x14ac:dyDescent="0.25">
      <c r="C1247"/>
      <c r="D1247"/>
      <c r="E1247"/>
    </row>
    <row r="1248" spans="3:5" x14ac:dyDescent="0.25">
      <c r="C1248"/>
      <c r="D1248"/>
      <c r="E1248"/>
    </row>
    <row r="1249" spans="3:5" x14ac:dyDescent="0.25">
      <c r="C1249"/>
      <c r="D1249"/>
      <c r="E1249"/>
    </row>
    <row r="1250" spans="3:5" x14ac:dyDescent="0.25">
      <c r="C1250"/>
      <c r="D1250"/>
      <c r="E1250"/>
    </row>
    <row r="1251" spans="3:5" x14ac:dyDescent="0.25">
      <c r="C1251"/>
      <c r="D1251"/>
      <c r="E1251"/>
    </row>
    <row r="1252" spans="3:5" x14ac:dyDescent="0.25">
      <c r="C1252"/>
      <c r="D1252"/>
      <c r="E1252"/>
    </row>
    <row r="1253" spans="3:5" x14ac:dyDescent="0.25">
      <c r="C1253"/>
      <c r="D1253"/>
      <c r="E1253"/>
    </row>
    <row r="1254" spans="3:5" x14ac:dyDescent="0.25">
      <c r="C1254"/>
      <c r="D1254"/>
      <c r="E1254"/>
    </row>
    <row r="1255" spans="3:5" x14ac:dyDescent="0.25">
      <c r="C1255"/>
      <c r="D1255"/>
      <c r="E1255"/>
    </row>
    <row r="1256" spans="3:5" x14ac:dyDescent="0.25">
      <c r="C1256"/>
      <c r="D1256"/>
      <c r="E1256"/>
    </row>
    <row r="1257" spans="3:5" x14ac:dyDescent="0.25">
      <c r="C1257"/>
      <c r="D1257"/>
      <c r="E1257"/>
    </row>
    <row r="1258" spans="3:5" x14ac:dyDescent="0.25">
      <c r="C1258"/>
      <c r="D1258"/>
      <c r="E1258"/>
    </row>
    <row r="1259" spans="3:5" x14ac:dyDescent="0.25">
      <c r="C1259"/>
      <c r="D1259"/>
      <c r="E1259"/>
    </row>
    <row r="1260" spans="3:5" x14ac:dyDescent="0.25">
      <c r="C1260"/>
      <c r="D1260"/>
      <c r="E1260"/>
    </row>
    <row r="1261" spans="3:5" x14ac:dyDescent="0.25">
      <c r="C1261"/>
      <c r="D1261"/>
      <c r="E1261"/>
    </row>
    <row r="1262" spans="3:5" x14ac:dyDescent="0.25">
      <c r="C1262"/>
      <c r="D1262"/>
      <c r="E1262"/>
    </row>
    <row r="1263" spans="3:5" x14ac:dyDescent="0.25">
      <c r="C1263"/>
      <c r="D1263"/>
      <c r="E1263"/>
    </row>
    <row r="1264" spans="3:5" x14ac:dyDescent="0.25">
      <c r="C1264"/>
      <c r="D1264"/>
      <c r="E1264"/>
    </row>
    <row r="1265" spans="3:5" x14ac:dyDescent="0.25">
      <c r="C1265"/>
      <c r="D1265"/>
      <c r="E1265"/>
    </row>
    <row r="1266" spans="3:5" x14ac:dyDescent="0.25">
      <c r="C1266"/>
      <c r="D1266"/>
      <c r="E1266"/>
    </row>
    <row r="1267" spans="3:5" x14ac:dyDescent="0.25">
      <c r="C1267"/>
      <c r="D1267"/>
      <c r="E1267"/>
    </row>
    <row r="1268" spans="3:5" x14ac:dyDescent="0.25">
      <c r="C1268"/>
      <c r="D1268"/>
      <c r="E1268"/>
    </row>
    <row r="1269" spans="3:5" x14ac:dyDescent="0.25">
      <c r="C1269"/>
      <c r="D1269"/>
      <c r="E1269"/>
    </row>
    <row r="1270" spans="3:5" x14ac:dyDescent="0.25">
      <c r="C1270"/>
      <c r="D1270"/>
      <c r="E1270"/>
    </row>
    <row r="1271" spans="3:5" x14ac:dyDescent="0.25">
      <c r="C1271"/>
      <c r="D1271"/>
      <c r="E1271"/>
    </row>
    <row r="1272" spans="3:5" x14ac:dyDescent="0.25">
      <c r="C1272"/>
      <c r="D1272"/>
      <c r="E1272"/>
    </row>
    <row r="1273" spans="3:5" x14ac:dyDescent="0.25">
      <c r="C1273"/>
      <c r="D1273"/>
      <c r="E1273"/>
    </row>
    <row r="1274" spans="3:5" x14ac:dyDescent="0.25">
      <c r="C1274"/>
      <c r="D1274"/>
      <c r="E1274"/>
    </row>
    <row r="1275" spans="3:5" x14ac:dyDescent="0.25">
      <c r="C1275"/>
      <c r="D1275"/>
      <c r="E1275"/>
    </row>
    <row r="1276" spans="3:5" x14ac:dyDescent="0.25">
      <c r="C1276"/>
      <c r="D1276"/>
      <c r="E1276"/>
    </row>
    <row r="1277" spans="3:5" x14ac:dyDescent="0.25">
      <c r="C1277"/>
      <c r="D1277"/>
      <c r="E1277"/>
    </row>
    <row r="1278" spans="3:5" x14ac:dyDescent="0.25">
      <c r="C1278"/>
      <c r="D1278"/>
      <c r="E1278"/>
    </row>
    <row r="1279" spans="3:5" x14ac:dyDescent="0.25">
      <c r="C1279"/>
      <c r="D1279"/>
      <c r="E1279"/>
    </row>
    <row r="1280" spans="3:5" x14ac:dyDescent="0.25">
      <c r="C1280"/>
      <c r="D1280"/>
      <c r="E1280"/>
    </row>
    <row r="1281" spans="3:5" x14ac:dyDescent="0.25">
      <c r="C1281"/>
      <c r="D1281"/>
      <c r="E1281"/>
    </row>
    <row r="1282" spans="3:5" x14ac:dyDescent="0.25">
      <c r="C1282"/>
      <c r="D1282"/>
      <c r="E1282"/>
    </row>
    <row r="1283" spans="3:5" x14ac:dyDescent="0.25">
      <c r="C1283"/>
      <c r="D1283"/>
      <c r="E1283"/>
    </row>
    <row r="1284" spans="3:5" x14ac:dyDescent="0.25">
      <c r="C1284"/>
      <c r="D1284"/>
      <c r="E1284"/>
    </row>
    <row r="1285" spans="3:5" x14ac:dyDescent="0.25">
      <c r="C1285"/>
      <c r="D1285"/>
      <c r="E1285"/>
    </row>
    <row r="1286" spans="3:5" x14ac:dyDescent="0.25">
      <c r="C1286"/>
      <c r="D1286"/>
      <c r="E1286"/>
    </row>
    <row r="1287" spans="3:5" x14ac:dyDescent="0.25">
      <c r="C1287"/>
      <c r="D1287"/>
      <c r="E1287"/>
    </row>
    <row r="1288" spans="3:5" x14ac:dyDescent="0.25">
      <c r="C1288"/>
      <c r="D1288"/>
      <c r="E1288"/>
    </row>
    <row r="1289" spans="3:5" x14ac:dyDescent="0.25">
      <c r="C1289"/>
      <c r="D1289"/>
      <c r="E1289"/>
    </row>
    <row r="1290" spans="3:5" x14ac:dyDescent="0.25">
      <c r="C1290"/>
      <c r="D1290"/>
      <c r="E1290"/>
    </row>
    <row r="1291" spans="3:5" x14ac:dyDescent="0.25">
      <c r="C1291"/>
      <c r="D1291"/>
      <c r="E1291"/>
    </row>
    <row r="1292" spans="3:5" x14ac:dyDescent="0.25">
      <c r="C1292"/>
      <c r="D1292"/>
      <c r="E1292"/>
    </row>
    <row r="1293" spans="3:5" x14ac:dyDescent="0.25">
      <c r="C1293"/>
      <c r="D1293"/>
      <c r="E1293"/>
    </row>
    <row r="1294" spans="3:5" x14ac:dyDescent="0.25">
      <c r="C1294"/>
      <c r="D1294"/>
      <c r="E1294"/>
    </row>
    <row r="1295" spans="3:5" x14ac:dyDescent="0.25">
      <c r="C1295"/>
      <c r="D1295"/>
      <c r="E1295"/>
    </row>
    <row r="1296" spans="3:5" x14ac:dyDescent="0.25">
      <c r="C1296"/>
      <c r="D1296"/>
      <c r="E1296"/>
    </row>
    <row r="1297" spans="3:5" x14ac:dyDescent="0.25">
      <c r="C1297"/>
      <c r="D1297"/>
      <c r="E1297"/>
    </row>
    <row r="1298" spans="3:5" x14ac:dyDescent="0.25">
      <c r="C1298"/>
      <c r="D1298"/>
      <c r="E1298"/>
    </row>
    <row r="1299" spans="3:5" x14ac:dyDescent="0.25">
      <c r="C1299"/>
      <c r="D1299"/>
      <c r="E1299"/>
    </row>
    <row r="1300" spans="3:5" x14ac:dyDescent="0.25">
      <c r="C1300"/>
      <c r="D1300"/>
      <c r="E1300"/>
    </row>
    <row r="1301" spans="3:5" x14ac:dyDescent="0.25">
      <c r="C1301"/>
      <c r="D1301"/>
      <c r="E1301"/>
    </row>
    <row r="1302" spans="3:5" x14ac:dyDescent="0.25">
      <c r="C1302"/>
      <c r="D1302"/>
      <c r="E1302"/>
    </row>
    <row r="1303" spans="3:5" x14ac:dyDescent="0.25">
      <c r="C1303"/>
      <c r="D1303"/>
      <c r="E1303"/>
    </row>
    <row r="1304" spans="3:5" x14ac:dyDescent="0.25">
      <c r="C1304"/>
      <c r="D1304"/>
      <c r="E1304"/>
    </row>
    <row r="1305" spans="3:5" x14ac:dyDescent="0.25">
      <c r="C1305"/>
      <c r="D1305"/>
      <c r="E1305"/>
    </row>
    <row r="1306" spans="3:5" x14ac:dyDescent="0.25">
      <c r="C1306"/>
      <c r="D1306"/>
      <c r="E1306"/>
    </row>
    <row r="1307" spans="3:5" x14ac:dyDescent="0.25">
      <c r="C1307"/>
      <c r="D1307"/>
      <c r="E1307"/>
    </row>
    <row r="1308" spans="3:5" x14ac:dyDescent="0.25">
      <c r="C1308"/>
      <c r="D1308"/>
      <c r="E1308"/>
    </row>
    <row r="1309" spans="3:5" x14ac:dyDescent="0.25">
      <c r="C1309"/>
      <c r="D1309"/>
      <c r="E1309"/>
    </row>
    <row r="1310" spans="3:5" x14ac:dyDescent="0.25">
      <c r="C1310"/>
      <c r="D1310"/>
      <c r="E1310"/>
    </row>
    <row r="1311" spans="3:5" x14ac:dyDescent="0.25">
      <c r="C1311"/>
      <c r="D1311"/>
      <c r="E1311"/>
    </row>
    <row r="1312" spans="3:5" x14ac:dyDescent="0.25">
      <c r="C1312"/>
      <c r="D1312"/>
      <c r="E1312"/>
    </row>
    <row r="1313" spans="3:5" x14ac:dyDescent="0.25">
      <c r="C1313"/>
      <c r="D1313"/>
      <c r="E1313"/>
    </row>
    <row r="1314" spans="3:5" x14ac:dyDescent="0.25">
      <c r="C1314"/>
      <c r="D1314"/>
      <c r="E1314"/>
    </row>
    <row r="1315" spans="3:5" x14ac:dyDescent="0.25">
      <c r="C1315"/>
      <c r="D1315"/>
      <c r="E1315"/>
    </row>
    <row r="1316" spans="3:5" x14ac:dyDescent="0.25">
      <c r="C1316"/>
      <c r="D1316"/>
      <c r="E1316"/>
    </row>
    <row r="1317" spans="3:5" x14ac:dyDescent="0.25">
      <c r="C1317"/>
      <c r="D1317"/>
      <c r="E1317"/>
    </row>
    <row r="1318" spans="3:5" x14ac:dyDescent="0.25">
      <c r="C1318"/>
      <c r="D1318"/>
      <c r="E1318"/>
    </row>
    <row r="1319" spans="3:5" x14ac:dyDescent="0.25">
      <c r="C1319"/>
      <c r="D1319"/>
      <c r="E1319"/>
    </row>
    <row r="1320" spans="3:5" x14ac:dyDescent="0.25">
      <c r="C1320"/>
      <c r="D1320"/>
      <c r="E1320"/>
    </row>
    <row r="1321" spans="3:5" x14ac:dyDescent="0.25">
      <c r="C1321"/>
      <c r="D1321"/>
      <c r="E1321"/>
    </row>
    <row r="1322" spans="3:5" x14ac:dyDescent="0.25">
      <c r="C1322"/>
      <c r="D1322"/>
      <c r="E1322"/>
    </row>
    <row r="1323" spans="3:5" x14ac:dyDescent="0.25">
      <c r="C1323"/>
      <c r="D1323"/>
      <c r="E1323"/>
    </row>
    <row r="1324" spans="3:5" x14ac:dyDescent="0.25">
      <c r="C1324"/>
      <c r="D1324"/>
      <c r="E1324"/>
    </row>
    <row r="1325" spans="3:5" x14ac:dyDescent="0.25">
      <c r="C1325"/>
      <c r="D1325"/>
      <c r="E1325"/>
    </row>
    <row r="1326" spans="3:5" x14ac:dyDescent="0.25">
      <c r="C1326"/>
      <c r="D1326"/>
      <c r="E1326"/>
    </row>
    <row r="1327" spans="3:5" x14ac:dyDescent="0.25">
      <c r="C1327"/>
      <c r="D1327"/>
      <c r="E1327"/>
    </row>
    <row r="1328" spans="3:5" x14ac:dyDescent="0.25">
      <c r="C1328"/>
      <c r="D1328"/>
      <c r="E1328"/>
    </row>
    <row r="1329" spans="3:5" x14ac:dyDescent="0.25">
      <c r="C1329"/>
      <c r="D1329"/>
      <c r="E1329"/>
    </row>
    <row r="1330" spans="3:5" x14ac:dyDescent="0.25">
      <c r="C1330"/>
      <c r="D1330"/>
      <c r="E1330"/>
    </row>
    <row r="1331" spans="3:5" x14ac:dyDescent="0.25">
      <c r="C1331"/>
      <c r="D1331"/>
      <c r="E1331"/>
    </row>
    <row r="1332" spans="3:5" x14ac:dyDescent="0.25">
      <c r="C1332"/>
      <c r="D1332"/>
      <c r="E1332"/>
    </row>
    <row r="1333" spans="3:5" x14ac:dyDescent="0.25">
      <c r="C1333"/>
      <c r="D1333"/>
      <c r="E1333"/>
    </row>
    <row r="1334" spans="3:5" x14ac:dyDescent="0.25">
      <c r="C1334"/>
      <c r="D1334"/>
      <c r="E1334"/>
    </row>
    <row r="1335" spans="3:5" x14ac:dyDescent="0.25">
      <c r="C1335"/>
      <c r="D1335"/>
      <c r="E1335"/>
    </row>
    <row r="1336" spans="3:5" x14ac:dyDescent="0.25">
      <c r="C1336"/>
      <c r="D1336"/>
      <c r="E1336"/>
    </row>
    <row r="1337" spans="3:5" x14ac:dyDescent="0.25">
      <c r="C1337"/>
      <c r="D1337"/>
      <c r="E1337"/>
    </row>
    <row r="1338" spans="3:5" x14ac:dyDescent="0.25">
      <c r="C1338"/>
      <c r="D1338"/>
      <c r="E1338"/>
    </row>
    <row r="1339" spans="3:5" x14ac:dyDescent="0.25">
      <c r="C1339"/>
      <c r="D1339"/>
      <c r="E1339"/>
    </row>
    <row r="1340" spans="3:5" x14ac:dyDescent="0.25">
      <c r="C1340"/>
      <c r="D1340"/>
      <c r="E1340"/>
    </row>
    <row r="1341" spans="3:5" x14ac:dyDescent="0.25">
      <c r="C1341"/>
      <c r="D1341"/>
      <c r="E1341"/>
    </row>
    <row r="1342" spans="3:5" x14ac:dyDescent="0.25">
      <c r="C1342"/>
      <c r="D1342"/>
      <c r="E1342"/>
    </row>
    <row r="1343" spans="3:5" x14ac:dyDescent="0.25">
      <c r="C1343"/>
      <c r="D1343"/>
      <c r="E1343"/>
    </row>
    <row r="1344" spans="3:5" x14ac:dyDescent="0.25">
      <c r="C1344"/>
      <c r="D1344"/>
      <c r="E1344"/>
    </row>
    <row r="1345" spans="3:5" x14ac:dyDescent="0.25">
      <c r="C1345"/>
      <c r="D1345"/>
      <c r="E1345"/>
    </row>
    <row r="1346" spans="3:5" x14ac:dyDescent="0.25">
      <c r="C1346"/>
      <c r="D1346"/>
      <c r="E1346"/>
    </row>
    <row r="1347" spans="3:5" x14ac:dyDescent="0.25">
      <c r="C1347"/>
      <c r="D1347"/>
      <c r="E1347"/>
    </row>
    <row r="1348" spans="3:5" x14ac:dyDescent="0.25">
      <c r="C1348"/>
      <c r="D1348"/>
      <c r="E1348"/>
    </row>
    <row r="1349" spans="3:5" x14ac:dyDescent="0.25">
      <c r="C1349"/>
      <c r="D1349"/>
      <c r="E1349"/>
    </row>
    <row r="1350" spans="3:5" x14ac:dyDescent="0.25">
      <c r="C1350"/>
      <c r="D1350"/>
      <c r="E1350"/>
    </row>
    <row r="1351" spans="3:5" x14ac:dyDescent="0.25">
      <c r="C1351"/>
      <c r="D1351"/>
      <c r="E1351"/>
    </row>
    <row r="1352" spans="3:5" x14ac:dyDescent="0.25">
      <c r="C1352"/>
      <c r="D1352"/>
      <c r="E1352"/>
    </row>
    <row r="1353" spans="3:5" x14ac:dyDescent="0.25">
      <c r="C1353"/>
      <c r="D1353"/>
      <c r="E1353"/>
    </row>
    <row r="1354" spans="3:5" x14ac:dyDescent="0.25">
      <c r="C1354"/>
      <c r="D1354"/>
      <c r="E1354"/>
    </row>
    <row r="1355" spans="3:5" x14ac:dyDescent="0.25">
      <c r="C1355"/>
      <c r="D1355"/>
      <c r="E1355"/>
    </row>
    <row r="1356" spans="3:5" x14ac:dyDescent="0.25">
      <c r="C1356"/>
      <c r="D1356"/>
      <c r="E1356"/>
    </row>
    <row r="1357" spans="3:5" x14ac:dyDescent="0.25">
      <c r="C1357"/>
      <c r="D1357"/>
      <c r="E1357"/>
    </row>
    <row r="1358" spans="3:5" x14ac:dyDescent="0.25">
      <c r="C1358"/>
      <c r="D1358"/>
      <c r="E1358"/>
    </row>
    <row r="1359" spans="3:5" x14ac:dyDescent="0.25">
      <c r="C1359"/>
      <c r="D1359"/>
      <c r="E1359"/>
    </row>
    <row r="1360" spans="3:5" x14ac:dyDescent="0.25">
      <c r="C1360"/>
      <c r="D1360"/>
      <c r="E1360"/>
    </row>
    <row r="1361" spans="3:5" x14ac:dyDescent="0.25">
      <c r="C1361"/>
      <c r="D1361"/>
      <c r="E1361"/>
    </row>
    <row r="1362" spans="3:5" x14ac:dyDescent="0.25">
      <c r="C1362"/>
      <c r="D1362"/>
      <c r="E1362"/>
    </row>
    <row r="1363" spans="3:5" x14ac:dyDescent="0.25">
      <c r="C1363"/>
      <c r="D1363"/>
      <c r="E1363"/>
    </row>
    <row r="1364" spans="3:5" x14ac:dyDescent="0.25">
      <c r="C1364"/>
      <c r="D1364"/>
      <c r="E1364"/>
    </row>
    <row r="1365" spans="3:5" x14ac:dyDescent="0.25">
      <c r="C1365"/>
      <c r="D1365"/>
      <c r="E1365"/>
    </row>
    <row r="1366" spans="3:5" x14ac:dyDescent="0.25">
      <c r="C1366"/>
      <c r="D1366"/>
      <c r="E1366"/>
    </row>
    <row r="1367" spans="3:5" x14ac:dyDescent="0.25">
      <c r="C1367"/>
      <c r="D1367"/>
      <c r="E1367"/>
    </row>
    <row r="1368" spans="3:5" x14ac:dyDescent="0.25">
      <c r="C1368"/>
      <c r="D1368"/>
      <c r="E1368"/>
    </row>
    <row r="1369" spans="3:5" x14ac:dyDescent="0.25">
      <c r="C1369"/>
      <c r="D1369"/>
      <c r="E1369"/>
    </row>
    <row r="1370" spans="3:5" x14ac:dyDescent="0.25">
      <c r="C1370"/>
      <c r="D1370"/>
      <c r="E1370"/>
    </row>
    <row r="1371" spans="3:5" x14ac:dyDescent="0.25">
      <c r="C1371"/>
      <c r="D1371"/>
      <c r="E1371"/>
    </row>
    <row r="1372" spans="3:5" x14ac:dyDescent="0.25">
      <c r="C1372"/>
      <c r="D1372"/>
      <c r="E1372"/>
    </row>
    <row r="1373" spans="3:5" x14ac:dyDescent="0.25">
      <c r="C1373"/>
      <c r="D1373"/>
      <c r="E1373"/>
    </row>
    <row r="1374" spans="3:5" x14ac:dyDescent="0.25">
      <c r="C1374"/>
      <c r="D1374"/>
      <c r="E1374"/>
    </row>
    <row r="1375" spans="3:5" x14ac:dyDescent="0.25">
      <c r="C1375"/>
      <c r="D1375"/>
      <c r="E1375"/>
    </row>
    <row r="1376" spans="3:5" x14ac:dyDescent="0.25">
      <c r="C1376"/>
      <c r="D1376"/>
      <c r="E1376"/>
    </row>
    <row r="1377" spans="3:5" x14ac:dyDescent="0.25">
      <c r="C1377"/>
      <c r="D1377"/>
      <c r="E1377"/>
    </row>
    <row r="1378" spans="3:5" x14ac:dyDescent="0.25">
      <c r="C1378"/>
      <c r="D1378"/>
      <c r="E1378"/>
    </row>
    <row r="1379" spans="3:5" x14ac:dyDescent="0.25">
      <c r="C1379"/>
      <c r="D1379"/>
      <c r="E1379"/>
    </row>
    <row r="1380" spans="3:5" x14ac:dyDescent="0.25">
      <c r="C1380"/>
      <c r="D1380"/>
      <c r="E1380"/>
    </row>
    <row r="1381" spans="3:5" x14ac:dyDescent="0.25">
      <c r="C1381"/>
      <c r="D1381"/>
      <c r="E1381"/>
    </row>
    <row r="1382" spans="3:5" x14ac:dyDescent="0.25">
      <c r="C1382"/>
      <c r="D1382"/>
      <c r="E1382"/>
    </row>
    <row r="1383" spans="3:5" x14ac:dyDescent="0.25">
      <c r="C1383"/>
      <c r="D1383"/>
      <c r="E1383"/>
    </row>
    <row r="1384" spans="3:5" x14ac:dyDescent="0.25">
      <c r="C1384"/>
      <c r="D1384"/>
      <c r="E1384"/>
    </row>
    <row r="1385" spans="3:5" x14ac:dyDescent="0.25">
      <c r="C1385"/>
      <c r="D1385"/>
      <c r="E1385"/>
    </row>
    <row r="1386" spans="3:5" x14ac:dyDescent="0.25">
      <c r="C1386"/>
      <c r="D1386"/>
      <c r="E1386"/>
    </row>
    <row r="1387" spans="3:5" x14ac:dyDescent="0.25">
      <c r="C1387"/>
      <c r="D1387"/>
      <c r="E1387"/>
    </row>
    <row r="1388" spans="3:5" x14ac:dyDescent="0.25">
      <c r="C1388"/>
      <c r="D1388"/>
      <c r="E1388"/>
    </row>
    <row r="1389" spans="3:5" x14ac:dyDescent="0.25">
      <c r="C1389"/>
      <c r="D1389"/>
      <c r="E1389"/>
    </row>
    <row r="1390" spans="3:5" x14ac:dyDescent="0.25">
      <c r="C1390"/>
      <c r="D1390"/>
      <c r="E1390"/>
    </row>
    <row r="1391" spans="3:5" x14ac:dyDescent="0.25">
      <c r="C1391"/>
      <c r="D1391"/>
      <c r="E1391"/>
    </row>
    <row r="1392" spans="3:5" x14ac:dyDescent="0.25">
      <c r="C1392"/>
      <c r="D1392"/>
      <c r="E1392"/>
    </row>
    <row r="1393" spans="3:5" x14ac:dyDescent="0.25">
      <c r="C1393"/>
      <c r="D1393"/>
      <c r="E1393"/>
    </row>
    <row r="1394" spans="3:5" x14ac:dyDescent="0.25">
      <c r="C1394"/>
      <c r="D1394"/>
      <c r="E1394"/>
    </row>
    <row r="1395" spans="3:5" x14ac:dyDescent="0.25">
      <c r="C1395"/>
      <c r="D1395"/>
      <c r="E1395"/>
    </row>
    <row r="1396" spans="3:5" x14ac:dyDescent="0.25">
      <c r="C1396"/>
      <c r="D1396"/>
      <c r="E1396"/>
    </row>
    <row r="1397" spans="3:5" x14ac:dyDescent="0.25">
      <c r="C1397"/>
      <c r="D1397"/>
      <c r="E1397"/>
    </row>
    <row r="1398" spans="3:5" x14ac:dyDescent="0.25">
      <c r="C1398"/>
      <c r="D1398"/>
      <c r="E1398"/>
    </row>
    <row r="1399" spans="3:5" x14ac:dyDescent="0.25">
      <c r="C1399"/>
      <c r="D1399"/>
      <c r="E1399"/>
    </row>
    <row r="1400" spans="3:5" x14ac:dyDescent="0.25">
      <c r="C1400"/>
      <c r="D1400"/>
      <c r="E1400"/>
    </row>
    <row r="1401" spans="3:5" x14ac:dyDescent="0.25">
      <c r="C1401"/>
      <c r="D1401"/>
      <c r="E1401"/>
    </row>
    <row r="1402" spans="3:5" x14ac:dyDescent="0.25">
      <c r="C1402"/>
      <c r="D1402"/>
      <c r="E1402"/>
    </row>
    <row r="1403" spans="3:5" x14ac:dyDescent="0.25">
      <c r="C1403"/>
      <c r="D1403"/>
      <c r="E1403"/>
    </row>
    <row r="1404" spans="3:5" x14ac:dyDescent="0.25">
      <c r="C1404"/>
      <c r="D1404"/>
      <c r="E1404"/>
    </row>
    <row r="1405" spans="3:5" x14ac:dyDescent="0.25">
      <c r="C1405"/>
      <c r="D1405"/>
      <c r="E1405"/>
    </row>
    <row r="1406" spans="3:5" x14ac:dyDescent="0.25">
      <c r="C1406"/>
      <c r="D1406"/>
      <c r="E1406"/>
    </row>
    <row r="1407" spans="3:5" x14ac:dyDescent="0.25">
      <c r="C1407"/>
      <c r="D1407"/>
      <c r="E1407"/>
    </row>
    <row r="1408" spans="3:5" x14ac:dyDescent="0.25">
      <c r="C1408"/>
      <c r="D1408"/>
      <c r="E1408"/>
    </row>
    <row r="1409" spans="3:5" x14ac:dyDescent="0.25">
      <c r="C1409"/>
      <c r="D1409"/>
      <c r="E1409"/>
    </row>
    <row r="1410" spans="3:5" x14ac:dyDescent="0.25">
      <c r="C1410"/>
      <c r="D1410"/>
      <c r="E1410"/>
    </row>
    <row r="1411" spans="3:5" x14ac:dyDescent="0.25">
      <c r="C1411"/>
      <c r="D1411"/>
      <c r="E1411"/>
    </row>
    <row r="1412" spans="3:5" x14ac:dyDescent="0.25">
      <c r="C1412"/>
      <c r="D1412"/>
      <c r="E1412"/>
    </row>
    <row r="1413" spans="3:5" x14ac:dyDescent="0.25">
      <c r="C1413"/>
      <c r="D1413"/>
      <c r="E1413"/>
    </row>
    <row r="1414" spans="3:5" x14ac:dyDescent="0.25">
      <c r="C1414"/>
      <c r="D1414"/>
      <c r="E1414"/>
    </row>
    <row r="1415" spans="3:5" x14ac:dyDescent="0.25">
      <c r="C1415"/>
      <c r="D1415"/>
      <c r="E1415"/>
    </row>
    <row r="1416" spans="3:5" x14ac:dyDescent="0.25">
      <c r="C1416"/>
      <c r="D1416"/>
      <c r="E1416"/>
    </row>
    <row r="1417" spans="3:5" x14ac:dyDescent="0.25">
      <c r="C1417"/>
      <c r="D1417"/>
      <c r="E1417"/>
    </row>
    <row r="1418" spans="3:5" x14ac:dyDescent="0.25">
      <c r="C1418"/>
      <c r="D1418"/>
      <c r="E1418"/>
    </row>
    <row r="1419" spans="3:5" x14ac:dyDescent="0.25">
      <c r="C1419"/>
      <c r="D1419"/>
      <c r="E1419"/>
    </row>
    <row r="1420" spans="3:5" x14ac:dyDescent="0.25">
      <c r="C1420"/>
      <c r="D1420"/>
      <c r="E1420"/>
    </row>
    <row r="1421" spans="3:5" x14ac:dyDescent="0.25">
      <c r="C1421"/>
      <c r="D1421"/>
      <c r="E1421"/>
    </row>
    <row r="1422" spans="3:5" x14ac:dyDescent="0.25">
      <c r="C1422"/>
      <c r="D1422"/>
      <c r="E1422"/>
    </row>
    <row r="1423" spans="3:5" x14ac:dyDescent="0.25">
      <c r="C1423"/>
      <c r="D1423"/>
      <c r="E1423"/>
    </row>
    <row r="1424" spans="3:5" x14ac:dyDescent="0.25">
      <c r="C1424"/>
      <c r="D1424"/>
      <c r="E1424"/>
    </row>
    <row r="1425" spans="3:5" x14ac:dyDescent="0.25">
      <c r="C1425"/>
      <c r="D1425"/>
      <c r="E1425"/>
    </row>
    <row r="1426" spans="3:5" x14ac:dyDescent="0.25">
      <c r="C1426"/>
      <c r="D1426"/>
      <c r="E1426"/>
    </row>
    <row r="1427" spans="3:5" x14ac:dyDescent="0.25">
      <c r="C1427"/>
      <c r="D1427"/>
      <c r="E1427"/>
    </row>
    <row r="1428" spans="3:5" x14ac:dyDescent="0.25">
      <c r="C1428"/>
      <c r="D1428"/>
      <c r="E1428"/>
    </row>
    <row r="1429" spans="3:5" x14ac:dyDescent="0.25">
      <c r="C1429"/>
      <c r="D1429"/>
      <c r="E1429"/>
    </row>
    <row r="1430" spans="3:5" x14ac:dyDescent="0.25">
      <c r="C1430"/>
      <c r="D1430"/>
      <c r="E1430"/>
    </row>
    <row r="1431" spans="3:5" x14ac:dyDescent="0.25">
      <c r="C1431"/>
      <c r="D1431"/>
      <c r="E1431"/>
    </row>
    <row r="1432" spans="3:5" x14ac:dyDescent="0.25">
      <c r="C1432"/>
      <c r="D1432"/>
      <c r="E1432"/>
    </row>
    <row r="1433" spans="3:5" x14ac:dyDescent="0.25">
      <c r="C1433"/>
      <c r="D1433"/>
      <c r="E1433"/>
    </row>
    <row r="1434" spans="3:5" x14ac:dyDescent="0.25">
      <c r="C1434"/>
      <c r="D1434"/>
      <c r="E1434"/>
    </row>
    <row r="1435" spans="3:5" x14ac:dyDescent="0.25">
      <c r="C1435"/>
      <c r="D1435"/>
      <c r="E1435"/>
    </row>
    <row r="1436" spans="3:5" x14ac:dyDescent="0.25">
      <c r="C1436"/>
      <c r="D1436"/>
      <c r="E1436"/>
    </row>
    <row r="1437" spans="3:5" x14ac:dyDescent="0.25">
      <c r="C1437"/>
      <c r="D1437"/>
      <c r="E1437"/>
    </row>
    <row r="1438" spans="3:5" x14ac:dyDescent="0.25">
      <c r="C1438"/>
      <c r="D1438"/>
      <c r="E1438"/>
    </row>
    <row r="1439" spans="3:5" x14ac:dyDescent="0.25">
      <c r="C1439"/>
      <c r="D1439"/>
      <c r="E1439"/>
    </row>
    <row r="1440" spans="3:5" x14ac:dyDescent="0.25">
      <c r="C1440"/>
      <c r="D1440"/>
      <c r="E1440"/>
    </row>
    <row r="1441" spans="3:5" x14ac:dyDescent="0.25">
      <c r="C1441"/>
      <c r="D1441"/>
      <c r="E1441"/>
    </row>
    <row r="1442" spans="3:5" x14ac:dyDescent="0.25">
      <c r="C1442"/>
      <c r="D1442"/>
      <c r="E1442"/>
    </row>
    <row r="1443" spans="3:5" x14ac:dyDescent="0.25">
      <c r="C1443"/>
      <c r="D1443"/>
      <c r="E1443"/>
    </row>
    <row r="1444" spans="3:5" x14ac:dyDescent="0.25">
      <c r="C1444"/>
      <c r="D1444"/>
      <c r="E1444"/>
    </row>
    <row r="1445" spans="3:5" x14ac:dyDescent="0.25">
      <c r="C1445"/>
      <c r="D1445"/>
      <c r="E1445"/>
    </row>
    <row r="1446" spans="3:5" x14ac:dyDescent="0.25">
      <c r="C1446"/>
      <c r="D1446"/>
      <c r="E1446"/>
    </row>
    <row r="1447" spans="3:5" x14ac:dyDescent="0.25">
      <c r="C1447"/>
      <c r="D1447"/>
      <c r="E1447"/>
    </row>
    <row r="1448" spans="3:5" x14ac:dyDescent="0.25">
      <c r="C1448"/>
      <c r="D1448"/>
      <c r="E1448"/>
    </row>
    <row r="1449" spans="3:5" x14ac:dyDescent="0.25">
      <c r="C1449"/>
      <c r="D1449"/>
      <c r="E1449"/>
    </row>
    <row r="1450" spans="3:5" x14ac:dyDescent="0.25">
      <c r="C1450"/>
      <c r="D1450"/>
      <c r="E1450"/>
    </row>
    <row r="1451" spans="3:5" x14ac:dyDescent="0.25">
      <c r="C1451"/>
      <c r="D1451"/>
      <c r="E1451"/>
    </row>
    <row r="1452" spans="3:5" x14ac:dyDescent="0.25">
      <c r="C1452"/>
      <c r="D1452"/>
      <c r="E1452"/>
    </row>
    <row r="1453" spans="3:5" x14ac:dyDescent="0.25">
      <c r="C1453"/>
      <c r="D1453"/>
      <c r="E1453"/>
    </row>
    <row r="1454" spans="3:5" x14ac:dyDescent="0.25">
      <c r="C1454"/>
      <c r="D1454"/>
      <c r="E1454"/>
    </row>
    <row r="1455" spans="3:5" x14ac:dyDescent="0.25">
      <c r="C1455"/>
      <c r="D1455"/>
      <c r="E1455"/>
    </row>
    <row r="1456" spans="3:5" x14ac:dyDescent="0.25">
      <c r="C1456"/>
      <c r="D1456"/>
      <c r="E1456"/>
    </row>
    <row r="1457" spans="3:5" x14ac:dyDescent="0.25">
      <c r="C1457"/>
      <c r="D1457"/>
      <c r="E1457"/>
    </row>
    <row r="1458" spans="3:5" x14ac:dyDescent="0.25">
      <c r="C1458"/>
      <c r="D1458"/>
      <c r="E1458"/>
    </row>
    <row r="1459" spans="3:5" x14ac:dyDescent="0.25">
      <c r="C1459"/>
      <c r="D1459"/>
      <c r="E1459"/>
    </row>
    <row r="1460" spans="3:5" x14ac:dyDescent="0.25">
      <c r="C1460"/>
      <c r="D1460"/>
      <c r="E1460"/>
    </row>
    <row r="1461" spans="3:5" x14ac:dyDescent="0.25">
      <c r="C1461"/>
      <c r="D1461"/>
      <c r="E1461"/>
    </row>
    <row r="1462" spans="3:5" x14ac:dyDescent="0.25">
      <c r="C1462"/>
      <c r="D1462"/>
      <c r="E1462"/>
    </row>
    <row r="1463" spans="3:5" x14ac:dyDescent="0.25">
      <c r="C1463"/>
      <c r="D1463"/>
      <c r="E1463"/>
    </row>
    <row r="1464" spans="3:5" x14ac:dyDescent="0.25">
      <c r="C1464"/>
      <c r="D1464"/>
      <c r="E1464"/>
    </row>
    <row r="1465" spans="3:5" x14ac:dyDescent="0.25">
      <c r="C1465"/>
      <c r="D1465"/>
      <c r="E1465"/>
    </row>
    <row r="1466" spans="3:5" x14ac:dyDescent="0.25">
      <c r="C1466"/>
      <c r="D1466"/>
      <c r="E1466"/>
    </row>
    <row r="1467" spans="3:5" x14ac:dyDescent="0.25">
      <c r="C1467"/>
      <c r="D1467"/>
      <c r="E1467"/>
    </row>
    <row r="1468" spans="3:5" x14ac:dyDescent="0.25">
      <c r="C1468"/>
      <c r="D1468"/>
      <c r="E1468"/>
    </row>
    <row r="1469" spans="3:5" x14ac:dyDescent="0.25">
      <c r="C1469"/>
      <c r="D1469"/>
      <c r="E1469"/>
    </row>
    <row r="1470" spans="3:5" x14ac:dyDescent="0.25">
      <c r="C1470"/>
      <c r="D1470"/>
      <c r="E1470"/>
    </row>
    <row r="1471" spans="3:5" x14ac:dyDescent="0.25">
      <c r="C1471"/>
      <c r="D1471"/>
      <c r="E1471"/>
    </row>
    <row r="1472" spans="3:5" x14ac:dyDescent="0.25">
      <c r="C1472"/>
      <c r="D1472"/>
      <c r="E1472"/>
    </row>
    <row r="1473" spans="3:5" x14ac:dyDescent="0.25">
      <c r="C1473"/>
      <c r="D1473"/>
      <c r="E1473"/>
    </row>
    <row r="1474" spans="3:5" x14ac:dyDescent="0.25">
      <c r="C1474"/>
      <c r="D1474"/>
      <c r="E1474"/>
    </row>
    <row r="1475" spans="3:5" x14ac:dyDescent="0.25">
      <c r="C1475"/>
      <c r="D1475"/>
      <c r="E1475"/>
    </row>
    <row r="1476" spans="3:5" x14ac:dyDescent="0.25">
      <c r="C1476"/>
      <c r="D1476"/>
      <c r="E1476"/>
    </row>
    <row r="1477" spans="3:5" x14ac:dyDescent="0.25">
      <c r="C1477"/>
      <c r="D1477"/>
      <c r="E1477"/>
    </row>
    <row r="1478" spans="3:5" x14ac:dyDescent="0.25">
      <c r="C1478"/>
      <c r="D1478"/>
      <c r="E1478"/>
    </row>
    <row r="1479" spans="3:5" x14ac:dyDescent="0.25">
      <c r="C1479"/>
      <c r="D1479"/>
      <c r="E1479"/>
    </row>
    <row r="1480" spans="3:5" x14ac:dyDescent="0.25">
      <c r="C1480"/>
      <c r="D1480"/>
      <c r="E1480"/>
    </row>
    <row r="1481" spans="3:5" x14ac:dyDescent="0.25">
      <c r="C1481"/>
      <c r="D1481"/>
      <c r="E1481"/>
    </row>
    <row r="1482" spans="3:5" x14ac:dyDescent="0.25">
      <c r="C1482"/>
      <c r="D1482"/>
      <c r="E1482"/>
    </row>
    <row r="1483" spans="3:5" x14ac:dyDescent="0.25">
      <c r="C1483"/>
      <c r="D1483"/>
      <c r="E1483"/>
    </row>
    <row r="1484" spans="3:5" x14ac:dyDescent="0.25">
      <c r="C1484"/>
      <c r="D1484"/>
      <c r="E1484"/>
    </row>
    <row r="1485" spans="3:5" x14ac:dyDescent="0.25">
      <c r="C1485"/>
      <c r="D1485"/>
      <c r="E1485"/>
    </row>
    <row r="1486" spans="3:5" x14ac:dyDescent="0.25">
      <c r="C1486"/>
      <c r="D1486"/>
      <c r="E1486"/>
    </row>
    <row r="1487" spans="3:5" x14ac:dyDescent="0.25">
      <c r="C1487"/>
      <c r="D1487"/>
      <c r="E1487"/>
    </row>
    <row r="1488" spans="3:5" x14ac:dyDescent="0.25">
      <c r="C1488"/>
      <c r="D1488"/>
      <c r="E1488"/>
    </row>
    <row r="1489" spans="3:5" x14ac:dyDescent="0.25">
      <c r="C1489"/>
      <c r="D1489"/>
      <c r="E1489"/>
    </row>
    <row r="1490" spans="3:5" x14ac:dyDescent="0.25">
      <c r="C1490"/>
      <c r="D1490"/>
      <c r="E1490"/>
    </row>
    <row r="1491" spans="3:5" x14ac:dyDescent="0.25">
      <c r="C1491"/>
      <c r="D1491"/>
      <c r="E1491"/>
    </row>
    <row r="1492" spans="3:5" x14ac:dyDescent="0.25">
      <c r="C1492"/>
      <c r="D1492"/>
      <c r="E1492"/>
    </row>
    <row r="1493" spans="3:5" x14ac:dyDescent="0.25">
      <c r="C1493"/>
      <c r="D1493"/>
      <c r="E1493"/>
    </row>
    <row r="1494" spans="3:5" x14ac:dyDescent="0.25">
      <c r="C1494"/>
      <c r="D1494"/>
      <c r="E1494"/>
    </row>
    <row r="1495" spans="3:5" x14ac:dyDescent="0.25">
      <c r="C1495"/>
      <c r="D1495"/>
      <c r="E1495"/>
    </row>
    <row r="1496" spans="3:5" x14ac:dyDescent="0.25">
      <c r="C1496"/>
      <c r="D1496"/>
      <c r="E1496"/>
    </row>
    <row r="1497" spans="3:5" x14ac:dyDescent="0.25">
      <c r="C1497"/>
      <c r="D1497"/>
      <c r="E1497"/>
    </row>
    <row r="1498" spans="3:5" x14ac:dyDescent="0.25">
      <c r="C1498"/>
      <c r="D1498"/>
      <c r="E1498"/>
    </row>
    <row r="1499" spans="3:5" x14ac:dyDescent="0.25">
      <c r="C1499"/>
      <c r="D1499"/>
      <c r="E1499"/>
    </row>
    <row r="1500" spans="3:5" x14ac:dyDescent="0.25">
      <c r="C1500"/>
      <c r="D1500"/>
      <c r="E1500"/>
    </row>
    <row r="1501" spans="3:5" x14ac:dyDescent="0.25">
      <c r="C1501"/>
      <c r="D1501"/>
      <c r="E1501"/>
    </row>
    <row r="1502" spans="3:5" x14ac:dyDescent="0.25">
      <c r="C1502"/>
      <c r="D1502"/>
      <c r="E1502"/>
    </row>
    <row r="1503" spans="3:5" x14ac:dyDescent="0.25">
      <c r="C1503"/>
      <c r="D1503"/>
      <c r="E1503"/>
    </row>
    <row r="1504" spans="3:5" x14ac:dyDescent="0.25">
      <c r="C1504"/>
      <c r="D1504"/>
      <c r="E1504"/>
    </row>
    <row r="1505" spans="3:5" x14ac:dyDescent="0.25">
      <c r="C1505"/>
      <c r="D1505"/>
      <c r="E1505"/>
    </row>
    <row r="1506" spans="3:5" x14ac:dyDescent="0.25">
      <c r="C1506"/>
      <c r="D1506"/>
      <c r="E1506"/>
    </row>
    <row r="1507" spans="3:5" x14ac:dyDescent="0.25">
      <c r="C1507"/>
      <c r="D1507"/>
      <c r="E1507"/>
    </row>
    <row r="1508" spans="3:5" x14ac:dyDescent="0.25">
      <c r="C1508"/>
      <c r="D1508"/>
      <c r="E1508"/>
    </row>
    <row r="1509" spans="3:5" x14ac:dyDescent="0.25">
      <c r="C1509"/>
      <c r="D1509"/>
      <c r="E1509"/>
    </row>
    <row r="1510" spans="3:5" x14ac:dyDescent="0.25">
      <c r="C1510"/>
      <c r="D1510"/>
      <c r="E1510"/>
    </row>
    <row r="1511" spans="3:5" x14ac:dyDescent="0.25">
      <c r="C1511"/>
      <c r="D1511"/>
      <c r="E1511"/>
    </row>
    <row r="1512" spans="3:5" x14ac:dyDescent="0.25">
      <c r="C1512"/>
      <c r="D1512"/>
      <c r="E1512"/>
    </row>
    <row r="1513" spans="3:5" x14ac:dyDescent="0.25">
      <c r="C1513"/>
      <c r="D1513"/>
      <c r="E1513"/>
    </row>
    <row r="1514" spans="3:5" x14ac:dyDescent="0.25">
      <c r="C1514"/>
      <c r="D1514"/>
      <c r="E1514"/>
    </row>
    <row r="1515" spans="3:5" x14ac:dyDescent="0.25">
      <c r="C1515"/>
      <c r="D1515"/>
      <c r="E1515"/>
    </row>
    <row r="1516" spans="3:5" x14ac:dyDescent="0.25">
      <c r="C1516"/>
      <c r="D1516"/>
      <c r="E1516"/>
    </row>
    <row r="1517" spans="3:5" x14ac:dyDescent="0.25">
      <c r="C1517"/>
      <c r="D1517"/>
      <c r="E1517"/>
    </row>
    <row r="1518" spans="3:5" x14ac:dyDescent="0.25">
      <c r="C1518"/>
      <c r="D1518"/>
      <c r="E1518"/>
    </row>
    <row r="1519" spans="3:5" x14ac:dyDescent="0.25">
      <c r="C1519"/>
      <c r="D1519"/>
      <c r="E1519"/>
    </row>
    <row r="1520" spans="3:5" x14ac:dyDescent="0.25">
      <c r="C1520"/>
      <c r="D1520"/>
      <c r="E1520"/>
    </row>
    <row r="1521" spans="3:5" x14ac:dyDescent="0.25">
      <c r="C1521"/>
      <c r="D1521"/>
      <c r="E1521"/>
    </row>
    <row r="1522" spans="3:5" x14ac:dyDescent="0.25">
      <c r="C1522"/>
      <c r="D1522"/>
      <c r="E1522"/>
    </row>
    <row r="1523" spans="3:5" x14ac:dyDescent="0.25">
      <c r="C1523"/>
      <c r="D1523"/>
      <c r="E1523"/>
    </row>
    <row r="1524" spans="3:5" x14ac:dyDescent="0.25">
      <c r="C1524"/>
      <c r="D1524"/>
      <c r="E1524"/>
    </row>
    <row r="1525" spans="3:5" x14ac:dyDescent="0.25">
      <c r="C1525"/>
      <c r="D1525"/>
      <c r="E1525"/>
    </row>
    <row r="1526" spans="3:5" x14ac:dyDescent="0.25">
      <c r="C1526"/>
      <c r="D1526"/>
      <c r="E1526"/>
    </row>
    <row r="1527" spans="3:5" x14ac:dyDescent="0.25">
      <c r="C1527"/>
      <c r="D1527"/>
      <c r="E1527"/>
    </row>
    <row r="1528" spans="3:5" x14ac:dyDescent="0.25">
      <c r="C1528"/>
      <c r="D1528"/>
      <c r="E1528"/>
    </row>
    <row r="1529" spans="3:5" x14ac:dyDescent="0.25">
      <c r="C1529"/>
      <c r="D1529"/>
      <c r="E1529"/>
    </row>
    <row r="1530" spans="3:5" x14ac:dyDescent="0.25">
      <c r="C1530"/>
      <c r="D1530"/>
      <c r="E1530"/>
    </row>
    <row r="1531" spans="3:5" x14ac:dyDescent="0.25">
      <c r="C1531"/>
      <c r="D1531"/>
      <c r="E1531"/>
    </row>
    <row r="1532" spans="3:5" x14ac:dyDescent="0.25">
      <c r="C1532"/>
      <c r="D1532"/>
      <c r="E1532"/>
    </row>
    <row r="1533" spans="3:5" x14ac:dyDescent="0.25">
      <c r="C1533"/>
      <c r="D1533"/>
      <c r="E1533"/>
    </row>
    <row r="1534" spans="3:5" x14ac:dyDescent="0.25">
      <c r="C1534"/>
      <c r="D1534"/>
      <c r="E1534"/>
    </row>
    <row r="1535" spans="3:5" x14ac:dyDescent="0.25">
      <c r="C1535"/>
      <c r="D1535"/>
      <c r="E1535"/>
    </row>
    <row r="1536" spans="3:5" x14ac:dyDescent="0.25">
      <c r="C1536"/>
      <c r="D1536"/>
      <c r="E1536"/>
    </row>
    <row r="1537" spans="3:5" x14ac:dyDescent="0.25">
      <c r="C1537"/>
      <c r="D1537"/>
      <c r="E1537"/>
    </row>
    <row r="1538" spans="3:5" x14ac:dyDescent="0.25">
      <c r="C1538"/>
      <c r="D1538"/>
      <c r="E1538"/>
    </row>
    <row r="1539" spans="3:5" x14ac:dyDescent="0.25">
      <c r="C1539"/>
      <c r="D1539"/>
      <c r="E1539"/>
    </row>
    <row r="1540" spans="3:5" x14ac:dyDescent="0.25">
      <c r="C1540"/>
      <c r="D1540"/>
      <c r="E1540"/>
    </row>
    <row r="1541" spans="3:5" x14ac:dyDescent="0.25">
      <c r="C1541"/>
      <c r="D1541"/>
      <c r="E1541"/>
    </row>
    <row r="1542" spans="3:5" x14ac:dyDescent="0.25">
      <c r="C1542"/>
      <c r="D1542"/>
      <c r="E1542"/>
    </row>
    <row r="1543" spans="3:5" x14ac:dyDescent="0.25">
      <c r="C1543"/>
      <c r="D1543"/>
      <c r="E1543"/>
    </row>
    <row r="1544" spans="3:5" x14ac:dyDescent="0.25">
      <c r="C1544"/>
      <c r="D1544"/>
      <c r="E1544"/>
    </row>
    <row r="1545" spans="3:5" x14ac:dyDescent="0.25">
      <c r="C1545"/>
      <c r="D1545"/>
      <c r="E1545"/>
    </row>
    <row r="1546" spans="3:5" x14ac:dyDescent="0.25">
      <c r="C1546"/>
      <c r="D1546"/>
      <c r="E1546"/>
    </row>
    <row r="1547" spans="3:5" x14ac:dyDescent="0.25">
      <c r="C1547"/>
      <c r="D1547"/>
      <c r="E1547"/>
    </row>
    <row r="1548" spans="3:5" x14ac:dyDescent="0.25">
      <c r="C1548"/>
      <c r="D1548"/>
      <c r="E1548"/>
    </row>
    <row r="1549" spans="3:5" x14ac:dyDescent="0.25">
      <c r="C1549"/>
      <c r="D1549"/>
      <c r="E1549"/>
    </row>
    <row r="1550" spans="3:5" x14ac:dyDescent="0.25">
      <c r="C1550"/>
      <c r="D1550"/>
      <c r="E1550"/>
    </row>
    <row r="1551" spans="3:5" x14ac:dyDescent="0.25">
      <c r="C1551"/>
      <c r="D1551"/>
      <c r="E1551"/>
    </row>
    <row r="1552" spans="3:5" x14ac:dyDescent="0.25">
      <c r="C1552"/>
      <c r="D1552"/>
      <c r="E1552"/>
    </row>
    <row r="1553" spans="3:5" x14ac:dyDescent="0.25">
      <c r="C1553"/>
      <c r="D1553"/>
      <c r="E1553"/>
    </row>
    <row r="1554" spans="3:5" x14ac:dyDescent="0.25">
      <c r="C1554"/>
      <c r="D1554"/>
      <c r="E1554"/>
    </row>
    <row r="1555" spans="3:5" x14ac:dyDescent="0.25">
      <c r="C1555"/>
      <c r="D1555"/>
      <c r="E1555"/>
    </row>
    <row r="1556" spans="3:5" x14ac:dyDescent="0.25">
      <c r="C1556"/>
      <c r="D1556"/>
      <c r="E1556"/>
    </row>
    <row r="1557" spans="3:5" x14ac:dyDescent="0.25">
      <c r="C1557"/>
      <c r="D1557"/>
      <c r="E1557"/>
    </row>
    <row r="1558" spans="3:5" x14ac:dyDescent="0.25">
      <c r="C1558"/>
      <c r="D1558"/>
      <c r="E1558"/>
    </row>
    <row r="1559" spans="3:5" x14ac:dyDescent="0.25">
      <c r="C1559"/>
      <c r="D1559"/>
      <c r="E1559"/>
    </row>
    <row r="1560" spans="3:5" x14ac:dyDescent="0.25">
      <c r="C1560"/>
      <c r="D1560"/>
      <c r="E1560"/>
    </row>
    <row r="1561" spans="3:5" x14ac:dyDescent="0.25">
      <c r="C1561"/>
      <c r="D1561"/>
      <c r="E1561"/>
    </row>
    <row r="1562" spans="3:5" x14ac:dyDescent="0.25">
      <c r="C1562"/>
      <c r="D1562"/>
      <c r="E1562"/>
    </row>
    <row r="1563" spans="3:5" x14ac:dyDescent="0.25">
      <c r="C1563"/>
      <c r="D1563"/>
      <c r="E1563"/>
    </row>
    <row r="1564" spans="3:5" x14ac:dyDescent="0.25">
      <c r="C1564"/>
      <c r="D1564"/>
      <c r="E1564"/>
    </row>
    <row r="1565" spans="3:5" x14ac:dyDescent="0.25">
      <c r="C1565"/>
      <c r="D1565"/>
      <c r="E1565"/>
    </row>
    <row r="1566" spans="3:5" x14ac:dyDescent="0.25">
      <c r="C1566"/>
      <c r="D1566"/>
      <c r="E1566"/>
    </row>
    <row r="1567" spans="3:5" x14ac:dyDescent="0.25">
      <c r="C1567"/>
      <c r="D1567"/>
      <c r="E1567"/>
    </row>
    <row r="1568" spans="3:5" x14ac:dyDescent="0.25">
      <c r="C1568"/>
      <c r="D1568"/>
      <c r="E1568"/>
    </row>
    <row r="1569" spans="3:5" x14ac:dyDescent="0.25">
      <c r="C1569"/>
      <c r="D1569"/>
      <c r="E1569"/>
    </row>
    <row r="1570" spans="3:5" x14ac:dyDescent="0.25">
      <c r="C1570"/>
      <c r="D1570"/>
      <c r="E1570"/>
    </row>
    <row r="1571" spans="3:5" x14ac:dyDescent="0.25">
      <c r="C1571"/>
      <c r="D1571"/>
      <c r="E1571"/>
    </row>
    <row r="1572" spans="3:5" x14ac:dyDescent="0.25">
      <c r="C1572"/>
      <c r="D1572"/>
      <c r="E1572"/>
    </row>
    <row r="1573" spans="3:5" x14ac:dyDescent="0.25">
      <c r="C1573"/>
      <c r="D1573"/>
      <c r="E1573"/>
    </row>
    <row r="1574" spans="3:5" x14ac:dyDescent="0.25">
      <c r="C1574"/>
      <c r="D1574"/>
      <c r="E1574"/>
    </row>
    <row r="1575" spans="3:5" x14ac:dyDescent="0.25">
      <c r="C1575"/>
      <c r="D1575"/>
      <c r="E1575"/>
    </row>
    <row r="1576" spans="3:5" x14ac:dyDescent="0.25">
      <c r="C1576"/>
      <c r="D1576"/>
      <c r="E1576"/>
    </row>
    <row r="1577" spans="3:5" x14ac:dyDescent="0.25">
      <c r="C1577"/>
      <c r="D1577"/>
      <c r="E1577"/>
    </row>
    <row r="1578" spans="3:5" x14ac:dyDescent="0.25">
      <c r="C1578"/>
      <c r="D1578"/>
      <c r="E1578"/>
    </row>
    <row r="1579" spans="3:5" x14ac:dyDescent="0.25">
      <c r="C1579"/>
      <c r="D1579"/>
      <c r="E1579"/>
    </row>
    <row r="1580" spans="3:5" x14ac:dyDescent="0.25">
      <c r="C1580"/>
      <c r="D1580"/>
      <c r="E1580"/>
    </row>
    <row r="1581" spans="3:5" x14ac:dyDescent="0.25">
      <c r="C1581"/>
      <c r="D1581"/>
      <c r="E1581"/>
    </row>
    <row r="1582" spans="3:5" x14ac:dyDescent="0.25">
      <c r="C1582"/>
      <c r="D1582"/>
      <c r="E1582"/>
    </row>
    <row r="1583" spans="3:5" x14ac:dyDescent="0.25">
      <c r="C1583"/>
      <c r="D1583"/>
      <c r="E1583"/>
    </row>
    <row r="1584" spans="3:5" x14ac:dyDescent="0.25">
      <c r="C1584"/>
      <c r="D1584"/>
      <c r="E1584"/>
    </row>
    <row r="1585" spans="3:5" x14ac:dyDescent="0.25">
      <c r="C1585"/>
      <c r="D1585"/>
      <c r="E1585"/>
    </row>
    <row r="1586" spans="3:5" x14ac:dyDescent="0.25">
      <c r="C1586"/>
      <c r="D1586"/>
      <c r="E1586"/>
    </row>
    <row r="1587" spans="3:5" x14ac:dyDescent="0.25">
      <c r="C1587"/>
      <c r="D1587"/>
      <c r="E1587"/>
    </row>
    <row r="1588" spans="3:5" x14ac:dyDescent="0.25">
      <c r="C1588"/>
      <c r="D1588"/>
      <c r="E1588"/>
    </row>
    <row r="1589" spans="3:5" x14ac:dyDescent="0.25">
      <c r="C1589"/>
      <c r="D1589"/>
      <c r="E1589"/>
    </row>
    <row r="1590" spans="3:5" x14ac:dyDescent="0.25">
      <c r="C1590"/>
      <c r="D1590"/>
      <c r="E1590"/>
    </row>
    <row r="1591" spans="3:5" x14ac:dyDescent="0.25">
      <c r="C1591"/>
      <c r="D1591"/>
      <c r="E1591"/>
    </row>
    <row r="1592" spans="3:5" x14ac:dyDescent="0.25">
      <c r="C1592"/>
      <c r="D1592"/>
      <c r="E1592"/>
    </row>
    <row r="1593" spans="3:5" x14ac:dyDescent="0.25">
      <c r="C1593"/>
      <c r="D1593"/>
      <c r="E1593"/>
    </row>
    <row r="1594" spans="3:5" x14ac:dyDescent="0.25">
      <c r="C1594"/>
      <c r="D1594"/>
      <c r="E1594"/>
    </row>
    <row r="1595" spans="3:5" x14ac:dyDescent="0.25">
      <c r="C1595"/>
      <c r="D1595"/>
      <c r="E1595"/>
    </row>
    <row r="1596" spans="3:5" x14ac:dyDescent="0.25">
      <c r="C1596"/>
      <c r="D1596"/>
      <c r="E1596"/>
    </row>
    <row r="1597" spans="3:5" x14ac:dyDescent="0.25">
      <c r="C1597"/>
      <c r="D1597"/>
      <c r="E1597"/>
    </row>
    <row r="1598" spans="3:5" x14ac:dyDescent="0.25">
      <c r="C1598"/>
      <c r="D1598"/>
      <c r="E1598"/>
    </row>
    <row r="1599" spans="3:5" x14ac:dyDescent="0.25">
      <c r="C1599"/>
      <c r="D1599"/>
      <c r="E1599"/>
    </row>
    <row r="1600" spans="3:5" x14ac:dyDescent="0.25">
      <c r="C1600"/>
      <c r="D1600"/>
      <c r="E1600"/>
    </row>
    <row r="1601" spans="3:5" x14ac:dyDescent="0.25">
      <c r="C1601"/>
      <c r="D1601"/>
      <c r="E1601"/>
    </row>
    <row r="1602" spans="3:5" x14ac:dyDescent="0.25">
      <c r="C1602"/>
      <c r="D1602"/>
      <c r="E1602"/>
    </row>
    <row r="1603" spans="3:5" x14ac:dyDescent="0.25">
      <c r="C1603"/>
      <c r="D1603"/>
      <c r="E1603"/>
    </row>
    <row r="1604" spans="3:5" x14ac:dyDescent="0.25">
      <c r="C1604"/>
      <c r="D1604"/>
      <c r="E1604"/>
    </row>
    <row r="1605" spans="3:5" x14ac:dyDescent="0.25">
      <c r="C1605"/>
      <c r="D1605"/>
      <c r="E1605"/>
    </row>
    <row r="1606" spans="3:5" x14ac:dyDescent="0.25">
      <c r="C1606"/>
      <c r="D1606"/>
      <c r="E1606"/>
    </row>
    <row r="1607" spans="3:5" x14ac:dyDescent="0.25">
      <c r="C1607"/>
      <c r="D1607"/>
      <c r="E1607"/>
    </row>
    <row r="1608" spans="3:5" x14ac:dyDescent="0.25">
      <c r="C1608"/>
      <c r="D1608"/>
      <c r="E1608"/>
    </row>
    <row r="1609" spans="3:5" x14ac:dyDescent="0.25">
      <c r="C1609"/>
      <c r="D1609"/>
      <c r="E1609"/>
    </row>
    <row r="1610" spans="3:5" x14ac:dyDescent="0.25">
      <c r="C1610"/>
      <c r="D1610"/>
      <c r="E1610"/>
    </row>
    <row r="1611" spans="3:5" x14ac:dyDescent="0.25">
      <c r="C1611"/>
      <c r="D1611"/>
      <c r="E1611"/>
    </row>
    <row r="1612" spans="3:5" x14ac:dyDescent="0.25">
      <c r="C1612"/>
      <c r="D1612"/>
      <c r="E1612"/>
    </row>
    <row r="1613" spans="3:5" x14ac:dyDescent="0.25">
      <c r="C1613"/>
      <c r="D1613"/>
      <c r="E1613"/>
    </row>
    <row r="1614" spans="3:5" x14ac:dyDescent="0.25">
      <c r="C1614"/>
      <c r="D1614"/>
      <c r="E1614"/>
    </row>
    <row r="1615" spans="3:5" x14ac:dyDescent="0.25">
      <c r="C1615"/>
      <c r="D1615"/>
      <c r="E1615"/>
    </row>
    <row r="1616" spans="3:5" x14ac:dyDescent="0.25">
      <c r="C1616"/>
      <c r="D1616"/>
      <c r="E1616"/>
    </row>
    <row r="1617" spans="3:5" x14ac:dyDescent="0.25">
      <c r="C1617"/>
      <c r="D1617"/>
      <c r="E1617"/>
    </row>
    <row r="1618" spans="3:5" x14ac:dyDescent="0.25">
      <c r="C1618"/>
      <c r="D1618"/>
      <c r="E1618"/>
    </row>
    <row r="1619" spans="3:5" x14ac:dyDescent="0.25">
      <c r="C1619"/>
      <c r="D1619"/>
      <c r="E1619"/>
    </row>
    <row r="1620" spans="3:5" x14ac:dyDescent="0.25">
      <c r="C1620"/>
      <c r="D1620"/>
      <c r="E1620"/>
    </row>
    <row r="1621" spans="3:5" x14ac:dyDescent="0.25">
      <c r="C1621"/>
      <c r="D1621"/>
      <c r="E1621"/>
    </row>
    <row r="1622" spans="3:5" x14ac:dyDescent="0.25">
      <c r="C1622"/>
      <c r="D1622"/>
      <c r="E1622"/>
    </row>
    <row r="1623" spans="3:5" x14ac:dyDescent="0.25">
      <c r="C1623"/>
      <c r="D1623"/>
      <c r="E1623"/>
    </row>
    <row r="1624" spans="3:5" x14ac:dyDescent="0.25">
      <c r="C1624"/>
      <c r="D1624"/>
      <c r="E1624"/>
    </row>
    <row r="1625" spans="3:5" x14ac:dyDescent="0.25">
      <c r="C1625"/>
      <c r="D1625"/>
      <c r="E1625"/>
    </row>
    <row r="1626" spans="3:5" x14ac:dyDescent="0.25">
      <c r="C1626"/>
      <c r="D1626"/>
      <c r="E1626"/>
    </row>
    <row r="1627" spans="3:5" x14ac:dyDescent="0.25">
      <c r="C1627"/>
      <c r="D1627"/>
      <c r="E1627"/>
    </row>
    <row r="1628" spans="3:5" x14ac:dyDescent="0.25">
      <c r="C1628"/>
      <c r="D1628"/>
      <c r="E1628"/>
    </row>
    <row r="1629" spans="3:5" x14ac:dyDescent="0.25">
      <c r="C1629"/>
      <c r="D1629"/>
      <c r="E1629"/>
    </row>
    <row r="1630" spans="3:5" x14ac:dyDescent="0.25">
      <c r="C1630"/>
      <c r="D1630"/>
      <c r="E1630"/>
    </row>
    <row r="1631" spans="3:5" x14ac:dyDescent="0.25">
      <c r="C1631"/>
      <c r="D1631"/>
      <c r="E1631"/>
    </row>
    <row r="1632" spans="3:5" x14ac:dyDescent="0.25">
      <c r="C1632"/>
      <c r="D1632"/>
      <c r="E1632"/>
    </row>
    <row r="1633" spans="3:5" x14ac:dyDescent="0.25">
      <c r="C1633"/>
      <c r="D1633"/>
      <c r="E1633"/>
    </row>
    <row r="1634" spans="3:5" x14ac:dyDescent="0.25">
      <c r="C1634"/>
      <c r="D1634"/>
      <c r="E1634"/>
    </row>
    <row r="1635" spans="3:5" x14ac:dyDescent="0.25">
      <c r="C1635"/>
      <c r="D1635"/>
      <c r="E1635"/>
    </row>
    <row r="1636" spans="3:5" x14ac:dyDescent="0.25">
      <c r="C1636"/>
      <c r="D1636"/>
      <c r="E1636"/>
    </row>
    <row r="1637" spans="3:5" x14ac:dyDescent="0.25">
      <c r="C1637"/>
      <c r="D1637"/>
      <c r="E1637"/>
    </row>
    <row r="1638" spans="3:5" x14ac:dyDescent="0.25">
      <c r="C1638"/>
      <c r="D1638"/>
      <c r="E1638"/>
    </row>
    <row r="1639" spans="3:5" x14ac:dyDescent="0.25">
      <c r="C1639"/>
      <c r="D1639"/>
      <c r="E1639"/>
    </row>
    <row r="1640" spans="3:5" x14ac:dyDescent="0.25">
      <c r="C1640"/>
      <c r="D1640"/>
      <c r="E1640"/>
    </row>
    <row r="1641" spans="3:5" x14ac:dyDescent="0.25">
      <c r="C1641"/>
      <c r="D1641"/>
      <c r="E1641"/>
    </row>
    <row r="1642" spans="3:5" x14ac:dyDescent="0.25">
      <c r="C1642"/>
      <c r="D1642"/>
      <c r="E1642"/>
    </row>
    <row r="1643" spans="3:5" x14ac:dyDescent="0.25">
      <c r="C1643"/>
      <c r="D1643"/>
      <c r="E1643"/>
    </row>
    <row r="1644" spans="3:5" x14ac:dyDescent="0.25">
      <c r="C1644"/>
      <c r="D1644"/>
      <c r="E1644"/>
    </row>
    <row r="1645" spans="3:5" x14ac:dyDescent="0.25">
      <c r="C1645"/>
      <c r="D1645"/>
      <c r="E1645"/>
    </row>
    <row r="1646" spans="3:5" x14ac:dyDescent="0.25">
      <c r="C1646"/>
      <c r="D1646"/>
      <c r="E1646"/>
    </row>
    <row r="1647" spans="3:5" x14ac:dyDescent="0.25">
      <c r="C1647"/>
      <c r="D1647"/>
      <c r="E1647"/>
    </row>
    <row r="1648" spans="3:5" x14ac:dyDescent="0.25">
      <c r="C1648"/>
      <c r="D1648"/>
      <c r="E1648"/>
    </row>
    <row r="1649" spans="3:5" x14ac:dyDescent="0.25">
      <c r="C1649"/>
      <c r="D1649"/>
      <c r="E1649"/>
    </row>
    <row r="1650" spans="3:5" x14ac:dyDescent="0.25">
      <c r="C1650"/>
      <c r="D1650"/>
      <c r="E1650"/>
    </row>
    <row r="1651" spans="3:5" x14ac:dyDescent="0.25">
      <c r="C1651"/>
      <c r="D1651"/>
      <c r="E1651"/>
    </row>
    <row r="1652" spans="3:5" x14ac:dyDescent="0.25">
      <c r="C1652"/>
      <c r="D1652"/>
      <c r="E1652"/>
    </row>
    <row r="1653" spans="3:5" x14ac:dyDescent="0.25">
      <c r="C1653"/>
      <c r="D1653"/>
      <c r="E1653"/>
    </row>
    <row r="1654" spans="3:5" x14ac:dyDescent="0.25">
      <c r="C1654"/>
      <c r="D1654"/>
      <c r="E1654"/>
    </row>
    <row r="1655" spans="3:5" x14ac:dyDescent="0.25">
      <c r="C1655"/>
      <c r="D1655"/>
      <c r="E1655"/>
    </row>
    <row r="1656" spans="3:5" x14ac:dyDescent="0.25">
      <c r="C1656"/>
      <c r="D1656"/>
      <c r="E1656"/>
    </row>
    <row r="1657" spans="3:5" x14ac:dyDescent="0.25">
      <c r="C1657"/>
      <c r="D1657"/>
      <c r="E1657"/>
    </row>
    <row r="1658" spans="3:5" x14ac:dyDescent="0.25">
      <c r="C1658"/>
      <c r="D1658"/>
      <c r="E1658"/>
    </row>
    <row r="1659" spans="3:5" x14ac:dyDescent="0.25">
      <c r="C1659"/>
      <c r="D1659"/>
      <c r="E1659"/>
    </row>
    <row r="1660" spans="3:5" x14ac:dyDescent="0.25">
      <c r="C1660"/>
      <c r="D1660"/>
      <c r="E1660"/>
    </row>
    <row r="1661" spans="3:5" x14ac:dyDescent="0.25">
      <c r="C1661"/>
      <c r="D1661"/>
      <c r="E1661"/>
    </row>
    <row r="1662" spans="3:5" x14ac:dyDescent="0.25">
      <c r="C1662"/>
      <c r="D1662"/>
      <c r="E1662"/>
    </row>
    <row r="1663" spans="3:5" x14ac:dyDescent="0.25">
      <c r="C1663"/>
      <c r="D1663"/>
      <c r="E1663"/>
    </row>
    <row r="1664" spans="3:5" x14ac:dyDescent="0.25">
      <c r="C1664"/>
      <c r="D1664"/>
      <c r="E1664"/>
    </row>
    <row r="1665" spans="3:5" x14ac:dyDescent="0.25">
      <c r="C1665"/>
      <c r="D1665"/>
      <c r="E1665"/>
    </row>
    <row r="1666" spans="3:5" x14ac:dyDescent="0.25">
      <c r="C1666"/>
      <c r="D1666"/>
      <c r="E1666"/>
    </row>
    <row r="1667" spans="3:5" x14ac:dyDescent="0.25">
      <c r="C1667"/>
      <c r="D1667"/>
      <c r="E1667"/>
    </row>
    <row r="1668" spans="3:5" x14ac:dyDescent="0.25">
      <c r="C1668"/>
      <c r="D1668"/>
      <c r="E1668"/>
    </row>
    <row r="1669" spans="3:5" x14ac:dyDescent="0.25">
      <c r="C1669"/>
      <c r="D1669"/>
      <c r="E1669"/>
    </row>
    <row r="1670" spans="3:5" x14ac:dyDescent="0.25">
      <c r="C1670"/>
      <c r="D1670"/>
      <c r="E1670"/>
    </row>
    <row r="1671" spans="3:5" x14ac:dyDescent="0.25">
      <c r="C1671"/>
      <c r="D1671"/>
      <c r="E1671"/>
    </row>
    <row r="1672" spans="3:5" x14ac:dyDescent="0.25">
      <c r="C1672"/>
      <c r="D1672"/>
      <c r="E1672"/>
    </row>
    <row r="1673" spans="3:5" x14ac:dyDescent="0.25">
      <c r="C1673"/>
      <c r="D1673"/>
      <c r="E1673"/>
    </row>
    <row r="1674" spans="3:5" x14ac:dyDescent="0.25">
      <c r="C1674"/>
      <c r="D1674"/>
      <c r="E1674"/>
    </row>
    <row r="1675" spans="3:5" x14ac:dyDescent="0.25">
      <c r="C1675"/>
      <c r="D1675"/>
      <c r="E1675"/>
    </row>
    <row r="1676" spans="3:5" x14ac:dyDescent="0.25">
      <c r="C1676"/>
      <c r="D1676"/>
      <c r="E1676"/>
    </row>
    <row r="1677" spans="3:5" x14ac:dyDescent="0.25">
      <c r="C1677"/>
      <c r="D1677"/>
      <c r="E1677"/>
    </row>
    <row r="1678" spans="3:5" x14ac:dyDescent="0.25">
      <c r="C1678"/>
      <c r="D1678"/>
      <c r="E1678"/>
    </row>
    <row r="1679" spans="3:5" x14ac:dyDescent="0.25">
      <c r="C1679"/>
      <c r="D1679"/>
      <c r="E1679"/>
    </row>
    <row r="1680" spans="3:5" x14ac:dyDescent="0.25">
      <c r="C1680"/>
      <c r="D1680"/>
      <c r="E1680"/>
    </row>
    <row r="1681" spans="3:5" x14ac:dyDescent="0.25">
      <c r="C1681"/>
      <c r="D1681"/>
      <c r="E1681"/>
    </row>
    <row r="1682" spans="3:5" x14ac:dyDescent="0.25">
      <c r="C1682"/>
      <c r="D1682"/>
      <c r="E1682"/>
    </row>
    <row r="1683" spans="3:5" x14ac:dyDescent="0.25">
      <c r="C1683"/>
      <c r="D1683"/>
      <c r="E1683"/>
    </row>
    <row r="1684" spans="3:5" x14ac:dyDescent="0.25">
      <c r="C1684"/>
      <c r="D1684"/>
      <c r="E1684"/>
    </row>
    <row r="1685" spans="3:5" x14ac:dyDescent="0.25">
      <c r="C1685"/>
      <c r="D1685"/>
      <c r="E1685"/>
    </row>
    <row r="1686" spans="3:5" x14ac:dyDescent="0.25">
      <c r="C1686"/>
      <c r="D1686"/>
      <c r="E1686"/>
    </row>
    <row r="1687" spans="3:5" x14ac:dyDescent="0.25">
      <c r="C1687"/>
      <c r="D1687"/>
      <c r="E1687"/>
    </row>
    <row r="1688" spans="3:5" x14ac:dyDescent="0.25">
      <c r="C1688"/>
      <c r="D1688"/>
      <c r="E1688"/>
    </row>
    <row r="1689" spans="3:5" x14ac:dyDescent="0.25">
      <c r="C1689"/>
      <c r="D1689"/>
      <c r="E1689"/>
    </row>
    <row r="1690" spans="3:5" x14ac:dyDescent="0.25">
      <c r="C1690"/>
      <c r="D1690"/>
      <c r="E1690"/>
    </row>
    <row r="1691" spans="3:5" x14ac:dyDescent="0.25">
      <c r="C1691"/>
      <c r="D1691"/>
      <c r="E1691"/>
    </row>
    <row r="1692" spans="3:5" x14ac:dyDescent="0.25">
      <c r="C1692"/>
      <c r="D1692"/>
      <c r="E1692"/>
    </row>
    <row r="1693" spans="3:5" x14ac:dyDescent="0.25">
      <c r="C1693"/>
      <c r="D1693"/>
      <c r="E1693"/>
    </row>
    <row r="1694" spans="3:5" x14ac:dyDescent="0.25">
      <c r="C1694"/>
      <c r="D1694"/>
      <c r="E1694"/>
    </row>
    <row r="1695" spans="3:5" x14ac:dyDescent="0.25">
      <c r="C1695"/>
      <c r="D1695"/>
      <c r="E1695"/>
    </row>
    <row r="1696" spans="3:5" x14ac:dyDescent="0.25">
      <c r="C1696"/>
      <c r="D1696"/>
      <c r="E1696"/>
    </row>
    <row r="1697" spans="3:5" x14ac:dyDescent="0.25">
      <c r="C1697"/>
      <c r="D1697"/>
      <c r="E1697"/>
    </row>
    <row r="1698" spans="3:5" x14ac:dyDescent="0.25">
      <c r="C1698"/>
      <c r="D1698"/>
      <c r="E1698"/>
    </row>
    <row r="1699" spans="3:5" x14ac:dyDescent="0.25">
      <c r="C1699"/>
      <c r="D1699"/>
      <c r="E1699"/>
    </row>
    <row r="1700" spans="3:5" x14ac:dyDescent="0.25">
      <c r="C1700"/>
      <c r="D1700"/>
      <c r="E1700"/>
    </row>
    <row r="1701" spans="3:5" x14ac:dyDescent="0.25">
      <c r="C1701"/>
      <c r="D1701"/>
      <c r="E1701"/>
    </row>
    <row r="1702" spans="3:5" x14ac:dyDescent="0.25">
      <c r="C1702"/>
      <c r="D1702"/>
      <c r="E1702"/>
    </row>
    <row r="1703" spans="3:5" x14ac:dyDescent="0.25">
      <c r="C1703"/>
      <c r="D1703"/>
      <c r="E1703"/>
    </row>
    <row r="1704" spans="3:5" x14ac:dyDescent="0.25">
      <c r="C1704"/>
      <c r="D1704"/>
      <c r="E1704"/>
    </row>
    <row r="1705" spans="3:5" x14ac:dyDescent="0.25">
      <c r="C1705"/>
      <c r="D1705"/>
      <c r="E1705"/>
    </row>
    <row r="1706" spans="3:5" x14ac:dyDescent="0.25">
      <c r="C1706"/>
      <c r="D1706"/>
      <c r="E1706"/>
    </row>
    <row r="1707" spans="3:5" x14ac:dyDescent="0.25">
      <c r="C1707"/>
      <c r="D1707"/>
      <c r="E1707"/>
    </row>
    <row r="1708" spans="3:5" x14ac:dyDescent="0.25">
      <c r="C1708"/>
      <c r="D1708"/>
      <c r="E1708"/>
    </row>
    <row r="1709" spans="3:5" x14ac:dyDescent="0.25">
      <c r="C1709"/>
      <c r="D1709"/>
      <c r="E1709"/>
    </row>
    <row r="1710" spans="3:5" x14ac:dyDescent="0.25">
      <c r="C1710"/>
      <c r="D1710"/>
      <c r="E1710"/>
    </row>
    <row r="1711" spans="3:5" x14ac:dyDescent="0.25">
      <c r="C1711"/>
      <c r="D1711"/>
      <c r="E1711"/>
    </row>
    <row r="1712" spans="3:5" x14ac:dyDescent="0.25">
      <c r="C1712"/>
      <c r="D1712"/>
      <c r="E1712"/>
    </row>
    <row r="1713" spans="3:5" x14ac:dyDescent="0.25">
      <c r="C1713"/>
      <c r="D1713"/>
      <c r="E1713"/>
    </row>
    <row r="1714" spans="3:5" x14ac:dyDescent="0.25">
      <c r="C1714"/>
      <c r="D1714"/>
      <c r="E1714"/>
    </row>
    <row r="1715" spans="3:5" x14ac:dyDescent="0.25">
      <c r="C1715"/>
      <c r="D1715"/>
      <c r="E1715"/>
    </row>
    <row r="1716" spans="3:5" x14ac:dyDescent="0.25">
      <c r="C1716"/>
      <c r="D1716"/>
      <c r="E1716"/>
    </row>
    <row r="1717" spans="3:5" x14ac:dyDescent="0.25">
      <c r="C1717"/>
      <c r="D1717"/>
      <c r="E1717"/>
    </row>
    <row r="1718" spans="3:5" x14ac:dyDescent="0.25">
      <c r="C1718"/>
      <c r="D1718"/>
      <c r="E1718"/>
    </row>
    <row r="1719" spans="3:5" x14ac:dyDescent="0.25">
      <c r="C1719"/>
      <c r="D1719"/>
      <c r="E1719"/>
    </row>
    <row r="1720" spans="3:5" x14ac:dyDescent="0.25">
      <c r="C1720"/>
      <c r="D1720"/>
      <c r="E1720"/>
    </row>
    <row r="1721" spans="3:5" x14ac:dyDescent="0.25">
      <c r="C1721"/>
      <c r="D1721"/>
      <c r="E1721"/>
    </row>
    <row r="1722" spans="3:5" x14ac:dyDescent="0.25">
      <c r="C1722"/>
      <c r="D1722"/>
      <c r="E1722"/>
    </row>
    <row r="1723" spans="3:5" x14ac:dyDescent="0.25">
      <c r="C1723"/>
      <c r="D1723"/>
      <c r="E1723"/>
    </row>
    <row r="1724" spans="3:5" x14ac:dyDescent="0.25">
      <c r="C1724"/>
      <c r="D1724"/>
      <c r="E1724"/>
    </row>
    <row r="1725" spans="3:5" x14ac:dyDescent="0.25">
      <c r="C1725"/>
      <c r="D1725"/>
      <c r="E1725"/>
    </row>
    <row r="1726" spans="3:5" x14ac:dyDescent="0.25">
      <c r="C1726"/>
      <c r="D1726"/>
      <c r="E1726"/>
    </row>
    <row r="1727" spans="3:5" x14ac:dyDescent="0.25">
      <c r="C1727"/>
      <c r="D1727"/>
      <c r="E1727"/>
    </row>
    <row r="1728" spans="3:5" x14ac:dyDescent="0.25">
      <c r="C1728"/>
      <c r="D1728"/>
      <c r="E1728"/>
    </row>
    <row r="1729" spans="3:5" x14ac:dyDescent="0.25">
      <c r="C1729"/>
      <c r="D1729"/>
      <c r="E1729"/>
    </row>
    <row r="1730" spans="3:5" x14ac:dyDescent="0.25">
      <c r="C1730"/>
      <c r="D1730"/>
      <c r="E1730"/>
    </row>
    <row r="1731" spans="3:5" x14ac:dyDescent="0.25">
      <c r="C1731"/>
      <c r="D1731"/>
      <c r="E1731"/>
    </row>
    <row r="1732" spans="3:5" x14ac:dyDescent="0.25">
      <c r="C1732"/>
      <c r="D1732"/>
      <c r="E1732"/>
    </row>
    <row r="1733" spans="3:5" x14ac:dyDescent="0.25">
      <c r="C1733"/>
      <c r="D1733"/>
      <c r="E1733"/>
    </row>
    <row r="1734" spans="3:5" x14ac:dyDescent="0.25">
      <c r="C1734"/>
      <c r="D1734"/>
      <c r="E1734"/>
    </row>
    <row r="1735" spans="3:5" x14ac:dyDescent="0.25">
      <c r="C1735"/>
      <c r="D1735"/>
      <c r="E1735"/>
    </row>
    <row r="1736" spans="3:5" x14ac:dyDescent="0.25">
      <c r="C1736"/>
      <c r="D1736"/>
      <c r="E1736"/>
    </row>
    <row r="1737" spans="3:5" x14ac:dyDescent="0.25">
      <c r="C1737"/>
      <c r="D1737"/>
      <c r="E1737"/>
    </row>
    <row r="1738" spans="3:5" x14ac:dyDescent="0.25">
      <c r="C1738"/>
      <c r="D1738"/>
      <c r="E1738"/>
    </row>
    <row r="1739" spans="3:5" x14ac:dyDescent="0.25">
      <c r="C1739"/>
      <c r="D1739"/>
      <c r="E1739"/>
    </row>
    <row r="1740" spans="3:5" x14ac:dyDescent="0.25">
      <c r="C1740"/>
      <c r="D1740"/>
      <c r="E1740"/>
    </row>
    <row r="1741" spans="3:5" x14ac:dyDescent="0.25">
      <c r="C1741"/>
      <c r="D1741"/>
      <c r="E1741"/>
    </row>
    <row r="1742" spans="3:5" x14ac:dyDescent="0.25">
      <c r="C1742"/>
      <c r="D1742"/>
      <c r="E1742"/>
    </row>
    <row r="1743" spans="3:5" x14ac:dyDescent="0.25">
      <c r="C1743"/>
      <c r="D1743"/>
      <c r="E1743"/>
    </row>
    <row r="1744" spans="3:5" x14ac:dyDescent="0.25">
      <c r="C1744"/>
      <c r="D1744"/>
      <c r="E1744"/>
    </row>
    <row r="1745" spans="3:5" x14ac:dyDescent="0.25">
      <c r="C1745"/>
      <c r="D1745"/>
      <c r="E1745"/>
    </row>
    <row r="1746" spans="3:5" x14ac:dyDescent="0.25">
      <c r="C1746"/>
      <c r="D1746"/>
      <c r="E1746"/>
    </row>
    <row r="1747" spans="3:5" x14ac:dyDescent="0.25">
      <c r="C1747"/>
      <c r="D1747"/>
      <c r="E1747"/>
    </row>
    <row r="1748" spans="3:5" x14ac:dyDescent="0.25">
      <c r="C1748"/>
      <c r="D1748"/>
      <c r="E1748"/>
    </row>
    <row r="1749" spans="3:5" x14ac:dyDescent="0.25">
      <c r="C1749"/>
      <c r="D1749"/>
      <c r="E1749"/>
    </row>
    <row r="1750" spans="3:5" x14ac:dyDescent="0.25">
      <c r="C1750"/>
      <c r="D1750"/>
      <c r="E1750"/>
    </row>
    <row r="1751" spans="3:5" x14ac:dyDescent="0.25">
      <c r="C1751"/>
      <c r="D1751"/>
      <c r="E1751"/>
    </row>
    <row r="1752" spans="3:5" x14ac:dyDescent="0.25">
      <c r="C1752"/>
      <c r="D1752"/>
      <c r="E1752"/>
    </row>
    <row r="1753" spans="3:5" x14ac:dyDescent="0.25">
      <c r="C1753"/>
      <c r="D1753"/>
      <c r="E1753"/>
    </row>
    <row r="1754" spans="3:5" x14ac:dyDescent="0.25">
      <c r="C1754"/>
      <c r="D1754"/>
      <c r="E1754"/>
    </row>
    <row r="1755" spans="3:5" x14ac:dyDescent="0.25">
      <c r="C1755"/>
      <c r="D1755"/>
      <c r="E1755"/>
    </row>
    <row r="1756" spans="3:5" x14ac:dyDescent="0.25">
      <c r="C1756"/>
      <c r="D1756"/>
      <c r="E1756"/>
    </row>
    <row r="1757" spans="3:5" x14ac:dyDescent="0.25">
      <c r="C1757"/>
      <c r="D1757"/>
      <c r="E1757"/>
    </row>
    <row r="1758" spans="3:5" x14ac:dyDescent="0.25">
      <c r="C1758"/>
      <c r="D1758"/>
      <c r="E1758"/>
    </row>
    <row r="1759" spans="3:5" x14ac:dyDescent="0.25">
      <c r="C1759"/>
      <c r="D1759"/>
      <c r="E1759"/>
    </row>
    <row r="1760" spans="3:5" x14ac:dyDescent="0.25">
      <c r="C1760"/>
      <c r="D1760"/>
      <c r="E1760"/>
    </row>
    <row r="1761" spans="3:5" x14ac:dyDescent="0.25">
      <c r="C1761"/>
      <c r="D1761"/>
      <c r="E1761"/>
    </row>
    <row r="1762" spans="3:5" x14ac:dyDescent="0.25">
      <c r="C1762"/>
      <c r="D1762"/>
      <c r="E1762"/>
    </row>
    <row r="1763" spans="3:5" x14ac:dyDescent="0.25">
      <c r="C1763"/>
      <c r="D1763"/>
      <c r="E1763"/>
    </row>
    <row r="1764" spans="3:5" x14ac:dyDescent="0.25">
      <c r="C1764"/>
      <c r="D1764"/>
      <c r="E1764"/>
    </row>
    <row r="1765" spans="3:5" x14ac:dyDescent="0.25">
      <c r="C1765"/>
      <c r="D1765"/>
      <c r="E1765"/>
    </row>
    <row r="1766" spans="3:5" x14ac:dyDescent="0.25">
      <c r="C1766"/>
      <c r="D1766"/>
      <c r="E1766"/>
    </row>
    <row r="1767" spans="3:5" x14ac:dyDescent="0.25">
      <c r="C1767"/>
      <c r="D1767"/>
      <c r="E1767"/>
    </row>
    <row r="1768" spans="3:5" x14ac:dyDescent="0.25">
      <c r="C1768"/>
      <c r="D1768"/>
      <c r="E1768"/>
    </row>
    <row r="1769" spans="3:5" x14ac:dyDescent="0.25">
      <c r="C1769"/>
      <c r="D1769"/>
      <c r="E1769"/>
    </row>
    <row r="1770" spans="3:5" x14ac:dyDescent="0.25">
      <c r="C1770"/>
      <c r="D1770"/>
      <c r="E1770"/>
    </row>
    <row r="1771" spans="3:5" x14ac:dyDescent="0.25">
      <c r="C1771"/>
      <c r="D1771"/>
      <c r="E1771"/>
    </row>
    <row r="1772" spans="3:5" x14ac:dyDescent="0.25">
      <c r="C1772"/>
      <c r="D1772"/>
      <c r="E1772"/>
    </row>
    <row r="1773" spans="3:5" x14ac:dyDescent="0.25">
      <c r="C1773"/>
      <c r="D1773"/>
      <c r="E1773"/>
    </row>
    <row r="1774" spans="3:5" x14ac:dyDescent="0.25">
      <c r="C1774"/>
      <c r="D1774"/>
      <c r="E1774"/>
    </row>
    <row r="1775" spans="3:5" x14ac:dyDescent="0.25">
      <c r="C1775"/>
      <c r="D1775"/>
      <c r="E1775"/>
    </row>
    <row r="1776" spans="3:5" x14ac:dyDescent="0.25">
      <c r="C1776"/>
      <c r="D1776"/>
      <c r="E1776"/>
    </row>
    <row r="1777" spans="3:5" x14ac:dyDescent="0.25">
      <c r="C1777"/>
      <c r="D1777"/>
      <c r="E1777"/>
    </row>
    <row r="1778" spans="3:5" x14ac:dyDescent="0.25">
      <c r="C1778"/>
      <c r="D1778"/>
      <c r="E1778"/>
    </row>
    <row r="1779" spans="3:5" x14ac:dyDescent="0.25">
      <c r="C1779"/>
      <c r="D1779"/>
      <c r="E1779"/>
    </row>
    <row r="1780" spans="3:5" x14ac:dyDescent="0.25">
      <c r="C1780"/>
      <c r="D1780"/>
      <c r="E1780"/>
    </row>
    <row r="1781" spans="3:5" x14ac:dyDescent="0.25">
      <c r="C1781"/>
      <c r="D1781"/>
      <c r="E1781"/>
    </row>
    <row r="1782" spans="3:5" x14ac:dyDescent="0.25">
      <c r="C1782"/>
      <c r="D1782"/>
      <c r="E1782"/>
    </row>
    <row r="1783" spans="3:5" x14ac:dyDescent="0.25">
      <c r="C1783"/>
      <c r="D1783"/>
      <c r="E1783"/>
    </row>
    <row r="1784" spans="3:5" x14ac:dyDescent="0.25">
      <c r="C1784"/>
      <c r="D1784"/>
      <c r="E1784"/>
    </row>
    <row r="1785" spans="3:5" x14ac:dyDescent="0.25">
      <c r="C1785"/>
      <c r="D1785"/>
      <c r="E1785"/>
    </row>
    <row r="1786" spans="3:5" x14ac:dyDescent="0.25">
      <c r="C1786"/>
      <c r="D1786"/>
      <c r="E1786"/>
    </row>
    <row r="1787" spans="3:5" x14ac:dyDescent="0.25">
      <c r="C1787"/>
      <c r="D1787"/>
      <c r="E1787"/>
    </row>
    <row r="1788" spans="3:5" x14ac:dyDescent="0.25">
      <c r="C1788"/>
      <c r="D1788"/>
      <c r="E1788"/>
    </row>
    <row r="1789" spans="3:5" x14ac:dyDescent="0.25">
      <c r="C1789"/>
      <c r="D1789"/>
      <c r="E1789"/>
    </row>
    <row r="1790" spans="3:5" x14ac:dyDescent="0.25">
      <c r="C1790"/>
      <c r="D1790"/>
      <c r="E1790"/>
    </row>
    <row r="1791" spans="3:5" x14ac:dyDescent="0.25">
      <c r="C1791"/>
      <c r="D1791"/>
      <c r="E1791"/>
    </row>
    <row r="1792" spans="3:5" x14ac:dyDescent="0.25">
      <c r="C1792"/>
      <c r="D1792"/>
      <c r="E1792"/>
    </row>
    <row r="1793" spans="3:5" x14ac:dyDescent="0.25">
      <c r="C1793"/>
      <c r="D1793"/>
      <c r="E1793"/>
    </row>
    <row r="1794" spans="3:5" x14ac:dyDescent="0.25">
      <c r="C1794"/>
      <c r="D1794"/>
      <c r="E1794"/>
    </row>
    <row r="1795" spans="3:5" x14ac:dyDescent="0.25">
      <c r="C1795"/>
      <c r="D1795"/>
      <c r="E1795"/>
    </row>
    <row r="1796" spans="3:5" x14ac:dyDescent="0.25">
      <c r="C1796"/>
      <c r="D1796"/>
      <c r="E1796"/>
    </row>
    <row r="1797" spans="3:5" x14ac:dyDescent="0.25">
      <c r="C1797"/>
      <c r="D1797"/>
      <c r="E1797"/>
    </row>
    <row r="1798" spans="3:5" x14ac:dyDescent="0.25">
      <c r="C1798"/>
      <c r="D1798"/>
      <c r="E1798"/>
    </row>
    <row r="1799" spans="3:5" x14ac:dyDescent="0.25">
      <c r="C1799"/>
      <c r="D1799"/>
      <c r="E1799"/>
    </row>
    <row r="1800" spans="3:5" x14ac:dyDescent="0.25">
      <c r="C1800"/>
      <c r="D1800"/>
      <c r="E1800"/>
    </row>
    <row r="1801" spans="3:5" x14ac:dyDescent="0.25">
      <c r="C1801"/>
      <c r="D1801"/>
      <c r="E1801"/>
    </row>
    <row r="1802" spans="3:5" x14ac:dyDescent="0.25">
      <c r="C1802"/>
      <c r="D1802"/>
      <c r="E1802"/>
    </row>
    <row r="1803" spans="3:5" x14ac:dyDescent="0.25">
      <c r="C1803"/>
      <c r="D1803"/>
      <c r="E1803"/>
    </row>
    <row r="1804" spans="3:5" x14ac:dyDescent="0.25">
      <c r="C1804"/>
      <c r="D1804"/>
      <c r="E1804"/>
    </row>
    <row r="1805" spans="3:5" x14ac:dyDescent="0.25">
      <c r="C1805"/>
      <c r="D1805"/>
      <c r="E1805"/>
    </row>
    <row r="1806" spans="3:5" x14ac:dyDescent="0.25">
      <c r="C1806"/>
      <c r="D1806"/>
      <c r="E1806"/>
    </row>
    <row r="1807" spans="3:5" x14ac:dyDescent="0.25">
      <c r="C1807"/>
      <c r="D1807"/>
      <c r="E1807"/>
    </row>
    <row r="1808" spans="3:5" x14ac:dyDescent="0.25">
      <c r="C1808"/>
      <c r="D1808"/>
      <c r="E1808"/>
    </row>
    <row r="1809" spans="3:5" x14ac:dyDescent="0.25">
      <c r="C1809"/>
      <c r="D1809"/>
      <c r="E1809"/>
    </row>
    <row r="1810" spans="3:5" x14ac:dyDescent="0.25">
      <c r="C1810"/>
      <c r="D1810"/>
      <c r="E1810"/>
    </row>
    <row r="1811" spans="3:5" x14ac:dyDescent="0.25">
      <c r="C1811"/>
      <c r="D1811"/>
      <c r="E1811"/>
    </row>
    <row r="1812" spans="3:5" x14ac:dyDescent="0.25">
      <c r="C1812"/>
      <c r="D1812"/>
      <c r="E1812"/>
    </row>
    <row r="1813" spans="3:5" x14ac:dyDescent="0.25">
      <c r="C1813"/>
      <c r="D1813"/>
      <c r="E1813"/>
    </row>
    <row r="1814" spans="3:5" x14ac:dyDescent="0.25">
      <c r="C1814"/>
      <c r="D1814"/>
      <c r="E1814"/>
    </row>
    <row r="1815" spans="3:5" x14ac:dyDescent="0.25">
      <c r="C1815"/>
      <c r="D1815"/>
      <c r="E1815"/>
    </row>
    <row r="1816" spans="3:5" x14ac:dyDescent="0.25">
      <c r="C1816"/>
      <c r="D1816"/>
      <c r="E1816"/>
    </row>
    <row r="1817" spans="3:5" x14ac:dyDescent="0.25">
      <c r="C1817"/>
      <c r="D1817"/>
      <c r="E1817"/>
    </row>
    <row r="1818" spans="3:5" x14ac:dyDescent="0.25">
      <c r="C1818"/>
      <c r="D1818"/>
      <c r="E1818"/>
    </row>
    <row r="1819" spans="3:5" x14ac:dyDescent="0.25">
      <c r="C1819"/>
      <c r="D1819"/>
      <c r="E1819"/>
    </row>
    <row r="1820" spans="3:5" x14ac:dyDescent="0.25">
      <c r="C1820"/>
      <c r="D1820"/>
      <c r="E1820"/>
    </row>
    <row r="1821" spans="3:5" x14ac:dyDescent="0.25">
      <c r="C1821"/>
      <c r="D1821"/>
      <c r="E1821"/>
    </row>
    <row r="1822" spans="3:5" x14ac:dyDescent="0.25">
      <c r="C1822"/>
      <c r="D1822"/>
      <c r="E1822"/>
    </row>
    <row r="1823" spans="3:5" x14ac:dyDescent="0.25">
      <c r="C1823"/>
      <c r="D1823"/>
      <c r="E1823"/>
    </row>
    <row r="1824" spans="3:5" x14ac:dyDescent="0.25">
      <c r="C1824"/>
      <c r="D1824"/>
      <c r="E1824"/>
    </row>
    <row r="1825" spans="3:5" x14ac:dyDescent="0.25">
      <c r="C1825"/>
      <c r="D1825"/>
      <c r="E1825"/>
    </row>
    <row r="1826" spans="3:5" x14ac:dyDescent="0.25">
      <c r="C1826"/>
      <c r="D1826"/>
      <c r="E1826"/>
    </row>
    <row r="1827" spans="3:5" x14ac:dyDescent="0.25">
      <c r="C1827"/>
      <c r="D1827"/>
      <c r="E1827"/>
    </row>
    <row r="1828" spans="3:5" x14ac:dyDescent="0.25">
      <c r="C1828"/>
      <c r="D1828"/>
      <c r="E1828"/>
    </row>
    <row r="1829" spans="3:5" x14ac:dyDescent="0.25">
      <c r="C1829"/>
      <c r="D1829"/>
      <c r="E1829"/>
    </row>
    <row r="1830" spans="3:5" x14ac:dyDescent="0.25">
      <c r="C1830"/>
      <c r="D1830"/>
      <c r="E1830"/>
    </row>
    <row r="1831" spans="3:5" x14ac:dyDescent="0.25">
      <c r="C1831"/>
      <c r="D1831"/>
      <c r="E1831"/>
    </row>
    <row r="1832" spans="3:5" x14ac:dyDescent="0.25">
      <c r="C1832"/>
      <c r="D1832"/>
      <c r="E1832"/>
    </row>
    <row r="1833" spans="3:5" x14ac:dyDescent="0.25">
      <c r="C1833"/>
      <c r="D1833"/>
      <c r="E1833"/>
    </row>
    <row r="1834" spans="3:5" x14ac:dyDescent="0.25">
      <c r="C1834"/>
      <c r="D1834"/>
      <c r="E1834"/>
    </row>
    <row r="1835" spans="3:5" x14ac:dyDescent="0.25">
      <c r="C1835"/>
      <c r="D1835"/>
      <c r="E1835"/>
    </row>
    <row r="1836" spans="3:5" x14ac:dyDescent="0.25">
      <c r="C1836"/>
      <c r="D1836"/>
      <c r="E1836"/>
    </row>
    <row r="1837" spans="3:5" x14ac:dyDescent="0.25">
      <c r="C1837"/>
      <c r="D1837"/>
      <c r="E1837"/>
    </row>
    <row r="1838" spans="3:5" x14ac:dyDescent="0.25">
      <c r="C1838"/>
      <c r="D1838"/>
      <c r="E1838"/>
    </row>
    <row r="1839" spans="3:5" x14ac:dyDescent="0.25">
      <c r="C1839"/>
      <c r="D1839"/>
      <c r="E1839"/>
    </row>
    <row r="1840" spans="3:5" x14ac:dyDescent="0.25">
      <c r="C1840"/>
      <c r="D1840"/>
      <c r="E1840"/>
    </row>
    <row r="1841" spans="3:5" x14ac:dyDescent="0.25">
      <c r="C1841"/>
      <c r="D1841"/>
      <c r="E1841"/>
    </row>
    <row r="1842" spans="3:5" x14ac:dyDescent="0.25">
      <c r="C1842"/>
      <c r="D1842"/>
      <c r="E1842"/>
    </row>
    <row r="1843" spans="3:5" x14ac:dyDescent="0.25">
      <c r="C1843"/>
      <c r="D1843"/>
      <c r="E1843"/>
    </row>
    <row r="1844" spans="3:5" x14ac:dyDescent="0.25">
      <c r="C1844"/>
      <c r="D1844"/>
      <c r="E1844"/>
    </row>
    <row r="1845" spans="3:5" x14ac:dyDescent="0.25">
      <c r="C1845"/>
      <c r="D1845"/>
      <c r="E1845"/>
    </row>
    <row r="1846" spans="3:5" x14ac:dyDescent="0.25">
      <c r="C1846"/>
      <c r="D1846"/>
      <c r="E1846"/>
    </row>
    <row r="1847" spans="3:5" x14ac:dyDescent="0.25">
      <c r="C1847"/>
      <c r="D1847"/>
      <c r="E1847"/>
    </row>
    <row r="1848" spans="3:5" x14ac:dyDescent="0.25">
      <c r="C1848"/>
      <c r="D1848"/>
      <c r="E1848"/>
    </row>
    <row r="1849" spans="3:5" x14ac:dyDescent="0.25">
      <c r="C1849"/>
      <c r="D1849"/>
      <c r="E1849"/>
    </row>
    <row r="1850" spans="3:5" x14ac:dyDescent="0.25">
      <c r="C1850"/>
      <c r="D1850"/>
      <c r="E1850"/>
    </row>
    <row r="1851" spans="3:5" x14ac:dyDescent="0.25">
      <c r="C1851"/>
      <c r="D1851"/>
      <c r="E1851"/>
    </row>
    <row r="1852" spans="3:5" x14ac:dyDescent="0.25">
      <c r="C1852"/>
      <c r="D1852"/>
      <c r="E1852"/>
    </row>
    <row r="1853" spans="3:5" x14ac:dyDescent="0.25">
      <c r="C1853"/>
      <c r="D1853"/>
      <c r="E1853"/>
    </row>
    <row r="1854" spans="3:5" x14ac:dyDescent="0.25">
      <c r="C1854"/>
      <c r="D1854"/>
      <c r="E1854"/>
    </row>
    <row r="1855" spans="3:5" x14ac:dyDescent="0.25">
      <c r="C1855"/>
      <c r="D1855"/>
      <c r="E1855"/>
    </row>
    <row r="1856" spans="3:5" x14ac:dyDescent="0.25">
      <c r="C1856"/>
      <c r="D1856"/>
      <c r="E1856"/>
    </row>
    <row r="1857" spans="3:5" x14ac:dyDescent="0.25">
      <c r="C1857"/>
      <c r="D1857"/>
      <c r="E1857"/>
    </row>
    <row r="1858" spans="3:5" x14ac:dyDescent="0.25">
      <c r="C1858"/>
      <c r="D1858"/>
      <c r="E1858"/>
    </row>
    <row r="1859" spans="3:5" x14ac:dyDescent="0.25">
      <c r="C1859"/>
      <c r="D1859"/>
      <c r="E1859"/>
    </row>
    <row r="1860" spans="3:5" x14ac:dyDescent="0.25">
      <c r="C1860"/>
      <c r="D1860"/>
      <c r="E1860"/>
    </row>
    <row r="1861" spans="3:5" x14ac:dyDescent="0.25">
      <c r="C1861"/>
      <c r="D1861"/>
      <c r="E1861"/>
    </row>
    <row r="1862" spans="3:5" x14ac:dyDescent="0.25">
      <c r="C1862"/>
      <c r="D1862"/>
      <c r="E1862"/>
    </row>
    <row r="1863" spans="3:5" x14ac:dyDescent="0.25">
      <c r="C1863"/>
      <c r="D1863"/>
      <c r="E1863"/>
    </row>
    <row r="1864" spans="3:5" x14ac:dyDescent="0.25">
      <c r="C1864"/>
      <c r="D1864"/>
      <c r="E1864"/>
    </row>
    <row r="1865" spans="3:5" x14ac:dyDescent="0.25">
      <c r="C1865"/>
      <c r="D1865"/>
      <c r="E1865"/>
    </row>
    <row r="1866" spans="3:5" x14ac:dyDescent="0.25">
      <c r="C1866"/>
      <c r="D1866"/>
      <c r="E1866"/>
    </row>
    <row r="1867" spans="3:5" x14ac:dyDescent="0.25">
      <c r="C1867"/>
      <c r="D1867"/>
      <c r="E1867"/>
    </row>
    <row r="1868" spans="3:5" x14ac:dyDescent="0.25">
      <c r="C1868"/>
      <c r="D1868"/>
      <c r="E1868"/>
    </row>
    <row r="1869" spans="3:5" x14ac:dyDescent="0.25">
      <c r="C1869"/>
      <c r="D1869"/>
      <c r="E1869"/>
    </row>
    <row r="1870" spans="3:5" x14ac:dyDescent="0.25">
      <c r="C1870"/>
      <c r="D1870"/>
      <c r="E1870"/>
    </row>
    <row r="1871" spans="3:5" x14ac:dyDescent="0.25">
      <c r="C1871"/>
      <c r="D1871"/>
      <c r="E1871"/>
    </row>
    <row r="1872" spans="3:5" x14ac:dyDescent="0.25">
      <c r="C1872"/>
      <c r="D1872"/>
      <c r="E1872"/>
    </row>
    <row r="1873" spans="3:5" x14ac:dyDescent="0.25">
      <c r="C1873"/>
      <c r="D1873"/>
      <c r="E1873"/>
    </row>
    <row r="1874" spans="3:5" x14ac:dyDescent="0.25">
      <c r="C1874"/>
      <c r="D1874"/>
      <c r="E1874"/>
    </row>
    <row r="1875" spans="3:5" x14ac:dyDescent="0.25">
      <c r="C1875"/>
      <c r="D1875"/>
      <c r="E1875"/>
    </row>
    <row r="1876" spans="3:5" x14ac:dyDescent="0.25">
      <c r="C1876"/>
      <c r="D1876"/>
      <c r="E1876"/>
    </row>
    <row r="1877" spans="3:5" x14ac:dyDescent="0.25">
      <c r="C1877"/>
      <c r="D1877"/>
      <c r="E1877"/>
    </row>
    <row r="1878" spans="3:5" x14ac:dyDescent="0.25">
      <c r="C1878"/>
      <c r="D1878"/>
      <c r="E1878"/>
    </row>
    <row r="1879" spans="3:5" x14ac:dyDescent="0.25">
      <c r="C1879"/>
      <c r="D1879"/>
      <c r="E1879"/>
    </row>
    <row r="1880" spans="3:5" x14ac:dyDescent="0.25">
      <c r="C1880"/>
      <c r="D1880"/>
      <c r="E1880"/>
    </row>
    <row r="1881" spans="3:5" x14ac:dyDescent="0.25">
      <c r="C1881"/>
      <c r="D1881"/>
      <c r="E1881"/>
    </row>
    <row r="1882" spans="3:5" x14ac:dyDescent="0.25">
      <c r="C1882"/>
      <c r="D1882"/>
      <c r="E1882"/>
    </row>
    <row r="1883" spans="3:5" x14ac:dyDescent="0.25">
      <c r="C1883"/>
      <c r="D1883"/>
      <c r="E1883"/>
    </row>
    <row r="1884" spans="3:5" x14ac:dyDescent="0.25">
      <c r="C1884"/>
      <c r="D1884"/>
      <c r="E1884"/>
    </row>
    <row r="1885" spans="3:5" x14ac:dyDescent="0.25">
      <c r="C1885"/>
      <c r="D1885"/>
      <c r="E1885"/>
    </row>
    <row r="1886" spans="3:5" x14ac:dyDescent="0.25">
      <c r="C1886"/>
      <c r="D1886"/>
      <c r="E1886"/>
    </row>
    <row r="1887" spans="3:5" x14ac:dyDescent="0.25">
      <c r="C1887"/>
      <c r="D1887"/>
      <c r="E1887"/>
    </row>
    <row r="1888" spans="3:5" x14ac:dyDescent="0.25">
      <c r="C1888"/>
      <c r="D1888"/>
      <c r="E1888"/>
    </row>
    <row r="1889" spans="3:5" x14ac:dyDescent="0.25">
      <c r="C1889"/>
      <c r="D1889"/>
      <c r="E1889"/>
    </row>
    <row r="1890" spans="3:5" x14ac:dyDescent="0.25">
      <c r="C1890"/>
      <c r="D1890"/>
      <c r="E1890"/>
    </row>
    <row r="1891" spans="3:5" x14ac:dyDescent="0.25">
      <c r="C1891"/>
      <c r="D1891"/>
      <c r="E1891"/>
    </row>
    <row r="1892" spans="3:5" x14ac:dyDescent="0.25">
      <c r="C1892"/>
      <c r="D1892"/>
      <c r="E1892"/>
    </row>
    <row r="1893" spans="3:5" x14ac:dyDescent="0.25">
      <c r="C1893"/>
      <c r="D1893"/>
      <c r="E1893"/>
    </row>
    <row r="1894" spans="3:5" x14ac:dyDescent="0.25">
      <c r="C1894"/>
      <c r="D1894"/>
      <c r="E1894"/>
    </row>
    <row r="1895" spans="3:5" x14ac:dyDescent="0.25">
      <c r="C1895"/>
      <c r="D1895"/>
      <c r="E1895"/>
    </row>
    <row r="1896" spans="3:5" x14ac:dyDescent="0.25">
      <c r="C1896"/>
      <c r="D1896"/>
      <c r="E1896"/>
    </row>
    <row r="1897" spans="3:5" x14ac:dyDescent="0.25">
      <c r="C1897"/>
      <c r="D1897"/>
      <c r="E1897"/>
    </row>
    <row r="1898" spans="3:5" x14ac:dyDescent="0.25">
      <c r="C1898"/>
      <c r="D1898"/>
      <c r="E1898"/>
    </row>
    <row r="1899" spans="3:5" x14ac:dyDescent="0.25">
      <c r="C1899"/>
      <c r="D1899"/>
      <c r="E1899"/>
    </row>
    <row r="1900" spans="3:5" x14ac:dyDescent="0.25">
      <c r="C1900"/>
      <c r="D1900"/>
      <c r="E1900"/>
    </row>
    <row r="1901" spans="3:5" x14ac:dyDescent="0.25">
      <c r="C1901"/>
      <c r="D1901"/>
      <c r="E1901"/>
    </row>
    <row r="1902" spans="3:5" x14ac:dyDescent="0.25">
      <c r="C1902"/>
      <c r="D1902"/>
      <c r="E1902"/>
    </row>
    <row r="1903" spans="3:5" x14ac:dyDescent="0.25">
      <c r="C1903"/>
      <c r="D1903"/>
      <c r="E1903"/>
    </row>
    <row r="1904" spans="3:5" x14ac:dyDescent="0.25">
      <c r="C1904"/>
      <c r="D1904"/>
      <c r="E1904"/>
    </row>
    <row r="1905" spans="3:5" x14ac:dyDescent="0.25">
      <c r="C1905"/>
      <c r="D1905"/>
      <c r="E1905"/>
    </row>
    <row r="1906" spans="3:5" x14ac:dyDescent="0.25">
      <c r="C1906"/>
      <c r="D1906"/>
      <c r="E1906"/>
    </row>
    <row r="1907" spans="3:5" x14ac:dyDescent="0.25">
      <c r="C1907"/>
      <c r="D1907"/>
      <c r="E1907"/>
    </row>
    <row r="1908" spans="3:5" x14ac:dyDescent="0.25">
      <c r="C1908"/>
      <c r="D1908"/>
      <c r="E1908"/>
    </row>
    <row r="1909" spans="3:5" x14ac:dyDescent="0.25">
      <c r="C1909"/>
      <c r="D1909"/>
      <c r="E1909"/>
    </row>
    <row r="1910" spans="3:5" x14ac:dyDescent="0.25">
      <c r="C1910"/>
      <c r="D1910"/>
      <c r="E1910"/>
    </row>
    <row r="1911" spans="3:5" x14ac:dyDescent="0.25">
      <c r="C1911"/>
      <c r="D1911"/>
      <c r="E1911"/>
    </row>
    <row r="1912" spans="3:5" x14ac:dyDescent="0.25">
      <c r="C1912"/>
      <c r="D1912"/>
      <c r="E1912"/>
    </row>
    <row r="1913" spans="3:5" x14ac:dyDescent="0.25">
      <c r="C1913"/>
      <c r="D1913"/>
      <c r="E1913"/>
    </row>
    <row r="1914" spans="3:5" x14ac:dyDescent="0.25">
      <c r="C1914"/>
      <c r="D1914"/>
      <c r="E1914"/>
    </row>
    <row r="1915" spans="3:5" x14ac:dyDescent="0.25">
      <c r="C1915"/>
      <c r="D1915"/>
      <c r="E1915"/>
    </row>
    <row r="1916" spans="3:5" x14ac:dyDescent="0.25">
      <c r="C1916"/>
      <c r="D1916"/>
      <c r="E1916"/>
    </row>
    <row r="1917" spans="3:5" x14ac:dyDescent="0.25">
      <c r="C1917"/>
      <c r="D1917"/>
      <c r="E1917"/>
    </row>
    <row r="1918" spans="3:5" x14ac:dyDescent="0.25">
      <c r="C1918"/>
      <c r="D1918"/>
      <c r="E1918"/>
    </row>
    <row r="1919" spans="3:5" x14ac:dyDescent="0.25">
      <c r="C1919"/>
      <c r="D1919"/>
      <c r="E1919"/>
    </row>
    <row r="1920" spans="3:5" x14ac:dyDescent="0.25">
      <c r="C1920"/>
      <c r="D1920"/>
      <c r="E1920"/>
    </row>
    <row r="1921" spans="3:5" x14ac:dyDescent="0.25">
      <c r="C1921"/>
      <c r="D1921"/>
      <c r="E1921"/>
    </row>
    <row r="1922" spans="3:5" x14ac:dyDescent="0.25">
      <c r="C1922"/>
      <c r="D1922"/>
      <c r="E1922"/>
    </row>
    <row r="1923" spans="3:5" x14ac:dyDescent="0.25">
      <c r="C1923"/>
      <c r="D1923"/>
      <c r="E1923"/>
    </row>
    <row r="1924" spans="3:5" x14ac:dyDescent="0.25">
      <c r="C1924"/>
      <c r="D1924"/>
      <c r="E1924"/>
    </row>
    <row r="1925" spans="3:5" x14ac:dyDescent="0.25">
      <c r="C1925"/>
      <c r="D1925"/>
      <c r="E1925"/>
    </row>
    <row r="1926" spans="3:5" x14ac:dyDescent="0.25">
      <c r="C1926"/>
      <c r="D1926"/>
      <c r="E1926"/>
    </row>
    <row r="1927" spans="3:5" x14ac:dyDescent="0.25">
      <c r="C1927"/>
      <c r="D1927"/>
      <c r="E1927"/>
    </row>
    <row r="1928" spans="3:5" x14ac:dyDescent="0.25">
      <c r="C1928"/>
      <c r="D1928"/>
      <c r="E1928"/>
    </row>
    <row r="1929" spans="3:5" x14ac:dyDescent="0.25">
      <c r="C1929"/>
      <c r="D1929"/>
      <c r="E1929"/>
    </row>
    <row r="1930" spans="3:5" x14ac:dyDescent="0.25">
      <c r="C1930"/>
      <c r="D1930"/>
      <c r="E1930"/>
    </row>
    <row r="1931" spans="3:5" x14ac:dyDescent="0.25">
      <c r="C1931"/>
      <c r="D1931"/>
      <c r="E1931"/>
    </row>
    <row r="1932" spans="3:5" x14ac:dyDescent="0.25">
      <c r="C1932"/>
      <c r="D1932"/>
      <c r="E1932"/>
    </row>
    <row r="1933" spans="3:5" x14ac:dyDescent="0.25">
      <c r="C1933"/>
      <c r="D1933"/>
      <c r="E1933"/>
    </row>
    <row r="1934" spans="3:5" x14ac:dyDescent="0.25">
      <c r="C1934"/>
      <c r="D1934"/>
      <c r="E1934"/>
    </row>
    <row r="1935" spans="3:5" x14ac:dyDescent="0.25">
      <c r="C1935"/>
      <c r="D1935"/>
      <c r="E1935"/>
    </row>
    <row r="1936" spans="3:5" x14ac:dyDescent="0.25">
      <c r="C1936"/>
      <c r="D1936"/>
      <c r="E1936"/>
    </row>
    <row r="1937" spans="3:5" x14ac:dyDescent="0.25">
      <c r="C1937"/>
      <c r="D1937"/>
      <c r="E1937"/>
    </row>
    <row r="1938" spans="3:5" x14ac:dyDescent="0.25">
      <c r="C1938"/>
      <c r="D1938"/>
      <c r="E1938"/>
    </row>
    <row r="1939" spans="3:5" x14ac:dyDescent="0.25">
      <c r="C1939"/>
      <c r="D1939"/>
      <c r="E1939"/>
    </row>
    <row r="1940" spans="3:5" x14ac:dyDescent="0.25">
      <c r="C1940"/>
      <c r="D1940"/>
      <c r="E1940"/>
    </row>
    <row r="1941" spans="3:5" x14ac:dyDescent="0.25">
      <c r="C1941"/>
      <c r="D1941"/>
      <c r="E1941"/>
    </row>
    <row r="1942" spans="3:5" x14ac:dyDescent="0.25">
      <c r="C1942"/>
      <c r="D1942"/>
      <c r="E1942"/>
    </row>
    <row r="1943" spans="3:5" x14ac:dyDescent="0.25">
      <c r="C1943"/>
      <c r="D1943"/>
      <c r="E1943"/>
    </row>
    <row r="1944" spans="3:5" x14ac:dyDescent="0.25">
      <c r="C1944"/>
      <c r="D1944"/>
      <c r="E1944"/>
    </row>
    <row r="1945" spans="3:5" x14ac:dyDescent="0.25">
      <c r="C1945"/>
      <c r="D1945"/>
      <c r="E1945"/>
    </row>
    <row r="1946" spans="3:5" x14ac:dyDescent="0.25">
      <c r="C1946"/>
      <c r="D1946"/>
      <c r="E1946"/>
    </row>
    <row r="1947" spans="3:5" x14ac:dyDescent="0.25">
      <c r="C1947"/>
      <c r="D1947"/>
      <c r="E1947"/>
    </row>
    <row r="1948" spans="3:5" x14ac:dyDescent="0.25">
      <c r="C1948"/>
      <c r="D1948"/>
      <c r="E1948"/>
    </row>
    <row r="1949" spans="3:5" x14ac:dyDescent="0.25">
      <c r="C1949"/>
      <c r="D1949"/>
      <c r="E1949"/>
    </row>
    <row r="1950" spans="3:5" x14ac:dyDescent="0.25">
      <c r="C1950"/>
      <c r="D1950"/>
      <c r="E1950"/>
    </row>
    <row r="1951" spans="3:5" x14ac:dyDescent="0.25">
      <c r="C1951"/>
      <c r="D1951"/>
      <c r="E1951"/>
    </row>
    <row r="1952" spans="3:5" x14ac:dyDescent="0.25">
      <c r="C1952"/>
      <c r="D1952"/>
      <c r="E1952"/>
    </row>
    <row r="1953" spans="3:5" x14ac:dyDescent="0.25">
      <c r="C1953"/>
      <c r="D1953"/>
      <c r="E1953"/>
    </row>
    <row r="1954" spans="3:5" x14ac:dyDescent="0.25">
      <c r="C1954"/>
      <c r="D1954"/>
      <c r="E1954"/>
    </row>
    <row r="1955" spans="3:5" x14ac:dyDescent="0.25">
      <c r="C1955"/>
      <c r="D1955"/>
      <c r="E1955"/>
    </row>
    <row r="1956" spans="3:5" x14ac:dyDescent="0.25">
      <c r="C1956"/>
      <c r="D1956"/>
      <c r="E1956"/>
    </row>
    <row r="1957" spans="3:5" x14ac:dyDescent="0.25">
      <c r="C1957"/>
      <c r="D1957"/>
      <c r="E1957"/>
    </row>
    <row r="1958" spans="3:5" x14ac:dyDescent="0.25">
      <c r="C1958"/>
      <c r="D1958"/>
      <c r="E1958"/>
    </row>
    <row r="1959" spans="3:5" x14ac:dyDescent="0.25">
      <c r="C1959"/>
      <c r="D1959"/>
      <c r="E1959"/>
    </row>
    <row r="1960" spans="3:5" x14ac:dyDescent="0.25">
      <c r="C1960"/>
      <c r="D1960"/>
      <c r="E1960"/>
    </row>
    <row r="1961" spans="3:5" x14ac:dyDescent="0.25">
      <c r="C1961"/>
      <c r="D1961"/>
      <c r="E1961"/>
    </row>
    <row r="1962" spans="3:5" x14ac:dyDescent="0.25">
      <c r="C1962"/>
      <c r="D1962"/>
      <c r="E1962"/>
    </row>
    <row r="1963" spans="3:5" x14ac:dyDescent="0.25">
      <c r="C1963"/>
      <c r="D1963"/>
      <c r="E1963"/>
    </row>
    <row r="1964" spans="3:5" x14ac:dyDescent="0.25">
      <c r="C1964"/>
      <c r="D1964"/>
      <c r="E1964"/>
    </row>
    <row r="1965" spans="3:5" x14ac:dyDescent="0.25">
      <c r="C1965"/>
      <c r="D1965"/>
      <c r="E1965"/>
    </row>
    <row r="1966" spans="3:5" x14ac:dyDescent="0.25">
      <c r="C1966"/>
      <c r="D1966"/>
      <c r="E1966"/>
    </row>
    <row r="1967" spans="3:5" x14ac:dyDescent="0.25">
      <c r="C1967"/>
      <c r="D1967"/>
      <c r="E1967"/>
    </row>
    <row r="1968" spans="3:5" x14ac:dyDescent="0.25">
      <c r="C1968"/>
      <c r="D1968"/>
      <c r="E1968"/>
    </row>
    <row r="1969" spans="3:5" x14ac:dyDescent="0.25">
      <c r="C1969"/>
      <c r="D1969"/>
      <c r="E1969"/>
    </row>
    <row r="1970" spans="3:5" x14ac:dyDescent="0.25">
      <c r="C1970"/>
      <c r="D1970"/>
      <c r="E1970"/>
    </row>
    <row r="1971" spans="3:5" x14ac:dyDescent="0.25">
      <c r="C1971"/>
      <c r="D1971"/>
      <c r="E1971"/>
    </row>
    <row r="1972" spans="3:5" x14ac:dyDescent="0.25">
      <c r="C1972"/>
      <c r="D1972"/>
      <c r="E1972"/>
    </row>
    <row r="1973" spans="3:5" x14ac:dyDescent="0.25">
      <c r="C1973"/>
      <c r="D1973"/>
      <c r="E1973"/>
    </row>
    <row r="1974" spans="3:5" x14ac:dyDescent="0.25">
      <c r="C1974"/>
      <c r="D1974"/>
      <c r="E1974"/>
    </row>
    <row r="1975" spans="3:5" x14ac:dyDescent="0.25">
      <c r="C1975"/>
      <c r="D1975"/>
      <c r="E1975"/>
    </row>
    <row r="1976" spans="3:5" x14ac:dyDescent="0.25">
      <c r="C1976"/>
      <c r="D1976"/>
      <c r="E1976"/>
    </row>
    <row r="1977" spans="3:5" x14ac:dyDescent="0.25">
      <c r="C1977"/>
      <c r="D1977"/>
      <c r="E1977"/>
    </row>
    <row r="1978" spans="3:5" x14ac:dyDescent="0.25">
      <c r="C1978"/>
      <c r="D1978"/>
      <c r="E1978"/>
    </row>
    <row r="1979" spans="3:5" x14ac:dyDescent="0.25">
      <c r="C1979"/>
      <c r="D1979"/>
      <c r="E1979"/>
    </row>
    <row r="1980" spans="3:5" x14ac:dyDescent="0.25">
      <c r="C1980"/>
      <c r="D1980"/>
      <c r="E1980"/>
    </row>
    <row r="1981" spans="3:5" x14ac:dyDescent="0.25">
      <c r="C1981"/>
      <c r="D1981"/>
      <c r="E1981"/>
    </row>
    <row r="1982" spans="3:5" x14ac:dyDescent="0.25">
      <c r="C1982"/>
      <c r="D1982"/>
      <c r="E1982"/>
    </row>
    <row r="1983" spans="3:5" x14ac:dyDescent="0.25">
      <c r="C1983"/>
      <c r="D1983"/>
      <c r="E1983"/>
    </row>
    <row r="1984" spans="3:5" x14ac:dyDescent="0.25">
      <c r="C1984"/>
      <c r="D1984"/>
      <c r="E1984"/>
    </row>
    <row r="1985" spans="3:5" x14ac:dyDescent="0.25">
      <c r="C1985"/>
      <c r="D1985"/>
      <c r="E1985"/>
    </row>
    <row r="1986" spans="3:5" x14ac:dyDescent="0.25">
      <c r="C1986"/>
      <c r="D1986"/>
      <c r="E1986"/>
    </row>
    <row r="1987" spans="3:5" x14ac:dyDescent="0.25">
      <c r="C1987"/>
      <c r="D1987"/>
      <c r="E1987"/>
    </row>
    <row r="1988" spans="3:5" x14ac:dyDescent="0.25">
      <c r="C1988"/>
      <c r="D1988"/>
      <c r="E1988"/>
    </row>
    <row r="1989" spans="3:5" x14ac:dyDescent="0.25">
      <c r="C1989"/>
      <c r="D1989"/>
      <c r="E1989"/>
    </row>
    <row r="1990" spans="3:5" x14ac:dyDescent="0.25">
      <c r="C1990"/>
      <c r="D1990"/>
      <c r="E1990"/>
    </row>
    <row r="1991" spans="3:5" x14ac:dyDescent="0.25">
      <c r="C1991"/>
      <c r="D1991"/>
      <c r="E1991"/>
    </row>
    <row r="1992" spans="3:5" x14ac:dyDescent="0.25">
      <c r="C1992"/>
      <c r="D1992"/>
      <c r="E1992"/>
    </row>
    <row r="1993" spans="3:5" x14ac:dyDescent="0.25">
      <c r="C1993"/>
      <c r="D1993"/>
      <c r="E1993"/>
    </row>
    <row r="1994" spans="3:5" x14ac:dyDescent="0.25">
      <c r="C1994"/>
      <c r="D1994"/>
      <c r="E1994"/>
    </row>
    <row r="1995" spans="3:5" x14ac:dyDescent="0.25">
      <c r="C1995"/>
      <c r="D1995"/>
      <c r="E1995"/>
    </row>
    <row r="1996" spans="3:5" x14ac:dyDescent="0.25">
      <c r="C1996"/>
      <c r="D1996"/>
      <c r="E1996"/>
    </row>
    <row r="1997" spans="3:5" x14ac:dyDescent="0.25">
      <c r="C1997"/>
      <c r="D1997"/>
      <c r="E1997"/>
    </row>
    <row r="1998" spans="3:5" x14ac:dyDescent="0.25">
      <c r="C1998"/>
      <c r="D1998"/>
      <c r="E1998"/>
    </row>
    <row r="1999" spans="3:5" x14ac:dyDescent="0.25">
      <c r="C1999"/>
      <c r="D1999"/>
      <c r="E1999"/>
    </row>
    <row r="2000" spans="3:5" x14ac:dyDescent="0.25">
      <c r="C2000"/>
      <c r="D2000"/>
      <c r="E2000"/>
    </row>
    <row r="2001" spans="3:5" x14ac:dyDescent="0.25">
      <c r="C2001"/>
      <c r="D2001"/>
      <c r="E2001"/>
    </row>
    <row r="2002" spans="3:5" x14ac:dyDescent="0.25">
      <c r="C2002"/>
      <c r="D2002"/>
      <c r="E2002"/>
    </row>
    <row r="2003" spans="3:5" x14ac:dyDescent="0.25">
      <c r="C2003"/>
      <c r="D2003"/>
      <c r="E2003"/>
    </row>
    <row r="2004" spans="3:5" x14ac:dyDescent="0.25">
      <c r="C2004"/>
      <c r="D2004"/>
      <c r="E2004"/>
    </row>
    <row r="2005" spans="3:5" x14ac:dyDescent="0.25">
      <c r="C2005"/>
      <c r="D2005"/>
      <c r="E2005"/>
    </row>
    <row r="2006" spans="3:5" x14ac:dyDescent="0.25">
      <c r="C2006"/>
      <c r="D2006"/>
      <c r="E2006"/>
    </row>
    <row r="2007" spans="3:5" x14ac:dyDescent="0.25">
      <c r="C2007"/>
      <c r="D2007"/>
      <c r="E2007"/>
    </row>
    <row r="2008" spans="3:5" x14ac:dyDescent="0.25">
      <c r="C2008"/>
      <c r="D2008"/>
      <c r="E2008"/>
    </row>
    <row r="2009" spans="3:5" x14ac:dyDescent="0.25">
      <c r="C2009"/>
      <c r="D2009"/>
      <c r="E2009"/>
    </row>
    <row r="2010" spans="3:5" x14ac:dyDescent="0.25">
      <c r="C2010"/>
      <c r="D2010"/>
      <c r="E2010"/>
    </row>
    <row r="2011" spans="3:5" x14ac:dyDescent="0.25">
      <c r="C2011"/>
      <c r="D2011"/>
      <c r="E2011"/>
    </row>
    <row r="2012" spans="3:5" x14ac:dyDescent="0.25">
      <c r="C2012"/>
      <c r="D2012"/>
      <c r="E2012"/>
    </row>
    <row r="2013" spans="3:5" x14ac:dyDescent="0.25">
      <c r="C2013"/>
      <c r="D2013"/>
      <c r="E2013"/>
    </row>
    <row r="2014" spans="3:5" x14ac:dyDescent="0.25">
      <c r="C2014"/>
      <c r="D2014"/>
      <c r="E2014"/>
    </row>
    <row r="2015" spans="3:5" x14ac:dyDescent="0.25">
      <c r="C2015"/>
      <c r="D2015"/>
      <c r="E2015"/>
    </row>
    <row r="2016" spans="3:5" x14ac:dyDescent="0.25">
      <c r="C2016"/>
      <c r="D2016"/>
      <c r="E2016"/>
    </row>
    <row r="2017" spans="3:5" x14ac:dyDescent="0.25">
      <c r="C2017"/>
      <c r="D2017"/>
      <c r="E2017"/>
    </row>
    <row r="2018" spans="3:5" x14ac:dyDescent="0.25">
      <c r="C2018"/>
      <c r="D2018"/>
      <c r="E2018"/>
    </row>
    <row r="2019" spans="3:5" x14ac:dyDescent="0.25">
      <c r="C2019"/>
      <c r="D2019"/>
      <c r="E2019"/>
    </row>
    <row r="2020" spans="3:5" x14ac:dyDescent="0.25">
      <c r="C2020"/>
      <c r="D2020"/>
      <c r="E2020"/>
    </row>
    <row r="2021" spans="3:5" x14ac:dyDescent="0.25">
      <c r="C2021"/>
      <c r="D2021"/>
      <c r="E2021"/>
    </row>
    <row r="2022" spans="3:5" x14ac:dyDescent="0.25">
      <c r="C2022"/>
      <c r="D2022"/>
      <c r="E2022"/>
    </row>
    <row r="2023" spans="3:5" x14ac:dyDescent="0.25">
      <c r="C2023"/>
      <c r="D2023"/>
      <c r="E2023"/>
    </row>
    <row r="2024" spans="3:5" x14ac:dyDescent="0.25">
      <c r="C2024"/>
      <c r="D2024"/>
      <c r="E2024"/>
    </row>
    <row r="2025" spans="3:5" x14ac:dyDescent="0.25">
      <c r="C2025"/>
      <c r="D2025"/>
      <c r="E2025"/>
    </row>
    <row r="2026" spans="3:5" x14ac:dyDescent="0.25">
      <c r="C2026"/>
      <c r="D2026"/>
      <c r="E2026"/>
    </row>
    <row r="2027" spans="3:5" x14ac:dyDescent="0.25">
      <c r="C2027"/>
      <c r="D2027"/>
      <c r="E2027"/>
    </row>
    <row r="2028" spans="3:5" x14ac:dyDescent="0.25">
      <c r="C2028"/>
      <c r="D2028"/>
      <c r="E2028"/>
    </row>
    <row r="2029" spans="3:5" x14ac:dyDescent="0.25">
      <c r="C2029"/>
      <c r="D2029"/>
      <c r="E2029"/>
    </row>
    <row r="2030" spans="3:5" x14ac:dyDescent="0.25">
      <c r="C2030"/>
      <c r="D2030"/>
      <c r="E2030"/>
    </row>
    <row r="2031" spans="3:5" x14ac:dyDescent="0.25">
      <c r="C2031"/>
      <c r="D2031"/>
      <c r="E2031"/>
    </row>
    <row r="2032" spans="3:5" x14ac:dyDescent="0.25">
      <c r="C2032"/>
      <c r="D2032"/>
      <c r="E2032"/>
    </row>
    <row r="2033" spans="3:5" x14ac:dyDescent="0.25">
      <c r="C2033"/>
      <c r="D2033"/>
      <c r="E2033"/>
    </row>
    <row r="2034" spans="3:5" x14ac:dyDescent="0.25">
      <c r="C2034"/>
      <c r="D2034"/>
      <c r="E2034"/>
    </row>
    <row r="2035" spans="3:5" x14ac:dyDescent="0.25">
      <c r="C2035"/>
      <c r="D2035"/>
      <c r="E2035"/>
    </row>
    <row r="2036" spans="3:5" x14ac:dyDescent="0.25">
      <c r="C2036"/>
      <c r="D2036"/>
      <c r="E2036"/>
    </row>
    <row r="2037" spans="3:5" x14ac:dyDescent="0.25">
      <c r="C2037"/>
      <c r="D2037"/>
      <c r="E2037"/>
    </row>
    <row r="2038" spans="3:5" x14ac:dyDescent="0.25">
      <c r="C2038"/>
      <c r="D2038"/>
      <c r="E2038"/>
    </row>
    <row r="2039" spans="3:5" x14ac:dyDescent="0.25">
      <c r="C2039"/>
      <c r="D2039"/>
      <c r="E2039"/>
    </row>
    <row r="2040" spans="3:5" x14ac:dyDescent="0.25">
      <c r="C2040"/>
      <c r="D2040"/>
      <c r="E2040"/>
    </row>
    <row r="2041" spans="3:5" x14ac:dyDescent="0.25">
      <c r="C2041"/>
      <c r="D2041"/>
      <c r="E2041"/>
    </row>
    <row r="2042" spans="3:5" x14ac:dyDescent="0.25">
      <c r="C2042"/>
      <c r="D2042"/>
      <c r="E2042"/>
    </row>
    <row r="2043" spans="3:5" x14ac:dyDescent="0.25">
      <c r="C2043"/>
      <c r="D2043"/>
      <c r="E2043"/>
    </row>
    <row r="2044" spans="3:5" x14ac:dyDescent="0.25">
      <c r="C2044"/>
      <c r="D2044"/>
      <c r="E2044"/>
    </row>
    <row r="2045" spans="3:5" x14ac:dyDescent="0.25">
      <c r="C2045"/>
      <c r="D2045"/>
      <c r="E2045"/>
    </row>
    <row r="2046" spans="3:5" x14ac:dyDescent="0.25">
      <c r="C2046"/>
      <c r="D2046"/>
      <c r="E2046"/>
    </row>
    <row r="2047" spans="3:5" x14ac:dyDescent="0.25">
      <c r="C2047"/>
      <c r="D2047"/>
      <c r="E2047"/>
    </row>
    <row r="2048" spans="3:5" x14ac:dyDescent="0.25">
      <c r="C2048"/>
      <c r="D2048"/>
      <c r="E2048"/>
    </row>
    <row r="2049" spans="3:5" x14ac:dyDescent="0.25">
      <c r="C2049"/>
      <c r="D2049"/>
      <c r="E2049"/>
    </row>
    <row r="2050" spans="3:5" x14ac:dyDescent="0.25">
      <c r="C2050"/>
      <c r="D2050"/>
      <c r="E2050"/>
    </row>
    <row r="2051" spans="3:5" x14ac:dyDescent="0.25">
      <c r="C2051"/>
      <c r="D2051"/>
      <c r="E2051"/>
    </row>
    <row r="2052" spans="3:5" x14ac:dyDescent="0.25">
      <c r="C2052"/>
      <c r="D2052"/>
      <c r="E2052"/>
    </row>
    <row r="2053" spans="3:5" x14ac:dyDescent="0.25">
      <c r="C2053"/>
      <c r="D2053"/>
      <c r="E2053"/>
    </row>
    <row r="2054" spans="3:5" x14ac:dyDescent="0.25">
      <c r="C2054"/>
      <c r="D2054"/>
      <c r="E2054"/>
    </row>
    <row r="2055" spans="3:5" x14ac:dyDescent="0.25">
      <c r="C2055"/>
      <c r="D2055"/>
      <c r="E2055"/>
    </row>
    <row r="2056" spans="3:5" x14ac:dyDescent="0.25">
      <c r="C2056"/>
      <c r="D2056"/>
      <c r="E2056"/>
    </row>
    <row r="2057" spans="3:5" x14ac:dyDescent="0.25">
      <c r="C2057"/>
      <c r="D2057"/>
      <c r="E2057"/>
    </row>
    <row r="2058" spans="3:5" x14ac:dyDescent="0.25">
      <c r="C2058"/>
      <c r="D2058"/>
      <c r="E2058"/>
    </row>
    <row r="2059" spans="3:5" x14ac:dyDescent="0.25">
      <c r="C2059"/>
      <c r="D2059"/>
      <c r="E2059"/>
    </row>
    <row r="2060" spans="3:5" x14ac:dyDescent="0.25">
      <c r="C2060"/>
      <c r="D2060"/>
      <c r="E2060"/>
    </row>
    <row r="2061" spans="3:5" x14ac:dyDescent="0.25">
      <c r="C2061"/>
      <c r="D2061"/>
      <c r="E2061"/>
    </row>
    <row r="2062" spans="3:5" x14ac:dyDescent="0.25">
      <c r="C2062"/>
      <c r="D2062"/>
      <c r="E2062"/>
    </row>
    <row r="2063" spans="3:5" x14ac:dyDescent="0.25">
      <c r="C2063"/>
      <c r="D2063"/>
      <c r="E2063"/>
    </row>
    <row r="2064" spans="3:5" x14ac:dyDescent="0.25">
      <c r="C2064"/>
      <c r="D2064"/>
      <c r="E2064"/>
    </row>
    <row r="2065" spans="3:5" x14ac:dyDescent="0.25">
      <c r="C2065"/>
      <c r="D2065"/>
      <c r="E2065"/>
    </row>
    <row r="2066" spans="3:5" x14ac:dyDescent="0.25">
      <c r="C2066"/>
      <c r="D2066"/>
      <c r="E2066"/>
    </row>
    <row r="2067" spans="3:5" x14ac:dyDescent="0.25">
      <c r="C2067"/>
      <c r="D2067"/>
      <c r="E2067"/>
    </row>
    <row r="2068" spans="3:5" x14ac:dyDescent="0.25">
      <c r="C2068"/>
      <c r="D2068"/>
      <c r="E2068"/>
    </row>
    <row r="2069" spans="3:5" x14ac:dyDescent="0.25">
      <c r="C2069"/>
      <c r="D2069"/>
      <c r="E2069"/>
    </row>
    <row r="2070" spans="3:5" x14ac:dyDescent="0.25">
      <c r="C2070"/>
      <c r="D2070"/>
      <c r="E2070"/>
    </row>
    <row r="2071" spans="3:5" x14ac:dyDescent="0.25">
      <c r="C2071"/>
      <c r="D2071"/>
      <c r="E2071"/>
    </row>
    <row r="2072" spans="3:5" x14ac:dyDescent="0.25">
      <c r="C2072"/>
      <c r="D2072"/>
      <c r="E2072"/>
    </row>
    <row r="2073" spans="3:5" x14ac:dyDescent="0.25">
      <c r="C2073"/>
      <c r="D2073"/>
      <c r="E2073"/>
    </row>
    <row r="2074" spans="3:5" x14ac:dyDescent="0.25">
      <c r="C2074"/>
      <c r="D2074"/>
      <c r="E2074"/>
    </row>
    <row r="2075" spans="3:5" x14ac:dyDescent="0.25">
      <c r="C2075"/>
      <c r="D2075"/>
      <c r="E2075"/>
    </row>
    <row r="2076" spans="3:5" x14ac:dyDescent="0.25">
      <c r="C2076"/>
      <c r="D2076"/>
      <c r="E2076"/>
    </row>
    <row r="2077" spans="3:5" x14ac:dyDescent="0.25">
      <c r="C2077"/>
      <c r="D2077"/>
      <c r="E2077"/>
    </row>
    <row r="2078" spans="3:5" x14ac:dyDescent="0.25">
      <c r="C2078"/>
      <c r="D2078"/>
      <c r="E2078"/>
    </row>
    <row r="2079" spans="3:5" x14ac:dyDescent="0.25">
      <c r="C2079"/>
      <c r="D2079"/>
      <c r="E2079"/>
    </row>
    <row r="2080" spans="3:5" x14ac:dyDescent="0.25">
      <c r="C2080"/>
      <c r="D2080"/>
      <c r="E2080"/>
    </row>
    <row r="2081" spans="3:5" x14ac:dyDescent="0.25">
      <c r="C2081"/>
      <c r="D2081"/>
      <c r="E2081"/>
    </row>
    <row r="2082" spans="3:5" x14ac:dyDescent="0.25">
      <c r="C2082"/>
      <c r="D2082"/>
      <c r="E2082"/>
    </row>
    <row r="2083" spans="3:5" x14ac:dyDescent="0.25">
      <c r="C2083"/>
      <c r="D2083"/>
      <c r="E2083"/>
    </row>
    <row r="2084" spans="3:5" x14ac:dyDescent="0.25">
      <c r="C2084"/>
      <c r="D2084"/>
      <c r="E2084"/>
    </row>
    <row r="2085" spans="3:5" x14ac:dyDescent="0.25">
      <c r="C2085"/>
      <c r="D2085"/>
      <c r="E2085"/>
    </row>
    <row r="2086" spans="3:5" x14ac:dyDescent="0.25">
      <c r="C2086"/>
      <c r="D2086"/>
      <c r="E2086"/>
    </row>
    <row r="2087" spans="3:5" x14ac:dyDescent="0.25">
      <c r="C2087"/>
      <c r="D2087"/>
      <c r="E2087"/>
    </row>
    <row r="2088" spans="3:5" x14ac:dyDescent="0.25">
      <c r="C2088"/>
      <c r="D2088"/>
      <c r="E2088"/>
    </row>
    <row r="2089" spans="3:5" x14ac:dyDescent="0.25">
      <c r="C2089"/>
      <c r="D2089"/>
      <c r="E2089"/>
    </row>
    <row r="2090" spans="3:5" x14ac:dyDescent="0.25">
      <c r="C2090"/>
      <c r="D2090"/>
      <c r="E2090"/>
    </row>
    <row r="2091" spans="3:5" x14ac:dyDescent="0.25">
      <c r="C2091"/>
      <c r="D2091"/>
      <c r="E2091"/>
    </row>
    <row r="2092" spans="3:5" x14ac:dyDescent="0.25">
      <c r="C2092"/>
      <c r="D2092"/>
      <c r="E2092"/>
    </row>
    <row r="2093" spans="3:5" x14ac:dyDescent="0.25">
      <c r="C2093"/>
      <c r="D2093"/>
      <c r="E2093"/>
    </row>
    <row r="2094" spans="3:5" x14ac:dyDescent="0.25">
      <c r="C2094"/>
      <c r="D2094"/>
      <c r="E2094"/>
    </row>
    <row r="2095" spans="3:5" x14ac:dyDescent="0.25">
      <c r="C2095"/>
      <c r="D2095"/>
      <c r="E2095"/>
    </row>
    <row r="2096" spans="3:5" x14ac:dyDescent="0.25">
      <c r="C2096"/>
      <c r="D2096"/>
      <c r="E2096"/>
    </row>
    <row r="2097" spans="3:5" x14ac:dyDescent="0.25">
      <c r="C2097"/>
      <c r="D2097"/>
      <c r="E2097"/>
    </row>
    <row r="2098" spans="3:5" x14ac:dyDescent="0.25">
      <c r="C2098"/>
      <c r="D2098"/>
      <c r="E2098"/>
    </row>
    <row r="2099" spans="3:5" x14ac:dyDescent="0.25">
      <c r="C2099"/>
      <c r="D2099"/>
      <c r="E2099"/>
    </row>
    <row r="2100" spans="3:5" x14ac:dyDescent="0.25">
      <c r="C2100"/>
      <c r="D2100"/>
      <c r="E2100"/>
    </row>
    <row r="2101" spans="3:5" x14ac:dyDescent="0.25">
      <c r="C2101"/>
      <c r="D2101"/>
      <c r="E2101"/>
    </row>
    <row r="2102" spans="3:5" x14ac:dyDescent="0.25">
      <c r="C2102"/>
      <c r="D2102"/>
      <c r="E2102"/>
    </row>
    <row r="2103" spans="3:5" x14ac:dyDescent="0.25">
      <c r="C2103"/>
      <c r="D2103"/>
      <c r="E2103"/>
    </row>
    <row r="2104" spans="3:5" x14ac:dyDescent="0.25">
      <c r="C2104"/>
      <c r="D2104"/>
      <c r="E2104"/>
    </row>
    <row r="2105" spans="3:5" x14ac:dyDescent="0.25">
      <c r="C2105"/>
      <c r="D2105"/>
      <c r="E2105"/>
    </row>
    <row r="2106" spans="3:5" x14ac:dyDescent="0.25">
      <c r="C2106"/>
      <c r="D2106"/>
      <c r="E2106"/>
    </row>
    <row r="2107" spans="3:5" x14ac:dyDescent="0.25">
      <c r="C2107"/>
      <c r="D2107"/>
      <c r="E2107"/>
    </row>
    <row r="2108" spans="3:5" x14ac:dyDescent="0.25">
      <c r="C2108"/>
      <c r="D2108"/>
      <c r="E2108"/>
    </row>
    <row r="2109" spans="3:5" x14ac:dyDescent="0.25">
      <c r="C2109"/>
      <c r="D2109"/>
      <c r="E2109"/>
    </row>
    <row r="2110" spans="3:5" x14ac:dyDescent="0.25">
      <c r="C2110"/>
      <c r="D2110"/>
      <c r="E2110"/>
    </row>
    <row r="2111" spans="3:5" x14ac:dyDescent="0.25">
      <c r="C2111"/>
      <c r="D2111"/>
      <c r="E2111"/>
    </row>
    <row r="2112" spans="3:5" x14ac:dyDescent="0.25">
      <c r="C2112"/>
      <c r="D2112"/>
      <c r="E2112"/>
    </row>
    <row r="2113" spans="3:5" x14ac:dyDescent="0.25">
      <c r="C2113"/>
      <c r="D2113"/>
      <c r="E2113"/>
    </row>
    <row r="2114" spans="3:5" x14ac:dyDescent="0.25">
      <c r="C2114"/>
      <c r="D2114"/>
      <c r="E2114"/>
    </row>
    <row r="2115" spans="3:5" x14ac:dyDescent="0.25">
      <c r="C2115"/>
      <c r="D2115"/>
      <c r="E2115"/>
    </row>
    <row r="2116" spans="3:5" x14ac:dyDescent="0.25">
      <c r="C2116"/>
      <c r="D2116"/>
      <c r="E2116"/>
    </row>
    <row r="2117" spans="3:5" x14ac:dyDescent="0.25">
      <c r="C2117"/>
      <c r="D2117"/>
      <c r="E2117"/>
    </row>
    <row r="2118" spans="3:5" x14ac:dyDescent="0.25">
      <c r="C2118"/>
      <c r="D2118"/>
      <c r="E2118"/>
    </row>
    <row r="2119" spans="3:5" x14ac:dyDescent="0.25">
      <c r="C2119"/>
      <c r="D2119"/>
      <c r="E2119"/>
    </row>
    <row r="2120" spans="3:5" x14ac:dyDescent="0.25">
      <c r="C2120"/>
      <c r="D2120"/>
      <c r="E2120"/>
    </row>
    <row r="2121" spans="3:5" x14ac:dyDescent="0.25">
      <c r="C2121"/>
      <c r="D2121"/>
      <c r="E2121"/>
    </row>
    <row r="2122" spans="3:5" x14ac:dyDescent="0.25">
      <c r="C2122"/>
      <c r="D2122"/>
      <c r="E2122"/>
    </row>
    <row r="2123" spans="3:5" x14ac:dyDescent="0.25">
      <c r="C2123"/>
      <c r="D2123"/>
      <c r="E2123"/>
    </row>
    <row r="2124" spans="3:5" x14ac:dyDescent="0.25">
      <c r="C2124"/>
      <c r="D2124"/>
      <c r="E2124"/>
    </row>
    <row r="2125" spans="3:5" x14ac:dyDescent="0.25">
      <c r="C2125"/>
      <c r="D2125"/>
      <c r="E2125"/>
    </row>
    <row r="2126" spans="3:5" x14ac:dyDescent="0.25">
      <c r="C2126"/>
      <c r="D2126"/>
      <c r="E2126"/>
    </row>
    <row r="2127" spans="3:5" x14ac:dyDescent="0.25">
      <c r="C2127"/>
      <c r="D2127"/>
      <c r="E2127"/>
    </row>
    <row r="2128" spans="3:5" x14ac:dyDescent="0.25">
      <c r="C2128"/>
      <c r="D2128"/>
      <c r="E2128"/>
    </row>
    <row r="2129" spans="3:5" x14ac:dyDescent="0.25">
      <c r="C2129"/>
      <c r="D2129"/>
      <c r="E2129"/>
    </row>
    <row r="2130" spans="3:5" x14ac:dyDescent="0.25">
      <c r="C2130"/>
      <c r="D2130"/>
      <c r="E2130"/>
    </row>
    <row r="2131" spans="3:5" x14ac:dyDescent="0.25">
      <c r="C2131"/>
      <c r="D2131"/>
      <c r="E2131"/>
    </row>
    <row r="2132" spans="3:5" x14ac:dyDescent="0.25">
      <c r="C2132"/>
      <c r="D2132"/>
      <c r="E2132"/>
    </row>
    <row r="2133" spans="3:5" x14ac:dyDescent="0.25">
      <c r="C2133"/>
      <c r="D2133"/>
      <c r="E2133"/>
    </row>
    <row r="2134" spans="3:5" x14ac:dyDescent="0.25">
      <c r="C2134"/>
      <c r="D2134"/>
      <c r="E2134"/>
    </row>
    <row r="2135" spans="3:5" x14ac:dyDescent="0.25">
      <c r="C2135"/>
      <c r="D2135"/>
      <c r="E2135"/>
    </row>
    <row r="2136" spans="3:5" x14ac:dyDescent="0.25">
      <c r="C2136"/>
      <c r="D2136"/>
      <c r="E2136"/>
    </row>
    <row r="2137" spans="3:5" x14ac:dyDescent="0.25">
      <c r="C2137"/>
      <c r="D2137"/>
      <c r="E2137"/>
    </row>
    <row r="2138" spans="3:5" x14ac:dyDescent="0.25">
      <c r="C2138"/>
      <c r="D2138"/>
      <c r="E2138"/>
    </row>
    <row r="2139" spans="3:5" x14ac:dyDescent="0.25">
      <c r="C2139"/>
      <c r="D2139"/>
      <c r="E2139"/>
    </row>
    <row r="2140" spans="3:5" x14ac:dyDescent="0.25">
      <c r="C2140"/>
      <c r="D2140"/>
      <c r="E2140"/>
    </row>
    <row r="2141" spans="3:5" x14ac:dyDescent="0.25">
      <c r="C2141"/>
      <c r="D2141"/>
      <c r="E2141"/>
    </row>
    <row r="2142" spans="3:5" x14ac:dyDescent="0.25">
      <c r="C2142"/>
      <c r="D2142"/>
      <c r="E2142"/>
    </row>
    <row r="2143" spans="3:5" x14ac:dyDescent="0.25">
      <c r="C2143"/>
      <c r="D2143"/>
      <c r="E2143"/>
    </row>
    <row r="2144" spans="3:5" x14ac:dyDescent="0.25">
      <c r="C2144"/>
      <c r="D2144"/>
      <c r="E2144"/>
    </row>
    <row r="2145" spans="3:5" x14ac:dyDescent="0.25">
      <c r="C2145"/>
      <c r="D2145"/>
      <c r="E2145"/>
    </row>
    <row r="2146" spans="3:5" x14ac:dyDescent="0.25">
      <c r="C2146"/>
      <c r="D2146"/>
      <c r="E2146"/>
    </row>
    <row r="2147" spans="3:5" x14ac:dyDescent="0.25">
      <c r="C2147"/>
      <c r="D2147"/>
      <c r="E2147"/>
    </row>
    <row r="2148" spans="3:5" x14ac:dyDescent="0.25">
      <c r="C2148"/>
      <c r="D2148"/>
      <c r="E2148"/>
    </row>
    <row r="2149" spans="3:5" x14ac:dyDescent="0.25">
      <c r="C2149"/>
      <c r="D2149"/>
      <c r="E2149"/>
    </row>
    <row r="2150" spans="3:5" x14ac:dyDescent="0.25">
      <c r="C2150"/>
      <c r="D2150"/>
      <c r="E2150"/>
    </row>
    <row r="2151" spans="3:5" x14ac:dyDescent="0.25">
      <c r="C2151"/>
      <c r="D2151"/>
      <c r="E2151"/>
    </row>
    <row r="2152" spans="3:5" x14ac:dyDescent="0.25">
      <c r="C2152"/>
      <c r="D2152"/>
      <c r="E2152"/>
    </row>
    <row r="2153" spans="3:5" x14ac:dyDescent="0.25">
      <c r="C2153"/>
      <c r="D2153"/>
      <c r="E2153"/>
    </row>
    <row r="2154" spans="3:5" x14ac:dyDescent="0.25">
      <c r="C2154"/>
      <c r="D2154"/>
      <c r="E2154"/>
    </row>
    <row r="2155" spans="3:5" x14ac:dyDescent="0.25">
      <c r="C2155"/>
      <c r="D2155"/>
      <c r="E2155"/>
    </row>
    <row r="2156" spans="3:5" x14ac:dyDescent="0.25">
      <c r="C2156"/>
      <c r="D2156"/>
      <c r="E2156"/>
    </row>
    <row r="2157" spans="3:5" x14ac:dyDescent="0.25">
      <c r="C2157"/>
      <c r="D2157"/>
      <c r="E2157"/>
    </row>
    <row r="2158" spans="3:5" x14ac:dyDescent="0.25">
      <c r="C2158"/>
      <c r="D2158"/>
      <c r="E2158"/>
    </row>
    <row r="2159" spans="3:5" x14ac:dyDescent="0.25">
      <c r="C2159"/>
      <c r="D2159"/>
      <c r="E2159"/>
    </row>
    <row r="2160" spans="3:5" x14ac:dyDescent="0.25">
      <c r="C2160"/>
      <c r="D2160"/>
      <c r="E2160"/>
    </row>
    <row r="2161" spans="3:5" x14ac:dyDescent="0.25">
      <c r="C2161"/>
      <c r="D2161"/>
      <c r="E2161"/>
    </row>
    <row r="2162" spans="3:5" x14ac:dyDescent="0.25">
      <c r="C2162"/>
      <c r="D2162"/>
      <c r="E2162"/>
    </row>
    <row r="2163" spans="3:5" x14ac:dyDescent="0.25">
      <c r="C2163"/>
      <c r="D2163"/>
      <c r="E2163"/>
    </row>
    <row r="2164" spans="3:5" x14ac:dyDescent="0.25">
      <c r="C2164"/>
      <c r="D2164"/>
      <c r="E2164"/>
    </row>
    <row r="2165" spans="3:5" x14ac:dyDescent="0.25">
      <c r="C2165"/>
      <c r="D2165"/>
      <c r="E2165"/>
    </row>
    <row r="2166" spans="3:5" x14ac:dyDescent="0.25">
      <c r="C2166"/>
      <c r="D2166"/>
      <c r="E2166"/>
    </row>
    <row r="2167" spans="3:5" x14ac:dyDescent="0.25">
      <c r="C2167"/>
      <c r="D2167"/>
      <c r="E2167"/>
    </row>
    <row r="2168" spans="3:5" x14ac:dyDescent="0.25">
      <c r="C2168"/>
      <c r="D2168"/>
      <c r="E2168"/>
    </row>
    <row r="2169" spans="3:5" x14ac:dyDescent="0.25">
      <c r="C2169"/>
      <c r="D2169"/>
      <c r="E2169"/>
    </row>
    <row r="2170" spans="3:5" x14ac:dyDescent="0.25">
      <c r="C2170"/>
      <c r="D2170"/>
      <c r="E2170"/>
    </row>
    <row r="2171" spans="3:5" x14ac:dyDescent="0.25">
      <c r="C2171"/>
      <c r="D2171"/>
      <c r="E2171"/>
    </row>
    <row r="2172" spans="3:5" x14ac:dyDescent="0.25">
      <c r="C2172"/>
      <c r="D2172"/>
      <c r="E2172"/>
    </row>
    <row r="2173" spans="3:5" x14ac:dyDescent="0.25">
      <c r="C2173"/>
      <c r="D2173"/>
      <c r="E2173"/>
    </row>
    <row r="2174" spans="3:5" x14ac:dyDescent="0.25">
      <c r="C2174"/>
      <c r="D2174"/>
      <c r="E2174"/>
    </row>
    <row r="2175" spans="3:5" x14ac:dyDescent="0.25">
      <c r="C2175"/>
      <c r="D2175"/>
      <c r="E2175"/>
    </row>
    <row r="2176" spans="3:5" x14ac:dyDescent="0.25">
      <c r="C2176"/>
      <c r="D2176"/>
      <c r="E2176"/>
    </row>
    <row r="2177" spans="3:5" x14ac:dyDescent="0.25">
      <c r="C2177"/>
      <c r="D2177"/>
      <c r="E2177"/>
    </row>
    <row r="2178" spans="3:5" x14ac:dyDescent="0.25">
      <c r="C2178"/>
      <c r="D2178"/>
      <c r="E2178"/>
    </row>
    <row r="2179" spans="3:5" x14ac:dyDescent="0.25">
      <c r="C2179"/>
      <c r="D2179"/>
      <c r="E2179"/>
    </row>
    <row r="2180" spans="3:5" x14ac:dyDescent="0.25">
      <c r="C2180"/>
      <c r="D2180"/>
      <c r="E2180"/>
    </row>
    <row r="2181" spans="3:5" x14ac:dyDescent="0.25">
      <c r="C2181"/>
      <c r="D2181"/>
      <c r="E2181"/>
    </row>
    <row r="2182" spans="3:5" x14ac:dyDescent="0.25">
      <c r="C2182"/>
      <c r="D2182"/>
      <c r="E2182"/>
    </row>
    <row r="2183" spans="3:5" x14ac:dyDescent="0.25">
      <c r="C2183"/>
      <c r="D2183"/>
      <c r="E2183"/>
    </row>
    <row r="2184" spans="3:5" x14ac:dyDescent="0.25">
      <c r="C2184"/>
      <c r="D2184"/>
      <c r="E2184"/>
    </row>
    <row r="2185" spans="3:5" x14ac:dyDescent="0.25">
      <c r="C2185"/>
      <c r="D2185"/>
      <c r="E2185"/>
    </row>
    <row r="2186" spans="3:5" x14ac:dyDescent="0.25">
      <c r="C2186"/>
      <c r="D2186"/>
      <c r="E2186"/>
    </row>
    <row r="2187" spans="3:5" x14ac:dyDescent="0.25">
      <c r="C2187"/>
      <c r="D2187"/>
      <c r="E2187"/>
    </row>
    <row r="2188" spans="3:5" x14ac:dyDescent="0.25">
      <c r="C2188"/>
      <c r="D2188"/>
      <c r="E2188"/>
    </row>
    <row r="2189" spans="3:5" x14ac:dyDescent="0.25">
      <c r="C2189"/>
      <c r="D2189"/>
      <c r="E2189"/>
    </row>
    <row r="2190" spans="3:5" x14ac:dyDescent="0.25">
      <c r="C2190"/>
      <c r="D2190"/>
      <c r="E2190"/>
    </row>
    <row r="2191" spans="3:5" x14ac:dyDescent="0.25">
      <c r="C2191"/>
      <c r="D2191"/>
      <c r="E2191"/>
    </row>
    <row r="2192" spans="3:5" x14ac:dyDescent="0.25">
      <c r="C2192"/>
      <c r="D2192"/>
      <c r="E2192"/>
    </row>
    <row r="2193" spans="3:5" x14ac:dyDescent="0.25">
      <c r="C2193"/>
      <c r="D2193"/>
      <c r="E2193"/>
    </row>
    <row r="2194" spans="3:5" x14ac:dyDescent="0.25">
      <c r="C2194"/>
      <c r="D2194"/>
      <c r="E2194"/>
    </row>
    <row r="2195" spans="3:5" x14ac:dyDescent="0.25">
      <c r="C2195"/>
      <c r="D2195"/>
      <c r="E2195"/>
    </row>
    <row r="2196" spans="3:5" x14ac:dyDescent="0.25">
      <c r="C2196"/>
      <c r="D2196"/>
      <c r="E2196"/>
    </row>
    <row r="2197" spans="3:5" x14ac:dyDescent="0.25">
      <c r="C2197"/>
      <c r="D2197"/>
      <c r="E2197"/>
    </row>
    <row r="2198" spans="3:5" x14ac:dyDescent="0.25">
      <c r="C2198"/>
      <c r="D2198"/>
      <c r="E2198"/>
    </row>
    <row r="2199" spans="3:5" x14ac:dyDescent="0.25">
      <c r="C2199"/>
      <c r="D2199"/>
      <c r="E2199"/>
    </row>
    <row r="2200" spans="3:5" x14ac:dyDescent="0.25">
      <c r="C2200"/>
      <c r="D2200"/>
      <c r="E2200"/>
    </row>
    <row r="2201" spans="3:5" x14ac:dyDescent="0.25">
      <c r="C2201"/>
      <c r="D2201"/>
      <c r="E2201"/>
    </row>
    <row r="2202" spans="3:5" x14ac:dyDescent="0.25">
      <c r="C2202"/>
      <c r="D2202"/>
      <c r="E2202"/>
    </row>
    <row r="2203" spans="3:5" x14ac:dyDescent="0.25">
      <c r="C2203"/>
      <c r="D2203"/>
      <c r="E2203"/>
    </row>
    <row r="2204" spans="3:5" x14ac:dyDescent="0.25">
      <c r="C2204"/>
      <c r="D2204"/>
      <c r="E2204"/>
    </row>
    <row r="2205" spans="3:5" x14ac:dyDescent="0.25">
      <c r="C2205"/>
      <c r="D2205"/>
      <c r="E2205"/>
    </row>
    <row r="2206" spans="3:5" x14ac:dyDescent="0.25">
      <c r="C2206"/>
      <c r="D2206"/>
      <c r="E2206"/>
    </row>
    <row r="2207" spans="3:5" x14ac:dyDescent="0.25">
      <c r="C2207"/>
      <c r="D2207"/>
      <c r="E2207"/>
    </row>
    <row r="2208" spans="3:5" x14ac:dyDescent="0.25">
      <c r="C2208"/>
      <c r="D2208"/>
      <c r="E2208"/>
    </row>
    <row r="2209" spans="3:5" x14ac:dyDescent="0.25">
      <c r="C2209"/>
      <c r="D2209"/>
      <c r="E2209"/>
    </row>
    <row r="2210" spans="3:5" x14ac:dyDescent="0.25">
      <c r="C2210"/>
      <c r="D2210"/>
      <c r="E2210"/>
    </row>
    <row r="2211" spans="3:5" x14ac:dyDescent="0.25">
      <c r="C2211"/>
      <c r="D2211"/>
      <c r="E2211"/>
    </row>
    <row r="2212" spans="3:5" x14ac:dyDescent="0.25">
      <c r="C2212"/>
      <c r="D2212"/>
      <c r="E2212"/>
    </row>
    <row r="2213" spans="3:5" x14ac:dyDescent="0.25">
      <c r="C2213"/>
      <c r="D2213"/>
      <c r="E2213"/>
    </row>
    <row r="2214" spans="3:5" x14ac:dyDescent="0.25">
      <c r="C2214"/>
      <c r="D2214"/>
      <c r="E2214"/>
    </row>
    <row r="2215" spans="3:5" x14ac:dyDescent="0.25">
      <c r="C2215"/>
      <c r="D2215"/>
      <c r="E2215"/>
    </row>
    <row r="2216" spans="3:5" x14ac:dyDescent="0.25">
      <c r="C2216"/>
      <c r="D2216"/>
      <c r="E2216"/>
    </row>
    <row r="2217" spans="3:5" x14ac:dyDescent="0.25">
      <c r="C2217"/>
      <c r="D2217"/>
      <c r="E2217"/>
    </row>
    <row r="2218" spans="3:5" x14ac:dyDescent="0.25">
      <c r="C2218"/>
      <c r="D2218"/>
      <c r="E2218"/>
    </row>
    <row r="2219" spans="3:5" x14ac:dyDescent="0.25">
      <c r="C2219"/>
      <c r="D2219"/>
      <c r="E2219"/>
    </row>
    <row r="2220" spans="3:5" x14ac:dyDescent="0.25">
      <c r="C2220"/>
      <c r="D2220"/>
      <c r="E2220"/>
    </row>
    <row r="2221" spans="3:5" x14ac:dyDescent="0.25">
      <c r="C2221"/>
      <c r="D2221"/>
      <c r="E2221"/>
    </row>
    <row r="2222" spans="3:5" x14ac:dyDescent="0.25">
      <c r="C2222"/>
      <c r="D2222"/>
      <c r="E2222"/>
    </row>
    <row r="2223" spans="3:5" x14ac:dyDescent="0.25">
      <c r="C2223"/>
      <c r="D2223"/>
      <c r="E2223"/>
    </row>
    <row r="2224" spans="3:5" x14ac:dyDescent="0.25">
      <c r="C2224"/>
      <c r="D2224"/>
      <c r="E2224"/>
    </row>
    <row r="2225" spans="3:5" x14ac:dyDescent="0.25">
      <c r="C2225"/>
      <c r="D2225"/>
      <c r="E2225"/>
    </row>
    <row r="2226" spans="3:5" x14ac:dyDescent="0.25">
      <c r="C2226"/>
      <c r="D2226"/>
      <c r="E2226"/>
    </row>
    <row r="2227" spans="3:5" x14ac:dyDescent="0.25">
      <c r="C2227"/>
      <c r="D2227"/>
      <c r="E2227"/>
    </row>
    <row r="2228" spans="3:5" x14ac:dyDescent="0.25">
      <c r="C2228"/>
      <c r="D2228"/>
      <c r="E2228"/>
    </row>
    <row r="2229" spans="3:5" x14ac:dyDescent="0.25">
      <c r="C2229"/>
      <c r="D2229"/>
      <c r="E2229"/>
    </row>
    <row r="2230" spans="3:5" x14ac:dyDescent="0.25">
      <c r="C2230"/>
      <c r="D2230"/>
      <c r="E2230"/>
    </row>
    <row r="2231" spans="3:5" x14ac:dyDescent="0.25">
      <c r="C2231"/>
      <c r="D2231"/>
      <c r="E2231"/>
    </row>
    <row r="2232" spans="3:5" x14ac:dyDescent="0.25">
      <c r="C2232"/>
      <c r="D2232"/>
      <c r="E2232"/>
    </row>
    <row r="2233" spans="3:5" x14ac:dyDescent="0.25">
      <c r="C2233"/>
      <c r="D2233"/>
      <c r="E2233"/>
    </row>
    <row r="2234" spans="3:5" x14ac:dyDescent="0.25">
      <c r="C2234"/>
      <c r="D2234"/>
      <c r="E2234"/>
    </row>
    <row r="2235" spans="3:5" x14ac:dyDescent="0.25">
      <c r="C2235"/>
      <c r="D2235"/>
      <c r="E2235"/>
    </row>
    <row r="2236" spans="3:5" x14ac:dyDescent="0.25">
      <c r="C2236"/>
      <c r="D2236"/>
      <c r="E2236"/>
    </row>
    <row r="2237" spans="3:5" x14ac:dyDescent="0.25">
      <c r="C2237"/>
      <c r="D2237"/>
      <c r="E2237"/>
    </row>
    <row r="2238" spans="3:5" x14ac:dyDescent="0.25">
      <c r="C2238"/>
      <c r="D2238"/>
      <c r="E2238"/>
    </row>
    <row r="2239" spans="3:5" x14ac:dyDescent="0.25">
      <c r="C2239"/>
      <c r="D2239"/>
      <c r="E2239"/>
    </row>
    <row r="2240" spans="3:5" x14ac:dyDescent="0.25">
      <c r="C2240"/>
      <c r="D2240"/>
      <c r="E2240"/>
    </row>
    <row r="2241" spans="3:5" x14ac:dyDescent="0.25">
      <c r="C2241"/>
      <c r="D2241"/>
      <c r="E2241"/>
    </row>
    <row r="2242" spans="3:5" x14ac:dyDescent="0.25">
      <c r="C2242"/>
      <c r="D2242"/>
      <c r="E2242"/>
    </row>
    <row r="2243" spans="3:5" x14ac:dyDescent="0.25">
      <c r="C2243"/>
      <c r="D2243"/>
      <c r="E2243"/>
    </row>
    <row r="2244" spans="3:5" x14ac:dyDescent="0.25">
      <c r="C2244"/>
      <c r="D2244"/>
      <c r="E2244"/>
    </row>
    <row r="2245" spans="3:5" x14ac:dyDescent="0.25">
      <c r="C2245"/>
      <c r="D2245"/>
      <c r="E2245"/>
    </row>
    <row r="2246" spans="3:5" x14ac:dyDescent="0.25">
      <c r="C2246"/>
      <c r="D2246"/>
      <c r="E2246"/>
    </row>
    <row r="2247" spans="3:5" x14ac:dyDescent="0.25">
      <c r="C2247"/>
      <c r="D2247"/>
      <c r="E2247"/>
    </row>
    <row r="2248" spans="3:5" x14ac:dyDescent="0.25">
      <c r="C2248"/>
      <c r="D2248"/>
      <c r="E2248"/>
    </row>
    <row r="2249" spans="3:5" x14ac:dyDescent="0.25">
      <c r="C2249"/>
      <c r="D2249"/>
      <c r="E2249"/>
    </row>
    <row r="2250" spans="3:5" x14ac:dyDescent="0.25">
      <c r="C2250"/>
      <c r="D2250"/>
      <c r="E2250"/>
    </row>
    <row r="2251" spans="3:5" x14ac:dyDescent="0.25">
      <c r="C2251"/>
      <c r="D2251"/>
      <c r="E2251"/>
    </row>
    <row r="2252" spans="3:5" x14ac:dyDescent="0.25">
      <c r="C2252"/>
      <c r="D2252"/>
      <c r="E2252"/>
    </row>
    <row r="2253" spans="3:5" x14ac:dyDescent="0.25">
      <c r="C2253"/>
      <c r="D2253"/>
      <c r="E2253"/>
    </row>
    <row r="2254" spans="3:5" x14ac:dyDescent="0.25">
      <c r="C2254"/>
      <c r="D2254"/>
      <c r="E2254"/>
    </row>
    <row r="2255" spans="3:5" x14ac:dyDescent="0.25">
      <c r="C2255"/>
      <c r="D2255"/>
      <c r="E2255"/>
    </row>
    <row r="2256" spans="3:5" x14ac:dyDescent="0.25">
      <c r="C2256"/>
      <c r="D2256"/>
      <c r="E2256"/>
    </row>
    <row r="2257" spans="3:5" x14ac:dyDescent="0.25">
      <c r="C2257"/>
      <c r="D2257"/>
      <c r="E2257"/>
    </row>
    <row r="2258" spans="3:5" x14ac:dyDescent="0.25">
      <c r="C2258"/>
      <c r="D2258"/>
      <c r="E2258"/>
    </row>
    <row r="2259" spans="3:5" x14ac:dyDescent="0.25">
      <c r="C2259"/>
      <c r="D2259"/>
      <c r="E2259"/>
    </row>
    <row r="2260" spans="3:5" x14ac:dyDescent="0.25">
      <c r="C2260"/>
      <c r="D2260"/>
      <c r="E2260"/>
    </row>
    <row r="2261" spans="3:5" x14ac:dyDescent="0.25">
      <c r="C2261"/>
      <c r="D2261"/>
      <c r="E2261"/>
    </row>
    <row r="2262" spans="3:5" x14ac:dyDescent="0.25">
      <c r="C2262"/>
      <c r="D2262"/>
      <c r="E2262"/>
    </row>
    <row r="2263" spans="3:5" x14ac:dyDescent="0.25">
      <c r="C2263"/>
      <c r="D2263"/>
      <c r="E2263"/>
    </row>
    <row r="2264" spans="3:5" x14ac:dyDescent="0.25">
      <c r="C2264"/>
      <c r="D2264"/>
      <c r="E2264"/>
    </row>
    <row r="2265" spans="3:5" x14ac:dyDescent="0.25">
      <c r="C2265"/>
      <c r="D2265"/>
      <c r="E2265"/>
    </row>
    <row r="2266" spans="3:5" x14ac:dyDescent="0.25">
      <c r="C2266"/>
      <c r="D2266"/>
      <c r="E2266"/>
    </row>
    <row r="2267" spans="3:5" x14ac:dyDescent="0.25">
      <c r="C2267"/>
      <c r="D2267"/>
      <c r="E2267"/>
    </row>
    <row r="2268" spans="3:5" x14ac:dyDescent="0.25">
      <c r="C2268"/>
      <c r="D2268"/>
      <c r="E2268"/>
    </row>
    <row r="2269" spans="3:5" x14ac:dyDescent="0.25">
      <c r="C2269"/>
      <c r="D2269"/>
      <c r="E2269"/>
    </row>
    <row r="2270" spans="3:5" x14ac:dyDescent="0.25">
      <c r="C2270"/>
      <c r="D2270"/>
      <c r="E2270"/>
    </row>
    <row r="2271" spans="3:5" x14ac:dyDescent="0.25">
      <c r="C2271"/>
      <c r="D2271"/>
      <c r="E2271"/>
    </row>
    <row r="2272" spans="3:5" x14ac:dyDescent="0.25">
      <c r="C2272"/>
      <c r="D2272"/>
      <c r="E2272"/>
    </row>
    <row r="2273" spans="3:5" x14ac:dyDescent="0.25">
      <c r="C2273"/>
      <c r="D2273"/>
      <c r="E2273"/>
    </row>
    <row r="2274" spans="3:5" x14ac:dyDescent="0.25">
      <c r="C2274"/>
      <c r="D2274"/>
      <c r="E2274"/>
    </row>
    <row r="2275" spans="3:5" x14ac:dyDescent="0.25">
      <c r="C2275"/>
      <c r="D2275"/>
      <c r="E2275"/>
    </row>
    <row r="2276" spans="3:5" x14ac:dyDescent="0.25">
      <c r="C2276"/>
      <c r="D2276"/>
      <c r="E2276"/>
    </row>
    <row r="2277" spans="3:5" x14ac:dyDescent="0.25">
      <c r="C2277"/>
      <c r="D2277"/>
      <c r="E2277"/>
    </row>
    <row r="2278" spans="3:5" x14ac:dyDescent="0.25">
      <c r="C2278"/>
      <c r="D2278"/>
      <c r="E2278"/>
    </row>
    <row r="2279" spans="3:5" x14ac:dyDescent="0.25">
      <c r="C2279"/>
      <c r="D2279"/>
      <c r="E2279"/>
    </row>
    <row r="2280" spans="3:5" x14ac:dyDescent="0.25">
      <c r="C2280"/>
      <c r="D2280"/>
      <c r="E2280"/>
    </row>
    <row r="2281" spans="3:5" x14ac:dyDescent="0.25">
      <c r="C2281"/>
      <c r="D2281"/>
      <c r="E2281"/>
    </row>
    <row r="2282" spans="3:5" x14ac:dyDescent="0.25">
      <c r="C2282"/>
      <c r="D2282"/>
      <c r="E2282"/>
    </row>
    <row r="2283" spans="3:5" x14ac:dyDescent="0.25">
      <c r="C2283"/>
      <c r="D2283"/>
      <c r="E2283"/>
    </row>
    <row r="2284" spans="3:5" x14ac:dyDescent="0.25">
      <c r="C2284"/>
      <c r="D2284"/>
      <c r="E2284"/>
    </row>
    <row r="2285" spans="3:5" x14ac:dyDescent="0.25">
      <c r="C2285"/>
      <c r="D2285"/>
      <c r="E2285"/>
    </row>
    <row r="2286" spans="3:5" x14ac:dyDescent="0.25">
      <c r="C2286"/>
      <c r="D2286"/>
      <c r="E2286"/>
    </row>
    <row r="2287" spans="3:5" x14ac:dyDescent="0.25">
      <c r="C2287"/>
      <c r="D2287"/>
      <c r="E2287"/>
    </row>
    <row r="2288" spans="3:5" x14ac:dyDescent="0.25">
      <c r="C2288"/>
      <c r="D2288"/>
      <c r="E2288"/>
    </row>
    <row r="2289" spans="3:5" x14ac:dyDescent="0.25">
      <c r="C2289"/>
      <c r="D2289"/>
      <c r="E2289"/>
    </row>
    <row r="2290" spans="3:5" x14ac:dyDescent="0.25">
      <c r="C2290"/>
      <c r="D2290"/>
      <c r="E2290"/>
    </row>
    <row r="2291" spans="3:5" x14ac:dyDescent="0.25">
      <c r="C2291"/>
      <c r="D2291"/>
      <c r="E2291"/>
    </row>
    <row r="2292" spans="3:5" x14ac:dyDescent="0.25">
      <c r="C2292"/>
      <c r="D2292"/>
      <c r="E2292"/>
    </row>
    <row r="2293" spans="3:5" x14ac:dyDescent="0.25">
      <c r="C2293"/>
      <c r="D2293"/>
      <c r="E2293"/>
    </row>
    <row r="2294" spans="3:5" x14ac:dyDescent="0.25">
      <c r="C2294"/>
      <c r="D2294"/>
      <c r="E2294"/>
    </row>
    <row r="2295" spans="3:5" x14ac:dyDescent="0.25">
      <c r="C2295"/>
      <c r="D2295"/>
      <c r="E2295"/>
    </row>
    <row r="2296" spans="3:5" x14ac:dyDescent="0.25">
      <c r="C2296"/>
      <c r="D2296"/>
      <c r="E2296"/>
    </row>
    <row r="2297" spans="3:5" x14ac:dyDescent="0.25">
      <c r="C2297"/>
      <c r="D2297"/>
      <c r="E2297"/>
    </row>
    <row r="2298" spans="3:5" x14ac:dyDescent="0.25">
      <c r="C2298"/>
      <c r="D2298"/>
      <c r="E2298"/>
    </row>
    <row r="2299" spans="3:5" x14ac:dyDescent="0.25">
      <c r="C2299"/>
      <c r="D2299"/>
      <c r="E2299"/>
    </row>
    <row r="2300" spans="3:5" x14ac:dyDescent="0.25">
      <c r="C2300"/>
      <c r="D2300"/>
      <c r="E2300"/>
    </row>
    <row r="2301" spans="3:5" x14ac:dyDescent="0.25">
      <c r="C2301"/>
      <c r="D2301"/>
      <c r="E2301"/>
    </row>
    <row r="2302" spans="3:5" x14ac:dyDescent="0.25">
      <c r="C2302"/>
      <c r="D2302"/>
      <c r="E2302"/>
    </row>
    <row r="2303" spans="3:5" x14ac:dyDescent="0.25">
      <c r="C2303"/>
      <c r="D2303"/>
      <c r="E2303"/>
    </row>
    <row r="2304" spans="3:5" x14ac:dyDescent="0.25">
      <c r="C2304"/>
      <c r="D2304"/>
      <c r="E2304"/>
    </row>
    <row r="2305" spans="3:5" x14ac:dyDescent="0.25">
      <c r="C2305"/>
      <c r="D2305"/>
      <c r="E2305"/>
    </row>
    <row r="2306" spans="3:5" x14ac:dyDescent="0.25">
      <c r="C2306"/>
      <c r="D2306"/>
      <c r="E2306"/>
    </row>
    <row r="2307" spans="3:5" x14ac:dyDescent="0.25">
      <c r="C2307"/>
      <c r="D2307"/>
      <c r="E2307"/>
    </row>
    <row r="2308" spans="3:5" x14ac:dyDescent="0.25">
      <c r="C2308"/>
      <c r="D2308"/>
      <c r="E2308"/>
    </row>
    <row r="2309" spans="3:5" x14ac:dyDescent="0.25">
      <c r="C2309"/>
      <c r="D2309"/>
      <c r="E2309"/>
    </row>
    <row r="2310" spans="3:5" x14ac:dyDescent="0.25">
      <c r="C2310"/>
      <c r="D2310"/>
      <c r="E2310"/>
    </row>
    <row r="2311" spans="3:5" x14ac:dyDescent="0.25">
      <c r="C2311"/>
      <c r="D2311"/>
      <c r="E2311"/>
    </row>
    <row r="2312" spans="3:5" x14ac:dyDescent="0.25">
      <c r="C2312"/>
      <c r="D2312"/>
      <c r="E2312"/>
    </row>
    <row r="2313" spans="3:5" x14ac:dyDescent="0.25">
      <c r="C2313"/>
      <c r="D2313"/>
      <c r="E2313"/>
    </row>
    <row r="2314" spans="3:5" x14ac:dyDescent="0.25">
      <c r="C2314"/>
      <c r="D2314"/>
      <c r="E2314"/>
    </row>
    <row r="2315" spans="3:5" x14ac:dyDescent="0.25">
      <c r="C2315"/>
      <c r="D2315"/>
      <c r="E2315"/>
    </row>
    <row r="2316" spans="3:5" x14ac:dyDescent="0.25">
      <c r="C2316"/>
      <c r="D2316"/>
      <c r="E2316"/>
    </row>
    <row r="2317" spans="3:5" x14ac:dyDescent="0.25">
      <c r="C2317"/>
      <c r="D2317"/>
      <c r="E2317"/>
    </row>
    <row r="2318" spans="3:5" x14ac:dyDescent="0.25">
      <c r="C2318"/>
      <c r="D2318"/>
      <c r="E2318"/>
    </row>
    <row r="2319" spans="3:5" x14ac:dyDescent="0.25">
      <c r="C2319"/>
      <c r="D2319"/>
      <c r="E2319"/>
    </row>
    <row r="2320" spans="3:5" x14ac:dyDescent="0.25">
      <c r="C2320"/>
      <c r="D2320"/>
      <c r="E2320"/>
    </row>
    <row r="2321" spans="3:5" x14ac:dyDescent="0.25">
      <c r="C2321"/>
      <c r="D2321"/>
      <c r="E2321"/>
    </row>
    <row r="2322" spans="3:5" x14ac:dyDescent="0.25">
      <c r="C2322"/>
      <c r="D2322"/>
      <c r="E2322"/>
    </row>
    <row r="2323" spans="3:5" x14ac:dyDescent="0.25">
      <c r="C2323"/>
      <c r="D2323"/>
      <c r="E2323"/>
    </row>
    <row r="2324" spans="3:5" x14ac:dyDescent="0.25">
      <c r="C2324"/>
      <c r="D2324"/>
      <c r="E2324"/>
    </row>
    <row r="2325" spans="3:5" x14ac:dyDescent="0.25">
      <c r="C2325"/>
      <c r="D2325"/>
      <c r="E2325"/>
    </row>
    <row r="2326" spans="3:5" x14ac:dyDescent="0.25">
      <c r="C2326"/>
      <c r="D2326"/>
      <c r="E2326"/>
    </row>
    <row r="2327" spans="3:5" x14ac:dyDescent="0.25">
      <c r="C2327"/>
      <c r="D2327"/>
      <c r="E2327"/>
    </row>
    <row r="2328" spans="3:5" x14ac:dyDescent="0.25">
      <c r="C2328"/>
      <c r="D2328"/>
      <c r="E2328"/>
    </row>
    <row r="2329" spans="3:5" x14ac:dyDescent="0.25">
      <c r="C2329"/>
      <c r="D2329"/>
      <c r="E2329"/>
    </row>
    <row r="2330" spans="3:5" x14ac:dyDescent="0.25">
      <c r="C2330"/>
      <c r="D2330"/>
      <c r="E2330"/>
    </row>
    <row r="2331" spans="3:5" x14ac:dyDescent="0.25">
      <c r="C2331"/>
      <c r="D2331"/>
      <c r="E2331"/>
    </row>
    <row r="2332" spans="3:5" x14ac:dyDescent="0.25">
      <c r="C2332"/>
      <c r="D2332"/>
      <c r="E2332"/>
    </row>
    <row r="2333" spans="3:5" x14ac:dyDescent="0.25">
      <c r="C2333"/>
      <c r="D2333"/>
      <c r="E2333"/>
    </row>
    <row r="2334" spans="3:5" x14ac:dyDescent="0.25">
      <c r="C2334"/>
      <c r="D2334"/>
      <c r="E2334"/>
    </row>
    <row r="2335" spans="3:5" x14ac:dyDescent="0.25">
      <c r="C2335"/>
      <c r="D2335"/>
      <c r="E2335"/>
    </row>
    <row r="2336" spans="3:5" x14ac:dyDescent="0.25">
      <c r="C2336"/>
      <c r="D2336"/>
      <c r="E2336"/>
    </row>
    <row r="2337" spans="3:5" x14ac:dyDescent="0.25">
      <c r="C2337"/>
      <c r="D2337"/>
      <c r="E2337"/>
    </row>
    <row r="2338" spans="3:5" x14ac:dyDescent="0.25">
      <c r="C2338"/>
      <c r="D2338"/>
      <c r="E2338"/>
    </row>
    <row r="2339" spans="3:5" x14ac:dyDescent="0.25">
      <c r="C2339"/>
      <c r="D2339"/>
      <c r="E2339"/>
    </row>
    <row r="2340" spans="3:5" x14ac:dyDescent="0.25">
      <c r="C2340"/>
      <c r="D2340"/>
      <c r="E2340"/>
    </row>
    <row r="2341" spans="3:5" x14ac:dyDescent="0.25">
      <c r="C2341"/>
      <c r="D2341"/>
      <c r="E2341"/>
    </row>
    <row r="2342" spans="3:5" x14ac:dyDescent="0.25">
      <c r="C2342"/>
      <c r="D2342"/>
      <c r="E2342"/>
    </row>
    <row r="2343" spans="3:5" x14ac:dyDescent="0.25">
      <c r="C2343"/>
      <c r="D2343"/>
      <c r="E2343"/>
    </row>
    <row r="2344" spans="3:5" x14ac:dyDescent="0.25">
      <c r="C2344"/>
      <c r="D2344"/>
      <c r="E2344"/>
    </row>
    <row r="2345" spans="3:5" x14ac:dyDescent="0.25">
      <c r="C2345"/>
      <c r="D2345"/>
      <c r="E2345"/>
    </row>
    <row r="2346" spans="3:5" x14ac:dyDescent="0.25">
      <c r="C2346"/>
      <c r="D2346"/>
      <c r="E2346"/>
    </row>
    <row r="2347" spans="3:5" x14ac:dyDescent="0.25">
      <c r="C2347"/>
      <c r="D2347"/>
      <c r="E2347"/>
    </row>
    <row r="2348" spans="3:5" x14ac:dyDescent="0.25">
      <c r="C2348"/>
      <c r="D2348"/>
      <c r="E2348"/>
    </row>
    <row r="2349" spans="3:5" x14ac:dyDescent="0.25">
      <c r="C2349"/>
      <c r="D2349"/>
      <c r="E2349"/>
    </row>
    <row r="2350" spans="3:5" x14ac:dyDescent="0.25">
      <c r="C2350"/>
      <c r="D2350"/>
      <c r="E2350"/>
    </row>
    <row r="2351" spans="3:5" x14ac:dyDescent="0.25">
      <c r="C2351"/>
      <c r="D2351"/>
      <c r="E2351"/>
    </row>
    <row r="2352" spans="3:5" x14ac:dyDescent="0.25">
      <c r="C2352"/>
      <c r="D2352"/>
      <c r="E2352"/>
    </row>
    <row r="2353" spans="3:5" x14ac:dyDescent="0.25">
      <c r="C2353"/>
      <c r="D2353"/>
      <c r="E2353"/>
    </row>
    <row r="2354" spans="3:5" x14ac:dyDescent="0.25">
      <c r="C2354"/>
      <c r="D2354"/>
      <c r="E2354"/>
    </row>
    <row r="2355" spans="3:5" x14ac:dyDescent="0.25">
      <c r="C2355"/>
      <c r="D2355"/>
      <c r="E2355"/>
    </row>
    <row r="2356" spans="3:5" x14ac:dyDescent="0.25">
      <c r="C2356"/>
      <c r="D2356"/>
      <c r="E2356"/>
    </row>
    <row r="2357" spans="3:5" x14ac:dyDescent="0.25">
      <c r="C2357"/>
      <c r="D2357"/>
      <c r="E2357"/>
    </row>
    <row r="2358" spans="3:5" x14ac:dyDescent="0.25">
      <c r="C2358"/>
      <c r="D2358"/>
      <c r="E2358"/>
    </row>
    <row r="2359" spans="3:5" x14ac:dyDescent="0.25">
      <c r="C2359"/>
      <c r="D2359"/>
      <c r="E2359"/>
    </row>
    <row r="2360" spans="3:5" x14ac:dyDescent="0.25">
      <c r="C2360"/>
      <c r="D2360"/>
      <c r="E2360"/>
    </row>
    <row r="2361" spans="3:5" x14ac:dyDescent="0.25">
      <c r="C2361"/>
      <c r="D2361"/>
      <c r="E2361"/>
    </row>
    <row r="2362" spans="3:5" x14ac:dyDescent="0.25">
      <c r="C2362"/>
      <c r="D2362"/>
      <c r="E2362"/>
    </row>
    <row r="2363" spans="3:5" x14ac:dyDescent="0.25">
      <c r="C2363"/>
      <c r="D2363"/>
      <c r="E2363"/>
    </row>
    <row r="2364" spans="3:5" x14ac:dyDescent="0.25">
      <c r="C2364"/>
      <c r="D2364"/>
      <c r="E2364"/>
    </row>
    <row r="2365" spans="3:5" x14ac:dyDescent="0.25">
      <c r="C2365"/>
      <c r="D2365"/>
      <c r="E2365"/>
    </row>
    <row r="2366" spans="3:5" x14ac:dyDescent="0.25">
      <c r="C2366"/>
      <c r="D2366"/>
      <c r="E2366"/>
    </row>
    <row r="2367" spans="3:5" x14ac:dyDescent="0.25">
      <c r="C2367"/>
      <c r="D2367"/>
      <c r="E2367"/>
    </row>
    <row r="2368" spans="3:5" x14ac:dyDescent="0.25">
      <c r="C2368"/>
      <c r="D2368"/>
      <c r="E2368"/>
    </row>
    <row r="2369" spans="3:5" x14ac:dyDescent="0.25">
      <c r="C2369"/>
      <c r="D2369"/>
      <c r="E2369"/>
    </row>
    <row r="2370" spans="3:5" x14ac:dyDescent="0.25">
      <c r="C2370"/>
      <c r="D2370"/>
      <c r="E2370"/>
    </row>
    <row r="2371" spans="3:5" x14ac:dyDescent="0.25">
      <c r="C2371"/>
      <c r="D2371"/>
      <c r="E2371"/>
    </row>
    <row r="2372" spans="3:5" x14ac:dyDescent="0.25">
      <c r="C2372"/>
      <c r="D2372"/>
      <c r="E2372"/>
    </row>
    <row r="2373" spans="3:5" x14ac:dyDescent="0.25">
      <c r="C2373"/>
      <c r="D2373"/>
      <c r="E2373"/>
    </row>
    <row r="2374" spans="3:5" x14ac:dyDescent="0.25">
      <c r="C2374"/>
      <c r="D2374"/>
      <c r="E2374"/>
    </row>
    <row r="2375" spans="3:5" x14ac:dyDescent="0.25">
      <c r="C2375"/>
      <c r="D2375"/>
      <c r="E2375"/>
    </row>
    <row r="2376" spans="3:5" x14ac:dyDescent="0.25">
      <c r="C2376"/>
      <c r="D2376"/>
      <c r="E2376"/>
    </row>
    <row r="2377" spans="3:5" x14ac:dyDescent="0.25">
      <c r="C2377"/>
      <c r="D2377"/>
      <c r="E2377"/>
    </row>
    <row r="2378" spans="3:5" x14ac:dyDescent="0.25">
      <c r="C2378"/>
      <c r="D2378"/>
      <c r="E2378"/>
    </row>
    <row r="2379" spans="3:5" x14ac:dyDescent="0.25">
      <c r="C2379"/>
      <c r="D2379"/>
      <c r="E2379"/>
    </row>
    <row r="2380" spans="3:5" x14ac:dyDescent="0.25">
      <c r="C2380"/>
      <c r="D2380"/>
      <c r="E2380"/>
    </row>
    <row r="2381" spans="3:5" x14ac:dyDescent="0.25">
      <c r="C2381"/>
      <c r="D2381"/>
      <c r="E2381"/>
    </row>
    <row r="2382" spans="3:5" x14ac:dyDescent="0.25">
      <c r="C2382"/>
      <c r="D2382"/>
      <c r="E2382"/>
    </row>
    <row r="2383" spans="3:5" x14ac:dyDescent="0.25">
      <c r="C2383"/>
      <c r="D2383"/>
      <c r="E2383"/>
    </row>
    <row r="2384" spans="3:5" x14ac:dyDescent="0.25">
      <c r="C2384"/>
      <c r="D2384"/>
      <c r="E2384"/>
    </row>
    <row r="2385" spans="3:5" x14ac:dyDescent="0.25">
      <c r="C2385"/>
      <c r="D2385"/>
      <c r="E2385"/>
    </row>
    <row r="2386" spans="3:5" x14ac:dyDescent="0.25">
      <c r="C2386"/>
      <c r="D2386"/>
      <c r="E2386"/>
    </row>
    <row r="2387" spans="3:5" x14ac:dyDescent="0.25">
      <c r="C2387"/>
      <c r="D2387"/>
      <c r="E2387"/>
    </row>
    <row r="2388" spans="3:5" x14ac:dyDescent="0.25">
      <c r="C2388"/>
      <c r="D2388"/>
      <c r="E2388"/>
    </row>
    <row r="2389" spans="3:5" x14ac:dyDescent="0.25">
      <c r="C2389"/>
      <c r="D2389"/>
      <c r="E2389"/>
    </row>
    <row r="2390" spans="3:5" x14ac:dyDescent="0.25">
      <c r="C2390"/>
      <c r="D2390"/>
      <c r="E2390"/>
    </row>
    <row r="2391" spans="3:5" x14ac:dyDescent="0.25">
      <c r="C2391"/>
      <c r="D2391"/>
      <c r="E2391"/>
    </row>
    <row r="2392" spans="3:5" x14ac:dyDescent="0.25">
      <c r="C2392"/>
      <c r="D2392"/>
      <c r="E2392"/>
    </row>
    <row r="2393" spans="3:5" x14ac:dyDescent="0.25">
      <c r="C2393"/>
      <c r="D2393"/>
      <c r="E2393"/>
    </row>
    <row r="2394" spans="3:5" x14ac:dyDescent="0.25">
      <c r="C2394"/>
      <c r="D2394"/>
      <c r="E2394"/>
    </row>
    <row r="2395" spans="3:5" x14ac:dyDescent="0.25">
      <c r="C2395"/>
      <c r="D2395"/>
      <c r="E2395"/>
    </row>
    <row r="2396" spans="3:5" x14ac:dyDescent="0.25">
      <c r="C2396"/>
      <c r="D2396"/>
      <c r="E2396"/>
    </row>
    <row r="2397" spans="3:5" x14ac:dyDescent="0.25">
      <c r="C2397"/>
      <c r="D2397"/>
      <c r="E2397"/>
    </row>
    <row r="2398" spans="3:5" x14ac:dyDescent="0.25">
      <c r="C2398"/>
      <c r="D2398"/>
      <c r="E2398"/>
    </row>
    <row r="2399" spans="3:5" x14ac:dyDescent="0.25">
      <c r="C2399"/>
      <c r="D2399"/>
      <c r="E2399"/>
    </row>
    <row r="2400" spans="3:5" x14ac:dyDescent="0.25">
      <c r="C2400"/>
      <c r="D2400"/>
      <c r="E2400"/>
    </row>
    <row r="2401" spans="3:5" x14ac:dyDescent="0.25">
      <c r="C2401"/>
      <c r="D2401"/>
      <c r="E2401"/>
    </row>
    <row r="2402" spans="3:5" x14ac:dyDescent="0.25">
      <c r="C2402"/>
      <c r="D2402"/>
      <c r="E2402"/>
    </row>
    <row r="2403" spans="3:5" x14ac:dyDescent="0.25">
      <c r="C2403"/>
      <c r="D2403"/>
      <c r="E2403"/>
    </row>
    <row r="2404" spans="3:5" x14ac:dyDescent="0.25">
      <c r="C2404"/>
      <c r="D2404"/>
      <c r="E2404"/>
    </row>
    <row r="2405" spans="3:5" x14ac:dyDescent="0.25">
      <c r="C2405"/>
      <c r="D2405"/>
      <c r="E2405"/>
    </row>
    <row r="2406" spans="3:5" x14ac:dyDescent="0.25">
      <c r="C2406"/>
      <c r="D2406"/>
      <c r="E2406"/>
    </row>
    <row r="2407" spans="3:5" x14ac:dyDescent="0.25">
      <c r="C2407"/>
      <c r="D2407"/>
      <c r="E2407"/>
    </row>
    <row r="2408" spans="3:5" x14ac:dyDescent="0.25">
      <c r="C2408"/>
      <c r="D2408"/>
      <c r="E2408"/>
    </row>
    <row r="2409" spans="3:5" x14ac:dyDescent="0.25">
      <c r="C2409"/>
      <c r="D2409"/>
      <c r="E2409"/>
    </row>
    <row r="2410" spans="3:5" x14ac:dyDescent="0.25">
      <c r="C2410"/>
      <c r="D2410"/>
      <c r="E2410"/>
    </row>
    <row r="2411" spans="3:5" x14ac:dyDescent="0.25">
      <c r="C2411"/>
      <c r="D2411"/>
      <c r="E2411"/>
    </row>
    <row r="2412" spans="3:5" x14ac:dyDescent="0.25">
      <c r="C2412"/>
      <c r="D2412"/>
      <c r="E2412"/>
    </row>
    <row r="2413" spans="3:5" x14ac:dyDescent="0.25">
      <c r="C2413"/>
      <c r="D2413"/>
      <c r="E2413"/>
    </row>
    <row r="2414" spans="3:5" x14ac:dyDescent="0.25">
      <c r="C2414"/>
      <c r="D2414"/>
      <c r="E2414"/>
    </row>
    <row r="2415" spans="3:5" x14ac:dyDescent="0.25">
      <c r="C2415"/>
      <c r="D2415"/>
      <c r="E2415"/>
    </row>
    <row r="2416" spans="3:5" x14ac:dyDescent="0.25">
      <c r="C2416"/>
      <c r="D2416"/>
      <c r="E2416"/>
    </row>
    <row r="2417" spans="3:5" x14ac:dyDescent="0.25">
      <c r="C2417"/>
      <c r="D2417"/>
      <c r="E2417"/>
    </row>
    <row r="2418" spans="3:5" x14ac:dyDescent="0.25">
      <c r="C2418"/>
      <c r="D2418"/>
      <c r="E2418"/>
    </row>
    <row r="2419" spans="3:5" x14ac:dyDescent="0.25">
      <c r="C2419"/>
      <c r="D2419"/>
      <c r="E2419"/>
    </row>
    <row r="2420" spans="3:5" x14ac:dyDescent="0.25">
      <c r="C2420"/>
      <c r="D2420"/>
      <c r="E2420"/>
    </row>
    <row r="2421" spans="3:5" x14ac:dyDescent="0.25">
      <c r="C2421"/>
      <c r="D2421"/>
      <c r="E2421"/>
    </row>
    <row r="2422" spans="3:5" x14ac:dyDescent="0.25">
      <c r="C2422"/>
      <c r="D2422"/>
      <c r="E2422"/>
    </row>
    <row r="2423" spans="3:5" x14ac:dyDescent="0.25">
      <c r="C2423"/>
      <c r="D2423"/>
      <c r="E2423"/>
    </row>
    <row r="2424" spans="3:5" x14ac:dyDescent="0.25">
      <c r="C2424"/>
      <c r="D2424"/>
      <c r="E2424"/>
    </row>
    <row r="2425" spans="3:5" x14ac:dyDescent="0.25">
      <c r="C2425"/>
      <c r="D2425"/>
      <c r="E2425"/>
    </row>
    <row r="2426" spans="3:5" x14ac:dyDescent="0.25">
      <c r="C2426"/>
      <c r="D2426"/>
      <c r="E2426"/>
    </row>
    <row r="2427" spans="3:5" x14ac:dyDescent="0.25">
      <c r="C2427"/>
      <c r="D2427"/>
      <c r="E2427"/>
    </row>
    <row r="2428" spans="3:5" x14ac:dyDescent="0.25">
      <c r="C2428"/>
      <c r="D2428"/>
      <c r="E2428"/>
    </row>
    <row r="2429" spans="3:5" x14ac:dyDescent="0.25">
      <c r="C2429"/>
      <c r="D2429"/>
      <c r="E2429"/>
    </row>
    <row r="2430" spans="3:5" x14ac:dyDescent="0.25">
      <c r="C2430"/>
      <c r="D2430"/>
      <c r="E2430"/>
    </row>
    <row r="2431" spans="3:5" x14ac:dyDescent="0.25">
      <c r="C2431"/>
      <c r="D2431"/>
      <c r="E2431"/>
    </row>
    <row r="2432" spans="3:5" x14ac:dyDescent="0.25">
      <c r="C2432"/>
      <c r="D2432"/>
      <c r="E2432"/>
    </row>
    <row r="2433" spans="3:5" x14ac:dyDescent="0.25">
      <c r="C2433"/>
      <c r="D2433"/>
      <c r="E2433"/>
    </row>
    <row r="2434" spans="3:5" x14ac:dyDescent="0.25">
      <c r="C2434"/>
      <c r="D2434"/>
      <c r="E2434"/>
    </row>
    <row r="2435" spans="3:5" x14ac:dyDescent="0.25">
      <c r="C2435"/>
      <c r="D2435"/>
      <c r="E2435"/>
    </row>
    <row r="2436" spans="3:5" x14ac:dyDescent="0.25">
      <c r="C2436"/>
      <c r="D2436"/>
      <c r="E2436"/>
    </row>
    <row r="2437" spans="3:5" x14ac:dyDescent="0.25">
      <c r="C2437"/>
      <c r="D2437"/>
      <c r="E2437"/>
    </row>
    <row r="2438" spans="3:5" x14ac:dyDescent="0.25">
      <c r="C2438"/>
      <c r="D2438"/>
      <c r="E2438"/>
    </row>
    <row r="2439" spans="3:5" x14ac:dyDescent="0.25">
      <c r="C2439"/>
      <c r="D2439"/>
      <c r="E2439"/>
    </row>
    <row r="2440" spans="3:5" x14ac:dyDescent="0.25">
      <c r="C2440"/>
      <c r="D2440"/>
      <c r="E2440"/>
    </row>
    <row r="2441" spans="3:5" x14ac:dyDescent="0.25">
      <c r="C2441"/>
      <c r="D2441"/>
      <c r="E2441"/>
    </row>
    <row r="2442" spans="3:5" x14ac:dyDescent="0.25">
      <c r="C2442"/>
      <c r="D2442"/>
      <c r="E2442"/>
    </row>
    <row r="2443" spans="3:5" x14ac:dyDescent="0.25">
      <c r="C2443"/>
      <c r="D2443"/>
      <c r="E2443"/>
    </row>
    <row r="2444" spans="3:5" x14ac:dyDescent="0.25">
      <c r="C2444"/>
      <c r="D2444"/>
      <c r="E2444"/>
    </row>
    <row r="2445" spans="3:5" x14ac:dyDescent="0.25">
      <c r="C2445"/>
      <c r="D2445"/>
      <c r="E2445"/>
    </row>
    <row r="2446" spans="3:5" x14ac:dyDescent="0.25">
      <c r="C2446"/>
      <c r="D2446"/>
      <c r="E2446"/>
    </row>
    <row r="2447" spans="3:5" x14ac:dyDescent="0.25">
      <c r="C2447"/>
      <c r="D2447"/>
      <c r="E2447"/>
    </row>
    <row r="2448" spans="3:5" x14ac:dyDescent="0.25">
      <c r="C2448"/>
      <c r="D2448"/>
      <c r="E2448"/>
    </row>
    <row r="2449" spans="3:5" x14ac:dyDescent="0.25">
      <c r="C2449"/>
      <c r="D2449"/>
      <c r="E2449"/>
    </row>
    <row r="2450" spans="3:5" x14ac:dyDescent="0.25">
      <c r="C2450"/>
      <c r="D2450"/>
      <c r="E2450"/>
    </row>
    <row r="2451" spans="3:5" x14ac:dyDescent="0.25">
      <c r="C2451"/>
      <c r="D2451"/>
      <c r="E2451"/>
    </row>
    <row r="2452" spans="3:5" x14ac:dyDescent="0.25">
      <c r="C2452"/>
      <c r="D2452"/>
      <c r="E2452"/>
    </row>
    <row r="2453" spans="3:5" x14ac:dyDescent="0.25">
      <c r="C2453"/>
      <c r="D2453"/>
      <c r="E2453"/>
    </row>
    <row r="2454" spans="3:5" x14ac:dyDescent="0.25">
      <c r="C2454"/>
      <c r="D2454"/>
      <c r="E2454"/>
    </row>
    <row r="2455" spans="3:5" x14ac:dyDescent="0.25">
      <c r="C2455"/>
      <c r="D2455"/>
      <c r="E2455"/>
    </row>
    <row r="2456" spans="3:5" x14ac:dyDescent="0.25">
      <c r="C2456"/>
      <c r="D2456"/>
      <c r="E2456"/>
    </row>
    <row r="2457" spans="3:5" x14ac:dyDescent="0.25">
      <c r="C2457"/>
      <c r="D2457"/>
      <c r="E2457"/>
    </row>
    <row r="2458" spans="3:5" x14ac:dyDescent="0.25">
      <c r="C2458"/>
      <c r="D2458"/>
      <c r="E2458"/>
    </row>
    <row r="2459" spans="3:5" x14ac:dyDescent="0.25">
      <c r="C2459"/>
      <c r="D2459"/>
      <c r="E2459"/>
    </row>
    <row r="2460" spans="3:5" x14ac:dyDescent="0.25">
      <c r="C2460"/>
      <c r="D2460"/>
      <c r="E2460"/>
    </row>
    <row r="2461" spans="3:5" x14ac:dyDescent="0.25">
      <c r="C2461"/>
      <c r="D2461"/>
      <c r="E2461"/>
    </row>
    <row r="2462" spans="3:5" x14ac:dyDescent="0.25">
      <c r="C2462"/>
      <c r="D2462"/>
      <c r="E2462"/>
    </row>
    <row r="2463" spans="3:5" x14ac:dyDescent="0.25">
      <c r="C2463"/>
      <c r="D2463"/>
      <c r="E2463"/>
    </row>
    <row r="2464" spans="3:5" x14ac:dyDescent="0.25">
      <c r="C2464"/>
      <c r="D2464"/>
      <c r="E2464"/>
    </row>
    <row r="2465" spans="3:5" x14ac:dyDescent="0.25">
      <c r="C2465"/>
      <c r="D2465"/>
      <c r="E2465"/>
    </row>
    <row r="2466" spans="3:5" x14ac:dyDescent="0.25">
      <c r="C2466"/>
      <c r="D2466"/>
      <c r="E2466"/>
    </row>
    <row r="2467" spans="3:5" x14ac:dyDescent="0.25">
      <c r="C2467"/>
      <c r="D2467"/>
      <c r="E2467"/>
    </row>
    <row r="2468" spans="3:5" x14ac:dyDescent="0.25">
      <c r="C2468"/>
      <c r="D2468"/>
      <c r="E2468"/>
    </row>
    <row r="2469" spans="3:5" x14ac:dyDescent="0.25">
      <c r="C2469"/>
      <c r="D2469"/>
      <c r="E2469"/>
    </row>
    <row r="2470" spans="3:5" x14ac:dyDescent="0.25">
      <c r="C2470"/>
      <c r="D2470"/>
      <c r="E2470"/>
    </row>
    <row r="2471" spans="3:5" x14ac:dyDescent="0.25">
      <c r="C2471"/>
      <c r="D2471"/>
      <c r="E2471"/>
    </row>
    <row r="2472" spans="3:5" x14ac:dyDescent="0.25">
      <c r="C2472"/>
      <c r="D2472"/>
      <c r="E2472"/>
    </row>
    <row r="2473" spans="3:5" x14ac:dyDescent="0.25">
      <c r="C2473"/>
      <c r="D2473"/>
      <c r="E2473"/>
    </row>
    <row r="2474" spans="3:5" x14ac:dyDescent="0.25">
      <c r="C2474"/>
      <c r="D2474"/>
      <c r="E2474"/>
    </row>
    <row r="2475" spans="3:5" x14ac:dyDescent="0.25">
      <c r="C2475"/>
      <c r="D2475"/>
      <c r="E2475"/>
    </row>
    <row r="2476" spans="3:5" x14ac:dyDescent="0.25">
      <c r="C2476"/>
      <c r="D2476"/>
      <c r="E2476"/>
    </row>
    <row r="2477" spans="3:5" x14ac:dyDescent="0.25">
      <c r="C2477"/>
      <c r="D2477"/>
      <c r="E2477"/>
    </row>
    <row r="2478" spans="3:5" x14ac:dyDescent="0.25">
      <c r="C2478"/>
      <c r="D2478"/>
      <c r="E2478"/>
    </row>
    <row r="2479" spans="3:5" x14ac:dyDescent="0.25">
      <c r="C2479"/>
      <c r="D2479"/>
      <c r="E2479"/>
    </row>
    <row r="2480" spans="3:5" x14ac:dyDescent="0.25">
      <c r="C2480"/>
      <c r="D2480"/>
      <c r="E2480"/>
    </row>
    <row r="2481" spans="3:5" x14ac:dyDescent="0.25">
      <c r="C2481"/>
      <c r="D2481"/>
      <c r="E2481"/>
    </row>
    <row r="2482" spans="3:5" x14ac:dyDescent="0.25">
      <c r="C2482"/>
      <c r="D2482"/>
      <c r="E2482"/>
    </row>
    <row r="2483" spans="3:5" x14ac:dyDescent="0.25">
      <c r="C2483"/>
      <c r="D2483"/>
      <c r="E2483"/>
    </row>
    <row r="2484" spans="3:5" x14ac:dyDescent="0.25">
      <c r="C2484"/>
      <c r="D2484"/>
      <c r="E2484"/>
    </row>
    <row r="2485" spans="3:5" x14ac:dyDescent="0.25">
      <c r="C2485"/>
      <c r="D2485"/>
      <c r="E2485"/>
    </row>
    <row r="2486" spans="3:5" x14ac:dyDescent="0.25">
      <c r="C2486"/>
      <c r="D2486"/>
      <c r="E2486"/>
    </row>
    <row r="2487" spans="3:5" x14ac:dyDescent="0.25">
      <c r="C2487"/>
      <c r="D2487"/>
      <c r="E2487"/>
    </row>
    <row r="2488" spans="3:5" x14ac:dyDescent="0.25">
      <c r="C2488"/>
      <c r="D2488"/>
      <c r="E2488"/>
    </row>
    <row r="2489" spans="3:5" x14ac:dyDescent="0.25">
      <c r="C2489"/>
      <c r="D2489"/>
      <c r="E2489"/>
    </row>
    <row r="2490" spans="3:5" x14ac:dyDescent="0.25">
      <c r="C2490"/>
      <c r="D2490"/>
      <c r="E2490"/>
    </row>
    <row r="2491" spans="3:5" x14ac:dyDescent="0.25">
      <c r="C2491"/>
      <c r="D2491"/>
      <c r="E2491"/>
    </row>
    <row r="2492" spans="3:5" x14ac:dyDescent="0.25">
      <c r="C2492"/>
      <c r="D2492"/>
      <c r="E2492"/>
    </row>
    <row r="2493" spans="3:5" x14ac:dyDescent="0.25">
      <c r="C2493"/>
      <c r="D2493"/>
      <c r="E2493"/>
    </row>
    <row r="2494" spans="3:5" x14ac:dyDescent="0.25">
      <c r="C2494"/>
      <c r="D2494"/>
      <c r="E2494"/>
    </row>
    <row r="2495" spans="3:5" x14ac:dyDescent="0.25">
      <c r="C2495"/>
      <c r="D2495"/>
      <c r="E2495"/>
    </row>
    <row r="2496" spans="3:5" x14ac:dyDescent="0.25">
      <c r="C2496"/>
      <c r="D2496"/>
      <c r="E2496"/>
    </row>
    <row r="2497" spans="3:5" x14ac:dyDescent="0.25">
      <c r="C2497"/>
      <c r="D2497"/>
      <c r="E2497"/>
    </row>
    <row r="2498" spans="3:5" x14ac:dyDescent="0.25">
      <c r="C2498"/>
      <c r="D2498"/>
      <c r="E2498"/>
    </row>
    <row r="2499" spans="3:5" x14ac:dyDescent="0.25">
      <c r="C2499"/>
      <c r="D2499"/>
      <c r="E2499"/>
    </row>
    <row r="2500" spans="3:5" x14ac:dyDescent="0.25">
      <c r="C2500"/>
      <c r="D2500"/>
      <c r="E2500"/>
    </row>
    <row r="2501" spans="3:5" x14ac:dyDescent="0.25">
      <c r="C2501"/>
      <c r="D2501"/>
      <c r="E2501"/>
    </row>
    <row r="2502" spans="3:5" x14ac:dyDescent="0.25">
      <c r="C2502"/>
      <c r="D2502"/>
      <c r="E2502"/>
    </row>
    <row r="2503" spans="3:5" x14ac:dyDescent="0.25">
      <c r="C2503"/>
      <c r="D2503"/>
      <c r="E2503"/>
    </row>
    <row r="2504" spans="3:5" x14ac:dyDescent="0.25">
      <c r="C2504"/>
      <c r="D2504"/>
      <c r="E2504"/>
    </row>
    <row r="2505" spans="3:5" x14ac:dyDescent="0.25">
      <c r="C2505"/>
      <c r="D2505"/>
      <c r="E2505"/>
    </row>
    <row r="2506" spans="3:5" x14ac:dyDescent="0.25">
      <c r="C2506"/>
      <c r="D2506"/>
      <c r="E2506"/>
    </row>
    <row r="2507" spans="3:5" x14ac:dyDescent="0.25">
      <c r="C2507"/>
      <c r="D2507"/>
      <c r="E2507"/>
    </row>
    <row r="2508" spans="3:5" x14ac:dyDescent="0.25">
      <c r="C2508"/>
      <c r="D2508"/>
      <c r="E2508"/>
    </row>
    <row r="2509" spans="3:5" x14ac:dyDescent="0.25">
      <c r="C2509"/>
      <c r="D2509"/>
      <c r="E2509"/>
    </row>
    <row r="2510" spans="3:5" x14ac:dyDescent="0.25">
      <c r="C2510"/>
      <c r="D2510"/>
      <c r="E2510"/>
    </row>
    <row r="2511" spans="3:5" x14ac:dyDescent="0.25">
      <c r="C2511"/>
      <c r="D2511"/>
      <c r="E2511"/>
    </row>
    <row r="2512" spans="3:5" x14ac:dyDescent="0.25">
      <c r="C2512"/>
      <c r="D2512"/>
      <c r="E2512"/>
    </row>
    <row r="2513" spans="3:5" x14ac:dyDescent="0.25">
      <c r="C2513"/>
      <c r="D2513"/>
      <c r="E2513"/>
    </row>
    <row r="2514" spans="3:5" x14ac:dyDescent="0.25">
      <c r="C2514"/>
      <c r="D2514"/>
      <c r="E2514"/>
    </row>
    <row r="2515" spans="3:5" x14ac:dyDescent="0.25">
      <c r="C2515"/>
      <c r="D2515"/>
      <c r="E2515"/>
    </row>
    <row r="2516" spans="3:5" x14ac:dyDescent="0.25">
      <c r="C2516"/>
      <c r="D2516"/>
      <c r="E2516"/>
    </row>
    <row r="2517" spans="3:5" x14ac:dyDescent="0.25">
      <c r="C2517"/>
      <c r="D2517"/>
      <c r="E2517"/>
    </row>
    <row r="2518" spans="3:5" x14ac:dyDescent="0.25">
      <c r="C2518"/>
      <c r="D2518"/>
      <c r="E2518"/>
    </row>
    <row r="2519" spans="3:5" x14ac:dyDescent="0.25">
      <c r="C2519"/>
      <c r="D2519"/>
      <c r="E2519"/>
    </row>
    <row r="2520" spans="3:5" x14ac:dyDescent="0.25">
      <c r="C2520"/>
      <c r="D2520"/>
      <c r="E2520"/>
    </row>
    <row r="2521" spans="3:5" x14ac:dyDescent="0.25">
      <c r="C2521"/>
      <c r="D2521"/>
      <c r="E2521"/>
    </row>
    <row r="2522" spans="3:5" x14ac:dyDescent="0.25">
      <c r="C2522"/>
      <c r="D2522"/>
      <c r="E2522"/>
    </row>
    <row r="2523" spans="3:5" x14ac:dyDescent="0.25">
      <c r="C2523"/>
      <c r="D2523"/>
      <c r="E2523"/>
    </row>
    <row r="2524" spans="3:5" x14ac:dyDescent="0.25">
      <c r="C2524"/>
      <c r="D2524"/>
      <c r="E2524"/>
    </row>
    <row r="2525" spans="3:5" x14ac:dyDescent="0.25">
      <c r="C2525"/>
      <c r="D2525"/>
      <c r="E2525"/>
    </row>
    <row r="2526" spans="3:5" x14ac:dyDescent="0.25">
      <c r="C2526"/>
      <c r="D2526"/>
      <c r="E2526"/>
    </row>
    <row r="2527" spans="3:5" x14ac:dyDescent="0.25">
      <c r="C2527"/>
      <c r="D2527"/>
      <c r="E2527"/>
    </row>
    <row r="2528" spans="3:5" x14ac:dyDescent="0.25">
      <c r="C2528"/>
      <c r="D2528"/>
      <c r="E2528"/>
    </row>
    <row r="2529" spans="3:5" x14ac:dyDescent="0.25">
      <c r="C2529"/>
      <c r="D2529"/>
      <c r="E2529"/>
    </row>
    <row r="2530" spans="3:5" x14ac:dyDescent="0.25">
      <c r="C2530"/>
      <c r="D2530"/>
      <c r="E2530"/>
    </row>
    <row r="2531" spans="3:5" x14ac:dyDescent="0.25">
      <c r="C2531"/>
      <c r="D2531"/>
      <c r="E2531"/>
    </row>
    <row r="2532" spans="3:5" x14ac:dyDescent="0.25">
      <c r="C2532"/>
      <c r="D2532"/>
      <c r="E2532"/>
    </row>
    <row r="2533" spans="3:5" x14ac:dyDescent="0.25">
      <c r="C2533"/>
      <c r="D2533"/>
      <c r="E2533"/>
    </row>
    <row r="2534" spans="3:5" x14ac:dyDescent="0.25">
      <c r="C2534"/>
      <c r="D2534"/>
      <c r="E2534"/>
    </row>
    <row r="2535" spans="3:5" x14ac:dyDescent="0.25">
      <c r="C2535"/>
      <c r="D2535"/>
      <c r="E2535"/>
    </row>
    <row r="2536" spans="3:5" x14ac:dyDescent="0.25">
      <c r="C2536"/>
      <c r="D2536"/>
      <c r="E2536"/>
    </row>
    <row r="2537" spans="3:5" x14ac:dyDescent="0.25">
      <c r="C2537"/>
      <c r="D2537"/>
      <c r="E2537"/>
    </row>
    <row r="2538" spans="3:5" x14ac:dyDescent="0.25">
      <c r="C2538"/>
      <c r="D2538"/>
      <c r="E2538"/>
    </row>
    <row r="2539" spans="3:5" x14ac:dyDescent="0.25">
      <c r="C2539"/>
      <c r="D2539"/>
      <c r="E2539"/>
    </row>
    <row r="2540" spans="3:5" x14ac:dyDescent="0.25">
      <c r="C2540"/>
      <c r="D2540"/>
      <c r="E2540"/>
    </row>
    <row r="2541" spans="3:5" x14ac:dyDescent="0.25">
      <c r="C2541"/>
      <c r="D2541"/>
      <c r="E2541"/>
    </row>
    <row r="2542" spans="3:5" x14ac:dyDescent="0.25">
      <c r="C2542"/>
      <c r="D2542"/>
      <c r="E2542"/>
    </row>
    <row r="2543" spans="3:5" x14ac:dyDescent="0.25">
      <c r="C2543"/>
      <c r="D2543"/>
      <c r="E2543"/>
    </row>
    <row r="2544" spans="3:5" x14ac:dyDescent="0.25">
      <c r="C2544"/>
      <c r="D2544"/>
      <c r="E2544"/>
    </row>
    <row r="2545" spans="3:5" x14ac:dyDescent="0.25">
      <c r="C2545"/>
      <c r="D2545"/>
      <c r="E2545"/>
    </row>
    <row r="2546" spans="3:5" x14ac:dyDescent="0.25">
      <c r="C2546"/>
      <c r="D2546"/>
      <c r="E2546"/>
    </row>
    <row r="2547" spans="3:5" x14ac:dyDescent="0.25">
      <c r="C2547"/>
      <c r="D2547"/>
      <c r="E2547"/>
    </row>
    <row r="2548" spans="3:5" x14ac:dyDescent="0.25">
      <c r="C2548"/>
      <c r="D2548"/>
      <c r="E2548"/>
    </row>
    <row r="2549" spans="3:5" x14ac:dyDescent="0.25">
      <c r="C2549"/>
      <c r="D2549"/>
      <c r="E2549"/>
    </row>
    <row r="2550" spans="3:5" x14ac:dyDescent="0.25">
      <c r="C2550"/>
      <c r="D2550"/>
      <c r="E2550"/>
    </row>
    <row r="2551" spans="3:5" x14ac:dyDescent="0.25">
      <c r="C2551"/>
      <c r="D2551"/>
      <c r="E2551"/>
    </row>
    <row r="2552" spans="3:5" x14ac:dyDescent="0.25">
      <c r="C2552"/>
      <c r="D2552"/>
      <c r="E2552"/>
    </row>
    <row r="2553" spans="3:5" x14ac:dyDescent="0.25">
      <c r="C2553"/>
      <c r="D2553"/>
      <c r="E2553"/>
    </row>
    <row r="2554" spans="3:5" x14ac:dyDescent="0.25">
      <c r="C2554"/>
      <c r="D2554"/>
      <c r="E2554"/>
    </row>
    <row r="2555" spans="3:5" x14ac:dyDescent="0.25">
      <c r="C2555"/>
      <c r="D2555"/>
      <c r="E2555"/>
    </row>
    <row r="2556" spans="3:5" x14ac:dyDescent="0.25">
      <c r="C2556"/>
      <c r="D2556"/>
      <c r="E2556"/>
    </row>
    <row r="2557" spans="3:5" x14ac:dyDescent="0.25">
      <c r="C2557"/>
      <c r="D2557"/>
      <c r="E2557"/>
    </row>
    <row r="2558" spans="3:5" x14ac:dyDescent="0.25">
      <c r="C2558"/>
      <c r="D2558"/>
      <c r="E2558"/>
    </row>
    <row r="2559" spans="3:5" x14ac:dyDescent="0.25">
      <c r="C2559"/>
      <c r="D2559"/>
      <c r="E2559"/>
    </row>
    <row r="2560" spans="3:5" x14ac:dyDescent="0.25">
      <c r="C2560"/>
      <c r="D2560"/>
      <c r="E2560"/>
    </row>
    <row r="2561" spans="3:5" x14ac:dyDescent="0.25">
      <c r="C2561"/>
      <c r="D2561"/>
      <c r="E2561"/>
    </row>
    <row r="2562" spans="3:5" x14ac:dyDescent="0.25">
      <c r="C2562"/>
      <c r="D2562"/>
      <c r="E2562"/>
    </row>
    <row r="2563" spans="3:5" x14ac:dyDescent="0.25">
      <c r="C2563"/>
      <c r="D2563"/>
      <c r="E2563"/>
    </row>
    <row r="2564" spans="3:5" x14ac:dyDescent="0.25">
      <c r="C2564"/>
      <c r="D2564"/>
      <c r="E2564"/>
    </row>
    <row r="2565" spans="3:5" x14ac:dyDescent="0.25">
      <c r="C2565"/>
      <c r="D2565"/>
      <c r="E2565"/>
    </row>
    <row r="2566" spans="3:5" x14ac:dyDescent="0.25">
      <c r="C2566"/>
      <c r="D2566"/>
      <c r="E2566"/>
    </row>
    <row r="2567" spans="3:5" x14ac:dyDescent="0.25">
      <c r="C2567"/>
      <c r="D2567"/>
      <c r="E2567"/>
    </row>
    <row r="2568" spans="3:5" x14ac:dyDescent="0.25">
      <c r="C2568"/>
      <c r="D2568"/>
      <c r="E2568"/>
    </row>
    <row r="2569" spans="3:5" x14ac:dyDescent="0.25">
      <c r="C2569"/>
      <c r="D2569"/>
      <c r="E2569"/>
    </row>
    <row r="2570" spans="3:5" x14ac:dyDescent="0.25">
      <c r="C2570"/>
      <c r="D2570"/>
      <c r="E2570"/>
    </row>
    <row r="2571" spans="3:5" x14ac:dyDescent="0.25">
      <c r="C2571"/>
      <c r="D2571"/>
      <c r="E2571"/>
    </row>
    <row r="2572" spans="3:5" x14ac:dyDescent="0.25">
      <c r="C2572"/>
      <c r="D2572"/>
      <c r="E2572"/>
    </row>
    <row r="2573" spans="3:5" x14ac:dyDescent="0.25">
      <c r="C2573"/>
      <c r="D2573"/>
      <c r="E2573"/>
    </row>
    <row r="2574" spans="3:5" x14ac:dyDescent="0.25">
      <c r="C2574"/>
      <c r="D2574"/>
      <c r="E2574"/>
    </row>
    <row r="2575" spans="3:5" x14ac:dyDescent="0.25">
      <c r="C2575"/>
      <c r="D2575"/>
      <c r="E2575"/>
    </row>
    <row r="2576" spans="3:5" x14ac:dyDescent="0.25">
      <c r="C2576"/>
      <c r="D2576"/>
      <c r="E2576"/>
    </row>
    <row r="2577" spans="3:5" x14ac:dyDescent="0.25">
      <c r="C2577"/>
      <c r="D2577"/>
      <c r="E2577"/>
    </row>
    <row r="2578" spans="3:5" x14ac:dyDescent="0.25">
      <c r="C2578"/>
      <c r="D2578"/>
      <c r="E2578"/>
    </row>
    <row r="2579" spans="3:5" x14ac:dyDescent="0.25">
      <c r="C2579"/>
      <c r="D2579"/>
      <c r="E2579"/>
    </row>
    <row r="2580" spans="3:5" x14ac:dyDescent="0.25">
      <c r="C2580"/>
      <c r="D2580"/>
      <c r="E2580"/>
    </row>
    <row r="2581" spans="3:5" x14ac:dyDescent="0.25">
      <c r="C2581"/>
      <c r="D2581"/>
      <c r="E2581"/>
    </row>
    <row r="2582" spans="3:5" x14ac:dyDescent="0.25">
      <c r="C2582"/>
      <c r="D2582"/>
      <c r="E2582"/>
    </row>
    <row r="2583" spans="3:5" x14ac:dyDescent="0.25">
      <c r="C2583"/>
      <c r="D2583"/>
      <c r="E2583"/>
    </row>
    <row r="2584" spans="3:5" x14ac:dyDescent="0.25">
      <c r="C2584"/>
      <c r="D2584"/>
      <c r="E2584"/>
    </row>
    <row r="2585" spans="3:5" x14ac:dyDescent="0.25">
      <c r="C2585"/>
      <c r="D2585"/>
      <c r="E2585"/>
    </row>
    <row r="2586" spans="3:5" x14ac:dyDescent="0.25">
      <c r="C2586"/>
      <c r="D2586"/>
      <c r="E2586"/>
    </row>
    <row r="2587" spans="3:5" x14ac:dyDescent="0.25">
      <c r="C2587"/>
      <c r="D2587"/>
      <c r="E2587"/>
    </row>
    <row r="2588" spans="3:5" x14ac:dyDescent="0.25">
      <c r="C2588"/>
      <c r="D2588"/>
      <c r="E2588"/>
    </row>
    <row r="2589" spans="3:5" x14ac:dyDescent="0.25">
      <c r="C2589"/>
      <c r="D2589"/>
      <c r="E2589"/>
    </row>
    <row r="2590" spans="3:5" x14ac:dyDescent="0.25">
      <c r="C2590"/>
      <c r="D2590"/>
      <c r="E2590"/>
    </row>
    <row r="2591" spans="3:5" x14ac:dyDescent="0.25">
      <c r="C2591"/>
      <c r="D2591"/>
      <c r="E2591"/>
    </row>
    <row r="2592" spans="3:5" x14ac:dyDescent="0.25">
      <c r="C2592"/>
      <c r="D2592"/>
      <c r="E2592"/>
    </row>
    <row r="2593" spans="3:5" x14ac:dyDescent="0.25">
      <c r="C2593"/>
      <c r="D2593"/>
      <c r="E2593"/>
    </row>
    <row r="2594" spans="3:5" x14ac:dyDescent="0.25">
      <c r="C2594"/>
      <c r="D2594"/>
      <c r="E2594"/>
    </row>
    <row r="2595" spans="3:5" x14ac:dyDescent="0.25">
      <c r="C2595"/>
      <c r="D2595"/>
      <c r="E2595"/>
    </row>
    <row r="2596" spans="3:5" x14ac:dyDescent="0.25">
      <c r="C2596"/>
      <c r="D2596"/>
      <c r="E2596"/>
    </row>
    <row r="2597" spans="3:5" x14ac:dyDescent="0.25">
      <c r="C2597"/>
      <c r="D2597"/>
      <c r="E2597"/>
    </row>
    <row r="2598" spans="3:5" x14ac:dyDescent="0.25">
      <c r="C2598"/>
      <c r="D2598"/>
      <c r="E2598"/>
    </row>
    <row r="2599" spans="3:5" x14ac:dyDescent="0.25">
      <c r="C2599"/>
      <c r="D2599"/>
      <c r="E2599"/>
    </row>
    <row r="2600" spans="3:5" x14ac:dyDescent="0.25">
      <c r="C2600"/>
      <c r="D2600"/>
      <c r="E2600"/>
    </row>
    <row r="2601" spans="3:5" x14ac:dyDescent="0.25">
      <c r="C2601"/>
      <c r="D2601"/>
      <c r="E2601"/>
    </row>
    <row r="2602" spans="3:5" x14ac:dyDescent="0.25">
      <c r="C2602"/>
      <c r="D2602"/>
      <c r="E2602"/>
    </row>
    <row r="2603" spans="3:5" x14ac:dyDescent="0.25">
      <c r="C2603"/>
      <c r="D2603"/>
      <c r="E2603"/>
    </row>
    <row r="2604" spans="3:5" x14ac:dyDescent="0.25">
      <c r="C2604"/>
      <c r="D2604"/>
      <c r="E2604"/>
    </row>
    <row r="2605" spans="3:5" x14ac:dyDescent="0.25">
      <c r="C2605"/>
      <c r="D2605"/>
      <c r="E2605"/>
    </row>
    <row r="2606" spans="3:5" x14ac:dyDescent="0.25">
      <c r="C2606"/>
      <c r="D2606"/>
      <c r="E2606"/>
    </row>
    <row r="2607" spans="3:5" x14ac:dyDescent="0.25">
      <c r="C2607"/>
      <c r="D2607"/>
      <c r="E2607"/>
    </row>
    <row r="2608" spans="3:5" x14ac:dyDescent="0.25">
      <c r="C2608"/>
      <c r="D2608"/>
      <c r="E2608"/>
    </row>
    <row r="2609" spans="3:5" x14ac:dyDescent="0.25">
      <c r="C2609"/>
      <c r="D2609"/>
      <c r="E2609"/>
    </row>
    <row r="2610" spans="3:5" x14ac:dyDescent="0.25">
      <c r="C2610"/>
      <c r="D2610"/>
      <c r="E2610"/>
    </row>
    <row r="2611" spans="3:5" x14ac:dyDescent="0.25">
      <c r="C2611"/>
      <c r="D2611"/>
      <c r="E2611"/>
    </row>
    <row r="2612" spans="3:5" x14ac:dyDescent="0.25">
      <c r="C2612"/>
      <c r="D2612"/>
      <c r="E2612"/>
    </row>
    <row r="2613" spans="3:5" x14ac:dyDescent="0.25">
      <c r="C2613"/>
      <c r="D2613"/>
      <c r="E2613"/>
    </row>
    <row r="2614" spans="3:5" x14ac:dyDescent="0.25">
      <c r="C2614"/>
      <c r="D2614"/>
      <c r="E2614"/>
    </row>
    <row r="2615" spans="3:5" x14ac:dyDescent="0.25">
      <c r="C2615"/>
      <c r="D2615"/>
      <c r="E2615"/>
    </row>
    <row r="2616" spans="3:5" x14ac:dyDescent="0.25">
      <c r="C2616"/>
      <c r="D2616"/>
      <c r="E2616"/>
    </row>
    <row r="2617" spans="3:5" x14ac:dyDescent="0.25">
      <c r="C2617"/>
      <c r="D2617"/>
      <c r="E2617"/>
    </row>
    <row r="2618" spans="3:5" x14ac:dyDescent="0.25">
      <c r="C2618"/>
      <c r="D2618"/>
      <c r="E2618"/>
    </row>
    <row r="2619" spans="3:5" x14ac:dyDescent="0.25">
      <c r="C2619"/>
      <c r="D2619"/>
      <c r="E2619"/>
    </row>
    <row r="2620" spans="3:5" x14ac:dyDescent="0.25">
      <c r="C2620"/>
      <c r="D2620"/>
      <c r="E2620"/>
    </row>
    <row r="2621" spans="3:5" x14ac:dyDescent="0.25">
      <c r="C2621"/>
      <c r="D2621"/>
      <c r="E2621"/>
    </row>
    <row r="2622" spans="3:5" x14ac:dyDescent="0.25">
      <c r="C2622"/>
      <c r="D2622"/>
      <c r="E2622"/>
    </row>
    <row r="2623" spans="3:5" x14ac:dyDescent="0.25">
      <c r="C2623"/>
      <c r="D2623"/>
      <c r="E2623"/>
    </row>
    <row r="2624" spans="3:5" x14ac:dyDescent="0.25">
      <c r="C2624"/>
      <c r="D2624"/>
      <c r="E2624"/>
    </row>
    <row r="2625" spans="3:5" x14ac:dyDescent="0.25">
      <c r="C2625"/>
      <c r="D2625"/>
      <c r="E2625"/>
    </row>
    <row r="2626" spans="3:5" x14ac:dyDescent="0.25">
      <c r="C2626"/>
      <c r="D2626"/>
      <c r="E2626"/>
    </row>
    <row r="2627" spans="3:5" x14ac:dyDescent="0.25">
      <c r="C2627"/>
      <c r="D2627"/>
      <c r="E2627"/>
    </row>
    <row r="2628" spans="3:5" x14ac:dyDescent="0.25">
      <c r="C2628"/>
      <c r="D2628"/>
      <c r="E2628"/>
    </row>
    <row r="2629" spans="3:5" x14ac:dyDescent="0.25">
      <c r="C2629"/>
      <c r="D2629"/>
      <c r="E2629"/>
    </row>
    <row r="2630" spans="3:5" x14ac:dyDescent="0.25">
      <c r="C2630"/>
      <c r="D2630"/>
      <c r="E2630"/>
    </row>
    <row r="2631" spans="3:5" x14ac:dyDescent="0.25">
      <c r="C2631"/>
      <c r="D2631"/>
      <c r="E2631"/>
    </row>
    <row r="2632" spans="3:5" x14ac:dyDescent="0.25">
      <c r="C2632"/>
      <c r="D2632"/>
      <c r="E2632"/>
    </row>
    <row r="2633" spans="3:5" x14ac:dyDescent="0.25">
      <c r="C2633"/>
      <c r="D2633"/>
      <c r="E2633"/>
    </row>
    <row r="2634" spans="3:5" x14ac:dyDescent="0.25">
      <c r="C2634"/>
      <c r="D2634"/>
      <c r="E2634"/>
    </row>
    <row r="2635" spans="3:5" x14ac:dyDescent="0.25">
      <c r="C2635"/>
      <c r="D2635"/>
      <c r="E2635"/>
    </row>
    <row r="2636" spans="3:5" x14ac:dyDescent="0.25">
      <c r="C2636"/>
      <c r="D2636"/>
      <c r="E2636"/>
    </row>
    <row r="2637" spans="3:5" x14ac:dyDescent="0.25">
      <c r="C2637"/>
      <c r="D2637"/>
      <c r="E2637"/>
    </row>
    <row r="2638" spans="3:5" x14ac:dyDescent="0.25">
      <c r="C2638"/>
      <c r="D2638"/>
      <c r="E2638"/>
    </row>
    <row r="2639" spans="3:5" x14ac:dyDescent="0.25">
      <c r="C2639"/>
      <c r="D2639"/>
      <c r="E2639"/>
    </row>
    <row r="2640" spans="3:5" x14ac:dyDescent="0.25">
      <c r="C2640"/>
      <c r="D2640"/>
      <c r="E2640"/>
    </row>
    <row r="2641" spans="3:5" x14ac:dyDescent="0.25">
      <c r="C2641"/>
      <c r="D2641"/>
      <c r="E2641"/>
    </row>
    <row r="2642" spans="3:5" x14ac:dyDescent="0.25">
      <c r="C2642"/>
      <c r="D2642"/>
      <c r="E2642"/>
    </row>
    <row r="2643" spans="3:5" x14ac:dyDescent="0.25">
      <c r="C2643"/>
      <c r="D2643"/>
      <c r="E2643"/>
    </row>
    <row r="2644" spans="3:5" x14ac:dyDescent="0.25">
      <c r="C2644"/>
      <c r="D2644"/>
      <c r="E2644"/>
    </row>
    <row r="2645" spans="3:5" x14ac:dyDescent="0.25">
      <c r="C2645"/>
      <c r="D2645"/>
      <c r="E2645"/>
    </row>
    <row r="2646" spans="3:5" x14ac:dyDescent="0.25">
      <c r="C2646"/>
      <c r="D2646"/>
      <c r="E2646"/>
    </row>
    <row r="2647" spans="3:5" x14ac:dyDescent="0.25">
      <c r="C2647"/>
      <c r="D2647"/>
      <c r="E2647"/>
    </row>
    <row r="2648" spans="3:5" x14ac:dyDescent="0.25">
      <c r="C2648"/>
      <c r="D2648"/>
      <c r="E2648"/>
    </row>
    <row r="2649" spans="3:5" x14ac:dyDescent="0.25">
      <c r="C2649"/>
      <c r="D2649"/>
      <c r="E2649"/>
    </row>
    <row r="2650" spans="3:5" x14ac:dyDescent="0.25">
      <c r="C2650"/>
      <c r="D2650"/>
      <c r="E2650"/>
    </row>
    <row r="2651" spans="3:5" x14ac:dyDescent="0.25">
      <c r="C2651"/>
      <c r="D2651"/>
      <c r="E2651"/>
    </row>
    <row r="2652" spans="3:5" x14ac:dyDescent="0.25">
      <c r="C2652"/>
      <c r="D2652"/>
      <c r="E2652"/>
    </row>
    <row r="2653" spans="3:5" x14ac:dyDescent="0.25">
      <c r="C2653"/>
      <c r="D2653"/>
      <c r="E2653"/>
    </row>
    <row r="2654" spans="3:5" x14ac:dyDescent="0.25">
      <c r="C2654"/>
      <c r="D2654"/>
      <c r="E2654"/>
    </row>
    <row r="2655" spans="3:5" x14ac:dyDescent="0.25">
      <c r="C2655"/>
      <c r="D2655"/>
      <c r="E2655"/>
    </row>
    <row r="2656" spans="3:5" x14ac:dyDescent="0.25">
      <c r="C2656"/>
      <c r="D2656"/>
      <c r="E2656"/>
    </row>
    <row r="2657" spans="3:5" x14ac:dyDescent="0.25">
      <c r="C2657"/>
      <c r="D2657"/>
      <c r="E2657"/>
    </row>
    <row r="2658" spans="3:5" x14ac:dyDescent="0.25">
      <c r="C2658"/>
      <c r="D2658"/>
      <c r="E2658"/>
    </row>
    <row r="2659" spans="3:5" x14ac:dyDescent="0.25">
      <c r="C2659"/>
      <c r="D2659"/>
      <c r="E2659"/>
    </row>
    <row r="2660" spans="3:5" x14ac:dyDescent="0.25">
      <c r="C2660"/>
      <c r="D2660"/>
      <c r="E2660"/>
    </row>
    <row r="2661" spans="3:5" x14ac:dyDescent="0.25">
      <c r="C2661"/>
      <c r="D2661"/>
      <c r="E2661"/>
    </row>
    <row r="2662" spans="3:5" x14ac:dyDescent="0.25">
      <c r="C2662"/>
      <c r="D2662"/>
      <c r="E2662"/>
    </row>
    <row r="2663" spans="3:5" x14ac:dyDescent="0.25">
      <c r="C2663"/>
      <c r="D2663"/>
      <c r="E2663"/>
    </row>
    <row r="2664" spans="3:5" x14ac:dyDescent="0.25">
      <c r="C2664"/>
      <c r="D2664"/>
      <c r="E2664"/>
    </row>
    <row r="2665" spans="3:5" x14ac:dyDescent="0.25">
      <c r="C2665"/>
      <c r="D2665"/>
      <c r="E2665"/>
    </row>
    <row r="2666" spans="3:5" x14ac:dyDescent="0.25">
      <c r="C2666"/>
      <c r="D2666"/>
      <c r="E2666"/>
    </row>
    <row r="2667" spans="3:5" x14ac:dyDescent="0.25">
      <c r="C2667"/>
      <c r="D2667"/>
      <c r="E2667"/>
    </row>
    <row r="2668" spans="3:5" x14ac:dyDescent="0.25">
      <c r="C2668"/>
      <c r="D2668"/>
      <c r="E2668"/>
    </row>
    <row r="2669" spans="3:5" x14ac:dyDescent="0.25">
      <c r="C2669"/>
      <c r="D2669"/>
      <c r="E2669"/>
    </row>
    <row r="2670" spans="3:5" x14ac:dyDescent="0.25">
      <c r="C2670"/>
      <c r="D2670"/>
      <c r="E2670"/>
    </row>
    <row r="2671" spans="3:5" x14ac:dyDescent="0.25">
      <c r="C2671"/>
      <c r="D2671"/>
      <c r="E2671"/>
    </row>
    <row r="2672" spans="3:5" x14ac:dyDescent="0.25">
      <c r="C2672"/>
      <c r="D2672"/>
      <c r="E2672"/>
    </row>
    <row r="2673" spans="3:5" x14ac:dyDescent="0.25">
      <c r="C2673"/>
      <c r="D2673"/>
      <c r="E2673"/>
    </row>
    <row r="2674" spans="3:5" x14ac:dyDescent="0.25">
      <c r="C2674"/>
      <c r="D2674"/>
      <c r="E2674"/>
    </row>
    <row r="2675" spans="3:5" x14ac:dyDescent="0.25">
      <c r="C2675"/>
      <c r="D2675"/>
      <c r="E2675"/>
    </row>
    <row r="2676" spans="3:5" x14ac:dyDescent="0.25">
      <c r="C2676"/>
      <c r="D2676"/>
      <c r="E2676"/>
    </row>
    <row r="2677" spans="3:5" x14ac:dyDescent="0.25">
      <c r="C2677"/>
      <c r="D2677"/>
      <c r="E2677"/>
    </row>
    <row r="2678" spans="3:5" x14ac:dyDescent="0.25">
      <c r="C2678"/>
      <c r="D2678"/>
      <c r="E2678"/>
    </row>
    <row r="2679" spans="3:5" x14ac:dyDescent="0.25">
      <c r="C2679"/>
      <c r="D2679"/>
      <c r="E2679"/>
    </row>
    <row r="2680" spans="3:5" x14ac:dyDescent="0.25">
      <c r="C2680"/>
      <c r="D2680"/>
      <c r="E2680"/>
    </row>
    <row r="2681" spans="3:5" x14ac:dyDescent="0.25">
      <c r="C2681"/>
      <c r="D2681"/>
      <c r="E2681"/>
    </row>
    <row r="2682" spans="3:5" x14ac:dyDescent="0.25">
      <c r="C2682"/>
      <c r="D2682"/>
      <c r="E2682"/>
    </row>
    <row r="2683" spans="3:5" x14ac:dyDescent="0.25">
      <c r="C2683"/>
      <c r="D2683"/>
      <c r="E2683"/>
    </row>
    <row r="2684" spans="3:5" x14ac:dyDescent="0.25">
      <c r="C2684"/>
      <c r="D2684"/>
      <c r="E2684"/>
    </row>
    <row r="2685" spans="3:5" x14ac:dyDescent="0.25">
      <c r="C2685"/>
      <c r="D2685"/>
      <c r="E2685"/>
    </row>
    <row r="2686" spans="3:5" x14ac:dyDescent="0.25">
      <c r="C2686"/>
      <c r="D2686"/>
      <c r="E2686"/>
    </row>
    <row r="2687" spans="3:5" x14ac:dyDescent="0.25">
      <c r="C2687"/>
      <c r="D2687"/>
      <c r="E2687"/>
    </row>
    <row r="2688" spans="3:5" x14ac:dyDescent="0.25">
      <c r="C2688"/>
      <c r="D2688"/>
      <c r="E2688"/>
    </row>
    <row r="2689" spans="3:5" x14ac:dyDescent="0.25">
      <c r="C2689"/>
      <c r="D2689"/>
      <c r="E2689"/>
    </row>
    <row r="2690" spans="3:5" x14ac:dyDescent="0.25">
      <c r="C2690"/>
      <c r="D2690"/>
      <c r="E2690"/>
    </row>
    <row r="2691" spans="3:5" x14ac:dyDescent="0.25">
      <c r="C2691"/>
      <c r="D2691"/>
      <c r="E2691"/>
    </row>
    <row r="2692" spans="3:5" x14ac:dyDescent="0.25">
      <c r="C2692"/>
      <c r="D2692"/>
      <c r="E2692"/>
    </row>
    <row r="2693" spans="3:5" x14ac:dyDescent="0.25">
      <c r="C2693"/>
      <c r="D2693"/>
      <c r="E2693"/>
    </row>
    <row r="2694" spans="3:5" x14ac:dyDescent="0.25">
      <c r="C2694"/>
      <c r="D2694"/>
      <c r="E2694"/>
    </row>
    <row r="2695" spans="3:5" x14ac:dyDescent="0.25">
      <c r="C2695"/>
      <c r="D2695"/>
      <c r="E2695"/>
    </row>
    <row r="2696" spans="3:5" x14ac:dyDescent="0.25">
      <c r="C2696"/>
      <c r="D2696"/>
      <c r="E2696"/>
    </row>
    <row r="2697" spans="3:5" x14ac:dyDescent="0.25">
      <c r="C2697"/>
      <c r="D2697"/>
      <c r="E2697"/>
    </row>
    <row r="2698" spans="3:5" x14ac:dyDescent="0.25">
      <c r="C2698"/>
      <c r="D2698"/>
      <c r="E2698"/>
    </row>
    <row r="2699" spans="3:5" x14ac:dyDescent="0.25">
      <c r="C2699"/>
      <c r="D2699"/>
      <c r="E2699"/>
    </row>
    <row r="2700" spans="3:5" x14ac:dyDescent="0.25">
      <c r="C2700"/>
      <c r="D2700"/>
      <c r="E2700"/>
    </row>
    <row r="2701" spans="3:5" x14ac:dyDescent="0.25">
      <c r="C2701"/>
      <c r="D2701"/>
      <c r="E2701"/>
    </row>
    <row r="2702" spans="3:5" x14ac:dyDescent="0.25">
      <c r="C2702"/>
      <c r="D2702"/>
      <c r="E2702"/>
    </row>
    <row r="2703" spans="3:5" x14ac:dyDescent="0.25">
      <c r="C2703"/>
      <c r="D2703"/>
      <c r="E2703"/>
    </row>
    <row r="2704" spans="3:5" x14ac:dyDescent="0.25">
      <c r="C2704"/>
      <c r="D2704"/>
      <c r="E2704"/>
    </row>
    <row r="2705" spans="3:5" x14ac:dyDescent="0.25">
      <c r="C2705"/>
      <c r="D2705"/>
      <c r="E2705"/>
    </row>
    <row r="2706" spans="3:5" x14ac:dyDescent="0.25">
      <c r="C2706"/>
      <c r="D2706"/>
      <c r="E2706"/>
    </row>
    <row r="2707" spans="3:5" x14ac:dyDescent="0.25">
      <c r="C2707"/>
      <c r="D2707"/>
      <c r="E2707"/>
    </row>
    <row r="2708" spans="3:5" x14ac:dyDescent="0.25">
      <c r="C2708"/>
      <c r="D2708"/>
      <c r="E2708"/>
    </row>
    <row r="2709" spans="3:5" x14ac:dyDescent="0.25">
      <c r="C2709"/>
      <c r="D2709"/>
      <c r="E2709"/>
    </row>
    <row r="2710" spans="3:5" x14ac:dyDescent="0.25">
      <c r="C2710"/>
      <c r="D2710"/>
      <c r="E2710"/>
    </row>
    <row r="2711" spans="3:5" x14ac:dyDescent="0.25">
      <c r="C2711"/>
      <c r="D2711"/>
      <c r="E2711"/>
    </row>
    <row r="2712" spans="3:5" x14ac:dyDescent="0.25">
      <c r="C2712"/>
      <c r="D2712"/>
      <c r="E2712"/>
    </row>
    <row r="2713" spans="3:5" x14ac:dyDescent="0.25">
      <c r="C2713"/>
      <c r="D2713"/>
      <c r="E2713"/>
    </row>
    <row r="2714" spans="3:5" x14ac:dyDescent="0.25">
      <c r="C2714"/>
      <c r="D2714"/>
      <c r="E2714"/>
    </row>
    <row r="2715" spans="3:5" x14ac:dyDescent="0.25">
      <c r="C2715"/>
      <c r="D2715"/>
      <c r="E2715"/>
    </row>
    <row r="2716" spans="3:5" x14ac:dyDescent="0.25">
      <c r="C2716"/>
      <c r="D2716"/>
      <c r="E2716"/>
    </row>
    <row r="2717" spans="3:5" x14ac:dyDescent="0.25">
      <c r="C2717"/>
      <c r="D2717"/>
      <c r="E2717"/>
    </row>
    <row r="2718" spans="3:5" x14ac:dyDescent="0.25">
      <c r="C2718"/>
      <c r="D2718"/>
      <c r="E2718"/>
    </row>
    <row r="2719" spans="3:5" x14ac:dyDescent="0.25">
      <c r="C2719"/>
      <c r="D2719"/>
      <c r="E2719"/>
    </row>
    <row r="2720" spans="3:5" x14ac:dyDescent="0.25">
      <c r="C2720"/>
      <c r="D2720"/>
      <c r="E2720"/>
    </row>
    <row r="2721" spans="3:5" x14ac:dyDescent="0.25">
      <c r="C2721"/>
      <c r="D2721"/>
      <c r="E2721"/>
    </row>
    <row r="2722" spans="3:5" x14ac:dyDescent="0.25">
      <c r="C2722"/>
      <c r="D2722"/>
      <c r="E2722"/>
    </row>
    <row r="2723" spans="3:5" x14ac:dyDescent="0.25">
      <c r="C2723"/>
      <c r="D2723"/>
      <c r="E2723"/>
    </row>
    <row r="2724" spans="3:5" x14ac:dyDescent="0.25">
      <c r="C2724"/>
      <c r="D2724"/>
      <c r="E2724"/>
    </row>
    <row r="2725" spans="3:5" x14ac:dyDescent="0.25">
      <c r="C2725"/>
      <c r="D2725"/>
      <c r="E2725"/>
    </row>
    <row r="2726" spans="3:5" x14ac:dyDescent="0.25">
      <c r="C2726"/>
      <c r="D2726"/>
      <c r="E2726"/>
    </row>
    <row r="2727" spans="3:5" x14ac:dyDescent="0.25">
      <c r="C2727"/>
      <c r="D2727"/>
      <c r="E2727"/>
    </row>
    <row r="2728" spans="3:5" x14ac:dyDescent="0.25">
      <c r="C2728"/>
      <c r="D2728"/>
      <c r="E2728"/>
    </row>
    <row r="2729" spans="3:5" x14ac:dyDescent="0.25">
      <c r="C2729"/>
      <c r="D2729"/>
      <c r="E2729"/>
    </row>
    <row r="2730" spans="3:5" x14ac:dyDescent="0.25">
      <c r="C2730"/>
      <c r="D2730"/>
      <c r="E2730"/>
    </row>
    <row r="2731" spans="3:5" x14ac:dyDescent="0.25">
      <c r="C2731"/>
      <c r="D2731"/>
      <c r="E2731"/>
    </row>
    <row r="2732" spans="3:5" x14ac:dyDescent="0.25">
      <c r="C2732"/>
      <c r="D2732"/>
      <c r="E2732"/>
    </row>
    <row r="2733" spans="3:5" x14ac:dyDescent="0.25">
      <c r="C2733"/>
      <c r="D2733"/>
      <c r="E2733"/>
    </row>
    <row r="2734" spans="3:5" x14ac:dyDescent="0.25">
      <c r="C2734"/>
      <c r="D2734"/>
      <c r="E2734"/>
    </row>
    <row r="2735" spans="3:5" x14ac:dyDescent="0.25">
      <c r="C2735"/>
      <c r="D2735"/>
      <c r="E2735"/>
    </row>
    <row r="2736" spans="3:5" x14ac:dyDescent="0.25">
      <c r="C2736"/>
      <c r="D2736"/>
      <c r="E2736"/>
    </row>
    <row r="2737" spans="3:5" x14ac:dyDescent="0.25">
      <c r="C2737"/>
      <c r="D2737"/>
      <c r="E2737"/>
    </row>
    <row r="2738" spans="3:5" x14ac:dyDescent="0.25">
      <c r="C2738"/>
      <c r="D2738"/>
      <c r="E2738"/>
    </row>
    <row r="2739" spans="3:5" x14ac:dyDescent="0.25">
      <c r="C2739"/>
      <c r="D2739"/>
      <c r="E2739"/>
    </row>
    <row r="2740" spans="3:5" x14ac:dyDescent="0.25">
      <c r="C2740"/>
      <c r="D2740"/>
      <c r="E2740"/>
    </row>
    <row r="2741" spans="3:5" x14ac:dyDescent="0.25">
      <c r="C2741"/>
      <c r="D2741"/>
      <c r="E2741"/>
    </row>
    <row r="2742" spans="3:5" x14ac:dyDescent="0.25">
      <c r="C2742"/>
      <c r="D2742"/>
      <c r="E2742"/>
    </row>
    <row r="2743" spans="3:5" x14ac:dyDescent="0.25">
      <c r="C2743"/>
      <c r="D2743"/>
      <c r="E2743"/>
    </row>
    <row r="2744" spans="3:5" x14ac:dyDescent="0.25">
      <c r="C2744"/>
      <c r="D2744"/>
      <c r="E2744"/>
    </row>
    <row r="2745" spans="3:5" x14ac:dyDescent="0.25">
      <c r="C2745"/>
      <c r="D2745"/>
      <c r="E2745"/>
    </row>
    <row r="2746" spans="3:5" x14ac:dyDescent="0.25">
      <c r="C2746"/>
      <c r="D2746"/>
      <c r="E2746"/>
    </row>
    <row r="2747" spans="3:5" x14ac:dyDescent="0.25">
      <c r="C2747"/>
      <c r="D2747"/>
      <c r="E2747"/>
    </row>
    <row r="2748" spans="3:5" x14ac:dyDescent="0.25">
      <c r="C2748"/>
      <c r="D2748"/>
      <c r="E2748"/>
    </row>
    <row r="2749" spans="3:5" x14ac:dyDescent="0.25">
      <c r="C2749"/>
      <c r="D2749"/>
      <c r="E2749"/>
    </row>
    <row r="2750" spans="3:5" x14ac:dyDescent="0.25">
      <c r="C2750"/>
      <c r="D2750"/>
      <c r="E2750"/>
    </row>
    <row r="2751" spans="3:5" x14ac:dyDescent="0.25">
      <c r="C2751"/>
      <c r="D2751"/>
      <c r="E2751"/>
    </row>
    <row r="2752" spans="3:5" x14ac:dyDescent="0.25">
      <c r="C2752"/>
      <c r="D2752"/>
      <c r="E2752"/>
    </row>
    <row r="2753" spans="3:5" x14ac:dyDescent="0.25">
      <c r="C2753"/>
      <c r="D2753"/>
      <c r="E2753"/>
    </row>
    <row r="2754" spans="3:5" x14ac:dyDescent="0.25">
      <c r="C2754"/>
      <c r="D2754"/>
      <c r="E2754"/>
    </row>
    <row r="2755" spans="3:5" x14ac:dyDescent="0.25">
      <c r="C2755"/>
      <c r="D2755"/>
      <c r="E2755"/>
    </row>
    <row r="2756" spans="3:5" x14ac:dyDescent="0.25">
      <c r="C2756"/>
      <c r="D2756"/>
      <c r="E2756"/>
    </row>
    <row r="2757" spans="3:5" x14ac:dyDescent="0.25">
      <c r="C2757"/>
      <c r="D2757"/>
      <c r="E2757"/>
    </row>
    <row r="2758" spans="3:5" x14ac:dyDescent="0.25">
      <c r="C2758"/>
      <c r="D2758"/>
      <c r="E2758"/>
    </row>
    <row r="2759" spans="3:5" x14ac:dyDescent="0.25">
      <c r="C2759"/>
      <c r="D2759"/>
      <c r="E2759"/>
    </row>
    <row r="2760" spans="3:5" x14ac:dyDescent="0.25">
      <c r="C2760"/>
      <c r="D2760"/>
      <c r="E2760"/>
    </row>
    <row r="2761" spans="3:5" x14ac:dyDescent="0.25">
      <c r="C2761"/>
      <c r="D2761"/>
      <c r="E2761"/>
    </row>
    <row r="2762" spans="3:5" x14ac:dyDescent="0.25">
      <c r="C2762"/>
      <c r="D2762"/>
      <c r="E2762"/>
    </row>
    <row r="2763" spans="3:5" x14ac:dyDescent="0.25">
      <c r="C2763"/>
      <c r="D2763"/>
      <c r="E2763"/>
    </row>
    <row r="2764" spans="3:5" x14ac:dyDescent="0.25">
      <c r="C2764"/>
      <c r="D2764"/>
      <c r="E2764"/>
    </row>
    <row r="2765" spans="3:5" x14ac:dyDescent="0.25">
      <c r="C2765"/>
      <c r="D2765"/>
      <c r="E2765"/>
    </row>
    <row r="2766" spans="3:5" x14ac:dyDescent="0.25">
      <c r="C2766"/>
      <c r="D2766"/>
      <c r="E2766"/>
    </row>
    <row r="2767" spans="3:5" x14ac:dyDescent="0.25">
      <c r="C2767"/>
      <c r="D2767"/>
      <c r="E2767"/>
    </row>
    <row r="2768" spans="3:5" x14ac:dyDescent="0.25">
      <c r="C2768"/>
      <c r="D2768"/>
      <c r="E2768"/>
    </row>
    <row r="2769" spans="3:5" x14ac:dyDescent="0.25">
      <c r="C2769"/>
      <c r="D2769"/>
      <c r="E2769"/>
    </row>
    <row r="2770" spans="3:5" x14ac:dyDescent="0.25">
      <c r="C2770"/>
      <c r="D2770"/>
      <c r="E2770"/>
    </row>
    <row r="2771" spans="3:5" x14ac:dyDescent="0.25">
      <c r="C2771"/>
      <c r="D2771"/>
      <c r="E2771"/>
    </row>
    <row r="2772" spans="3:5" x14ac:dyDescent="0.25">
      <c r="C2772"/>
      <c r="D2772"/>
      <c r="E2772"/>
    </row>
    <row r="2773" spans="3:5" x14ac:dyDescent="0.25">
      <c r="C2773"/>
      <c r="D2773"/>
      <c r="E2773"/>
    </row>
    <row r="2774" spans="3:5" x14ac:dyDescent="0.25">
      <c r="C2774"/>
      <c r="D2774"/>
      <c r="E2774"/>
    </row>
    <row r="2775" spans="3:5" x14ac:dyDescent="0.25">
      <c r="C2775"/>
      <c r="D2775"/>
      <c r="E2775"/>
    </row>
    <row r="2776" spans="3:5" x14ac:dyDescent="0.25">
      <c r="C2776"/>
      <c r="D2776"/>
      <c r="E2776"/>
    </row>
    <row r="2777" spans="3:5" x14ac:dyDescent="0.25">
      <c r="C2777"/>
      <c r="D2777"/>
      <c r="E2777"/>
    </row>
    <row r="2778" spans="3:5" x14ac:dyDescent="0.25">
      <c r="C2778"/>
      <c r="D2778"/>
      <c r="E2778"/>
    </row>
    <row r="2779" spans="3:5" x14ac:dyDescent="0.25">
      <c r="C2779"/>
      <c r="D2779"/>
      <c r="E2779"/>
    </row>
    <row r="2780" spans="3:5" x14ac:dyDescent="0.25">
      <c r="C2780"/>
      <c r="D2780"/>
      <c r="E2780"/>
    </row>
    <row r="2781" spans="3:5" x14ac:dyDescent="0.25">
      <c r="C2781"/>
      <c r="D2781"/>
      <c r="E2781"/>
    </row>
    <row r="2782" spans="3:5" x14ac:dyDescent="0.25">
      <c r="C2782"/>
      <c r="D2782"/>
      <c r="E2782"/>
    </row>
    <row r="2783" spans="3:5" x14ac:dyDescent="0.25">
      <c r="C2783"/>
      <c r="D2783"/>
      <c r="E2783"/>
    </row>
    <row r="2784" spans="3:5" x14ac:dyDescent="0.25">
      <c r="C2784"/>
      <c r="D2784"/>
      <c r="E2784"/>
    </row>
    <row r="2785" spans="3:5" x14ac:dyDescent="0.25">
      <c r="C2785"/>
      <c r="D2785"/>
      <c r="E2785"/>
    </row>
    <row r="2786" spans="3:5" x14ac:dyDescent="0.25">
      <c r="C2786"/>
      <c r="D2786"/>
      <c r="E2786"/>
    </row>
    <row r="2787" spans="3:5" x14ac:dyDescent="0.25">
      <c r="C2787"/>
      <c r="D2787"/>
      <c r="E2787"/>
    </row>
    <row r="2788" spans="3:5" x14ac:dyDescent="0.25">
      <c r="C2788"/>
      <c r="D2788"/>
      <c r="E2788"/>
    </row>
    <row r="2789" spans="3:5" x14ac:dyDescent="0.25">
      <c r="C2789"/>
      <c r="D2789"/>
      <c r="E2789"/>
    </row>
    <row r="2790" spans="3:5" x14ac:dyDescent="0.25">
      <c r="C2790"/>
      <c r="D2790"/>
      <c r="E2790"/>
    </row>
    <row r="2791" spans="3:5" x14ac:dyDescent="0.25">
      <c r="C2791"/>
      <c r="D2791"/>
      <c r="E2791"/>
    </row>
    <row r="2792" spans="3:5" x14ac:dyDescent="0.25">
      <c r="C2792"/>
      <c r="D2792"/>
      <c r="E2792"/>
    </row>
    <row r="2793" spans="3:5" x14ac:dyDescent="0.25">
      <c r="C2793"/>
      <c r="D2793"/>
      <c r="E2793"/>
    </row>
    <row r="2794" spans="3:5" x14ac:dyDescent="0.25">
      <c r="C2794"/>
      <c r="D2794"/>
      <c r="E2794"/>
    </row>
    <row r="2795" spans="3:5" x14ac:dyDescent="0.25">
      <c r="C2795"/>
      <c r="D2795"/>
      <c r="E2795"/>
    </row>
    <row r="2796" spans="3:5" x14ac:dyDescent="0.25">
      <c r="C2796"/>
      <c r="D2796"/>
      <c r="E2796"/>
    </row>
    <row r="2797" spans="3:5" x14ac:dyDescent="0.25">
      <c r="C2797"/>
      <c r="D2797"/>
      <c r="E2797"/>
    </row>
    <row r="2798" spans="3:5" x14ac:dyDescent="0.25">
      <c r="C2798"/>
      <c r="D2798"/>
      <c r="E2798"/>
    </row>
    <row r="2799" spans="3:5" x14ac:dyDescent="0.25">
      <c r="C2799"/>
      <c r="D2799"/>
      <c r="E2799"/>
    </row>
    <row r="2800" spans="3:5" x14ac:dyDescent="0.25">
      <c r="C2800"/>
      <c r="D2800"/>
      <c r="E2800"/>
    </row>
    <row r="2801" spans="3:5" x14ac:dyDescent="0.25">
      <c r="C2801"/>
      <c r="D2801"/>
      <c r="E2801"/>
    </row>
    <row r="2802" spans="3:5" x14ac:dyDescent="0.25">
      <c r="C2802"/>
      <c r="D2802"/>
      <c r="E2802"/>
    </row>
    <row r="2803" spans="3:5" x14ac:dyDescent="0.25">
      <c r="C2803"/>
      <c r="D2803"/>
      <c r="E2803"/>
    </row>
    <row r="2804" spans="3:5" x14ac:dyDescent="0.25">
      <c r="C2804"/>
      <c r="D2804"/>
      <c r="E2804"/>
    </row>
    <row r="2805" spans="3:5" x14ac:dyDescent="0.25">
      <c r="C2805"/>
      <c r="D2805"/>
      <c r="E2805"/>
    </row>
    <row r="2806" spans="3:5" x14ac:dyDescent="0.25">
      <c r="C2806"/>
      <c r="D2806"/>
      <c r="E2806"/>
    </row>
    <row r="2807" spans="3:5" x14ac:dyDescent="0.25">
      <c r="C2807"/>
      <c r="D2807"/>
      <c r="E2807"/>
    </row>
    <row r="2808" spans="3:5" x14ac:dyDescent="0.25">
      <c r="C2808"/>
      <c r="D2808"/>
      <c r="E2808"/>
    </row>
    <row r="2809" spans="3:5" x14ac:dyDescent="0.25">
      <c r="C2809"/>
      <c r="D2809"/>
      <c r="E2809"/>
    </row>
    <row r="2810" spans="3:5" x14ac:dyDescent="0.25">
      <c r="C2810"/>
      <c r="D2810"/>
      <c r="E2810"/>
    </row>
    <row r="2811" spans="3:5" x14ac:dyDescent="0.25">
      <c r="C2811"/>
      <c r="D2811"/>
      <c r="E2811"/>
    </row>
    <row r="2812" spans="3:5" x14ac:dyDescent="0.25">
      <c r="C2812"/>
      <c r="D2812"/>
      <c r="E2812"/>
    </row>
    <row r="2813" spans="3:5" x14ac:dyDescent="0.25">
      <c r="C2813"/>
      <c r="D2813"/>
      <c r="E2813"/>
    </row>
    <row r="2814" spans="3:5" x14ac:dyDescent="0.25">
      <c r="C2814"/>
      <c r="D2814"/>
      <c r="E2814"/>
    </row>
    <row r="2815" spans="3:5" x14ac:dyDescent="0.25">
      <c r="C2815"/>
      <c r="D2815"/>
      <c r="E2815"/>
    </row>
    <row r="2816" spans="3:5" x14ac:dyDescent="0.25">
      <c r="C2816"/>
      <c r="D2816"/>
      <c r="E2816"/>
    </row>
    <row r="2817" spans="3:5" x14ac:dyDescent="0.25">
      <c r="C2817"/>
      <c r="D2817"/>
      <c r="E2817"/>
    </row>
    <row r="2818" spans="3:5" x14ac:dyDescent="0.25">
      <c r="C2818"/>
      <c r="D2818"/>
      <c r="E2818"/>
    </row>
    <row r="2819" spans="3:5" x14ac:dyDescent="0.25">
      <c r="C2819"/>
      <c r="D2819"/>
      <c r="E2819"/>
    </row>
    <row r="2820" spans="3:5" x14ac:dyDescent="0.25">
      <c r="C2820"/>
      <c r="D2820"/>
      <c r="E2820"/>
    </row>
    <row r="2821" spans="3:5" x14ac:dyDescent="0.25">
      <c r="C2821"/>
      <c r="D2821"/>
      <c r="E2821"/>
    </row>
    <row r="2822" spans="3:5" x14ac:dyDescent="0.25">
      <c r="C2822"/>
      <c r="D2822"/>
      <c r="E2822"/>
    </row>
    <row r="2823" spans="3:5" x14ac:dyDescent="0.25">
      <c r="C2823"/>
      <c r="D2823"/>
      <c r="E2823"/>
    </row>
    <row r="2824" spans="3:5" x14ac:dyDescent="0.25">
      <c r="C2824"/>
      <c r="D2824"/>
      <c r="E2824"/>
    </row>
    <row r="2825" spans="3:5" x14ac:dyDescent="0.25">
      <c r="C2825"/>
      <c r="D2825"/>
      <c r="E2825"/>
    </row>
    <row r="2826" spans="3:5" x14ac:dyDescent="0.25">
      <c r="C2826"/>
      <c r="D2826"/>
      <c r="E2826"/>
    </row>
    <row r="2827" spans="3:5" x14ac:dyDescent="0.25">
      <c r="C2827"/>
      <c r="D2827"/>
      <c r="E2827"/>
    </row>
    <row r="2828" spans="3:5" x14ac:dyDescent="0.25">
      <c r="C2828"/>
      <c r="D2828"/>
      <c r="E2828"/>
    </row>
    <row r="2829" spans="3:5" x14ac:dyDescent="0.25">
      <c r="C2829"/>
      <c r="D2829"/>
      <c r="E2829"/>
    </row>
    <row r="2830" spans="3:5" x14ac:dyDescent="0.25">
      <c r="C2830"/>
      <c r="D2830"/>
      <c r="E2830"/>
    </row>
    <row r="2831" spans="3:5" x14ac:dyDescent="0.25">
      <c r="C2831"/>
      <c r="D2831"/>
      <c r="E2831"/>
    </row>
    <row r="2832" spans="3:5" x14ac:dyDescent="0.25">
      <c r="C2832"/>
      <c r="D2832"/>
      <c r="E2832"/>
    </row>
    <row r="2833" spans="3:5" x14ac:dyDescent="0.25">
      <c r="C2833"/>
      <c r="D2833"/>
      <c r="E2833"/>
    </row>
    <row r="2834" spans="3:5" x14ac:dyDescent="0.25">
      <c r="C2834"/>
      <c r="D2834"/>
      <c r="E2834"/>
    </row>
    <row r="2835" spans="3:5" x14ac:dyDescent="0.25">
      <c r="C2835"/>
      <c r="D2835"/>
      <c r="E2835"/>
    </row>
    <row r="2836" spans="3:5" x14ac:dyDescent="0.25">
      <c r="C2836"/>
      <c r="D2836"/>
      <c r="E2836"/>
    </row>
    <row r="2837" spans="3:5" x14ac:dyDescent="0.25">
      <c r="C2837"/>
      <c r="D2837"/>
      <c r="E2837"/>
    </row>
    <row r="2838" spans="3:5" x14ac:dyDescent="0.25">
      <c r="C2838"/>
      <c r="D2838"/>
      <c r="E2838"/>
    </row>
    <row r="2839" spans="3:5" x14ac:dyDescent="0.25">
      <c r="C2839"/>
      <c r="D2839"/>
      <c r="E2839"/>
    </row>
    <row r="2840" spans="3:5" x14ac:dyDescent="0.25">
      <c r="C2840"/>
      <c r="D2840"/>
      <c r="E2840"/>
    </row>
    <row r="2841" spans="3:5" x14ac:dyDescent="0.25">
      <c r="C2841"/>
      <c r="D2841"/>
      <c r="E2841"/>
    </row>
    <row r="2842" spans="3:5" x14ac:dyDescent="0.25">
      <c r="C2842"/>
      <c r="D2842"/>
      <c r="E2842"/>
    </row>
    <row r="2843" spans="3:5" x14ac:dyDescent="0.25">
      <c r="C2843"/>
      <c r="D2843"/>
      <c r="E2843"/>
    </row>
    <row r="2844" spans="3:5" x14ac:dyDescent="0.25">
      <c r="C2844"/>
      <c r="D2844"/>
      <c r="E2844"/>
    </row>
    <row r="2845" spans="3:5" x14ac:dyDescent="0.25">
      <c r="C2845"/>
      <c r="D2845"/>
      <c r="E2845"/>
    </row>
    <row r="2846" spans="3:5" x14ac:dyDescent="0.25">
      <c r="C2846"/>
      <c r="D2846"/>
      <c r="E2846"/>
    </row>
    <row r="2847" spans="3:5" x14ac:dyDescent="0.25">
      <c r="C2847"/>
      <c r="D2847"/>
      <c r="E2847"/>
    </row>
    <row r="2848" spans="3:5" x14ac:dyDescent="0.25">
      <c r="C2848"/>
      <c r="D2848"/>
      <c r="E2848"/>
    </row>
    <row r="2849" spans="3:5" x14ac:dyDescent="0.25">
      <c r="C2849"/>
      <c r="D2849"/>
      <c r="E2849"/>
    </row>
    <row r="2850" spans="3:5" x14ac:dyDescent="0.25">
      <c r="C2850"/>
      <c r="D2850"/>
      <c r="E2850"/>
    </row>
    <row r="2851" spans="3:5" x14ac:dyDescent="0.25">
      <c r="C2851"/>
      <c r="D2851"/>
      <c r="E2851"/>
    </row>
    <row r="2852" spans="3:5" x14ac:dyDescent="0.25">
      <c r="C2852"/>
      <c r="D2852"/>
      <c r="E2852"/>
    </row>
    <row r="2853" spans="3:5" x14ac:dyDescent="0.25">
      <c r="C2853"/>
      <c r="D2853"/>
      <c r="E2853"/>
    </row>
    <row r="2854" spans="3:5" x14ac:dyDescent="0.25">
      <c r="C2854"/>
      <c r="D2854"/>
      <c r="E2854"/>
    </row>
    <row r="2855" spans="3:5" x14ac:dyDescent="0.25">
      <c r="C2855"/>
      <c r="D2855"/>
      <c r="E2855"/>
    </row>
    <row r="2856" spans="3:5" x14ac:dyDescent="0.25">
      <c r="C2856"/>
      <c r="D2856"/>
      <c r="E2856"/>
    </row>
    <row r="2857" spans="3:5" x14ac:dyDescent="0.25">
      <c r="C2857"/>
      <c r="D2857"/>
      <c r="E2857"/>
    </row>
    <row r="2858" spans="3:5" x14ac:dyDescent="0.25">
      <c r="C2858"/>
      <c r="D2858"/>
      <c r="E2858"/>
    </row>
    <row r="2859" spans="3:5" x14ac:dyDescent="0.25">
      <c r="C2859"/>
      <c r="D2859"/>
      <c r="E2859"/>
    </row>
    <row r="2860" spans="3:5" x14ac:dyDescent="0.25">
      <c r="C2860"/>
      <c r="D2860"/>
      <c r="E2860"/>
    </row>
    <row r="2861" spans="3:5" x14ac:dyDescent="0.25">
      <c r="C2861"/>
      <c r="D2861"/>
      <c r="E2861"/>
    </row>
    <row r="2862" spans="3:5" x14ac:dyDescent="0.25">
      <c r="C2862"/>
      <c r="D2862"/>
      <c r="E2862"/>
    </row>
    <row r="2863" spans="3:5" x14ac:dyDescent="0.25">
      <c r="C2863"/>
      <c r="D2863"/>
      <c r="E2863"/>
    </row>
    <row r="2864" spans="3:5" x14ac:dyDescent="0.25">
      <c r="C2864"/>
      <c r="D2864"/>
      <c r="E2864"/>
    </row>
    <row r="2865" spans="3:5" x14ac:dyDescent="0.25">
      <c r="C2865"/>
      <c r="D2865"/>
      <c r="E2865"/>
    </row>
    <row r="2866" spans="3:5" x14ac:dyDescent="0.25">
      <c r="C2866"/>
      <c r="D2866"/>
      <c r="E2866"/>
    </row>
    <row r="2867" spans="3:5" x14ac:dyDescent="0.25">
      <c r="C2867"/>
      <c r="D2867"/>
      <c r="E2867"/>
    </row>
    <row r="2868" spans="3:5" x14ac:dyDescent="0.25">
      <c r="C2868"/>
      <c r="D2868"/>
      <c r="E2868"/>
    </row>
    <row r="2869" spans="3:5" x14ac:dyDescent="0.25">
      <c r="C2869"/>
      <c r="D2869"/>
      <c r="E2869"/>
    </row>
    <row r="2870" spans="3:5" x14ac:dyDescent="0.25">
      <c r="C2870"/>
      <c r="D2870"/>
      <c r="E2870"/>
    </row>
    <row r="2871" spans="3:5" x14ac:dyDescent="0.25">
      <c r="C2871"/>
      <c r="D2871"/>
      <c r="E2871"/>
    </row>
    <row r="2872" spans="3:5" x14ac:dyDescent="0.25">
      <c r="C2872"/>
      <c r="D2872"/>
      <c r="E2872"/>
    </row>
    <row r="2873" spans="3:5" x14ac:dyDescent="0.25">
      <c r="C2873"/>
      <c r="D2873"/>
      <c r="E2873"/>
    </row>
    <row r="2874" spans="3:5" x14ac:dyDescent="0.25">
      <c r="C2874"/>
      <c r="D2874"/>
      <c r="E2874"/>
    </row>
    <row r="2875" spans="3:5" x14ac:dyDescent="0.25">
      <c r="C2875"/>
      <c r="D2875"/>
      <c r="E2875"/>
    </row>
    <row r="2876" spans="3:5" x14ac:dyDescent="0.25">
      <c r="C2876"/>
      <c r="D2876"/>
      <c r="E2876"/>
    </row>
    <row r="2877" spans="3:5" x14ac:dyDescent="0.25">
      <c r="C2877"/>
      <c r="D2877"/>
      <c r="E2877"/>
    </row>
    <row r="2878" spans="3:5" x14ac:dyDescent="0.25">
      <c r="C2878"/>
      <c r="D2878"/>
      <c r="E2878"/>
    </row>
    <row r="2879" spans="3:5" x14ac:dyDescent="0.25">
      <c r="C2879"/>
      <c r="D2879"/>
      <c r="E2879"/>
    </row>
    <row r="2880" spans="3:5" x14ac:dyDescent="0.25">
      <c r="C2880"/>
      <c r="D2880"/>
      <c r="E2880"/>
    </row>
    <row r="2881" spans="3:5" x14ac:dyDescent="0.25">
      <c r="C2881"/>
      <c r="D2881"/>
      <c r="E2881"/>
    </row>
    <row r="2882" spans="3:5" x14ac:dyDescent="0.25">
      <c r="C2882"/>
      <c r="D2882"/>
      <c r="E2882"/>
    </row>
    <row r="2883" spans="3:5" x14ac:dyDescent="0.25">
      <c r="C2883"/>
      <c r="D2883"/>
      <c r="E2883"/>
    </row>
    <row r="2884" spans="3:5" x14ac:dyDescent="0.25">
      <c r="C2884"/>
      <c r="D2884"/>
      <c r="E2884"/>
    </row>
    <row r="2885" spans="3:5" x14ac:dyDescent="0.25">
      <c r="C2885"/>
      <c r="D2885"/>
      <c r="E2885"/>
    </row>
    <row r="2886" spans="3:5" x14ac:dyDescent="0.25">
      <c r="C2886"/>
      <c r="D2886"/>
      <c r="E2886"/>
    </row>
    <row r="2887" spans="3:5" x14ac:dyDescent="0.25">
      <c r="C2887"/>
      <c r="D2887"/>
      <c r="E2887"/>
    </row>
    <row r="2888" spans="3:5" x14ac:dyDescent="0.25">
      <c r="C2888"/>
      <c r="D2888"/>
      <c r="E2888"/>
    </row>
    <row r="2889" spans="3:5" x14ac:dyDescent="0.25">
      <c r="C2889"/>
      <c r="D2889"/>
      <c r="E2889"/>
    </row>
    <row r="2890" spans="3:5" x14ac:dyDescent="0.25">
      <c r="C2890"/>
      <c r="D2890"/>
      <c r="E2890"/>
    </row>
    <row r="2891" spans="3:5" x14ac:dyDescent="0.25">
      <c r="C2891"/>
      <c r="D2891"/>
      <c r="E2891"/>
    </row>
    <row r="2892" spans="3:5" x14ac:dyDescent="0.25">
      <c r="C2892"/>
      <c r="D2892"/>
      <c r="E2892"/>
    </row>
    <row r="2893" spans="3:5" x14ac:dyDescent="0.25">
      <c r="C2893"/>
      <c r="D2893"/>
      <c r="E2893"/>
    </row>
    <row r="2894" spans="3:5" x14ac:dyDescent="0.25">
      <c r="C2894"/>
      <c r="D2894"/>
      <c r="E2894"/>
    </row>
    <row r="2895" spans="3:5" x14ac:dyDescent="0.25">
      <c r="C2895"/>
      <c r="D2895"/>
      <c r="E2895"/>
    </row>
    <row r="2896" spans="3:5" x14ac:dyDescent="0.25">
      <c r="C2896"/>
      <c r="D2896"/>
      <c r="E2896"/>
    </row>
    <row r="2897" spans="3:5" x14ac:dyDescent="0.25">
      <c r="C2897"/>
      <c r="D2897"/>
      <c r="E2897"/>
    </row>
    <row r="2898" spans="3:5" x14ac:dyDescent="0.25">
      <c r="C2898"/>
      <c r="D2898"/>
      <c r="E2898"/>
    </row>
    <row r="2899" spans="3:5" x14ac:dyDescent="0.25">
      <c r="C2899"/>
      <c r="D2899"/>
      <c r="E2899"/>
    </row>
    <row r="2900" spans="3:5" x14ac:dyDescent="0.25">
      <c r="C2900"/>
      <c r="D2900"/>
      <c r="E2900"/>
    </row>
    <row r="2901" spans="3:5" x14ac:dyDescent="0.25">
      <c r="C2901"/>
      <c r="D2901"/>
      <c r="E2901"/>
    </row>
    <row r="2902" spans="3:5" x14ac:dyDescent="0.25">
      <c r="C2902"/>
      <c r="D2902"/>
      <c r="E2902"/>
    </row>
    <row r="2903" spans="3:5" x14ac:dyDescent="0.25">
      <c r="C2903"/>
      <c r="D2903"/>
      <c r="E2903"/>
    </row>
    <row r="2904" spans="3:5" x14ac:dyDescent="0.25">
      <c r="C2904"/>
      <c r="D2904"/>
      <c r="E2904"/>
    </row>
    <row r="2905" spans="3:5" x14ac:dyDescent="0.25">
      <c r="C2905"/>
      <c r="D2905"/>
      <c r="E2905"/>
    </row>
    <row r="2906" spans="3:5" x14ac:dyDescent="0.25">
      <c r="C2906"/>
      <c r="D2906"/>
      <c r="E2906"/>
    </row>
    <row r="2907" spans="3:5" x14ac:dyDescent="0.25">
      <c r="C2907"/>
      <c r="D2907"/>
      <c r="E2907"/>
    </row>
    <row r="2908" spans="3:5" x14ac:dyDescent="0.25">
      <c r="C2908"/>
      <c r="D2908"/>
      <c r="E2908"/>
    </row>
    <row r="2909" spans="3:5" x14ac:dyDescent="0.25">
      <c r="C2909"/>
      <c r="D2909"/>
      <c r="E2909"/>
    </row>
    <row r="2910" spans="3:5" x14ac:dyDescent="0.25">
      <c r="C2910"/>
      <c r="D2910"/>
      <c r="E2910"/>
    </row>
    <row r="2911" spans="3:5" x14ac:dyDescent="0.25">
      <c r="C2911"/>
      <c r="D2911"/>
      <c r="E2911"/>
    </row>
    <row r="2912" spans="3:5" x14ac:dyDescent="0.25">
      <c r="C2912"/>
      <c r="D2912"/>
      <c r="E2912"/>
    </row>
    <row r="2913" spans="3:5" x14ac:dyDescent="0.25">
      <c r="C2913"/>
      <c r="D2913"/>
      <c r="E2913"/>
    </row>
    <row r="2914" spans="3:5" x14ac:dyDescent="0.25">
      <c r="C2914"/>
      <c r="D2914"/>
      <c r="E2914"/>
    </row>
    <row r="2915" spans="3:5" x14ac:dyDescent="0.25">
      <c r="C2915"/>
      <c r="D2915"/>
      <c r="E2915"/>
    </row>
    <row r="2916" spans="3:5" x14ac:dyDescent="0.25">
      <c r="C2916"/>
      <c r="D2916"/>
      <c r="E2916"/>
    </row>
    <row r="2917" spans="3:5" x14ac:dyDescent="0.25">
      <c r="C2917"/>
      <c r="D2917"/>
      <c r="E2917"/>
    </row>
    <row r="2918" spans="3:5" x14ac:dyDescent="0.25">
      <c r="C2918"/>
      <c r="D2918"/>
      <c r="E2918"/>
    </row>
    <row r="2919" spans="3:5" x14ac:dyDescent="0.25">
      <c r="C2919"/>
      <c r="D2919"/>
      <c r="E2919"/>
    </row>
    <row r="2920" spans="3:5" x14ac:dyDescent="0.25">
      <c r="C2920"/>
      <c r="D2920"/>
      <c r="E2920"/>
    </row>
    <row r="2921" spans="3:5" x14ac:dyDescent="0.25">
      <c r="C2921"/>
      <c r="D2921"/>
      <c r="E2921"/>
    </row>
    <row r="2922" spans="3:5" x14ac:dyDescent="0.25">
      <c r="C2922"/>
      <c r="D2922"/>
      <c r="E2922"/>
    </row>
    <row r="2923" spans="3:5" x14ac:dyDescent="0.25">
      <c r="C2923"/>
      <c r="D2923"/>
      <c r="E2923"/>
    </row>
    <row r="2924" spans="3:5" x14ac:dyDescent="0.25">
      <c r="C2924"/>
      <c r="D2924"/>
      <c r="E2924"/>
    </row>
    <row r="2925" spans="3:5" x14ac:dyDescent="0.25">
      <c r="C2925"/>
      <c r="D2925"/>
      <c r="E2925"/>
    </row>
    <row r="2926" spans="3:5" x14ac:dyDescent="0.25">
      <c r="C2926"/>
      <c r="D2926"/>
      <c r="E2926"/>
    </row>
    <row r="2927" spans="3:5" x14ac:dyDescent="0.25">
      <c r="C2927"/>
      <c r="D2927"/>
      <c r="E2927"/>
    </row>
    <row r="2928" spans="3:5" x14ac:dyDescent="0.25">
      <c r="C2928"/>
      <c r="D2928"/>
      <c r="E2928"/>
    </row>
    <row r="2929" spans="3:5" x14ac:dyDescent="0.25">
      <c r="C2929"/>
      <c r="D2929"/>
      <c r="E2929"/>
    </row>
    <row r="2930" spans="3:5" x14ac:dyDescent="0.25">
      <c r="C2930"/>
      <c r="D2930"/>
      <c r="E2930"/>
    </row>
    <row r="2931" spans="3:5" x14ac:dyDescent="0.25">
      <c r="C2931"/>
      <c r="D2931"/>
      <c r="E2931"/>
    </row>
    <row r="2932" spans="3:5" x14ac:dyDescent="0.25">
      <c r="C2932"/>
      <c r="D2932"/>
      <c r="E2932"/>
    </row>
    <row r="2933" spans="3:5" x14ac:dyDescent="0.25">
      <c r="C2933"/>
      <c r="D2933"/>
      <c r="E2933"/>
    </row>
    <row r="2934" spans="3:5" x14ac:dyDescent="0.25">
      <c r="C2934"/>
      <c r="D2934"/>
      <c r="E2934"/>
    </row>
    <row r="2935" spans="3:5" x14ac:dyDescent="0.25">
      <c r="C2935"/>
      <c r="D2935"/>
      <c r="E2935"/>
    </row>
    <row r="2936" spans="3:5" x14ac:dyDescent="0.25">
      <c r="C2936"/>
      <c r="D2936"/>
      <c r="E2936"/>
    </row>
    <row r="2937" spans="3:5" x14ac:dyDescent="0.25">
      <c r="C2937"/>
      <c r="D2937"/>
      <c r="E2937"/>
    </row>
    <row r="2938" spans="3:5" x14ac:dyDescent="0.25">
      <c r="C2938"/>
      <c r="D2938"/>
      <c r="E2938"/>
    </row>
    <row r="2939" spans="3:5" x14ac:dyDescent="0.25">
      <c r="C2939"/>
      <c r="D2939"/>
      <c r="E2939"/>
    </row>
    <row r="2940" spans="3:5" x14ac:dyDescent="0.25">
      <c r="C2940"/>
      <c r="D2940"/>
      <c r="E2940"/>
    </row>
    <row r="2941" spans="3:5" x14ac:dyDescent="0.25">
      <c r="C2941"/>
      <c r="D2941"/>
      <c r="E2941"/>
    </row>
    <row r="2942" spans="3:5" x14ac:dyDescent="0.25">
      <c r="C2942"/>
      <c r="D2942"/>
      <c r="E2942"/>
    </row>
    <row r="2943" spans="3:5" x14ac:dyDescent="0.25">
      <c r="C2943"/>
      <c r="D2943"/>
      <c r="E2943"/>
    </row>
    <row r="2944" spans="3:5" x14ac:dyDescent="0.25">
      <c r="C2944"/>
      <c r="D2944"/>
      <c r="E2944"/>
    </row>
    <row r="2945" spans="3:5" x14ac:dyDescent="0.25">
      <c r="C2945"/>
      <c r="D2945"/>
      <c r="E2945"/>
    </row>
    <row r="2946" spans="3:5" x14ac:dyDescent="0.25">
      <c r="C2946"/>
      <c r="D2946"/>
      <c r="E2946"/>
    </row>
    <row r="2947" spans="3:5" x14ac:dyDescent="0.25">
      <c r="C2947"/>
      <c r="D2947"/>
      <c r="E2947"/>
    </row>
    <row r="2948" spans="3:5" x14ac:dyDescent="0.25">
      <c r="C2948"/>
      <c r="D2948"/>
      <c r="E2948"/>
    </row>
    <row r="2949" spans="3:5" x14ac:dyDescent="0.25">
      <c r="C2949"/>
      <c r="D2949"/>
      <c r="E2949"/>
    </row>
    <row r="2950" spans="3:5" x14ac:dyDescent="0.25">
      <c r="C2950"/>
      <c r="D2950"/>
      <c r="E2950"/>
    </row>
    <row r="2951" spans="3:5" x14ac:dyDescent="0.25">
      <c r="C2951"/>
      <c r="D2951"/>
      <c r="E2951"/>
    </row>
    <row r="2952" spans="3:5" x14ac:dyDescent="0.25">
      <c r="C2952"/>
      <c r="D2952"/>
      <c r="E2952"/>
    </row>
    <row r="2953" spans="3:5" x14ac:dyDescent="0.25">
      <c r="C2953"/>
      <c r="D2953"/>
      <c r="E2953"/>
    </row>
    <row r="2954" spans="3:5" x14ac:dyDescent="0.25">
      <c r="C2954"/>
      <c r="D2954"/>
      <c r="E2954"/>
    </row>
    <row r="2955" spans="3:5" x14ac:dyDescent="0.25">
      <c r="C2955"/>
      <c r="D2955"/>
      <c r="E2955"/>
    </row>
    <row r="2956" spans="3:5" x14ac:dyDescent="0.25">
      <c r="C2956"/>
      <c r="D2956"/>
      <c r="E2956"/>
    </row>
    <row r="2957" spans="3:5" x14ac:dyDescent="0.25">
      <c r="C2957"/>
      <c r="D2957"/>
      <c r="E2957"/>
    </row>
    <row r="2958" spans="3:5" x14ac:dyDescent="0.25">
      <c r="C2958"/>
      <c r="D2958"/>
      <c r="E2958"/>
    </row>
    <row r="2959" spans="3:5" x14ac:dyDescent="0.25">
      <c r="C2959"/>
      <c r="D2959"/>
      <c r="E2959"/>
    </row>
    <row r="2960" spans="3:5" x14ac:dyDescent="0.25">
      <c r="C2960"/>
      <c r="D2960"/>
      <c r="E2960"/>
    </row>
    <row r="2961" spans="3:5" x14ac:dyDescent="0.25">
      <c r="C2961"/>
      <c r="D2961"/>
      <c r="E2961"/>
    </row>
    <row r="2962" spans="3:5" x14ac:dyDescent="0.25">
      <c r="C2962"/>
      <c r="D2962"/>
      <c r="E2962"/>
    </row>
    <row r="2963" spans="3:5" x14ac:dyDescent="0.25">
      <c r="C2963"/>
      <c r="D2963"/>
      <c r="E2963"/>
    </row>
    <row r="2964" spans="3:5" x14ac:dyDescent="0.25">
      <c r="C2964"/>
      <c r="D2964"/>
      <c r="E2964"/>
    </row>
    <row r="2965" spans="3:5" x14ac:dyDescent="0.25">
      <c r="C2965"/>
      <c r="D2965"/>
      <c r="E2965"/>
    </row>
    <row r="2966" spans="3:5" x14ac:dyDescent="0.25">
      <c r="C2966"/>
      <c r="D2966"/>
      <c r="E2966"/>
    </row>
    <row r="2967" spans="3:5" x14ac:dyDescent="0.25">
      <c r="C2967"/>
      <c r="D2967"/>
      <c r="E2967"/>
    </row>
    <row r="2968" spans="3:5" x14ac:dyDescent="0.25">
      <c r="C2968"/>
      <c r="D2968"/>
      <c r="E2968"/>
    </row>
    <row r="2969" spans="3:5" x14ac:dyDescent="0.25">
      <c r="C2969"/>
      <c r="D2969"/>
      <c r="E2969"/>
    </row>
    <row r="2970" spans="3:5" x14ac:dyDescent="0.25">
      <c r="C2970"/>
      <c r="D2970"/>
      <c r="E2970"/>
    </row>
    <row r="2971" spans="3:5" x14ac:dyDescent="0.25">
      <c r="C2971"/>
      <c r="D2971"/>
      <c r="E2971"/>
    </row>
    <row r="2972" spans="3:5" x14ac:dyDescent="0.25">
      <c r="C2972"/>
      <c r="D2972"/>
      <c r="E2972"/>
    </row>
    <row r="2973" spans="3:5" x14ac:dyDescent="0.25">
      <c r="C2973"/>
      <c r="D2973"/>
      <c r="E2973"/>
    </row>
    <row r="2974" spans="3:5" x14ac:dyDescent="0.25">
      <c r="C2974"/>
      <c r="D2974"/>
      <c r="E2974"/>
    </row>
    <row r="2975" spans="3:5" x14ac:dyDescent="0.25">
      <c r="C2975"/>
      <c r="D2975"/>
      <c r="E2975"/>
    </row>
    <row r="2976" spans="3:5" x14ac:dyDescent="0.25">
      <c r="C2976"/>
      <c r="D2976"/>
      <c r="E2976"/>
    </row>
    <row r="2977" spans="3:5" x14ac:dyDescent="0.25">
      <c r="C2977"/>
      <c r="D2977"/>
      <c r="E2977"/>
    </row>
    <row r="2978" spans="3:5" x14ac:dyDescent="0.25">
      <c r="C2978"/>
      <c r="D2978"/>
      <c r="E2978"/>
    </row>
    <row r="2979" spans="3:5" x14ac:dyDescent="0.25">
      <c r="C2979"/>
      <c r="D2979"/>
      <c r="E2979"/>
    </row>
    <row r="2980" spans="3:5" x14ac:dyDescent="0.25">
      <c r="C2980"/>
      <c r="D2980"/>
      <c r="E2980"/>
    </row>
    <row r="2981" spans="3:5" x14ac:dyDescent="0.25">
      <c r="C2981"/>
      <c r="D2981"/>
      <c r="E2981"/>
    </row>
    <row r="2982" spans="3:5" x14ac:dyDescent="0.25">
      <c r="C2982"/>
      <c r="D2982"/>
      <c r="E2982"/>
    </row>
    <row r="2983" spans="3:5" x14ac:dyDescent="0.25">
      <c r="C2983"/>
      <c r="D2983"/>
      <c r="E2983"/>
    </row>
    <row r="2984" spans="3:5" x14ac:dyDescent="0.25">
      <c r="C2984"/>
      <c r="D2984"/>
      <c r="E2984"/>
    </row>
    <row r="2985" spans="3:5" x14ac:dyDescent="0.25">
      <c r="C2985"/>
      <c r="D2985"/>
      <c r="E2985"/>
    </row>
    <row r="2986" spans="3:5" x14ac:dyDescent="0.25">
      <c r="C2986"/>
      <c r="D2986"/>
      <c r="E2986"/>
    </row>
    <row r="2987" spans="3:5" x14ac:dyDescent="0.25">
      <c r="C2987"/>
      <c r="D2987"/>
      <c r="E2987"/>
    </row>
    <row r="2988" spans="3:5" x14ac:dyDescent="0.25">
      <c r="C2988"/>
      <c r="D2988"/>
      <c r="E2988"/>
    </row>
    <row r="2989" spans="3:5" x14ac:dyDescent="0.25">
      <c r="C2989"/>
      <c r="D2989"/>
      <c r="E2989"/>
    </row>
    <row r="2990" spans="3:5" x14ac:dyDescent="0.25">
      <c r="C2990"/>
      <c r="D2990"/>
      <c r="E2990"/>
    </row>
    <row r="2991" spans="3:5" x14ac:dyDescent="0.25">
      <c r="C2991"/>
      <c r="D2991"/>
      <c r="E2991"/>
    </row>
    <row r="2992" spans="3:5" x14ac:dyDescent="0.25">
      <c r="C2992"/>
      <c r="D2992"/>
      <c r="E2992"/>
    </row>
    <row r="2993" spans="3:5" x14ac:dyDescent="0.25">
      <c r="C2993"/>
      <c r="D2993"/>
      <c r="E2993"/>
    </row>
    <row r="2994" spans="3:5" x14ac:dyDescent="0.25">
      <c r="C2994"/>
      <c r="D2994"/>
      <c r="E2994"/>
    </row>
    <row r="2995" spans="3:5" x14ac:dyDescent="0.25">
      <c r="C2995"/>
      <c r="D2995"/>
      <c r="E2995"/>
    </row>
    <row r="2996" spans="3:5" x14ac:dyDescent="0.25">
      <c r="C2996"/>
      <c r="D2996"/>
      <c r="E2996"/>
    </row>
    <row r="2997" spans="3:5" x14ac:dyDescent="0.25">
      <c r="C2997"/>
      <c r="D2997"/>
      <c r="E2997"/>
    </row>
    <row r="2998" spans="3:5" x14ac:dyDescent="0.25">
      <c r="C2998"/>
      <c r="D2998"/>
      <c r="E2998"/>
    </row>
    <row r="2999" spans="3:5" x14ac:dyDescent="0.25">
      <c r="C2999"/>
      <c r="D2999"/>
      <c r="E2999"/>
    </row>
    <row r="3000" spans="3:5" x14ac:dyDescent="0.25">
      <c r="C3000"/>
      <c r="D3000"/>
      <c r="E3000"/>
    </row>
    <row r="3001" spans="3:5" x14ac:dyDescent="0.25">
      <c r="C3001"/>
      <c r="D3001"/>
      <c r="E3001"/>
    </row>
    <row r="3002" spans="3:5" x14ac:dyDescent="0.25">
      <c r="C3002"/>
      <c r="D3002"/>
      <c r="E3002"/>
    </row>
    <row r="3003" spans="3:5" x14ac:dyDescent="0.25">
      <c r="C3003"/>
      <c r="D3003"/>
      <c r="E3003"/>
    </row>
    <row r="3004" spans="3:5" x14ac:dyDescent="0.25">
      <c r="C3004"/>
      <c r="D3004"/>
      <c r="E3004"/>
    </row>
    <row r="3005" spans="3:5" x14ac:dyDescent="0.25">
      <c r="C3005"/>
      <c r="D3005"/>
      <c r="E3005"/>
    </row>
    <row r="3006" spans="3:5" x14ac:dyDescent="0.25">
      <c r="C3006"/>
      <c r="D3006"/>
      <c r="E3006"/>
    </row>
    <row r="3007" spans="3:5" x14ac:dyDescent="0.25">
      <c r="C3007"/>
      <c r="D3007"/>
      <c r="E3007"/>
    </row>
    <row r="3008" spans="3:5" x14ac:dyDescent="0.25">
      <c r="C3008"/>
      <c r="D3008"/>
      <c r="E3008"/>
    </row>
    <row r="3009" spans="3:5" x14ac:dyDescent="0.25">
      <c r="C3009"/>
      <c r="D3009"/>
      <c r="E3009"/>
    </row>
    <row r="3010" spans="3:5" x14ac:dyDescent="0.25">
      <c r="C3010"/>
      <c r="D3010"/>
      <c r="E3010"/>
    </row>
    <row r="3011" spans="3:5" x14ac:dyDescent="0.25">
      <c r="C3011"/>
      <c r="D3011"/>
      <c r="E3011"/>
    </row>
    <row r="3012" spans="3:5" x14ac:dyDescent="0.25">
      <c r="C3012"/>
      <c r="D3012"/>
      <c r="E3012"/>
    </row>
    <row r="3013" spans="3:5" x14ac:dyDescent="0.25">
      <c r="C3013"/>
      <c r="D3013"/>
      <c r="E3013"/>
    </row>
    <row r="3014" spans="3:5" x14ac:dyDescent="0.25">
      <c r="C3014"/>
      <c r="D3014"/>
      <c r="E3014"/>
    </row>
    <row r="3015" spans="3:5" x14ac:dyDescent="0.25">
      <c r="C3015"/>
      <c r="D3015"/>
      <c r="E3015"/>
    </row>
    <row r="3016" spans="3:5" x14ac:dyDescent="0.25">
      <c r="C3016"/>
      <c r="D3016"/>
      <c r="E3016"/>
    </row>
    <row r="3017" spans="3:5" x14ac:dyDescent="0.25">
      <c r="C3017"/>
      <c r="D3017"/>
      <c r="E3017"/>
    </row>
    <row r="3018" spans="3:5" x14ac:dyDescent="0.25">
      <c r="C3018"/>
      <c r="D3018"/>
      <c r="E3018"/>
    </row>
    <row r="3019" spans="3:5" x14ac:dyDescent="0.25">
      <c r="C3019"/>
      <c r="D3019"/>
      <c r="E3019"/>
    </row>
    <row r="3020" spans="3:5" x14ac:dyDescent="0.25">
      <c r="C3020"/>
      <c r="D3020"/>
      <c r="E3020"/>
    </row>
    <row r="3021" spans="3:5" x14ac:dyDescent="0.25">
      <c r="C3021"/>
      <c r="D3021"/>
      <c r="E3021"/>
    </row>
    <row r="3022" spans="3:5" x14ac:dyDescent="0.25">
      <c r="C3022"/>
      <c r="D3022"/>
      <c r="E3022"/>
    </row>
    <row r="3023" spans="3:5" x14ac:dyDescent="0.25">
      <c r="C3023"/>
      <c r="D3023"/>
      <c r="E3023"/>
    </row>
    <row r="3024" spans="3:5" x14ac:dyDescent="0.25">
      <c r="C3024"/>
      <c r="D3024"/>
      <c r="E3024"/>
    </row>
    <row r="3025" spans="3:5" x14ac:dyDescent="0.25">
      <c r="C3025"/>
      <c r="D3025"/>
      <c r="E3025"/>
    </row>
    <row r="3026" spans="3:5" x14ac:dyDescent="0.25">
      <c r="C3026"/>
      <c r="D3026"/>
      <c r="E3026"/>
    </row>
    <row r="3027" spans="3:5" x14ac:dyDescent="0.25">
      <c r="C3027"/>
      <c r="D3027"/>
      <c r="E3027"/>
    </row>
    <row r="3028" spans="3:5" x14ac:dyDescent="0.25">
      <c r="C3028"/>
      <c r="D3028"/>
      <c r="E3028"/>
    </row>
    <row r="3029" spans="3:5" x14ac:dyDescent="0.25">
      <c r="C3029"/>
      <c r="D3029"/>
      <c r="E3029"/>
    </row>
    <row r="3030" spans="3:5" x14ac:dyDescent="0.25">
      <c r="C3030"/>
      <c r="D3030"/>
      <c r="E3030"/>
    </row>
    <row r="3031" spans="3:5" x14ac:dyDescent="0.25">
      <c r="C3031"/>
      <c r="D3031"/>
      <c r="E3031"/>
    </row>
    <row r="3032" spans="3:5" x14ac:dyDescent="0.25">
      <c r="C3032"/>
      <c r="D3032"/>
      <c r="E3032"/>
    </row>
    <row r="3033" spans="3:5" x14ac:dyDescent="0.25">
      <c r="C3033"/>
      <c r="D3033"/>
      <c r="E3033"/>
    </row>
    <row r="3034" spans="3:5" x14ac:dyDescent="0.25">
      <c r="C3034"/>
      <c r="D3034"/>
      <c r="E3034"/>
    </row>
    <row r="3035" spans="3:5" x14ac:dyDescent="0.25">
      <c r="C3035"/>
      <c r="D3035"/>
      <c r="E3035"/>
    </row>
    <row r="3036" spans="3:5" x14ac:dyDescent="0.25">
      <c r="C3036"/>
      <c r="D3036"/>
      <c r="E3036"/>
    </row>
    <row r="3037" spans="3:5" x14ac:dyDescent="0.25">
      <c r="C3037"/>
      <c r="D3037"/>
      <c r="E3037"/>
    </row>
    <row r="3038" spans="3:5" x14ac:dyDescent="0.25">
      <c r="C3038"/>
      <c r="D3038"/>
      <c r="E3038"/>
    </row>
    <row r="3039" spans="3:5" x14ac:dyDescent="0.25">
      <c r="C3039"/>
      <c r="D3039"/>
      <c r="E3039"/>
    </row>
    <row r="3040" spans="3:5" x14ac:dyDescent="0.25">
      <c r="C3040"/>
      <c r="D3040"/>
      <c r="E3040"/>
    </row>
    <row r="3041" spans="3:5" x14ac:dyDescent="0.25">
      <c r="C3041"/>
      <c r="D3041"/>
      <c r="E3041"/>
    </row>
    <row r="3042" spans="3:5" x14ac:dyDescent="0.25">
      <c r="C3042"/>
      <c r="D3042"/>
      <c r="E3042"/>
    </row>
    <row r="3043" spans="3:5" x14ac:dyDescent="0.25">
      <c r="C3043"/>
      <c r="D3043"/>
      <c r="E3043"/>
    </row>
    <row r="3044" spans="3:5" x14ac:dyDescent="0.25">
      <c r="C3044"/>
      <c r="D3044"/>
      <c r="E3044"/>
    </row>
    <row r="3045" spans="3:5" x14ac:dyDescent="0.25">
      <c r="C3045"/>
      <c r="D3045"/>
      <c r="E3045"/>
    </row>
    <row r="3046" spans="3:5" x14ac:dyDescent="0.25">
      <c r="C3046"/>
      <c r="D3046"/>
      <c r="E3046"/>
    </row>
    <row r="3047" spans="3:5" x14ac:dyDescent="0.25">
      <c r="C3047"/>
      <c r="D3047"/>
      <c r="E3047"/>
    </row>
    <row r="3048" spans="3:5" x14ac:dyDescent="0.25">
      <c r="C3048"/>
      <c r="D3048"/>
      <c r="E3048"/>
    </row>
    <row r="3049" spans="3:5" x14ac:dyDescent="0.25">
      <c r="C3049"/>
      <c r="D3049"/>
      <c r="E3049"/>
    </row>
    <row r="3050" spans="3:5" x14ac:dyDescent="0.25">
      <c r="C3050"/>
      <c r="D3050"/>
      <c r="E3050"/>
    </row>
    <row r="3051" spans="3:5" x14ac:dyDescent="0.25">
      <c r="C3051"/>
      <c r="D3051"/>
      <c r="E3051"/>
    </row>
    <row r="3052" spans="3:5" x14ac:dyDescent="0.25">
      <c r="C3052"/>
      <c r="D3052"/>
      <c r="E3052"/>
    </row>
    <row r="3053" spans="3:5" x14ac:dyDescent="0.25">
      <c r="C3053"/>
      <c r="D3053"/>
      <c r="E3053"/>
    </row>
    <row r="3054" spans="3:5" x14ac:dyDescent="0.25">
      <c r="C3054"/>
      <c r="D3054"/>
      <c r="E3054"/>
    </row>
    <row r="3055" spans="3:5" x14ac:dyDescent="0.25">
      <c r="C3055"/>
      <c r="D3055"/>
      <c r="E3055"/>
    </row>
    <row r="3056" spans="3:5" x14ac:dyDescent="0.25">
      <c r="C3056"/>
      <c r="D3056"/>
      <c r="E3056"/>
    </row>
    <row r="3057" spans="3:5" x14ac:dyDescent="0.25">
      <c r="C3057"/>
      <c r="D3057"/>
      <c r="E3057"/>
    </row>
    <row r="3058" spans="3:5" x14ac:dyDescent="0.25">
      <c r="C3058"/>
      <c r="D3058"/>
      <c r="E3058"/>
    </row>
    <row r="3059" spans="3:5" x14ac:dyDescent="0.25">
      <c r="C3059"/>
      <c r="D3059"/>
      <c r="E3059"/>
    </row>
    <row r="3060" spans="3:5" x14ac:dyDescent="0.25">
      <c r="C3060"/>
      <c r="D3060"/>
      <c r="E3060"/>
    </row>
    <row r="3061" spans="3:5" x14ac:dyDescent="0.25">
      <c r="C3061"/>
      <c r="D3061"/>
      <c r="E3061"/>
    </row>
    <row r="3062" spans="3:5" x14ac:dyDescent="0.25">
      <c r="C3062"/>
      <c r="D3062"/>
      <c r="E3062"/>
    </row>
    <row r="3063" spans="3:5" x14ac:dyDescent="0.25">
      <c r="C3063"/>
      <c r="D3063"/>
      <c r="E3063"/>
    </row>
    <row r="3064" spans="3:5" x14ac:dyDescent="0.25">
      <c r="C3064"/>
      <c r="D3064"/>
      <c r="E3064"/>
    </row>
    <row r="3065" spans="3:5" x14ac:dyDescent="0.25">
      <c r="C3065"/>
      <c r="D3065"/>
      <c r="E3065"/>
    </row>
    <row r="3066" spans="3:5" x14ac:dyDescent="0.25">
      <c r="C3066"/>
      <c r="D3066"/>
      <c r="E3066"/>
    </row>
    <row r="3067" spans="3:5" x14ac:dyDescent="0.25">
      <c r="C3067"/>
      <c r="D3067"/>
      <c r="E3067"/>
    </row>
    <row r="3068" spans="3:5" x14ac:dyDescent="0.25">
      <c r="C3068"/>
      <c r="D3068"/>
      <c r="E3068"/>
    </row>
    <row r="3069" spans="3:5" x14ac:dyDescent="0.25">
      <c r="C3069"/>
      <c r="D3069"/>
      <c r="E3069"/>
    </row>
    <row r="3070" spans="3:5" x14ac:dyDescent="0.25">
      <c r="C3070"/>
      <c r="D3070"/>
      <c r="E3070"/>
    </row>
    <row r="3071" spans="3:5" x14ac:dyDescent="0.25">
      <c r="C3071"/>
      <c r="D3071"/>
      <c r="E3071"/>
    </row>
    <row r="3072" spans="3:5" x14ac:dyDescent="0.25">
      <c r="C3072"/>
      <c r="D3072"/>
      <c r="E3072"/>
    </row>
    <row r="3073" spans="3:5" x14ac:dyDescent="0.25">
      <c r="C3073"/>
      <c r="D3073"/>
      <c r="E3073"/>
    </row>
    <row r="3074" spans="3:5" x14ac:dyDescent="0.25">
      <c r="C3074"/>
      <c r="D3074"/>
      <c r="E3074"/>
    </row>
    <row r="3075" spans="3:5" x14ac:dyDescent="0.25">
      <c r="C3075"/>
      <c r="D3075"/>
      <c r="E3075"/>
    </row>
    <row r="3076" spans="3:5" x14ac:dyDescent="0.25">
      <c r="C3076"/>
      <c r="D3076"/>
      <c r="E3076"/>
    </row>
    <row r="3077" spans="3:5" x14ac:dyDescent="0.25">
      <c r="C3077"/>
      <c r="D3077"/>
      <c r="E3077"/>
    </row>
    <row r="3078" spans="3:5" x14ac:dyDescent="0.25">
      <c r="C3078"/>
      <c r="D3078"/>
      <c r="E3078"/>
    </row>
    <row r="3079" spans="3:5" x14ac:dyDescent="0.25">
      <c r="C3079"/>
      <c r="D3079"/>
      <c r="E3079"/>
    </row>
    <row r="3080" spans="3:5" x14ac:dyDescent="0.25">
      <c r="C3080"/>
      <c r="D3080"/>
      <c r="E3080"/>
    </row>
    <row r="3081" spans="3:5" x14ac:dyDescent="0.25">
      <c r="C3081"/>
      <c r="D3081"/>
      <c r="E3081"/>
    </row>
    <row r="3082" spans="3:5" x14ac:dyDescent="0.25">
      <c r="C3082"/>
      <c r="D3082"/>
      <c r="E3082"/>
    </row>
    <row r="3083" spans="3:5" x14ac:dyDescent="0.25">
      <c r="C3083"/>
      <c r="D3083"/>
      <c r="E3083"/>
    </row>
    <row r="3084" spans="3:5" x14ac:dyDescent="0.25">
      <c r="C3084"/>
      <c r="D3084"/>
      <c r="E3084"/>
    </row>
    <row r="3085" spans="3:5" x14ac:dyDescent="0.25">
      <c r="C3085"/>
      <c r="D3085"/>
      <c r="E3085"/>
    </row>
    <row r="3086" spans="3:5" x14ac:dyDescent="0.25">
      <c r="C3086"/>
      <c r="D3086"/>
      <c r="E3086"/>
    </row>
    <row r="3087" spans="3:5" x14ac:dyDescent="0.25">
      <c r="C3087"/>
      <c r="D3087"/>
      <c r="E3087"/>
    </row>
    <row r="3088" spans="3:5" x14ac:dyDescent="0.25">
      <c r="C3088"/>
      <c r="D3088"/>
      <c r="E3088"/>
    </row>
    <row r="3089" spans="3:5" x14ac:dyDescent="0.25">
      <c r="C3089"/>
      <c r="D3089"/>
      <c r="E3089"/>
    </row>
    <row r="3090" spans="3:5" x14ac:dyDescent="0.25">
      <c r="C3090"/>
      <c r="D3090"/>
      <c r="E3090"/>
    </row>
    <row r="3091" spans="3:5" x14ac:dyDescent="0.25">
      <c r="C3091"/>
      <c r="D3091"/>
      <c r="E3091"/>
    </row>
    <row r="3092" spans="3:5" x14ac:dyDescent="0.25">
      <c r="C3092"/>
      <c r="D3092"/>
      <c r="E3092"/>
    </row>
    <row r="3093" spans="3:5" x14ac:dyDescent="0.25">
      <c r="C3093"/>
      <c r="D3093"/>
      <c r="E3093"/>
    </row>
    <row r="3094" spans="3:5" x14ac:dyDescent="0.25">
      <c r="C3094"/>
      <c r="D3094"/>
      <c r="E3094"/>
    </row>
    <row r="3095" spans="3:5" x14ac:dyDescent="0.25">
      <c r="C3095"/>
      <c r="D3095"/>
      <c r="E3095"/>
    </row>
    <row r="3096" spans="3:5" x14ac:dyDescent="0.25">
      <c r="C3096"/>
      <c r="D3096"/>
      <c r="E3096"/>
    </row>
    <row r="3097" spans="3:5" x14ac:dyDescent="0.25">
      <c r="C3097"/>
      <c r="D3097"/>
      <c r="E3097"/>
    </row>
    <row r="3098" spans="3:5" x14ac:dyDescent="0.25">
      <c r="C3098"/>
      <c r="D3098"/>
      <c r="E3098"/>
    </row>
    <row r="3099" spans="3:5" x14ac:dyDescent="0.25">
      <c r="C3099"/>
      <c r="D3099"/>
      <c r="E3099"/>
    </row>
    <row r="3100" spans="3:5" x14ac:dyDescent="0.25">
      <c r="C3100"/>
      <c r="D3100"/>
      <c r="E3100"/>
    </row>
    <row r="3101" spans="3:5" x14ac:dyDescent="0.25">
      <c r="C3101"/>
      <c r="D3101"/>
      <c r="E3101"/>
    </row>
    <row r="3102" spans="3:5" x14ac:dyDescent="0.25">
      <c r="C3102"/>
      <c r="D3102"/>
      <c r="E3102"/>
    </row>
    <row r="3103" spans="3:5" x14ac:dyDescent="0.25">
      <c r="C3103"/>
      <c r="D3103"/>
      <c r="E3103"/>
    </row>
    <row r="3104" spans="3:5" x14ac:dyDescent="0.25">
      <c r="C3104"/>
      <c r="D3104"/>
      <c r="E3104"/>
    </row>
    <row r="3105" spans="3:5" x14ac:dyDescent="0.25">
      <c r="C3105"/>
      <c r="D3105"/>
      <c r="E3105"/>
    </row>
    <row r="3106" spans="3:5" x14ac:dyDescent="0.25">
      <c r="C3106"/>
      <c r="D3106"/>
      <c r="E3106"/>
    </row>
    <row r="3107" spans="3:5" x14ac:dyDescent="0.25">
      <c r="C3107"/>
      <c r="D3107"/>
      <c r="E3107"/>
    </row>
    <row r="3108" spans="3:5" x14ac:dyDescent="0.25">
      <c r="C3108"/>
      <c r="D3108"/>
      <c r="E3108"/>
    </row>
    <row r="3109" spans="3:5" x14ac:dyDescent="0.25">
      <c r="C3109"/>
      <c r="D3109"/>
      <c r="E3109"/>
    </row>
    <row r="3110" spans="3:5" x14ac:dyDescent="0.25">
      <c r="C3110"/>
      <c r="D3110"/>
      <c r="E3110"/>
    </row>
    <row r="3111" spans="3:5" x14ac:dyDescent="0.25">
      <c r="C3111"/>
      <c r="D3111"/>
      <c r="E3111"/>
    </row>
    <row r="3112" spans="3:5" x14ac:dyDescent="0.25">
      <c r="C3112"/>
      <c r="D3112"/>
      <c r="E3112"/>
    </row>
    <row r="3113" spans="3:5" x14ac:dyDescent="0.25">
      <c r="C3113"/>
      <c r="D3113"/>
      <c r="E3113"/>
    </row>
    <row r="3114" spans="3:5" x14ac:dyDescent="0.25">
      <c r="C3114"/>
      <c r="D3114"/>
      <c r="E3114"/>
    </row>
    <row r="3115" spans="3:5" x14ac:dyDescent="0.25">
      <c r="C3115"/>
      <c r="D3115"/>
      <c r="E3115"/>
    </row>
    <row r="3116" spans="3:5" x14ac:dyDescent="0.25">
      <c r="C3116"/>
      <c r="D3116"/>
      <c r="E3116"/>
    </row>
    <row r="3117" spans="3:5" x14ac:dyDescent="0.25">
      <c r="C3117"/>
      <c r="D3117"/>
      <c r="E3117"/>
    </row>
    <row r="3118" spans="3:5" x14ac:dyDescent="0.25">
      <c r="C3118"/>
      <c r="D3118"/>
      <c r="E3118"/>
    </row>
    <row r="3119" spans="3:5" x14ac:dyDescent="0.25">
      <c r="C3119"/>
      <c r="D3119"/>
      <c r="E3119"/>
    </row>
    <row r="3120" spans="3:5" x14ac:dyDescent="0.25">
      <c r="C3120"/>
      <c r="D3120"/>
      <c r="E3120"/>
    </row>
    <row r="3121" spans="3:5" x14ac:dyDescent="0.25">
      <c r="C3121"/>
      <c r="D3121"/>
      <c r="E3121"/>
    </row>
    <row r="3122" spans="3:5" x14ac:dyDescent="0.25">
      <c r="C3122"/>
      <c r="D3122"/>
      <c r="E3122"/>
    </row>
    <row r="3123" spans="3:5" x14ac:dyDescent="0.25">
      <c r="C3123"/>
      <c r="D3123"/>
      <c r="E3123"/>
    </row>
    <row r="3124" spans="3:5" x14ac:dyDescent="0.25">
      <c r="C3124"/>
      <c r="D3124"/>
      <c r="E3124"/>
    </row>
    <row r="3125" spans="3:5" x14ac:dyDescent="0.25">
      <c r="C3125"/>
      <c r="D3125"/>
      <c r="E3125"/>
    </row>
    <row r="3126" spans="3:5" x14ac:dyDescent="0.25">
      <c r="C3126"/>
      <c r="D3126"/>
      <c r="E3126"/>
    </row>
    <row r="3127" spans="3:5" x14ac:dyDescent="0.25">
      <c r="C3127"/>
      <c r="D3127"/>
      <c r="E3127"/>
    </row>
    <row r="3128" spans="3:5" x14ac:dyDescent="0.25">
      <c r="C3128"/>
      <c r="D3128"/>
      <c r="E3128"/>
    </row>
    <row r="3129" spans="3:5" x14ac:dyDescent="0.25">
      <c r="C3129"/>
      <c r="D3129"/>
      <c r="E3129"/>
    </row>
    <row r="3130" spans="3:5" x14ac:dyDescent="0.25">
      <c r="C3130"/>
      <c r="D3130"/>
      <c r="E3130"/>
    </row>
    <row r="3131" spans="3:5" x14ac:dyDescent="0.25">
      <c r="C3131"/>
      <c r="D3131"/>
      <c r="E3131"/>
    </row>
    <row r="3132" spans="3:5" x14ac:dyDescent="0.25">
      <c r="C3132"/>
      <c r="D3132"/>
      <c r="E3132"/>
    </row>
    <row r="3133" spans="3:5" x14ac:dyDescent="0.25">
      <c r="C3133"/>
      <c r="D3133"/>
      <c r="E3133"/>
    </row>
    <row r="3134" spans="3:5" x14ac:dyDescent="0.25">
      <c r="C3134"/>
      <c r="D3134"/>
      <c r="E3134"/>
    </row>
    <row r="3135" spans="3:5" x14ac:dyDescent="0.25">
      <c r="C3135"/>
      <c r="D3135"/>
      <c r="E3135"/>
    </row>
    <row r="3136" spans="3:5" x14ac:dyDescent="0.25">
      <c r="C3136"/>
      <c r="D3136"/>
      <c r="E3136"/>
    </row>
    <row r="3137" spans="3:5" x14ac:dyDescent="0.25">
      <c r="C3137"/>
      <c r="D3137"/>
      <c r="E3137"/>
    </row>
    <row r="3138" spans="3:5" x14ac:dyDescent="0.25">
      <c r="C3138"/>
      <c r="D3138"/>
      <c r="E3138"/>
    </row>
    <row r="3139" spans="3:5" x14ac:dyDescent="0.25">
      <c r="C3139"/>
      <c r="D3139"/>
      <c r="E3139"/>
    </row>
    <row r="3140" spans="3:5" x14ac:dyDescent="0.25">
      <c r="C3140"/>
      <c r="D3140"/>
      <c r="E3140"/>
    </row>
    <row r="3141" spans="3:5" x14ac:dyDescent="0.25">
      <c r="C3141"/>
      <c r="D3141"/>
      <c r="E3141"/>
    </row>
    <row r="3142" spans="3:5" x14ac:dyDescent="0.25">
      <c r="C3142"/>
      <c r="D3142"/>
      <c r="E3142"/>
    </row>
    <row r="3143" spans="3:5" x14ac:dyDescent="0.25">
      <c r="C3143"/>
      <c r="D3143"/>
      <c r="E3143"/>
    </row>
    <row r="3144" spans="3:5" x14ac:dyDescent="0.25">
      <c r="C3144"/>
      <c r="D3144"/>
      <c r="E3144"/>
    </row>
    <row r="3145" spans="3:5" x14ac:dyDescent="0.25">
      <c r="C3145"/>
      <c r="D3145"/>
      <c r="E3145"/>
    </row>
    <row r="3146" spans="3:5" x14ac:dyDescent="0.25">
      <c r="C3146"/>
      <c r="D3146"/>
      <c r="E3146"/>
    </row>
    <row r="3147" spans="3:5" x14ac:dyDescent="0.25">
      <c r="C3147"/>
      <c r="D3147"/>
      <c r="E3147"/>
    </row>
    <row r="3148" spans="3:5" x14ac:dyDescent="0.25">
      <c r="C3148"/>
      <c r="D3148"/>
      <c r="E3148"/>
    </row>
    <row r="3149" spans="3:5" x14ac:dyDescent="0.25">
      <c r="C3149"/>
      <c r="D3149"/>
      <c r="E3149"/>
    </row>
    <row r="3150" spans="3:5" x14ac:dyDescent="0.25">
      <c r="C3150"/>
      <c r="D3150"/>
      <c r="E3150"/>
    </row>
    <row r="3151" spans="3:5" x14ac:dyDescent="0.25">
      <c r="C3151"/>
      <c r="D3151"/>
      <c r="E3151"/>
    </row>
    <row r="3152" spans="3:5" x14ac:dyDescent="0.25">
      <c r="C3152"/>
      <c r="D3152"/>
      <c r="E3152"/>
    </row>
    <row r="3153" spans="3:5" x14ac:dyDescent="0.25">
      <c r="C3153"/>
      <c r="D3153"/>
      <c r="E3153"/>
    </row>
    <row r="3154" spans="3:5" x14ac:dyDescent="0.25">
      <c r="C3154"/>
      <c r="D3154"/>
      <c r="E3154"/>
    </row>
    <row r="3155" spans="3:5" x14ac:dyDescent="0.25">
      <c r="C3155"/>
      <c r="D3155"/>
      <c r="E3155"/>
    </row>
    <row r="3156" spans="3:5" x14ac:dyDescent="0.25">
      <c r="C3156"/>
      <c r="D3156"/>
      <c r="E3156"/>
    </row>
    <row r="3157" spans="3:5" x14ac:dyDescent="0.25">
      <c r="C3157"/>
      <c r="D3157"/>
      <c r="E3157"/>
    </row>
    <row r="3158" spans="3:5" x14ac:dyDescent="0.25">
      <c r="C3158"/>
      <c r="D3158"/>
      <c r="E3158"/>
    </row>
    <row r="3159" spans="3:5" x14ac:dyDescent="0.25">
      <c r="C3159"/>
      <c r="D3159"/>
      <c r="E3159"/>
    </row>
    <row r="3160" spans="3:5" x14ac:dyDescent="0.25">
      <c r="C3160"/>
      <c r="D3160"/>
      <c r="E3160"/>
    </row>
    <row r="3161" spans="3:5" x14ac:dyDescent="0.25">
      <c r="C3161"/>
      <c r="D3161"/>
      <c r="E3161"/>
    </row>
    <row r="3162" spans="3:5" x14ac:dyDescent="0.25">
      <c r="C3162"/>
      <c r="D3162"/>
      <c r="E3162"/>
    </row>
    <row r="3163" spans="3:5" x14ac:dyDescent="0.25">
      <c r="C3163"/>
      <c r="D3163"/>
      <c r="E3163"/>
    </row>
    <row r="3164" spans="3:5" x14ac:dyDescent="0.25">
      <c r="C3164"/>
      <c r="D3164"/>
      <c r="E3164"/>
    </row>
    <row r="3165" spans="3:5" x14ac:dyDescent="0.25">
      <c r="C3165"/>
      <c r="D3165"/>
      <c r="E3165"/>
    </row>
    <row r="3166" spans="3:5" x14ac:dyDescent="0.25">
      <c r="C3166"/>
      <c r="D3166"/>
      <c r="E3166"/>
    </row>
    <row r="3167" spans="3:5" x14ac:dyDescent="0.25">
      <c r="C3167"/>
      <c r="D3167"/>
      <c r="E3167"/>
    </row>
    <row r="3168" spans="3:5" x14ac:dyDescent="0.25">
      <c r="C3168"/>
      <c r="D3168"/>
      <c r="E3168"/>
    </row>
    <row r="3169" spans="3:5" x14ac:dyDescent="0.25">
      <c r="C3169"/>
      <c r="D3169"/>
      <c r="E3169"/>
    </row>
    <row r="3170" spans="3:5" x14ac:dyDescent="0.25">
      <c r="C3170"/>
      <c r="D3170"/>
      <c r="E3170"/>
    </row>
    <row r="3171" spans="3:5" x14ac:dyDescent="0.25">
      <c r="C3171"/>
      <c r="D3171"/>
      <c r="E3171"/>
    </row>
    <row r="3172" spans="3:5" x14ac:dyDescent="0.25">
      <c r="C3172"/>
      <c r="D3172"/>
      <c r="E3172"/>
    </row>
    <row r="3173" spans="3:5" x14ac:dyDescent="0.25">
      <c r="C3173"/>
      <c r="D3173"/>
      <c r="E3173"/>
    </row>
    <row r="3174" spans="3:5" x14ac:dyDescent="0.25">
      <c r="C3174"/>
      <c r="D3174"/>
      <c r="E3174"/>
    </row>
    <row r="3175" spans="3:5" x14ac:dyDescent="0.25">
      <c r="C3175"/>
      <c r="D3175"/>
      <c r="E3175"/>
    </row>
    <row r="3176" spans="3:5" x14ac:dyDescent="0.25">
      <c r="C3176"/>
      <c r="D3176"/>
      <c r="E3176"/>
    </row>
    <row r="3177" spans="3:5" x14ac:dyDescent="0.25">
      <c r="C3177"/>
      <c r="D3177"/>
      <c r="E3177"/>
    </row>
    <row r="3178" spans="3:5" x14ac:dyDescent="0.25">
      <c r="C3178"/>
      <c r="D3178"/>
      <c r="E3178"/>
    </row>
    <row r="3179" spans="3:5" x14ac:dyDescent="0.25">
      <c r="C3179"/>
      <c r="D3179"/>
      <c r="E3179"/>
    </row>
    <row r="3180" spans="3:5" x14ac:dyDescent="0.25">
      <c r="C3180"/>
      <c r="D3180"/>
      <c r="E3180"/>
    </row>
    <row r="3181" spans="3:5" x14ac:dyDescent="0.25">
      <c r="C3181"/>
      <c r="D3181"/>
      <c r="E3181"/>
    </row>
    <row r="3182" spans="3:5" x14ac:dyDescent="0.25">
      <c r="C3182"/>
      <c r="D3182"/>
      <c r="E3182"/>
    </row>
    <row r="3183" spans="3:5" x14ac:dyDescent="0.25">
      <c r="C3183"/>
      <c r="D3183"/>
      <c r="E3183"/>
    </row>
    <row r="3184" spans="3:5" x14ac:dyDescent="0.25">
      <c r="C3184"/>
      <c r="D3184"/>
      <c r="E3184"/>
    </row>
    <row r="3185" spans="3:5" x14ac:dyDescent="0.25">
      <c r="C3185"/>
      <c r="D3185"/>
      <c r="E3185"/>
    </row>
    <row r="3186" spans="3:5" x14ac:dyDescent="0.25">
      <c r="C3186"/>
      <c r="D3186"/>
      <c r="E3186"/>
    </row>
    <row r="3187" spans="3:5" x14ac:dyDescent="0.25">
      <c r="C3187"/>
      <c r="D3187"/>
      <c r="E3187"/>
    </row>
    <row r="3188" spans="3:5" x14ac:dyDescent="0.25">
      <c r="C3188"/>
      <c r="D3188"/>
      <c r="E3188"/>
    </row>
    <row r="3189" spans="3:5" x14ac:dyDescent="0.25">
      <c r="C3189"/>
      <c r="D3189"/>
      <c r="E3189"/>
    </row>
    <row r="3190" spans="3:5" x14ac:dyDescent="0.25">
      <c r="C3190"/>
      <c r="D3190"/>
      <c r="E3190"/>
    </row>
    <row r="3191" spans="3:5" x14ac:dyDescent="0.25">
      <c r="C3191"/>
      <c r="D3191"/>
      <c r="E3191"/>
    </row>
    <row r="3192" spans="3:5" x14ac:dyDescent="0.25">
      <c r="C3192"/>
      <c r="D3192"/>
      <c r="E3192"/>
    </row>
    <row r="3193" spans="3:5" x14ac:dyDescent="0.25">
      <c r="C3193"/>
      <c r="D3193"/>
      <c r="E3193"/>
    </row>
    <row r="3194" spans="3:5" x14ac:dyDescent="0.25">
      <c r="C3194"/>
      <c r="D3194"/>
      <c r="E3194"/>
    </row>
    <row r="3195" spans="3:5" x14ac:dyDescent="0.25">
      <c r="C3195"/>
      <c r="D3195"/>
      <c r="E3195"/>
    </row>
    <row r="3196" spans="3:5" x14ac:dyDescent="0.25">
      <c r="C3196"/>
      <c r="D3196"/>
      <c r="E3196"/>
    </row>
    <row r="3197" spans="3:5" x14ac:dyDescent="0.25">
      <c r="C3197"/>
      <c r="D3197"/>
      <c r="E3197"/>
    </row>
    <row r="3198" spans="3:5" x14ac:dyDescent="0.25">
      <c r="C3198"/>
      <c r="D3198"/>
      <c r="E3198"/>
    </row>
    <row r="3199" spans="3:5" x14ac:dyDescent="0.25">
      <c r="C3199"/>
      <c r="D3199"/>
      <c r="E3199"/>
    </row>
    <row r="3200" spans="3:5" x14ac:dyDescent="0.25">
      <c r="C3200"/>
      <c r="D3200"/>
      <c r="E3200"/>
    </row>
    <row r="3201" spans="3:5" x14ac:dyDescent="0.25">
      <c r="C3201"/>
      <c r="D3201"/>
      <c r="E3201"/>
    </row>
    <row r="3202" spans="3:5" x14ac:dyDescent="0.25">
      <c r="C3202"/>
      <c r="D3202"/>
      <c r="E3202"/>
    </row>
    <row r="3203" spans="3:5" x14ac:dyDescent="0.25">
      <c r="C3203"/>
      <c r="D3203"/>
      <c r="E3203"/>
    </row>
    <row r="3204" spans="3:5" x14ac:dyDescent="0.25">
      <c r="C3204"/>
      <c r="D3204"/>
      <c r="E3204"/>
    </row>
    <row r="3205" spans="3:5" x14ac:dyDescent="0.25">
      <c r="C3205"/>
      <c r="D3205"/>
      <c r="E3205"/>
    </row>
    <row r="3206" spans="3:5" x14ac:dyDescent="0.25">
      <c r="C3206"/>
      <c r="D3206"/>
      <c r="E3206"/>
    </row>
    <row r="3207" spans="3:5" x14ac:dyDescent="0.25">
      <c r="C3207"/>
      <c r="D3207"/>
      <c r="E3207"/>
    </row>
    <row r="3208" spans="3:5" x14ac:dyDescent="0.25">
      <c r="C3208"/>
      <c r="D3208"/>
      <c r="E3208"/>
    </row>
    <row r="3209" spans="3:5" x14ac:dyDescent="0.25">
      <c r="C3209"/>
      <c r="D3209"/>
      <c r="E3209"/>
    </row>
    <row r="3210" spans="3:5" x14ac:dyDescent="0.25">
      <c r="C3210"/>
      <c r="D3210"/>
      <c r="E3210"/>
    </row>
    <row r="3211" spans="3:5" x14ac:dyDescent="0.25">
      <c r="C3211"/>
      <c r="D3211"/>
      <c r="E3211"/>
    </row>
    <row r="3212" spans="3:5" x14ac:dyDescent="0.25">
      <c r="C3212"/>
      <c r="D3212"/>
      <c r="E3212"/>
    </row>
    <row r="3213" spans="3:5" x14ac:dyDescent="0.25">
      <c r="C3213"/>
      <c r="D3213"/>
      <c r="E3213"/>
    </row>
    <row r="3214" spans="3:5" x14ac:dyDescent="0.25">
      <c r="C3214"/>
      <c r="D3214"/>
      <c r="E3214"/>
    </row>
    <row r="3215" spans="3:5" x14ac:dyDescent="0.25">
      <c r="C3215"/>
      <c r="D3215"/>
      <c r="E3215"/>
    </row>
    <row r="3216" spans="3:5" x14ac:dyDescent="0.25">
      <c r="C3216"/>
      <c r="D3216"/>
      <c r="E3216"/>
    </row>
    <row r="3217" spans="3:5" x14ac:dyDescent="0.25">
      <c r="C3217"/>
      <c r="D3217"/>
      <c r="E3217"/>
    </row>
    <row r="3218" spans="3:5" x14ac:dyDescent="0.25">
      <c r="C3218"/>
      <c r="D3218"/>
      <c r="E3218"/>
    </row>
    <row r="3219" spans="3:5" x14ac:dyDescent="0.25">
      <c r="C3219"/>
      <c r="D3219"/>
      <c r="E3219"/>
    </row>
    <row r="3220" spans="3:5" x14ac:dyDescent="0.25">
      <c r="C3220"/>
      <c r="D3220"/>
      <c r="E3220"/>
    </row>
    <row r="3221" spans="3:5" x14ac:dyDescent="0.25">
      <c r="C3221"/>
      <c r="D3221"/>
      <c r="E3221"/>
    </row>
    <row r="3222" spans="3:5" x14ac:dyDescent="0.25">
      <c r="C3222"/>
      <c r="D3222"/>
      <c r="E3222"/>
    </row>
    <row r="3223" spans="3:5" x14ac:dyDescent="0.25">
      <c r="C3223"/>
      <c r="D3223"/>
      <c r="E3223"/>
    </row>
    <row r="3224" spans="3:5" x14ac:dyDescent="0.25">
      <c r="C3224"/>
      <c r="D3224"/>
      <c r="E3224"/>
    </row>
    <row r="3225" spans="3:5" x14ac:dyDescent="0.25">
      <c r="C3225"/>
      <c r="D3225"/>
      <c r="E3225"/>
    </row>
    <row r="3226" spans="3:5" x14ac:dyDescent="0.25">
      <c r="C3226"/>
      <c r="D3226"/>
      <c r="E3226"/>
    </row>
    <row r="3227" spans="3:5" x14ac:dyDescent="0.25">
      <c r="C3227"/>
      <c r="D3227"/>
      <c r="E3227"/>
    </row>
    <row r="3228" spans="3:5" x14ac:dyDescent="0.25">
      <c r="C3228"/>
      <c r="D3228"/>
      <c r="E3228"/>
    </row>
    <row r="3229" spans="3:5" x14ac:dyDescent="0.25">
      <c r="C3229"/>
      <c r="D3229"/>
      <c r="E3229"/>
    </row>
    <row r="3230" spans="3:5" x14ac:dyDescent="0.25">
      <c r="C3230"/>
      <c r="D3230"/>
      <c r="E3230"/>
    </row>
    <row r="3231" spans="3:5" x14ac:dyDescent="0.25">
      <c r="C3231"/>
      <c r="D3231"/>
      <c r="E3231"/>
    </row>
    <row r="3232" spans="3:5" x14ac:dyDescent="0.25">
      <c r="C3232"/>
      <c r="D3232"/>
      <c r="E3232"/>
    </row>
    <row r="3233" spans="3:5" x14ac:dyDescent="0.25">
      <c r="C3233"/>
      <c r="D3233"/>
      <c r="E3233"/>
    </row>
    <row r="3234" spans="3:5" x14ac:dyDescent="0.25">
      <c r="C3234"/>
      <c r="D3234"/>
      <c r="E3234"/>
    </row>
    <row r="3235" spans="3:5" x14ac:dyDescent="0.25">
      <c r="C3235"/>
      <c r="D3235"/>
      <c r="E3235"/>
    </row>
    <row r="3236" spans="3:5" x14ac:dyDescent="0.25">
      <c r="C3236"/>
      <c r="D3236"/>
      <c r="E3236"/>
    </row>
    <row r="3237" spans="3:5" x14ac:dyDescent="0.25">
      <c r="C3237"/>
      <c r="D3237"/>
      <c r="E3237"/>
    </row>
    <row r="3238" spans="3:5" x14ac:dyDescent="0.25">
      <c r="C3238"/>
      <c r="D3238"/>
      <c r="E3238"/>
    </row>
    <row r="3239" spans="3:5" x14ac:dyDescent="0.25">
      <c r="C3239"/>
      <c r="D3239"/>
      <c r="E3239"/>
    </row>
    <row r="3240" spans="3:5" x14ac:dyDescent="0.25">
      <c r="C3240"/>
      <c r="D3240"/>
      <c r="E3240"/>
    </row>
    <row r="3241" spans="3:5" x14ac:dyDescent="0.25">
      <c r="C3241"/>
      <c r="D3241"/>
      <c r="E3241"/>
    </row>
    <row r="3242" spans="3:5" x14ac:dyDescent="0.25">
      <c r="C3242"/>
      <c r="D3242"/>
      <c r="E3242"/>
    </row>
    <row r="3243" spans="3:5" x14ac:dyDescent="0.25">
      <c r="C3243"/>
      <c r="D3243"/>
      <c r="E3243"/>
    </row>
    <row r="3244" spans="3:5" x14ac:dyDescent="0.25">
      <c r="C3244"/>
      <c r="D3244"/>
      <c r="E3244"/>
    </row>
    <row r="3245" spans="3:5" x14ac:dyDescent="0.25">
      <c r="C3245"/>
      <c r="D3245"/>
      <c r="E3245"/>
    </row>
    <row r="3246" spans="3:5" x14ac:dyDescent="0.25">
      <c r="C3246"/>
      <c r="D3246"/>
      <c r="E3246"/>
    </row>
    <row r="3247" spans="3:5" x14ac:dyDescent="0.25">
      <c r="C3247"/>
      <c r="D3247"/>
      <c r="E3247"/>
    </row>
    <row r="3248" spans="3:5" x14ac:dyDescent="0.25">
      <c r="C3248"/>
      <c r="D3248"/>
      <c r="E3248"/>
    </row>
    <row r="3249" spans="3:5" x14ac:dyDescent="0.25">
      <c r="C3249"/>
      <c r="D3249"/>
      <c r="E3249"/>
    </row>
    <row r="3250" spans="3:5" x14ac:dyDescent="0.25">
      <c r="C3250"/>
      <c r="D3250"/>
      <c r="E3250"/>
    </row>
    <row r="3251" spans="3:5" x14ac:dyDescent="0.25">
      <c r="C3251"/>
      <c r="D3251"/>
      <c r="E3251"/>
    </row>
    <row r="3252" spans="3:5" x14ac:dyDescent="0.25">
      <c r="C3252"/>
      <c r="D3252"/>
      <c r="E3252"/>
    </row>
    <row r="3253" spans="3:5" x14ac:dyDescent="0.25">
      <c r="C3253"/>
      <c r="D3253"/>
      <c r="E3253"/>
    </row>
    <row r="3254" spans="3:5" x14ac:dyDescent="0.25">
      <c r="C3254"/>
      <c r="D3254"/>
      <c r="E3254"/>
    </row>
    <row r="3255" spans="3:5" x14ac:dyDescent="0.25">
      <c r="C3255"/>
      <c r="D3255"/>
      <c r="E3255"/>
    </row>
    <row r="3256" spans="3:5" x14ac:dyDescent="0.25">
      <c r="C3256"/>
      <c r="D3256"/>
      <c r="E3256"/>
    </row>
    <row r="3257" spans="3:5" x14ac:dyDescent="0.25">
      <c r="C3257"/>
      <c r="D3257"/>
      <c r="E3257"/>
    </row>
    <row r="3258" spans="3:5" x14ac:dyDescent="0.25">
      <c r="C3258"/>
      <c r="D3258"/>
      <c r="E3258"/>
    </row>
    <row r="3259" spans="3:5" x14ac:dyDescent="0.25">
      <c r="C3259"/>
      <c r="D3259"/>
      <c r="E3259"/>
    </row>
    <row r="3260" spans="3:5" x14ac:dyDescent="0.25">
      <c r="C3260"/>
      <c r="D3260"/>
      <c r="E3260"/>
    </row>
    <row r="3261" spans="3:5" x14ac:dyDescent="0.25">
      <c r="C3261"/>
      <c r="D3261"/>
      <c r="E3261"/>
    </row>
    <row r="3262" spans="3:5" x14ac:dyDescent="0.25">
      <c r="C3262"/>
      <c r="D3262"/>
      <c r="E3262"/>
    </row>
    <row r="3263" spans="3:5" x14ac:dyDescent="0.25">
      <c r="C3263"/>
      <c r="D3263"/>
      <c r="E3263"/>
    </row>
    <row r="3264" spans="3:5" x14ac:dyDescent="0.25">
      <c r="C3264"/>
      <c r="D3264"/>
      <c r="E3264"/>
    </row>
    <row r="3265" spans="3:5" x14ac:dyDescent="0.25">
      <c r="C3265"/>
      <c r="D3265"/>
      <c r="E3265"/>
    </row>
    <row r="3266" spans="3:5" x14ac:dyDescent="0.25">
      <c r="C3266"/>
      <c r="D3266"/>
      <c r="E3266"/>
    </row>
    <row r="3267" spans="3:5" x14ac:dyDescent="0.25">
      <c r="C3267"/>
      <c r="D3267"/>
      <c r="E3267"/>
    </row>
    <row r="3268" spans="3:5" x14ac:dyDescent="0.25">
      <c r="C3268"/>
      <c r="D3268"/>
      <c r="E3268"/>
    </row>
    <row r="3269" spans="3:5" x14ac:dyDescent="0.25">
      <c r="C3269"/>
      <c r="D3269"/>
      <c r="E3269"/>
    </row>
    <row r="3270" spans="3:5" x14ac:dyDescent="0.25">
      <c r="C3270"/>
      <c r="D3270"/>
      <c r="E3270"/>
    </row>
    <row r="3271" spans="3:5" x14ac:dyDescent="0.25">
      <c r="C3271"/>
      <c r="D3271"/>
      <c r="E3271"/>
    </row>
    <row r="3272" spans="3:5" x14ac:dyDescent="0.25">
      <c r="C3272"/>
      <c r="D3272"/>
      <c r="E3272"/>
    </row>
    <row r="3273" spans="3:5" x14ac:dyDescent="0.25">
      <c r="C3273"/>
      <c r="D3273"/>
      <c r="E3273"/>
    </row>
    <row r="3274" spans="3:5" x14ac:dyDescent="0.25">
      <c r="C3274"/>
      <c r="D3274"/>
      <c r="E3274"/>
    </row>
    <row r="3275" spans="3:5" x14ac:dyDescent="0.25">
      <c r="C3275"/>
      <c r="D3275"/>
      <c r="E3275"/>
    </row>
    <row r="3276" spans="3:5" x14ac:dyDescent="0.25">
      <c r="C3276"/>
      <c r="D3276"/>
      <c r="E3276"/>
    </row>
    <row r="3277" spans="3:5" x14ac:dyDescent="0.25">
      <c r="C3277"/>
      <c r="D3277"/>
      <c r="E3277"/>
    </row>
    <row r="3278" spans="3:5" x14ac:dyDescent="0.25">
      <c r="C3278"/>
      <c r="D3278"/>
      <c r="E3278"/>
    </row>
    <row r="3279" spans="3:5" x14ac:dyDescent="0.25">
      <c r="C3279"/>
      <c r="D3279"/>
      <c r="E3279"/>
    </row>
    <row r="3280" spans="3:5" x14ac:dyDescent="0.25">
      <c r="C3280"/>
      <c r="D3280"/>
      <c r="E3280"/>
    </row>
    <row r="3281" spans="3:5" x14ac:dyDescent="0.25">
      <c r="C3281"/>
      <c r="D3281"/>
      <c r="E3281"/>
    </row>
    <row r="3282" spans="3:5" x14ac:dyDescent="0.25">
      <c r="C3282"/>
      <c r="D3282"/>
      <c r="E3282"/>
    </row>
    <row r="3283" spans="3:5" x14ac:dyDescent="0.25">
      <c r="C3283"/>
      <c r="D3283"/>
      <c r="E3283"/>
    </row>
    <row r="3284" spans="3:5" x14ac:dyDescent="0.25">
      <c r="C3284"/>
      <c r="D3284"/>
      <c r="E3284"/>
    </row>
    <row r="3285" spans="3:5" x14ac:dyDescent="0.25">
      <c r="C3285"/>
      <c r="D3285"/>
      <c r="E3285"/>
    </row>
    <row r="3286" spans="3:5" x14ac:dyDescent="0.25">
      <c r="C3286"/>
      <c r="D3286"/>
      <c r="E3286"/>
    </row>
    <row r="3287" spans="3:5" x14ac:dyDescent="0.25">
      <c r="C3287"/>
      <c r="D3287"/>
      <c r="E3287"/>
    </row>
    <row r="3288" spans="3:5" x14ac:dyDescent="0.25">
      <c r="C3288"/>
      <c r="D3288"/>
      <c r="E3288"/>
    </row>
    <row r="3289" spans="3:5" x14ac:dyDescent="0.25">
      <c r="C3289"/>
      <c r="D3289"/>
      <c r="E3289"/>
    </row>
    <row r="3290" spans="3:5" x14ac:dyDescent="0.25">
      <c r="C3290"/>
      <c r="D3290"/>
      <c r="E3290"/>
    </row>
    <row r="3291" spans="3:5" x14ac:dyDescent="0.25">
      <c r="C3291"/>
      <c r="D3291"/>
      <c r="E3291"/>
    </row>
    <row r="3292" spans="3:5" x14ac:dyDescent="0.25">
      <c r="C3292"/>
      <c r="D3292"/>
      <c r="E3292"/>
    </row>
    <row r="3293" spans="3:5" x14ac:dyDescent="0.25">
      <c r="C3293"/>
      <c r="D3293"/>
      <c r="E3293"/>
    </row>
    <row r="3294" spans="3:5" x14ac:dyDescent="0.25">
      <c r="C3294"/>
      <c r="D3294"/>
      <c r="E3294"/>
    </row>
    <row r="3295" spans="3:5" x14ac:dyDescent="0.25">
      <c r="C3295"/>
      <c r="D3295"/>
      <c r="E3295"/>
    </row>
    <row r="3296" spans="3:5" x14ac:dyDescent="0.25">
      <c r="C3296"/>
      <c r="D3296"/>
      <c r="E3296"/>
    </row>
    <row r="3297" spans="3:5" x14ac:dyDescent="0.25">
      <c r="C3297"/>
      <c r="D3297"/>
      <c r="E3297"/>
    </row>
    <row r="3298" spans="3:5" x14ac:dyDescent="0.25">
      <c r="C3298"/>
      <c r="D3298"/>
      <c r="E3298"/>
    </row>
    <row r="3299" spans="3:5" x14ac:dyDescent="0.25">
      <c r="C3299"/>
      <c r="D3299"/>
      <c r="E3299"/>
    </row>
    <row r="3300" spans="3:5" x14ac:dyDescent="0.25">
      <c r="C3300"/>
      <c r="D3300"/>
      <c r="E3300"/>
    </row>
    <row r="3301" spans="3:5" x14ac:dyDescent="0.25">
      <c r="C3301"/>
      <c r="D3301"/>
      <c r="E3301"/>
    </row>
    <row r="3302" spans="3:5" x14ac:dyDescent="0.25">
      <c r="C3302"/>
      <c r="D3302"/>
      <c r="E3302"/>
    </row>
    <row r="3303" spans="3:5" x14ac:dyDescent="0.25">
      <c r="C3303"/>
      <c r="D3303"/>
      <c r="E3303"/>
    </row>
    <row r="3304" spans="3:5" x14ac:dyDescent="0.25">
      <c r="C3304"/>
      <c r="D3304"/>
      <c r="E3304"/>
    </row>
    <row r="3305" spans="3:5" x14ac:dyDescent="0.25">
      <c r="C3305"/>
      <c r="D3305"/>
      <c r="E3305"/>
    </row>
    <row r="3306" spans="3:5" x14ac:dyDescent="0.25">
      <c r="C3306"/>
      <c r="D3306"/>
      <c r="E3306"/>
    </row>
    <row r="3307" spans="3:5" x14ac:dyDescent="0.25">
      <c r="C3307"/>
      <c r="D3307"/>
      <c r="E3307"/>
    </row>
    <row r="3308" spans="3:5" x14ac:dyDescent="0.25">
      <c r="C3308"/>
      <c r="D3308"/>
      <c r="E3308"/>
    </row>
    <row r="3309" spans="3:5" x14ac:dyDescent="0.25">
      <c r="C3309"/>
      <c r="D3309"/>
      <c r="E3309"/>
    </row>
    <row r="3310" spans="3:5" x14ac:dyDescent="0.25">
      <c r="C3310"/>
      <c r="D3310"/>
      <c r="E3310"/>
    </row>
    <row r="3311" spans="3:5" x14ac:dyDescent="0.25">
      <c r="C3311"/>
      <c r="D3311"/>
      <c r="E3311"/>
    </row>
    <row r="3312" spans="3:5" x14ac:dyDescent="0.25">
      <c r="C3312"/>
      <c r="D3312"/>
      <c r="E3312"/>
    </row>
    <row r="3313" spans="3:5" x14ac:dyDescent="0.25">
      <c r="C3313"/>
      <c r="D3313"/>
      <c r="E3313"/>
    </row>
    <row r="3314" spans="3:5" x14ac:dyDescent="0.25">
      <c r="C3314"/>
      <c r="D3314"/>
      <c r="E3314"/>
    </row>
    <row r="3315" spans="3:5" x14ac:dyDescent="0.25">
      <c r="C3315"/>
      <c r="D3315"/>
      <c r="E3315"/>
    </row>
    <row r="3316" spans="3:5" x14ac:dyDescent="0.25">
      <c r="C3316"/>
      <c r="D3316"/>
      <c r="E3316"/>
    </row>
    <row r="3317" spans="3:5" x14ac:dyDescent="0.25">
      <c r="C3317"/>
      <c r="D3317"/>
      <c r="E3317"/>
    </row>
    <row r="3318" spans="3:5" x14ac:dyDescent="0.25">
      <c r="C3318"/>
      <c r="D3318"/>
      <c r="E3318"/>
    </row>
    <row r="3319" spans="3:5" x14ac:dyDescent="0.25">
      <c r="C3319"/>
      <c r="D3319"/>
      <c r="E3319"/>
    </row>
    <row r="3320" spans="3:5" x14ac:dyDescent="0.25">
      <c r="C3320"/>
      <c r="D3320"/>
      <c r="E3320"/>
    </row>
    <row r="3321" spans="3:5" x14ac:dyDescent="0.25">
      <c r="C3321"/>
      <c r="D3321"/>
      <c r="E3321"/>
    </row>
    <row r="3322" spans="3:5" x14ac:dyDescent="0.25">
      <c r="C3322"/>
      <c r="D3322"/>
      <c r="E3322"/>
    </row>
    <row r="3323" spans="3:5" x14ac:dyDescent="0.25">
      <c r="C3323"/>
      <c r="D3323"/>
      <c r="E3323"/>
    </row>
    <row r="3324" spans="3:5" x14ac:dyDescent="0.25">
      <c r="C3324"/>
      <c r="D3324"/>
      <c r="E3324"/>
    </row>
    <row r="3325" spans="3:5" x14ac:dyDescent="0.25">
      <c r="C3325"/>
      <c r="D3325"/>
      <c r="E3325"/>
    </row>
    <row r="3326" spans="3:5" x14ac:dyDescent="0.25">
      <c r="C3326"/>
      <c r="D3326"/>
      <c r="E3326"/>
    </row>
    <row r="3327" spans="3:5" x14ac:dyDescent="0.25">
      <c r="C3327"/>
      <c r="D3327"/>
      <c r="E3327"/>
    </row>
    <row r="3328" spans="3:5" x14ac:dyDescent="0.25">
      <c r="C3328"/>
      <c r="D3328"/>
      <c r="E3328"/>
    </row>
    <row r="3329" spans="3:5" x14ac:dyDescent="0.25">
      <c r="C3329"/>
      <c r="D3329"/>
      <c r="E3329"/>
    </row>
    <row r="3330" spans="3:5" x14ac:dyDescent="0.25">
      <c r="C3330"/>
      <c r="D3330"/>
      <c r="E3330"/>
    </row>
    <row r="3331" spans="3:5" x14ac:dyDescent="0.25">
      <c r="C3331"/>
      <c r="D3331"/>
      <c r="E3331"/>
    </row>
    <row r="3332" spans="3:5" x14ac:dyDescent="0.25">
      <c r="C3332"/>
      <c r="D3332"/>
      <c r="E3332"/>
    </row>
    <row r="3333" spans="3:5" x14ac:dyDescent="0.25">
      <c r="C3333"/>
      <c r="D3333"/>
      <c r="E3333"/>
    </row>
    <row r="3334" spans="3:5" x14ac:dyDescent="0.25">
      <c r="C3334"/>
      <c r="D3334"/>
      <c r="E3334"/>
    </row>
    <row r="3335" spans="3:5" x14ac:dyDescent="0.25">
      <c r="C3335"/>
      <c r="D3335"/>
      <c r="E3335"/>
    </row>
    <row r="3336" spans="3:5" x14ac:dyDescent="0.25">
      <c r="C3336"/>
      <c r="D3336"/>
      <c r="E3336"/>
    </row>
    <row r="3337" spans="3:5" x14ac:dyDescent="0.25">
      <c r="C3337"/>
      <c r="D3337"/>
      <c r="E3337"/>
    </row>
    <row r="3338" spans="3:5" x14ac:dyDescent="0.25">
      <c r="C3338"/>
      <c r="D3338"/>
      <c r="E3338"/>
    </row>
    <row r="3339" spans="3:5" x14ac:dyDescent="0.25">
      <c r="C3339"/>
      <c r="D3339"/>
      <c r="E3339"/>
    </row>
    <row r="3340" spans="3:5" x14ac:dyDescent="0.25">
      <c r="C3340"/>
      <c r="D3340"/>
      <c r="E3340"/>
    </row>
    <row r="3341" spans="3:5" x14ac:dyDescent="0.25">
      <c r="C3341"/>
      <c r="D3341"/>
      <c r="E3341"/>
    </row>
    <row r="3342" spans="3:5" x14ac:dyDescent="0.25">
      <c r="C3342"/>
      <c r="D3342"/>
      <c r="E3342"/>
    </row>
    <row r="3343" spans="3:5" x14ac:dyDescent="0.25">
      <c r="C3343"/>
      <c r="D3343"/>
      <c r="E3343"/>
    </row>
    <row r="3344" spans="3:5" x14ac:dyDescent="0.25">
      <c r="C3344"/>
      <c r="D3344"/>
      <c r="E3344"/>
    </row>
    <row r="3345" spans="3:5" x14ac:dyDescent="0.25">
      <c r="C3345"/>
      <c r="D3345"/>
      <c r="E3345"/>
    </row>
    <row r="3346" spans="3:5" x14ac:dyDescent="0.25">
      <c r="C3346"/>
      <c r="D3346"/>
      <c r="E3346"/>
    </row>
    <row r="3347" spans="3:5" x14ac:dyDescent="0.25">
      <c r="C3347"/>
      <c r="D3347"/>
      <c r="E3347"/>
    </row>
    <row r="3348" spans="3:5" x14ac:dyDescent="0.25">
      <c r="C3348"/>
      <c r="D3348"/>
      <c r="E3348"/>
    </row>
    <row r="3349" spans="3:5" x14ac:dyDescent="0.25">
      <c r="C3349"/>
      <c r="D3349"/>
      <c r="E3349"/>
    </row>
    <row r="3350" spans="3:5" x14ac:dyDescent="0.25">
      <c r="C3350"/>
      <c r="D3350"/>
      <c r="E3350"/>
    </row>
    <row r="3351" spans="3:5" x14ac:dyDescent="0.25">
      <c r="C3351"/>
      <c r="D3351"/>
      <c r="E3351"/>
    </row>
    <row r="3352" spans="3:5" x14ac:dyDescent="0.25">
      <c r="C3352"/>
      <c r="D3352"/>
      <c r="E3352"/>
    </row>
    <row r="3353" spans="3:5" x14ac:dyDescent="0.25">
      <c r="C3353"/>
      <c r="D3353"/>
      <c r="E3353"/>
    </row>
    <row r="3354" spans="3:5" x14ac:dyDescent="0.25">
      <c r="C3354"/>
      <c r="D3354"/>
      <c r="E3354"/>
    </row>
    <row r="3355" spans="3:5" x14ac:dyDescent="0.25">
      <c r="C3355"/>
      <c r="D3355"/>
      <c r="E3355"/>
    </row>
    <row r="3356" spans="3:5" x14ac:dyDescent="0.25">
      <c r="C3356"/>
      <c r="D3356"/>
      <c r="E3356"/>
    </row>
    <row r="3357" spans="3:5" x14ac:dyDescent="0.25">
      <c r="C3357"/>
      <c r="D3357"/>
      <c r="E3357"/>
    </row>
    <row r="3358" spans="3:5" x14ac:dyDescent="0.25">
      <c r="C3358"/>
      <c r="D3358"/>
      <c r="E3358"/>
    </row>
    <row r="3359" spans="3:5" x14ac:dyDescent="0.25">
      <c r="C3359"/>
      <c r="D3359"/>
      <c r="E3359"/>
    </row>
    <row r="3360" spans="3:5" x14ac:dyDescent="0.25">
      <c r="C3360"/>
      <c r="D3360"/>
      <c r="E3360"/>
    </row>
    <row r="3361" spans="3:5" x14ac:dyDescent="0.25">
      <c r="C3361"/>
      <c r="D3361"/>
      <c r="E3361"/>
    </row>
    <row r="3362" spans="3:5" x14ac:dyDescent="0.25">
      <c r="C3362"/>
      <c r="D3362"/>
      <c r="E3362"/>
    </row>
    <row r="3363" spans="3:5" x14ac:dyDescent="0.25">
      <c r="C3363"/>
      <c r="D3363"/>
      <c r="E3363"/>
    </row>
    <row r="3364" spans="3:5" x14ac:dyDescent="0.25">
      <c r="C3364"/>
      <c r="D3364"/>
      <c r="E3364"/>
    </row>
    <row r="3365" spans="3:5" x14ac:dyDescent="0.25">
      <c r="C3365"/>
      <c r="D3365"/>
      <c r="E3365"/>
    </row>
    <row r="3366" spans="3:5" x14ac:dyDescent="0.25">
      <c r="C3366"/>
      <c r="D3366"/>
      <c r="E3366"/>
    </row>
    <row r="3367" spans="3:5" x14ac:dyDescent="0.25">
      <c r="C3367"/>
      <c r="D3367"/>
      <c r="E3367"/>
    </row>
    <row r="3368" spans="3:5" x14ac:dyDescent="0.25">
      <c r="C3368"/>
      <c r="D3368"/>
      <c r="E3368"/>
    </row>
    <row r="3369" spans="3:5" x14ac:dyDescent="0.25">
      <c r="C3369"/>
      <c r="D3369"/>
      <c r="E3369"/>
    </row>
    <row r="3370" spans="3:5" x14ac:dyDescent="0.25">
      <c r="C3370"/>
      <c r="D3370"/>
      <c r="E3370"/>
    </row>
    <row r="3371" spans="3:5" x14ac:dyDescent="0.25">
      <c r="C3371"/>
      <c r="D3371"/>
      <c r="E3371"/>
    </row>
    <row r="3372" spans="3:5" x14ac:dyDescent="0.25">
      <c r="C3372"/>
      <c r="D3372"/>
      <c r="E3372"/>
    </row>
    <row r="3373" spans="3:5" x14ac:dyDescent="0.25">
      <c r="C3373"/>
      <c r="D3373"/>
      <c r="E3373"/>
    </row>
    <row r="3374" spans="3:5" x14ac:dyDescent="0.25">
      <c r="C3374"/>
      <c r="D3374"/>
      <c r="E3374"/>
    </row>
    <row r="3375" spans="3:5" x14ac:dyDescent="0.25">
      <c r="C3375"/>
      <c r="D3375"/>
      <c r="E3375"/>
    </row>
    <row r="3376" spans="3:5" x14ac:dyDescent="0.25">
      <c r="C3376"/>
      <c r="D3376"/>
      <c r="E3376"/>
    </row>
    <row r="3377" spans="3:5" x14ac:dyDescent="0.25">
      <c r="C3377"/>
      <c r="D3377"/>
      <c r="E3377"/>
    </row>
    <row r="3378" spans="3:5" x14ac:dyDescent="0.25">
      <c r="C3378"/>
      <c r="D3378"/>
      <c r="E3378"/>
    </row>
    <row r="3379" spans="3:5" x14ac:dyDescent="0.25">
      <c r="C3379"/>
      <c r="D3379"/>
      <c r="E3379"/>
    </row>
    <row r="3380" spans="3:5" x14ac:dyDescent="0.25">
      <c r="C3380"/>
      <c r="D3380"/>
      <c r="E3380"/>
    </row>
    <row r="3381" spans="3:5" x14ac:dyDescent="0.25">
      <c r="C3381"/>
      <c r="D3381"/>
      <c r="E3381"/>
    </row>
    <row r="3382" spans="3:5" x14ac:dyDescent="0.25">
      <c r="C3382"/>
      <c r="D3382"/>
      <c r="E3382"/>
    </row>
    <row r="3383" spans="3:5" x14ac:dyDescent="0.25">
      <c r="C3383"/>
      <c r="D3383"/>
      <c r="E3383"/>
    </row>
    <row r="3384" spans="3:5" x14ac:dyDescent="0.25">
      <c r="C3384"/>
      <c r="D3384"/>
      <c r="E3384"/>
    </row>
    <row r="3385" spans="3:5" x14ac:dyDescent="0.25">
      <c r="C3385"/>
      <c r="D3385"/>
      <c r="E3385"/>
    </row>
    <row r="3386" spans="3:5" x14ac:dyDescent="0.25">
      <c r="C3386"/>
      <c r="D3386"/>
      <c r="E3386"/>
    </row>
    <row r="3387" spans="3:5" x14ac:dyDescent="0.25">
      <c r="C3387"/>
      <c r="D3387"/>
      <c r="E3387"/>
    </row>
    <row r="3388" spans="3:5" x14ac:dyDescent="0.25">
      <c r="C3388"/>
      <c r="D3388"/>
      <c r="E3388"/>
    </row>
    <row r="3389" spans="3:5" x14ac:dyDescent="0.25">
      <c r="C3389"/>
      <c r="D3389"/>
      <c r="E3389"/>
    </row>
    <row r="3390" spans="3:5" x14ac:dyDescent="0.25">
      <c r="C3390"/>
      <c r="D3390"/>
      <c r="E3390"/>
    </row>
    <row r="3391" spans="3:5" x14ac:dyDescent="0.25">
      <c r="C3391"/>
      <c r="D3391"/>
      <c r="E3391"/>
    </row>
    <row r="3392" spans="3:5" x14ac:dyDescent="0.25">
      <c r="C3392"/>
      <c r="D3392"/>
      <c r="E3392"/>
    </row>
    <row r="3393" spans="3:5" x14ac:dyDescent="0.25">
      <c r="C3393"/>
      <c r="D3393"/>
      <c r="E3393"/>
    </row>
    <row r="3394" spans="3:5" x14ac:dyDescent="0.25">
      <c r="C3394"/>
      <c r="D3394"/>
      <c r="E3394"/>
    </row>
    <row r="3395" spans="3:5" x14ac:dyDescent="0.25">
      <c r="C3395"/>
      <c r="D3395"/>
      <c r="E3395"/>
    </row>
    <row r="3396" spans="3:5" x14ac:dyDescent="0.25">
      <c r="C3396"/>
      <c r="D3396"/>
      <c r="E3396"/>
    </row>
    <row r="3397" spans="3:5" x14ac:dyDescent="0.25">
      <c r="C3397"/>
      <c r="D3397"/>
      <c r="E3397"/>
    </row>
    <row r="3398" spans="3:5" x14ac:dyDescent="0.25">
      <c r="C3398"/>
      <c r="D3398"/>
      <c r="E3398"/>
    </row>
    <row r="3399" spans="3:5" x14ac:dyDescent="0.25">
      <c r="C3399"/>
      <c r="D3399"/>
      <c r="E3399"/>
    </row>
    <row r="3400" spans="3:5" x14ac:dyDescent="0.25">
      <c r="C3400"/>
      <c r="D3400"/>
      <c r="E3400"/>
    </row>
    <row r="3401" spans="3:5" x14ac:dyDescent="0.25">
      <c r="C3401"/>
      <c r="D3401"/>
      <c r="E3401"/>
    </row>
    <row r="3402" spans="3:5" x14ac:dyDescent="0.25">
      <c r="C3402"/>
      <c r="D3402"/>
      <c r="E3402"/>
    </row>
    <row r="3403" spans="3:5" x14ac:dyDescent="0.25">
      <c r="C3403"/>
      <c r="D3403"/>
      <c r="E3403"/>
    </row>
    <row r="3404" spans="3:5" x14ac:dyDescent="0.25">
      <c r="C3404"/>
      <c r="D3404"/>
      <c r="E3404"/>
    </row>
    <row r="3405" spans="3:5" x14ac:dyDescent="0.25">
      <c r="C3405"/>
      <c r="D3405"/>
      <c r="E3405"/>
    </row>
    <row r="3406" spans="3:5" x14ac:dyDescent="0.25">
      <c r="C3406"/>
      <c r="D3406"/>
      <c r="E3406"/>
    </row>
    <row r="3407" spans="3:5" x14ac:dyDescent="0.25">
      <c r="C3407"/>
      <c r="D3407"/>
      <c r="E3407"/>
    </row>
    <row r="3408" spans="3:5" x14ac:dyDescent="0.25">
      <c r="C3408"/>
      <c r="D3408"/>
      <c r="E3408"/>
    </row>
    <row r="3409" spans="3:5" x14ac:dyDescent="0.25">
      <c r="C3409"/>
      <c r="D3409"/>
      <c r="E3409"/>
    </row>
    <row r="3410" spans="3:5" x14ac:dyDescent="0.25">
      <c r="C3410"/>
      <c r="D3410"/>
      <c r="E3410"/>
    </row>
    <row r="3411" spans="3:5" x14ac:dyDescent="0.25">
      <c r="C3411"/>
      <c r="D3411"/>
      <c r="E3411"/>
    </row>
    <row r="3412" spans="3:5" x14ac:dyDescent="0.25">
      <c r="C3412"/>
      <c r="D3412"/>
      <c r="E3412"/>
    </row>
    <row r="3413" spans="3:5" x14ac:dyDescent="0.25">
      <c r="C3413"/>
      <c r="D3413"/>
      <c r="E3413"/>
    </row>
    <row r="3414" spans="3:5" x14ac:dyDescent="0.25">
      <c r="C3414"/>
      <c r="D3414"/>
      <c r="E3414"/>
    </row>
    <row r="3415" spans="3:5" x14ac:dyDescent="0.25">
      <c r="C3415"/>
      <c r="D3415"/>
      <c r="E3415"/>
    </row>
    <row r="3416" spans="3:5" x14ac:dyDescent="0.25">
      <c r="C3416"/>
      <c r="D3416"/>
      <c r="E3416"/>
    </row>
    <row r="3417" spans="3:5" x14ac:dyDescent="0.25">
      <c r="C3417"/>
      <c r="D3417"/>
      <c r="E3417"/>
    </row>
    <row r="3418" spans="3:5" x14ac:dyDescent="0.25">
      <c r="C3418"/>
      <c r="D3418"/>
      <c r="E3418"/>
    </row>
    <row r="3419" spans="3:5" x14ac:dyDescent="0.25">
      <c r="C3419"/>
      <c r="D3419"/>
      <c r="E3419"/>
    </row>
    <row r="3420" spans="3:5" x14ac:dyDescent="0.25">
      <c r="C3420"/>
      <c r="D3420"/>
      <c r="E3420"/>
    </row>
    <row r="3421" spans="3:5" x14ac:dyDescent="0.25">
      <c r="C3421"/>
      <c r="D3421"/>
      <c r="E3421"/>
    </row>
    <row r="3422" spans="3:5" x14ac:dyDescent="0.25">
      <c r="C3422"/>
      <c r="D3422"/>
      <c r="E3422"/>
    </row>
    <row r="3423" spans="3:5" x14ac:dyDescent="0.25">
      <c r="C3423"/>
      <c r="D3423"/>
      <c r="E3423"/>
    </row>
    <row r="3424" spans="3:5" x14ac:dyDescent="0.25">
      <c r="C3424"/>
      <c r="D3424"/>
      <c r="E3424"/>
    </row>
    <row r="3425" spans="3:5" x14ac:dyDescent="0.25">
      <c r="C3425"/>
      <c r="D3425"/>
      <c r="E3425"/>
    </row>
    <row r="3426" spans="3:5" x14ac:dyDescent="0.25">
      <c r="C3426"/>
      <c r="D3426"/>
      <c r="E3426"/>
    </row>
    <row r="3427" spans="3:5" x14ac:dyDescent="0.25">
      <c r="C3427"/>
      <c r="D3427"/>
      <c r="E3427"/>
    </row>
    <row r="3428" spans="3:5" x14ac:dyDescent="0.25">
      <c r="C3428"/>
      <c r="D3428"/>
      <c r="E3428"/>
    </row>
    <row r="3429" spans="3:5" x14ac:dyDescent="0.25">
      <c r="C3429"/>
      <c r="D3429"/>
      <c r="E3429"/>
    </row>
    <row r="3430" spans="3:5" x14ac:dyDescent="0.25">
      <c r="C3430"/>
      <c r="D3430"/>
      <c r="E3430"/>
    </row>
    <row r="3431" spans="3:5" x14ac:dyDescent="0.25">
      <c r="C3431"/>
      <c r="D3431"/>
      <c r="E3431"/>
    </row>
    <row r="3432" spans="3:5" x14ac:dyDescent="0.25">
      <c r="C3432"/>
      <c r="D3432"/>
      <c r="E3432"/>
    </row>
    <row r="3433" spans="3:5" x14ac:dyDescent="0.25">
      <c r="C3433"/>
      <c r="D3433"/>
      <c r="E3433"/>
    </row>
    <row r="3434" spans="3:5" x14ac:dyDescent="0.25">
      <c r="C3434"/>
      <c r="D3434"/>
      <c r="E3434"/>
    </row>
    <row r="3435" spans="3:5" x14ac:dyDescent="0.25">
      <c r="C3435"/>
      <c r="D3435"/>
      <c r="E3435"/>
    </row>
    <row r="3436" spans="3:5" x14ac:dyDescent="0.25">
      <c r="C3436"/>
      <c r="D3436"/>
      <c r="E3436"/>
    </row>
    <row r="3437" spans="3:5" x14ac:dyDescent="0.25">
      <c r="C3437"/>
      <c r="D3437"/>
      <c r="E3437"/>
    </row>
    <row r="3438" spans="3:5" x14ac:dyDescent="0.25">
      <c r="C3438"/>
      <c r="D3438"/>
      <c r="E3438"/>
    </row>
    <row r="3439" spans="3:5" x14ac:dyDescent="0.25">
      <c r="C3439"/>
      <c r="D3439"/>
      <c r="E3439"/>
    </row>
    <row r="3440" spans="3:5" x14ac:dyDescent="0.25">
      <c r="C3440"/>
      <c r="D3440"/>
      <c r="E3440"/>
    </row>
    <row r="3441" spans="3:5" x14ac:dyDescent="0.25">
      <c r="C3441"/>
      <c r="D3441"/>
      <c r="E3441"/>
    </row>
    <row r="3442" spans="3:5" x14ac:dyDescent="0.25">
      <c r="C3442"/>
      <c r="D3442"/>
      <c r="E3442"/>
    </row>
    <row r="3443" spans="3:5" x14ac:dyDescent="0.25">
      <c r="C3443"/>
      <c r="D3443"/>
      <c r="E3443"/>
    </row>
    <row r="3444" spans="3:5" x14ac:dyDescent="0.25">
      <c r="C3444"/>
      <c r="D3444"/>
      <c r="E3444"/>
    </row>
    <row r="3445" spans="3:5" x14ac:dyDescent="0.25">
      <c r="C3445"/>
      <c r="D3445"/>
      <c r="E3445"/>
    </row>
    <row r="3446" spans="3:5" x14ac:dyDescent="0.25">
      <c r="C3446"/>
      <c r="D3446"/>
      <c r="E3446"/>
    </row>
    <row r="3447" spans="3:5" x14ac:dyDescent="0.25">
      <c r="C3447"/>
      <c r="D3447"/>
      <c r="E3447"/>
    </row>
    <row r="3448" spans="3:5" x14ac:dyDescent="0.25">
      <c r="C3448"/>
      <c r="D3448"/>
      <c r="E3448"/>
    </row>
    <row r="3449" spans="3:5" x14ac:dyDescent="0.25">
      <c r="C3449"/>
      <c r="D3449"/>
      <c r="E3449"/>
    </row>
    <row r="3450" spans="3:5" x14ac:dyDescent="0.25">
      <c r="C3450"/>
      <c r="D3450"/>
      <c r="E3450"/>
    </row>
    <row r="3451" spans="3:5" x14ac:dyDescent="0.25">
      <c r="C3451"/>
      <c r="D3451"/>
      <c r="E3451"/>
    </row>
    <row r="3452" spans="3:5" x14ac:dyDescent="0.25">
      <c r="C3452"/>
      <c r="D3452"/>
      <c r="E3452"/>
    </row>
    <row r="3453" spans="3:5" x14ac:dyDescent="0.25">
      <c r="C3453"/>
      <c r="D3453"/>
      <c r="E3453"/>
    </row>
    <row r="3454" spans="3:5" x14ac:dyDescent="0.25">
      <c r="C3454"/>
      <c r="D3454"/>
      <c r="E3454"/>
    </row>
    <row r="3455" spans="3:5" x14ac:dyDescent="0.25">
      <c r="C3455"/>
      <c r="D3455"/>
      <c r="E3455"/>
    </row>
    <row r="3456" spans="3:5" x14ac:dyDescent="0.25">
      <c r="C3456"/>
      <c r="D3456"/>
      <c r="E3456"/>
    </row>
    <row r="3457" spans="3:5" x14ac:dyDescent="0.25">
      <c r="C3457"/>
      <c r="D3457"/>
      <c r="E3457"/>
    </row>
    <row r="3458" spans="3:5" x14ac:dyDescent="0.25">
      <c r="C3458"/>
      <c r="D3458"/>
      <c r="E3458"/>
    </row>
    <row r="3459" spans="3:5" x14ac:dyDescent="0.25">
      <c r="C3459"/>
      <c r="D3459"/>
      <c r="E3459"/>
    </row>
    <row r="3460" spans="3:5" x14ac:dyDescent="0.25">
      <c r="C3460"/>
      <c r="D3460"/>
      <c r="E3460"/>
    </row>
    <row r="3461" spans="3:5" x14ac:dyDescent="0.25">
      <c r="C3461"/>
      <c r="D3461"/>
      <c r="E3461"/>
    </row>
    <row r="3462" spans="3:5" x14ac:dyDescent="0.25">
      <c r="C3462"/>
      <c r="D3462"/>
      <c r="E3462"/>
    </row>
    <row r="3463" spans="3:5" x14ac:dyDescent="0.25">
      <c r="C3463"/>
      <c r="D3463"/>
      <c r="E3463"/>
    </row>
    <row r="3464" spans="3:5" x14ac:dyDescent="0.25">
      <c r="C3464"/>
      <c r="D3464"/>
      <c r="E3464"/>
    </row>
    <row r="3465" spans="3:5" x14ac:dyDescent="0.25">
      <c r="C3465"/>
      <c r="D3465"/>
      <c r="E3465"/>
    </row>
    <row r="3466" spans="3:5" x14ac:dyDescent="0.25">
      <c r="C3466"/>
      <c r="D3466"/>
      <c r="E3466"/>
    </row>
    <row r="3467" spans="3:5" x14ac:dyDescent="0.25">
      <c r="C3467"/>
      <c r="D3467"/>
      <c r="E3467"/>
    </row>
    <row r="3468" spans="3:5" x14ac:dyDescent="0.25">
      <c r="C3468"/>
      <c r="D3468"/>
      <c r="E3468"/>
    </row>
    <row r="3469" spans="3:5" x14ac:dyDescent="0.25">
      <c r="C3469"/>
      <c r="D3469"/>
      <c r="E3469"/>
    </row>
    <row r="3470" spans="3:5" x14ac:dyDescent="0.25">
      <c r="C3470"/>
      <c r="D3470"/>
      <c r="E3470"/>
    </row>
    <row r="3471" spans="3:5" x14ac:dyDescent="0.25">
      <c r="C3471"/>
      <c r="D3471"/>
      <c r="E3471"/>
    </row>
    <row r="3472" spans="3:5" x14ac:dyDescent="0.25">
      <c r="C3472"/>
      <c r="D3472"/>
      <c r="E3472"/>
    </row>
    <row r="3473" spans="3:5" x14ac:dyDescent="0.25">
      <c r="C3473"/>
      <c r="D3473"/>
      <c r="E3473"/>
    </row>
    <row r="3474" spans="3:5" x14ac:dyDescent="0.25">
      <c r="C3474"/>
      <c r="D3474"/>
      <c r="E3474"/>
    </row>
    <row r="3475" spans="3:5" x14ac:dyDescent="0.25">
      <c r="C3475"/>
      <c r="D3475"/>
      <c r="E3475"/>
    </row>
    <row r="3476" spans="3:5" x14ac:dyDescent="0.25">
      <c r="C3476"/>
      <c r="D3476"/>
      <c r="E3476"/>
    </row>
    <row r="3477" spans="3:5" x14ac:dyDescent="0.25">
      <c r="C3477"/>
      <c r="D3477"/>
      <c r="E3477"/>
    </row>
    <row r="3478" spans="3:5" x14ac:dyDescent="0.25">
      <c r="C3478"/>
      <c r="D3478"/>
      <c r="E3478"/>
    </row>
    <row r="3479" spans="3:5" x14ac:dyDescent="0.25">
      <c r="C3479"/>
      <c r="D3479"/>
      <c r="E3479"/>
    </row>
    <row r="3480" spans="3:5" x14ac:dyDescent="0.25">
      <c r="C3480"/>
      <c r="D3480"/>
      <c r="E3480"/>
    </row>
    <row r="3481" spans="3:5" x14ac:dyDescent="0.25">
      <c r="C3481"/>
      <c r="D3481"/>
      <c r="E3481"/>
    </row>
    <row r="3482" spans="3:5" x14ac:dyDescent="0.25">
      <c r="C3482"/>
      <c r="D3482"/>
      <c r="E3482"/>
    </row>
    <row r="3483" spans="3:5" x14ac:dyDescent="0.25">
      <c r="C3483"/>
      <c r="D3483"/>
      <c r="E3483"/>
    </row>
    <row r="3484" spans="3:5" x14ac:dyDescent="0.25">
      <c r="C3484"/>
      <c r="D3484"/>
      <c r="E3484"/>
    </row>
    <row r="3485" spans="3:5" x14ac:dyDescent="0.25">
      <c r="C3485"/>
      <c r="D3485"/>
      <c r="E3485"/>
    </row>
    <row r="3486" spans="3:5" x14ac:dyDescent="0.25">
      <c r="C3486"/>
      <c r="D3486"/>
      <c r="E3486"/>
    </row>
    <row r="3487" spans="3:5" x14ac:dyDescent="0.25">
      <c r="C3487"/>
      <c r="D3487"/>
      <c r="E3487"/>
    </row>
    <row r="3488" spans="3:5" x14ac:dyDescent="0.25">
      <c r="C3488"/>
      <c r="D3488"/>
      <c r="E3488"/>
    </row>
    <row r="3489" spans="3:5" x14ac:dyDescent="0.25">
      <c r="C3489"/>
      <c r="D3489"/>
      <c r="E3489"/>
    </row>
    <row r="3490" spans="3:5" x14ac:dyDescent="0.25">
      <c r="C3490"/>
      <c r="D3490"/>
      <c r="E3490"/>
    </row>
    <row r="3491" spans="3:5" x14ac:dyDescent="0.25">
      <c r="C3491"/>
      <c r="D3491"/>
      <c r="E3491"/>
    </row>
    <row r="3492" spans="3:5" x14ac:dyDescent="0.25">
      <c r="C3492"/>
      <c r="D3492"/>
      <c r="E3492"/>
    </row>
    <row r="3493" spans="3:5" x14ac:dyDescent="0.25">
      <c r="C3493"/>
      <c r="D3493"/>
      <c r="E3493"/>
    </row>
    <row r="3494" spans="3:5" x14ac:dyDescent="0.25">
      <c r="C3494"/>
      <c r="D3494"/>
      <c r="E3494"/>
    </row>
    <row r="3495" spans="3:5" x14ac:dyDescent="0.25">
      <c r="C3495"/>
      <c r="D3495"/>
      <c r="E3495"/>
    </row>
    <row r="3496" spans="3:5" x14ac:dyDescent="0.25">
      <c r="C3496"/>
      <c r="D3496"/>
      <c r="E3496"/>
    </row>
    <row r="3497" spans="3:5" x14ac:dyDescent="0.25">
      <c r="C3497"/>
      <c r="D3497"/>
      <c r="E3497"/>
    </row>
    <row r="3498" spans="3:5" x14ac:dyDescent="0.25">
      <c r="C3498"/>
      <c r="D3498"/>
      <c r="E3498"/>
    </row>
    <row r="3499" spans="3:5" x14ac:dyDescent="0.25">
      <c r="C3499"/>
      <c r="D3499"/>
      <c r="E3499"/>
    </row>
    <row r="3500" spans="3:5" x14ac:dyDescent="0.25">
      <c r="C3500"/>
      <c r="D3500"/>
      <c r="E3500"/>
    </row>
    <row r="3501" spans="3:5" x14ac:dyDescent="0.25">
      <c r="C3501"/>
      <c r="D3501"/>
      <c r="E3501"/>
    </row>
    <row r="3502" spans="3:5" x14ac:dyDescent="0.25">
      <c r="C3502"/>
      <c r="D3502"/>
      <c r="E3502"/>
    </row>
    <row r="3503" spans="3:5" x14ac:dyDescent="0.25">
      <c r="C3503"/>
      <c r="D3503"/>
      <c r="E3503"/>
    </row>
    <row r="3504" spans="3:5" x14ac:dyDescent="0.25">
      <c r="C3504"/>
      <c r="D3504"/>
      <c r="E3504"/>
    </row>
    <row r="3505" spans="3:5" x14ac:dyDescent="0.25">
      <c r="C3505"/>
      <c r="D3505"/>
      <c r="E3505"/>
    </row>
    <row r="3506" spans="3:5" x14ac:dyDescent="0.25">
      <c r="C3506"/>
      <c r="D3506"/>
      <c r="E3506"/>
    </row>
    <row r="3507" spans="3:5" x14ac:dyDescent="0.25">
      <c r="C3507"/>
      <c r="D3507"/>
      <c r="E3507"/>
    </row>
    <row r="3508" spans="3:5" x14ac:dyDescent="0.25">
      <c r="C3508"/>
      <c r="D3508"/>
      <c r="E3508"/>
    </row>
    <row r="3509" spans="3:5" x14ac:dyDescent="0.25">
      <c r="C3509"/>
      <c r="D3509"/>
      <c r="E3509"/>
    </row>
    <row r="3510" spans="3:5" x14ac:dyDescent="0.25">
      <c r="C3510"/>
      <c r="D3510"/>
      <c r="E3510"/>
    </row>
    <row r="3511" spans="3:5" x14ac:dyDescent="0.25">
      <c r="C3511"/>
      <c r="D3511"/>
      <c r="E3511"/>
    </row>
    <row r="3512" spans="3:5" x14ac:dyDescent="0.25">
      <c r="C3512"/>
      <c r="D3512"/>
      <c r="E3512"/>
    </row>
    <row r="3513" spans="3:5" x14ac:dyDescent="0.25">
      <c r="C3513"/>
      <c r="D3513"/>
      <c r="E3513"/>
    </row>
    <row r="3514" spans="3:5" x14ac:dyDescent="0.25">
      <c r="C3514"/>
      <c r="D3514"/>
      <c r="E3514"/>
    </row>
    <row r="3515" spans="3:5" x14ac:dyDescent="0.25">
      <c r="C3515"/>
      <c r="D3515"/>
      <c r="E3515"/>
    </row>
    <row r="3516" spans="3:5" x14ac:dyDescent="0.25">
      <c r="C3516"/>
      <c r="D3516"/>
      <c r="E3516"/>
    </row>
    <row r="3517" spans="3:5" x14ac:dyDescent="0.25">
      <c r="C3517"/>
      <c r="D3517"/>
      <c r="E3517"/>
    </row>
    <row r="3518" spans="3:5" x14ac:dyDescent="0.25">
      <c r="C3518"/>
      <c r="D3518"/>
      <c r="E3518"/>
    </row>
    <row r="3519" spans="3:5" x14ac:dyDescent="0.25">
      <c r="C3519"/>
      <c r="D3519"/>
      <c r="E3519"/>
    </row>
    <row r="3520" spans="3:5" x14ac:dyDescent="0.25">
      <c r="C3520"/>
      <c r="D3520"/>
      <c r="E3520"/>
    </row>
    <row r="3521" spans="3:5" x14ac:dyDescent="0.25">
      <c r="C3521"/>
      <c r="D3521"/>
      <c r="E3521"/>
    </row>
    <row r="3522" spans="3:5" x14ac:dyDescent="0.25">
      <c r="C3522"/>
      <c r="D3522"/>
      <c r="E3522"/>
    </row>
    <row r="3523" spans="3:5" x14ac:dyDescent="0.25">
      <c r="C3523"/>
      <c r="D3523"/>
      <c r="E3523"/>
    </row>
    <row r="3524" spans="3:5" x14ac:dyDescent="0.25">
      <c r="C3524"/>
      <c r="D3524"/>
      <c r="E3524"/>
    </row>
    <row r="3525" spans="3:5" x14ac:dyDescent="0.25">
      <c r="C3525"/>
      <c r="D3525"/>
      <c r="E3525"/>
    </row>
    <row r="3526" spans="3:5" x14ac:dyDescent="0.25">
      <c r="C3526"/>
      <c r="D3526"/>
      <c r="E3526"/>
    </row>
    <row r="3527" spans="3:5" x14ac:dyDescent="0.25">
      <c r="C3527"/>
      <c r="D3527"/>
      <c r="E3527"/>
    </row>
    <row r="3528" spans="3:5" x14ac:dyDescent="0.25">
      <c r="C3528"/>
      <c r="D3528"/>
      <c r="E3528"/>
    </row>
    <row r="3529" spans="3:5" x14ac:dyDescent="0.25">
      <c r="C3529"/>
      <c r="D3529"/>
      <c r="E3529"/>
    </row>
    <row r="3530" spans="3:5" x14ac:dyDescent="0.25">
      <c r="C3530"/>
      <c r="D3530"/>
      <c r="E3530"/>
    </row>
    <row r="3531" spans="3:5" x14ac:dyDescent="0.25">
      <c r="C3531"/>
      <c r="D3531"/>
      <c r="E3531"/>
    </row>
    <row r="3532" spans="3:5" x14ac:dyDescent="0.25">
      <c r="C3532"/>
      <c r="D3532"/>
      <c r="E3532"/>
    </row>
    <row r="3533" spans="3:5" x14ac:dyDescent="0.25">
      <c r="C3533"/>
      <c r="D3533"/>
      <c r="E3533"/>
    </row>
    <row r="3534" spans="3:5" x14ac:dyDescent="0.25">
      <c r="C3534"/>
      <c r="D3534"/>
      <c r="E3534"/>
    </row>
    <row r="3535" spans="3:5" x14ac:dyDescent="0.25">
      <c r="C3535"/>
      <c r="D3535"/>
      <c r="E3535"/>
    </row>
    <row r="3536" spans="3:5" x14ac:dyDescent="0.25">
      <c r="C3536"/>
      <c r="D3536"/>
      <c r="E3536"/>
    </row>
    <row r="3537" spans="3:5" x14ac:dyDescent="0.25">
      <c r="C3537"/>
      <c r="D3537"/>
      <c r="E3537"/>
    </row>
    <row r="3538" spans="3:5" x14ac:dyDescent="0.25">
      <c r="C3538"/>
      <c r="D3538"/>
      <c r="E3538"/>
    </row>
    <row r="3539" spans="3:5" x14ac:dyDescent="0.25">
      <c r="C3539"/>
      <c r="D3539"/>
      <c r="E3539"/>
    </row>
    <row r="3540" spans="3:5" x14ac:dyDescent="0.25">
      <c r="C3540"/>
      <c r="D3540"/>
      <c r="E3540"/>
    </row>
    <row r="3541" spans="3:5" x14ac:dyDescent="0.25">
      <c r="C3541"/>
      <c r="D3541"/>
      <c r="E3541"/>
    </row>
    <row r="3542" spans="3:5" x14ac:dyDescent="0.25">
      <c r="C3542"/>
      <c r="D3542"/>
      <c r="E3542"/>
    </row>
    <row r="3543" spans="3:5" x14ac:dyDescent="0.25">
      <c r="C3543"/>
      <c r="D3543"/>
      <c r="E3543"/>
    </row>
    <row r="3544" spans="3:5" x14ac:dyDescent="0.25">
      <c r="C3544"/>
      <c r="D3544"/>
      <c r="E3544"/>
    </row>
    <row r="3545" spans="3:5" x14ac:dyDescent="0.25">
      <c r="C3545"/>
      <c r="D3545"/>
      <c r="E3545"/>
    </row>
    <row r="3546" spans="3:5" x14ac:dyDescent="0.25">
      <c r="C3546"/>
      <c r="D3546"/>
      <c r="E3546"/>
    </row>
    <row r="3547" spans="3:5" x14ac:dyDescent="0.25">
      <c r="C3547"/>
      <c r="D3547"/>
      <c r="E3547"/>
    </row>
    <row r="3548" spans="3:5" x14ac:dyDescent="0.25">
      <c r="C3548"/>
      <c r="D3548"/>
      <c r="E3548"/>
    </row>
    <row r="3549" spans="3:5" x14ac:dyDescent="0.25">
      <c r="C3549"/>
      <c r="D3549"/>
      <c r="E3549"/>
    </row>
    <row r="3550" spans="3:5" x14ac:dyDescent="0.25">
      <c r="C3550"/>
      <c r="D3550"/>
      <c r="E3550"/>
    </row>
    <row r="3551" spans="3:5" x14ac:dyDescent="0.25">
      <c r="C3551"/>
      <c r="D3551"/>
      <c r="E3551"/>
    </row>
    <row r="3552" spans="3:5" x14ac:dyDescent="0.25">
      <c r="C3552"/>
      <c r="D3552"/>
      <c r="E3552"/>
    </row>
    <row r="3553" spans="3:5" x14ac:dyDescent="0.25">
      <c r="C3553"/>
      <c r="D3553"/>
      <c r="E3553"/>
    </row>
    <row r="3554" spans="3:5" x14ac:dyDescent="0.25">
      <c r="C3554"/>
      <c r="D3554"/>
      <c r="E3554"/>
    </row>
    <row r="3555" spans="3:5" x14ac:dyDescent="0.25">
      <c r="C3555"/>
      <c r="D3555"/>
      <c r="E3555"/>
    </row>
    <row r="3556" spans="3:5" x14ac:dyDescent="0.25">
      <c r="C3556"/>
      <c r="D3556"/>
      <c r="E3556"/>
    </row>
    <row r="3557" spans="3:5" x14ac:dyDescent="0.25">
      <c r="C3557"/>
      <c r="D3557"/>
      <c r="E3557"/>
    </row>
    <row r="3558" spans="3:5" x14ac:dyDescent="0.25">
      <c r="C3558"/>
      <c r="D3558"/>
      <c r="E3558"/>
    </row>
    <row r="3559" spans="3:5" x14ac:dyDescent="0.25">
      <c r="C3559"/>
      <c r="D3559"/>
      <c r="E3559"/>
    </row>
    <row r="3560" spans="3:5" x14ac:dyDescent="0.25">
      <c r="C3560"/>
      <c r="D3560"/>
      <c r="E3560"/>
    </row>
    <row r="3561" spans="3:5" x14ac:dyDescent="0.25">
      <c r="C3561"/>
      <c r="D3561"/>
      <c r="E3561"/>
    </row>
    <row r="3562" spans="3:5" x14ac:dyDescent="0.25">
      <c r="C3562"/>
      <c r="D3562"/>
      <c r="E3562"/>
    </row>
    <row r="3563" spans="3:5" x14ac:dyDescent="0.25">
      <c r="C3563"/>
      <c r="D3563"/>
      <c r="E3563"/>
    </row>
    <row r="3564" spans="3:5" x14ac:dyDescent="0.25">
      <c r="C3564"/>
      <c r="D3564"/>
      <c r="E3564"/>
    </row>
    <row r="3565" spans="3:5" x14ac:dyDescent="0.25">
      <c r="C3565"/>
      <c r="D3565"/>
      <c r="E3565"/>
    </row>
    <row r="3566" spans="3:5" x14ac:dyDescent="0.25">
      <c r="C3566"/>
      <c r="D3566"/>
      <c r="E3566"/>
    </row>
    <row r="3567" spans="3:5" x14ac:dyDescent="0.25">
      <c r="C3567"/>
      <c r="D3567"/>
      <c r="E3567"/>
    </row>
    <row r="3568" spans="3:5" x14ac:dyDescent="0.25">
      <c r="C3568"/>
      <c r="D3568"/>
      <c r="E3568"/>
    </row>
    <row r="3569" spans="3:5" x14ac:dyDescent="0.25">
      <c r="C3569"/>
      <c r="D3569"/>
      <c r="E3569"/>
    </row>
    <row r="3570" spans="3:5" x14ac:dyDescent="0.25">
      <c r="C3570"/>
      <c r="D3570"/>
      <c r="E3570"/>
    </row>
    <row r="3571" spans="3:5" x14ac:dyDescent="0.25">
      <c r="C3571"/>
      <c r="D3571"/>
      <c r="E3571"/>
    </row>
    <row r="3572" spans="3:5" x14ac:dyDescent="0.25">
      <c r="C3572"/>
      <c r="D3572"/>
      <c r="E3572"/>
    </row>
    <row r="3573" spans="3:5" x14ac:dyDescent="0.25">
      <c r="C3573"/>
      <c r="D3573"/>
      <c r="E3573"/>
    </row>
    <row r="3574" spans="3:5" x14ac:dyDescent="0.25">
      <c r="C3574"/>
      <c r="D3574"/>
      <c r="E3574"/>
    </row>
    <row r="3575" spans="3:5" x14ac:dyDescent="0.25">
      <c r="C3575"/>
      <c r="D3575"/>
      <c r="E3575"/>
    </row>
    <row r="3576" spans="3:5" x14ac:dyDescent="0.25">
      <c r="C3576"/>
      <c r="D3576"/>
      <c r="E3576"/>
    </row>
    <row r="3577" spans="3:5" x14ac:dyDescent="0.25">
      <c r="C3577"/>
      <c r="D3577"/>
      <c r="E3577"/>
    </row>
    <row r="3578" spans="3:5" x14ac:dyDescent="0.25">
      <c r="C3578"/>
      <c r="D3578"/>
      <c r="E3578"/>
    </row>
    <row r="3579" spans="3:5" x14ac:dyDescent="0.25">
      <c r="C3579"/>
      <c r="D3579"/>
      <c r="E3579"/>
    </row>
    <row r="3580" spans="3:5" x14ac:dyDescent="0.25">
      <c r="C3580"/>
      <c r="D3580"/>
      <c r="E3580"/>
    </row>
    <row r="3581" spans="3:5" x14ac:dyDescent="0.25">
      <c r="C3581"/>
      <c r="D3581"/>
      <c r="E3581"/>
    </row>
    <row r="3582" spans="3:5" x14ac:dyDescent="0.25">
      <c r="C3582"/>
      <c r="D3582"/>
      <c r="E3582"/>
    </row>
    <row r="3583" spans="3:5" x14ac:dyDescent="0.25">
      <c r="C3583"/>
      <c r="D3583"/>
      <c r="E3583"/>
    </row>
    <row r="3584" spans="3:5" x14ac:dyDescent="0.25">
      <c r="C3584"/>
      <c r="D3584"/>
      <c r="E3584"/>
    </row>
    <row r="3585" spans="3:5" x14ac:dyDescent="0.25">
      <c r="C3585"/>
      <c r="D3585"/>
      <c r="E3585"/>
    </row>
    <row r="3586" spans="3:5" x14ac:dyDescent="0.25">
      <c r="C3586"/>
      <c r="D3586"/>
      <c r="E3586"/>
    </row>
    <row r="3587" spans="3:5" x14ac:dyDescent="0.25">
      <c r="C3587"/>
      <c r="D3587"/>
      <c r="E3587"/>
    </row>
    <row r="3588" spans="3:5" x14ac:dyDescent="0.25">
      <c r="C3588"/>
      <c r="D3588"/>
      <c r="E3588"/>
    </row>
    <row r="3589" spans="3:5" x14ac:dyDescent="0.25">
      <c r="C3589"/>
      <c r="D3589"/>
      <c r="E3589"/>
    </row>
    <row r="3590" spans="3:5" x14ac:dyDescent="0.25">
      <c r="C3590"/>
      <c r="D3590"/>
      <c r="E3590"/>
    </row>
    <row r="3591" spans="3:5" x14ac:dyDescent="0.25">
      <c r="C3591"/>
      <c r="D3591"/>
      <c r="E3591"/>
    </row>
    <row r="3592" spans="3:5" x14ac:dyDescent="0.25">
      <c r="C3592"/>
      <c r="D3592"/>
      <c r="E3592"/>
    </row>
    <row r="3593" spans="3:5" x14ac:dyDescent="0.25">
      <c r="C3593"/>
      <c r="D3593"/>
      <c r="E3593"/>
    </row>
    <row r="3594" spans="3:5" x14ac:dyDescent="0.25">
      <c r="C3594"/>
      <c r="D3594"/>
      <c r="E3594"/>
    </row>
    <row r="3595" spans="3:5" x14ac:dyDescent="0.25">
      <c r="C3595"/>
      <c r="D3595"/>
      <c r="E3595"/>
    </row>
    <row r="3596" spans="3:5" x14ac:dyDescent="0.25">
      <c r="C3596"/>
      <c r="D3596"/>
      <c r="E3596"/>
    </row>
    <row r="3597" spans="3:5" x14ac:dyDescent="0.25">
      <c r="C3597"/>
      <c r="D3597"/>
      <c r="E3597"/>
    </row>
    <row r="3598" spans="3:5" x14ac:dyDescent="0.25">
      <c r="C3598"/>
      <c r="D3598"/>
      <c r="E3598"/>
    </row>
    <row r="3599" spans="3:5" x14ac:dyDescent="0.25">
      <c r="C3599"/>
      <c r="D3599"/>
      <c r="E3599"/>
    </row>
    <row r="3600" spans="3:5" x14ac:dyDescent="0.25">
      <c r="C3600"/>
      <c r="D3600"/>
      <c r="E3600"/>
    </row>
    <row r="3601" spans="3:5" x14ac:dyDescent="0.25">
      <c r="C3601"/>
      <c r="D3601"/>
      <c r="E3601"/>
    </row>
    <row r="3602" spans="3:5" x14ac:dyDescent="0.25">
      <c r="C3602"/>
      <c r="D3602"/>
      <c r="E3602"/>
    </row>
    <row r="3603" spans="3:5" x14ac:dyDescent="0.25">
      <c r="C3603"/>
      <c r="D3603"/>
      <c r="E3603"/>
    </row>
    <row r="3604" spans="3:5" x14ac:dyDescent="0.25">
      <c r="C3604"/>
      <c r="D3604"/>
      <c r="E3604"/>
    </row>
    <row r="3605" spans="3:5" x14ac:dyDescent="0.25">
      <c r="C3605"/>
      <c r="D3605"/>
      <c r="E3605"/>
    </row>
    <row r="3606" spans="3:5" x14ac:dyDescent="0.25">
      <c r="C3606"/>
      <c r="D3606"/>
      <c r="E3606"/>
    </row>
    <row r="3607" spans="3:5" x14ac:dyDescent="0.25">
      <c r="C3607"/>
      <c r="D3607"/>
      <c r="E3607"/>
    </row>
    <row r="3608" spans="3:5" x14ac:dyDescent="0.25">
      <c r="C3608"/>
      <c r="D3608"/>
      <c r="E3608"/>
    </row>
    <row r="3609" spans="3:5" x14ac:dyDescent="0.25">
      <c r="C3609"/>
      <c r="D3609"/>
      <c r="E3609"/>
    </row>
    <row r="3610" spans="3:5" x14ac:dyDescent="0.25">
      <c r="C3610"/>
      <c r="D3610"/>
      <c r="E3610"/>
    </row>
    <row r="3611" spans="3:5" x14ac:dyDescent="0.25">
      <c r="C3611"/>
      <c r="D3611"/>
      <c r="E3611"/>
    </row>
    <row r="3612" spans="3:5" x14ac:dyDescent="0.25">
      <c r="C3612"/>
      <c r="D3612"/>
      <c r="E3612"/>
    </row>
    <row r="3613" spans="3:5" x14ac:dyDescent="0.25">
      <c r="C3613"/>
      <c r="D3613"/>
      <c r="E3613"/>
    </row>
    <row r="3614" spans="3:5" x14ac:dyDescent="0.25">
      <c r="C3614"/>
      <c r="D3614"/>
      <c r="E3614"/>
    </row>
    <row r="3615" spans="3:5" x14ac:dyDescent="0.25">
      <c r="C3615"/>
      <c r="D3615"/>
      <c r="E3615"/>
    </row>
    <row r="3616" spans="3:5" x14ac:dyDescent="0.25">
      <c r="C3616"/>
      <c r="D3616"/>
      <c r="E3616"/>
    </row>
    <row r="3617" spans="3:5" x14ac:dyDescent="0.25">
      <c r="C3617"/>
      <c r="D3617"/>
      <c r="E3617"/>
    </row>
    <row r="3618" spans="3:5" x14ac:dyDescent="0.25">
      <c r="C3618"/>
      <c r="D3618"/>
      <c r="E3618"/>
    </row>
    <row r="3619" spans="3:5" x14ac:dyDescent="0.25">
      <c r="C3619"/>
      <c r="D3619"/>
      <c r="E3619"/>
    </row>
    <row r="3620" spans="3:5" x14ac:dyDescent="0.25">
      <c r="C3620"/>
      <c r="D3620"/>
      <c r="E3620"/>
    </row>
    <row r="3621" spans="3:5" x14ac:dyDescent="0.25">
      <c r="C3621"/>
      <c r="D3621"/>
      <c r="E3621"/>
    </row>
    <row r="3622" spans="3:5" x14ac:dyDescent="0.25">
      <c r="C3622"/>
      <c r="D3622"/>
      <c r="E3622"/>
    </row>
    <row r="3623" spans="3:5" x14ac:dyDescent="0.25">
      <c r="C3623"/>
      <c r="D3623"/>
      <c r="E3623"/>
    </row>
    <row r="3624" spans="3:5" x14ac:dyDescent="0.25">
      <c r="C3624"/>
      <c r="D3624"/>
      <c r="E3624"/>
    </row>
    <row r="3625" spans="3:5" x14ac:dyDescent="0.25">
      <c r="C3625"/>
      <c r="D3625"/>
      <c r="E3625"/>
    </row>
    <row r="3626" spans="3:5" x14ac:dyDescent="0.25">
      <c r="C3626"/>
      <c r="D3626"/>
      <c r="E3626"/>
    </row>
    <row r="3627" spans="3:5" x14ac:dyDescent="0.25">
      <c r="C3627"/>
      <c r="D3627"/>
      <c r="E3627"/>
    </row>
    <row r="3628" spans="3:5" x14ac:dyDescent="0.25">
      <c r="C3628"/>
      <c r="D3628"/>
      <c r="E3628"/>
    </row>
    <row r="3629" spans="3:5" x14ac:dyDescent="0.25">
      <c r="C3629"/>
      <c r="D3629"/>
      <c r="E3629"/>
    </row>
    <row r="3630" spans="3:5" x14ac:dyDescent="0.25">
      <c r="C3630"/>
      <c r="D3630"/>
      <c r="E3630"/>
    </row>
    <row r="3631" spans="3:5" x14ac:dyDescent="0.25">
      <c r="C3631"/>
      <c r="D3631"/>
      <c r="E3631"/>
    </row>
    <row r="3632" spans="3:5" x14ac:dyDescent="0.25">
      <c r="C3632"/>
      <c r="D3632"/>
      <c r="E3632"/>
    </row>
    <row r="3633" spans="3:5" x14ac:dyDescent="0.25">
      <c r="C3633"/>
      <c r="D3633"/>
      <c r="E3633"/>
    </row>
    <row r="3634" spans="3:5" x14ac:dyDescent="0.25">
      <c r="C3634"/>
      <c r="D3634"/>
      <c r="E3634"/>
    </row>
    <row r="3635" spans="3:5" x14ac:dyDescent="0.25">
      <c r="C3635"/>
      <c r="D3635"/>
      <c r="E3635"/>
    </row>
    <row r="3636" spans="3:5" x14ac:dyDescent="0.25">
      <c r="C3636"/>
      <c r="D3636"/>
      <c r="E3636"/>
    </row>
    <row r="3637" spans="3:5" x14ac:dyDescent="0.25">
      <c r="C3637"/>
      <c r="D3637"/>
      <c r="E3637"/>
    </row>
    <row r="3638" spans="3:5" x14ac:dyDescent="0.25">
      <c r="C3638"/>
      <c r="D3638"/>
      <c r="E3638"/>
    </row>
    <row r="3639" spans="3:5" x14ac:dyDescent="0.25">
      <c r="C3639"/>
      <c r="D3639"/>
      <c r="E3639"/>
    </row>
    <row r="3640" spans="3:5" x14ac:dyDescent="0.25">
      <c r="C3640"/>
      <c r="D3640"/>
      <c r="E3640"/>
    </row>
    <row r="3641" spans="3:5" x14ac:dyDescent="0.25">
      <c r="C3641"/>
      <c r="D3641"/>
      <c r="E3641"/>
    </row>
    <row r="3642" spans="3:5" x14ac:dyDescent="0.25">
      <c r="C3642"/>
      <c r="D3642"/>
      <c r="E3642"/>
    </row>
    <row r="3643" spans="3:5" x14ac:dyDescent="0.25">
      <c r="C3643"/>
      <c r="D3643"/>
      <c r="E3643"/>
    </row>
    <row r="3644" spans="3:5" x14ac:dyDescent="0.25">
      <c r="C3644"/>
      <c r="D3644"/>
      <c r="E3644"/>
    </row>
    <row r="3645" spans="3:5" x14ac:dyDescent="0.25">
      <c r="C3645"/>
      <c r="D3645"/>
      <c r="E3645"/>
    </row>
    <row r="3646" spans="3:5" x14ac:dyDescent="0.25">
      <c r="C3646"/>
      <c r="D3646"/>
      <c r="E3646"/>
    </row>
    <row r="3647" spans="3:5" x14ac:dyDescent="0.25">
      <c r="C3647"/>
      <c r="D3647"/>
      <c r="E3647"/>
    </row>
    <row r="3648" spans="3:5" x14ac:dyDescent="0.25">
      <c r="C3648"/>
      <c r="D3648"/>
      <c r="E3648"/>
    </row>
    <row r="3649" spans="3:5" x14ac:dyDescent="0.25">
      <c r="C3649"/>
      <c r="D3649"/>
      <c r="E3649"/>
    </row>
    <row r="3650" spans="3:5" x14ac:dyDescent="0.25">
      <c r="C3650"/>
      <c r="D3650"/>
      <c r="E3650"/>
    </row>
    <row r="3651" spans="3:5" x14ac:dyDescent="0.25">
      <c r="C3651"/>
      <c r="D3651"/>
      <c r="E3651"/>
    </row>
    <row r="3652" spans="3:5" x14ac:dyDescent="0.25">
      <c r="C3652"/>
      <c r="D3652"/>
      <c r="E3652"/>
    </row>
    <row r="3653" spans="3:5" x14ac:dyDescent="0.25">
      <c r="C3653"/>
      <c r="D3653"/>
      <c r="E3653"/>
    </row>
    <row r="3654" spans="3:5" x14ac:dyDescent="0.25">
      <c r="C3654"/>
      <c r="D3654"/>
      <c r="E3654"/>
    </row>
    <row r="3655" spans="3:5" x14ac:dyDescent="0.25">
      <c r="C3655"/>
      <c r="D3655"/>
      <c r="E3655"/>
    </row>
    <row r="3656" spans="3:5" x14ac:dyDescent="0.25">
      <c r="C3656"/>
      <c r="D3656"/>
      <c r="E3656"/>
    </row>
    <row r="3657" spans="3:5" x14ac:dyDescent="0.25">
      <c r="C3657"/>
      <c r="D3657"/>
      <c r="E3657"/>
    </row>
    <row r="3658" spans="3:5" x14ac:dyDescent="0.25">
      <c r="C3658"/>
      <c r="D3658"/>
      <c r="E3658"/>
    </row>
    <row r="3659" spans="3:5" x14ac:dyDescent="0.25">
      <c r="C3659"/>
      <c r="D3659"/>
      <c r="E3659"/>
    </row>
    <row r="3660" spans="3:5" x14ac:dyDescent="0.25">
      <c r="C3660"/>
      <c r="D3660"/>
      <c r="E3660"/>
    </row>
    <row r="3661" spans="3:5" x14ac:dyDescent="0.25">
      <c r="C3661"/>
      <c r="D3661"/>
      <c r="E3661"/>
    </row>
    <row r="3662" spans="3:5" x14ac:dyDescent="0.25">
      <c r="C3662"/>
      <c r="D3662"/>
      <c r="E3662"/>
    </row>
    <row r="3663" spans="3:5" x14ac:dyDescent="0.25">
      <c r="C3663"/>
      <c r="D3663"/>
      <c r="E3663"/>
    </row>
    <row r="3664" spans="3:5" x14ac:dyDescent="0.25">
      <c r="C3664"/>
      <c r="D3664"/>
      <c r="E3664"/>
    </row>
    <row r="3665" spans="3:5" x14ac:dyDescent="0.25">
      <c r="C3665"/>
      <c r="D3665"/>
      <c r="E3665"/>
    </row>
    <row r="3666" spans="3:5" x14ac:dyDescent="0.25">
      <c r="C3666"/>
      <c r="D3666"/>
      <c r="E3666"/>
    </row>
    <row r="3667" spans="3:5" x14ac:dyDescent="0.25">
      <c r="C3667"/>
      <c r="D3667"/>
      <c r="E3667"/>
    </row>
    <row r="3668" spans="3:5" x14ac:dyDescent="0.25">
      <c r="C3668"/>
      <c r="D3668"/>
      <c r="E3668"/>
    </row>
    <row r="3669" spans="3:5" x14ac:dyDescent="0.25">
      <c r="C3669"/>
      <c r="D3669"/>
      <c r="E3669"/>
    </row>
    <row r="3670" spans="3:5" x14ac:dyDescent="0.25">
      <c r="C3670"/>
      <c r="D3670"/>
      <c r="E3670"/>
    </row>
    <row r="3671" spans="3:5" x14ac:dyDescent="0.25">
      <c r="C3671"/>
      <c r="D3671"/>
      <c r="E3671"/>
    </row>
    <row r="3672" spans="3:5" x14ac:dyDescent="0.25">
      <c r="C3672"/>
      <c r="D3672"/>
      <c r="E3672"/>
    </row>
    <row r="3673" spans="3:5" x14ac:dyDescent="0.25">
      <c r="C3673"/>
      <c r="D3673"/>
      <c r="E3673"/>
    </row>
    <row r="3674" spans="3:5" x14ac:dyDescent="0.25">
      <c r="C3674"/>
      <c r="D3674"/>
      <c r="E3674"/>
    </row>
    <row r="3675" spans="3:5" x14ac:dyDescent="0.25">
      <c r="C3675"/>
      <c r="D3675"/>
      <c r="E3675"/>
    </row>
    <row r="3676" spans="3:5" x14ac:dyDescent="0.25">
      <c r="C3676"/>
      <c r="D3676"/>
      <c r="E3676"/>
    </row>
    <row r="3677" spans="3:5" x14ac:dyDescent="0.25">
      <c r="C3677"/>
      <c r="D3677"/>
      <c r="E3677"/>
    </row>
    <row r="3678" spans="3:5" x14ac:dyDescent="0.25">
      <c r="C3678"/>
      <c r="D3678"/>
      <c r="E3678"/>
    </row>
    <row r="3679" spans="3:5" x14ac:dyDescent="0.25">
      <c r="C3679"/>
      <c r="D3679"/>
      <c r="E3679"/>
    </row>
    <row r="3680" spans="3:5" x14ac:dyDescent="0.25">
      <c r="C3680"/>
      <c r="D3680"/>
      <c r="E3680"/>
    </row>
    <row r="3681" spans="3:5" x14ac:dyDescent="0.25">
      <c r="C3681"/>
      <c r="D3681"/>
      <c r="E3681"/>
    </row>
    <row r="3682" spans="3:5" x14ac:dyDescent="0.25">
      <c r="C3682"/>
      <c r="D3682"/>
      <c r="E3682"/>
    </row>
    <row r="3683" spans="3:5" x14ac:dyDescent="0.25">
      <c r="C3683"/>
      <c r="D3683"/>
      <c r="E3683"/>
    </row>
    <row r="3684" spans="3:5" x14ac:dyDescent="0.25">
      <c r="C3684"/>
      <c r="D3684"/>
      <c r="E3684"/>
    </row>
    <row r="3685" spans="3:5" x14ac:dyDescent="0.25">
      <c r="C3685"/>
      <c r="D3685"/>
      <c r="E3685"/>
    </row>
    <row r="3686" spans="3:5" x14ac:dyDescent="0.25">
      <c r="C3686"/>
      <c r="D3686"/>
      <c r="E3686"/>
    </row>
    <row r="3687" spans="3:5" x14ac:dyDescent="0.25">
      <c r="C3687"/>
      <c r="D3687"/>
      <c r="E3687"/>
    </row>
    <row r="3688" spans="3:5" x14ac:dyDescent="0.25">
      <c r="C3688"/>
      <c r="D3688"/>
      <c r="E3688"/>
    </row>
    <row r="3689" spans="3:5" x14ac:dyDescent="0.25">
      <c r="C3689"/>
      <c r="D3689"/>
      <c r="E3689"/>
    </row>
    <row r="3690" spans="3:5" x14ac:dyDescent="0.25">
      <c r="C3690"/>
      <c r="D3690"/>
      <c r="E3690"/>
    </row>
    <row r="3691" spans="3:5" x14ac:dyDescent="0.25">
      <c r="C3691"/>
      <c r="D3691"/>
      <c r="E3691"/>
    </row>
    <row r="3692" spans="3:5" x14ac:dyDescent="0.25">
      <c r="C3692"/>
      <c r="D3692"/>
      <c r="E3692"/>
    </row>
    <row r="3693" spans="3:5" x14ac:dyDescent="0.25">
      <c r="C3693"/>
      <c r="D3693"/>
      <c r="E3693"/>
    </row>
    <row r="3694" spans="3:5" x14ac:dyDescent="0.25">
      <c r="C3694"/>
      <c r="D3694"/>
      <c r="E3694"/>
    </row>
    <row r="3695" spans="3:5" x14ac:dyDescent="0.25">
      <c r="C3695"/>
      <c r="D3695"/>
      <c r="E3695"/>
    </row>
    <row r="3696" spans="3:5" x14ac:dyDescent="0.25">
      <c r="C3696"/>
      <c r="D3696"/>
      <c r="E3696"/>
    </row>
    <row r="3697" spans="3:5" x14ac:dyDescent="0.25">
      <c r="C3697"/>
      <c r="D3697"/>
      <c r="E3697"/>
    </row>
    <row r="3698" spans="3:5" x14ac:dyDescent="0.25">
      <c r="C3698"/>
      <c r="D3698"/>
      <c r="E3698"/>
    </row>
    <row r="3699" spans="3:5" x14ac:dyDescent="0.25">
      <c r="C3699"/>
      <c r="D3699"/>
      <c r="E3699"/>
    </row>
    <row r="3700" spans="3:5" x14ac:dyDescent="0.25">
      <c r="C3700"/>
      <c r="D3700"/>
      <c r="E3700"/>
    </row>
    <row r="3701" spans="3:5" x14ac:dyDescent="0.25">
      <c r="C3701"/>
      <c r="D3701"/>
      <c r="E3701"/>
    </row>
    <row r="3702" spans="3:5" x14ac:dyDescent="0.25">
      <c r="C3702"/>
      <c r="D3702"/>
      <c r="E3702"/>
    </row>
    <row r="3703" spans="3:5" x14ac:dyDescent="0.25">
      <c r="C3703"/>
      <c r="D3703"/>
      <c r="E3703"/>
    </row>
    <row r="3704" spans="3:5" x14ac:dyDescent="0.25">
      <c r="C3704"/>
      <c r="D3704"/>
      <c r="E3704"/>
    </row>
    <row r="3705" spans="3:5" x14ac:dyDescent="0.25">
      <c r="C3705"/>
      <c r="D3705"/>
      <c r="E3705"/>
    </row>
    <row r="3706" spans="3:5" x14ac:dyDescent="0.25">
      <c r="C3706"/>
      <c r="D3706"/>
      <c r="E3706"/>
    </row>
    <row r="3707" spans="3:5" x14ac:dyDescent="0.25">
      <c r="C3707"/>
      <c r="D3707"/>
      <c r="E3707"/>
    </row>
    <row r="3708" spans="3:5" x14ac:dyDescent="0.25">
      <c r="C3708"/>
      <c r="D3708"/>
      <c r="E3708"/>
    </row>
    <row r="3709" spans="3:5" x14ac:dyDescent="0.25">
      <c r="C3709"/>
      <c r="D3709"/>
      <c r="E3709"/>
    </row>
    <row r="3710" spans="3:5" x14ac:dyDescent="0.25">
      <c r="C3710"/>
      <c r="D3710"/>
      <c r="E3710"/>
    </row>
    <row r="3711" spans="3:5" x14ac:dyDescent="0.25">
      <c r="C3711"/>
      <c r="D3711"/>
      <c r="E3711"/>
    </row>
    <row r="3712" spans="3:5" x14ac:dyDescent="0.25">
      <c r="C3712"/>
      <c r="D3712"/>
      <c r="E3712"/>
    </row>
    <row r="3713" spans="3:5" x14ac:dyDescent="0.25">
      <c r="C3713"/>
      <c r="D3713"/>
      <c r="E3713"/>
    </row>
    <row r="3714" spans="3:5" x14ac:dyDescent="0.25">
      <c r="C3714"/>
      <c r="D3714"/>
      <c r="E3714"/>
    </row>
    <row r="3715" spans="3:5" x14ac:dyDescent="0.25">
      <c r="C3715"/>
      <c r="D3715"/>
      <c r="E3715"/>
    </row>
    <row r="3716" spans="3:5" x14ac:dyDescent="0.25">
      <c r="C3716"/>
      <c r="D3716"/>
      <c r="E3716"/>
    </row>
    <row r="3717" spans="3:5" x14ac:dyDescent="0.25">
      <c r="C3717"/>
      <c r="D3717"/>
      <c r="E3717"/>
    </row>
    <row r="3718" spans="3:5" x14ac:dyDescent="0.25">
      <c r="C3718"/>
      <c r="D3718"/>
      <c r="E3718"/>
    </row>
    <row r="3719" spans="3:5" x14ac:dyDescent="0.25">
      <c r="C3719"/>
      <c r="D3719"/>
      <c r="E3719"/>
    </row>
    <row r="3720" spans="3:5" x14ac:dyDescent="0.25">
      <c r="C3720"/>
      <c r="D3720"/>
      <c r="E3720"/>
    </row>
    <row r="3721" spans="3:5" x14ac:dyDescent="0.25">
      <c r="C3721"/>
      <c r="D3721"/>
      <c r="E3721"/>
    </row>
    <row r="3722" spans="3:5" x14ac:dyDescent="0.25">
      <c r="C3722"/>
      <c r="D3722"/>
      <c r="E3722"/>
    </row>
    <row r="3723" spans="3:5" x14ac:dyDescent="0.25">
      <c r="C3723"/>
      <c r="D3723"/>
      <c r="E3723"/>
    </row>
    <row r="3724" spans="3:5" x14ac:dyDescent="0.25">
      <c r="C3724"/>
      <c r="D3724"/>
      <c r="E3724"/>
    </row>
    <row r="3725" spans="3:5" x14ac:dyDescent="0.25">
      <c r="C3725"/>
      <c r="D3725"/>
      <c r="E3725"/>
    </row>
    <row r="3726" spans="3:5" x14ac:dyDescent="0.25">
      <c r="C3726"/>
      <c r="D3726"/>
      <c r="E3726"/>
    </row>
    <row r="3727" spans="3:5" x14ac:dyDescent="0.25">
      <c r="C3727"/>
      <c r="D3727"/>
      <c r="E3727"/>
    </row>
    <row r="3728" spans="3:5" x14ac:dyDescent="0.25">
      <c r="C3728"/>
      <c r="D3728"/>
      <c r="E3728"/>
    </row>
    <row r="3729" spans="3:5" x14ac:dyDescent="0.25">
      <c r="C3729"/>
      <c r="D3729"/>
      <c r="E3729"/>
    </row>
    <row r="3730" spans="3:5" x14ac:dyDescent="0.25">
      <c r="C3730"/>
      <c r="D3730"/>
      <c r="E3730"/>
    </row>
    <row r="3731" spans="3:5" x14ac:dyDescent="0.25">
      <c r="C3731"/>
      <c r="D3731"/>
      <c r="E3731"/>
    </row>
    <row r="3732" spans="3:5" x14ac:dyDescent="0.25">
      <c r="C3732"/>
      <c r="D3732"/>
      <c r="E3732"/>
    </row>
    <row r="3733" spans="3:5" x14ac:dyDescent="0.25">
      <c r="C3733"/>
      <c r="D3733"/>
      <c r="E3733"/>
    </row>
    <row r="3734" spans="3:5" x14ac:dyDescent="0.25">
      <c r="C3734"/>
      <c r="D3734"/>
      <c r="E3734"/>
    </row>
    <row r="3735" spans="3:5" x14ac:dyDescent="0.25">
      <c r="C3735"/>
      <c r="D3735"/>
      <c r="E3735"/>
    </row>
    <row r="3736" spans="3:5" x14ac:dyDescent="0.25">
      <c r="C3736"/>
      <c r="D3736"/>
      <c r="E3736"/>
    </row>
    <row r="3737" spans="3:5" x14ac:dyDescent="0.25">
      <c r="C3737"/>
      <c r="D3737"/>
      <c r="E3737"/>
    </row>
    <row r="3738" spans="3:5" x14ac:dyDescent="0.25">
      <c r="C3738"/>
      <c r="D3738"/>
      <c r="E3738"/>
    </row>
    <row r="3739" spans="3:5" x14ac:dyDescent="0.25">
      <c r="C3739"/>
      <c r="D3739"/>
      <c r="E3739"/>
    </row>
    <row r="3740" spans="3:5" x14ac:dyDescent="0.25">
      <c r="C3740"/>
      <c r="D3740"/>
      <c r="E3740"/>
    </row>
    <row r="3741" spans="3:5" x14ac:dyDescent="0.25">
      <c r="C3741"/>
      <c r="D3741"/>
      <c r="E3741"/>
    </row>
    <row r="3742" spans="3:5" x14ac:dyDescent="0.25">
      <c r="C3742"/>
      <c r="D3742"/>
      <c r="E3742"/>
    </row>
    <row r="3743" spans="3:5" x14ac:dyDescent="0.25">
      <c r="C3743"/>
      <c r="D3743"/>
      <c r="E3743"/>
    </row>
    <row r="3744" spans="3:5" x14ac:dyDescent="0.25">
      <c r="C3744"/>
      <c r="D3744"/>
      <c r="E3744"/>
    </row>
    <row r="3745" spans="3:5" x14ac:dyDescent="0.25">
      <c r="C3745"/>
      <c r="D3745"/>
      <c r="E3745"/>
    </row>
    <row r="3746" spans="3:5" x14ac:dyDescent="0.25">
      <c r="C3746"/>
      <c r="D3746"/>
      <c r="E3746"/>
    </row>
    <row r="3747" spans="3:5" x14ac:dyDescent="0.25">
      <c r="C3747"/>
      <c r="D3747"/>
      <c r="E3747"/>
    </row>
    <row r="3748" spans="3:5" x14ac:dyDescent="0.25">
      <c r="C3748"/>
      <c r="D3748"/>
      <c r="E3748"/>
    </row>
    <row r="3749" spans="3:5" x14ac:dyDescent="0.25">
      <c r="C3749"/>
      <c r="D3749"/>
      <c r="E3749"/>
    </row>
    <row r="3750" spans="3:5" x14ac:dyDescent="0.25">
      <c r="C3750"/>
      <c r="D3750"/>
      <c r="E3750"/>
    </row>
    <row r="3751" spans="3:5" x14ac:dyDescent="0.25">
      <c r="C3751"/>
      <c r="D3751"/>
      <c r="E3751"/>
    </row>
    <row r="3752" spans="3:5" x14ac:dyDescent="0.25">
      <c r="C3752"/>
      <c r="D3752"/>
      <c r="E3752"/>
    </row>
    <row r="3753" spans="3:5" x14ac:dyDescent="0.25">
      <c r="C3753"/>
      <c r="D3753"/>
      <c r="E3753"/>
    </row>
    <row r="3754" spans="3:5" x14ac:dyDescent="0.25">
      <c r="C3754"/>
      <c r="D3754"/>
      <c r="E3754"/>
    </row>
    <row r="3755" spans="3:5" x14ac:dyDescent="0.25">
      <c r="C3755"/>
      <c r="D3755"/>
      <c r="E3755"/>
    </row>
    <row r="3756" spans="3:5" x14ac:dyDescent="0.25">
      <c r="C3756"/>
      <c r="D3756"/>
      <c r="E3756"/>
    </row>
    <row r="3757" spans="3:5" x14ac:dyDescent="0.25">
      <c r="C3757"/>
      <c r="D3757"/>
      <c r="E3757"/>
    </row>
    <row r="3758" spans="3:5" x14ac:dyDescent="0.25">
      <c r="C3758"/>
      <c r="D3758"/>
      <c r="E3758"/>
    </row>
    <row r="3759" spans="3:5" x14ac:dyDescent="0.25">
      <c r="C3759"/>
      <c r="D3759"/>
      <c r="E3759"/>
    </row>
    <row r="3760" spans="3:5" x14ac:dyDescent="0.25">
      <c r="C3760"/>
      <c r="D3760"/>
      <c r="E3760"/>
    </row>
    <row r="3761" spans="3:5" x14ac:dyDescent="0.25">
      <c r="C3761"/>
      <c r="D3761"/>
      <c r="E3761"/>
    </row>
    <row r="3762" spans="3:5" x14ac:dyDescent="0.25">
      <c r="C3762"/>
      <c r="D3762"/>
      <c r="E3762"/>
    </row>
    <row r="3763" spans="3:5" x14ac:dyDescent="0.25">
      <c r="C3763"/>
      <c r="D3763"/>
      <c r="E3763"/>
    </row>
    <row r="3764" spans="3:5" x14ac:dyDescent="0.25">
      <c r="C3764"/>
      <c r="D3764"/>
      <c r="E3764"/>
    </row>
    <row r="3765" spans="3:5" x14ac:dyDescent="0.25">
      <c r="C3765"/>
      <c r="D3765"/>
      <c r="E3765"/>
    </row>
    <row r="3766" spans="3:5" x14ac:dyDescent="0.25">
      <c r="C3766"/>
      <c r="D3766"/>
      <c r="E3766"/>
    </row>
    <row r="3767" spans="3:5" x14ac:dyDescent="0.25">
      <c r="C3767"/>
      <c r="D3767"/>
      <c r="E3767"/>
    </row>
    <row r="3768" spans="3:5" x14ac:dyDescent="0.25">
      <c r="C3768"/>
      <c r="D3768"/>
      <c r="E3768"/>
    </row>
    <row r="3769" spans="3:5" x14ac:dyDescent="0.25">
      <c r="C3769"/>
      <c r="D3769"/>
      <c r="E3769"/>
    </row>
    <row r="3770" spans="3:5" x14ac:dyDescent="0.25">
      <c r="C3770"/>
      <c r="D3770"/>
      <c r="E3770"/>
    </row>
    <row r="3771" spans="3:5" x14ac:dyDescent="0.25">
      <c r="C3771"/>
      <c r="D3771"/>
      <c r="E3771"/>
    </row>
    <row r="3772" spans="3:5" x14ac:dyDescent="0.25">
      <c r="C3772"/>
      <c r="D3772"/>
      <c r="E3772"/>
    </row>
    <row r="3773" spans="3:5" x14ac:dyDescent="0.25">
      <c r="C3773"/>
      <c r="D3773"/>
      <c r="E3773"/>
    </row>
    <row r="3774" spans="3:5" x14ac:dyDescent="0.25">
      <c r="C3774"/>
      <c r="D3774"/>
      <c r="E3774"/>
    </row>
    <row r="3775" spans="3:5" x14ac:dyDescent="0.25">
      <c r="C3775"/>
      <c r="D3775"/>
      <c r="E3775"/>
    </row>
    <row r="3776" spans="3:5" x14ac:dyDescent="0.25">
      <c r="C3776"/>
      <c r="D3776"/>
      <c r="E3776"/>
    </row>
    <row r="3777" spans="3:5" x14ac:dyDescent="0.25">
      <c r="C3777"/>
      <c r="D3777"/>
      <c r="E3777"/>
    </row>
    <row r="3778" spans="3:5" x14ac:dyDescent="0.25">
      <c r="C3778"/>
      <c r="D3778"/>
      <c r="E3778"/>
    </row>
    <row r="3779" spans="3:5" x14ac:dyDescent="0.25">
      <c r="C3779"/>
      <c r="D3779"/>
      <c r="E3779"/>
    </row>
    <row r="3780" spans="3:5" x14ac:dyDescent="0.25">
      <c r="C3780"/>
      <c r="D3780"/>
      <c r="E3780"/>
    </row>
    <row r="3781" spans="3:5" x14ac:dyDescent="0.25">
      <c r="C3781"/>
      <c r="D3781"/>
      <c r="E3781"/>
    </row>
    <row r="3782" spans="3:5" x14ac:dyDescent="0.25">
      <c r="C3782"/>
      <c r="D3782"/>
      <c r="E3782"/>
    </row>
    <row r="3783" spans="3:5" x14ac:dyDescent="0.25">
      <c r="C3783"/>
      <c r="D3783"/>
      <c r="E3783"/>
    </row>
    <row r="3784" spans="3:5" x14ac:dyDescent="0.25">
      <c r="C3784"/>
      <c r="D3784"/>
      <c r="E3784"/>
    </row>
    <row r="3785" spans="3:5" x14ac:dyDescent="0.25">
      <c r="C3785"/>
      <c r="D3785"/>
      <c r="E3785"/>
    </row>
    <row r="3786" spans="3:5" x14ac:dyDescent="0.25">
      <c r="C3786"/>
      <c r="D3786"/>
      <c r="E3786"/>
    </row>
    <row r="3787" spans="3:5" x14ac:dyDescent="0.25">
      <c r="C3787"/>
      <c r="D3787"/>
      <c r="E3787"/>
    </row>
    <row r="3788" spans="3:5" x14ac:dyDescent="0.25">
      <c r="C3788"/>
      <c r="D3788"/>
      <c r="E3788"/>
    </row>
    <row r="3789" spans="3:5" x14ac:dyDescent="0.25">
      <c r="C3789"/>
      <c r="D3789"/>
      <c r="E3789"/>
    </row>
    <row r="3790" spans="3:5" x14ac:dyDescent="0.25">
      <c r="C3790"/>
      <c r="D3790"/>
      <c r="E3790"/>
    </row>
    <row r="3791" spans="3:5" x14ac:dyDescent="0.25">
      <c r="C3791"/>
      <c r="D3791"/>
      <c r="E3791"/>
    </row>
    <row r="3792" spans="3:5" x14ac:dyDescent="0.25">
      <c r="C3792"/>
      <c r="D3792"/>
      <c r="E3792"/>
    </row>
    <row r="3793" spans="3:5" x14ac:dyDescent="0.25">
      <c r="C3793"/>
      <c r="D3793"/>
      <c r="E3793"/>
    </row>
    <row r="3794" spans="3:5" x14ac:dyDescent="0.25">
      <c r="C3794"/>
      <c r="D3794"/>
      <c r="E3794"/>
    </row>
    <row r="3795" spans="3:5" x14ac:dyDescent="0.25">
      <c r="C3795"/>
      <c r="D3795"/>
      <c r="E3795"/>
    </row>
    <row r="3796" spans="3:5" x14ac:dyDescent="0.25">
      <c r="C3796"/>
      <c r="D3796"/>
      <c r="E3796"/>
    </row>
    <row r="3797" spans="3:5" x14ac:dyDescent="0.25">
      <c r="C3797"/>
      <c r="D3797"/>
      <c r="E3797"/>
    </row>
    <row r="3798" spans="3:5" x14ac:dyDescent="0.25">
      <c r="C3798"/>
      <c r="D3798"/>
      <c r="E3798"/>
    </row>
    <row r="3799" spans="3:5" x14ac:dyDescent="0.25">
      <c r="C3799"/>
      <c r="D3799"/>
      <c r="E3799"/>
    </row>
    <row r="3800" spans="3:5" x14ac:dyDescent="0.25">
      <c r="C3800"/>
      <c r="D3800"/>
      <c r="E3800"/>
    </row>
    <row r="3801" spans="3:5" x14ac:dyDescent="0.25">
      <c r="C3801"/>
      <c r="D3801"/>
      <c r="E3801"/>
    </row>
    <row r="3802" spans="3:5" x14ac:dyDescent="0.25">
      <c r="C3802"/>
      <c r="D3802"/>
      <c r="E3802"/>
    </row>
    <row r="3803" spans="3:5" x14ac:dyDescent="0.25">
      <c r="C3803"/>
      <c r="D3803"/>
      <c r="E3803"/>
    </row>
    <row r="3804" spans="3:5" x14ac:dyDescent="0.25">
      <c r="C3804"/>
      <c r="D3804"/>
      <c r="E3804"/>
    </row>
    <row r="3805" spans="3:5" x14ac:dyDescent="0.25">
      <c r="C3805"/>
      <c r="D3805"/>
      <c r="E3805"/>
    </row>
    <row r="3806" spans="3:5" x14ac:dyDescent="0.25">
      <c r="C3806"/>
      <c r="D3806"/>
      <c r="E3806"/>
    </row>
    <row r="3807" spans="3:5" x14ac:dyDescent="0.25">
      <c r="C3807"/>
      <c r="D3807"/>
      <c r="E3807"/>
    </row>
    <row r="3808" spans="3:5" x14ac:dyDescent="0.25">
      <c r="C3808"/>
      <c r="D3808"/>
      <c r="E3808"/>
    </row>
    <row r="3809" spans="3:5" x14ac:dyDescent="0.25">
      <c r="C3809"/>
      <c r="D3809"/>
      <c r="E3809"/>
    </row>
    <row r="3810" spans="3:5" x14ac:dyDescent="0.25">
      <c r="C3810"/>
      <c r="D3810"/>
      <c r="E3810"/>
    </row>
    <row r="3811" spans="3:5" x14ac:dyDescent="0.25">
      <c r="C3811"/>
      <c r="D3811"/>
      <c r="E3811"/>
    </row>
    <row r="3812" spans="3:5" x14ac:dyDescent="0.25">
      <c r="C3812"/>
      <c r="D3812"/>
      <c r="E3812"/>
    </row>
    <row r="3813" spans="3:5" x14ac:dyDescent="0.25">
      <c r="C3813"/>
      <c r="D3813"/>
      <c r="E3813"/>
    </row>
    <row r="3814" spans="3:5" x14ac:dyDescent="0.25">
      <c r="C3814"/>
      <c r="D3814"/>
      <c r="E3814"/>
    </row>
    <row r="3815" spans="3:5" x14ac:dyDescent="0.25">
      <c r="C3815"/>
      <c r="D3815"/>
      <c r="E3815"/>
    </row>
    <row r="3816" spans="3:5" x14ac:dyDescent="0.25">
      <c r="C3816"/>
      <c r="D3816"/>
      <c r="E3816"/>
    </row>
    <row r="3817" spans="3:5" x14ac:dyDescent="0.25">
      <c r="C3817"/>
      <c r="D3817"/>
      <c r="E3817"/>
    </row>
    <row r="3818" spans="3:5" x14ac:dyDescent="0.25">
      <c r="C3818"/>
      <c r="D3818"/>
      <c r="E3818"/>
    </row>
    <row r="3819" spans="3:5" x14ac:dyDescent="0.25">
      <c r="C3819"/>
      <c r="D3819"/>
      <c r="E3819"/>
    </row>
    <row r="3820" spans="3:5" x14ac:dyDescent="0.25">
      <c r="C3820"/>
      <c r="D3820"/>
      <c r="E3820"/>
    </row>
    <row r="3821" spans="3:5" x14ac:dyDescent="0.25">
      <c r="C3821"/>
      <c r="D3821"/>
      <c r="E3821"/>
    </row>
    <row r="3822" spans="3:5" x14ac:dyDescent="0.25">
      <c r="C3822"/>
      <c r="D3822"/>
      <c r="E3822"/>
    </row>
    <row r="3823" spans="3:5" x14ac:dyDescent="0.25">
      <c r="C3823"/>
      <c r="D3823"/>
      <c r="E3823"/>
    </row>
    <row r="3824" spans="3:5" x14ac:dyDescent="0.25">
      <c r="C3824"/>
      <c r="D3824"/>
      <c r="E3824"/>
    </row>
    <row r="3825" spans="3:5" x14ac:dyDescent="0.25">
      <c r="C3825"/>
      <c r="D3825"/>
      <c r="E3825"/>
    </row>
    <row r="3826" spans="3:5" x14ac:dyDescent="0.25">
      <c r="C3826"/>
      <c r="D3826"/>
      <c r="E3826"/>
    </row>
    <row r="3827" spans="3:5" x14ac:dyDescent="0.25">
      <c r="C3827"/>
      <c r="D3827"/>
      <c r="E3827"/>
    </row>
    <row r="3828" spans="3:5" x14ac:dyDescent="0.25">
      <c r="C3828"/>
      <c r="D3828"/>
      <c r="E3828"/>
    </row>
    <row r="3829" spans="3:5" x14ac:dyDescent="0.25">
      <c r="C3829"/>
      <c r="D3829"/>
      <c r="E3829"/>
    </row>
    <row r="3830" spans="3:5" x14ac:dyDescent="0.25">
      <c r="C3830"/>
      <c r="D3830"/>
      <c r="E3830"/>
    </row>
    <row r="3831" spans="3:5" x14ac:dyDescent="0.25">
      <c r="C3831"/>
      <c r="D3831"/>
      <c r="E3831"/>
    </row>
    <row r="3832" spans="3:5" x14ac:dyDescent="0.25">
      <c r="C3832"/>
      <c r="D3832"/>
      <c r="E3832"/>
    </row>
    <row r="3833" spans="3:5" x14ac:dyDescent="0.25">
      <c r="C3833"/>
      <c r="D3833"/>
      <c r="E3833"/>
    </row>
    <row r="3834" spans="3:5" x14ac:dyDescent="0.25">
      <c r="C3834"/>
      <c r="D3834"/>
      <c r="E3834"/>
    </row>
    <row r="3835" spans="3:5" x14ac:dyDescent="0.25">
      <c r="C3835"/>
      <c r="D3835"/>
      <c r="E3835"/>
    </row>
    <row r="3836" spans="3:5" x14ac:dyDescent="0.25">
      <c r="C3836"/>
      <c r="D3836"/>
      <c r="E3836"/>
    </row>
    <row r="3837" spans="3:5" x14ac:dyDescent="0.25">
      <c r="C3837"/>
      <c r="D3837"/>
      <c r="E3837"/>
    </row>
    <row r="3838" spans="3:5" x14ac:dyDescent="0.25">
      <c r="C3838"/>
      <c r="D3838"/>
      <c r="E3838"/>
    </row>
    <row r="3839" spans="3:5" x14ac:dyDescent="0.25">
      <c r="C3839"/>
      <c r="D3839"/>
      <c r="E3839"/>
    </row>
    <row r="3840" spans="3:5" x14ac:dyDescent="0.25">
      <c r="C3840"/>
      <c r="D3840"/>
      <c r="E3840"/>
    </row>
    <row r="3841" spans="3:5" x14ac:dyDescent="0.25">
      <c r="C3841"/>
      <c r="D3841"/>
      <c r="E3841"/>
    </row>
    <row r="3842" spans="3:5" x14ac:dyDescent="0.25">
      <c r="C3842"/>
      <c r="D3842"/>
      <c r="E3842"/>
    </row>
    <row r="3843" spans="3:5" x14ac:dyDescent="0.25">
      <c r="C3843"/>
      <c r="D3843"/>
      <c r="E3843"/>
    </row>
    <row r="3844" spans="3:5" x14ac:dyDescent="0.25">
      <c r="C3844"/>
      <c r="D3844"/>
      <c r="E3844"/>
    </row>
    <row r="3845" spans="3:5" x14ac:dyDescent="0.25">
      <c r="C3845"/>
      <c r="D3845"/>
      <c r="E3845"/>
    </row>
    <row r="3846" spans="3:5" x14ac:dyDescent="0.25">
      <c r="C3846"/>
      <c r="D3846"/>
      <c r="E3846"/>
    </row>
    <row r="3847" spans="3:5" x14ac:dyDescent="0.25">
      <c r="C3847"/>
      <c r="D3847"/>
      <c r="E3847"/>
    </row>
    <row r="3848" spans="3:5" x14ac:dyDescent="0.25">
      <c r="C3848"/>
      <c r="D3848"/>
      <c r="E3848"/>
    </row>
    <row r="3849" spans="3:5" x14ac:dyDescent="0.25">
      <c r="C3849"/>
      <c r="D3849"/>
      <c r="E3849"/>
    </row>
    <row r="3850" spans="3:5" x14ac:dyDescent="0.25">
      <c r="C3850"/>
      <c r="D3850"/>
      <c r="E3850"/>
    </row>
    <row r="3851" spans="3:5" x14ac:dyDescent="0.25">
      <c r="C3851"/>
      <c r="D3851"/>
      <c r="E3851"/>
    </row>
    <row r="3852" spans="3:5" x14ac:dyDescent="0.25">
      <c r="C3852"/>
      <c r="D3852"/>
      <c r="E3852"/>
    </row>
    <row r="3853" spans="3:5" x14ac:dyDescent="0.25">
      <c r="C3853"/>
      <c r="D3853"/>
      <c r="E3853"/>
    </row>
    <row r="3854" spans="3:5" x14ac:dyDescent="0.25">
      <c r="C3854"/>
      <c r="D3854"/>
      <c r="E3854"/>
    </row>
    <row r="3855" spans="3:5" x14ac:dyDescent="0.25">
      <c r="C3855"/>
      <c r="D3855"/>
      <c r="E3855"/>
    </row>
    <row r="3856" spans="3:5" x14ac:dyDescent="0.25">
      <c r="C3856"/>
      <c r="D3856"/>
      <c r="E3856"/>
    </row>
    <row r="3857" spans="3:5" x14ac:dyDescent="0.25">
      <c r="C3857"/>
      <c r="D3857"/>
      <c r="E3857"/>
    </row>
    <row r="3858" spans="3:5" x14ac:dyDescent="0.25">
      <c r="C3858"/>
      <c r="D3858"/>
      <c r="E3858"/>
    </row>
    <row r="3859" spans="3:5" x14ac:dyDescent="0.25">
      <c r="C3859"/>
      <c r="D3859"/>
      <c r="E3859"/>
    </row>
    <row r="3860" spans="3:5" x14ac:dyDescent="0.25">
      <c r="C3860"/>
      <c r="D3860"/>
      <c r="E3860"/>
    </row>
    <row r="3861" spans="3:5" x14ac:dyDescent="0.25">
      <c r="C3861"/>
      <c r="D3861"/>
      <c r="E3861"/>
    </row>
    <row r="3862" spans="3:5" x14ac:dyDescent="0.25">
      <c r="C3862"/>
      <c r="D3862"/>
      <c r="E3862"/>
    </row>
    <row r="3863" spans="3:5" x14ac:dyDescent="0.25">
      <c r="C3863"/>
      <c r="D3863"/>
      <c r="E3863"/>
    </row>
    <row r="3864" spans="3:5" x14ac:dyDescent="0.25">
      <c r="C3864"/>
      <c r="D3864"/>
      <c r="E3864"/>
    </row>
    <row r="3865" spans="3:5" x14ac:dyDescent="0.25">
      <c r="C3865"/>
      <c r="D3865"/>
      <c r="E3865"/>
    </row>
    <row r="3866" spans="3:5" x14ac:dyDescent="0.25">
      <c r="C3866"/>
      <c r="D3866"/>
      <c r="E3866"/>
    </row>
    <row r="3867" spans="3:5" x14ac:dyDescent="0.25">
      <c r="C3867"/>
      <c r="D3867"/>
      <c r="E3867"/>
    </row>
    <row r="3868" spans="3:5" x14ac:dyDescent="0.25">
      <c r="C3868"/>
      <c r="D3868"/>
      <c r="E3868"/>
    </row>
    <row r="3869" spans="3:5" x14ac:dyDescent="0.25">
      <c r="C3869"/>
      <c r="D3869"/>
      <c r="E3869"/>
    </row>
    <row r="3870" spans="3:5" x14ac:dyDescent="0.25">
      <c r="C3870"/>
      <c r="D3870"/>
      <c r="E3870"/>
    </row>
    <row r="3871" spans="3:5" x14ac:dyDescent="0.25">
      <c r="C3871"/>
      <c r="D3871"/>
      <c r="E3871"/>
    </row>
    <row r="3872" spans="3:5" x14ac:dyDescent="0.25">
      <c r="C3872"/>
      <c r="D3872"/>
      <c r="E3872"/>
    </row>
    <row r="3873" spans="3:5" x14ac:dyDescent="0.25">
      <c r="C3873"/>
      <c r="D3873"/>
      <c r="E3873"/>
    </row>
    <row r="3874" spans="3:5" x14ac:dyDescent="0.25">
      <c r="C3874"/>
      <c r="D3874"/>
      <c r="E3874"/>
    </row>
    <row r="3875" spans="3:5" x14ac:dyDescent="0.25">
      <c r="C3875"/>
      <c r="D3875"/>
      <c r="E3875"/>
    </row>
    <row r="3876" spans="3:5" x14ac:dyDescent="0.25">
      <c r="C3876"/>
      <c r="D3876"/>
      <c r="E3876"/>
    </row>
    <row r="3877" spans="3:5" x14ac:dyDescent="0.25">
      <c r="C3877"/>
      <c r="D3877"/>
      <c r="E3877"/>
    </row>
    <row r="3878" spans="3:5" x14ac:dyDescent="0.25">
      <c r="C3878"/>
      <c r="D3878"/>
      <c r="E3878"/>
    </row>
    <row r="3879" spans="3:5" x14ac:dyDescent="0.25">
      <c r="C3879"/>
      <c r="D3879"/>
      <c r="E3879"/>
    </row>
    <row r="3880" spans="3:5" x14ac:dyDescent="0.25">
      <c r="C3880"/>
      <c r="D3880"/>
      <c r="E3880"/>
    </row>
    <row r="3881" spans="3:5" x14ac:dyDescent="0.25">
      <c r="C3881"/>
      <c r="D3881"/>
      <c r="E3881"/>
    </row>
    <row r="3882" spans="3:5" x14ac:dyDescent="0.25">
      <c r="C3882"/>
      <c r="D3882"/>
      <c r="E3882"/>
    </row>
    <row r="3883" spans="3:5" x14ac:dyDescent="0.25">
      <c r="C3883"/>
      <c r="D3883"/>
      <c r="E3883"/>
    </row>
    <row r="3884" spans="3:5" x14ac:dyDescent="0.25">
      <c r="C3884"/>
      <c r="D3884"/>
      <c r="E3884"/>
    </row>
    <row r="3885" spans="3:5" x14ac:dyDescent="0.25">
      <c r="C3885"/>
      <c r="D3885"/>
      <c r="E3885"/>
    </row>
    <row r="3886" spans="3:5" x14ac:dyDescent="0.25">
      <c r="C3886"/>
      <c r="D3886"/>
      <c r="E3886"/>
    </row>
    <row r="3887" spans="3:5" x14ac:dyDescent="0.25">
      <c r="C3887"/>
      <c r="D3887"/>
      <c r="E3887"/>
    </row>
    <row r="3888" spans="3:5" x14ac:dyDescent="0.25">
      <c r="C3888"/>
      <c r="D3888"/>
      <c r="E3888"/>
    </row>
    <row r="3889" spans="3:5" x14ac:dyDescent="0.25">
      <c r="C3889"/>
      <c r="D3889"/>
      <c r="E3889"/>
    </row>
    <row r="3890" spans="3:5" x14ac:dyDescent="0.25">
      <c r="C3890"/>
      <c r="D3890"/>
      <c r="E3890"/>
    </row>
    <row r="3891" spans="3:5" x14ac:dyDescent="0.25">
      <c r="C3891"/>
      <c r="D3891"/>
      <c r="E3891"/>
    </row>
    <row r="3892" spans="3:5" x14ac:dyDescent="0.25">
      <c r="C3892"/>
      <c r="D3892"/>
      <c r="E3892"/>
    </row>
    <row r="3893" spans="3:5" x14ac:dyDescent="0.25">
      <c r="C3893"/>
      <c r="D3893"/>
      <c r="E3893"/>
    </row>
    <row r="3894" spans="3:5" x14ac:dyDescent="0.25">
      <c r="C3894"/>
      <c r="D3894"/>
      <c r="E3894"/>
    </row>
    <row r="3895" spans="3:5" x14ac:dyDescent="0.25">
      <c r="C3895"/>
      <c r="D3895"/>
      <c r="E3895"/>
    </row>
    <row r="3896" spans="3:5" x14ac:dyDescent="0.25">
      <c r="C3896"/>
      <c r="D3896"/>
      <c r="E3896"/>
    </row>
    <row r="3897" spans="3:5" x14ac:dyDescent="0.25">
      <c r="C3897"/>
      <c r="D3897"/>
      <c r="E3897"/>
    </row>
    <row r="3898" spans="3:5" x14ac:dyDescent="0.25">
      <c r="C3898"/>
      <c r="D3898"/>
      <c r="E3898"/>
    </row>
    <row r="3899" spans="3:5" x14ac:dyDescent="0.25">
      <c r="C3899"/>
      <c r="D3899"/>
      <c r="E3899"/>
    </row>
    <row r="3900" spans="3:5" x14ac:dyDescent="0.25">
      <c r="C3900"/>
      <c r="D3900"/>
      <c r="E3900"/>
    </row>
    <row r="3901" spans="3:5" x14ac:dyDescent="0.25">
      <c r="C3901"/>
      <c r="D3901"/>
      <c r="E3901"/>
    </row>
    <row r="3902" spans="3:5" x14ac:dyDescent="0.25">
      <c r="C3902"/>
      <c r="D3902"/>
      <c r="E3902"/>
    </row>
    <row r="3903" spans="3:5" x14ac:dyDescent="0.25">
      <c r="C3903"/>
      <c r="D3903"/>
      <c r="E3903"/>
    </row>
    <row r="3904" spans="3:5" x14ac:dyDescent="0.25">
      <c r="C3904"/>
      <c r="D3904"/>
      <c r="E3904"/>
    </row>
    <row r="3905" spans="3:5" x14ac:dyDescent="0.25">
      <c r="C3905"/>
      <c r="D3905"/>
      <c r="E3905"/>
    </row>
    <row r="3906" spans="3:5" x14ac:dyDescent="0.25">
      <c r="C3906"/>
      <c r="D3906"/>
      <c r="E3906"/>
    </row>
    <row r="3907" spans="3:5" x14ac:dyDescent="0.25">
      <c r="C3907"/>
      <c r="D3907"/>
      <c r="E3907"/>
    </row>
    <row r="3908" spans="3:5" x14ac:dyDescent="0.25">
      <c r="C3908"/>
      <c r="D3908"/>
      <c r="E3908"/>
    </row>
    <row r="3909" spans="3:5" x14ac:dyDescent="0.25">
      <c r="C3909"/>
      <c r="D3909"/>
      <c r="E3909"/>
    </row>
    <row r="3910" spans="3:5" x14ac:dyDescent="0.25">
      <c r="C3910"/>
      <c r="D3910"/>
      <c r="E3910"/>
    </row>
    <row r="3911" spans="3:5" x14ac:dyDescent="0.25">
      <c r="C3911"/>
      <c r="D3911"/>
      <c r="E3911"/>
    </row>
    <row r="3912" spans="3:5" x14ac:dyDescent="0.25">
      <c r="C3912"/>
      <c r="D3912"/>
      <c r="E3912"/>
    </row>
    <row r="3913" spans="3:5" x14ac:dyDescent="0.25">
      <c r="C3913"/>
      <c r="D3913"/>
      <c r="E3913"/>
    </row>
    <row r="3914" spans="3:5" x14ac:dyDescent="0.25">
      <c r="C3914"/>
      <c r="D3914"/>
      <c r="E3914"/>
    </row>
    <row r="3915" spans="3:5" x14ac:dyDescent="0.25">
      <c r="C3915"/>
      <c r="D3915"/>
      <c r="E3915"/>
    </row>
    <row r="3916" spans="3:5" x14ac:dyDescent="0.25">
      <c r="C3916"/>
      <c r="D3916"/>
      <c r="E3916"/>
    </row>
    <row r="3917" spans="3:5" x14ac:dyDescent="0.25">
      <c r="C3917"/>
      <c r="D3917"/>
      <c r="E3917"/>
    </row>
    <row r="3918" spans="3:5" x14ac:dyDescent="0.25">
      <c r="C3918"/>
      <c r="D3918"/>
      <c r="E3918"/>
    </row>
    <row r="3919" spans="3:5" x14ac:dyDescent="0.25">
      <c r="C3919"/>
      <c r="D3919"/>
      <c r="E3919"/>
    </row>
    <row r="3920" spans="3:5" x14ac:dyDescent="0.25">
      <c r="C3920"/>
      <c r="D3920"/>
      <c r="E3920"/>
    </row>
    <row r="3921" spans="3:5" x14ac:dyDescent="0.25">
      <c r="C3921"/>
      <c r="D3921"/>
      <c r="E3921"/>
    </row>
    <row r="3922" spans="3:5" x14ac:dyDescent="0.25">
      <c r="C3922"/>
      <c r="D3922"/>
      <c r="E3922"/>
    </row>
    <row r="3923" spans="3:5" x14ac:dyDescent="0.25">
      <c r="C3923"/>
      <c r="D3923"/>
      <c r="E3923"/>
    </row>
    <row r="3924" spans="3:5" x14ac:dyDescent="0.25">
      <c r="C3924"/>
      <c r="D3924"/>
      <c r="E3924"/>
    </row>
    <row r="3925" spans="3:5" x14ac:dyDescent="0.25">
      <c r="C3925"/>
      <c r="D3925"/>
      <c r="E3925"/>
    </row>
    <row r="3926" spans="3:5" x14ac:dyDescent="0.25">
      <c r="C3926"/>
      <c r="D3926"/>
      <c r="E3926"/>
    </row>
    <row r="3927" spans="3:5" x14ac:dyDescent="0.25">
      <c r="C3927"/>
      <c r="D3927"/>
      <c r="E3927"/>
    </row>
    <row r="3928" spans="3:5" x14ac:dyDescent="0.25">
      <c r="C3928"/>
      <c r="D3928"/>
      <c r="E3928"/>
    </row>
    <row r="3929" spans="3:5" x14ac:dyDescent="0.25">
      <c r="C3929"/>
      <c r="D3929"/>
      <c r="E3929"/>
    </row>
    <row r="3930" spans="3:5" x14ac:dyDescent="0.25">
      <c r="C3930"/>
      <c r="D3930"/>
      <c r="E3930"/>
    </row>
    <row r="3931" spans="3:5" x14ac:dyDescent="0.25">
      <c r="C3931"/>
      <c r="D3931"/>
      <c r="E3931"/>
    </row>
    <row r="3932" spans="3:5" x14ac:dyDescent="0.25">
      <c r="C3932"/>
      <c r="D3932"/>
      <c r="E3932"/>
    </row>
    <row r="3933" spans="3:5" x14ac:dyDescent="0.25">
      <c r="C3933"/>
      <c r="D3933"/>
      <c r="E3933"/>
    </row>
    <row r="3934" spans="3:5" x14ac:dyDescent="0.25">
      <c r="C3934"/>
      <c r="D3934"/>
      <c r="E3934"/>
    </row>
    <row r="3935" spans="3:5" x14ac:dyDescent="0.25">
      <c r="C3935"/>
      <c r="D3935"/>
      <c r="E3935"/>
    </row>
    <row r="3936" spans="3:5" x14ac:dyDescent="0.25">
      <c r="C3936"/>
      <c r="D3936"/>
      <c r="E3936"/>
    </row>
    <row r="3937" spans="3:5" x14ac:dyDescent="0.25">
      <c r="C3937"/>
      <c r="D3937"/>
      <c r="E3937"/>
    </row>
    <row r="3938" spans="3:5" x14ac:dyDescent="0.25">
      <c r="C3938"/>
      <c r="D3938"/>
      <c r="E3938"/>
    </row>
    <row r="3939" spans="3:5" x14ac:dyDescent="0.25">
      <c r="C3939"/>
      <c r="D3939"/>
      <c r="E3939"/>
    </row>
    <row r="3940" spans="3:5" x14ac:dyDescent="0.25">
      <c r="C3940"/>
      <c r="D3940"/>
      <c r="E3940"/>
    </row>
    <row r="3941" spans="3:5" x14ac:dyDescent="0.25">
      <c r="C3941"/>
      <c r="D3941"/>
      <c r="E3941"/>
    </row>
    <row r="3942" spans="3:5" x14ac:dyDescent="0.25">
      <c r="C3942"/>
      <c r="D3942"/>
      <c r="E3942"/>
    </row>
    <row r="3943" spans="3:5" x14ac:dyDescent="0.25">
      <c r="C3943"/>
      <c r="D3943"/>
      <c r="E3943"/>
    </row>
    <row r="3944" spans="3:5" x14ac:dyDescent="0.25">
      <c r="C3944"/>
      <c r="D3944"/>
      <c r="E3944"/>
    </row>
    <row r="3945" spans="3:5" x14ac:dyDescent="0.25">
      <c r="C3945"/>
      <c r="D3945"/>
      <c r="E3945"/>
    </row>
    <row r="3946" spans="3:5" x14ac:dyDescent="0.25">
      <c r="C3946"/>
      <c r="D3946"/>
      <c r="E3946"/>
    </row>
    <row r="3947" spans="3:5" x14ac:dyDescent="0.25">
      <c r="C3947"/>
      <c r="D3947"/>
      <c r="E3947"/>
    </row>
    <row r="3948" spans="3:5" x14ac:dyDescent="0.25">
      <c r="C3948"/>
      <c r="D3948"/>
      <c r="E3948"/>
    </row>
    <row r="3949" spans="3:5" x14ac:dyDescent="0.25">
      <c r="C3949"/>
      <c r="D3949"/>
      <c r="E3949"/>
    </row>
    <row r="3950" spans="3:5" x14ac:dyDescent="0.25">
      <c r="C3950"/>
      <c r="D3950"/>
      <c r="E3950"/>
    </row>
    <row r="3951" spans="3:5" x14ac:dyDescent="0.25">
      <c r="C3951"/>
      <c r="D3951"/>
      <c r="E3951"/>
    </row>
    <row r="3952" spans="3:5" x14ac:dyDescent="0.25">
      <c r="C3952"/>
      <c r="D3952"/>
      <c r="E3952"/>
    </row>
    <row r="3953" spans="3:5" x14ac:dyDescent="0.25">
      <c r="C3953"/>
      <c r="D3953"/>
      <c r="E3953"/>
    </row>
    <row r="3954" spans="3:5" x14ac:dyDescent="0.25">
      <c r="C3954"/>
      <c r="D3954"/>
      <c r="E3954"/>
    </row>
    <row r="3955" spans="3:5" x14ac:dyDescent="0.25">
      <c r="C3955"/>
      <c r="D3955"/>
      <c r="E3955"/>
    </row>
    <row r="3956" spans="3:5" x14ac:dyDescent="0.25">
      <c r="C3956"/>
      <c r="D3956"/>
      <c r="E3956"/>
    </row>
    <row r="3957" spans="3:5" x14ac:dyDescent="0.25">
      <c r="C3957"/>
      <c r="D3957"/>
      <c r="E3957"/>
    </row>
    <row r="3958" spans="3:5" x14ac:dyDescent="0.25">
      <c r="C3958"/>
      <c r="D3958"/>
      <c r="E3958"/>
    </row>
    <row r="3959" spans="3:5" x14ac:dyDescent="0.25">
      <c r="C3959"/>
      <c r="D3959"/>
      <c r="E3959"/>
    </row>
    <row r="3960" spans="3:5" x14ac:dyDescent="0.25">
      <c r="C3960"/>
      <c r="D3960"/>
      <c r="E3960"/>
    </row>
    <row r="3961" spans="3:5" x14ac:dyDescent="0.25">
      <c r="C3961"/>
      <c r="D3961"/>
      <c r="E3961"/>
    </row>
    <row r="3962" spans="3:5" x14ac:dyDescent="0.25">
      <c r="C3962"/>
      <c r="D3962"/>
      <c r="E3962"/>
    </row>
    <row r="3963" spans="3:5" x14ac:dyDescent="0.25">
      <c r="C3963"/>
      <c r="D3963"/>
      <c r="E3963"/>
    </row>
    <row r="3964" spans="3:5" x14ac:dyDescent="0.25">
      <c r="C3964"/>
      <c r="D3964"/>
      <c r="E3964"/>
    </row>
    <row r="3965" spans="3:5" x14ac:dyDescent="0.25">
      <c r="C3965"/>
      <c r="D3965"/>
      <c r="E3965"/>
    </row>
    <row r="3966" spans="3:5" x14ac:dyDescent="0.25">
      <c r="C3966"/>
      <c r="D3966"/>
      <c r="E3966"/>
    </row>
    <row r="3967" spans="3:5" x14ac:dyDescent="0.25">
      <c r="C3967"/>
      <c r="D3967"/>
      <c r="E3967"/>
    </row>
    <row r="3968" spans="3:5" x14ac:dyDescent="0.25">
      <c r="C3968"/>
      <c r="D3968"/>
      <c r="E3968"/>
    </row>
    <row r="3969" spans="3:5" x14ac:dyDescent="0.25">
      <c r="C3969"/>
      <c r="D3969"/>
      <c r="E3969"/>
    </row>
    <row r="3970" spans="3:5" x14ac:dyDescent="0.25">
      <c r="C3970"/>
      <c r="D3970"/>
      <c r="E3970"/>
    </row>
    <row r="3971" spans="3:5" x14ac:dyDescent="0.25">
      <c r="C3971"/>
      <c r="D3971"/>
      <c r="E3971"/>
    </row>
    <row r="3972" spans="3:5" x14ac:dyDescent="0.25">
      <c r="C3972"/>
      <c r="D3972"/>
      <c r="E3972"/>
    </row>
    <row r="3973" spans="3:5" x14ac:dyDescent="0.25">
      <c r="C3973"/>
      <c r="D3973"/>
      <c r="E3973"/>
    </row>
    <row r="3974" spans="3:5" x14ac:dyDescent="0.25">
      <c r="C3974"/>
      <c r="D3974"/>
      <c r="E3974"/>
    </row>
    <row r="3975" spans="3:5" x14ac:dyDescent="0.25">
      <c r="C3975"/>
      <c r="D3975"/>
      <c r="E3975"/>
    </row>
    <row r="3976" spans="3:5" x14ac:dyDescent="0.25">
      <c r="C3976"/>
      <c r="D3976"/>
      <c r="E3976"/>
    </row>
    <row r="3977" spans="3:5" x14ac:dyDescent="0.25">
      <c r="C3977"/>
      <c r="D3977"/>
      <c r="E3977"/>
    </row>
    <row r="3978" spans="3:5" x14ac:dyDescent="0.25">
      <c r="C3978"/>
      <c r="D3978"/>
      <c r="E3978"/>
    </row>
    <row r="3979" spans="3:5" x14ac:dyDescent="0.25">
      <c r="C3979"/>
      <c r="D3979"/>
      <c r="E3979"/>
    </row>
    <row r="3980" spans="3:5" x14ac:dyDescent="0.25">
      <c r="C3980"/>
      <c r="D3980"/>
      <c r="E3980"/>
    </row>
    <row r="3981" spans="3:5" x14ac:dyDescent="0.25">
      <c r="C3981"/>
      <c r="D3981"/>
      <c r="E3981"/>
    </row>
    <row r="3982" spans="3:5" x14ac:dyDescent="0.25">
      <c r="C3982"/>
      <c r="D3982"/>
      <c r="E3982"/>
    </row>
    <row r="3983" spans="3:5" x14ac:dyDescent="0.25">
      <c r="C3983"/>
      <c r="D3983"/>
      <c r="E3983"/>
    </row>
    <row r="3984" spans="3:5" x14ac:dyDescent="0.25">
      <c r="C3984"/>
      <c r="D3984"/>
      <c r="E3984"/>
    </row>
    <row r="3985" spans="3:5" x14ac:dyDescent="0.25">
      <c r="C3985"/>
      <c r="D3985"/>
      <c r="E3985"/>
    </row>
    <row r="3986" spans="3:5" x14ac:dyDescent="0.25">
      <c r="C3986"/>
      <c r="D3986"/>
      <c r="E3986"/>
    </row>
    <row r="3987" spans="3:5" x14ac:dyDescent="0.25">
      <c r="C3987"/>
      <c r="D3987"/>
      <c r="E3987"/>
    </row>
    <row r="3988" spans="3:5" x14ac:dyDescent="0.25">
      <c r="C3988"/>
      <c r="D3988"/>
      <c r="E3988"/>
    </row>
    <row r="3989" spans="3:5" x14ac:dyDescent="0.25">
      <c r="C3989"/>
      <c r="D3989"/>
      <c r="E3989"/>
    </row>
    <row r="3990" spans="3:5" x14ac:dyDescent="0.25">
      <c r="C3990"/>
      <c r="D3990"/>
      <c r="E3990"/>
    </row>
    <row r="3991" spans="3:5" x14ac:dyDescent="0.25">
      <c r="C3991"/>
      <c r="D3991"/>
      <c r="E3991"/>
    </row>
    <row r="3992" spans="3:5" x14ac:dyDescent="0.25">
      <c r="C3992"/>
      <c r="D3992"/>
      <c r="E3992"/>
    </row>
    <row r="3993" spans="3:5" x14ac:dyDescent="0.25">
      <c r="C3993"/>
      <c r="D3993"/>
      <c r="E3993"/>
    </row>
    <row r="3994" spans="3:5" x14ac:dyDescent="0.25">
      <c r="C3994"/>
      <c r="D3994"/>
      <c r="E3994"/>
    </row>
    <row r="3995" spans="3:5" x14ac:dyDescent="0.25">
      <c r="C3995"/>
      <c r="D3995"/>
      <c r="E3995"/>
    </row>
    <row r="3996" spans="3:5" x14ac:dyDescent="0.25">
      <c r="C3996"/>
      <c r="D3996"/>
      <c r="E3996"/>
    </row>
    <row r="3997" spans="3:5" x14ac:dyDescent="0.25">
      <c r="C3997"/>
      <c r="D3997"/>
      <c r="E3997"/>
    </row>
    <row r="3998" spans="3:5" x14ac:dyDescent="0.25">
      <c r="C3998"/>
      <c r="D3998"/>
      <c r="E3998"/>
    </row>
    <row r="3999" spans="3:5" x14ac:dyDescent="0.25">
      <c r="C3999"/>
      <c r="D3999"/>
      <c r="E3999"/>
    </row>
    <row r="4000" spans="3:5" x14ac:dyDescent="0.25">
      <c r="C4000"/>
      <c r="D4000"/>
      <c r="E4000"/>
    </row>
    <row r="4001" spans="3:5" x14ac:dyDescent="0.25">
      <c r="C4001"/>
      <c r="D4001"/>
      <c r="E4001"/>
    </row>
    <row r="4002" spans="3:5" x14ac:dyDescent="0.25">
      <c r="C4002"/>
      <c r="D4002"/>
      <c r="E4002"/>
    </row>
    <row r="4003" spans="3:5" x14ac:dyDescent="0.25">
      <c r="C4003"/>
      <c r="D4003"/>
      <c r="E4003"/>
    </row>
    <row r="4004" spans="3:5" x14ac:dyDescent="0.25">
      <c r="C4004"/>
      <c r="D4004"/>
      <c r="E4004"/>
    </row>
    <row r="4005" spans="3:5" x14ac:dyDescent="0.25">
      <c r="C4005"/>
      <c r="D4005"/>
      <c r="E4005"/>
    </row>
    <row r="4006" spans="3:5" x14ac:dyDescent="0.25">
      <c r="C4006"/>
      <c r="D4006"/>
      <c r="E4006"/>
    </row>
    <row r="4007" spans="3:5" x14ac:dyDescent="0.25">
      <c r="C4007"/>
      <c r="D4007"/>
      <c r="E4007"/>
    </row>
    <row r="4008" spans="3:5" x14ac:dyDescent="0.25">
      <c r="C4008"/>
      <c r="D4008"/>
      <c r="E4008"/>
    </row>
    <row r="4009" spans="3:5" x14ac:dyDescent="0.25">
      <c r="C4009"/>
      <c r="D4009"/>
      <c r="E4009"/>
    </row>
    <row r="4010" spans="3:5" x14ac:dyDescent="0.25">
      <c r="C4010"/>
      <c r="D4010"/>
      <c r="E4010"/>
    </row>
    <row r="4011" spans="3:5" x14ac:dyDescent="0.25">
      <c r="C4011"/>
      <c r="D4011"/>
      <c r="E4011"/>
    </row>
    <row r="4012" spans="3:5" x14ac:dyDescent="0.25">
      <c r="C4012"/>
      <c r="D4012"/>
      <c r="E4012"/>
    </row>
    <row r="4013" spans="3:5" x14ac:dyDescent="0.25">
      <c r="C4013"/>
      <c r="D4013"/>
      <c r="E4013"/>
    </row>
    <row r="4014" spans="3:5" x14ac:dyDescent="0.25">
      <c r="C4014"/>
      <c r="D4014"/>
      <c r="E4014"/>
    </row>
    <row r="4015" spans="3:5" x14ac:dyDescent="0.25">
      <c r="C4015"/>
      <c r="D4015"/>
      <c r="E4015"/>
    </row>
    <row r="4016" spans="3:5" x14ac:dyDescent="0.25">
      <c r="C4016"/>
      <c r="D4016"/>
      <c r="E4016"/>
    </row>
    <row r="4017" spans="3:5" x14ac:dyDescent="0.25">
      <c r="C4017"/>
      <c r="D4017"/>
      <c r="E4017"/>
    </row>
    <row r="4018" spans="3:5" x14ac:dyDescent="0.25">
      <c r="C4018"/>
      <c r="D4018"/>
      <c r="E4018"/>
    </row>
    <row r="4019" spans="3:5" x14ac:dyDescent="0.25">
      <c r="C4019"/>
      <c r="D4019"/>
      <c r="E4019"/>
    </row>
    <row r="4020" spans="3:5" x14ac:dyDescent="0.25">
      <c r="C4020"/>
      <c r="D4020"/>
      <c r="E4020"/>
    </row>
    <row r="4021" spans="3:5" x14ac:dyDescent="0.25">
      <c r="C4021"/>
      <c r="D4021"/>
      <c r="E4021"/>
    </row>
    <row r="4022" spans="3:5" x14ac:dyDescent="0.25">
      <c r="C4022"/>
      <c r="D4022"/>
      <c r="E4022"/>
    </row>
    <row r="4023" spans="3:5" x14ac:dyDescent="0.25">
      <c r="C4023"/>
      <c r="D4023"/>
      <c r="E4023"/>
    </row>
    <row r="4024" spans="3:5" x14ac:dyDescent="0.25">
      <c r="C4024"/>
      <c r="D4024"/>
      <c r="E4024"/>
    </row>
    <row r="4025" spans="3:5" x14ac:dyDescent="0.25">
      <c r="C4025"/>
      <c r="D4025"/>
      <c r="E4025"/>
    </row>
    <row r="4026" spans="3:5" x14ac:dyDescent="0.25">
      <c r="C4026"/>
      <c r="D4026"/>
      <c r="E4026"/>
    </row>
    <row r="4027" spans="3:5" x14ac:dyDescent="0.25">
      <c r="C4027"/>
      <c r="D4027"/>
      <c r="E4027"/>
    </row>
    <row r="4028" spans="3:5" x14ac:dyDescent="0.25">
      <c r="C4028"/>
      <c r="D4028"/>
      <c r="E4028"/>
    </row>
    <row r="4029" spans="3:5" x14ac:dyDescent="0.25">
      <c r="C4029"/>
      <c r="D4029"/>
      <c r="E4029"/>
    </row>
    <row r="4030" spans="3:5" x14ac:dyDescent="0.25">
      <c r="C4030"/>
      <c r="D4030"/>
      <c r="E4030"/>
    </row>
    <row r="4031" spans="3:5" x14ac:dyDescent="0.25">
      <c r="C4031"/>
      <c r="D4031"/>
      <c r="E4031"/>
    </row>
    <row r="4032" spans="3:5" x14ac:dyDescent="0.25">
      <c r="C4032"/>
      <c r="D4032"/>
      <c r="E4032"/>
    </row>
    <row r="4033" spans="3:5" x14ac:dyDescent="0.25">
      <c r="C4033"/>
      <c r="D4033"/>
      <c r="E4033"/>
    </row>
    <row r="4034" spans="3:5" x14ac:dyDescent="0.25">
      <c r="C4034"/>
      <c r="D4034"/>
      <c r="E4034"/>
    </row>
    <row r="4035" spans="3:5" x14ac:dyDescent="0.25">
      <c r="C4035"/>
      <c r="D4035"/>
      <c r="E4035"/>
    </row>
    <row r="4036" spans="3:5" x14ac:dyDescent="0.25">
      <c r="C4036"/>
      <c r="D4036"/>
      <c r="E4036"/>
    </row>
    <row r="4037" spans="3:5" x14ac:dyDescent="0.25">
      <c r="C4037"/>
      <c r="D4037"/>
      <c r="E4037"/>
    </row>
    <row r="4038" spans="3:5" x14ac:dyDescent="0.25">
      <c r="C4038"/>
      <c r="D4038"/>
      <c r="E4038"/>
    </row>
    <row r="4039" spans="3:5" x14ac:dyDescent="0.25">
      <c r="C4039"/>
      <c r="D4039"/>
      <c r="E4039"/>
    </row>
    <row r="4040" spans="3:5" x14ac:dyDescent="0.25">
      <c r="C4040"/>
      <c r="D4040"/>
      <c r="E4040"/>
    </row>
    <row r="4041" spans="3:5" x14ac:dyDescent="0.25">
      <c r="C4041"/>
      <c r="D4041"/>
      <c r="E4041"/>
    </row>
    <row r="4042" spans="3:5" x14ac:dyDescent="0.25">
      <c r="C4042"/>
      <c r="D4042"/>
      <c r="E4042"/>
    </row>
    <row r="4043" spans="3:5" x14ac:dyDescent="0.25">
      <c r="C4043"/>
      <c r="D4043"/>
      <c r="E4043"/>
    </row>
    <row r="4044" spans="3:5" x14ac:dyDescent="0.25">
      <c r="C4044"/>
      <c r="D4044"/>
      <c r="E4044"/>
    </row>
    <row r="4045" spans="3:5" x14ac:dyDescent="0.25">
      <c r="C4045"/>
      <c r="D4045"/>
      <c r="E4045"/>
    </row>
    <row r="4046" spans="3:5" x14ac:dyDescent="0.25">
      <c r="C4046"/>
      <c r="D4046"/>
      <c r="E4046"/>
    </row>
    <row r="4047" spans="3:5" x14ac:dyDescent="0.25">
      <c r="C4047"/>
      <c r="D4047"/>
      <c r="E4047"/>
    </row>
    <row r="4048" spans="3:5" x14ac:dyDescent="0.25">
      <c r="C4048"/>
      <c r="D4048"/>
      <c r="E4048"/>
    </row>
    <row r="4049" spans="3:5" x14ac:dyDescent="0.25">
      <c r="C4049"/>
      <c r="D4049"/>
      <c r="E4049"/>
    </row>
    <row r="4050" spans="3:5" x14ac:dyDescent="0.25">
      <c r="C4050"/>
      <c r="D4050"/>
      <c r="E4050"/>
    </row>
    <row r="4051" spans="3:5" x14ac:dyDescent="0.25">
      <c r="C4051"/>
      <c r="D4051"/>
      <c r="E4051"/>
    </row>
    <row r="4052" spans="3:5" x14ac:dyDescent="0.25">
      <c r="C4052"/>
      <c r="D4052"/>
      <c r="E4052"/>
    </row>
    <row r="4053" spans="3:5" x14ac:dyDescent="0.25">
      <c r="C4053"/>
      <c r="D4053"/>
      <c r="E4053"/>
    </row>
    <row r="4054" spans="3:5" x14ac:dyDescent="0.25">
      <c r="C4054"/>
      <c r="D4054"/>
      <c r="E4054"/>
    </row>
    <row r="4055" spans="3:5" x14ac:dyDescent="0.25">
      <c r="C4055"/>
      <c r="D4055"/>
      <c r="E4055"/>
    </row>
    <row r="4056" spans="3:5" x14ac:dyDescent="0.25">
      <c r="C4056"/>
      <c r="D4056"/>
      <c r="E4056"/>
    </row>
    <row r="4057" spans="3:5" x14ac:dyDescent="0.25">
      <c r="C4057"/>
      <c r="D4057"/>
      <c r="E4057"/>
    </row>
    <row r="4058" spans="3:5" x14ac:dyDescent="0.25">
      <c r="C4058"/>
      <c r="D4058"/>
      <c r="E4058"/>
    </row>
    <row r="4059" spans="3:5" x14ac:dyDescent="0.25">
      <c r="C4059"/>
      <c r="D4059"/>
      <c r="E4059"/>
    </row>
    <row r="4060" spans="3:5" x14ac:dyDescent="0.25">
      <c r="C4060"/>
      <c r="D4060"/>
      <c r="E4060"/>
    </row>
    <row r="4061" spans="3:5" x14ac:dyDescent="0.25">
      <c r="C4061"/>
      <c r="D4061"/>
      <c r="E4061"/>
    </row>
    <row r="4062" spans="3:5" x14ac:dyDescent="0.25">
      <c r="C4062"/>
      <c r="D4062"/>
      <c r="E4062"/>
    </row>
    <row r="4063" spans="3:5" x14ac:dyDescent="0.25">
      <c r="C4063"/>
      <c r="D4063"/>
      <c r="E4063"/>
    </row>
    <row r="4064" spans="3:5" x14ac:dyDescent="0.25">
      <c r="C4064"/>
      <c r="D4064"/>
      <c r="E4064"/>
    </row>
    <row r="4065" spans="3:5" x14ac:dyDescent="0.25">
      <c r="C4065"/>
      <c r="D4065"/>
      <c r="E4065"/>
    </row>
    <row r="4066" spans="3:5" x14ac:dyDescent="0.25">
      <c r="C4066"/>
      <c r="D4066"/>
      <c r="E4066"/>
    </row>
    <row r="4067" spans="3:5" x14ac:dyDescent="0.25">
      <c r="C4067"/>
      <c r="D4067"/>
      <c r="E4067"/>
    </row>
    <row r="4068" spans="3:5" x14ac:dyDescent="0.25">
      <c r="C4068"/>
      <c r="D4068"/>
      <c r="E4068"/>
    </row>
    <row r="4069" spans="3:5" x14ac:dyDescent="0.25">
      <c r="C4069"/>
      <c r="D4069"/>
      <c r="E4069"/>
    </row>
    <row r="4070" spans="3:5" x14ac:dyDescent="0.25">
      <c r="C4070"/>
      <c r="D4070"/>
      <c r="E4070"/>
    </row>
    <row r="4071" spans="3:5" x14ac:dyDescent="0.25">
      <c r="C4071"/>
      <c r="D4071"/>
      <c r="E4071"/>
    </row>
    <row r="4072" spans="3:5" x14ac:dyDescent="0.25">
      <c r="C4072"/>
      <c r="D4072"/>
      <c r="E4072"/>
    </row>
    <row r="4073" spans="3:5" x14ac:dyDescent="0.25">
      <c r="C4073"/>
      <c r="D4073"/>
      <c r="E4073"/>
    </row>
    <row r="4074" spans="3:5" x14ac:dyDescent="0.25">
      <c r="C4074"/>
      <c r="D4074"/>
      <c r="E4074"/>
    </row>
    <row r="4075" spans="3:5" x14ac:dyDescent="0.25">
      <c r="C4075"/>
      <c r="D4075"/>
      <c r="E4075"/>
    </row>
    <row r="4076" spans="3:5" x14ac:dyDescent="0.25">
      <c r="C4076"/>
      <c r="D4076"/>
      <c r="E4076"/>
    </row>
    <row r="4077" spans="3:5" x14ac:dyDescent="0.25">
      <c r="C4077"/>
      <c r="D4077"/>
      <c r="E4077"/>
    </row>
    <row r="4078" spans="3:5" x14ac:dyDescent="0.25">
      <c r="C4078"/>
      <c r="D4078"/>
      <c r="E4078"/>
    </row>
    <row r="4079" spans="3:5" x14ac:dyDescent="0.25">
      <c r="C4079"/>
      <c r="D4079"/>
      <c r="E4079"/>
    </row>
    <row r="4080" spans="3:5" x14ac:dyDescent="0.25">
      <c r="C4080"/>
      <c r="D4080"/>
      <c r="E4080"/>
    </row>
    <row r="4081" spans="3:5" x14ac:dyDescent="0.25">
      <c r="C4081"/>
      <c r="D4081"/>
      <c r="E4081"/>
    </row>
    <row r="4082" spans="3:5" x14ac:dyDescent="0.25">
      <c r="C4082"/>
      <c r="D4082"/>
      <c r="E4082"/>
    </row>
    <row r="4083" spans="3:5" x14ac:dyDescent="0.25">
      <c r="C4083"/>
      <c r="D4083"/>
      <c r="E4083"/>
    </row>
    <row r="4084" spans="3:5" x14ac:dyDescent="0.25">
      <c r="C4084"/>
      <c r="D4084"/>
      <c r="E4084"/>
    </row>
    <row r="4085" spans="3:5" x14ac:dyDescent="0.25">
      <c r="C4085"/>
      <c r="D4085"/>
      <c r="E4085"/>
    </row>
    <row r="4086" spans="3:5" x14ac:dyDescent="0.25">
      <c r="C4086"/>
      <c r="D4086"/>
      <c r="E4086"/>
    </row>
    <row r="4087" spans="3:5" x14ac:dyDescent="0.25">
      <c r="C4087"/>
      <c r="D4087"/>
      <c r="E4087"/>
    </row>
    <row r="4088" spans="3:5" x14ac:dyDescent="0.25">
      <c r="C4088"/>
      <c r="D4088"/>
      <c r="E4088"/>
    </row>
    <row r="4089" spans="3:5" x14ac:dyDescent="0.25">
      <c r="C4089"/>
      <c r="D4089"/>
      <c r="E4089"/>
    </row>
    <row r="4090" spans="3:5" x14ac:dyDescent="0.25">
      <c r="C4090"/>
      <c r="D4090"/>
      <c r="E4090"/>
    </row>
    <row r="4091" spans="3:5" x14ac:dyDescent="0.25">
      <c r="C4091"/>
      <c r="D4091"/>
      <c r="E4091"/>
    </row>
    <row r="4092" spans="3:5" x14ac:dyDescent="0.25">
      <c r="C4092"/>
      <c r="D4092"/>
      <c r="E4092"/>
    </row>
    <row r="4093" spans="3:5" x14ac:dyDescent="0.25">
      <c r="C4093"/>
      <c r="D4093"/>
      <c r="E4093"/>
    </row>
    <row r="4094" spans="3:5" x14ac:dyDescent="0.25">
      <c r="C4094"/>
      <c r="D4094"/>
      <c r="E4094"/>
    </row>
    <row r="4095" spans="3:5" x14ac:dyDescent="0.25">
      <c r="C4095"/>
      <c r="D4095"/>
      <c r="E4095"/>
    </row>
    <row r="4096" spans="3:5" x14ac:dyDescent="0.25">
      <c r="C4096"/>
      <c r="D4096"/>
      <c r="E4096"/>
    </row>
    <row r="4097" spans="3:5" x14ac:dyDescent="0.25">
      <c r="C4097"/>
      <c r="D4097"/>
      <c r="E4097"/>
    </row>
    <row r="4098" spans="3:5" x14ac:dyDescent="0.25">
      <c r="C4098"/>
      <c r="D4098"/>
      <c r="E4098"/>
    </row>
    <row r="4099" spans="3:5" x14ac:dyDescent="0.25">
      <c r="C4099"/>
      <c r="D4099"/>
      <c r="E4099"/>
    </row>
    <row r="4100" spans="3:5" x14ac:dyDescent="0.25">
      <c r="C4100"/>
      <c r="D4100"/>
      <c r="E4100"/>
    </row>
    <row r="4101" spans="3:5" x14ac:dyDescent="0.25">
      <c r="C4101"/>
      <c r="D4101"/>
      <c r="E4101"/>
    </row>
    <row r="4102" spans="3:5" x14ac:dyDescent="0.25">
      <c r="C4102"/>
      <c r="D4102"/>
      <c r="E4102"/>
    </row>
    <row r="4103" spans="3:5" x14ac:dyDescent="0.25">
      <c r="C4103"/>
      <c r="D4103"/>
      <c r="E4103"/>
    </row>
    <row r="4104" spans="3:5" x14ac:dyDescent="0.25">
      <c r="C4104"/>
      <c r="D4104"/>
      <c r="E4104"/>
    </row>
    <row r="4105" spans="3:5" x14ac:dyDescent="0.25">
      <c r="C4105"/>
      <c r="D4105"/>
      <c r="E4105"/>
    </row>
    <row r="4106" spans="3:5" x14ac:dyDescent="0.25">
      <c r="C4106"/>
      <c r="D4106"/>
      <c r="E4106"/>
    </row>
    <row r="4107" spans="3:5" x14ac:dyDescent="0.25">
      <c r="C4107"/>
      <c r="D4107"/>
      <c r="E4107"/>
    </row>
    <row r="4108" spans="3:5" x14ac:dyDescent="0.25">
      <c r="C4108"/>
      <c r="D4108"/>
      <c r="E4108"/>
    </row>
    <row r="4109" spans="3:5" x14ac:dyDescent="0.25">
      <c r="C4109"/>
      <c r="D4109"/>
      <c r="E4109"/>
    </row>
    <row r="4110" spans="3:5" x14ac:dyDescent="0.25">
      <c r="C4110"/>
      <c r="D4110"/>
      <c r="E4110"/>
    </row>
    <row r="4111" spans="3:5" x14ac:dyDescent="0.25">
      <c r="C4111"/>
      <c r="D4111"/>
      <c r="E4111"/>
    </row>
    <row r="4112" spans="3:5" x14ac:dyDescent="0.25">
      <c r="C4112"/>
      <c r="D4112"/>
      <c r="E4112"/>
    </row>
    <row r="4113" spans="3:5" x14ac:dyDescent="0.25">
      <c r="C4113"/>
      <c r="D4113"/>
      <c r="E4113"/>
    </row>
    <row r="4114" spans="3:5" x14ac:dyDescent="0.25">
      <c r="C4114"/>
      <c r="D4114"/>
      <c r="E4114"/>
    </row>
    <row r="4115" spans="3:5" x14ac:dyDescent="0.25">
      <c r="C4115"/>
      <c r="D4115"/>
      <c r="E4115"/>
    </row>
    <row r="4116" spans="3:5" x14ac:dyDescent="0.25">
      <c r="C4116"/>
      <c r="D4116"/>
      <c r="E4116"/>
    </row>
    <row r="4117" spans="3:5" x14ac:dyDescent="0.25">
      <c r="C4117"/>
      <c r="D4117"/>
      <c r="E4117"/>
    </row>
    <row r="4118" spans="3:5" x14ac:dyDescent="0.25">
      <c r="C4118"/>
      <c r="D4118"/>
      <c r="E4118"/>
    </row>
    <row r="4119" spans="3:5" x14ac:dyDescent="0.25">
      <c r="C4119"/>
      <c r="D4119"/>
      <c r="E4119"/>
    </row>
    <row r="4120" spans="3:5" x14ac:dyDescent="0.25">
      <c r="C4120"/>
      <c r="D4120"/>
      <c r="E4120"/>
    </row>
    <row r="4121" spans="3:5" x14ac:dyDescent="0.25">
      <c r="C4121"/>
      <c r="D4121"/>
      <c r="E4121"/>
    </row>
    <row r="4122" spans="3:5" x14ac:dyDescent="0.25">
      <c r="C4122"/>
      <c r="D4122"/>
      <c r="E4122"/>
    </row>
    <row r="4123" spans="3:5" x14ac:dyDescent="0.25">
      <c r="C4123"/>
      <c r="D4123"/>
      <c r="E4123"/>
    </row>
    <row r="4124" spans="3:5" x14ac:dyDescent="0.25">
      <c r="C4124"/>
      <c r="D4124"/>
      <c r="E4124"/>
    </row>
    <row r="4125" spans="3:5" x14ac:dyDescent="0.25">
      <c r="C4125"/>
      <c r="D4125"/>
      <c r="E4125"/>
    </row>
    <row r="4126" spans="3:5" x14ac:dyDescent="0.25">
      <c r="C4126"/>
      <c r="D4126"/>
      <c r="E4126"/>
    </row>
    <row r="4127" spans="3:5" x14ac:dyDescent="0.25">
      <c r="C4127"/>
      <c r="D4127"/>
      <c r="E4127"/>
    </row>
    <row r="4128" spans="3:5" x14ac:dyDescent="0.25">
      <c r="C4128"/>
      <c r="D4128"/>
      <c r="E4128"/>
    </row>
    <row r="4129" spans="3:5" x14ac:dyDescent="0.25">
      <c r="C4129"/>
      <c r="D4129"/>
      <c r="E4129"/>
    </row>
    <row r="4130" spans="3:5" x14ac:dyDescent="0.25">
      <c r="C4130"/>
      <c r="D4130"/>
      <c r="E4130"/>
    </row>
    <row r="4131" spans="3:5" x14ac:dyDescent="0.25">
      <c r="C4131"/>
      <c r="D4131"/>
      <c r="E4131"/>
    </row>
    <row r="4132" spans="3:5" x14ac:dyDescent="0.25">
      <c r="C4132"/>
      <c r="D4132"/>
      <c r="E4132"/>
    </row>
    <row r="4133" spans="3:5" x14ac:dyDescent="0.25">
      <c r="C4133"/>
      <c r="D4133"/>
      <c r="E4133"/>
    </row>
    <row r="4134" spans="3:5" x14ac:dyDescent="0.25">
      <c r="C4134"/>
      <c r="D4134"/>
      <c r="E4134"/>
    </row>
    <row r="4135" spans="3:5" x14ac:dyDescent="0.25">
      <c r="C4135"/>
      <c r="D4135"/>
      <c r="E4135"/>
    </row>
    <row r="4136" spans="3:5" x14ac:dyDescent="0.25">
      <c r="C4136"/>
      <c r="D4136"/>
      <c r="E4136"/>
    </row>
    <row r="4137" spans="3:5" x14ac:dyDescent="0.25">
      <c r="C4137"/>
      <c r="D4137"/>
      <c r="E4137"/>
    </row>
    <row r="4138" spans="3:5" x14ac:dyDescent="0.25">
      <c r="C4138"/>
      <c r="D4138"/>
      <c r="E4138"/>
    </row>
    <row r="4139" spans="3:5" x14ac:dyDescent="0.25">
      <c r="C4139"/>
      <c r="D4139"/>
      <c r="E4139"/>
    </row>
    <row r="4140" spans="3:5" x14ac:dyDescent="0.25">
      <c r="C4140"/>
      <c r="D4140"/>
      <c r="E4140"/>
    </row>
    <row r="4141" spans="3:5" x14ac:dyDescent="0.25">
      <c r="C4141"/>
      <c r="D4141"/>
      <c r="E4141"/>
    </row>
    <row r="4142" spans="3:5" x14ac:dyDescent="0.25">
      <c r="C4142"/>
      <c r="D4142"/>
      <c r="E4142"/>
    </row>
    <row r="4143" spans="3:5" x14ac:dyDescent="0.25">
      <c r="C4143"/>
      <c r="D4143"/>
      <c r="E4143"/>
    </row>
    <row r="4144" spans="3:5" x14ac:dyDescent="0.25">
      <c r="C4144"/>
      <c r="D4144"/>
      <c r="E4144"/>
    </row>
    <row r="4145" spans="3:5" x14ac:dyDescent="0.25">
      <c r="C4145"/>
      <c r="D4145"/>
      <c r="E4145"/>
    </row>
    <row r="4146" spans="3:5" x14ac:dyDescent="0.25">
      <c r="C4146"/>
      <c r="D4146"/>
      <c r="E4146"/>
    </row>
    <row r="4147" spans="3:5" x14ac:dyDescent="0.25">
      <c r="C4147"/>
      <c r="D4147"/>
      <c r="E4147"/>
    </row>
    <row r="4148" spans="3:5" x14ac:dyDescent="0.25">
      <c r="C4148"/>
      <c r="D4148"/>
      <c r="E4148"/>
    </row>
    <row r="4149" spans="3:5" x14ac:dyDescent="0.25">
      <c r="C4149"/>
      <c r="D4149"/>
      <c r="E4149"/>
    </row>
    <row r="4150" spans="3:5" x14ac:dyDescent="0.25">
      <c r="C4150"/>
      <c r="D4150"/>
      <c r="E4150"/>
    </row>
    <row r="4151" spans="3:5" x14ac:dyDescent="0.25">
      <c r="C4151"/>
      <c r="D4151"/>
      <c r="E4151"/>
    </row>
    <row r="4152" spans="3:5" x14ac:dyDescent="0.25">
      <c r="C4152"/>
      <c r="D4152"/>
      <c r="E4152"/>
    </row>
    <row r="4153" spans="3:5" x14ac:dyDescent="0.25">
      <c r="C4153"/>
      <c r="D4153"/>
      <c r="E4153"/>
    </row>
    <row r="4154" spans="3:5" x14ac:dyDescent="0.25">
      <c r="C4154"/>
      <c r="D4154"/>
      <c r="E4154"/>
    </row>
    <row r="4155" spans="3:5" x14ac:dyDescent="0.25">
      <c r="C4155"/>
      <c r="D4155"/>
      <c r="E4155"/>
    </row>
    <row r="4156" spans="3:5" x14ac:dyDescent="0.25">
      <c r="C4156"/>
      <c r="D4156"/>
      <c r="E4156"/>
    </row>
    <row r="4157" spans="3:5" x14ac:dyDescent="0.25">
      <c r="C4157"/>
      <c r="D4157"/>
      <c r="E4157"/>
    </row>
    <row r="4158" spans="3:5" x14ac:dyDescent="0.25">
      <c r="C4158"/>
      <c r="D4158"/>
      <c r="E4158"/>
    </row>
    <row r="4159" spans="3:5" x14ac:dyDescent="0.25">
      <c r="C4159"/>
      <c r="D4159"/>
      <c r="E4159"/>
    </row>
    <row r="4160" spans="3:5" x14ac:dyDescent="0.25">
      <c r="C4160"/>
      <c r="D4160"/>
      <c r="E4160"/>
    </row>
    <row r="4161" spans="3:5" x14ac:dyDescent="0.25">
      <c r="C4161"/>
      <c r="D4161"/>
      <c r="E4161"/>
    </row>
    <row r="4162" spans="3:5" x14ac:dyDescent="0.25">
      <c r="C4162"/>
      <c r="D4162"/>
      <c r="E4162"/>
    </row>
    <row r="4163" spans="3:5" x14ac:dyDescent="0.25">
      <c r="C4163"/>
      <c r="D4163"/>
      <c r="E4163"/>
    </row>
    <row r="4164" spans="3:5" x14ac:dyDescent="0.25">
      <c r="C4164"/>
      <c r="D4164"/>
      <c r="E4164"/>
    </row>
    <row r="4165" spans="3:5" x14ac:dyDescent="0.25">
      <c r="C4165"/>
      <c r="D4165"/>
      <c r="E4165"/>
    </row>
    <row r="4166" spans="3:5" x14ac:dyDescent="0.25">
      <c r="C4166"/>
      <c r="D4166"/>
      <c r="E4166"/>
    </row>
    <row r="4167" spans="3:5" x14ac:dyDescent="0.25">
      <c r="C4167"/>
      <c r="D4167"/>
      <c r="E4167"/>
    </row>
    <row r="4168" spans="3:5" x14ac:dyDescent="0.25">
      <c r="C4168"/>
      <c r="D4168"/>
      <c r="E4168"/>
    </row>
    <row r="4169" spans="3:5" x14ac:dyDescent="0.25">
      <c r="C4169"/>
      <c r="D4169"/>
      <c r="E4169"/>
    </row>
    <row r="4170" spans="3:5" x14ac:dyDescent="0.25">
      <c r="C4170"/>
      <c r="D4170"/>
      <c r="E4170"/>
    </row>
    <row r="4171" spans="3:5" x14ac:dyDescent="0.25">
      <c r="C4171"/>
      <c r="D4171"/>
      <c r="E4171"/>
    </row>
    <row r="4172" spans="3:5" x14ac:dyDescent="0.25">
      <c r="C4172"/>
      <c r="D4172"/>
      <c r="E4172"/>
    </row>
    <row r="4173" spans="3:5" x14ac:dyDescent="0.25">
      <c r="C4173"/>
      <c r="D4173"/>
      <c r="E4173"/>
    </row>
    <row r="4174" spans="3:5" x14ac:dyDescent="0.25">
      <c r="C4174"/>
      <c r="D4174"/>
      <c r="E4174"/>
    </row>
    <row r="4175" spans="3:5" x14ac:dyDescent="0.25">
      <c r="C4175"/>
      <c r="D4175"/>
      <c r="E4175"/>
    </row>
    <row r="4176" spans="3:5" x14ac:dyDescent="0.25">
      <c r="C4176"/>
      <c r="D4176"/>
      <c r="E4176"/>
    </row>
    <row r="4177" spans="3:5" x14ac:dyDescent="0.25">
      <c r="C4177"/>
      <c r="D4177"/>
      <c r="E4177"/>
    </row>
    <row r="4178" spans="3:5" x14ac:dyDescent="0.25">
      <c r="C4178"/>
      <c r="D4178"/>
      <c r="E4178"/>
    </row>
    <row r="4179" spans="3:5" x14ac:dyDescent="0.25">
      <c r="C4179"/>
      <c r="D4179"/>
      <c r="E4179"/>
    </row>
    <row r="4180" spans="3:5" x14ac:dyDescent="0.25">
      <c r="C4180"/>
      <c r="D4180"/>
      <c r="E4180"/>
    </row>
    <row r="4181" spans="3:5" x14ac:dyDescent="0.25">
      <c r="C4181"/>
      <c r="D4181"/>
      <c r="E4181"/>
    </row>
    <row r="4182" spans="3:5" x14ac:dyDescent="0.25">
      <c r="C4182"/>
      <c r="D4182"/>
      <c r="E4182"/>
    </row>
    <row r="4183" spans="3:5" x14ac:dyDescent="0.25">
      <c r="C4183"/>
      <c r="D4183"/>
      <c r="E4183"/>
    </row>
    <row r="4184" spans="3:5" x14ac:dyDescent="0.25">
      <c r="C4184"/>
      <c r="D4184"/>
      <c r="E4184"/>
    </row>
    <row r="4185" spans="3:5" x14ac:dyDescent="0.25">
      <c r="C4185"/>
      <c r="D4185"/>
      <c r="E4185"/>
    </row>
    <row r="4186" spans="3:5" x14ac:dyDescent="0.25">
      <c r="C4186"/>
      <c r="D4186"/>
      <c r="E4186"/>
    </row>
    <row r="4187" spans="3:5" x14ac:dyDescent="0.25">
      <c r="C4187"/>
      <c r="D4187"/>
      <c r="E4187"/>
    </row>
    <row r="4188" spans="3:5" x14ac:dyDescent="0.25">
      <c r="C4188"/>
      <c r="D4188"/>
      <c r="E4188"/>
    </row>
    <row r="4189" spans="3:5" x14ac:dyDescent="0.25">
      <c r="C4189"/>
      <c r="D4189"/>
      <c r="E4189"/>
    </row>
    <row r="4190" spans="3:5" x14ac:dyDescent="0.25">
      <c r="C4190"/>
      <c r="D4190"/>
      <c r="E4190"/>
    </row>
    <row r="4191" spans="3:5" x14ac:dyDescent="0.25">
      <c r="C4191"/>
      <c r="D4191"/>
      <c r="E4191"/>
    </row>
    <row r="4192" spans="3:5" x14ac:dyDescent="0.25">
      <c r="C4192"/>
      <c r="D4192"/>
      <c r="E4192"/>
    </row>
    <row r="4193" spans="3:5" x14ac:dyDescent="0.25">
      <c r="C4193"/>
      <c r="D4193"/>
      <c r="E4193"/>
    </row>
    <row r="4194" spans="3:5" x14ac:dyDescent="0.25">
      <c r="C4194"/>
      <c r="D4194"/>
      <c r="E4194"/>
    </row>
    <row r="4195" spans="3:5" x14ac:dyDescent="0.25">
      <c r="C4195"/>
      <c r="D4195"/>
      <c r="E4195"/>
    </row>
    <row r="4196" spans="3:5" x14ac:dyDescent="0.25">
      <c r="C4196"/>
      <c r="D4196"/>
      <c r="E4196"/>
    </row>
    <row r="4197" spans="3:5" x14ac:dyDescent="0.25">
      <c r="C4197"/>
      <c r="D4197"/>
      <c r="E4197"/>
    </row>
    <row r="4198" spans="3:5" x14ac:dyDescent="0.25">
      <c r="C4198"/>
      <c r="D4198"/>
      <c r="E4198"/>
    </row>
    <row r="4199" spans="3:5" x14ac:dyDescent="0.25">
      <c r="C4199"/>
      <c r="D4199"/>
      <c r="E4199"/>
    </row>
    <row r="4200" spans="3:5" x14ac:dyDescent="0.25">
      <c r="C4200"/>
      <c r="D4200"/>
      <c r="E4200"/>
    </row>
    <row r="4201" spans="3:5" x14ac:dyDescent="0.25">
      <c r="C4201"/>
      <c r="D4201"/>
      <c r="E4201"/>
    </row>
    <row r="4202" spans="3:5" x14ac:dyDescent="0.25">
      <c r="C4202"/>
      <c r="D4202"/>
      <c r="E4202"/>
    </row>
    <row r="4203" spans="3:5" x14ac:dyDescent="0.25">
      <c r="C4203"/>
      <c r="D4203"/>
      <c r="E4203"/>
    </row>
    <row r="4204" spans="3:5" x14ac:dyDescent="0.25">
      <c r="C4204"/>
      <c r="D4204"/>
      <c r="E4204"/>
    </row>
    <row r="4205" spans="3:5" x14ac:dyDescent="0.25">
      <c r="C4205"/>
      <c r="D4205"/>
      <c r="E4205"/>
    </row>
    <row r="4206" spans="3:5" x14ac:dyDescent="0.25">
      <c r="C4206"/>
      <c r="D4206"/>
      <c r="E4206"/>
    </row>
    <row r="4207" spans="3:5" x14ac:dyDescent="0.25">
      <c r="C4207"/>
      <c r="D4207"/>
      <c r="E4207"/>
    </row>
    <row r="4208" spans="3:5" x14ac:dyDescent="0.25">
      <c r="C4208"/>
      <c r="D4208"/>
      <c r="E4208"/>
    </row>
    <row r="4209" spans="3:5" x14ac:dyDescent="0.25">
      <c r="C4209"/>
      <c r="D4209"/>
      <c r="E4209"/>
    </row>
    <row r="4210" spans="3:5" x14ac:dyDescent="0.25">
      <c r="C4210"/>
      <c r="D4210"/>
      <c r="E4210"/>
    </row>
    <row r="4211" spans="3:5" x14ac:dyDescent="0.25">
      <c r="C4211"/>
      <c r="D4211"/>
      <c r="E4211"/>
    </row>
    <row r="4212" spans="3:5" x14ac:dyDescent="0.25">
      <c r="C4212"/>
      <c r="D4212"/>
      <c r="E4212"/>
    </row>
    <row r="4213" spans="3:5" x14ac:dyDescent="0.25">
      <c r="C4213"/>
      <c r="D4213"/>
      <c r="E4213"/>
    </row>
    <row r="4214" spans="3:5" x14ac:dyDescent="0.25">
      <c r="C4214"/>
      <c r="D4214"/>
      <c r="E4214"/>
    </row>
    <row r="4215" spans="3:5" x14ac:dyDescent="0.25">
      <c r="C4215"/>
      <c r="D4215"/>
      <c r="E4215"/>
    </row>
    <row r="4216" spans="3:5" x14ac:dyDescent="0.25">
      <c r="C4216"/>
      <c r="D4216"/>
      <c r="E4216"/>
    </row>
    <row r="4217" spans="3:5" x14ac:dyDescent="0.25">
      <c r="C4217"/>
      <c r="D4217"/>
      <c r="E4217"/>
    </row>
    <row r="4218" spans="3:5" x14ac:dyDescent="0.25">
      <c r="C4218"/>
      <c r="D4218"/>
      <c r="E4218"/>
    </row>
    <row r="4219" spans="3:5" x14ac:dyDescent="0.25">
      <c r="C4219"/>
      <c r="D4219"/>
      <c r="E4219"/>
    </row>
    <row r="4220" spans="3:5" x14ac:dyDescent="0.25">
      <c r="C4220"/>
      <c r="D4220"/>
      <c r="E4220"/>
    </row>
    <row r="4221" spans="3:5" x14ac:dyDescent="0.25">
      <c r="C4221"/>
      <c r="D4221"/>
      <c r="E4221"/>
    </row>
    <row r="4222" spans="3:5" x14ac:dyDescent="0.25">
      <c r="C4222"/>
      <c r="D4222"/>
      <c r="E4222"/>
    </row>
    <row r="4223" spans="3:5" x14ac:dyDescent="0.25">
      <c r="C4223"/>
      <c r="D4223"/>
      <c r="E4223"/>
    </row>
    <row r="4224" spans="3:5" x14ac:dyDescent="0.25">
      <c r="C4224"/>
      <c r="D4224"/>
      <c r="E4224"/>
    </row>
    <row r="4225" spans="3:5" x14ac:dyDescent="0.25">
      <c r="C4225"/>
      <c r="D4225"/>
      <c r="E4225"/>
    </row>
    <row r="4226" spans="3:5" x14ac:dyDescent="0.25">
      <c r="C4226"/>
      <c r="D4226"/>
      <c r="E4226"/>
    </row>
    <row r="4227" spans="3:5" x14ac:dyDescent="0.25">
      <c r="C4227"/>
      <c r="D4227"/>
      <c r="E4227"/>
    </row>
    <row r="4228" spans="3:5" x14ac:dyDescent="0.25">
      <c r="C4228"/>
      <c r="D4228"/>
      <c r="E4228"/>
    </row>
    <row r="4229" spans="3:5" x14ac:dyDescent="0.25">
      <c r="C4229"/>
      <c r="D4229"/>
      <c r="E4229"/>
    </row>
    <row r="4230" spans="3:5" x14ac:dyDescent="0.25">
      <c r="C4230"/>
      <c r="D4230"/>
      <c r="E4230"/>
    </row>
    <row r="4231" spans="3:5" x14ac:dyDescent="0.25">
      <c r="C4231"/>
      <c r="D4231"/>
      <c r="E4231"/>
    </row>
    <row r="4232" spans="3:5" x14ac:dyDescent="0.25">
      <c r="C4232"/>
      <c r="D4232"/>
      <c r="E4232"/>
    </row>
    <row r="4233" spans="3:5" x14ac:dyDescent="0.25">
      <c r="C4233"/>
      <c r="D4233"/>
      <c r="E4233"/>
    </row>
    <row r="4234" spans="3:5" x14ac:dyDescent="0.25">
      <c r="C4234"/>
      <c r="D4234"/>
      <c r="E4234"/>
    </row>
    <row r="4235" spans="3:5" x14ac:dyDescent="0.25">
      <c r="C4235"/>
      <c r="D4235"/>
      <c r="E4235"/>
    </row>
    <row r="4236" spans="3:5" x14ac:dyDescent="0.25">
      <c r="C4236"/>
      <c r="D4236"/>
      <c r="E4236"/>
    </row>
    <row r="4237" spans="3:5" x14ac:dyDescent="0.25">
      <c r="C4237"/>
      <c r="D4237"/>
      <c r="E4237"/>
    </row>
    <row r="4238" spans="3:5" x14ac:dyDescent="0.25">
      <c r="C4238"/>
      <c r="D4238"/>
      <c r="E4238"/>
    </row>
    <row r="4239" spans="3:5" x14ac:dyDescent="0.25">
      <c r="C4239"/>
      <c r="D4239"/>
      <c r="E4239"/>
    </row>
    <row r="4240" spans="3:5" x14ac:dyDescent="0.25">
      <c r="C4240"/>
      <c r="D4240"/>
      <c r="E4240"/>
    </row>
    <row r="4241" spans="3:5" x14ac:dyDescent="0.25">
      <c r="C4241"/>
      <c r="D4241"/>
      <c r="E4241"/>
    </row>
    <row r="4242" spans="3:5" x14ac:dyDescent="0.25">
      <c r="C4242"/>
      <c r="D4242"/>
      <c r="E4242"/>
    </row>
    <row r="4243" spans="3:5" x14ac:dyDescent="0.25">
      <c r="C4243"/>
      <c r="D4243"/>
      <c r="E4243"/>
    </row>
    <row r="4244" spans="3:5" x14ac:dyDescent="0.25">
      <c r="C4244"/>
      <c r="D4244"/>
      <c r="E4244"/>
    </row>
    <row r="4245" spans="3:5" x14ac:dyDescent="0.25">
      <c r="C4245"/>
      <c r="D4245"/>
      <c r="E4245"/>
    </row>
    <row r="4246" spans="3:5" x14ac:dyDescent="0.25">
      <c r="C4246"/>
      <c r="D4246"/>
      <c r="E4246"/>
    </row>
    <row r="4247" spans="3:5" x14ac:dyDescent="0.25">
      <c r="C4247"/>
      <c r="D4247"/>
      <c r="E4247"/>
    </row>
    <row r="4248" spans="3:5" x14ac:dyDescent="0.25">
      <c r="C4248"/>
      <c r="D4248"/>
      <c r="E4248"/>
    </row>
    <row r="4249" spans="3:5" x14ac:dyDescent="0.25">
      <c r="C4249"/>
      <c r="D4249"/>
      <c r="E4249"/>
    </row>
    <row r="4250" spans="3:5" x14ac:dyDescent="0.25">
      <c r="C4250"/>
      <c r="D4250"/>
      <c r="E4250"/>
    </row>
    <row r="4251" spans="3:5" x14ac:dyDescent="0.25">
      <c r="C4251"/>
      <c r="D4251"/>
      <c r="E4251"/>
    </row>
    <row r="4252" spans="3:5" x14ac:dyDescent="0.25">
      <c r="C4252"/>
      <c r="D4252"/>
      <c r="E4252"/>
    </row>
    <row r="4253" spans="3:5" x14ac:dyDescent="0.25">
      <c r="C4253"/>
      <c r="D4253"/>
      <c r="E4253"/>
    </row>
    <row r="4254" spans="3:5" x14ac:dyDescent="0.25">
      <c r="C4254"/>
      <c r="D4254"/>
      <c r="E4254"/>
    </row>
    <row r="4255" spans="3:5" x14ac:dyDescent="0.25">
      <c r="C4255"/>
      <c r="D4255"/>
      <c r="E4255"/>
    </row>
    <row r="4256" spans="3:5" x14ac:dyDescent="0.25">
      <c r="C4256"/>
      <c r="D4256"/>
      <c r="E4256"/>
    </row>
    <row r="4257" spans="3:5" x14ac:dyDescent="0.25">
      <c r="C4257"/>
      <c r="D4257"/>
      <c r="E4257"/>
    </row>
    <row r="4258" spans="3:5" x14ac:dyDescent="0.25">
      <c r="C4258"/>
      <c r="D4258"/>
      <c r="E4258"/>
    </row>
    <row r="4259" spans="3:5" x14ac:dyDescent="0.25">
      <c r="C4259"/>
      <c r="D4259"/>
      <c r="E4259"/>
    </row>
    <row r="4260" spans="3:5" x14ac:dyDescent="0.25">
      <c r="C4260"/>
      <c r="D4260"/>
      <c r="E4260"/>
    </row>
    <row r="4261" spans="3:5" x14ac:dyDescent="0.25">
      <c r="C4261"/>
      <c r="D4261"/>
      <c r="E4261"/>
    </row>
    <row r="4262" spans="3:5" x14ac:dyDescent="0.25">
      <c r="C4262"/>
      <c r="D4262"/>
      <c r="E4262"/>
    </row>
    <row r="4263" spans="3:5" x14ac:dyDescent="0.25">
      <c r="C4263"/>
      <c r="D4263"/>
      <c r="E4263"/>
    </row>
    <row r="4264" spans="3:5" x14ac:dyDescent="0.25">
      <c r="C4264"/>
      <c r="D4264"/>
      <c r="E4264"/>
    </row>
    <row r="4265" spans="3:5" x14ac:dyDescent="0.25">
      <c r="C4265"/>
      <c r="D4265"/>
      <c r="E4265"/>
    </row>
    <row r="4266" spans="3:5" x14ac:dyDescent="0.25">
      <c r="C4266"/>
      <c r="D4266"/>
      <c r="E4266"/>
    </row>
    <row r="4267" spans="3:5" x14ac:dyDescent="0.25">
      <c r="C4267"/>
      <c r="D4267"/>
      <c r="E4267"/>
    </row>
    <row r="4268" spans="3:5" x14ac:dyDescent="0.25">
      <c r="C4268"/>
      <c r="D4268"/>
      <c r="E4268"/>
    </row>
    <row r="4269" spans="3:5" x14ac:dyDescent="0.25">
      <c r="C4269"/>
      <c r="D4269"/>
      <c r="E4269"/>
    </row>
    <row r="4270" spans="3:5" x14ac:dyDescent="0.25">
      <c r="C4270"/>
      <c r="D4270"/>
      <c r="E4270"/>
    </row>
    <row r="4271" spans="3:5" x14ac:dyDescent="0.25">
      <c r="C4271"/>
      <c r="D4271"/>
      <c r="E4271"/>
    </row>
    <row r="4272" spans="3:5" x14ac:dyDescent="0.25">
      <c r="C4272"/>
      <c r="D4272"/>
      <c r="E4272"/>
    </row>
    <row r="4273" spans="3:5" x14ac:dyDescent="0.25">
      <c r="C4273"/>
      <c r="D4273"/>
      <c r="E4273"/>
    </row>
    <row r="4274" spans="3:5" x14ac:dyDescent="0.25">
      <c r="C4274"/>
      <c r="D4274"/>
      <c r="E4274"/>
    </row>
    <row r="4275" spans="3:5" x14ac:dyDescent="0.25">
      <c r="C4275"/>
      <c r="D4275"/>
      <c r="E4275"/>
    </row>
    <row r="4276" spans="3:5" x14ac:dyDescent="0.25">
      <c r="C4276"/>
      <c r="D4276"/>
      <c r="E4276"/>
    </row>
    <row r="4277" spans="3:5" x14ac:dyDescent="0.25">
      <c r="C4277"/>
      <c r="D4277"/>
      <c r="E4277"/>
    </row>
    <row r="4278" spans="3:5" x14ac:dyDescent="0.25">
      <c r="C4278"/>
      <c r="D4278"/>
      <c r="E4278"/>
    </row>
    <row r="4279" spans="3:5" x14ac:dyDescent="0.25">
      <c r="C4279"/>
      <c r="D4279"/>
      <c r="E4279"/>
    </row>
    <row r="4280" spans="3:5" x14ac:dyDescent="0.25">
      <c r="C4280"/>
      <c r="D4280"/>
      <c r="E4280"/>
    </row>
    <row r="4281" spans="3:5" x14ac:dyDescent="0.25">
      <c r="C4281"/>
      <c r="D4281"/>
      <c r="E4281"/>
    </row>
    <row r="4282" spans="3:5" x14ac:dyDescent="0.25">
      <c r="C4282"/>
      <c r="D4282"/>
      <c r="E4282"/>
    </row>
    <row r="4283" spans="3:5" x14ac:dyDescent="0.25">
      <c r="C4283"/>
      <c r="D4283"/>
      <c r="E4283"/>
    </row>
    <row r="4284" spans="3:5" x14ac:dyDescent="0.25">
      <c r="C4284"/>
      <c r="D4284"/>
      <c r="E4284"/>
    </row>
    <row r="4285" spans="3:5" x14ac:dyDescent="0.25">
      <c r="C4285"/>
      <c r="D4285"/>
      <c r="E4285"/>
    </row>
    <row r="4286" spans="3:5" x14ac:dyDescent="0.25">
      <c r="C4286"/>
      <c r="D4286"/>
      <c r="E4286"/>
    </row>
    <row r="4287" spans="3:5" x14ac:dyDescent="0.25">
      <c r="C4287"/>
      <c r="D4287"/>
      <c r="E4287"/>
    </row>
    <row r="4288" spans="3:5" x14ac:dyDescent="0.25">
      <c r="C4288"/>
      <c r="D4288"/>
      <c r="E4288"/>
    </row>
    <row r="4289" spans="3:5" x14ac:dyDescent="0.25">
      <c r="C4289"/>
      <c r="D4289"/>
      <c r="E4289"/>
    </row>
    <row r="4290" spans="3:5" x14ac:dyDescent="0.25">
      <c r="C4290"/>
      <c r="D4290"/>
      <c r="E4290"/>
    </row>
    <row r="4291" spans="3:5" x14ac:dyDescent="0.25">
      <c r="C4291"/>
      <c r="D4291"/>
      <c r="E4291"/>
    </row>
    <row r="4292" spans="3:5" x14ac:dyDescent="0.25">
      <c r="C4292"/>
      <c r="D4292"/>
      <c r="E4292"/>
    </row>
    <row r="4293" spans="3:5" x14ac:dyDescent="0.25">
      <c r="C4293"/>
      <c r="D4293"/>
      <c r="E4293"/>
    </row>
    <row r="4294" spans="3:5" x14ac:dyDescent="0.25">
      <c r="C4294"/>
      <c r="D4294"/>
      <c r="E4294"/>
    </row>
    <row r="4295" spans="3:5" x14ac:dyDescent="0.25">
      <c r="C4295"/>
      <c r="D4295"/>
      <c r="E4295"/>
    </row>
    <row r="4296" spans="3:5" x14ac:dyDescent="0.25">
      <c r="C4296"/>
      <c r="D4296"/>
      <c r="E4296"/>
    </row>
    <row r="4297" spans="3:5" x14ac:dyDescent="0.25">
      <c r="C4297"/>
      <c r="D4297"/>
      <c r="E4297"/>
    </row>
    <row r="4298" spans="3:5" x14ac:dyDescent="0.25">
      <c r="C4298"/>
      <c r="D4298"/>
      <c r="E4298"/>
    </row>
    <row r="4299" spans="3:5" x14ac:dyDescent="0.25">
      <c r="C4299"/>
      <c r="D4299"/>
      <c r="E4299"/>
    </row>
    <row r="4300" spans="3:5" x14ac:dyDescent="0.25">
      <c r="C4300"/>
      <c r="D4300"/>
      <c r="E4300"/>
    </row>
    <row r="4301" spans="3:5" x14ac:dyDescent="0.25">
      <c r="C4301"/>
      <c r="D4301"/>
      <c r="E4301"/>
    </row>
    <row r="4302" spans="3:5" x14ac:dyDescent="0.25">
      <c r="C4302"/>
      <c r="D4302"/>
      <c r="E4302"/>
    </row>
    <row r="4303" spans="3:5" x14ac:dyDescent="0.25">
      <c r="C4303"/>
      <c r="D4303"/>
      <c r="E4303"/>
    </row>
    <row r="4304" spans="3:5" x14ac:dyDescent="0.25">
      <c r="C4304"/>
      <c r="D4304"/>
      <c r="E4304"/>
    </row>
    <row r="4305" spans="3:5" x14ac:dyDescent="0.25">
      <c r="C4305"/>
      <c r="D4305"/>
      <c r="E4305"/>
    </row>
    <row r="4306" spans="3:5" x14ac:dyDescent="0.25">
      <c r="C4306"/>
      <c r="D4306"/>
      <c r="E4306"/>
    </row>
    <row r="4307" spans="3:5" x14ac:dyDescent="0.25">
      <c r="C4307"/>
      <c r="D4307"/>
      <c r="E4307"/>
    </row>
    <row r="4308" spans="3:5" x14ac:dyDescent="0.25">
      <c r="C4308"/>
      <c r="D4308"/>
      <c r="E4308"/>
    </row>
    <row r="4309" spans="3:5" x14ac:dyDescent="0.25">
      <c r="C4309"/>
      <c r="D4309"/>
      <c r="E4309"/>
    </row>
    <row r="4310" spans="3:5" x14ac:dyDescent="0.25">
      <c r="C4310"/>
      <c r="D4310"/>
      <c r="E4310"/>
    </row>
    <row r="4311" spans="3:5" x14ac:dyDescent="0.25">
      <c r="C4311"/>
      <c r="D4311"/>
      <c r="E4311"/>
    </row>
    <row r="4312" spans="3:5" x14ac:dyDescent="0.25">
      <c r="C4312"/>
      <c r="D4312"/>
      <c r="E4312"/>
    </row>
    <row r="4313" spans="3:5" x14ac:dyDescent="0.25">
      <c r="C4313"/>
      <c r="D4313"/>
      <c r="E4313"/>
    </row>
    <row r="4314" spans="3:5" x14ac:dyDescent="0.25">
      <c r="C4314"/>
      <c r="D4314"/>
      <c r="E4314"/>
    </row>
    <row r="4315" spans="3:5" x14ac:dyDescent="0.25">
      <c r="C4315"/>
      <c r="D4315"/>
      <c r="E4315"/>
    </row>
    <row r="4316" spans="3:5" x14ac:dyDescent="0.25">
      <c r="C4316"/>
      <c r="D4316"/>
      <c r="E4316"/>
    </row>
    <row r="4317" spans="3:5" x14ac:dyDescent="0.25">
      <c r="C4317"/>
      <c r="D4317"/>
      <c r="E4317"/>
    </row>
    <row r="4318" spans="3:5" x14ac:dyDescent="0.25">
      <c r="C4318"/>
      <c r="D4318"/>
      <c r="E4318"/>
    </row>
    <row r="4319" spans="3:5" x14ac:dyDescent="0.25">
      <c r="C4319"/>
      <c r="D4319"/>
      <c r="E4319"/>
    </row>
    <row r="4320" spans="3:5" x14ac:dyDescent="0.25">
      <c r="C4320"/>
      <c r="D4320"/>
      <c r="E4320"/>
    </row>
    <row r="4321" spans="3:5" x14ac:dyDescent="0.25">
      <c r="C4321"/>
      <c r="D4321"/>
      <c r="E4321"/>
    </row>
    <row r="4322" spans="3:5" x14ac:dyDescent="0.25">
      <c r="C4322"/>
      <c r="D4322"/>
      <c r="E4322"/>
    </row>
    <row r="4323" spans="3:5" x14ac:dyDescent="0.25">
      <c r="C4323"/>
      <c r="D4323"/>
      <c r="E4323"/>
    </row>
    <row r="4324" spans="3:5" x14ac:dyDescent="0.25">
      <c r="C4324"/>
      <c r="D4324"/>
      <c r="E4324"/>
    </row>
    <row r="4325" spans="3:5" x14ac:dyDescent="0.25">
      <c r="C4325"/>
      <c r="D4325"/>
      <c r="E4325"/>
    </row>
    <row r="4326" spans="3:5" x14ac:dyDescent="0.25">
      <c r="C4326"/>
      <c r="D4326"/>
      <c r="E4326"/>
    </row>
    <row r="4327" spans="3:5" x14ac:dyDescent="0.25">
      <c r="C4327"/>
      <c r="D4327"/>
      <c r="E4327"/>
    </row>
    <row r="4328" spans="3:5" x14ac:dyDescent="0.25">
      <c r="C4328"/>
      <c r="D4328"/>
      <c r="E4328"/>
    </row>
    <row r="4329" spans="3:5" x14ac:dyDescent="0.25">
      <c r="C4329"/>
      <c r="D4329"/>
      <c r="E4329"/>
    </row>
    <row r="4330" spans="3:5" x14ac:dyDescent="0.25">
      <c r="C4330"/>
      <c r="D4330"/>
      <c r="E4330"/>
    </row>
    <row r="4331" spans="3:5" x14ac:dyDescent="0.25">
      <c r="C4331"/>
      <c r="D4331"/>
      <c r="E4331"/>
    </row>
    <row r="4332" spans="3:5" x14ac:dyDescent="0.25">
      <c r="C4332"/>
      <c r="D4332"/>
      <c r="E4332"/>
    </row>
    <row r="4333" spans="3:5" x14ac:dyDescent="0.25">
      <c r="C4333"/>
      <c r="D4333"/>
      <c r="E4333"/>
    </row>
    <row r="4334" spans="3:5" x14ac:dyDescent="0.25">
      <c r="C4334"/>
      <c r="D4334"/>
      <c r="E4334"/>
    </row>
    <row r="4335" spans="3:5" x14ac:dyDescent="0.25">
      <c r="C4335"/>
      <c r="D4335"/>
      <c r="E4335"/>
    </row>
    <row r="4336" spans="3:5" x14ac:dyDescent="0.25">
      <c r="C4336"/>
      <c r="D4336"/>
      <c r="E4336"/>
    </row>
    <row r="4337" spans="3:5" x14ac:dyDescent="0.25">
      <c r="C4337"/>
      <c r="D4337"/>
      <c r="E4337"/>
    </row>
    <row r="4338" spans="3:5" x14ac:dyDescent="0.25">
      <c r="C4338"/>
      <c r="D4338"/>
      <c r="E4338"/>
    </row>
    <row r="4339" spans="3:5" x14ac:dyDescent="0.25">
      <c r="C4339"/>
      <c r="D4339"/>
      <c r="E4339"/>
    </row>
    <row r="4340" spans="3:5" x14ac:dyDescent="0.25">
      <c r="C4340"/>
      <c r="D4340"/>
      <c r="E4340"/>
    </row>
    <row r="4341" spans="3:5" x14ac:dyDescent="0.25">
      <c r="C4341"/>
      <c r="D4341"/>
      <c r="E4341"/>
    </row>
    <row r="4342" spans="3:5" x14ac:dyDescent="0.25">
      <c r="C4342"/>
      <c r="D4342"/>
      <c r="E4342"/>
    </row>
    <row r="4343" spans="3:5" x14ac:dyDescent="0.25">
      <c r="C4343"/>
      <c r="D4343"/>
      <c r="E4343"/>
    </row>
    <row r="4344" spans="3:5" x14ac:dyDescent="0.25">
      <c r="C4344"/>
      <c r="D4344"/>
      <c r="E4344"/>
    </row>
    <row r="4345" spans="3:5" x14ac:dyDescent="0.25">
      <c r="C4345"/>
      <c r="D4345"/>
      <c r="E4345"/>
    </row>
    <row r="4346" spans="3:5" x14ac:dyDescent="0.25">
      <c r="C4346"/>
      <c r="D4346"/>
      <c r="E4346"/>
    </row>
    <row r="4347" spans="3:5" x14ac:dyDescent="0.25">
      <c r="C4347"/>
      <c r="D4347"/>
      <c r="E4347"/>
    </row>
    <row r="4348" spans="3:5" x14ac:dyDescent="0.25">
      <c r="C4348"/>
      <c r="D4348"/>
      <c r="E4348"/>
    </row>
    <row r="4349" spans="3:5" x14ac:dyDescent="0.25">
      <c r="C4349"/>
      <c r="D4349"/>
      <c r="E4349"/>
    </row>
    <row r="4350" spans="3:5" x14ac:dyDescent="0.25">
      <c r="C4350"/>
      <c r="D4350"/>
      <c r="E4350"/>
    </row>
    <row r="4351" spans="3:5" x14ac:dyDescent="0.25">
      <c r="C4351"/>
      <c r="D4351"/>
      <c r="E4351"/>
    </row>
    <row r="4352" spans="3:5" x14ac:dyDescent="0.25">
      <c r="C4352"/>
      <c r="D4352"/>
      <c r="E4352"/>
    </row>
    <row r="4353" spans="3:5" x14ac:dyDescent="0.25">
      <c r="C4353"/>
      <c r="D4353"/>
      <c r="E4353"/>
    </row>
    <row r="4354" spans="3:5" x14ac:dyDescent="0.25">
      <c r="C4354"/>
      <c r="D4354"/>
      <c r="E4354"/>
    </row>
    <row r="4355" spans="3:5" x14ac:dyDescent="0.25">
      <c r="C4355"/>
      <c r="D4355"/>
      <c r="E4355"/>
    </row>
    <row r="4356" spans="3:5" x14ac:dyDescent="0.25">
      <c r="C4356"/>
      <c r="D4356"/>
      <c r="E4356"/>
    </row>
    <row r="4357" spans="3:5" x14ac:dyDescent="0.25">
      <c r="C4357"/>
      <c r="D4357"/>
      <c r="E4357"/>
    </row>
    <row r="4358" spans="3:5" x14ac:dyDescent="0.25">
      <c r="C4358"/>
      <c r="D4358"/>
      <c r="E4358"/>
    </row>
    <row r="4359" spans="3:5" x14ac:dyDescent="0.25">
      <c r="C4359"/>
      <c r="D4359"/>
      <c r="E4359"/>
    </row>
    <row r="4360" spans="3:5" x14ac:dyDescent="0.25">
      <c r="C4360"/>
      <c r="D4360"/>
      <c r="E4360"/>
    </row>
    <row r="4361" spans="3:5" x14ac:dyDescent="0.25">
      <c r="C4361"/>
      <c r="D4361"/>
      <c r="E4361"/>
    </row>
    <row r="4362" spans="3:5" x14ac:dyDescent="0.25">
      <c r="C4362"/>
      <c r="D4362"/>
      <c r="E4362"/>
    </row>
    <row r="4363" spans="3:5" x14ac:dyDescent="0.25">
      <c r="C4363"/>
      <c r="D4363"/>
      <c r="E4363"/>
    </row>
    <row r="4364" spans="3:5" x14ac:dyDescent="0.25">
      <c r="C4364"/>
      <c r="D4364"/>
      <c r="E4364"/>
    </row>
    <row r="4365" spans="3:5" x14ac:dyDescent="0.25">
      <c r="C4365"/>
      <c r="D4365"/>
      <c r="E4365"/>
    </row>
    <row r="4366" spans="3:5" x14ac:dyDescent="0.25">
      <c r="C4366"/>
      <c r="D4366"/>
      <c r="E4366"/>
    </row>
    <row r="4367" spans="3:5" x14ac:dyDescent="0.25">
      <c r="C4367"/>
      <c r="D4367"/>
      <c r="E4367"/>
    </row>
    <row r="4368" spans="3:5" x14ac:dyDescent="0.25">
      <c r="C4368"/>
      <c r="D4368"/>
      <c r="E4368"/>
    </row>
    <row r="4369" spans="3:5" x14ac:dyDescent="0.25">
      <c r="C4369"/>
      <c r="D4369"/>
      <c r="E4369"/>
    </row>
    <row r="4370" spans="3:5" x14ac:dyDescent="0.25">
      <c r="C4370"/>
      <c r="D4370"/>
      <c r="E4370"/>
    </row>
    <row r="4371" spans="3:5" x14ac:dyDescent="0.25">
      <c r="C4371"/>
      <c r="D4371"/>
      <c r="E4371"/>
    </row>
    <row r="4372" spans="3:5" x14ac:dyDescent="0.25">
      <c r="C4372"/>
      <c r="D4372"/>
      <c r="E4372"/>
    </row>
    <row r="4373" spans="3:5" x14ac:dyDescent="0.25">
      <c r="C4373"/>
      <c r="D4373"/>
      <c r="E4373"/>
    </row>
    <row r="4374" spans="3:5" x14ac:dyDescent="0.25">
      <c r="C4374"/>
      <c r="D4374"/>
      <c r="E4374"/>
    </row>
    <row r="4375" spans="3:5" x14ac:dyDescent="0.25">
      <c r="C4375"/>
      <c r="D4375"/>
      <c r="E4375"/>
    </row>
    <row r="4376" spans="3:5" x14ac:dyDescent="0.25">
      <c r="C4376"/>
      <c r="D4376"/>
      <c r="E4376"/>
    </row>
    <row r="4377" spans="3:5" x14ac:dyDescent="0.25">
      <c r="C4377"/>
      <c r="D4377"/>
      <c r="E4377"/>
    </row>
    <row r="4378" spans="3:5" x14ac:dyDescent="0.25">
      <c r="C4378"/>
      <c r="D4378"/>
      <c r="E4378"/>
    </row>
    <row r="4379" spans="3:5" x14ac:dyDescent="0.25">
      <c r="C4379"/>
      <c r="D4379"/>
      <c r="E4379"/>
    </row>
    <row r="4380" spans="3:5" x14ac:dyDescent="0.25">
      <c r="C4380"/>
      <c r="D4380"/>
      <c r="E4380"/>
    </row>
    <row r="4381" spans="3:5" x14ac:dyDescent="0.25">
      <c r="C4381"/>
      <c r="D4381"/>
      <c r="E4381"/>
    </row>
    <row r="4382" spans="3:5" x14ac:dyDescent="0.25">
      <c r="C4382"/>
      <c r="D4382"/>
      <c r="E4382"/>
    </row>
    <row r="4383" spans="3:5" x14ac:dyDescent="0.25">
      <c r="C4383"/>
      <c r="D4383"/>
      <c r="E4383"/>
    </row>
    <row r="4384" spans="3:5" x14ac:dyDescent="0.25">
      <c r="C4384"/>
      <c r="D4384"/>
      <c r="E4384"/>
    </row>
    <row r="4385" spans="3:5" x14ac:dyDescent="0.25">
      <c r="C4385"/>
      <c r="D4385"/>
      <c r="E4385"/>
    </row>
    <row r="4386" spans="3:5" x14ac:dyDescent="0.25">
      <c r="C4386"/>
      <c r="D4386"/>
      <c r="E4386"/>
    </row>
    <row r="4387" spans="3:5" x14ac:dyDescent="0.25">
      <c r="C4387"/>
      <c r="D4387"/>
      <c r="E4387"/>
    </row>
    <row r="4388" spans="3:5" x14ac:dyDescent="0.25">
      <c r="C4388"/>
      <c r="D4388"/>
      <c r="E4388"/>
    </row>
    <row r="4389" spans="3:5" x14ac:dyDescent="0.25">
      <c r="C4389"/>
      <c r="D4389"/>
      <c r="E4389"/>
    </row>
    <row r="4390" spans="3:5" x14ac:dyDescent="0.25">
      <c r="C4390"/>
      <c r="D4390"/>
      <c r="E4390"/>
    </row>
    <row r="4391" spans="3:5" x14ac:dyDescent="0.25">
      <c r="C4391"/>
      <c r="D4391"/>
      <c r="E4391"/>
    </row>
    <row r="4392" spans="3:5" x14ac:dyDescent="0.25">
      <c r="C4392"/>
      <c r="D4392"/>
      <c r="E4392"/>
    </row>
    <row r="4393" spans="3:5" x14ac:dyDescent="0.25">
      <c r="C4393"/>
      <c r="D4393"/>
      <c r="E4393"/>
    </row>
    <row r="4394" spans="3:5" x14ac:dyDescent="0.25">
      <c r="C4394"/>
      <c r="D4394"/>
      <c r="E4394"/>
    </row>
    <row r="4395" spans="3:5" x14ac:dyDescent="0.25">
      <c r="C4395"/>
      <c r="D4395"/>
      <c r="E4395"/>
    </row>
    <row r="4396" spans="3:5" x14ac:dyDescent="0.25">
      <c r="C4396"/>
      <c r="D4396"/>
      <c r="E4396"/>
    </row>
    <row r="4397" spans="3:5" x14ac:dyDescent="0.25">
      <c r="C4397"/>
      <c r="D4397"/>
      <c r="E4397"/>
    </row>
    <row r="4398" spans="3:5" x14ac:dyDescent="0.25">
      <c r="C4398"/>
      <c r="D4398"/>
      <c r="E4398"/>
    </row>
    <row r="4399" spans="3:5" x14ac:dyDescent="0.25">
      <c r="C4399"/>
      <c r="D4399"/>
      <c r="E4399"/>
    </row>
    <row r="4400" spans="3:5" x14ac:dyDescent="0.25">
      <c r="C4400"/>
      <c r="D4400"/>
      <c r="E4400"/>
    </row>
    <row r="4401" spans="3:5" x14ac:dyDescent="0.25">
      <c r="C4401"/>
      <c r="D4401"/>
      <c r="E4401"/>
    </row>
    <row r="4402" spans="3:5" x14ac:dyDescent="0.25">
      <c r="C4402"/>
      <c r="D4402"/>
      <c r="E4402"/>
    </row>
    <row r="4403" spans="3:5" x14ac:dyDescent="0.25">
      <c r="C4403"/>
      <c r="D4403"/>
      <c r="E4403"/>
    </row>
    <row r="4404" spans="3:5" x14ac:dyDescent="0.25">
      <c r="C4404"/>
      <c r="D4404"/>
      <c r="E4404"/>
    </row>
    <row r="4405" spans="3:5" x14ac:dyDescent="0.25">
      <c r="C4405"/>
      <c r="D4405"/>
      <c r="E4405"/>
    </row>
    <row r="4406" spans="3:5" x14ac:dyDescent="0.25">
      <c r="C4406"/>
      <c r="D4406"/>
      <c r="E4406"/>
    </row>
    <row r="4407" spans="3:5" x14ac:dyDescent="0.25">
      <c r="C4407"/>
      <c r="D4407"/>
      <c r="E4407"/>
    </row>
    <row r="4408" spans="3:5" x14ac:dyDescent="0.25">
      <c r="C4408"/>
      <c r="D4408"/>
      <c r="E4408"/>
    </row>
    <row r="4409" spans="3:5" x14ac:dyDescent="0.25">
      <c r="C4409"/>
      <c r="D4409"/>
      <c r="E4409"/>
    </row>
    <row r="4410" spans="3:5" x14ac:dyDescent="0.25">
      <c r="C4410"/>
      <c r="D4410"/>
      <c r="E4410"/>
    </row>
    <row r="4411" spans="3:5" x14ac:dyDescent="0.25">
      <c r="C4411"/>
      <c r="D4411"/>
      <c r="E4411"/>
    </row>
    <row r="4412" spans="3:5" x14ac:dyDescent="0.25">
      <c r="C4412"/>
      <c r="D4412"/>
      <c r="E4412"/>
    </row>
    <row r="4413" spans="3:5" x14ac:dyDescent="0.25">
      <c r="C4413"/>
      <c r="D4413"/>
      <c r="E4413"/>
    </row>
    <row r="4414" spans="3:5" x14ac:dyDescent="0.25">
      <c r="C4414"/>
      <c r="D4414"/>
      <c r="E4414"/>
    </row>
    <row r="4415" spans="3:5" x14ac:dyDescent="0.25">
      <c r="C4415"/>
      <c r="D4415"/>
      <c r="E4415"/>
    </row>
    <row r="4416" spans="3:5" x14ac:dyDescent="0.25">
      <c r="C4416"/>
      <c r="D4416"/>
      <c r="E4416"/>
    </row>
    <row r="4417" spans="3:5" x14ac:dyDescent="0.25">
      <c r="C4417"/>
      <c r="D4417"/>
      <c r="E4417"/>
    </row>
    <row r="4418" spans="3:5" x14ac:dyDescent="0.25">
      <c r="C4418"/>
      <c r="D4418"/>
      <c r="E4418"/>
    </row>
    <row r="4419" spans="3:5" x14ac:dyDescent="0.25">
      <c r="C4419"/>
      <c r="D4419"/>
      <c r="E4419"/>
    </row>
    <row r="4420" spans="3:5" x14ac:dyDescent="0.25">
      <c r="C4420"/>
      <c r="D4420"/>
      <c r="E4420"/>
    </row>
    <row r="4421" spans="3:5" x14ac:dyDescent="0.25">
      <c r="C4421"/>
      <c r="D4421"/>
      <c r="E4421"/>
    </row>
    <row r="4422" spans="3:5" x14ac:dyDescent="0.25">
      <c r="C4422"/>
      <c r="D4422"/>
      <c r="E4422"/>
    </row>
    <row r="4423" spans="3:5" x14ac:dyDescent="0.25">
      <c r="C4423"/>
      <c r="D4423"/>
      <c r="E4423"/>
    </row>
    <row r="4424" spans="3:5" x14ac:dyDescent="0.25">
      <c r="C4424"/>
      <c r="D4424"/>
      <c r="E4424"/>
    </row>
    <row r="4425" spans="3:5" x14ac:dyDescent="0.25">
      <c r="C4425"/>
      <c r="D4425"/>
      <c r="E4425"/>
    </row>
    <row r="4426" spans="3:5" x14ac:dyDescent="0.25">
      <c r="C4426"/>
      <c r="D4426"/>
      <c r="E4426"/>
    </row>
    <row r="4427" spans="3:5" x14ac:dyDescent="0.25">
      <c r="C4427"/>
      <c r="D4427"/>
      <c r="E4427"/>
    </row>
    <row r="4428" spans="3:5" x14ac:dyDescent="0.25">
      <c r="C4428"/>
      <c r="D4428"/>
      <c r="E4428"/>
    </row>
    <row r="4429" spans="3:5" x14ac:dyDescent="0.25">
      <c r="C4429"/>
      <c r="D4429"/>
      <c r="E4429"/>
    </row>
    <row r="4430" spans="3:5" x14ac:dyDescent="0.25">
      <c r="C4430"/>
      <c r="D4430"/>
      <c r="E4430"/>
    </row>
    <row r="4431" spans="3:5" x14ac:dyDescent="0.25">
      <c r="C4431"/>
      <c r="D4431"/>
      <c r="E4431"/>
    </row>
    <row r="4432" spans="3:5" x14ac:dyDescent="0.25">
      <c r="C4432"/>
      <c r="D4432"/>
      <c r="E4432"/>
    </row>
    <row r="4433" spans="3:5" x14ac:dyDescent="0.25">
      <c r="C4433"/>
      <c r="D4433"/>
      <c r="E4433"/>
    </row>
    <row r="4434" spans="3:5" x14ac:dyDescent="0.25">
      <c r="C4434"/>
      <c r="D4434"/>
      <c r="E4434"/>
    </row>
    <row r="4435" spans="3:5" x14ac:dyDescent="0.25">
      <c r="C4435"/>
      <c r="D4435"/>
      <c r="E4435"/>
    </row>
    <row r="4436" spans="3:5" x14ac:dyDescent="0.25">
      <c r="C4436"/>
      <c r="D4436"/>
      <c r="E4436"/>
    </row>
    <row r="4437" spans="3:5" x14ac:dyDescent="0.25">
      <c r="C4437"/>
      <c r="D4437"/>
      <c r="E4437"/>
    </row>
    <row r="4438" spans="3:5" x14ac:dyDescent="0.25">
      <c r="C4438"/>
      <c r="D4438"/>
      <c r="E4438"/>
    </row>
    <row r="4439" spans="3:5" x14ac:dyDescent="0.25">
      <c r="C4439"/>
      <c r="D4439"/>
      <c r="E4439"/>
    </row>
    <row r="4440" spans="3:5" x14ac:dyDescent="0.25">
      <c r="C4440"/>
      <c r="D4440"/>
      <c r="E4440"/>
    </row>
    <row r="4441" spans="3:5" x14ac:dyDescent="0.25">
      <c r="C4441"/>
      <c r="D4441"/>
      <c r="E4441"/>
    </row>
    <row r="4442" spans="3:5" x14ac:dyDescent="0.25">
      <c r="C4442"/>
      <c r="D4442"/>
      <c r="E4442"/>
    </row>
    <row r="4443" spans="3:5" x14ac:dyDescent="0.25">
      <c r="C4443"/>
      <c r="D4443"/>
      <c r="E4443"/>
    </row>
    <row r="4444" spans="3:5" x14ac:dyDescent="0.25">
      <c r="C4444"/>
      <c r="D4444"/>
      <c r="E4444"/>
    </row>
    <row r="4445" spans="3:5" x14ac:dyDescent="0.25">
      <c r="C4445"/>
      <c r="D4445"/>
      <c r="E4445"/>
    </row>
    <row r="4446" spans="3:5" x14ac:dyDescent="0.25">
      <c r="C4446"/>
      <c r="D4446"/>
      <c r="E4446"/>
    </row>
    <row r="4447" spans="3:5" x14ac:dyDescent="0.25">
      <c r="C4447"/>
      <c r="D4447"/>
      <c r="E4447"/>
    </row>
    <row r="4448" spans="3:5" x14ac:dyDescent="0.25">
      <c r="C4448"/>
      <c r="D4448"/>
      <c r="E4448"/>
    </row>
    <row r="4449" spans="3:5" x14ac:dyDescent="0.25">
      <c r="C4449"/>
      <c r="D4449"/>
      <c r="E4449"/>
    </row>
    <row r="4450" spans="3:5" x14ac:dyDescent="0.25">
      <c r="C4450"/>
      <c r="D4450"/>
      <c r="E4450"/>
    </row>
    <row r="4451" spans="3:5" x14ac:dyDescent="0.25">
      <c r="C4451"/>
      <c r="D4451"/>
      <c r="E4451"/>
    </row>
    <row r="4452" spans="3:5" x14ac:dyDescent="0.25">
      <c r="C4452"/>
      <c r="D4452"/>
      <c r="E4452"/>
    </row>
    <row r="4453" spans="3:5" x14ac:dyDescent="0.25">
      <c r="C4453"/>
      <c r="D4453"/>
      <c r="E4453"/>
    </row>
    <row r="4454" spans="3:5" x14ac:dyDescent="0.25">
      <c r="C4454"/>
      <c r="D4454"/>
      <c r="E4454"/>
    </row>
    <row r="4455" spans="3:5" x14ac:dyDescent="0.25">
      <c r="C4455"/>
      <c r="D4455"/>
      <c r="E4455"/>
    </row>
    <row r="4456" spans="3:5" x14ac:dyDescent="0.25">
      <c r="C4456"/>
      <c r="D4456"/>
      <c r="E4456"/>
    </row>
    <row r="4457" spans="3:5" x14ac:dyDescent="0.25">
      <c r="C4457"/>
      <c r="D4457"/>
      <c r="E4457"/>
    </row>
    <row r="4458" spans="3:5" x14ac:dyDescent="0.25">
      <c r="C4458"/>
      <c r="D4458"/>
      <c r="E4458"/>
    </row>
    <row r="4459" spans="3:5" x14ac:dyDescent="0.25">
      <c r="C4459"/>
      <c r="D4459"/>
      <c r="E4459"/>
    </row>
    <row r="4460" spans="3:5" x14ac:dyDescent="0.25">
      <c r="C4460"/>
      <c r="D4460"/>
      <c r="E4460"/>
    </row>
    <row r="4461" spans="3:5" x14ac:dyDescent="0.25">
      <c r="C4461"/>
      <c r="D4461"/>
      <c r="E4461"/>
    </row>
    <row r="4462" spans="3:5" x14ac:dyDescent="0.25">
      <c r="C4462"/>
      <c r="D4462"/>
      <c r="E4462"/>
    </row>
    <row r="1041539" spans="3:4" x14ac:dyDescent="0.25">
      <c r="C1041539" s="1"/>
      <c r="D1041539" s="1"/>
    </row>
    <row r="1041929" spans="3:4" x14ac:dyDescent="0.25">
      <c r="C1041929" s="1"/>
      <c r="D1041929" s="1"/>
    </row>
    <row r="1041992" spans="3:4" x14ac:dyDescent="0.25">
      <c r="C1041992" s="1"/>
      <c r="D1041992" s="1"/>
    </row>
    <row r="1042000" spans="3:4" x14ac:dyDescent="0.25">
      <c r="C1042000" s="1"/>
      <c r="D1042000" s="1"/>
    </row>
    <row r="1042024" spans="3:4" x14ac:dyDescent="0.25">
      <c r="C1042024" s="1"/>
      <c r="D1042024" s="1"/>
    </row>
  </sheetData>
  <autoFilter ref="C1:E58"/>
  <sortState ref="C2:D58">
    <sortCondition ref="C1"/>
  </sortState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B1:F1095"/>
  <sheetViews>
    <sheetView workbookViewId="0">
      <selection activeCell="I26" sqref="I26"/>
    </sheetView>
  </sheetViews>
  <sheetFormatPr defaultRowHeight="15" x14ac:dyDescent="0.25"/>
  <cols>
    <col min="2" max="2" width="22" customWidth="1"/>
    <col min="3" max="3" width="23.140625" style="17" customWidth="1"/>
    <col min="4" max="4" width="21.5703125" style="17" customWidth="1"/>
    <col min="5" max="5" width="22.140625" style="17" customWidth="1"/>
    <col min="6" max="6" width="14.85546875" customWidth="1"/>
    <col min="10" max="10" width="37.42578125" customWidth="1"/>
    <col min="11" max="11" width="20.85546875" customWidth="1"/>
    <col min="12" max="12" width="13.5703125" bestFit="1" customWidth="1"/>
    <col min="13" max="13" width="11" customWidth="1"/>
    <col min="14" max="14" width="12" customWidth="1"/>
    <col min="15" max="15" width="12" bestFit="1" customWidth="1"/>
  </cols>
  <sheetData>
    <row r="1" spans="2:6" ht="51.75" customHeight="1" x14ac:dyDescent="0.25">
      <c r="B1" s="222" t="s">
        <v>54</v>
      </c>
      <c r="C1" s="222"/>
      <c r="D1" s="222"/>
      <c r="E1" s="222"/>
      <c r="F1" s="222"/>
    </row>
    <row r="2" spans="2:6" x14ac:dyDescent="0.25">
      <c r="B2" s="20"/>
      <c r="C2" s="60"/>
      <c r="D2" s="60"/>
      <c r="E2" s="60"/>
      <c r="F2" s="20"/>
    </row>
    <row r="3" spans="2:6" x14ac:dyDescent="0.25">
      <c r="B3" s="16" t="s">
        <v>7</v>
      </c>
      <c r="C3" s="58" t="s">
        <v>12</v>
      </c>
    </row>
    <row r="5" spans="2:6" ht="30" x14ac:dyDescent="0.25">
      <c r="B5" s="57" t="s">
        <v>52</v>
      </c>
      <c r="C5" s="59" t="s">
        <v>47</v>
      </c>
    </row>
    <row r="6" spans="2:6" ht="30" x14ac:dyDescent="0.25">
      <c r="B6" s="16" t="s">
        <v>46</v>
      </c>
      <c r="C6" t="s">
        <v>297</v>
      </c>
      <c r="D6" t="s">
        <v>295</v>
      </c>
      <c r="E6" t="s">
        <v>296</v>
      </c>
      <c r="F6" s="19" t="s">
        <v>53</v>
      </c>
    </row>
    <row r="7" spans="2:6" x14ac:dyDescent="0.25">
      <c r="B7" s="98" t="s">
        <v>2158</v>
      </c>
      <c r="C7" s="55">
        <v>1</v>
      </c>
      <c r="D7" s="55">
        <v>1</v>
      </c>
      <c r="E7" s="55"/>
      <c r="F7" s="18" t="str">
        <f>IF(D7&gt;0,"высокий",IF(C7&gt;0,"средний","низкий"))</f>
        <v>высокий</v>
      </c>
    </row>
    <row r="8" spans="2:6" x14ac:dyDescent="0.25">
      <c r="B8" s="98" t="s">
        <v>2159</v>
      </c>
      <c r="C8" s="55"/>
      <c r="D8" s="55">
        <v>2</v>
      </c>
      <c r="E8" s="55"/>
      <c r="F8" s="18" t="str">
        <f t="shared" ref="F8:F71" si="0">IF(D8&gt;0,"высокий",IF(C8&gt;0,"средний","низкий"))</f>
        <v>высокий</v>
      </c>
    </row>
    <row r="9" spans="2:6" x14ac:dyDescent="0.25">
      <c r="B9" s="98" t="s">
        <v>2160</v>
      </c>
      <c r="C9" s="55"/>
      <c r="D9" s="55">
        <v>2</v>
      </c>
      <c r="E9" s="55"/>
      <c r="F9" s="18" t="str">
        <f t="shared" si="0"/>
        <v>высокий</v>
      </c>
    </row>
    <row r="10" spans="2:6" x14ac:dyDescent="0.25">
      <c r="B10" s="98" t="s">
        <v>2161</v>
      </c>
      <c r="C10" s="55">
        <v>2</v>
      </c>
      <c r="D10" s="55"/>
      <c r="E10" s="55"/>
      <c r="F10" s="18" t="str">
        <f t="shared" si="0"/>
        <v>средний</v>
      </c>
    </row>
    <row r="11" spans="2:6" x14ac:dyDescent="0.25">
      <c r="B11" s="98" t="s">
        <v>2162</v>
      </c>
      <c r="C11" s="55"/>
      <c r="D11" s="55">
        <v>1</v>
      </c>
      <c r="E11" s="55">
        <v>1</v>
      </c>
      <c r="F11" s="18" t="str">
        <f t="shared" si="0"/>
        <v>высокий</v>
      </c>
    </row>
    <row r="12" spans="2:6" x14ac:dyDescent="0.25">
      <c r="B12" s="98" t="s">
        <v>2163</v>
      </c>
      <c r="C12" s="55">
        <v>1</v>
      </c>
      <c r="D12" s="55"/>
      <c r="E12" s="55">
        <v>1</v>
      </c>
      <c r="F12" s="18" t="str">
        <f t="shared" si="0"/>
        <v>средний</v>
      </c>
    </row>
    <row r="13" spans="2:6" x14ac:dyDescent="0.25">
      <c r="B13" s="98" t="s">
        <v>2164</v>
      </c>
      <c r="C13" s="55">
        <v>1</v>
      </c>
      <c r="D13" s="55">
        <v>1</v>
      </c>
      <c r="E13" s="55"/>
      <c r="F13" s="18" t="str">
        <f t="shared" si="0"/>
        <v>высокий</v>
      </c>
    </row>
    <row r="14" spans="2:6" x14ac:dyDescent="0.25">
      <c r="B14" s="98" t="s">
        <v>2165</v>
      </c>
      <c r="C14" s="55"/>
      <c r="D14" s="55">
        <v>3</v>
      </c>
      <c r="E14" s="55"/>
      <c r="F14" s="18" t="str">
        <f t="shared" si="0"/>
        <v>высокий</v>
      </c>
    </row>
    <row r="15" spans="2:6" x14ac:dyDescent="0.25">
      <c r="B15" s="98" t="s">
        <v>2166</v>
      </c>
      <c r="C15" s="55">
        <v>2</v>
      </c>
      <c r="D15" s="55"/>
      <c r="E15" s="55"/>
      <c r="F15" s="18" t="str">
        <f t="shared" si="0"/>
        <v>средний</v>
      </c>
    </row>
    <row r="16" spans="2:6" x14ac:dyDescent="0.25">
      <c r="B16" s="98" t="s">
        <v>2167</v>
      </c>
      <c r="C16" s="55">
        <v>1</v>
      </c>
      <c r="D16" s="55"/>
      <c r="E16" s="55">
        <v>1</v>
      </c>
      <c r="F16" s="18" t="str">
        <f t="shared" si="0"/>
        <v>средний</v>
      </c>
    </row>
    <row r="17" spans="2:6" x14ac:dyDescent="0.25">
      <c r="B17" s="98" t="s">
        <v>2168</v>
      </c>
      <c r="C17" s="55">
        <v>1</v>
      </c>
      <c r="D17" s="55"/>
      <c r="E17" s="55">
        <v>2</v>
      </c>
      <c r="F17" s="18" t="str">
        <f t="shared" si="0"/>
        <v>средний</v>
      </c>
    </row>
    <row r="18" spans="2:6" x14ac:dyDescent="0.25">
      <c r="B18" s="98" t="s">
        <v>2169</v>
      </c>
      <c r="C18" s="55"/>
      <c r="D18" s="55"/>
      <c r="E18" s="55">
        <v>1</v>
      </c>
      <c r="F18" s="18" t="str">
        <f t="shared" si="0"/>
        <v>низкий</v>
      </c>
    </row>
    <row r="19" spans="2:6" x14ac:dyDescent="0.25">
      <c r="B19" s="98" t="s">
        <v>2170</v>
      </c>
      <c r="C19" s="55"/>
      <c r="D19" s="55"/>
      <c r="E19" s="55">
        <v>1</v>
      </c>
      <c r="F19" s="18" t="str">
        <f t="shared" si="0"/>
        <v>низкий</v>
      </c>
    </row>
    <row r="20" spans="2:6" x14ac:dyDescent="0.25">
      <c r="B20" s="98" t="s">
        <v>2171</v>
      </c>
      <c r="C20" s="55"/>
      <c r="D20" s="55"/>
      <c r="E20" s="55">
        <v>1</v>
      </c>
      <c r="F20" s="18" t="str">
        <f t="shared" si="0"/>
        <v>низкий</v>
      </c>
    </row>
    <row r="21" spans="2:6" x14ac:dyDescent="0.25">
      <c r="B21" s="98" t="s">
        <v>2172</v>
      </c>
      <c r="C21" s="55"/>
      <c r="D21" s="55"/>
      <c r="E21" s="55">
        <v>2</v>
      </c>
      <c r="F21" s="18" t="str">
        <f t="shared" si="0"/>
        <v>низкий</v>
      </c>
    </row>
    <row r="22" spans="2:6" x14ac:dyDescent="0.25">
      <c r="B22" s="98" t="s">
        <v>2173</v>
      </c>
      <c r="C22" s="55"/>
      <c r="D22" s="55"/>
      <c r="E22" s="55">
        <v>1</v>
      </c>
      <c r="F22" s="18" t="str">
        <f t="shared" si="0"/>
        <v>низкий</v>
      </c>
    </row>
    <row r="23" spans="2:6" x14ac:dyDescent="0.25">
      <c r="B23" s="98" t="s">
        <v>2174</v>
      </c>
      <c r="C23" s="55"/>
      <c r="D23" s="55"/>
      <c r="E23" s="55">
        <v>1</v>
      </c>
      <c r="F23" s="18" t="str">
        <f t="shared" si="0"/>
        <v>низкий</v>
      </c>
    </row>
    <row r="24" spans="2:6" x14ac:dyDescent="0.25">
      <c r="B24" s="98" t="s">
        <v>2175</v>
      </c>
      <c r="C24" s="55"/>
      <c r="D24" s="55"/>
      <c r="E24" s="55">
        <v>2</v>
      </c>
      <c r="F24" s="18" t="str">
        <f t="shared" si="0"/>
        <v>низкий</v>
      </c>
    </row>
    <row r="25" spans="2:6" x14ac:dyDescent="0.25">
      <c r="B25" s="98" t="s">
        <v>2176</v>
      </c>
      <c r="C25" s="55"/>
      <c r="D25" s="55"/>
      <c r="E25" s="55">
        <v>1</v>
      </c>
      <c r="F25" s="18" t="str">
        <f t="shared" si="0"/>
        <v>низкий</v>
      </c>
    </row>
    <row r="26" spans="2:6" x14ac:dyDescent="0.25">
      <c r="B26" s="98" t="s">
        <v>2177</v>
      </c>
      <c r="C26" s="55"/>
      <c r="D26" s="55"/>
      <c r="E26" s="55">
        <v>2</v>
      </c>
      <c r="F26" s="18" t="str">
        <f t="shared" si="0"/>
        <v>низкий</v>
      </c>
    </row>
    <row r="27" spans="2:6" x14ac:dyDescent="0.25">
      <c r="B27" s="98" t="s">
        <v>2179</v>
      </c>
      <c r="C27" s="55">
        <v>1</v>
      </c>
      <c r="D27" s="55"/>
      <c r="E27" s="55">
        <v>1</v>
      </c>
      <c r="F27" s="18" t="str">
        <f t="shared" si="0"/>
        <v>средний</v>
      </c>
    </row>
    <row r="28" spans="2:6" x14ac:dyDescent="0.25">
      <c r="B28" s="98" t="s">
        <v>2180</v>
      </c>
      <c r="C28" s="55"/>
      <c r="D28" s="55"/>
      <c r="E28" s="55">
        <v>2</v>
      </c>
      <c r="F28" s="18" t="str">
        <f t="shared" si="0"/>
        <v>низкий</v>
      </c>
    </row>
    <row r="29" spans="2:6" x14ac:dyDescent="0.25">
      <c r="B29" s="98" t="s">
        <v>2181</v>
      </c>
      <c r="C29" s="55"/>
      <c r="D29" s="55">
        <v>1</v>
      </c>
      <c r="E29" s="55">
        <v>1</v>
      </c>
      <c r="F29" s="18" t="str">
        <f t="shared" si="0"/>
        <v>высокий</v>
      </c>
    </row>
    <row r="30" spans="2:6" x14ac:dyDescent="0.25">
      <c r="B30" s="98" t="s">
        <v>2182</v>
      </c>
      <c r="C30" s="55">
        <v>1</v>
      </c>
      <c r="D30" s="55">
        <v>1</v>
      </c>
      <c r="E30" s="55">
        <v>1</v>
      </c>
      <c r="F30" s="18" t="str">
        <f t="shared" si="0"/>
        <v>высокий</v>
      </c>
    </row>
    <row r="31" spans="2:6" x14ac:dyDescent="0.25">
      <c r="B31" s="98" t="s">
        <v>2183</v>
      </c>
      <c r="C31" s="55"/>
      <c r="D31" s="55">
        <v>1</v>
      </c>
      <c r="E31" s="55"/>
      <c r="F31" s="18" t="str">
        <f t="shared" si="0"/>
        <v>высокий</v>
      </c>
    </row>
    <row r="32" spans="2:6" x14ac:dyDescent="0.25">
      <c r="B32" s="98" t="s">
        <v>2184</v>
      </c>
      <c r="C32" s="55"/>
      <c r="D32" s="55">
        <v>2</v>
      </c>
      <c r="E32" s="55"/>
      <c r="F32" s="18" t="str">
        <f t="shared" si="0"/>
        <v>высокий</v>
      </c>
    </row>
    <row r="33" spans="2:6" x14ac:dyDescent="0.25">
      <c r="B33" s="98" t="s">
        <v>2185</v>
      </c>
      <c r="C33" s="55">
        <v>1</v>
      </c>
      <c r="D33" s="55">
        <v>1</v>
      </c>
      <c r="E33" s="55"/>
      <c r="F33" s="18" t="str">
        <f t="shared" si="0"/>
        <v>высокий</v>
      </c>
    </row>
    <row r="34" spans="2:6" x14ac:dyDescent="0.25">
      <c r="B34" s="98" t="s">
        <v>2186</v>
      </c>
      <c r="C34" s="55">
        <v>2</v>
      </c>
      <c r="D34" s="55"/>
      <c r="E34" s="55"/>
      <c r="F34" s="18" t="str">
        <f t="shared" si="0"/>
        <v>средний</v>
      </c>
    </row>
    <row r="35" spans="2:6" x14ac:dyDescent="0.25">
      <c r="B35" s="98" t="s">
        <v>2187</v>
      </c>
      <c r="C35" s="55"/>
      <c r="D35" s="55">
        <v>1</v>
      </c>
      <c r="E35" s="55"/>
      <c r="F35" s="18" t="str">
        <f t="shared" si="0"/>
        <v>высокий</v>
      </c>
    </row>
    <row r="36" spans="2:6" x14ac:dyDescent="0.25">
      <c r="B36" s="98" t="s">
        <v>2188</v>
      </c>
      <c r="C36" s="55"/>
      <c r="D36" s="55">
        <v>1</v>
      </c>
      <c r="E36" s="55"/>
      <c r="F36" s="18" t="str">
        <f t="shared" si="0"/>
        <v>высокий</v>
      </c>
    </row>
    <row r="37" spans="2:6" x14ac:dyDescent="0.25">
      <c r="B37" s="98" t="s">
        <v>2189</v>
      </c>
      <c r="C37" s="55">
        <v>2</v>
      </c>
      <c r="D37" s="55">
        <v>2</v>
      </c>
      <c r="E37" s="55"/>
      <c r="F37" s="18" t="str">
        <f t="shared" si="0"/>
        <v>высокий</v>
      </c>
    </row>
    <row r="38" spans="2:6" x14ac:dyDescent="0.25">
      <c r="B38" s="98" t="s">
        <v>2190</v>
      </c>
      <c r="C38" s="55">
        <v>2</v>
      </c>
      <c r="D38" s="55">
        <v>2</v>
      </c>
      <c r="E38" s="55"/>
      <c r="F38" s="18" t="str">
        <f t="shared" si="0"/>
        <v>высокий</v>
      </c>
    </row>
    <row r="39" spans="2:6" x14ac:dyDescent="0.25">
      <c r="B39" s="98" t="s">
        <v>2191</v>
      </c>
      <c r="C39" s="55">
        <v>2</v>
      </c>
      <c r="D39" s="55">
        <v>2</v>
      </c>
      <c r="E39" s="55"/>
      <c r="F39" s="18" t="str">
        <f t="shared" si="0"/>
        <v>высокий</v>
      </c>
    </row>
    <row r="40" spans="2:6" x14ac:dyDescent="0.25">
      <c r="B40" s="98" t="s">
        <v>2192</v>
      </c>
      <c r="C40" s="55"/>
      <c r="D40" s="55">
        <v>2</v>
      </c>
      <c r="E40" s="55"/>
      <c r="F40" s="18" t="str">
        <f t="shared" si="0"/>
        <v>высокий</v>
      </c>
    </row>
    <row r="41" spans="2:6" x14ac:dyDescent="0.25">
      <c r="B41" s="98" t="s">
        <v>2193</v>
      </c>
      <c r="C41" s="55">
        <v>1</v>
      </c>
      <c r="D41" s="55">
        <v>4</v>
      </c>
      <c r="E41" s="55"/>
      <c r="F41" s="18" t="str">
        <f t="shared" si="0"/>
        <v>высокий</v>
      </c>
    </row>
    <row r="42" spans="2:6" x14ac:dyDescent="0.25">
      <c r="B42" s="98" t="s">
        <v>2194</v>
      </c>
      <c r="C42" s="55">
        <v>1</v>
      </c>
      <c r="D42" s="55">
        <v>4</v>
      </c>
      <c r="E42" s="55"/>
      <c r="F42" s="18" t="str">
        <f t="shared" si="0"/>
        <v>высокий</v>
      </c>
    </row>
    <row r="43" spans="2:6" x14ac:dyDescent="0.25">
      <c r="B43" s="98" t="s">
        <v>2195</v>
      </c>
      <c r="C43" s="55">
        <v>1</v>
      </c>
      <c r="D43" s="55">
        <v>4</v>
      </c>
      <c r="E43" s="55"/>
      <c r="F43" s="18" t="str">
        <f t="shared" si="0"/>
        <v>высокий</v>
      </c>
    </row>
    <row r="44" spans="2:6" x14ac:dyDescent="0.25">
      <c r="B44" s="98" t="s">
        <v>2196</v>
      </c>
      <c r="C44" s="55">
        <v>1</v>
      </c>
      <c r="D44" s="55">
        <v>4</v>
      </c>
      <c r="E44" s="55"/>
      <c r="F44" s="18" t="str">
        <f t="shared" si="0"/>
        <v>высокий</v>
      </c>
    </row>
    <row r="45" spans="2:6" x14ac:dyDescent="0.25">
      <c r="B45" s="98" t="s">
        <v>2197</v>
      </c>
      <c r="C45" s="55"/>
      <c r="D45" s="55">
        <v>2</v>
      </c>
      <c r="E45" s="55">
        <v>1</v>
      </c>
      <c r="F45" s="18" t="str">
        <f t="shared" si="0"/>
        <v>высокий</v>
      </c>
    </row>
    <row r="46" spans="2:6" x14ac:dyDescent="0.25">
      <c r="B46" s="98" t="s">
        <v>2198</v>
      </c>
      <c r="C46" s="55"/>
      <c r="D46" s="55">
        <v>2</v>
      </c>
      <c r="E46" s="55">
        <v>1</v>
      </c>
      <c r="F46" s="18" t="str">
        <f t="shared" si="0"/>
        <v>высокий</v>
      </c>
    </row>
    <row r="47" spans="2:6" x14ac:dyDescent="0.25">
      <c r="B47" s="98" t="s">
        <v>2199</v>
      </c>
      <c r="C47" s="55"/>
      <c r="D47" s="55">
        <v>2</v>
      </c>
      <c r="E47" s="55">
        <v>1</v>
      </c>
      <c r="F47" s="18" t="str">
        <f t="shared" si="0"/>
        <v>высокий</v>
      </c>
    </row>
    <row r="48" spans="2:6" x14ac:dyDescent="0.25">
      <c r="B48" s="98" t="s">
        <v>2200</v>
      </c>
      <c r="C48" s="55"/>
      <c r="D48" s="55">
        <v>2</v>
      </c>
      <c r="E48" s="55">
        <v>1</v>
      </c>
      <c r="F48" s="18" t="str">
        <f t="shared" si="0"/>
        <v>высокий</v>
      </c>
    </row>
    <row r="49" spans="2:6" x14ac:dyDescent="0.25">
      <c r="B49" s="98" t="s">
        <v>2201</v>
      </c>
      <c r="C49" s="55">
        <v>1</v>
      </c>
      <c r="D49" s="55">
        <v>1</v>
      </c>
      <c r="E49" s="55"/>
      <c r="F49" s="18" t="str">
        <f t="shared" si="0"/>
        <v>высокий</v>
      </c>
    </row>
    <row r="50" spans="2:6" x14ac:dyDescent="0.25">
      <c r="B50" s="98" t="s">
        <v>2202</v>
      </c>
      <c r="C50" s="55"/>
      <c r="D50" s="55">
        <v>2</v>
      </c>
      <c r="E50" s="55">
        <v>1</v>
      </c>
      <c r="F50" s="18" t="str">
        <f t="shared" si="0"/>
        <v>высокий</v>
      </c>
    </row>
    <row r="51" spans="2:6" x14ac:dyDescent="0.25">
      <c r="B51" s="98" t="s">
        <v>2203</v>
      </c>
      <c r="C51" s="55"/>
      <c r="D51" s="55">
        <v>1</v>
      </c>
      <c r="E51" s="55">
        <v>1</v>
      </c>
      <c r="F51" s="18" t="str">
        <f t="shared" si="0"/>
        <v>высокий</v>
      </c>
    </row>
    <row r="52" spans="2:6" x14ac:dyDescent="0.25">
      <c r="B52" s="98" t="s">
        <v>2204</v>
      </c>
      <c r="C52" s="55"/>
      <c r="D52" s="55">
        <v>1</v>
      </c>
      <c r="E52" s="55"/>
      <c r="F52" s="18" t="str">
        <f t="shared" si="0"/>
        <v>высокий</v>
      </c>
    </row>
    <row r="53" spans="2:6" x14ac:dyDescent="0.25">
      <c r="B53" s="98" t="s">
        <v>2205</v>
      </c>
      <c r="C53" s="55"/>
      <c r="D53" s="55">
        <v>1</v>
      </c>
      <c r="E53" s="55"/>
      <c r="F53" s="18" t="str">
        <f t="shared" si="0"/>
        <v>высокий</v>
      </c>
    </row>
    <row r="54" spans="2:6" x14ac:dyDescent="0.25">
      <c r="B54" s="98" t="s">
        <v>2206</v>
      </c>
      <c r="C54" s="55"/>
      <c r="D54" s="55">
        <v>1</v>
      </c>
      <c r="E54" s="55"/>
      <c r="F54" s="18" t="str">
        <f t="shared" si="0"/>
        <v>высокий</v>
      </c>
    </row>
    <row r="55" spans="2:6" x14ac:dyDescent="0.25">
      <c r="B55" s="98" t="s">
        <v>2207</v>
      </c>
      <c r="C55" s="55"/>
      <c r="D55" s="55">
        <v>1</v>
      </c>
      <c r="E55" s="55"/>
      <c r="F55" s="18" t="str">
        <f t="shared" si="0"/>
        <v>высокий</v>
      </c>
    </row>
    <row r="56" spans="2:6" x14ac:dyDescent="0.25">
      <c r="B56" s="98" t="s">
        <v>2208</v>
      </c>
      <c r="C56" s="55"/>
      <c r="D56" s="55">
        <v>1</v>
      </c>
      <c r="E56" s="55"/>
      <c r="F56" s="18" t="str">
        <f t="shared" si="0"/>
        <v>высокий</v>
      </c>
    </row>
    <row r="57" spans="2:6" x14ac:dyDescent="0.25">
      <c r="B57" s="98" t="s">
        <v>2209</v>
      </c>
      <c r="C57" s="55"/>
      <c r="D57" s="55">
        <v>1</v>
      </c>
      <c r="E57" s="55"/>
      <c r="F57" s="18" t="str">
        <f t="shared" si="0"/>
        <v>высокий</v>
      </c>
    </row>
    <row r="58" spans="2:6" x14ac:dyDescent="0.25">
      <c r="B58" s="98" t="s">
        <v>2211</v>
      </c>
      <c r="C58" s="55">
        <v>2</v>
      </c>
      <c r="D58" s="55">
        <v>3</v>
      </c>
      <c r="E58" s="55"/>
      <c r="F58" s="18" t="str">
        <f t="shared" si="0"/>
        <v>высокий</v>
      </c>
    </row>
    <row r="59" spans="2:6" x14ac:dyDescent="0.25">
      <c r="B59" s="98" t="s">
        <v>2212</v>
      </c>
      <c r="C59" s="55">
        <v>2</v>
      </c>
      <c r="D59" s="55">
        <v>3</v>
      </c>
      <c r="E59" s="55"/>
      <c r="F59" s="18" t="str">
        <f t="shared" si="0"/>
        <v>высокий</v>
      </c>
    </row>
    <row r="60" spans="2:6" x14ac:dyDescent="0.25">
      <c r="B60" s="98" t="s">
        <v>2213</v>
      </c>
      <c r="C60" s="55">
        <v>2</v>
      </c>
      <c r="D60" s="55">
        <v>3</v>
      </c>
      <c r="E60" s="55"/>
      <c r="F60" s="18" t="str">
        <f t="shared" si="0"/>
        <v>высокий</v>
      </c>
    </row>
    <row r="61" spans="2:6" x14ac:dyDescent="0.25">
      <c r="B61" s="98" t="s">
        <v>2214</v>
      </c>
      <c r="C61" s="55">
        <v>2</v>
      </c>
      <c r="D61" s="55">
        <v>3</v>
      </c>
      <c r="E61" s="55"/>
      <c r="F61" s="18" t="str">
        <f t="shared" si="0"/>
        <v>высокий</v>
      </c>
    </row>
    <row r="62" spans="2:6" x14ac:dyDescent="0.25">
      <c r="B62" s="98" t="s">
        <v>2215</v>
      </c>
      <c r="C62" s="55"/>
      <c r="D62" s="55">
        <v>3</v>
      </c>
      <c r="E62" s="55"/>
      <c r="F62" s="18" t="str">
        <f t="shared" si="0"/>
        <v>высокий</v>
      </c>
    </row>
    <row r="63" spans="2:6" x14ac:dyDescent="0.25">
      <c r="B63" s="98" t="s">
        <v>2216</v>
      </c>
      <c r="C63" s="55"/>
      <c r="D63" s="55">
        <v>2</v>
      </c>
      <c r="E63" s="55"/>
      <c r="F63" s="18" t="str">
        <f t="shared" si="0"/>
        <v>высокий</v>
      </c>
    </row>
    <row r="64" spans="2:6" x14ac:dyDescent="0.25">
      <c r="B64" s="98" t="s">
        <v>2217</v>
      </c>
      <c r="C64" s="55"/>
      <c r="D64" s="55">
        <v>1</v>
      </c>
      <c r="E64" s="55"/>
      <c r="F64" s="18" t="str">
        <f t="shared" si="0"/>
        <v>высокий</v>
      </c>
    </row>
    <row r="65" spans="2:6" x14ac:dyDescent="0.25">
      <c r="B65" s="98" t="s">
        <v>2218</v>
      </c>
      <c r="C65" s="55">
        <v>1</v>
      </c>
      <c r="D65" s="55">
        <v>2</v>
      </c>
      <c r="E65" s="55"/>
      <c r="F65" s="18" t="str">
        <f t="shared" si="0"/>
        <v>высокий</v>
      </c>
    </row>
    <row r="66" spans="2:6" x14ac:dyDescent="0.25">
      <c r="B66" s="98" t="s">
        <v>2219</v>
      </c>
      <c r="C66" s="55">
        <v>1</v>
      </c>
      <c r="D66" s="55">
        <v>2</v>
      </c>
      <c r="E66" s="55"/>
      <c r="F66" s="18" t="str">
        <f t="shared" si="0"/>
        <v>высокий</v>
      </c>
    </row>
    <row r="67" spans="2:6" x14ac:dyDescent="0.25">
      <c r="B67" s="98" t="s">
        <v>2220</v>
      </c>
      <c r="C67" s="55">
        <v>1</v>
      </c>
      <c r="D67" s="55">
        <v>2</v>
      </c>
      <c r="E67" s="55"/>
      <c r="F67" s="18" t="str">
        <f t="shared" si="0"/>
        <v>высокий</v>
      </c>
    </row>
    <row r="68" spans="2:6" x14ac:dyDescent="0.25">
      <c r="B68" s="98" t="s">
        <v>2221</v>
      </c>
      <c r="C68" s="55"/>
      <c r="D68" s="55"/>
      <c r="E68" s="55">
        <v>1</v>
      </c>
      <c r="F68" s="18" t="str">
        <f t="shared" si="0"/>
        <v>низкий</v>
      </c>
    </row>
    <row r="69" spans="2:6" x14ac:dyDescent="0.25">
      <c r="B69" s="98" t="s">
        <v>2222</v>
      </c>
      <c r="C69" s="55"/>
      <c r="D69" s="55"/>
      <c r="E69" s="55">
        <v>2</v>
      </c>
      <c r="F69" s="18" t="str">
        <f t="shared" si="0"/>
        <v>низкий</v>
      </c>
    </row>
    <row r="70" spans="2:6" x14ac:dyDescent="0.25">
      <c r="B70" s="98" t="s">
        <v>2223</v>
      </c>
      <c r="C70" s="55"/>
      <c r="D70" s="55">
        <v>7</v>
      </c>
      <c r="E70" s="55">
        <v>3</v>
      </c>
      <c r="F70" s="18" t="str">
        <f t="shared" si="0"/>
        <v>высокий</v>
      </c>
    </row>
    <row r="71" spans="2:6" x14ac:dyDescent="0.25">
      <c r="B71" s="98" t="s">
        <v>2224</v>
      </c>
      <c r="C71" s="55"/>
      <c r="D71" s="55">
        <v>7</v>
      </c>
      <c r="E71" s="55">
        <v>3</v>
      </c>
      <c r="F71" s="18" t="str">
        <f t="shared" si="0"/>
        <v>высокий</v>
      </c>
    </row>
    <row r="72" spans="2:6" x14ac:dyDescent="0.25">
      <c r="B72" s="98" t="s">
        <v>2225</v>
      </c>
      <c r="C72" s="55"/>
      <c r="D72" s="55">
        <v>7</v>
      </c>
      <c r="E72" s="55">
        <v>2</v>
      </c>
      <c r="F72" s="18" t="str">
        <f t="shared" ref="F72:F135" si="1">IF(D72&gt;0,"высокий",IF(C72&gt;0,"средний","низкий"))</f>
        <v>высокий</v>
      </c>
    </row>
    <row r="73" spans="2:6" x14ac:dyDescent="0.25">
      <c r="B73" s="98" t="s">
        <v>2226</v>
      </c>
      <c r="C73" s="55"/>
      <c r="D73" s="55">
        <v>7</v>
      </c>
      <c r="E73" s="55">
        <v>3</v>
      </c>
      <c r="F73" s="18" t="str">
        <f t="shared" si="1"/>
        <v>высокий</v>
      </c>
    </row>
    <row r="74" spans="2:6" x14ac:dyDescent="0.25">
      <c r="B74" s="98" t="s">
        <v>2227</v>
      </c>
      <c r="C74" s="55"/>
      <c r="D74" s="55">
        <v>7</v>
      </c>
      <c r="E74" s="55">
        <v>3</v>
      </c>
      <c r="F74" s="18" t="str">
        <f t="shared" si="1"/>
        <v>высокий</v>
      </c>
    </row>
    <row r="75" spans="2:6" x14ac:dyDescent="0.25">
      <c r="B75" s="98" t="s">
        <v>2228</v>
      </c>
      <c r="C75" s="55"/>
      <c r="D75" s="55">
        <v>7</v>
      </c>
      <c r="E75" s="55">
        <v>3</v>
      </c>
      <c r="F75" s="18" t="str">
        <f t="shared" si="1"/>
        <v>высокий</v>
      </c>
    </row>
    <row r="76" spans="2:6" x14ac:dyDescent="0.25">
      <c r="B76" s="98" t="s">
        <v>2229</v>
      </c>
      <c r="C76" s="55"/>
      <c r="D76" s="55">
        <v>7</v>
      </c>
      <c r="E76" s="55">
        <v>3</v>
      </c>
      <c r="F76" s="18" t="str">
        <f t="shared" si="1"/>
        <v>высокий</v>
      </c>
    </row>
    <row r="77" spans="2:6" x14ac:dyDescent="0.25">
      <c r="B77" s="98" t="s">
        <v>2230</v>
      </c>
      <c r="C77" s="55"/>
      <c r="D77" s="55">
        <v>7</v>
      </c>
      <c r="E77" s="55">
        <v>3</v>
      </c>
      <c r="F77" s="18" t="str">
        <f t="shared" si="1"/>
        <v>высокий</v>
      </c>
    </row>
    <row r="78" spans="2:6" x14ac:dyDescent="0.25">
      <c r="B78" s="98" t="s">
        <v>2231</v>
      </c>
      <c r="C78" s="55"/>
      <c r="D78" s="55">
        <v>1</v>
      </c>
      <c r="E78" s="55">
        <v>1</v>
      </c>
      <c r="F78" s="18" t="str">
        <f t="shared" si="1"/>
        <v>высокий</v>
      </c>
    </row>
    <row r="79" spans="2:6" x14ac:dyDescent="0.25">
      <c r="B79" s="98" t="s">
        <v>2232</v>
      </c>
      <c r="C79" s="55"/>
      <c r="D79" s="55">
        <v>1</v>
      </c>
      <c r="E79" s="55">
        <v>1</v>
      </c>
      <c r="F79" s="18" t="str">
        <f t="shared" si="1"/>
        <v>высокий</v>
      </c>
    </row>
    <row r="80" spans="2:6" x14ac:dyDescent="0.25">
      <c r="B80" s="98" t="s">
        <v>2233</v>
      </c>
      <c r="C80" s="55"/>
      <c r="D80" s="55">
        <v>1</v>
      </c>
      <c r="E80" s="55">
        <v>1</v>
      </c>
      <c r="F80" s="18" t="str">
        <f t="shared" si="1"/>
        <v>высокий</v>
      </c>
    </row>
    <row r="81" spans="2:6" x14ac:dyDescent="0.25">
      <c r="B81" s="98" t="s">
        <v>2234</v>
      </c>
      <c r="C81" s="55"/>
      <c r="D81" s="55">
        <v>1</v>
      </c>
      <c r="E81" s="55">
        <v>1</v>
      </c>
      <c r="F81" s="18" t="str">
        <f t="shared" si="1"/>
        <v>высокий</v>
      </c>
    </row>
    <row r="82" spans="2:6" x14ac:dyDescent="0.25">
      <c r="B82" s="98" t="s">
        <v>2235</v>
      </c>
      <c r="C82" s="55"/>
      <c r="D82" s="55">
        <v>1</v>
      </c>
      <c r="E82" s="55">
        <v>1</v>
      </c>
      <c r="F82" s="18" t="str">
        <f t="shared" si="1"/>
        <v>высокий</v>
      </c>
    </row>
    <row r="83" spans="2:6" x14ac:dyDescent="0.25">
      <c r="B83" s="98" t="s">
        <v>2236</v>
      </c>
      <c r="C83" s="55"/>
      <c r="D83" s="55">
        <v>1</v>
      </c>
      <c r="E83" s="55">
        <v>1</v>
      </c>
      <c r="F83" s="18" t="str">
        <f t="shared" si="1"/>
        <v>высокий</v>
      </c>
    </row>
    <row r="84" spans="2:6" x14ac:dyDescent="0.25">
      <c r="B84" s="98" t="s">
        <v>2237</v>
      </c>
      <c r="C84" s="55">
        <v>3</v>
      </c>
      <c r="D84" s="55">
        <v>1</v>
      </c>
      <c r="E84" s="55"/>
      <c r="F84" s="18" t="str">
        <f t="shared" si="1"/>
        <v>высокий</v>
      </c>
    </row>
    <row r="85" spans="2:6" x14ac:dyDescent="0.25">
      <c r="B85" s="98" t="s">
        <v>2238</v>
      </c>
      <c r="C85" s="55">
        <v>3</v>
      </c>
      <c r="D85" s="55">
        <v>1</v>
      </c>
      <c r="E85" s="55"/>
      <c r="F85" s="18" t="str">
        <f t="shared" si="1"/>
        <v>высокий</v>
      </c>
    </row>
    <row r="86" spans="2:6" x14ac:dyDescent="0.25">
      <c r="B86" s="98" t="s">
        <v>2239</v>
      </c>
      <c r="C86" s="55">
        <v>3</v>
      </c>
      <c r="D86" s="55">
        <v>1</v>
      </c>
      <c r="E86" s="55"/>
      <c r="F86" s="18" t="str">
        <f t="shared" si="1"/>
        <v>высокий</v>
      </c>
    </row>
    <row r="87" spans="2:6" x14ac:dyDescent="0.25">
      <c r="B87" s="98" t="s">
        <v>2240</v>
      </c>
      <c r="C87" s="55">
        <v>3</v>
      </c>
      <c r="D87" s="55">
        <v>1</v>
      </c>
      <c r="E87" s="55"/>
      <c r="F87" s="18" t="str">
        <f t="shared" si="1"/>
        <v>высокий</v>
      </c>
    </row>
    <row r="88" spans="2:6" x14ac:dyDescent="0.25">
      <c r="B88" s="98" t="s">
        <v>2241</v>
      </c>
      <c r="C88" s="55"/>
      <c r="D88" s="55">
        <v>1</v>
      </c>
      <c r="E88" s="55"/>
      <c r="F88" s="18" t="str">
        <f t="shared" si="1"/>
        <v>высокий</v>
      </c>
    </row>
    <row r="89" spans="2:6" x14ac:dyDescent="0.25">
      <c r="B89" s="98" t="s">
        <v>2242</v>
      </c>
      <c r="C89" s="55"/>
      <c r="D89" s="55">
        <v>1</v>
      </c>
      <c r="E89" s="55"/>
      <c r="F89" s="18" t="str">
        <f t="shared" si="1"/>
        <v>высокий</v>
      </c>
    </row>
    <row r="90" spans="2:6" x14ac:dyDescent="0.25">
      <c r="B90" s="98" t="s">
        <v>2243</v>
      </c>
      <c r="C90" s="55"/>
      <c r="D90" s="55">
        <v>1</v>
      </c>
      <c r="E90" s="55"/>
      <c r="F90" s="18" t="str">
        <f t="shared" si="1"/>
        <v>высокий</v>
      </c>
    </row>
    <row r="91" spans="2:6" x14ac:dyDescent="0.25">
      <c r="B91" s="98" t="s">
        <v>2244</v>
      </c>
      <c r="C91" s="55"/>
      <c r="D91" s="55">
        <v>1</v>
      </c>
      <c r="E91" s="55">
        <v>1</v>
      </c>
      <c r="F91" s="18" t="str">
        <f t="shared" si="1"/>
        <v>высокий</v>
      </c>
    </row>
    <row r="92" spans="2:6" x14ac:dyDescent="0.25">
      <c r="B92" s="98" t="s">
        <v>2245</v>
      </c>
      <c r="C92" s="55">
        <v>2</v>
      </c>
      <c r="D92" s="55"/>
      <c r="E92" s="55"/>
      <c r="F92" s="18" t="str">
        <f t="shared" si="1"/>
        <v>средний</v>
      </c>
    </row>
    <row r="93" spans="2:6" x14ac:dyDescent="0.25">
      <c r="B93" s="98" t="s">
        <v>2246</v>
      </c>
      <c r="C93" s="55">
        <v>2</v>
      </c>
      <c r="D93" s="55"/>
      <c r="E93" s="55">
        <v>6</v>
      </c>
      <c r="F93" s="18" t="str">
        <f t="shared" si="1"/>
        <v>средний</v>
      </c>
    </row>
    <row r="94" spans="2:6" x14ac:dyDescent="0.25">
      <c r="B94" s="98" t="s">
        <v>2247</v>
      </c>
      <c r="C94" s="55">
        <v>2</v>
      </c>
      <c r="D94" s="55"/>
      <c r="E94" s="55">
        <v>6</v>
      </c>
      <c r="F94" s="18" t="str">
        <f t="shared" si="1"/>
        <v>средний</v>
      </c>
    </row>
    <row r="95" spans="2:6" x14ac:dyDescent="0.25">
      <c r="B95" s="98" t="s">
        <v>2248</v>
      </c>
      <c r="C95" s="55">
        <v>2</v>
      </c>
      <c r="D95" s="55"/>
      <c r="E95" s="55">
        <v>6</v>
      </c>
      <c r="F95" s="18" t="str">
        <f t="shared" si="1"/>
        <v>средний</v>
      </c>
    </row>
    <row r="96" spans="2:6" x14ac:dyDescent="0.25">
      <c r="B96" s="98" t="s">
        <v>2249</v>
      </c>
      <c r="C96" s="55">
        <v>2</v>
      </c>
      <c r="D96" s="55"/>
      <c r="E96" s="55">
        <v>6</v>
      </c>
      <c r="F96" s="18" t="str">
        <f t="shared" si="1"/>
        <v>средний</v>
      </c>
    </row>
    <row r="97" spans="2:6" x14ac:dyDescent="0.25">
      <c r="B97" s="98" t="s">
        <v>2250</v>
      </c>
      <c r="C97" s="55"/>
      <c r="D97" s="55">
        <v>1</v>
      </c>
      <c r="E97" s="55"/>
      <c r="F97" s="18" t="str">
        <f t="shared" si="1"/>
        <v>высокий</v>
      </c>
    </row>
    <row r="98" spans="2:6" x14ac:dyDescent="0.25">
      <c r="B98" s="98" t="s">
        <v>2251</v>
      </c>
      <c r="C98" s="55"/>
      <c r="D98" s="55">
        <v>3</v>
      </c>
      <c r="E98" s="55">
        <v>1</v>
      </c>
      <c r="F98" s="18" t="str">
        <f t="shared" si="1"/>
        <v>высокий</v>
      </c>
    </row>
    <row r="99" spans="2:6" x14ac:dyDescent="0.25">
      <c r="B99" s="98" t="s">
        <v>2252</v>
      </c>
      <c r="C99" s="55"/>
      <c r="D99" s="55">
        <v>1</v>
      </c>
      <c r="E99" s="55"/>
      <c r="F99" s="18" t="str">
        <f t="shared" si="1"/>
        <v>высокий</v>
      </c>
    </row>
    <row r="100" spans="2:6" x14ac:dyDescent="0.25">
      <c r="B100" s="98" t="s">
        <v>2253</v>
      </c>
      <c r="C100" s="55"/>
      <c r="D100" s="55">
        <v>2</v>
      </c>
      <c r="E100" s="55"/>
      <c r="F100" s="18" t="str">
        <f t="shared" si="1"/>
        <v>высокий</v>
      </c>
    </row>
    <row r="101" spans="2:6" x14ac:dyDescent="0.25">
      <c r="B101" s="98" t="s">
        <v>2254</v>
      </c>
      <c r="C101" s="55"/>
      <c r="D101" s="55">
        <v>2</v>
      </c>
      <c r="E101" s="55"/>
      <c r="F101" s="18" t="str">
        <f t="shared" si="1"/>
        <v>высокий</v>
      </c>
    </row>
    <row r="102" spans="2:6" x14ac:dyDescent="0.25">
      <c r="B102" s="98" t="s">
        <v>2255</v>
      </c>
      <c r="C102" s="55"/>
      <c r="D102" s="55">
        <v>2</v>
      </c>
      <c r="E102" s="55"/>
      <c r="F102" s="18" t="str">
        <f t="shared" si="1"/>
        <v>высокий</v>
      </c>
    </row>
    <row r="103" spans="2:6" x14ac:dyDescent="0.25">
      <c r="B103" s="98" t="s">
        <v>2256</v>
      </c>
      <c r="C103" s="55">
        <v>1</v>
      </c>
      <c r="D103" s="55">
        <v>1</v>
      </c>
      <c r="E103" s="55"/>
      <c r="F103" s="18" t="str">
        <f t="shared" si="1"/>
        <v>высокий</v>
      </c>
    </row>
    <row r="104" spans="2:6" x14ac:dyDescent="0.25">
      <c r="B104" s="98" t="s">
        <v>2257</v>
      </c>
      <c r="C104" s="55">
        <v>2</v>
      </c>
      <c r="D104" s="55"/>
      <c r="E104" s="55">
        <v>2</v>
      </c>
      <c r="F104" s="18" t="str">
        <f t="shared" si="1"/>
        <v>средний</v>
      </c>
    </row>
    <row r="105" spans="2:6" x14ac:dyDescent="0.25">
      <c r="B105" s="98" t="s">
        <v>2258</v>
      </c>
      <c r="C105" s="55">
        <v>1</v>
      </c>
      <c r="D105" s="55"/>
      <c r="E105" s="55">
        <v>1</v>
      </c>
      <c r="F105" s="18" t="str">
        <f t="shared" si="1"/>
        <v>средний</v>
      </c>
    </row>
    <row r="106" spans="2:6" x14ac:dyDescent="0.25">
      <c r="B106" s="98" t="s">
        <v>2260</v>
      </c>
      <c r="C106" s="55"/>
      <c r="D106" s="55"/>
      <c r="E106" s="55">
        <v>3</v>
      </c>
      <c r="F106" s="18" t="str">
        <f t="shared" si="1"/>
        <v>низкий</v>
      </c>
    </row>
    <row r="107" spans="2:6" x14ac:dyDescent="0.25">
      <c r="B107" s="98" t="s">
        <v>2261</v>
      </c>
      <c r="C107" s="55">
        <v>1</v>
      </c>
      <c r="D107" s="55"/>
      <c r="E107" s="55"/>
      <c r="F107" s="18" t="str">
        <f t="shared" si="1"/>
        <v>средний</v>
      </c>
    </row>
    <row r="108" spans="2:6" x14ac:dyDescent="0.25">
      <c r="B108" s="98" t="s">
        <v>2262</v>
      </c>
      <c r="C108" s="55">
        <v>1</v>
      </c>
      <c r="D108" s="55">
        <v>2</v>
      </c>
      <c r="E108" s="55"/>
      <c r="F108" s="18" t="str">
        <f t="shared" si="1"/>
        <v>высокий</v>
      </c>
    </row>
    <row r="109" spans="2:6" x14ac:dyDescent="0.25">
      <c r="B109" s="98" t="s">
        <v>2263</v>
      </c>
      <c r="C109" s="55"/>
      <c r="D109" s="55">
        <v>7</v>
      </c>
      <c r="E109" s="55">
        <v>3</v>
      </c>
      <c r="F109" s="18" t="str">
        <f t="shared" si="1"/>
        <v>высокий</v>
      </c>
    </row>
    <row r="110" spans="2:6" x14ac:dyDescent="0.25">
      <c r="B110" s="98" t="s">
        <v>2264</v>
      </c>
      <c r="C110" s="55"/>
      <c r="D110" s="55">
        <v>7</v>
      </c>
      <c r="E110" s="55">
        <v>3</v>
      </c>
      <c r="F110" s="18" t="str">
        <f t="shared" si="1"/>
        <v>высокий</v>
      </c>
    </row>
    <row r="111" spans="2:6" x14ac:dyDescent="0.25">
      <c r="B111" s="98" t="s">
        <v>2265</v>
      </c>
      <c r="C111" s="55"/>
      <c r="D111" s="55">
        <v>1</v>
      </c>
      <c r="E111" s="55">
        <v>1</v>
      </c>
      <c r="F111" s="18" t="str">
        <f t="shared" si="1"/>
        <v>высокий</v>
      </c>
    </row>
    <row r="112" spans="2:6" x14ac:dyDescent="0.25">
      <c r="B112" s="98" t="s">
        <v>2266</v>
      </c>
      <c r="C112" s="55"/>
      <c r="D112" s="55"/>
      <c r="E112" s="55">
        <v>1</v>
      </c>
      <c r="F112" s="18" t="str">
        <f t="shared" si="1"/>
        <v>низкий</v>
      </c>
    </row>
    <row r="113" spans="2:6" x14ac:dyDescent="0.25">
      <c r="B113" s="98" t="s">
        <v>2267</v>
      </c>
      <c r="C113" s="55"/>
      <c r="D113" s="55">
        <v>1</v>
      </c>
      <c r="E113" s="55"/>
      <c r="F113" s="18" t="str">
        <f t="shared" si="1"/>
        <v>высокий</v>
      </c>
    </row>
    <row r="114" spans="2:6" x14ac:dyDescent="0.25">
      <c r="B114" s="98" t="s">
        <v>2268</v>
      </c>
      <c r="C114" s="55"/>
      <c r="D114" s="55"/>
      <c r="E114" s="55">
        <v>1</v>
      </c>
      <c r="F114" s="18" t="str">
        <f t="shared" si="1"/>
        <v>низкий</v>
      </c>
    </row>
    <row r="115" spans="2:6" x14ac:dyDescent="0.25">
      <c r="B115" s="98" t="s">
        <v>2269</v>
      </c>
      <c r="C115" s="55"/>
      <c r="D115" s="55"/>
      <c r="E115" s="55">
        <v>1</v>
      </c>
      <c r="F115" s="18" t="str">
        <f t="shared" si="1"/>
        <v>низкий</v>
      </c>
    </row>
    <row r="116" spans="2:6" x14ac:dyDescent="0.25">
      <c r="B116" s="98" t="s">
        <v>2270</v>
      </c>
      <c r="C116" s="55"/>
      <c r="D116" s="55"/>
      <c r="E116" s="55">
        <v>1</v>
      </c>
      <c r="F116" s="18" t="str">
        <f t="shared" si="1"/>
        <v>низкий</v>
      </c>
    </row>
    <row r="117" spans="2:6" x14ac:dyDescent="0.25">
      <c r="B117" s="98" t="s">
        <v>2271</v>
      </c>
      <c r="C117" s="55">
        <v>2</v>
      </c>
      <c r="D117" s="55">
        <v>2</v>
      </c>
      <c r="E117" s="55"/>
      <c r="F117" s="18" t="str">
        <f t="shared" si="1"/>
        <v>высокий</v>
      </c>
    </row>
    <row r="118" spans="2:6" x14ac:dyDescent="0.25">
      <c r="B118" s="98" t="s">
        <v>2272</v>
      </c>
      <c r="C118" s="55"/>
      <c r="D118" s="55">
        <v>1</v>
      </c>
      <c r="E118" s="55"/>
      <c r="F118" s="18" t="str">
        <f t="shared" si="1"/>
        <v>высокий</v>
      </c>
    </row>
    <row r="119" spans="2:6" x14ac:dyDescent="0.25">
      <c r="B119" s="98" t="s">
        <v>2273</v>
      </c>
      <c r="C119" s="55">
        <v>2</v>
      </c>
      <c r="D119" s="55"/>
      <c r="E119" s="55">
        <v>6</v>
      </c>
      <c r="F119" s="18" t="str">
        <f t="shared" si="1"/>
        <v>средний</v>
      </c>
    </row>
    <row r="120" spans="2:6" x14ac:dyDescent="0.25">
      <c r="B120" s="98" t="s">
        <v>2274</v>
      </c>
      <c r="C120" s="55">
        <v>2</v>
      </c>
      <c r="D120" s="55">
        <v>2</v>
      </c>
      <c r="E120" s="55">
        <v>2</v>
      </c>
      <c r="F120" s="18" t="str">
        <f t="shared" si="1"/>
        <v>высокий</v>
      </c>
    </row>
    <row r="121" spans="2:6" x14ac:dyDescent="0.25">
      <c r="B121" s="98" t="s">
        <v>2275</v>
      </c>
      <c r="C121" s="55">
        <v>2</v>
      </c>
      <c r="D121" s="55"/>
      <c r="E121" s="55">
        <v>6</v>
      </c>
      <c r="F121" s="18" t="str">
        <f t="shared" si="1"/>
        <v>средний</v>
      </c>
    </row>
    <row r="122" spans="2:6" x14ac:dyDescent="0.25">
      <c r="B122" s="98" t="s">
        <v>2276</v>
      </c>
      <c r="C122" s="55">
        <v>2</v>
      </c>
      <c r="D122" s="55"/>
      <c r="E122" s="55">
        <v>6</v>
      </c>
      <c r="F122" s="18" t="str">
        <f t="shared" si="1"/>
        <v>средний</v>
      </c>
    </row>
    <row r="123" spans="2:6" x14ac:dyDescent="0.25">
      <c r="B123" s="98" t="s">
        <v>2277</v>
      </c>
      <c r="C123" s="55">
        <v>2</v>
      </c>
      <c r="D123" s="55"/>
      <c r="E123" s="55">
        <v>6</v>
      </c>
      <c r="F123" s="18" t="str">
        <f t="shared" si="1"/>
        <v>средний</v>
      </c>
    </row>
    <row r="124" spans="2:6" x14ac:dyDescent="0.25">
      <c r="B124" s="98" t="s">
        <v>2278</v>
      </c>
      <c r="C124" s="55">
        <v>2</v>
      </c>
      <c r="D124" s="55"/>
      <c r="E124" s="55">
        <v>6</v>
      </c>
      <c r="F124" s="18" t="str">
        <f t="shared" si="1"/>
        <v>средний</v>
      </c>
    </row>
    <row r="125" spans="2:6" x14ac:dyDescent="0.25">
      <c r="B125" s="98" t="s">
        <v>2279</v>
      </c>
      <c r="C125" s="55">
        <v>2</v>
      </c>
      <c r="D125" s="55">
        <v>2</v>
      </c>
      <c r="E125" s="55">
        <v>2</v>
      </c>
      <c r="F125" s="18" t="str">
        <f t="shared" si="1"/>
        <v>высокий</v>
      </c>
    </row>
    <row r="126" spans="2:6" x14ac:dyDescent="0.25">
      <c r="B126" s="98" t="s">
        <v>2280</v>
      </c>
      <c r="C126" s="55">
        <v>2</v>
      </c>
      <c r="D126" s="55">
        <v>2</v>
      </c>
      <c r="E126" s="55">
        <v>2</v>
      </c>
      <c r="F126" s="18" t="str">
        <f t="shared" si="1"/>
        <v>высокий</v>
      </c>
    </row>
    <row r="127" spans="2:6" x14ac:dyDescent="0.25">
      <c r="B127" s="98" t="s">
        <v>2281</v>
      </c>
      <c r="C127" s="55">
        <v>4</v>
      </c>
      <c r="D127" s="55"/>
      <c r="E127" s="55">
        <v>7</v>
      </c>
      <c r="F127" s="18" t="str">
        <f t="shared" si="1"/>
        <v>средний</v>
      </c>
    </row>
    <row r="128" spans="2:6" x14ac:dyDescent="0.25">
      <c r="B128" s="98" t="s">
        <v>2282</v>
      </c>
      <c r="C128" s="55">
        <v>4</v>
      </c>
      <c r="D128" s="55"/>
      <c r="E128" s="55">
        <v>7</v>
      </c>
      <c r="F128" s="18" t="str">
        <f t="shared" si="1"/>
        <v>средний</v>
      </c>
    </row>
    <row r="129" spans="2:6" x14ac:dyDescent="0.25">
      <c r="B129" s="98" t="s">
        <v>2283</v>
      </c>
      <c r="C129" s="55">
        <v>4</v>
      </c>
      <c r="D129" s="55"/>
      <c r="E129" s="55">
        <v>7</v>
      </c>
      <c r="F129" s="18" t="str">
        <f t="shared" si="1"/>
        <v>средний</v>
      </c>
    </row>
    <row r="130" spans="2:6" x14ac:dyDescent="0.25">
      <c r="B130" s="98" t="s">
        <v>2284</v>
      </c>
      <c r="C130" s="55">
        <v>4</v>
      </c>
      <c r="D130" s="55"/>
      <c r="E130" s="55">
        <v>2</v>
      </c>
      <c r="F130" s="18" t="str">
        <f t="shared" si="1"/>
        <v>средний</v>
      </c>
    </row>
    <row r="131" spans="2:6" x14ac:dyDescent="0.25">
      <c r="B131" s="98" t="s">
        <v>2285</v>
      </c>
      <c r="C131" s="55"/>
      <c r="D131" s="55"/>
      <c r="E131" s="55">
        <v>1</v>
      </c>
      <c r="F131" s="18" t="str">
        <f t="shared" si="1"/>
        <v>низкий</v>
      </c>
    </row>
    <row r="132" spans="2:6" x14ac:dyDescent="0.25">
      <c r="B132" s="98" t="s">
        <v>2286</v>
      </c>
      <c r="C132" s="55"/>
      <c r="D132" s="55">
        <v>2</v>
      </c>
      <c r="E132" s="55"/>
      <c r="F132" s="18" t="str">
        <f t="shared" si="1"/>
        <v>высокий</v>
      </c>
    </row>
    <row r="133" spans="2:6" x14ac:dyDescent="0.25">
      <c r="B133" s="98" t="s">
        <v>2287</v>
      </c>
      <c r="C133" s="55"/>
      <c r="D133" s="55">
        <v>7</v>
      </c>
      <c r="E133" s="55">
        <v>3</v>
      </c>
      <c r="F133" s="18" t="str">
        <f t="shared" si="1"/>
        <v>высокий</v>
      </c>
    </row>
    <row r="134" spans="2:6" x14ac:dyDescent="0.25">
      <c r="B134" s="98" t="s">
        <v>2288</v>
      </c>
      <c r="C134" s="55"/>
      <c r="D134" s="55">
        <v>7</v>
      </c>
      <c r="E134" s="55">
        <v>3</v>
      </c>
      <c r="F134" s="18" t="str">
        <f t="shared" si="1"/>
        <v>высокий</v>
      </c>
    </row>
    <row r="135" spans="2:6" x14ac:dyDescent="0.25">
      <c r="B135" s="98" t="s">
        <v>2289</v>
      </c>
      <c r="C135" s="55">
        <v>1</v>
      </c>
      <c r="D135" s="55">
        <v>2</v>
      </c>
      <c r="E135" s="55">
        <v>1</v>
      </c>
      <c r="F135" s="18" t="str">
        <f t="shared" si="1"/>
        <v>высокий</v>
      </c>
    </row>
    <row r="136" spans="2:6" x14ac:dyDescent="0.25">
      <c r="B136" s="98" t="s">
        <v>2290</v>
      </c>
      <c r="C136" s="55">
        <v>4</v>
      </c>
      <c r="D136" s="55"/>
      <c r="E136" s="55">
        <v>7</v>
      </c>
      <c r="F136" s="18" t="str">
        <f t="shared" ref="F136:F199" si="2">IF(D136&gt;0,"высокий",IF(C136&gt;0,"средний","низкий"))</f>
        <v>средний</v>
      </c>
    </row>
    <row r="137" spans="2:6" x14ac:dyDescent="0.25">
      <c r="B137" s="98" t="s">
        <v>2291</v>
      </c>
      <c r="C137" s="55"/>
      <c r="D137" s="55">
        <v>1</v>
      </c>
      <c r="E137" s="55"/>
      <c r="F137" s="18" t="str">
        <f t="shared" si="2"/>
        <v>высокий</v>
      </c>
    </row>
    <row r="138" spans="2:6" x14ac:dyDescent="0.25">
      <c r="B138" s="98" t="s">
        <v>2292</v>
      </c>
      <c r="C138" s="55"/>
      <c r="D138" s="55">
        <v>1</v>
      </c>
      <c r="E138" s="55"/>
      <c r="F138" s="18" t="str">
        <f t="shared" si="2"/>
        <v>высокий</v>
      </c>
    </row>
    <row r="139" spans="2:6" x14ac:dyDescent="0.25">
      <c r="B139" s="98" t="s">
        <v>2293</v>
      </c>
      <c r="C139" s="55"/>
      <c r="D139" s="55"/>
      <c r="E139" s="55">
        <v>1</v>
      </c>
      <c r="F139" s="18" t="str">
        <f t="shared" si="2"/>
        <v>низкий</v>
      </c>
    </row>
    <row r="140" spans="2:6" x14ac:dyDescent="0.25">
      <c r="B140" s="98" t="s">
        <v>2294</v>
      </c>
      <c r="C140" s="55"/>
      <c r="D140" s="55"/>
      <c r="E140" s="55">
        <v>1</v>
      </c>
      <c r="F140" s="18" t="str">
        <f t="shared" si="2"/>
        <v>низкий</v>
      </c>
    </row>
    <row r="141" spans="2:6" x14ac:dyDescent="0.25">
      <c r="B141" s="98" t="s">
        <v>2296</v>
      </c>
      <c r="C141" s="55"/>
      <c r="D141" s="55">
        <v>1</v>
      </c>
      <c r="E141" s="55">
        <v>1</v>
      </c>
      <c r="F141" s="18" t="str">
        <f t="shared" si="2"/>
        <v>высокий</v>
      </c>
    </row>
    <row r="142" spans="2:6" x14ac:dyDescent="0.25">
      <c r="B142" s="98" t="s">
        <v>2297</v>
      </c>
      <c r="C142" s="55"/>
      <c r="D142" s="55"/>
      <c r="E142" s="55">
        <v>1</v>
      </c>
      <c r="F142" s="18" t="str">
        <f t="shared" si="2"/>
        <v>низкий</v>
      </c>
    </row>
    <row r="143" spans="2:6" x14ac:dyDescent="0.25">
      <c r="B143" s="98" t="s">
        <v>2298</v>
      </c>
      <c r="C143" s="55"/>
      <c r="D143" s="55">
        <v>1</v>
      </c>
      <c r="E143" s="55"/>
      <c r="F143" s="18" t="str">
        <f t="shared" si="2"/>
        <v>высокий</v>
      </c>
    </row>
    <row r="144" spans="2:6" x14ac:dyDescent="0.25">
      <c r="B144" s="98" t="s">
        <v>2299</v>
      </c>
      <c r="C144" s="55">
        <v>1</v>
      </c>
      <c r="D144" s="55"/>
      <c r="E144" s="55"/>
      <c r="F144" s="18" t="str">
        <f t="shared" si="2"/>
        <v>средний</v>
      </c>
    </row>
    <row r="145" spans="2:6" x14ac:dyDescent="0.25">
      <c r="B145" s="98" t="s">
        <v>2300</v>
      </c>
      <c r="C145" s="55">
        <v>2</v>
      </c>
      <c r="D145" s="55">
        <v>1</v>
      </c>
      <c r="E145" s="55"/>
      <c r="F145" s="18" t="str">
        <f t="shared" si="2"/>
        <v>высокий</v>
      </c>
    </row>
    <row r="146" spans="2:6" x14ac:dyDescent="0.25">
      <c r="B146" s="98" t="s">
        <v>2301</v>
      </c>
      <c r="C146" s="55">
        <v>2</v>
      </c>
      <c r="D146" s="55">
        <v>1</v>
      </c>
      <c r="E146" s="55"/>
      <c r="F146" s="18" t="str">
        <f t="shared" si="2"/>
        <v>высокий</v>
      </c>
    </row>
    <row r="147" spans="2:6" x14ac:dyDescent="0.25">
      <c r="B147" s="98" t="s">
        <v>2302</v>
      </c>
      <c r="C147" s="55">
        <v>2</v>
      </c>
      <c r="D147" s="55">
        <v>1</v>
      </c>
      <c r="E147" s="55"/>
      <c r="F147" s="18" t="str">
        <f t="shared" si="2"/>
        <v>высокий</v>
      </c>
    </row>
    <row r="148" spans="2:6" x14ac:dyDescent="0.25">
      <c r="B148" s="98" t="s">
        <v>2303</v>
      </c>
      <c r="C148" s="55">
        <v>2</v>
      </c>
      <c r="D148" s="55">
        <v>1</v>
      </c>
      <c r="E148" s="55"/>
      <c r="F148" s="18" t="str">
        <f t="shared" si="2"/>
        <v>высокий</v>
      </c>
    </row>
    <row r="149" spans="2:6" x14ac:dyDescent="0.25">
      <c r="B149" s="98" t="s">
        <v>2304</v>
      </c>
      <c r="C149" s="55"/>
      <c r="D149" s="55">
        <v>1</v>
      </c>
      <c r="E149" s="55"/>
      <c r="F149" s="18" t="str">
        <f t="shared" si="2"/>
        <v>высокий</v>
      </c>
    </row>
    <row r="150" spans="2:6" x14ac:dyDescent="0.25">
      <c r="B150" s="98" t="s">
        <v>2305</v>
      </c>
      <c r="C150" s="55"/>
      <c r="D150" s="55">
        <v>1</v>
      </c>
      <c r="E150" s="55"/>
      <c r="F150" s="18" t="str">
        <f t="shared" si="2"/>
        <v>высокий</v>
      </c>
    </row>
    <row r="151" spans="2:6" x14ac:dyDescent="0.25">
      <c r="B151" s="98" t="s">
        <v>2306</v>
      </c>
      <c r="C151" s="55">
        <v>1</v>
      </c>
      <c r="D151" s="55">
        <v>1</v>
      </c>
      <c r="E151" s="55"/>
      <c r="F151" s="18" t="str">
        <f t="shared" si="2"/>
        <v>высокий</v>
      </c>
    </row>
    <row r="152" spans="2:6" x14ac:dyDescent="0.25">
      <c r="B152" s="98" t="s">
        <v>2307</v>
      </c>
      <c r="C152" s="55"/>
      <c r="D152" s="55">
        <v>1</v>
      </c>
      <c r="E152" s="55"/>
      <c r="F152" s="18" t="str">
        <f t="shared" si="2"/>
        <v>высокий</v>
      </c>
    </row>
    <row r="153" spans="2:6" x14ac:dyDescent="0.25">
      <c r="B153" s="98" t="s">
        <v>2308</v>
      </c>
      <c r="C153" s="55"/>
      <c r="D153" s="55">
        <v>1</v>
      </c>
      <c r="E153" s="55"/>
      <c r="F153" s="18" t="str">
        <f t="shared" si="2"/>
        <v>высокий</v>
      </c>
    </row>
    <row r="154" spans="2:6" x14ac:dyDescent="0.25">
      <c r="B154" s="98" t="s">
        <v>2309</v>
      </c>
      <c r="C154" s="55">
        <v>1</v>
      </c>
      <c r="D154" s="55"/>
      <c r="E154" s="55">
        <v>2</v>
      </c>
      <c r="F154" s="18" t="str">
        <f t="shared" si="2"/>
        <v>средний</v>
      </c>
    </row>
    <row r="155" spans="2:6" x14ac:dyDescent="0.25">
      <c r="B155" s="98" t="s">
        <v>2310</v>
      </c>
      <c r="C155" s="55">
        <v>1</v>
      </c>
      <c r="D155" s="55"/>
      <c r="E155" s="55">
        <v>2</v>
      </c>
      <c r="F155" s="18" t="str">
        <f t="shared" si="2"/>
        <v>средний</v>
      </c>
    </row>
    <row r="156" spans="2:6" x14ac:dyDescent="0.25">
      <c r="B156" s="98" t="s">
        <v>2311</v>
      </c>
      <c r="C156" s="55">
        <v>1</v>
      </c>
      <c r="D156" s="55"/>
      <c r="E156" s="55">
        <v>2</v>
      </c>
      <c r="F156" s="18" t="str">
        <f t="shared" si="2"/>
        <v>средний</v>
      </c>
    </row>
    <row r="157" spans="2:6" x14ac:dyDescent="0.25">
      <c r="B157" s="98" t="s">
        <v>2312</v>
      </c>
      <c r="C157" s="55">
        <v>1</v>
      </c>
      <c r="D157" s="55"/>
      <c r="E157" s="55">
        <v>2</v>
      </c>
      <c r="F157" s="18" t="str">
        <f t="shared" si="2"/>
        <v>средний</v>
      </c>
    </row>
    <row r="158" spans="2:6" x14ac:dyDescent="0.25">
      <c r="B158" s="98" t="s">
        <v>2313</v>
      </c>
      <c r="C158" s="55"/>
      <c r="D158" s="55">
        <v>1</v>
      </c>
      <c r="E158" s="55"/>
      <c r="F158" s="18" t="str">
        <f t="shared" si="2"/>
        <v>высокий</v>
      </c>
    </row>
    <row r="159" spans="2:6" x14ac:dyDescent="0.25">
      <c r="B159" s="98" t="s">
        <v>2314</v>
      </c>
      <c r="C159" s="55"/>
      <c r="D159" s="55">
        <v>1</v>
      </c>
      <c r="E159" s="55"/>
      <c r="F159" s="18" t="str">
        <f t="shared" si="2"/>
        <v>высокий</v>
      </c>
    </row>
    <row r="160" spans="2:6" x14ac:dyDescent="0.25">
      <c r="B160" s="98" t="s">
        <v>2315</v>
      </c>
      <c r="C160" s="55">
        <v>1</v>
      </c>
      <c r="D160" s="55">
        <v>1</v>
      </c>
      <c r="E160" s="55"/>
      <c r="F160" s="18" t="str">
        <f t="shared" si="2"/>
        <v>высокий</v>
      </c>
    </row>
    <row r="161" spans="2:6" x14ac:dyDescent="0.25">
      <c r="B161" s="98" t="s">
        <v>2316</v>
      </c>
      <c r="C161" s="55">
        <v>1</v>
      </c>
      <c r="D161" s="55">
        <v>1</v>
      </c>
      <c r="E161" s="55"/>
      <c r="F161" s="18" t="str">
        <f t="shared" si="2"/>
        <v>высокий</v>
      </c>
    </row>
    <row r="162" spans="2:6" x14ac:dyDescent="0.25">
      <c r="B162" s="98" t="s">
        <v>2317</v>
      </c>
      <c r="C162" s="55">
        <v>1</v>
      </c>
      <c r="D162" s="55">
        <v>1</v>
      </c>
      <c r="E162" s="55"/>
      <c r="F162" s="18" t="str">
        <f t="shared" si="2"/>
        <v>высокий</v>
      </c>
    </row>
    <row r="163" spans="2:6" x14ac:dyDescent="0.25">
      <c r="B163" s="98" t="s">
        <v>2318</v>
      </c>
      <c r="C163" s="55">
        <v>1</v>
      </c>
      <c r="D163" s="55">
        <v>1</v>
      </c>
      <c r="E163" s="55"/>
      <c r="F163" s="18" t="str">
        <f t="shared" si="2"/>
        <v>высокий</v>
      </c>
    </row>
    <row r="164" spans="2:6" x14ac:dyDescent="0.25">
      <c r="B164" s="98" t="s">
        <v>2319</v>
      </c>
      <c r="C164" s="55"/>
      <c r="D164" s="55">
        <v>1</v>
      </c>
      <c r="E164" s="55"/>
      <c r="F164" s="18" t="str">
        <f t="shared" si="2"/>
        <v>высокий</v>
      </c>
    </row>
    <row r="165" spans="2:6" x14ac:dyDescent="0.25">
      <c r="B165" s="98" t="s">
        <v>2320</v>
      </c>
      <c r="C165" s="55"/>
      <c r="D165" s="55">
        <v>1</v>
      </c>
      <c r="E165" s="55"/>
      <c r="F165" s="18" t="str">
        <f t="shared" si="2"/>
        <v>высокий</v>
      </c>
    </row>
    <row r="166" spans="2:6" x14ac:dyDescent="0.25">
      <c r="B166" s="98" t="s">
        <v>2321</v>
      </c>
      <c r="C166" s="55">
        <v>1</v>
      </c>
      <c r="D166" s="55"/>
      <c r="E166" s="55"/>
      <c r="F166" s="18" t="str">
        <f t="shared" si="2"/>
        <v>средний</v>
      </c>
    </row>
    <row r="167" spans="2:6" x14ac:dyDescent="0.25">
      <c r="B167" s="98" t="s">
        <v>2322</v>
      </c>
      <c r="C167" s="55"/>
      <c r="D167" s="55">
        <v>1</v>
      </c>
      <c r="E167" s="55"/>
      <c r="F167" s="18" t="str">
        <f t="shared" si="2"/>
        <v>высокий</v>
      </c>
    </row>
    <row r="168" spans="2:6" x14ac:dyDescent="0.25">
      <c r="B168" s="98" t="s">
        <v>2323</v>
      </c>
      <c r="C168" s="55">
        <v>3</v>
      </c>
      <c r="D168" s="55">
        <v>5</v>
      </c>
      <c r="E168" s="55">
        <v>3</v>
      </c>
      <c r="F168" s="18" t="str">
        <f t="shared" si="2"/>
        <v>высокий</v>
      </c>
    </row>
    <row r="169" spans="2:6" x14ac:dyDescent="0.25">
      <c r="B169" s="98" t="s">
        <v>2324</v>
      </c>
      <c r="C169" s="55">
        <v>3</v>
      </c>
      <c r="D169" s="55">
        <v>5</v>
      </c>
      <c r="E169" s="55">
        <v>3</v>
      </c>
      <c r="F169" s="18" t="str">
        <f t="shared" si="2"/>
        <v>высокий</v>
      </c>
    </row>
    <row r="170" spans="2:6" x14ac:dyDescent="0.25">
      <c r="B170" s="98" t="s">
        <v>2325</v>
      </c>
      <c r="C170" s="55">
        <v>3</v>
      </c>
      <c r="D170" s="55">
        <v>5</v>
      </c>
      <c r="E170" s="55">
        <v>3</v>
      </c>
      <c r="F170" s="18" t="str">
        <f t="shared" si="2"/>
        <v>высокий</v>
      </c>
    </row>
    <row r="171" spans="2:6" x14ac:dyDescent="0.25">
      <c r="B171" s="98" t="s">
        <v>2326</v>
      </c>
      <c r="C171" s="55">
        <v>3</v>
      </c>
      <c r="D171" s="55">
        <v>5</v>
      </c>
      <c r="E171" s="55">
        <v>3</v>
      </c>
      <c r="F171" s="18" t="str">
        <f t="shared" si="2"/>
        <v>высокий</v>
      </c>
    </row>
    <row r="172" spans="2:6" x14ac:dyDescent="0.25">
      <c r="B172" s="98" t="s">
        <v>2327</v>
      </c>
      <c r="C172" s="55">
        <v>3</v>
      </c>
      <c r="D172" s="55">
        <v>5</v>
      </c>
      <c r="E172" s="55">
        <v>3</v>
      </c>
      <c r="F172" s="18" t="str">
        <f t="shared" si="2"/>
        <v>высокий</v>
      </c>
    </row>
    <row r="173" spans="2:6" x14ac:dyDescent="0.25">
      <c r="B173" s="98" t="s">
        <v>2328</v>
      </c>
      <c r="C173" s="55">
        <v>3</v>
      </c>
      <c r="D173" s="55">
        <v>5</v>
      </c>
      <c r="E173" s="55">
        <v>3</v>
      </c>
      <c r="F173" s="18" t="str">
        <f t="shared" si="2"/>
        <v>высокий</v>
      </c>
    </row>
    <row r="174" spans="2:6" x14ac:dyDescent="0.25">
      <c r="B174" s="98" t="s">
        <v>2329</v>
      </c>
      <c r="C174" s="55">
        <v>3</v>
      </c>
      <c r="D174" s="55">
        <v>5</v>
      </c>
      <c r="E174" s="55">
        <v>3</v>
      </c>
      <c r="F174" s="18" t="str">
        <f t="shared" si="2"/>
        <v>высокий</v>
      </c>
    </row>
    <row r="175" spans="2:6" x14ac:dyDescent="0.25">
      <c r="B175" s="98" t="s">
        <v>2330</v>
      </c>
      <c r="C175" s="55">
        <v>3</v>
      </c>
      <c r="D175" s="55">
        <v>5</v>
      </c>
      <c r="E175" s="55">
        <v>3</v>
      </c>
      <c r="F175" s="18" t="str">
        <f t="shared" si="2"/>
        <v>высокий</v>
      </c>
    </row>
    <row r="176" spans="2:6" x14ac:dyDescent="0.25">
      <c r="B176" s="98" t="s">
        <v>2331</v>
      </c>
      <c r="C176" s="55">
        <v>1</v>
      </c>
      <c r="D176" s="55">
        <v>2</v>
      </c>
      <c r="E176" s="55"/>
      <c r="F176" s="18" t="str">
        <f t="shared" si="2"/>
        <v>высокий</v>
      </c>
    </row>
    <row r="177" spans="2:6" x14ac:dyDescent="0.25">
      <c r="B177" s="98" t="s">
        <v>2332</v>
      </c>
      <c r="C177" s="55">
        <v>1</v>
      </c>
      <c r="D177" s="55">
        <v>2</v>
      </c>
      <c r="E177" s="55"/>
      <c r="F177" s="18" t="str">
        <f t="shared" si="2"/>
        <v>высокий</v>
      </c>
    </row>
    <row r="178" spans="2:6" x14ac:dyDescent="0.25">
      <c r="B178" s="98" t="s">
        <v>2333</v>
      </c>
      <c r="C178" s="55"/>
      <c r="D178" s="55">
        <v>1</v>
      </c>
      <c r="E178" s="55">
        <v>2</v>
      </c>
      <c r="F178" s="18" t="str">
        <f t="shared" si="2"/>
        <v>высокий</v>
      </c>
    </row>
    <row r="179" spans="2:6" x14ac:dyDescent="0.25">
      <c r="B179" s="98" t="s">
        <v>2334</v>
      </c>
      <c r="C179" s="55">
        <v>2</v>
      </c>
      <c r="D179" s="55">
        <v>1</v>
      </c>
      <c r="E179" s="55">
        <v>1</v>
      </c>
      <c r="F179" s="18" t="str">
        <f t="shared" si="2"/>
        <v>высокий</v>
      </c>
    </row>
    <row r="180" spans="2:6" x14ac:dyDescent="0.25">
      <c r="B180" s="98" t="s">
        <v>2335</v>
      </c>
      <c r="C180" s="55">
        <v>2</v>
      </c>
      <c r="D180" s="55">
        <v>1</v>
      </c>
      <c r="E180" s="55">
        <v>1</v>
      </c>
      <c r="F180" s="18" t="str">
        <f t="shared" si="2"/>
        <v>высокий</v>
      </c>
    </row>
    <row r="181" spans="2:6" x14ac:dyDescent="0.25">
      <c r="B181" s="98" t="s">
        <v>2337</v>
      </c>
      <c r="C181" s="55">
        <v>1</v>
      </c>
      <c r="D181" s="55">
        <v>1</v>
      </c>
      <c r="E181" s="55"/>
      <c r="F181" s="18" t="str">
        <f t="shared" si="2"/>
        <v>высокий</v>
      </c>
    </row>
    <row r="182" spans="2:6" x14ac:dyDescent="0.25">
      <c r="B182" s="98" t="s">
        <v>2338</v>
      </c>
      <c r="C182" s="55">
        <v>1</v>
      </c>
      <c r="D182" s="55">
        <v>1</v>
      </c>
      <c r="E182" s="55">
        <v>2</v>
      </c>
      <c r="F182" s="18" t="str">
        <f t="shared" si="2"/>
        <v>высокий</v>
      </c>
    </row>
    <row r="183" spans="2:6" x14ac:dyDescent="0.25">
      <c r="B183" s="98" t="s">
        <v>2339</v>
      </c>
      <c r="C183" s="55">
        <v>1</v>
      </c>
      <c r="D183" s="55">
        <v>1</v>
      </c>
      <c r="E183" s="55">
        <v>2</v>
      </c>
      <c r="F183" s="18" t="str">
        <f t="shared" si="2"/>
        <v>высокий</v>
      </c>
    </row>
    <row r="184" spans="2:6" x14ac:dyDescent="0.25">
      <c r="B184" s="98" t="s">
        <v>2340</v>
      </c>
      <c r="C184" s="55">
        <v>1</v>
      </c>
      <c r="D184" s="55">
        <v>1</v>
      </c>
      <c r="E184" s="55">
        <v>2</v>
      </c>
      <c r="F184" s="18" t="str">
        <f t="shared" si="2"/>
        <v>высокий</v>
      </c>
    </row>
    <row r="185" spans="2:6" x14ac:dyDescent="0.25">
      <c r="B185" s="98" t="s">
        <v>2341</v>
      </c>
      <c r="C185" s="55">
        <v>1</v>
      </c>
      <c r="D185" s="55">
        <v>1</v>
      </c>
      <c r="E185" s="55">
        <v>2</v>
      </c>
      <c r="F185" s="18" t="str">
        <f t="shared" si="2"/>
        <v>высокий</v>
      </c>
    </row>
    <row r="186" spans="2:6" x14ac:dyDescent="0.25">
      <c r="B186" s="98" t="s">
        <v>2342</v>
      </c>
      <c r="C186" s="55">
        <v>1</v>
      </c>
      <c r="D186" s="55">
        <v>1</v>
      </c>
      <c r="E186" s="55"/>
      <c r="F186" s="18" t="str">
        <f t="shared" si="2"/>
        <v>высокий</v>
      </c>
    </row>
    <row r="187" spans="2:6" x14ac:dyDescent="0.25">
      <c r="B187" s="98" t="s">
        <v>2343</v>
      </c>
      <c r="C187" s="55"/>
      <c r="D187" s="55">
        <v>1</v>
      </c>
      <c r="E187" s="55">
        <v>1</v>
      </c>
      <c r="F187" s="18" t="str">
        <f t="shared" si="2"/>
        <v>высокий</v>
      </c>
    </row>
    <row r="188" spans="2:6" x14ac:dyDescent="0.25">
      <c r="B188" s="98" t="s">
        <v>2344</v>
      </c>
      <c r="C188" s="55"/>
      <c r="D188" s="55">
        <v>2</v>
      </c>
      <c r="E188" s="55"/>
      <c r="F188" s="18" t="str">
        <f t="shared" si="2"/>
        <v>высокий</v>
      </c>
    </row>
    <row r="189" spans="2:6" x14ac:dyDescent="0.25">
      <c r="B189" s="98" t="s">
        <v>2345</v>
      </c>
      <c r="C189" s="55"/>
      <c r="D189" s="55">
        <v>4</v>
      </c>
      <c r="E189" s="55">
        <v>3</v>
      </c>
      <c r="F189" s="18" t="str">
        <f t="shared" si="2"/>
        <v>высокий</v>
      </c>
    </row>
    <row r="190" spans="2:6" x14ac:dyDescent="0.25">
      <c r="B190" s="98" t="s">
        <v>2346</v>
      </c>
      <c r="C190" s="55"/>
      <c r="D190" s="55">
        <v>4</v>
      </c>
      <c r="E190" s="55">
        <v>3</v>
      </c>
      <c r="F190" s="18" t="str">
        <f t="shared" si="2"/>
        <v>высокий</v>
      </c>
    </row>
    <row r="191" spans="2:6" x14ac:dyDescent="0.25">
      <c r="B191" s="98" t="s">
        <v>2347</v>
      </c>
      <c r="C191" s="55"/>
      <c r="D191" s="55">
        <v>4</v>
      </c>
      <c r="E191" s="55">
        <v>3</v>
      </c>
      <c r="F191" s="18" t="str">
        <f t="shared" si="2"/>
        <v>высокий</v>
      </c>
    </row>
    <row r="192" spans="2:6" x14ac:dyDescent="0.25">
      <c r="B192" s="98" t="s">
        <v>2348</v>
      </c>
      <c r="C192" s="55"/>
      <c r="D192" s="55">
        <v>4</v>
      </c>
      <c r="E192" s="55">
        <v>3</v>
      </c>
      <c r="F192" s="18" t="str">
        <f t="shared" si="2"/>
        <v>высокий</v>
      </c>
    </row>
    <row r="193" spans="2:6" x14ac:dyDescent="0.25">
      <c r="B193" s="98" t="s">
        <v>2349</v>
      </c>
      <c r="C193" s="55"/>
      <c r="D193" s="55">
        <v>1</v>
      </c>
      <c r="E193" s="55"/>
      <c r="F193" s="18" t="str">
        <f t="shared" si="2"/>
        <v>высокий</v>
      </c>
    </row>
    <row r="194" spans="2:6" x14ac:dyDescent="0.25">
      <c r="B194" s="98" t="s">
        <v>2350</v>
      </c>
      <c r="C194" s="55">
        <v>2</v>
      </c>
      <c r="D194" s="55"/>
      <c r="E194" s="55"/>
      <c r="F194" s="18" t="str">
        <f t="shared" si="2"/>
        <v>средний</v>
      </c>
    </row>
    <row r="195" spans="2:6" x14ac:dyDescent="0.25">
      <c r="B195" s="98" t="s">
        <v>2351</v>
      </c>
      <c r="C195" s="55">
        <v>2</v>
      </c>
      <c r="D195" s="55"/>
      <c r="E195" s="55"/>
      <c r="F195" s="18" t="str">
        <f t="shared" si="2"/>
        <v>средний</v>
      </c>
    </row>
    <row r="196" spans="2:6" x14ac:dyDescent="0.25">
      <c r="B196" s="98" t="s">
        <v>2352</v>
      </c>
      <c r="C196" s="55">
        <v>2</v>
      </c>
      <c r="D196" s="55"/>
      <c r="E196" s="55"/>
      <c r="F196" s="18" t="str">
        <f t="shared" si="2"/>
        <v>средний</v>
      </c>
    </row>
    <row r="197" spans="2:6" x14ac:dyDescent="0.25">
      <c r="B197" s="98" t="s">
        <v>2353</v>
      </c>
      <c r="C197" s="55">
        <v>2</v>
      </c>
      <c r="D197" s="55"/>
      <c r="E197" s="55"/>
      <c r="F197" s="18" t="str">
        <f t="shared" si="2"/>
        <v>средний</v>
      </c>
    </row>
    <row r="198" spans="2:6" x14ac:dyDescent="0.25">
      <c r="B198" s="98" t="s">
        <v>2354</v>
      </c>
      <c r="C198" s="55"/>
      <c r="D198" s="55">
        <v>2</v>
      </c>
      <c r="E198" s="55"/>
      <c r="F198" s="18" t="str">
        <f t="shared" si="2"/>
        <v>высокий</v>
      </c>
    </row>
    <row r="199" spans="2:6" x14ac:dyDescent="0.25">
      <c r="B199" s="98" t="s">
        <v>2355</v>
      </c>
      <c r="C199" s="55"/>
      <c r="D199" s="55">
        <v>4</v>
      </c>
      <c r="E199" s="55">
        <v>3</v>
      </c>
      <c r="F199" s="18" t="str">
        <f t="shared" si="2"/>
        <v>высокий</v>
      </c>
    </row>
    <row r="200" spans="2:6" x14ac:dyDescent="0.25">
      <c r="B200" s="98" t="s">
        <v>2356</v>
      </c>
      <c r="C200" s="55"/>
      <c r="D200" s="55">
        <v>4</v>
      </c>
      <c r="E200" s="55">
        <v>3</v>
      </c>
      <c r="F200" s="18" t="str">
        <f t="shared" ref="F200:F263" si="3">IF(D200&gt;0,"высокий",IF(C200&gt;0,"средний","низкий"))</f>
        <v>высокий</v>
      </c>
    </row>
    <row r="201" spans="2:6" x14ac:dyDescent="0.25">
      <c r="B201" s="98" t="s">
        <v>2357</v>
      </c>
      <c r="C201" s="55"/>
      <c r="D201" s="55">
        <v>4</v>
      </c>
      <c r="E201" s="55">
        <v>3</v>
      </c>
      <c r="F201" s="18" t="str">
        <f t="shared" si="3"/>
        <v>высокий</v>
      </c>
    </row>
    <row r="202" spans="2:6" x14ac:dyDescent="0.25">
      <c r="B202" s="98" t="s">
        <v>2358</v>
      </c>
      <c r="C202" s="55"/>
      <c r="D202" s="55">
        <v>4</v>
      </c>
      <c r="E202" s="55">
        <v>3</v>
      </c>
      <c r="F202" s="18" t="str">
        <f t="shared" si="3"/>
        <v>высокий</v>
      </c>
    </row>
    <row r="203" spans="2:6" x14ac:dyDescent="0.25">
      <c r="B203" s="98" t="s">
        <v>2359</v>
      </c>
      <c r="C203" s="55"/>
      <c r="D203" s="55">
        <v>1</v>
      </c>
      <c r="E203" s="55"/>
      <c r="F203" s="18" t="str">
        <f t="shared" si="3"/>
        <v>высокий</v>
      </c>
    </row>
    <row r="204" spans="2:6" x14ac:dyDescent="0.25">
      <c r="B204" s="98" t="s">
        <v>2361</v>
      </c>
      <c r="C204" s="55"/>
      <c r="D204" s="55">
        <v>2</v>
      </c>
      <c r="E204" s="55"/>
      <c r="F204" s="18" t="str">
        <f t="shared" si="3"/>
        <v>высокий</v>
      </c>
    </row>
    <row r="205" spans="2:6" x14ac:dyDescent="0.25">
      <c r="B205" s="98" t="s">
        <v>2362</v>
      </c>
      <c r="C205" s="55"/>
      <c r="D205" s="55">
        <v>1</v>
      </c>
      <c r="E205" s="55"/>
      <c r="F205" s="18" t="str">
        <f t="shared" si="3"/>
        <v>высокий</v>
      </c>
    </row>
    <row r="206" spans="2:6" x14ac:dyDescent="0.25">
      <c r="B206" s="98" t="s">
        <v>2363</v>
      </c>
      <c r="C206" s="55"/>
      <c r="D206" s="55">
        <v>1</v>
      </c>
      <c r="E206" s="55"/>
      <c r="F206" s="18" t="str">
        <f t="shared" si="3"/>
        <v>высокий</v>
      </c>
    </row>
    <row r="207" spans="2:6" x14ac:dyDescent="0.25">
      <c r="B207" s="98" t="s">
        <v>2364</v>
      </c>
      <c r="C207" s="55">
        <v>1</v>
      </c>
      <c r="D207" s="55">
        <v>1</v>
      </c>
      <c r="E207" s="55"/>
      <c r="F207" s="18" t="str">
        <f t="shared" si="3"/>
        <v>высокий</v>
      </c>
    </row>
    <row r="208" spans="2:6" x14ac:dyDescent="0.25">
      <c r="B208" s="98" t="s">
        <v>2367</v>
      </c>
      <c r="C208" s="55"/>
      <c r="D208" s="55">
        <v>1</v>
      </c>
      <c r="E208" s="55"/>
      <c r="F208" s="18" t="str">
        <f t="shared" si="3"/>
        <v>высокий</v>
      </c>
    </row>
    <row r="209" spans="2:6" x14ac:dyDescent="0.25">
      <c r="B209" s="98" t="s">
        <v>2368</v>
      </c>
      <c r="C209" s="55"/>
      <c r="D209" s="55">
        <v>1</v>
      </c>
      <c r="E209" s="55">
        <v>2</v>
      </c>
      <c r="F209" s="18" t="str">
        <f t="shared" si="3"/>
        <v>высокий</v>
      </c>
    </row>
    <row r="210" spans="2:6" x14ac:dyDescent="0.25">
      <c r="B210" s="98" t="s">
        <v>2369</v>
      </c>
      <c r="C210" s="55">
        <v>2</v>
      </c>
      <c r="D210" s="55"/>
      <c r="E210" s="55"/>
      <c r="F210" s="18" t="str">
        <f t="shared" si="3"/>
        <v>средний</v>
      </c>
    </row>
    <row r="211" spans="2:6" x14ac:dyDescent="0.25">
      <c r="B211" s="98" t="s">
        <v>2370</v>
      </c>
      <c r="C211" s="55">
        <v>2</v>
      </c>
      <c r="D211" s="55"/>
      <c r="E211" s="55">
        <v>1</v>
      </c>
      <c r="F211" s="18" t="str">
        <f t="shared" si="3"/>
        <v>средний</v>
      </c>
    </row>
    <row r="212" spans="2:6" x14ac:dyDescent="0.25">
      <c r="B212" s="98" t="s">
        <v>2371</v>
      </c>
      <c r="C212" s="55">
        <v>1</v>
      </c>
      <c r="D212" s="55"/>
      <c r="E212" s="55"/>
      <c r="F212" s="18" t="str">
        <f t="shared" si="3"/>
        <v>средний</v>
      </c>
    </row>
    <row r="213" spans="2:6" x14ac:dyDescent="0.25">
      <c r="B213" s="98" t="s">
        <v>2373</v>
      </c>
      <c r="C213" s="55"/>
      <c r="D213" s="55"/>
      <c r="E213" s="55">
        <v>1</v>
      </c>
      <c r="F213" s="18" t="str">
        <f t="shared" si="3"/>
        <v>низкий</v>
      </c>
    </row>
    <row r="214" spans="2:6" x14ac:dyDescent="0.25">
      <c r="B214" s="98" t="s">
        <v>2375</v>
      </c>
      <c r="C214" s="55"/>
      <c r="D214" s="55"/>
      <c r="E214" s="55">
        <v>1</v>
      </c>
      <c r="F214" s="18" t="str">
        <f t="shared" si="3"/>
        <v>низкий</v>
      </c>
    </row>
    <row r="215" spans="2:6" x14ac:dyDescent="0.25">
      <c r="B215" s="98" t="s">
        <v>2376</v>
      </c>
      <c r="C215" s="55">
        <v>1</v>
      </c>
      <c r="D215" s="55"/>
      <c r="E215" s="55">
        <v>1</v>
      </c>
      <c r="F215" s="18" t="str">
        <f t="shared" si="3"/>
        <v>средний</v>
      </c>
    </row>
    <row r="216" spans="2:6" x14ac:dyDescent="0.25">
      <c r="B216" s="98" t="s">
        <v>2377</v>
      </c>
      <c r="C216" s="55"/>
      <c r="D216" s="55">
        <v>1</v>
      </c>
      <c r="E216" s="55">
        <v>1</v>
      </c>
      <c r="F216" s="18" t="str">
        <f t="shared" si="3"/>
        <v>высокий</v>
      </c>
    </row>
    <row r="217" spans="2:6" x14ac:dyDescent="0.25">
      <c r="B217" s="98" t="s">
        <v>2378</v>
      </c>
      <c r="C217" s="55">
        <v>1</v>
      </c>
      <c r="D217" s="55"/>
      <c r="E217" s="55"/>
      <c r="F217" s="18" t="str">
        <f t="shared" si="3"/>
        <v>средний</v>
      </c>
    </row>
    <row r="218" spans="2:6" x14ac:dyDescent="0.25">
      <c r="B218" s="98" t="s">
        <v>2379</v>
      </c>
      <c r="C218" s="55">
        <v>1</v>
      </c>
      <c r="D218" s="55"/>
      <c r="E218" s="55"/>
      <c r="F218" s="18" t="str">
        <f t="shared" si="3"/>
        <v>средний</v>
      </c>
    </row>
    <row r="219" spans="2:6" x14ac:dyDescent="0.25">
      <c r="B219" s="98" t="s">
        <v>2380</v>
      </c>
      <c r="C219" s="55">
        <v>2</v>
      </c>
      <c r="D219" s="55"/>
      <c r="E219" s="55"/>
      <c r="F219" s="18" t="str">
        <f t="shared" si="3"/>
        <v>средний</v>
      </c>
    </row>
    <row r="220" spans="2:6" x14ac:dyDescent="0.25">
      <c r="B220" s="98" t="s">
        <v>2381</v>
      </c>
      <c r="C220" s="55">
        <v>1</v>
      </c>
      <c r="D220" s="55">
        <v>1</v>
      </c>
      <c r="E220" s="55"/>
      <c r="F220" s="18" t="str">
        <f t="shared" si="3"/>
        <v>высокий</v>
      </c>
    </row>
    <row r="221" spans="2:6" x14ac:dyDescent="0.25">
      <c r="B221" s="98" t="s">
        <v>2385</v>
      </c>
      <c r="C221" s="55"/>
      <c r="D221" s="55">
        <v>1</v>
      </c>
      <c r="E221" s="55">
        <v>1</v>
      </c>
      <c r="F221" s="18" t="str">
        <f t="shared" si="3"/>
        <v>высокий</v>
      </c>
    </row>
    <row r="222" spans="2:6" x14ac:dyDescent="0.25">
      <c r="B222" s="98" t="s">
        <v>2386</v>
      </c>
      <c r="C222" s="55">
        <v>1</v>
      </c>
      <c r="D222" s="55">
        <v>1</v>
      </c>
      <c r="E222" s="55"/>
      <c r="F222" s="18" t="str">
        <f t="shared" si="3"/>
        <v>высокий</v>
      </c>
    </row>
    <row r="223" spans="2:6" x14ac:dyDescent="0.25">
      <c r="B223" s="98" t="s">
        <v>2387</v>
      </c>
      <c r="C223" s="55"/>
      <c r="D223" s="55">
        <v>1</v>
      </c>
      <c r="E223" s="55">
        <v>1</v>
      </c>
      <c r="F223" s="18" t="str">
        <f t="shared" si="3"/>
        <v>высокий</v>
      </c>
    </row>
    <row r="224" spans="2:6" x14ac:dyDescent="0.25">
      <c r="B224" s="98" t="s">
        <v>2388</v>
      </c>
      <c r="C224" s="55"/>
      <c r="D224" s="55">
        <v>1</v>
      </c>
      <c r="E224" s="55">
        <v>1</v>
      </c>
      <c r="F224" s="18" t="str">
        <f t="shared" si="3"/>
        <v>высокий</v>
      </c>
    </row>
    <row r="225" spans="2:6" x14ac:dyDescent="0.25">
      <c r="B225" s="98" t="s">
        <v>2389</v>
      </c>
      <c r="C225" s="55"/>
      <c r="D225" s="55">
        <v>1</v>
      </c>
      <c r="E225" s="55">
        <v>1</v>
      </c>
      <c r="F225" s="18" t="str">
        <f t="shared" si="3"/>
        <v>высокий</v>
      </c>
    </row>
    <row r="226" spans="2:6" x14ac:dyDescent="0.25">
      <c r="B226" s="98" t="s">
        <v>2390</v>
      </c>
      <c r="C226" s="55"/>
      <c r="D226" s="55">
        <v>1</v>
      </c>
      <c r="E226" s="55">
        <v>1</v>
      </c>
      <c r="F226" s="18" t="str">
        <f t="shared" si="3"/>
        <v>высокий</v>
      </c>
    </row>
    <row r="227" spans="2:6" x14ac:dyDescent="0.25">
      <c r="B227" s="98" t="s">
        <v>2391</v>
      </c>
      <c r="C227" s="55">
        <v>1</v>
      </c>
      <c r="D227" s="55"/>
      <c r="E227" s="55"/>
      <c r="F227" s="18" t="str">
        <f t="shared" si="3"/>
        <v>средний</v>
      </c>
    </row>
    <row r="228" spans="2:6" x14ac:dyDescent="0.25">
      <c r="B228" s="98" t="s">
        <v>2392</v>
      </c>
      <c r="C228" s="55">
        <v>3</v>
      </c>
      <c r="D228" s="55"/>
      <c r="E228" s="55">
        <v>4</v>
      </c>
      <c r="F228" s="18" t="str">
        <f t="shared" si="3"/>
        <v>средний</v>
      </c>
    </row>
    <row r="229" spans="2:6" x14ac:dyDescent="0.25">
      <c r="B229" s="98" t="s">
        <v>2393</v>
      </c>
      <c r="C229" s="55">
        <v>3</v>
      </c>
      <c r="D229" s="55"/>
      <c r="E229" s="55">
        <v>4</v>
      </c>
      <c r="F229" s="18" t="str">
        <f t="shared" si="3"/>
        <v>средний</v>
      </c>
    </row>
    <row r="230" spans="2:6" x14ac:dyDescent="0.25">
      <c r="B230" s="98" t="s">
        <v>2394</v>
      </c>
      <c r="C230" s="55">
        <v>3</v>
      </c>
      <c r="D230" s="55"/>
      <c r="E230" s="55">
        <v>4</v>
      </c>
      <c r="F230" s="18" t="str">
        <f t="shared" si="3"/>
        <v>средний</v>
      </c>
    </row>
    <row r="231" spans="2:6" x14ac:dyDescent="0.25">
      <c r="B231" s="98" t="s">
        <v>2395</v>
      </c>
      <c r="C231" s="55"/>
      <c r="D231" s="55">
        <v>2</v>
      </c>
      <c r="E231" s="55">
        <v>2</v>
      </c>
      <c r="F231" s="18" t="str">
        <f t="shared" si="3"/>
        <v>высокий</v>
      </c>
    </row>
    <row r="232" spans="2:6" x14ac:dyDescent="0.25">
      <c r="B232" s="98" t="s">
        <v>2396</v>
      </c>
      <c r="C232" s="55"/>
      <c r="D232" s="55">
        <v>2</v>
      </c>
      <c r="E232" s="55">
        <v>2</v>
      </c>
      <c r="F232" s="18" t="str">
        <f t="shared" si="3"/>
        <v>высокий</v>
      </c>
    </row>
    <row r="233" spans="2:6" x14ac:dyDescent="0.25">
      <c r="B233" s="98" t="s">
        <v>2397</v>
      </c>
      <c r="C233" s="55"/>
      <c r="D233" s="55">
        <v>2</v>
      </c>
      <c r="E233" s="55">
        <v>2</v>
      </c>
      <c r="F233" s="18" t="str">
        <f t="shared" si="3"/>
        <v>высокий</v>
      </c>
    </row>
    <row r="234" spans="2:6" x14ac:dyDescent="0.25">
      <c r="B234" s="98" t="s">
        <v>2398</v>
      </c>
      <c r="C234" s="55"/>
      <c r="D234" s="55">
        <v>2</v>
      </c>
      <c r="E234" s="55">
        <v>2</v>
      </c>
      <c r="F234" s="18" t="str">
        <f t="shared" si="3"/>
        <v>высокий</v>
      </c>
    </row>
    <row r="235" spans="2:6" x14ac:dyDescent="0.25">
      <c r="B235" s="98" t="s">
        <v>2399</v>
      </c>
      <c r="C235" s="55"/>
      <c r="D235" s="55"/>
      <c r="E235" s="55">
        <v>1</v>
      </c>
      <c r="F235" s="18" t="str">
        <f t="shared" si="3"/>
        <v>низкий</v>
      </c>
    </row>
    <row r="236" spans="2:6" x14ac:dyDescent="0.25">
      <c r="B236" s="98" t="s">
        <v>2400</v>
      </c>
      <c r="C236" s="55"/>
      <c r="D236" s="55"/>
      <c r="E236" s="55">
        <v>1</v>
      </c>
      <c r="F236" s="18" t="str">
        <f t="shared" si="3"/>
        <v>низкий</v>
      </c>
    </row>
    <row r="237" spans="2:6" x14ac:dyDescent="0.25">
      <c r="B237" s="98" t="s">
        <v>2401</v>
      </c>
      <c r="C237" s="55">
        <v>1</v>
      </c>
      <c r="D237" s="55">
        <v>1</v>
      </c>
      <c r="E237" s="55">
        <v>1</v>
      </c>
      <c r="F237" s="18" t="str">
        <f t="shared" si="3"/>
        <v>высокий</v>
      </c>
    </row>
    <row r="238" spans="2:6" x14ac:dyDescent="0.25">
      <c r="B238" s="98" t="s">
        <v>2402</v>
      </c>
      <c r="C238" s="55">
        <v>1</v>
      </c>
      <c r="D238" s="55">
        <v>1</v>
      </c>
      <c r="E238" s="55">
        <v>1</v>
      </c>
      <c r="F238" s="18" t="str">
        <f t="shared" si="3"/>
        <v>высокий</v>
      </c>
    </row>
    <row r="239" spans="2:6" x14ac:dyDescent="0.25">
      <c r="B239" s="98" t="s">
        <v>2403</v>
      </c>
      <c r="C239" s="55">
        <v>1</v>
      </c>
      <c r="D239" s="55">
        <v>1</v>
      </c>
      <c r="E239" s="55"/>
      <c r="F239" s="18" t="str">
        <f t="shared" si="3"/>
        <v>высокий</v>
      </c>
    </row>
    <row r="240" spans="2:6" x14ac:dyDescent="0.25">
      <c r="B240" s="98" t="s">
        <v>2404</v>
      </c>
      <c r="C240" s="55">
        <v>3</v>
      </c>
      <c r="D240" s="55"/>
      <c r="E240" s="55">
        <v>4</v>
      </c>
      <c r="F240" s="18" t="str">
        <f t="shared" si="3"/>
        <v>средний</v>
      </c>
    </row>
    <row r="241" spans="2:6" x14ac:dyDescent="0.25">
      <c r="B241" s="98" t="s">
        <v>2405</v>
      </c>
      <c r="C241" s="55">
        <v>1</v>
      </c>
      <c r="D241" s="55">
        <v>1</v>
      </c>
      <c r="E241" s="55">
        <v>1</v>
      </c>
      <c r="F241" s="18" t="str">
        <f t="shared" si="3"/>
        <v>высокий</v>
      </c>
    </row>
    <row r="242" spans="2:6" x14ac:dyDescent="0.25">
      <c r="B242" s="98" t="s">
        <v>2406</v>
      </c>
      <c r="C242" s="55">
        <v>1</v>
      </c>
      <c r="D242" s="55">
        <v>1</v>
      </c>
      <c r="E242" s="55">
        <v>1</v>
      </c>
      <c r="F242" s="18" t="str">
        <f t="shared" si="3"/>
        <v>высокий</v>
      </c>
    </row>
    <row r="243" spans="2:6" x14ac:dyDescent="0.25">
      <c r="B243" s="98" t="s">
        <v>2407</v>
      </c>
      <c r="C243" s="55">
        <v>2</v>
      </c>
      <c r="D243" s="55"/>
      <c r="E243" s="55">
        <v>2</v>
      </c>
      <c r="F243" s="18" t="str">
        <f t="shared" si="3"/>
        <v>средний</v>
      </c>
    </row>
    <row r="244" spans="2:6" x14ac:dyDescent="0.25">
      <c r="B244" s="98" t="s">
        <v>2408</v>
      </c>
      <c r="C244" s="55">
        <v>2</v>
      </c>
      <c r="D244" s="55"/>
      <c r="E244" s="55">
        <v>2</v>
      </c>
      <c r="F244" s="18" t="str">
        <f t="shared" si="3"/>
        <v>средний</v>
      </c>
    </row>
    <row r="245" spans="2:6" x14ac:dyDescent="0.25">
      <c r="B245" s="98" t="s">
        <v>2409</v>
      </c>
      <c r="C245" s="55">
        <v>2</v>
      </c>
      <c r="D245" s="55"/>
      <c r="E245" s="55">
        <v>2</v>
      </c>
      <c r="F245" s="18" t="str">
        <f t="shared" si="3"/>
        <v>средний</v>
      </c>
    </row>
    <row r="246" spans="2:6" x14ac:dyDescent="0.25">
      <c r="B246" s="98" t="s">
        <v>2410</v>
      </c>
      <c r="C246" s="55">
        <v>2</v>
      </c>
      <c r="D246" s="55"/>
      <c r="E246" s="55">
        <v>2</v>
      </c>
      <c r="F246" s="18" t="str">
        <f t="shared" si="3"/>
        <v>средний</v>
      </c>
    </row>
    <row r="247" spans="2:6" x14ac:dyDescent="0.25">
      <c r="B247" s="98" t="s">
        <v>2411</v>
      </c>
      <c r="C247" s="55">
        <v>2</v>
      </c>
      <c r="D247" s="55"/>
      <c r="E247" s="55"/>
      <c r="F247" s="18" t="str">
        <f t="shared" si="3"/>
        <v>средний</v>
      </c>
    </row>
    <row r="248" spans="2:6" x14ac:dyDescent="0.25">
      <c r="B248" s="98" t="s">
        <v>2412</v>
      </c>
      <c r="C248" s="55">
        <v>1</v>
      </c>
      <c r="D248" s="55">
        <v>1</v>
      </c>
      <c r="E248" s="55"/>
      <c r="F248" s="18" t="str">
        <f t="shared" si="3"/>
        <v>высокий</v>
      </c>
    </row>
    <row r="249" spans="2:6" x14ac:dyDescent="0.25">
      <c r="B249" s="98" t="s">
        <v>2413</v>
      </c>
      <c r="C249" s="55"/>
      <c r="D249" s="55">
        <v>1</v>
      </c>
      <c r="E249" s="55">
        <v>5</v>
      </c>
      <c r="F249" s="18" t="str">
        <f t="shared" si="3"/>
        <v>высокий</v>
      </c>
    </row>
    <row r="250" spans="2:6" x14ac:dyDescent="0.25">
      <c r="B250" s="98" t="s">
        <v>2414</v>
      </c>
      <c r="C250" s="55"/>
      <c r="D250" s="55">
        <v>1</v>
      </c>
      <c r="E250" s="55">
        <v>5</v>
      </c>
      <c r="F250" s="18" t="str">
        <f t="shared" si="3"/>
        <v>высокий</v>
      </c>
    </row>
    <row r="251" spans="2:6" x14ac:dyDescent="0.25">
      <c r="B251" s="98" t="s">
        <v>2415</v>
      </c>
      <c r="C251" s="55"/>
      <c r="D251" s="55">
        <v>1</v>
      </c>
      <c r="E251" s="55">
        <v>5</v>
      </c>
      <c r="F251" s="18" t="str">
        <f t="shared" si="3"/>
        <v>высокий</v>
      </c>
    </row>
    <row r="252" spans="2:6" x14ac:dyDescent="0.25">
      <c r="B252" s="98" t="s">
        <v>2416</v>
      </c>
      <c r="C252" s="55"/>
      <c r="D252" s="55">
        <v>1</v>
      </c>
      <c r="E252" s="55">
        <v>5</v>
      </c>
      <c r="F252" s="18" t="str">
        <f t="shared" si="3"/>
        <v>высокий</v>
      </c>
    </row>
    <row r="253" spans="2:6" x14ac:dyDescent="0.25">
      <c r="B253" s="98" t="s">
        <v>2417</v>
      </c>
      <c r="C253" s="55"/>
      <c r="D253" s="55"/>
      <c r="E253" s="55">
        <v>1</v>
      </c>
      <c r="F253" s="18" t="str">
        <f t="shared" si="3"/>
        <v>низкий</v>
      </c>
    </row>
    <row r="254" spans="2:6" x14ac:dyDescent="0.25">
      <c r="B254" s="98" t="s">
        <v>2418</v>
      </c>
      <c r="C254" s="55">
        <v>2</v>
      </c>
      <c r="D254" s="55"/>
      <c r="E254" s="55"/>
      <c r="F254" s="18" t="str">
        <f t="shared" si="3"/>
        <v>средний</v>
      </c>
    </row>
    <row r="255" spans="2:6" x14ac:dyDescent="0.25">
      <c r="B255" s="98" t="s">
        <v>2419</v>
      </c>
      <c r="C255" s="55"/>
      <c r="D255" s="55">
        <v>1</v>
      </c>
      <c r="E255" s="55"/>
      <c r="F255" s="18" t="str">
        <f t="shared" si="3"/>
        <v>высокий</v>
      </c>
    </row>
    <row r="256" spans="2:6" x14ac:dyDescent="0.25">
      <c r="B256" s="98" t="s">
        <v>2420</v>
      </c>
      <c r="C256" s="55">
        <v>1</v>
      </c>
      <c r="D256" s="55"/>
      <c r="E256" s="55"/>
      <c r="F256" s="18" t="str">
        <f t="shared" si="3"/>
        <v>средний</v>
      </c>
    </row>
    <row r="257" spans="2:6" x14ac:dyDescent="0.25">
      <c r="B257" s="98" t="s">
        <v>2421</v>
      </c>
      <c r="C257" s="55">
        <v>1</v>
      </c>
      <c r="D257" s="55"/>
      <c r="E257" s="55"/>
      <c r="F257" s="18" t="str">
        <f t="shared" si="3"/>
        <v>средний</v>
      </c>
    </row>
    <row r="258" spans="2:6" x14ac:dyDescent="0.25">
      <c r="B258" s="98" t="s">
        <v>2422</v>
      </c>
      <c r="C258" s="55">
        <v>1</v>
      </c>
      <c r="D258" s="55"/>
      <c r="E258" s="55"/>
      <c r="F258" s="18" t="str">
        <f t="shared" si="3"/>
        <v>средний</v>
      </c>
    </row>
    <row r="259" spans="2:6" x14ac:dyDescent="0.25">
      <c r="B259" s="98" t="s">
        <v>2423</v>
      </c>
      <c r="C259" s="55">
        <v>1</v>
      </c>
      <c r="D259" s="55"/>
      <c r="E259" s="55"/>
      <c r="F259" s="18" t="str">
        <f t="shared" si="3"/>
        <v>средний</v>
      </c>
    </row>
    <row r="260" spans="2:6" x14ac:dyDescent="0.25">
      <c r="B260" s="98" t="s">
        <v>2429</v>
      </c>
      <c r="C260" s="55"/>
      <c r="D260" s="55"/>
      <c r="E260" s="55">
        <v>1</v>
      </c>
      <c r="F260" s="18" t="str">
        <f t="shared" si="3"/>
        <v>низкий</v>
      </c>
    </row>
    <row r="261" spans="2:6" x14ac:dyDescent="0.25">
      <c r="B261" s="98" t="s">
        <v>2430</v>
      </c>
      <c r="C261" s="55"/>
      <c r="D261" s="55">
        <v>1</v>
      </c>
      <c r="E261" s="55"/>
      <c r="F261" s="18" t="str">
        <f t="shared" si="3"/>
        <v>высокий</v>
      </c>
    </row>
    <row r="262" spans="2:6" x14ac:dyDescent="0.25">
      <c r="B262" s="98" t="s">
        <v>2431</v>
      </c>
      <c r="C262" s="55">
        <v>1</v>
      </c>
      <c r="D262" s="55"/>
      <c r="E262" s="55"/>
      <c r="F262" s="18" t="str">
        <f t="shared" si="3"/>
        <v>средний</v>
      </c>
    </row>
    <row r="263" spans="2:6" x14ac:dyDescent="0.25">
      <c r="B263" s="98" t="s">
        <v>2432</v>
      </c>
      <c r="C263" s="55">
        <v>1</v>
      </c>
      <c r="D263" s="55"/>
      <c r="E263" s="55"/>
      <c r="F263" s="18" t="str">
        <f t="shared" si="3"/>
        <v>средний</v>
      </c>
    </row>
    <row r="264" spans="2:6" x14ac:dyDescent="0.25">
      <c r="B264" s="98" t="s">
        <v>2433</v>
      </c>
      <c r="C264" s="55">
        <v>1</v>
      </c>
      <c r="D264" s="55"/>
      <c r="E264" s="55"/>
      <c r="F264" s="18" t="str">
        <f t="shared" ref="F264:F327" si="4">IF(D264&gt;0,"высокий",IF(C264&gt;0,"средний","низкий"))</f>
        <v>средний</v>
      </c>
    </row>
    <row r="265" spans="2:6" x14ac:dyDescent="0.25">
      <c r="B265" s="98" t="s">
        <v>2434</v>
      </c>
      <c r="C265" s="55"/>
      <c r="D265" s="55"/>
      <c r="E265" s="55">
        <v>1</v>
      </c>
      <c r="F265" s="18" t="str">
        <f t="shared" si="4"/>
        <v>низкий</v>
      </c>
    </row>
    <row r="266" spans="2:6" x14ac:dyDescent="0.25">
      <c r="B266" s="98" t="s">
        <v>2435</v>
      </c>
      <c r="C266" s="55">
        <v>1</v>
      </c>
      <c r="D266" s="55"/>
      <c r="E266" s="55"/>
      <c r="F266" s="18" t="str">
        <f t="shared" si="4"/>
        <v>средний</v>
      </c>
    </row>
    <row r="267" spans="2:6" x14ac:dyDescent="0.25">
      <c r="B267" s="98" t="s">
        <v>2436</v>
      </c>
      <c r="C267" s="55">
        <v>1</v>
      </c>
      <c r="D267" s="55"/>
      <c r="E267" s="55"/>
      <c r="F267" s="18" t="str">
        <f t="shared" si="4"/>
        <v>средний</v>
      </c>
    </row>
    <row r="268" spans="2:6" x14ac:dyDescent="0.25">
      <c r="B268" s="98" t="s">
        <v>2437</v>
      </c>
      <c r="C268" s="55"/>
      <c r="D268" s="55">
        <v>1</v>
      </c>
      <c r="E268" s="55"/>
      <c r="F268" s="18" t="str">
        <f t="shared" si="4"/>
        <v>высокий</v>
      </c>
    </row>
    <row r="269" spans="2:6" x14ac:dyDescent="0.25">
      <c r="B269" s="98" t="s">
        <v>2438</v>
      </c>
      <c r="C269" s="55">
        <v>1</v>
      </c>
      <c r="D269" s="55">
        <v>1</v>
      </c>
      <c r="E269" s="55"/>
      <c r="F269" s="18" t="str">
        <f t="shared" si="4"/>
        <v>высокий</v>
      </c>
    </row>
    <row r="270" spans="2:6" x14ac:dyDescent="0.25">
      <c r="B270" s="98" t="s">
        <v>2439</v>
      </c>
      <c r="C270" s="55"/>
      <c r="D270" s="55">
        <v>1</v>
      </c>
      <c r="E270" s="55"/>
      <c r="F270" s="18" t="str">
        <f t="shared" si="4"/>
        <v>высокий</v>
      </c>
    </row>
    <row r="271" spans="2:6" x14ac:dyDescent="0.25">
      <c r="B271" s="98" t="s">
        <v>2440</v>
      </c>
      <c r="C271" s="55">
        <v>1</v>
      </c>
      <c r="D271" s="55"/>
      <c r="E271" s="55"/>
      <c r="F271" s="18" t="str">
        <f t="shared" si="4"/>
        <v>средний</v>
      </c>
    </row>
    <row r="272" spans="2:6" x14ac:dyDescent="0.25">
      <c r="B272" s="98" t="s">
        <v>2441</v>
      </c>
      <c r="C272" s="55">
        <v>1</v>
      </c>
      <c r="D272" s="55"/>
      <c r="E272" s="55">
        <v>1</v>
      </c>
      <c r="F272" s="18" t="str">
        <f t="shared" si="4"/>
        <v>средний</v>
      </c>
    </row>
    <row r="273" spans="2:6" x14ac:dyDescent="0.25">
      <c r="B273" s="98" t="s">
        <v>2442</v>
      </c>
      <c r="C273" s="55">
        <v>3</v>
      </c>
      <c r="D273" s="55"/>
      <c r="E273" s="55"/>
      <c r="F273" s="18" t="str">
        <f t="shared" si="4"/>
        <v>средний</v>
      </c>
    </row>
    <row r="274" spans="2:6" x14ac:dyDescent="0.25">
      <c r="B274" s="98" t="s">
        <v>2443</v>
      </c>
      <c r="C274" s="55">
        <v>1</v>
      </c>
      <c r="D274" s="55">
        <v>1</v>
      </c>
      <c r="E274" s="55"/>
      <c r="F274" s="18" t="str">
        <f t="shared" si="4"/>
        <v>высокий</v>
      </c>
    </row>
    <row r="275" spans="2:6" x14ac:dyDescent="0.25">
      <c r="B275" s="98" t="s">
        <v>2444</v>
      </c>
      <c r="C275" s="55">
        <v>2</v>
      </c>
      <c r="D275" s="55"/>
      <c r="E275" s="55">
        <v>2</v>
      </c>
      <c r="F275" s="18" t="str">
        <f t="shared" si="4"/>
        <v>средний</v>
      </c>
    </row>
    <row r="276" spans="2:6" x14ac:dyDescent="0.25">
      <c r="B276" s="98" t="s">
        <v>2445</v>
      </c>
      <c r="C276" s="55">
        <v>3</v>
      </c>
      <c r="D276" s="55">
        <v>1</v>
      </c>
      <c r="E276" s="55">
        <v>1</v>
      </c>
      <c r="F276" s="18" t="str">
        <f t="shared" si="4"/>
        <v>высокий</v>
      </c>
    </row>
    <row r="277" spans="2:6" x14ac:dyDescent="0.25">
      <c r="B277" s="98" t="s">
        <v>2446</v>
      </c>
      <c r="C277" s="55">
        <v>3</v>
      </c>
      <c r="D277" s="55">
        <v>1</v>
      </c>
      <c r="E277" s="55">
        <v>1</v>
      </c>
      <c r="F277" s="18" t="str">
        <f t="shared" si="4"/>
        <v>высокий</v>
      </c>
    </row>
    <row r="278" spans="2:6" x14ac:dyDescent="0.25">
      <c r="B278" s="98" t="s">
        <v>2447</v>
      </c>
      <c r="C278" s="55">
        <v>3</v>
      </c>
      <c r="D278" s="55">
        <v>1</v>
      </c>
      <c r="E278" s="55">
        <v>1</v>
      </c>
      <c r="F278" s="18" t="str">
        <f t="shared" si="4"/>
        <v>высокий</v>
      </c>
    </row>
    <row r="279" spans="2:6" x14ac:dyDescent="0.25">
      <c r="B279" s="98" t="s">
        <v>2448</v>
      </c>
      <c r="C279" s="55">
        <v>1</v>
      </c>
      <c r="D279" s="55"/>
      <c r="E279" s="55"/>
      <c r="F279" s="18" t="str">
        <f t="shared" si="4"/>
        <v>средний</v>
      </c>
    </row>
    <row r="280" spans="2:6" x14ac:dyDescent="0.25">
      <c r="B280" s="98" t="s">
        <v>2449</v>
      </c>
      <c r="C280" s="55">
        <v>1</v>
      </c>
      <c r="D280" s="55"/>
      <c r="E280" s="55">
        <v>1</v>
      </c>
      <c r="F280" s="18" t="str">
        <f t="shared" si="4"/>
        <v>средний</v>
      </c>
    </row>
    <row r="281" spans="2:6" x14ac:dyDescent="0.25">
      <c r="B281" s="98" t="s">
        <v>2450</v>
      </c>
      <c r="C281" s="55">
        <v>1</v>
      </c>
      <c r="D281" s="55">
        <v>1</v>
      </c>
      <c r="E281" s="55"/>
      <c r="F281" s="18" t="str">
        <f t="shared" si="4"/>
        <v>высокий</v>
      </c>
    </row>
    <row r="282" spans="2:6" x14ac:dyDescent="0.25">
      <c r="B282" s="98" t="s">
        <v>2451</v>
      </c>
      <c r="C282" s="55">
        <v>2</v>
      </c>
      <c r="D282" s="55">
        <v>5</v>
      </c>
      <c r="E282" s="55"/>
      <c r="F282" s="18" t="str">
        <f t="shared" si="4"/>
        <v>высокий</v>
      </c>
    </row>
    <row r="283" spans="2:6" x14ac:dyDescent="0.25">
      <c r="B283" s="98" t="s">
        <v>2452</v>
      </c>
      <c r="C283" s="55">
        <v>2</v>
      </c>
      <c r="D283" s="55">
        <v>5</v>
      </c>
      <c r="E283" s="55"/>
      <c r="F283" s="18" t="str">
        <f t="shared" si="4"/>
        <v>высокий</v>
      </c>
    </row>
    <row r="284" spans="2:6" x14ac:dyDescent="0.25">
      <c r="B284" s="98" t="s">
        <v>2453</v>
      </c>
      <c r="C284" s="55">
        <v>2</v>
      </c>
      <c r="D284" s="55">
        <v>5</v>
      </c>
      <c r="E284" s="55"/>
      <c r="F284" s="18" t="str">
        <f t="shared" si="4"/>
        <v>высокий</v>
      </c>
    </row>
    <row r="285" spans="2:6" x14ac:dyDescent="0.25">
      <c r="B285" s="98" t="s">
        <v>2454</v>
      </c>
      <c r="C285" s="55">
        <v>2</v>
      </c>
      <c r="D285" s="55">
        <v>5</v>
      </c>
      <c r="E285" s="55"/>
      <c r="F285" s="18" t="str">
        <f t="shared" si="4"/>
        <v>высокий</v>
      </c>
    </row>
    <row r="286" spans="2:6" x14ac:dyDescent="0.25">
      <c r="B286" s="98" t="s">
        <v>2455</v>
      </c>
      <c r="C286" s="55">
        <v>1</v>
      </c>
      <c r="D286" s="55">
        <v>1</v>
      </c>
      <c r="E286" s="55">
        <v>3</v>
      </c>
      <c r="F286" s="18" t="str">
        <f t="shared" si="4"/>
        <v>высокий</v>
      </c>
    </row>
    <row r="287" spans="2:6" x14ac:dyDescent="0.25">
      <c r="B287" s="98" t="s">
        <v>2456</v>
      </c>
      <c r="C287" s="55"/>
      <c r="D287" s="55"/>
      <c r="E287" s="55">
        <v>1</v>
      </c>
      <c r="F287" s="18" t="str">
        <f t="shared" si="4"/>
        <v>низкий</v>
      </c>
    </row>
    <row r="288" spans="2:6" x14ac:dyDescent="0.25">
      <c r="B288" s="98" t="s">
        <v>2457</v>
      </c>
      <c r="C288" s="55">
        <v>3</v>
      </c>
      <c r="D288" s="55">
        <v>1</v>
      </c>
      <c r="E288" s="55"/>
      <c r="F288" s="18" t="str">
        <f t="shared" si="4"/>
        <v>высокий</v>
      </c>
    </row>
    <row r="289" spans="2:6" x14ac:dyDescent="0.25">
      <c r="B289" s="98" t="s">
        <v>2458</v>
      </c>
      <c r="C289" s="55">
        <v>3</v>
      </c>
      <c r="D289" s="55">
        <v>1</v>
      </c>
      <c r="E289" s="55"/>
      <c r="F289" s="18" t="str">
        <f t="shared" si="4"/>
        <v>высокий</v>
      </c>
    </row>
    <row r="290" spans="2:6" x14ac:dyDescent="0.25">
      <c r="B290" s="98" t="s">
        <v>2459</v>
      </c>
      <c r="C290" s="55">
        <v>3</v>
      </c>
      <c r="D290" s="55">
        <v>1</v>
      </c>
      <c r="E290" s="55"/>
      <c r="F290" s="18" t="str">
        <f t="shared" si="4"/>
        <v>высокий</v>
      </c>
    </row>
    <row r="291" spans="2:6" x14ac:dyDescent="0.25">
      <c r="B291" s="98" t="s">
        <v>2460</v>
      </c>
      <c r="C291" s="55">
        <v>3</v>
      </c>
      <c r="D291" s="55">
        <v>1</v>
      </c>
      <c r="E291" s="55"/>
      <c r="F291" s="18" t="str">
        <f t="shared" si="4"/>
        <v>высокий</v>
      </c>
    </row>
    <row r="292" spans="2:6" x14ac:dyDescent="0.25">
      <c r="B292" s="98" t="s">
        <v>2461</v>
      </c>
      <c r="C292" s="55">
        <v>2</v>
      </c>
      <c r="D292" s="55">
        <v>1</v>
      </c>
      <c r="E292" s="55"/>
      <c r="F292" s="18" t="str">
        <f t="shared" si="4"/>
        <v>высокий</v>
      </c>
    </row>
    <row r="293" spans="2:6" x14ac:dyDescent="0.25">
      <c r="B293" s="98" t="s">
        <v>2462</v>
      </c>
      <c r="C293" s="55">
        <v>1</v>
      </c>
      <c r="D293" s="55">
        <v>1</v>
      </c>
      <c r="E293" s="55"/>
      <c r="F293" s="18" t="str">
        <f t="shared" si="4"/>
        <v>высокий</v>
      </c>
    </row>
    <row r="294" spans="2:6" x14ac:dyDescent="0.25">
      <c r="B294" s="98" t="s">
        <v>2463</v>
      </c>
      <c r="C294" s="55">
        <v>3</v>
      </c>
      <c r="D294" s="55"/>
      <c r="E294" s="55">
        <v>1</v>
      </c>
      <c r="F294" s="18" t="str">
        <f t="shared" si="4"/>
        <v>средний</v>
      </c>
    </row>
    <row r="295" spans="2:6" x14ac:dyDescent="0.25">
      <c r="B295" s="98" t="s">
        <v>2464</v>
      </c>
      <c r="C295" s="55">
        <v>3</v>
      </c>
      <c r="D295" s="55"/>
      <c r="E295" s="55">
        <v>1</v>
      </c>
      <c r="F295" s="18" t="str">
        <f t="shared" si="4"/>
        <v>средний</v>
      </c>
    </row>
    <row r="296" spans="2:6" x14ac:dyDescent="0.25">
      <c r="B296" s="98" t="s">
        <v>2465</v>
      </c>
      <c r="C296" s="55">
        <v>3</v>
      </c>
      <c r="D296" s="55"/>
      <c r="E296" s="55">
        <v>1</v>
      </c>
      <c r="F296" s="18" t="str">
        <f t="shared" si="4"/>
        <v>средний</v>
      </c>
    </row>
    <row r="297" spans="2:6" x14ac:dyDescent="0.25">
      <c r="B297" s="98" t="s">
        <v>2466</v>
      </c>
      <c r="C297" s="55">
        <v>3</v>
      </c>
      <c r="D297" s="55"/>
      <c r="E297" s="55">
        <v>1</v>
      </c>
      <c r="F297" s="18" t="str">
        <f t="shared" si="4"/>
        <v>средний</v>
      </c>
    </row>
    <row r="298" spans="2:6" x14ac:dyDescent="0.25">
      <c r="B298" s="98" t="s">
        <v>2467</v>
      </c>
      <c r="C298" s="55"/>
      <c r="D298" s="55">
        <v>1</v>
      </c>
      <c r="E298" s="55"/>
      <c r="F298" s="18" t="str">
        <f t="shared" si="4"/>
        <v>высокий</v>
      </c>
    </row>
    <row r="299" spans="2:6" x14ac:dyDescent="0.25">
      <c r="B299" s="98" t="s">
        <v>2468</v>
      </c>
      <c r="C299" s="55">
        <v>1</v>
      </c>
      <c r="D299" s="55">
        <v>1</v>
      </c>
      <c r="E299" s="55"/>
      <c r="F299" s="18" t="str">
        <f t="shared" si="4"/>
        <v>высокий</v>
      </c>
    </row>
    <row r="300" spans="2:6" x14ac:dyDescent="0.25">
      <c r="B300" s="98" t="s">
        <v>2469</v>
      </c>
      <c r="C300" s="55">
        <v>3</v>
      </c>
      <c r="D300" s="55">
        <v>3</v>
      </c>
      <c r="E300" s="55"/>
      <c r="F300" s="18" t="str">
        <f t="shared" si="4"/>
        <v>высокий</v>
      </c>
    </row>
    <row r="301" spans="2:6" x14ac:dyDescent="0.25">
      <c r="B301" s="98" t="s">
        <v>2470</v>
      </c>
      <c r="C301" s="55">
        <v>3</v>
      </c>
      <c r="D301" s="55">
        <v>3</v>
      </c>
      <c r="E301" s="55"/>
      <c r="F301" s="18" t="str">
        <f t="shared" si="4"/>
        <v>высокий</v>
      </c>
    </row>
    <row r="302" spans="2:6" x14ac:dyDescent="0.25">
      <c r="B302" s="98" t="s">
        <v>2471</v>
      </c>
      <c r="C302" s="55">
        <v>3</v>
      </c>
      <c r="D302" s="55">
        <v>3</v>
      </c>
      <c r="E302" s="55"/>
      <c r="F302" s="18" t="str">
        <f t="shared" si="4"/>
        <v>высокий</v>
      </c>
    </row>
    <row r="303" spans="2:6" x14ac:dyDescent="0.25">
      <c r="B303" s="98" t="s">
        <v>2472</v>
      </c>
      <c r="C303" s="55">
        <v>3</v>
      </c>
      <c r="D303" s="55">
        <v>3</v>
      </c>
      <c r="E303" s="55"/>
      <c r="F303" s="18" t="str">
        <f t="shared" si="4"/>
        <v>высокий</v>
      </c>
    </row>
    <row r="304" spans="2:6" x14ac:dyDescent="0.25">
      <c r="B304" s="98" t="s">
        <v>2473</v>
      </c>
      <c r="C304" s="55"/>
      <c r="D304" s="55">
        <v>1</v>
      </c>
      <c r="E304" s="55"/>
      <c r="F304" s="18" t="str">
        <f t="shared" si="4"/>
        <v>высокий</v>
      </c>
    </row>
    <row r="305" spans="2:6" x14ac:dyDescent="0.25">
      <c r="B305" s="98" t="s">
        <v>2474</v>
      </c>
      <c r="C305" s="55">
        <v>1</v>
      </c>
      <c r="D305" s="55"/>
      <c r="E305" s="55">
        <v>1</v>
      </c>
      <c r="F305" s="18" t="str">
        <f t="shared" si="4"/>
        <v>средний</v>
      </c>
    </row>
    <row r="306" spans="2:6" x14ac:dyDescent="0.25">
      <c r="B306" s="98" t="s">
        <v>2475</v>
      </c>
      <c r="C306" s="55"/>
      <c r="D306" s="55"/>
      <c r="E306" s="55">
        <v>2</v>
      </c>
      <c r="F306" s="18" t="str">
        <f t="shared" si="4"/>
        <v>низкий</v>
      </c>
    </row>
    <row r="307" spans="2:6" x14ac:dyDescent="0.25">
      <c r="B307" s="98" t="s">
        <v>2476</v>
      </c>
      <c r="C307" s="55">
        <v>3</v>
      </c>
      <c r="D307" s="55"/>
      <c r="E307" s="55"/>
      <c r="F307" s="18" t="str">
        <f t="shared" si="4"/>
        <v>средний</v>
      </c>
    </row>
    <row r="308" spans="2:6" x14ac:dyDescent="0.25">
      <c r="B308" s="98" t="s">
        <v>2477</v>
      </c>
      <c r="C308" s="55">
        <v>3</v>
      </c>
      <c r="D308" s="55"/>
      <c r="E308" s="55"/>
      <c r="F308" s="18" t="str">
        <f t="shared" si="4"/>
        <v>средний</v>
      </c>
    </row>
    <row r="309" spans="2:6" x14ac:dyDescent="0.25">
      <c r="B309" s="98" t="s">
        <v>2478</v>
      </c>
      <c r="C309" s="55">
        <v>3</v>
      </c>
      <c r="D309" s="55"/>
      <c r="E309" s="55"/>
      <c r="F309" s="18" t="str">
        <f t="shared" si="4"/>
        <v>средний</v>
      </c>
    </row>
    <row r="310" spans="2:6" x14ac:dyDescent="0.25">
      <c r="B310" s="98" t="s">
        <v>2479</v>
      </c>
      <c r="C310" s="55">
        <v>3</v>
      </c>
      <c r="D310" s="55"/>
      <c r="E310" s="55"/>
      <c r="F310" s="18" t="str">
        <f t="shared" si="4"/>
        <v>средний</v>
      </c>
    </row>
    <row r="311" spans="2:6" x14ac:dyDescent="0.25">
      <c r="B311" s="98" t="s">
        <v>2480</v>
      </c>
      <c r="C311" s="55"/>
      <c r="D311" s="55"/>
      <c r="E311" s="55">
        <v>1</v>
      </c>
      <c r="F311" s="18" t="str">
        <f t="shared" si="4"/>
        <v>низкий</v>
      </c>
    </row>
    <row r="312" spans="2:6" x14ac:dyDescent="0.25">
      <c r="B312" s="98" t="s">
        <v>2481</v>
      </c>
      <c r="C312" s="55"/>
      <c r="D312" s="55"/>
      <c r="E312" s="55">
        <v>1</v>
      </c>
      <c r="F312" s="18" t="str">
        <f t="shared" si="4"/>
        <v>низкий</v>
      </c>
    </row>
    <row r="313" spans="2:6" x14ac:dyDescent="0.25">
      <c r="B313" s="98" t="s">
        <v>2482</v>
      </c>
      <c r="C313" s="55"/>
      <c r="D313" s="55">
        <v>2</v>
      </c>
      <c r="E313" s="55"/>
      <c r="F313" s="18" t="str">
        <f t="shared" si="4"/>
        <v>высокий</v>
      </c>
    </row>
    <row r="314" spans="2:6" x14ac:dyDescent="0.25">
      <c r="B314" s="98" t="s">
        <v>2483</v>
      </c>
      <c r="C314" s="55"/>
      <c r="D314" s="55"/>
      <c r="E314" s="55">
        <v>1</v>
      </c>
      <c r="F314" s="18" t="str">
        <f t="shared" si="4"/>
        <v>низкий</v>
      </c>
    </row>
    <row r="315" spans="2:6" x14ac:dyDescent="0.25">
      <c r="B315" s="98" t="s">
        <v>2484</v>
      </c>
      <c r="C315" s="55">
        <v>1</v>
      </c>
      <c r="D315" s="55">
        <v>1</v>
      </c>
      <c r="E315" s="55">
        <v>3</v>
      </c>
      <c r="F315" s="18" t="str">
        <f t="shared" si="4"/>
        <v>высокий</v>
      </c>
    </row>
    <row r="316" spans="2:6" x14ac:dyDescent="0.25">
      <c r="B316" s="98" t="s">
        <v>2485</v>
      </c>
      <c r="C316" s="55"/>
      <c r="D316" s="55">
        <v>3</v>
      </c>
      <c r="E316" s="55">
        <v>7</v>
      </c>
      <c r="F316" s="18" t="str">
        <f t="shared" si="4"/>
        <v>высокий</v>
      </c>
    </row>
    <row r="317" spans="2:6" x14ac:dyDescent="0.25">
      <c r="B317" s="98" t="s">
        <v>2486</v>
      </c>
      <c r="C317" s="55"/>
      <c r="D317" s="55">
        <v>3</v>
      </c>
      <c r="E317" s="55">
        <v>7</v>
      </c>
      <c r="F317" s="18" t="str">
        <f t="shared" si="4"/>
        <v>высокий</v>
      </c>
    </row>
    <row r="318" spans="2:6" x14ac:dyDescent="0.25">
      <c r="B318" s="98" t="s">
        <v>2487</v>
      </c>
      <c r="C318" s="55"/>
      <c r="D318" s="55">
        <v>3</v>
      </c>
      <c r="E318" s="55">
        <v>7</v>
      </c>
      <c r="F318" s="18" t="str">
        <f t="shared" si="4"/>
        <v>высокий</v>
      </c>
    </row>
    <row r="319" spans="2:6" x14ac:dyDescent="0.25">
      <c r="B319" s="98" t="s">
        <v>2489</v>
      </c>
      <c r="C319" s="55"/>
      <c r="D319" s="55">
        <v>5</v>
      </c>
      <c r="E319" s="55">
        <v>5</v>
      </c>
      <c r="F319" s="18" t="str">
        <f t="shared" si="4"/>
        <v>высокий</v>
      </c>
    </row>
    <row r="320" spans="2:6" x14ac:dyDescent="0.25">
      <c r="B320" s="98" t="s">
        <v>2490</v>
      </c>
      <c r="C320" s="55"/>
      <c r="D320" s="55">
        <v>5</v>
      </c>
      <c r="E320" s="55">
        <v>5</v>
      </c>
      <c r="F320" s="18" t="str">
        <f t="shared" si="4"/>
        <v>высокий</v>
      </c>
    </row>
    <row r="321" spans="2:6" x14ac:dyDescent="0.25">
      <c r="B321" s="98" t="s">
        <v>2491</v>
      </c>
      <c r="C321" s="55"/>
      <c r="D321" s="55">
        <v>5</v>
      </c>
      <c r="E321" s="55">
        <v>5</v>
      </c>
      <c r="F321" s="18" t="str">
        <f t="shared" si="4"/>
        <v>высокий</v>
      </c>
    </row>
    <row r="322" spans="2:6" x14ac:dyDescent="0.25">
      <c r="B322" s="98" t="s">
        <v>2492</v>
      </c>
      <c r="C322" s="55"/>
      <c r="D322" s="55">
        <v>5</v>
      </c>
      <c r="E322" s="55">
        <v>5</v>
      </c>
      <c r="F322" s="18" t="str">
        <f t="shared" si="4"/>
        <v>высокий</v>
      </c>
    </row>
    <row r="323" spans="2:6" x14ac:dyDescent="0.25">
      <c r="B323" s="98" t="s">
        <v>2493</v>
      </c>
      <c r="C323" s="55"/>
      <c r="D323" s="55">
        <v>2</v>
      </c>
      <c r="E323" s="55"/>
      <c r="F323" s="18" t="str">
        <f t="shared" si="4"/>
        <v>высокий</v>
      </c>
    </row>
    <row r="324" spans="2:6" x14ac:dyDescent="0.25">
      <c r="B324" s="98" t="s">
        <v>2494</v>
      </c>
      <c r="C324" s="55"/>
      <c r="D324" s="55">
        <v>2</v>
      </c>
      <c r="E324" s="55">
        <v>3</v>
      </c>
      <c r="F324" s="18" t="str">
        <f t="shared" si="4"/>
        <v>высокий</v>
      </c>
    </row>
    <row r="325" spans="2:6" x14ac:dyDescent="0.25">
      <c r="B325" s="98" t="s">
        <v>2495</v>
      </c>
      <c r="C325" s="55"/>
      <c r="D325" s="55">
        <v>2</v>
      </c>
      <c r="E325" s="55">
        <v>3</v>
      </c>
      <c r="F325" s="18" t="str">
        <f t="shared" si="4"/>
        <v>высокий</v>
      </c>
    </row>
    <row r="326" spans="2:6" x14ac:dyDescent="0.25">
      <c r="B326" s="98" t="s">
        <v>2496</v>
      </c>
      <c r="C326" s="55"/>
      <c r="D326" s="55">
        <v>2</v>
      </c>
      <c r="E326" s="55">
        <v>3</v>
      </c>
      <c r="F326" s="18" t="str">
        <f t="shared" si="4"/>
        <v>высокий</v>
      </c>
    </row>
    <row r="327" spans="2:6" x14ac:dyDescent="0.25">
      <c r="B327" s="98" t="s">
        <v>2497</v>
      </c>
      <c r="C327" s="55"/>
      <c r="D327" s="55"/>
      <c r="E327" s="55">
        <v>1</v>
      </c>
      <c r="F327" s="18" t="str">
        <f t="shared" si="4"/>
        <v>низкий</v>
      </c>
    </row>
    <row r="328" spans="2:6" x14ac:dyDescent="0.25">
      <c r="B328" s="98" t="s">
        <v>2498</v>
      </c>
      <c r="C328" s="55"/>
      <c r="D328" s="55">
        <v>1</v>
      </c>
      <c r="E328" s="55"/>
      <c r="F328" s="18" t="str">
        <f t="shared" ref="F328:F391" si="5">IF(D328&gt;0,"высокий",IF(C328&gt;0,"средний","низкий"))</f>
        <v>высокий</v>
      </c>
    </row>
    <row r="329" spans="2:6" x14ac:dyDescent="0.25">
      <c r="B329" s="98" t="s">
        <v>2499</v>
      </c>
      <c r="C329" s="55"/>
      <c r="D329" s="55">
        <v>1</v>
      </c>
      <c r="E329" s="55"/>
      <c r="F329" s="18" t="str">
        <f t="shared" si="5"/>
        <v>высокий</v>
      </c>
    </row>
    <row r="330" spans="2:6" x14ac:dyDescent="0.25">
      <c r="B330" s="98" t="s">
        <v>2500</v>
      </c>
      <c r="C330" s="55"/>
      <c r="D330" s="55">
        <v>2</v>
      </c>
      <c r="E330" s="55">
        <v>1</v>
      </c>
      <c r="F330" s="18" t="str">
        <f t="shared" si="5"/>
        <v>высокий</v>
      </c>
    </row>
    <row r="331" spans="2:6" x14ac:dyDescent="0.25">
      <c r="B331" s="98" t="s">
        <v>2501</v>
      </c>
      <c r="C331" s="55"/>
      <c r="D331" s="55">
        <v>2</v>
      </c>
      <c r="E331" s="55">
        <v>1</v>
      </c>
      <c r="F331" s="18" t="str">
        <f t="shared" si="5"/>
        <v>высокий</v>
      </c>
    </row>
    <row r="332" spans="2:6" x14ac:dyDescent="0.25">
      <c r="B332" s="98" t="s">
        <v>2502</v>
      </c>
      <c r="C332" s="55"/>
      <c r="D332" s="55">
        <v>2</v>
      </c>
      <c r="E332" s="55">
        <v>1</v>
      </c>
      <c r="F332" s="18" t="str">
        <f t="shared" si="5"/>
        <v>высокий</v>
      </c>
    </row>
    <row r="333" spans="2:6" x14ac:dyDescent="0.25">
      <c r="B333" s="98" t="s">
        <v>2503</v>
      </c>
      <c r="C333" s="55"/>
      <c r="D333" s="55">
        <v>2</v>
      </c>
      <c r="E333" s="55">
        <v>1</v>
      </c>
      <c r="F333" s="18" t="str">
        <f t="shared" si="5"/>
        <v>высокий</v>
      </c>
    </row>
    <row r="334" spans="2:6" x14ac:dyDescent="0.25">
      <c r="B334" s="98" t="s">
        <v>2504</v>
      </c>
      <c r="C334" s="55"/>
      <c r="D334" s="55"/>
      <c r="E334" s="55">
        <v>3</v>
      </c>
      <c r="F334" s="18" t="str">
        <f t="shared" si="5"/>
        <v>низкий</v>
      </c>
    </row>
    <row r="335" spans="2:6" x14ac:dyDescent="0.25">
      <c r="B335" s="98" t="s">
        <v>2506</v>
      </c>
      <c r="C335" s="55"/>
      <c r="D335" s="55">
        <v>1</v>
      </c>
      <c r="E335" s="55">
        <v>1</v>
      </c>
      <c r="F335" s="18" t="str">
        <f t="shared" si="5"/>
        <v>высокий</v>
      </c>
    </row>
    <row r="336" spans="2:6" x14ac:dyDescent="0.25">
      <c r="B336" s="98" t="s">
        <v>2507</v>
      </c>
      <c r="C336" s="55"/>
      <c r="D336" s="55"/>
      <c r="E336" s="55">
        <v>2</v>
      </c>
      <c r="F336" s="18" t="str">
        <f t="shared" si="5"/>
        <v>низкий</v>
      </c>
    </row>
    <row r="337" spans="2:6" x14ac:dyDescent="0.25">
      <c r="B337" s="98" t="s">
        <v>2508</v>
      </c>
      <c r="C337" s="55"/>
      <c r="D337" s="55">
        <v>1</v>
      </c>
      <c r="E337" s="55">
        <v>1</v>
      </c>
      <c r="F337" s="18" t="str">
        <f t="shared" si="5"/>
        <v>высокий</v>
      </c>
    </row>
    <row r="338" spans="2:6" x14ac:dyDescent="0.25">
      <c r="B338" s="98" t="s">
        <v>2509</v>
      </c>
      <c r="C338" s="55"/>
      <c r="D338" s="55"/>
      <c r="E338" s="55">
        <v>2</v>
      </c>
      <c r="F338" s="18" t="str">
        <f t="shared" si="5"/>
        <v>низкий</v>
      </c>
    </row>
    <row r="339" spans="2:6" x14ac:dyDescent="0.25">
      <c r="B339" s="98" t="s">
        <v>2510</v>
      </c>
      <c r="C339" s="55">
        <v>2</v>
      </c>
      <c r="D339" s="55">
        <v>1</v>
      </c>
      <c r="E339" s="55">
        <v>2</v>
      </c>
      <c r="F339" s="18" t="str">
        <f t="shared" si="5"/>
        <v>высокий</v>
      </c>
    </row>
    <row r="340" spans="2:6" x14ac:dyDescent="0.25">
      <c r="B340" s="98" t="s">
        <v>2511</v>
      </c>
      <c r="C340" s="55">
        <v>1</v>
      </c>
      <c r="D340" s="55">
        <v>1</v>
      </c>
      <c r="E340" s="55"/>
      <c r="F340" s="18" t="str">
        <f t="shared" si="5"/>
        <v>высокий</v>
      </c>
    </row>
    <row r="341" spans="2:6" x14ac:dyDescent="0.25">
      <c r="B341" s="98" t="s">
        <v>2512</v>
      </c>
      <c r="C341" s="55"/>
      <c r="D341" s="55">
        <v>2</v>
      </c>
      <c r="E341" s="55">
        <v>1</v>
      </c>
      <c r="F341" s="18" t="str">
        <f t="shared" si="5"/>
        <v>высокий</v>
      </c>
    </row>
    <row r="342" spans="2:6" x14ac:dyDescent="0.25">
      <c r="B342" s="98" t="s">
        <v>2513</v>
      </c>
      <c r="C342" s="55">
        <v>1</v>
      </c>
      <c r="D342" s="55">
        <v>1</v>
      </c>
      <c r="E342" s="55"/>
      <c r="F342" s="18" t="str">
        <f t="shared" si="5"/>
        <v>высокий</v>
      </c>
    </row>
    <row r="343" spans="2:6" x14ac:dyDescent="0.25">
      <c r="B343" s="98" t="s">
        <v>2514</v>
      </c>
      <c r="C343" s="55">
        <v>5</v>
      </c>
      <c r="D343" s="55"/>
      <c r="E343" s="55">
        <v>5</v>
      </c>
      <c r="F343" s="18" t="str">
        <f t="shared" si="5"/>
        <v>средний</v>
      </c>
    </row>
    <row r="344" spans="2:6" x14ac:dyDescent="0.25">
      <c r="B344" s="98" t="s">
        <v>2515</v>
      </c>
      <c r="C344" s="55">
        <v>5</v>
      </c>
      <c r="D344" s="55"/>
      <c r="E344" s="55">
        <v>5</v>
      </c>
      <c r="F344" s="18" t="str">
        <f t="shared" si="5"/>
        <v>средний</v>
      </c>
    </row>
    <row r="345" spans="2:6" x14ac:dyDescent="0.25">
      <c r="B345" s="98" t="s">
        <v>2516</v>
      </c>
      <c r="C345" s="55">
        <v>5</v>
      </c>
      <c r="D345" s="55"/>
      <c r="E345" s="55">
        <v>5</v>
      </c>
      <c r="F345" s="18" t="str">
        <f t="shared" si="5"/>
        <v>средний</v>
      </c>
    </row>
    <row r="346" spans="2:6" x14ac:dyDescent="0.25">
      <c r="B346" s="98" t="s">
        <v>2517</v>
      </c>
      <c r="C346" s="55">
        <v>5</v>
      </c>
      <c r="D346" s="55"/>
      <c r="E346" s="55">
        <v>4</v>
      </c>
      <c r="F346" s="18" t="str">
        <f t="shared" si="5"/>
        <v>средний</v>
      </c>
    </row>
    <row r="347" spans="2:6" x14ac:dyDescent="0.25">
      <c r="B347" s="98" t="s">
        <v>2518</v>
      </c>
      <c r="C347" s="55">
        <v>1</v>
      </c>
      <c r="D347" s="55">
        <v>1</v>
      </c>
      <c r="E347" s="55"/>
      <c r="F347" s="18" t="str">
        <f t="shared" si="5"/>
        <v>высокий</v>
      </c>
    </row>
    <row r="348" spans="2:6" x14ac:dyDescent="0.25">
      <c r="B348" s="98" t="s">
        <v>2519</v>
      </c>
      <c r="C348" s="55"/>
      <c r="D348" s="55">
        <v>1</v>
      </c>
      <c r="E348" s="55"/>
      <c r="F348" s="18" t="str">
        <f t="shared" si="5"/>
        <v>высокий</v>
      </c>
    </row>
    <row r="349" spans="2:6" x14ac:dyDescent="0.25">
      <c r="B349" s="98" t="s">
        <v>2520</v>
      </c>
      <c r="C349" s="55"/>
      <c r="D349" s="55">
        <v>2</v>
      </c>
      <c r="E349" s="55"/>
      <c r="F349" s="18" t="str">
        <f t="shared" si="5"/>
        <v>высокий</v>
      </c>
    </row>
    <row r="350" spans="2:6" x14ac:dyDescent="0.25">
      <c r="B350" s="98" t="s">
        <v>2521</v>
      </c>
      <c r="C350" s="55"/>
      <c r="D350" s="55"/>
      <c r="E350" s="55">
        <v>2</v>
      </c>
      <c r="F350" s="18" t="str">
        <f t="shared" si="5"/>
        <v>низкий</v>
      </c>
    </row>
    <row r="351" spans="2:6" x14ac:dyDescent="0.25">
      <c r="B351" s="98" t="s">
        <v>2522</v>
      </c>
      <c r="C351" s="55"/>
      <c r="D351" s="55">
        <v>4</v>
      </c>
      <c r="E351" s="55"/>
      <c r="F351" s="18" t="str">
        <f t="shared" si="5"/>
        <v>высокий</v>
      </c>
    </row>
    <row r="352" spans="2:6" x14ac:dyDescent="0.25">
      <c r="B352" s="98" t="s">
        <v>2523</v>
      </c>
      <c r="C352" s="55"/>
      <c r="D352" s="55">
        <v>4</v>
      </c>
      <c r="E352" s="55"/>
      <c r="F352" s="18" t="str">
        <f t="shared" si="5"/>
        <v>высокий</v>
      </c>
    </row>
    <row r="353" spans="2:6" x14ac:dyDescent="0.25">
      <c r="B353" s="98" t="s">
        <v>2524</v>
      </c>
      <c r="C353" s="55"/>
      <c r="D353" s="55">
        <v>4</v>
      </c>
      <c r="E353" s="55"/>
      <c r="F353" s="18" t="str">
        <f t="shared" si="5"/>
        <v>высокий</v>
      </c>
    </row>
    <row r="354" spans="2:6" x14ac:dyDescent="0.25">
      <c r="B354" s="98" t="s">
        <v>2525</v>
      </c>
      <c r="C354" s="55"/>
      <c r="D354" s="55">
        <v>4</v>
      </c>
      <c r="E354" s="55"/>
      <c r="F354" s="18" t="str">
        <f t="shared" si="5"/>
        <v>высокий</v>
      </c>
    </row>
    <row r="355" spans="2:6" x14ac:dyDescent="0.25">
      <c r="B355" s="98" t="s">
        <v>2526</v>
      </c>
      <c r="C355" s="55">
        <v>1</v>
      </c>
      <c r="D355" s="55">
        <v>1</v>
      </c>
      <c r="E355" s="55">
        <v>1</v>
      </c>
      <c r="F355" s="18" t="str">
        <f t="shared" si="5"/>
        <v>высокий</v>
      </c>
    </row>
    <row r="356" spans="2:6" x14ac:dyDescent="0.25">
      <c r="B356" s="98" t="s">
        <v>2527</v>
      </c>
      <c r="C356" s="55">
        <v>1</v>
      </c>
      <c r="D356" s="55">
        <v>1</v>
      </c>
      <c r="E356" s="55">
        <v>1</v>
      </c>
      <c r="F356" s="18" t="str">
        <f t="shared" si="5"/>
        <v>высокий</v>
      </c>
    </row>
    <row r="357" spans="2:6" x14ac:dyDescent="0.25">
      <c r="B357" s="98" t="s">
        <v>2528</v>
      </c>
      <c r="C357" s="55">
        <v>1</v>
      </c>
      <c r="D357" s="55">
        <v>1</v>
      </c>
      <c r="E357" s="55">
        <v>1</v>
      </c>
      <c r="F357" s="18" t="str">
        <f t="shared" si="5"/>
        <v>высокий</v>
      </c>
    </row>
    <row r="358" spans="2:6" x14ac:dyDescent="0.25">
      <c r="B358" s="98" t="s">
        <v>2529</v>
      </c>
      <c r="C358" s="55">
        <v>1</v>
      </c>
      <c r="D358" s="55">
        <v>1</v>
      </c>
      <c r="E358" s="55">
        <v>1</v>
      </c>
      <c r="F358" s="18" t="str">
        <f t="shared" si="5"/>
        <v>высокий</v>
      </c>
    </row>
    <row r="359" spans="2:6" x14ac:dyDescent="0.25">
      <c r="B359" s="98" t="s">
        <v>2530</v>
      </c>
      <c r="C359" s="55"/>
      <c r="D359" s="55">
        <v>2</v>
      </c>
      <c r="E359" s="55">
        <v>1</v>
      </c>
      <c r="F359" s="18" t="str">
        <f t="shared" si="5"/>
        <v>высокий</v>
      </c>
    </row>
    <row r="360" spans="2:6" x14ac:dyDescent="0.25">
      <c r="B360" s="98" t="s">
        <v>2531</v>
      </c>
      <c r="C360" s="55"/>
      <c r="D360" s="55">
        <v>1</v>
      </c>
      <c r="E360" s="55"/>
      <c r="F360" s="18" t="str">
        <f t="shared" si="5"/>
        <v>высокий</v>
      </c>
    </row>
    <row r="361" spans="2:6" x14ac:dyDescent="0.25">
      <c r="B361" s="98" t="s">
        <v>2532</v>
      </c>
      <c r="C361" s="55"/>
      <c r="D361" s="55">
        <v>3</v>
      </c>
      <c r="E361" s="55">
        <v>1</v>
      </c>
      <c r="F361" s="18" t="str">
        <f t="shared" si="5"/>
        <v>высокий</v>
      </c>
    </row>
    <row r="362" spans="2:6" x14ac:dyDescent="0.25">
      <c r="B362" s="98" t="s">
        <v>2537</v>
      </c>
      <c r="C362" s="55"/>
      <c r="D362" s="55">
        <v>1</v>
      </c>
      <c r="E362" s="55"/>
      <c r="F362" s="18" t="str">
        <f t="shared" si="5"/>
        <v>высокий</v>
      </c>
    </row>
    <row r="363" spans="2:6" x14ac:dyDescent="0.25">
      <c r="B363" s="98" t="s">
        <v>2538</v>
      </c>
      <c r="C363" s="55">
        <v>1</v>
      </c>
      <c r="D363" s="55">
        <v>1</v>
      </c>
      <c r="E363" s="55"/>
      <c r="F363" s="18" t="str">
        <f t="shared" si="5"/>
        <v>высокий</v>
      </c>
    </row>
    <row r="364" spans="2:6" x14ac:dyDescent="0.25">
      <c r="B364" s="98" t="s">
        <v>2539</v>
      </c>
      <c r="C364" s="55"/>
      <c r="D364" s="55">
        <v>1</v>
      </c>
      <c r="E364" s="55">
        <v>1</v>
      </c>
      <c r="F364" s="18" t="str">
        <f t="shared" si="5"/>
        <v>высокий</v>
      </c>
    </row>
    <row r="365" spans="2:6" x14ac:dyDescent="0.25">
      <c r="B365" s="98" t="s">
        <v>2540</v>
      </c>
      <c r="C365" s="55">
        <v>1</v>
      </c>
      <c r="D365" s="55"/>
      <c r="E365" s="55">
        <v>1</v>
      </c>
      <c r="F365" s="18" t="str">
        <f t="shared" si="5"/>
        <v>средний</v>
      </c>
    </row>
    <row r="366" spans="2:6" x14ac:dyDescent="0.25">
      <c r="B366" s="98" t="s">
        <v>2541</v>
      </c>
      <c r="C366" s="55">
        <v>1</v>
      </c>
      <c r="D366" s="55"/>
      <c r="E366" s="55">
        <v>2</v>
      </c>
      <c r="F366" s="18" t="str">
        <f t="shared" si="5"/>
        <v>средний</v>
      </c>
    </row>
    <row r="367" spans="2:6" x14ac:dyDescent="0.25">
      <c r="B367" s="98" t="s">
        <v>2542</v>
      </c>
      <c r="C367" s="55"/>
      <c r="D367" s="55">
        <v>1</v>
      </c>
      <c r="E367" s="55"/>
      <c r="F367" s="18" t="str">
        <f t="shared" si="5"/>
        <v>высокий</v>
      </c>
    </row>
    <row r="368" spans="2:6" x14ac:dyDescent="0.25">
      <c r="B368" s="98" t="s">
        <v>2543</v>
      </c>
      <c r="C368" s="55">
        <v>1</v>
      </c>
      <c r="D368" s="55"/>
      <c r="E368" s="55">
        <v>1</v>
      </c>
      <c r="F368" s="18" t="str">
        <f t="shared" si="5"/>
        <v>средний</v>
      </c>
    </row>
    <row r="369" spans="2:6" x14ac:dyDescent="0.25">
      <c r="B369" s="98" t="s">
        <v>2544</v>
      </c>
      <c r="C369" s="55"/>
      <c r="D369" s="55"/>
      <c r="E369" s="55">
        <v>2</v>
      </c>
      <c r="F369" s="18" t="str">
        <f t="shared" si="5"/>
        <v>низкий</v>
      </c>
    </row>
    <row r="370" spans="2:6" x14ac:dyDescent="0.25">
      <c r="B370" s="98" t="s">
        <v>2545</v>
      </c>
      <c r="C370" s="55">
        <v>1</v>
      </c>
      <c r="D370" s="55"/>
      <c r="E370" s="55"/>
      <c r="F370" s="18" t="str">
        <f t="shared" si="5"/>
        <v>средний</v>
      </c>
    </row>
    <row r="371" spans="2:6" x14ac:dyDescent="0.25">
      <c r="B371" s="98" t="s">
        <v>2547</v>
      </c>
      <c r="C371" s="55">
        <v>2</v>
      </c>
      <c r="D371" s="55"/>
      <c r="E371" s="55">
        <v>1</v>
      </c>
      <c r="F371" s="18" t="str">
        <f t="shared" si="5"/>
        <v>средний</v>
      </c>
    </row>
    <row r="372" spans="2:6" x14ac:dyDescent="0.25">
      <c r="B372" s="98" t="s">
        <v>2548</v>
      </c>
      <c r="C372" s="55">
        <v>2</v>
      </c>
      <c r="D372" s="55"/>
      <c r="E372" s="55">
        <v>1</v>
      </c>
      <c r="F372" s="18" t="str">
        <f t="shared" si="5"/>
        <v>средний</v>
      </c>
    </row>
    <row r="373" spans="2:6" x14ac:dyDescent="0.25">
      <c r="B373" s="98" t="s">
        <v>2549</v>
      </c>
      <c r="C373" s="55">
        <v>2</v>
      </c>
      <c r="D373" s="55"/>
      <c r="E373" s="55">
        <v>1</v>
      </c>
      <c r="F373" s="18" t="str">
        <f t="shared" si="5"/>
        <v>средний</v>
      </c>
    </row>
    <row r="374" spans="2:6" x14ac:dyDescent="0.25">
      <c r="B374" s="98" t="s">
        <v>2550</v>
      </c>
      <c r="C374" s="55">
        <v>2</v>
      </c>
      <c r="D374" s="55"/>
      <c r="E374" s="55">
        <v>1</v>
      </c>
      <c r="F374" s="18" t="str">
        <f t="shared" si="5"/>
        <v>средний</v>
      </c>
    </row>
    <row r="375" spans="2:6" x14ac:dyDescent="0.25">
      <c r="B375" s="98" t="s">
        <v>2551</v>
      </c>
      <c r="C375" s="55">
        <v>1</v>
      </c>
      <c r="D375" s="55"/>
      <c r="E375" s="55"/>
      <c r="F375" s="18" t="str">
        <f t="shared" si="5"/>
        <v>средний</v>
      </c>
    </row>
    <row r="376" spans="2:6" x14ac:dyDescent="0.25">
      <c r="B376" s="98" t="s">
        <v>2552</v>
      </c>
      <c r="C376" s="55">
        <v>1</v>
      </c>
      <c r="D376" s="55"/>
      <c r="E376" s="55"/>
      <c r="F376" s="18" t="str">
        <f t="shared" si="5"/>
        <v>средний</v>
      </c>
    </row>
    <row r="377" spans="2:6" x14ac:dyDescent="0.25">
      <c r="B377" s="98" t="s">
        <v>2553</v>
      </c>
      <c r="C377" s="55">
        <v>1</v>
      </c>
      <c r="D377" s="55"/>
      <c r="E377" s="55">
        <v>1</v>
      </c>
      <c r="F377" s="18" t="str">
        <f t="shared" si="5"/>
        <v>средний</v>
      </c>
    </row>
    <row r="378" spans="2:6" x14ac:dyDescent="0.25">
      <c r="B378" s="98" t="s">
        <v>2554</v>
      </c>
      <c r="C378" s="55">
        <v>1</v>
      </c>
      <c r="D378" s="55"/>
      <c r="E378" s="55">
        <v>1</v>
      </c>
      <c r="F378" s="18" t="str">
        <f t="shared" si="5"/>
        <v>средний</v>
      </c>
    </row>
    <row r="379" spans="2:6" x14ac:dyDescent="0.25">
      <c r="B379" s="98" t="s">
        <v>2555</v>
      </c>
      <c r="C379" s="55">
        <v>1</v>
      </c>
      <c r="D379" s="55"/>
      <c r="E379" s="55">
        <v>1</v>
      </c>
      <c r="F379" s="18" t="str">
        <f t="shared" si="5"/>
        <v>средний</v>
      </c>
    </row>
    <row r="380" spans="2:6" x14ac:dyDescent="0.25">
      <c r="B380" s="98" t="s">
        <v>2556</v>
      </c>
      <c r="C380" s="55">
        <v>1</v>
      </c>
      <c r="D380" s="55"/>
      <c r="E380" s="55">
        <v>1</v>
      </c>
      <c r="F380" s="18" t="str">
        <f t="shared" si="5"/>
        <v>средний</v>
      </c>
    </row>
    <row r="381" spans="2:6" x14ac:dyDescent="0.25">
      <c r="B381" s="98" t="s">
        <v>2557</v>
      </c>
      <c r="C381" s="55"/>
      <c r="D381" s="55"/>
      <c r="E381" s="55">
        <v>1</v>
      </c>
      <c r="F381" s="18" t="str">
        <f t="shared" si="5"/>
        <v>низкий</v>
      </c>
    </row>
    <row r="382" spans="2:6" x14ac:dyDescent="0.25">
      <c r="B382" s="98" t="s">
        <v>2558</v>
      </c>
      <c r="C382" s="55"/>
      <c r="D382" s="55"/>
      <c r="E382" s="55">
        <v>2</v>
      </c>
      <c r="F382" s="18" t="str">
        <f t="shared" si="5"/>
        <v>низкий</v>
      </c>
    </row>
    <row r="383" spans="2:6" x14ac:dyDescent="0.25">
      <c r="B383" s="98" t="s">
        <v>2559</v>
      </c>
      <c r="C383" s="55"/>
      <c r="D383" s="55"/>
      <c r="E383" s="55">
        <v>1</v>
      </c>
      <c r="F383" s="18" t="str">
        <f t="shared" si="5"/>
        <v>низкий</v>
      </c>
    </row>
    <row r="384" spans="2:6" x14ac:dyDescent="0.25">
      <c r="B384" s="98" t="s">
        <v>2560</v>
      </c>
      <c r="C384" s="55"/>
      <c r="D384" s="55"/>
      <c r="E384" s="55">
        <v>1</v>
      </c>
      <c r="F384" s="18" t="str">
        <f t="shared" si="5"/>
        <v>низкий</v>
      </c>
    </row>
    <row r="385" spans="2:6" x14ac:dyDescent="0.25">
      <c r="B385" s="98" t="s">
        <v>2561</v>
      </c>
      <c r="C385" s="55"/>
      <c r="D385" s="55"/>
      <c r="E385" s="55">
        <v>1</v>
      </c>
      <c r="F385" s="18" t="str">
        <f t="shared" si="5"/>
        <v>низкий</v>
      </c>
    </row>
    <row r="386" spans="2:6" x14ac:dyDescent="0.25">
      <c r="B386" s="98" t="s">
        <v>2562</v>
      </c>
      <c r="C386" s="55"/>
      <c r="D386" s="55"/>
      <c r="E386" s="55">
        <v>1</v>
      </c>
      <c r="F386" s="18" t="str">
        <f t="shared" si="5"/>
        <v>низкий</v>
      </c>
    </row>
    <row r="387" spans="2:6" x14ac:dyDescent="0.25">
      <c r="B387" s="98" t="s">
        <v>2563</v>
      </c>
      <c r="C387" s="55"/>
      <c r="D387" s="55"/>
      <c r="E387" s="55">
        <v>1</v>
      </c>
      <c r="F387" s="18" t="str">
        <f t="shared" si="5"/>
        <v>низкий</v>
      </c>
    </row>
    <row r="388" spans="2:6" x14ac:dyDescent="0.25">
      <c r="B388" s="98" t="s">
        <v>2564</v>
      </c>
      <c r="C388" s="55">
        <v>2</v>
      </c>
      <c r="D388" s="55"/>
      <c r="E388" s="55"/>
      <c r="F388" s="18" t="str">
        <f t="shared" si="5"/>
        <v>средний</v>
      </c>
    </row>
    <row r="389" spans="2:6" x14ac:dyDescent="0.25">
      <c r="B389" s="98" t="s">
        <v>2565</v>
      </c>
      <c r="C389" s="55">
        <v>1</v>
      </c>
      <c r="D389" s="55"/>
      <c r="E389" s="55"/>
      <c r="F389" s="18" t="str">
        <f t="shared" si="5"/>
        <v>средний</v>
      </c>
    </row>
    <row r="390" spans="2:6" x14ac:dyDescent="0.25">
      <c r="B390" s="98" t="s">
        <v>2566</v>
      </c>
      <c r="C390" s="55">
        <v>1</v>
      </c>
      <c r="D390" s="55"/>
      <c r="E390" s="55"/>
      <c r="F390" s="18" t="str">
        <f t="shared" si="5"/>
        <v>средний</v>
      </c>
    </row>
    <row r="391" spans="2:6" x14ac:dyDescent="0.25">
      <c r="B391" s="98" t="s">
        <v>2567</v>
      </c>
      <c r="C391" s="55">
        <v>1</v>
      </c>
      <c r="D391" s="55"/>
      <c r="E391" s="55"/>
      <c r="F391" s="18" t="str">
        <f t="shared" si="5"/>
        <v>средний</v>
      </c>
    </row>
    <row r="392" spans="2:6" x14ac:dyDescent="0.25">
      <c r="B392" s="98" t="s">
        <v>2568</v>
      </c>
      <c r="C392" s="55">
        <v>1</v>
      </c>
      <c r="D392" s="55"/>
      <c r="E392" s="55"/>
      <c r="F392" s="18" t="str">
        <f t="shared" ref="F392:F455" si="6">IF(D392&gt;0,"высокий",IF(C392&gt;0,"средний","низкий"))</f>
        <v>средний</v>
      </c>
    </row>
    <row r="393" spans="2:6" x14ac:dyDescent="0.25">
      <c r="B393" s="98" t="s">
        <v>2569</v>
      </c>
      <c r="C393" s="55"/>
      <c r="D393" s="55">
        <v>1</v>
      </c>
      <c r="E393" s="55">
        <v>1</v>
      </c>
      <c r="F393" s="18" t="str">
        <f t="shared" si="6"/>
        <v>высокий</v>
      </c>
    </row>
    <row r="394" spans="2:6" x14ac:dyDescent="0.25">
      <c r="B394" s="98" t="s">
        <v>2570</v>
      </c>
      <c r="C394" s="55">
        <v>1</v>
      </c>
      <c r="D394" s="55"/>
      <c r="E394" s="55">
        <v>4</v>
      </c>
      <c r="F394" s="18" t="str">
        <f t="shared" si="6"/>
        <v>средний</v>
      </c>
    </row>
    <row r="395" spans="2:6" x14ac:dyDescent="0.25">
      <c r="B395" s="98" t="s">
        <v>2571</v>
      </c>
      <c r="C395" s="55">
        <v>1</v>
      </c>
      <c r="D395" s="55"/>
      <c r="E395" s="55">
        <v>4</v>
      </c>
      <c r="F395" s="18" t="str">
        <f t="shared" si="6"/>
        <v>средний</v>
      </c>
    </row>
    <row r="396" spans="2:6" x14ac:dyDescent="0.25">
      <c r="B396" s="98" t="s">
        <v>2572</v>
      </c>
      <c r="C396" s="55">
        <v>1</v>
      </c>
      <c r="D396" s="55"/>
      <c r="E396" s="55">
        <v>4</v>
      </c>
      <c r="F396" s="18" t="str">
        <f t="shared" si="6"/>
        <v>средний</v>
      </c>
    </row>
    <row r="397" spans="2:6" x14ac:dyDescent="0.25">
      <c r="B397" s="98" t="s">
        <v>2573</v>
      </c>
      <c r="C397" s="55">
        <v>1</v>
      </c>
      <c r="D397" s="55"/>
      <c r="E397" s="55">
        <v>4</v>
      </c>
      <c r="F397" s="18" t="str">
        <f t="shared" si="6"/>
        <v>средний</v>
      </c>
    </row>
    <row r="398" spans="2:6" x14ac:dyDescent="0.25">
      <c r="B398" s="98" t="s">
        <v>2575</v>
      </c>
      <c r="C398" s="55">
        <v>2</v>
      </c>
      <c r="D398" s="55"/>
      <c r="E398" s="55"/>
      <c r="F398" s="18" t="str">
        <f t="shared" si="6"/>
        <v>средний</v>
      </c>
    </row>
    <row r="399" spans="2:6" x14ac:dyDescent="0.25">
      <c r="B399" s="98" t="s">
        <v>2576</v>
      </c>
      <c r="C399" s="55">
        <v>1</v>
      </c>
      <c r="D399" s="55"/>
      <c r="E399" s="55"/>
      <c r="F399" s="18" t="str">
        <f t="shared" si="6"/>
        <v>средний</v>
      </c>
    </row>
    <row r="400" spans="2:6" x14ac:dyDescent="0.25">
      <c r="B400" s="98" t="s">
        <v>2577</v>
      </c>
      <c r="C400" s="55">
        <v>3</v>
      </c>
      <c r="D400" s="55">
        <v>1</v>
      </c>
      <c r="E400" s="55">
        <v>1</v>
      </c>
      <c r="F400" s="18" t="str">
        <f t="shared" si="6"/>
        <v>высокий</v>
      </c>
    </row>
    <row r="401" spans="2:6" x14ac:dyDescent="0.25">
      <c r="B401" s="98" t="s">
        <v>2578</v>
      </c>
      <c r="C401" s="55"/>
      <c r="D401" s="55">
        <v>3</v>
      </c>
      <c r="E401" s="55">
        <v>7</v>
      </c>
      <c r="F401" s="18" t="str">
        <f t="shared" si="6"/>
        <v>высокий</v>
      </c>
    </row>
    <row r="402" spans="2:6" x14ac:dyDescent="0.25">
      <c r="B402" s="98" t="s">
        <v>2579</v>
      </c>
      <c r="C402" s="55"/>
      <c r="D402" s="55">
        <v>2</v>
      </c>
      <c r="E402" s="55">
        <v>3</v>
      </c>
      <c r="F402" s="18" t="str">
        <f t="shared" si="6"/>
        <v>высокий</v>
      </c>
    </row>
    <row r="403" spans="2:6" x14ac:dyDescent="0.25">
      <c r="B403" s="98" t="s">
        <v>2580</v>
      </c>
      <c r="C403" s="55">
        <v>2</v>
      </c>
      <c r="D403" s="55"/>
      <c r="E403" s="55">
        <v>2</v>
      </c>
      <c r="F403" s="18" t="str">
        <f t="shared" si="6"/>
        <v>средний</v>
      </c>
    </row>
    <row r="404" spans="2:6" x14ac:dyDescent="0.25">
      <c r="B404" s="98" t="s">
        <v>2581</v>
      </c>
      <c r="C404" s="55">
        <v>1</v>
      </c>
      <c r="D404" s="55">
        <v>1</v>
      </c>
      <c r="E404" s="55"/>
      <c r="F404" s="18" t="str">
        <f t="shared" si="6"/>
        <v>высокий</v>
      </c>
    </row>
    <row r="405" spans="2:6" x14ac:dyDescent="0.25">
      <c r="B405" s="98" t="s">
        <v>2582</v>
      </c>
      <c r="C405" s="55">
        <v>1</v>
      </c>
      <c r="D405" s="55">
        <v>2</v>
      </c>
      <c r="E405" s="55">
        <v>1</v>
      </c>
      <c r="F405" s="18" t="str">
        <f t="shared" si="6"/>
        <v>высокий</v>
      </c>
    </row>
    <row r="406" spans="2:6" x14ac:dyDescent="0.25">
      <c r="B406" s="98" t="s">
        <v>2583</v>
      </c>
      <c r="C406" s="55">
        <v>1</v>
      </c>
      <c r="D406" s="55">
        <v>2</v>
      </c>
      <c r="E406" s="55">
        <v>1</v>
      </c>
      <c r="F406" s="18" t="str">
        <f t="shared" si="6"/>
        <v>высокий</v>
      </c>
    </row>
    <row r="407" spans="2:6" x14ac:dyDescent="0.25">
      <c r="B407" s="98" t="s">
        <v>2584</v>
      </c>
      <c r="C407" s="55">
        <v>1</v>
      </c>
      <c r="D407" s="55">
        <v>2</v>
      </c>
      <c r="E407" s="55">
        <v>1</v>
      </c>
      <c r="F407" s="18" t="str">
        <f t="shared" si="6"/>
        <v>высокий</v>
      </c>
    </row>
    <row r="408" spans="2:6" x14ac:dyDescent="0.25">
      <c r="B408" s="98" t="s">
        <v>2585</v>
      </c>
      <c r="C408" s="55">
        <v>1</v>
      </c>
      <c r="D408" s="55">
        <v>2</v>
      </c>
      <c r="E408" s="55">
        <v>1</v>
      </c>
      <c r="F408" s="18" t="str">
        <f t="shared" si="6"/>
        <v>высокий</v>
      </c>
    </row>
    <row r="409" spans="2:6" x14ac:dyDescent="0.25">
      <c r="B409" s="98" t="s">
        <v>2586</v>
      </c>
      <c r="C409" s="55">
        <v>1</v>
      </c>
      <c r="D409" s="55"/>
      <c r="E409" s="55"/>
      <c r="F409" s="18" t="str">
        <f t="shared" si="6"/>
        <v>средний</v>
      </c>
    </row>
    <row r="410" spans="2:6" x14ac:dyDescent="0.25">
      <c r="B410" s="98" t="s">
        <v>2587</v>
      </c>
      <c r="C410" s="55">
        <v>1</v>
      </c>
      <c r="D410" s="55"/>
      <c r="E410" s="55">
        <v>2</v>
      </c>
      <c r="F410" s="18" t="str">
        <f t="shared" si="6"/>
        <v>средний</v>
      </c>
    </row>
    <row r="411" spans="2:6" x14ac:dyDescent="0.25">
      <c r="B411" s="98" t="s">
        <v>2588</v>
      </c>
      <c r="C411" s="55">
        <v>2</v>
      </c>
      <c r="D411" s="55"/>
      <c r="E411" s="55"/>
      <c r="F411" s="18" t="str">
        <f t="shared" si="6"/>
        <v>средний</v>
      </c>
    </row>
    <row r="412" spans="2:6" x14ac:dyDescent="0.25">
      <c r="B412" s="98" t="s">
        <v>2589</v>
      </c>
      <c r="C412" s="55">
        <v>2</v>
      </c>
      <c r="D412" s="55"/>
      <c r="E412" s="55"/>
      <c r="F412" s="18" t="str">
        <f t="shared" si="6"/>
        <v>средний</v>
      </c>
    </row>
    <row r="413" spans="2:6" x14ac:dyDescent="0.25">
      <c r="B413" s="98" t="s">
        <v>2590</v>
      </c>
      <c r="C413" s="55">
        <v>2</v>
      </c>
      <c r="D413" s="55"/>
      <c r="E413" s="55"/>
      <c r="F413" s="18" t="str">
        <f t="shared" si="6"/>
        <v>средний</v>
      </c>
    </row>
    <row r="414" spans="2:6" x14ac:dyDescent="0.25">
      <c r="B414" s="98" t="s">
        <v>2591</v>
      </c>
      <c r="C414" s="55"/>
      <c r="D414" s="55"/>
      <c r="E414" s="55">
        <v>2</v>
      </c>
      <c r="F414" s="18" t="str">
        <f t="shared" si="6"/>
        <v>низкий</v>
      </c>
    </row>
    <row r="415" spans="2:6" x14ac:dyDescent="0.25">
      <c r="B415" s="98" t="s">
        <v>2592</v>
      </c>
      <c r="C415" s="55">
        <v>1</v>
      </c>
      <c r="D415" s="55">
        <v>1</v>
      </c>
      <c r="E415" s="55">
        <v>1</v>
      </c>
      <c r="F415" s="18" t="str">
        <f t="shared" si="6"/>
        <v>высокий</v>
      </c>
    </row>
    <row r="416" spans="2:6" x14ac:dyDescent="0.25">
      <c r="B416" s="98" t="s">
        <v>2593</v>
      </c>
      <c r="C416" s="55">
        <v>3</v>
      </c>
      <c r="D416" s="55"/>
      <c r="E416" s="55"/>
      <c r="F416" s="18" t="str">
        <f t="shared" si="6"/>
        <v>средний</v>
      </c>
    </row>
    <row r="417" spans="2:6" x14ac:dyDescent="0.25">
      <c r="B417" s="98" t="s">
        <v>2594</v>
      </c>
      <c r="C417" s="55">
        <v>3</v>
      </c>
      <c r="D417" s="55"/>
      <c r="E417" s="55"/>
      <c r="F417" s="18" t="str">
        <f t="shared" si="6"/>
        <v>средний</v>
      </c>
    </row>
    <row r="418" spans="2:6" x14ac:dyDescent="0.25">
      <c r="B418" s="98" t="s">
        <v>2595</v>
      </c>
      <c r="C418" s="55">
        <v>3</v>
      </c>
      <c r="D418" s="55"/>
      <c r="E418" s="55"/>
      <c r="F418" s="18" t="str">
        <f t="shared" si="6"/>
        <v>средний</v>
      </c>
    </row>
    <row r="419" spans="2:6" x14ac:dyDescent="0.25">
      <c r="B419" s="98" t="s">
        <v>2596</v>
      </c>
      <c r="C419" s="55">
        <v>3</v>
      </c>
      <c r="D419" s="55"/>
      <c r="E419" s="55"/>
      <c r="F419" s="18" t="str">
        <f t="shared" si="6"/>
        <v>средний</v>
      </c>
    </row>
    <row r="420" spans="2:6" x14ac:dyDescent="0.25">
      <c r="B420" s="98" t="s">
        <v>2597</v>
      </c>
      <c r="C420" s="55">
        <v>1</v>
      </c>
      <c r="D420" s="55"/>
      <c r="E420" s="55"/>
      <c r="F420" s="18" t="str">
        <f t="shared" si="6"/>
        <v>средний</v>
      </c>
    </row>
    <row r="421" spans="2:6" x14ac:dyDescent="0.25">
      <c r="B421" s="98" t="s">
        <v>2598</v>
      </c>
      <c r="C421" s="55"/>
      <c r="D421" s="55">
        <v>1</v>
      </c>
      <c r="E421" s="55">
        <v>3</v>
      </c>
      <c r="F421" s="18" t="str">
        <f t="shared" si="6"/>
        <v>высокий</v>
      </c>
    </row>
    <row r="422" spans="2:6" x14ac:dyDescent="0.25">
      <c r="B422" s="98" t="s">
        <v>2599</v>
      </c>
      <c r="C422" s="55"/>
      <c r="D422" s="55">
        <v>2</v>
      </c>
      <c r="E422" s="55">
        <v>2</v>
      </c>
      <c r="F422" s="18" t="str">
        <f t="shared" si="6"/>
        <v>высокий</v>
      </c>
    </row>
    <row r="423" spans="2:6" x14ac:dyDescent="0.25">
      <c r="B423" s="98" t="s">
        <v>2600</v>
      </c>
      <c r="C423" s="55"/>
      <c r="D423" s="55">
        <v>2</v>
      </c>
      <c r="E423" s="55">
        <v>2</v>
      </c>
      <c r="F423" s="18" t="str">
        <f t="shared" si="6"/>
        <v>высокий</v>
      </c>
    </row>
    <row r="424" spans="2:6" x14ac:dyDescent="0.25">
      <c r="B424" s="98" t="s">
        <v>2601</v>
      </c>
      <c r="C424" s="55"/>
      <c r="D424" s="55">
        <v>2</v>
      </c>
      <c r="E424" s="55">
        <v>2</v>
      </c>
      <c r="F424" s="18" t="str">
        <f t="shared" si="6"/>
        <v>высокий</v>
      </c>
    </row>
    <row r="425" spans="2:6" x14ac:dyDescent="0.25">
      <c r="B425" s="98" t="s">
        <v>2602</v>
      </c>
      <c r="C425" s="55"/>
      <c r="D425" s="55">
        <v>2</v>
      </c>
      <c r="E425" s="55">
        <v>2</v>
      </c>
      <c r="F425" s="18" t="str">
        <f t="shared" si="6"/>
        <v>высокий</v>
      </c>
    </row>
    <row r="426" spans="2:6" x14ac:dyDescent="0.25">
      <c r="B426" s="98" t="s">
        <v>2603</v>
      </c>
      <c r="C426" s="55"/>
      <c r="D426" s="55">
        <v>1</v>
      </c>
      <c r="E426" s="55"/>
      <c r="F426" s="18" t="str">
        <f t="shared" si="6"/>
        <v>высокий</v>
      </c>
    </row>
    <row r="427" spans="2:6" x14ac:dyDescent="0.25">
      <c r="B427" s="98" t="s">
        <v>2604</v>
      </c>
      <c r="C427" s="55">
        <v>1</v>
      </c>
      <c r="D427" s="55"/>
      <c r="E427" s="55"/>
      <c r="F427" s="18" t="str">
        <f t="shared" si="6"/>
        <v>средний</v>
      </c>
    </row>
    <row r="428" spans="2:6" x14ac:dyDescent="0.25">
      <c r="B428" s="98" t="s">
        <v>2605</v>
      </c>
      <c r="C428" s="55">
        <v>1</v>
      </c>
      <c r="D428" s="55"/>
      <c r="E428" s="55">
        <v>2</v>
      </c>
      <c r="F428" s="18" t="str">
        <f t="shared" si="6"/>
        <v>средний</v>
      </c>
    </row>
    <row r="429" spans="2:6" x14ac:dyDescent="0.25">
      <c r="B429" s="98" t="s">
        <v>2606</v>
      </c>
      <c r="C429" s="55">
        <v>2</v>
      </c>
      <c r="D429" s="55">
        <v>1</v>
      </c>
      <c r="E429" s="55">
        <v>7</v>
      </c>
      <c r="F429" s="18" t="str">
        <f t="shared" si="6"/>
        <v>высокий</v>
      </c>
    </row>
    <row r="430" spans="2:6" x14ac:dyDescent="0.25">
      <c r="B430" s="98" t="s">
        <v>2607</v>
      </c>
      <c r="C430" s="55">
        <v>2</v>
      </c>
      <c r="D430" s="55">
        <v>2</v>
      </c>
      <c r="E430" s="55">
        <v>2</v>
      </c>
      <c r="F430" s="18" t="str">
        <f t="shared" si="6"/>
        <v>высокий</v>
      </c>
    </row>
    <row r="431" spans="2:6" x14ac:dyDescent="0.25">
      <c r="B431" s="98" t="s">
        <v>2608</v>
      </c>
      <c r="C431" s="55">
        <v>2</v>
      </c>
      <c r="D431" s="55">
        <v>2</v>
      </c>
      <c r="E431" s="55">
        <v>2</v>
      </c>
      <c r="F431" s="18" t="str">
        <f t="shared" si="6"/>
        <v>высокий</v>
      </c>
    </row>
    <row r="432" spans="2:6" x14ac:dyDescent="0.25">
      <c r="B432" s="98" t="s">
        <v>2609</v>
      </c>
      <c r="C432" s="55">
        <v>2</v>
      </c>
      <c r="D432" s="55">
        <v>1</v>
      </c>
      <c r="E432" s="55">
        <v>7</v>
      </c>
      <c r="F432" s="18" t="str">
        <f t="shared" si="6"/>
        <v>высокий</v>
      </c>
    </row>
    <row r="433" spans="2:6" x14ac:dyDescent="0.25">
      <c r="B433" s="98" t="s">
        <v>2610</v>
      </c>
      <c r="C433" s="55">
        <v>2</v>
      </c>
      <c r="D433" s="55">
        <v>1</v>
      </c>
      <c r="E433" s="55">
        <v>7</v>
      </c>
      <c r="F433" s="18" t="str">
        <f t="shared" si="6"/>
        <v>высокий</v>
      </c>
    </row>
    <row r="434" spans="2:6" x14ac:dyDescent="0.25">
      <c r="B434" s="98" t="s">
        <v>2611</v>
      </c>
      <c r="C434" s="55">
        <v>2</v>
      </c>
      <c r="D434" s="55">
        <v>1</v>
      </c>
      <c r="E434" s="55">
        <v>7</v>
      </c>
      <c r="F434" s="18" t="str">
        <f t="shared" si="6"/>
        <v>высокий</v>
      </c>
    </row>
    <row r="435" spans="2:6" x14ac:dyDescent="0.25">
      <c r="B435" s="98" t="s">
        <v>2612</v>
      </c>
      <c r="C435" s="55">
        <v>2</v>
      </c>
      <c r="D435" s="55">
        <v>1</v>
      </c>
      <c r="E435" s="55">
        <v>7</v>
      </c>
      <c r="F435" s="18" t="str">
        <f t="shared" si="6"/>
        <v>высокий</v>
      </c>
    </row>
    <row r="436" spans="2:6" x14ac:dyDescent="0.25">
      <c r="B436" s="98" t="s">
        <v>2613</v>
      </c>
      <c r="C436" s="55">
        <v>2</v>
      </c>
      <c r="D436" s="55">
        <v>1</v>
      </c>
      <c r="E436" s="55">
        <v>7</v>
      </c>
      <c r="F436" s="18" t="str">
        <f t="shared" si="6"/>
        <v>высокий</v>
      </c>
    </row>
    <row r="437" spans="2:6" x14ac:dyDescent="0.25">
      <c r="B437" s="98" t="s">
        <v>2614</v>
      </c>
      <c r="C437" s="55">
        <v>2</v>
      </c>
      <c r="D437" s="55">
        <v>1</v>
      </c>
      <c r="E437" s="55">
        <v>7</v>
      </c>
      <c r="F437" s="18" t="str">
        <f t="shared" si="6"/>
        <v>высокий</v>
      </c>
    </row>
    <row r="438" spans="2:6" x14ac:dyDescent="0.25">
      <c r="B438" s="98" t="s">
        <v>2615</v>
      </c>
      <c r="C438" s="55">
        <v>2</v>
      </c>
      <c r="D438" s="55">
        <v>1</v>
      </c>
      <c r="E438" s="55">
        <v>7</v>
      </c>
      <c r="F438" s="18" t="str">
        <f t="shared" si="6"/>
        <v>высокий</v>
      </c>
    </row>
    <row r="439" spans="2:6" x14ac:dyDescent="0.25">
      <c r="B439" s="98" t="s">
        <v>2616</v>
      </c>
      <c r="C439" s="55"/>
      <c r="D439" s="55">
        <v>1</v>
      </c>
      <c r="E439" s="55"/>
      <c r="F439" s="18" t="str">
        <f t="shared" si="6"/>
        <v>высокий</v>
      </c>
    </row>
    <row r="440" spans="2:6" x14ac:dyDescent="0.25">
      <c r="B440" s="98" t="s">
        <v>2617</v>
      </c>
      <c r="C440" s="55"/>
      <c r="D440" s="55"/>
      <c r="E440" s="55">
        <v>1</v>
      </c>
      <c r="F440" s="18" t="str">
        <f t="shared" si="6"/>
        <v>низкий</v>
      </c>
    </row>
    <row r="441" spans="2:6" x14ac:dyDescent="0.25">
      <c r="B441" s="98" t="s">
        <v>2618</v>
      </c>
      <c r="C441" s="55">
        <v>2</v>
      </c>
      <c r="D441" s="55">
        <v>1</v>
      </c>
      <c r="E441" s="55">
        <v>7</v>
      </c>
      <c r="F441" s="18" t="str">
        <f t="shared" si="6"/>
        <v>высокий</v>
      </c>
    </row>
    <row r="442" spans="2:6" x14ac:dyDescent="0.25">
      <c r="B442" s="98" t="s">
        <v>2619</v>
      </c>
      <c r="C442" s="55">
        <v>2</v>
      </c>
      <c r="D442" s="55">
        <v>1</v>
      </c>
      <c r="E442" s="55">
        <v>7</v>
      </c>
      <c r="F442" s="18" t="str">
        <f t="shared" si="6"/>
        <v>высокий</v>
      </c>
    </row>
    <row r="443" spans="2:6" x14ac:dyDescent="0.25">
      <c r="B443" s="98" t="s">
        <v>2620</v>
      </c>
      <c r="C443" s="55">
        <v>2</v>
      </c>
      <c r="D443" s="55">
        <v>1</v>
      </c>
      <c r="E443" s="55">
        <v>7</v>
      </c>
      <c r="F443" s="18" t="str">
        <f t="shared" si="6"/>
        <v>высокий</v>
      </c>
    </row>
    <row r="444" spans="2:6" x14ac:dyDescent="0.25">
      <c r="B444" s="98" t="s">
        <v>2621</v>
      </c>
      <c r="C444" s="55">
        <v>2</v>
      </c>
      <c r="D444" s="55">
        <v>1</v>
      </c>
      <c r="E444" s="55">
        <v>7</v>
      </c>
      <c r="F444" s="18" t="str">
        <f t="shared" si="6"/>
        <v>высокий</v>
      </c>
    </row>
    <row r="445" spans="2:6" x14ac:dyDescent="0.25">
      <c r="B445" s="98" t="s">
        <v>2622</v>
      </c>
      <c r="C445" s="55">
        <v>2</v>
      </c>
      <c r="D445" s="55">
        <v>1</v>
      </c>
      <c r="E445" s="55">
        <v>7</v>
      </c>
      <c r="F445" s="18" t="str">
        <f t="shared" si="6"/>
        <v>высокий</v>
      </c>
    </row>
    <row r="446" spans="2:6" x14ac:dyDescent="0.25">
      <c r="B446" s="98" t="s">
        <v>2623</v>
      </c>
      <c r="C446" s="55">
        <v>1</v>
      </c>
      <c r="D446" s="55">
        <v>1</v>
      </c>
      <c r="E446" s="55"/>
      <c r="F446" s="18" t="str">
        <f t="shared" si="6"/>
        <v>высокий</v>
      </c>
    </row>
    <row r="447" spans="2:6" x14ac:dyDescent="0.25">
      <c r="B447" s="98" t="s">
        <v>2624</v>
      </c>
      <c r="C447" s="55">
        <v>2</v>
      </c>
      <c r="D447" s="55">
        <v>1</v>
      </c>
      <c r="E447" s="55">
        <v>7</v>
      </c>
      <c r="F447" s="18" t="str">
        <f t="shared" si="6"/>
        <v>высокий</v>
      </c>
    </row>
    <row r="448" spans="2:6" x14ac:dyDescent="0.25">
      <c r="B448" s="98" t="s">
        <v>2625</v>
      </c>
      <c r="C448" s="55">
        <v>2</v>
      </c>
      <c r="D448" s="55">
        <v>1</v>
      </c>
      <c r="E448" s="55">
        <v>7</v>
      </c>
      <c r="F448" s="18" t="str">
        <f t="shared" si="6"/>
        <v>высокий</v>
      </c>
    </row>
    <row r="449" spans="2:6" x14ac:dyDescent="0.25">
      <c r="B449" s="98" t="s">
        <v>2626</v>
      </c>
      <c r="C449" s="55">
        <v>2</v>
      </c>
      <c r="D449" s="55"/>
      <c r="E449" s="55"/>
      <c r="F449" s="18" t="str">
        <f t="shared" si="6"/>
        <v>средний</v>
      </c>
    </row>
    <row r="450" spans="2:6" x14ac:dyDescent="0.25">
      <c r="B450" s="98" t="s">
        <v>2627</v>
      </c>
      <c r="C450" s="55">
        <v>2</v>
      </c>
      <c r="D450" s="55"/>
      <c r="E450" s="55"/>
      <c r="F450" s="18" t="str">
        <f t="shared" si="6"/>
        <v>средний</v>
      </c>
    </row>
    <row r="451" spans="2:6" x14ac:dyDescent="0.25">
      <c r="B451" s="98" t="s">
        <v>2628</v>
      </c>
      <c r="C451" s="55">
        <v>1</v>
      </c>
      <c r="D451" s="55"/>
      <c r="E451" s="55"/>
      <c r="F451" s="18" t="str">
        <f t="shared" si="6"/>
        <v>средний</v>
      </c>
    </row>
    <row r="452" spans="2:6" x14ac:dyDescent="0.25">
      <c r="B452" s="98" t="s">
        <v>2629</v>
      </c>
      <c r="C452" s="55">
        <v>5</v>
      </c>
      <c r="D452" s="55"/>
      <c r="E452" s="55">
        <v>5</v>
      </c>
      <c r="F452" s="18" t="str">
        <f t="shared" si="6"/>
        <v>средний</v>
      </c>
    </row>
    <row r="453" spans="2:6" x14ac:dyDescent="0.25">
      <c r="B453" s="98" t="s">
        <v>2630</v>
      </c>
      <c r="C453" s="55">
        <v>5</v>
      </c>
      <c r="D453" s="55"/>
      <c r="E453" s="55">
        <v>5</v>
      </c>
      <c r="F453" s="18" t="str">
        <f t="shared" si="6"/>
        <v>средний</v>
      </c>
    </row>
    <row r="454" spans="2:6" x14ac:dyDescent="0.25">
      <c r="B454" s="98" t="s">
        <v>2631</v>
      </c>
      <c r="C454" s="55">
        <v>5</v>
      </c>
      <c r="D454" s="55"/>
      <c r="E454" s="55">
        <v>5</v>
      </c>
      <c r="F454" s="18" t="str">
        <f t="shared" si="6"/>
        <v>средний</v>
      </c>
    </row>
    <row r="455" spans="2:6" x14ac:dyDescent="0.25">
      <c r="B455" s="98" t="s">
        <v>2632</v>
      </c>
      <c r="C455" s="55">
        <v>5</v>
      </c>
      <c r="D455" s="55"/>
      <c r="E455" s="55">
        <v>5</v>
      </c>
      <c r="F455" s="18" t="str">
        <f t="shared" si="6"/>
        <v>средний</v>
      </c>
    </row>
    <row r="456" spans="2:6" x14ac:dyDescent="0.25">
      <c r="B456" s="98" t="s">
        <v>2633</v>
      </c>
      <c r="C456" s="55">
        <v>1</v>
      </c>
      <c r="D456" s="55"/>
      <c r="E456" s="55"/>
      <c r="F456" s="18" t="str">
        <f t="shared" ref="F456:F519" si="7">IF(D456&gt;0,"высокий",IF(C456&gt;0,"средний","низкий"))</f>
        <v>средний</v>
      </c>
    </row>
    <row r="457" spans="2:6" x14ac:dyDescent="0.25">
      <c r="B457" s="98" t="s">
        <v>2634</v>
      </c>
      <c r="C457" s="55"/>
      <c r="D457" s="55">
        <v>1</v>
      </c>
      <c r="E457" s="55"/>
      <c r="F457" s="18" t="str">
        <f t="shared" si="7"/>
        <v>высокий</v>
      </c>
    </row>
    <row r="458" spans="2:6" x14ac:dyDescent="0.25">
      <c r="B458" s="98" t="s">
        <v>2637</v>
      </c>
      <c r="C458" s="55">
        <v>1</v>
      </c>
      <c r="D458" s="55">
        <v>2</v>
      </c>
      <c r="E458" s="55"/>
      <c r="F458" s="18" t="str">
        <f t="shared" si="7"/>
        <v>высокий</v>
      </c>
    </row>
    <row r="459" spans="2:6" x14ac:dyDescent="0.25">
      <c r="B459" s="98" t="s">
        <v>2638</v>
      </c>
      <c r="C459" s="55">
        <v>1</v>
      </c>
      <c r="D459" s="55">
        <v>1</v>
      </c>
      <c r="E459" s="55"/>
      <c r="F459" s="18" t="str">
        <f t="shared" si="7"/>
        <v>высокий</v>
      </c>
    </row>
    <row r="460" spans="2:6" x14ac:dyDescent="0.25">
      <c r="B460" s="98" t="s">
        <v>2639</v>
      </c>
      <c r="C460" s="55">
        <v>2</v>
      </c>
      <c r="D460" s="55">
        <v>1</v>
      </c>
      <c r="E460" s="55"/>
      <c r="F460" s="18" t="str">
        <f t="shared" si="7"/>
        <v>высокий</v>
      </c>
    </row>
    <row r="461" spans="2:6" x14ac:dyDescent="0.25">
      <c r="B461" s="98" t="s">
        <v>2640</v>
      </c>
      <c r="C461" s="55">
        <v>2</v>
      </c>
      <c r="D461" s="55"/>
      <c r="E461" s="55"/>
      <c r="F461" s="18" t="str">
        <f t="shared" si="7"/>
        <v>средний</v>
      </c>
    </row>
    <row r="462" spans="2:6" x14ac:dyDescent="0.25">
      <c r="B462" s="98" t="s">
        <v>2641</v>
      </c>
      <c r="C462" s="55">
        <v>1</v>
      </c>
      <c r="D462" s="55">
        <v>1</v>
      </c>
      <c r="E462" s="55"/>
      <c r="F462" s="18" t="str">
        <f t="shared" si="7"/>
        <v>высокий</v>
      </c>
    </row>
    <row r="463" spans="2:6" x14ac:dyDescent="0.25">
      <c r="B463" s="98" t="s">
        <v>2642</v>
      </c>
      <c r="C463" s="55"/>
      <c r="D463" s="55"/>
      <c r="E463" s="55">
        <v>1</v>
      </c>
      <c r="F463" s="18" t="str">
        <f t="shared" si="7"/>
        <v>низкий</v>
      </c>
    </row>
    <row r="464" spans="2:6" x14ac:dyDescent="0.25">
      <c r="B464" s="98" t="s">
        <v>2643</v>
      </c>
      <c r="C464" s="55"/>
      <c r="D464" s="55"/>
      <c r="E464" s="55">
        <v>2</v>
      </c>
      <c r="F464" s="18" t="str">
        <f t="shared" si="7"/>
        <v>низкий</v>
      </c>
    </row>
    <row r="465" spans="2:6" x14ac:dyDescent="0.25">
      <c r="B465" s="98" t="s">
        <v>2644</v>
      </c>
      <c r="C465" s="55"/>
      <c r="D465" s="55">
        <v>1</v>
      </c>
      <c r="E465" s="55"/>
      <c r="F465" s="18" t="str">
        <f t="shared" si="7"/>
        <v>высокий</v>
      </c>
    </row>
    <row r="466" spans="2:6" x14ac:dyDescent="0.25">
      <c r="B466" s="98" t="s">
        <v>2645</v>
      </c>
      <c r="C466" s="55">
        <v>1</v>
      </c>
      <c r="D466" s="55"/>
      <c r="E466" s="55"/>
      <c r="F466" s="18" t="str">
        <f t="shared" si="7"/>
        <v>средний</v>
      </c>
    </row>
    <row r="467" spans="2:6" x14ac:dyDescent="0.25">
      <c r="B467" s="98" t="s">
        <v>2646</v>
      </c>
      <c r="C467" s="55">
        <v>1</v>
      </c>
      <c r="D467" s="55"/>
      <c r="E467" s="55">
        <v>1</v>
      </c>
      <c r="F467" s="18" t="str">
        <f t="shared" si="7"/>
        <v>средний</v>
      </c>
    </row>
    <row r="468" spans="2:6" x14ac:dyDescent="0.25">
      <c r="B468" s="98" t="s">
        <v>2647</v>
      </c>
      <c r="C468" s="55">
        <v>1</v>
      </c>
      <c r="D468" s="55"/>
      <c r="E468" s="55">
        <v>1</v>
      </c>
      <c r="F468" s="18" t="str">
        <f t="shared" si="7"/>
        <v>средний</v>
      </c>
    </row>
    <row r="469" spans="2:6" x14ac:dyDescent="0.25">
      <c r="B469" s="98" t="s">
        <v>2648</v>
      </c>
      <c r="C469" s="55">
        <v>1</v>
      </c>
      <c r="D469" s="55"/>
      <c r="E469" s="55">
        <v>1</v>
      </c>
      <c r="F469" s="18" t="str">
        <f t="shared" si="7"/>
        <v>средний</v>
      </c>
    </row>
    <row r="470" spans="2:6" x14ac:dyDescent="0.25">
      <c r="B470" s="98" t="s">
        <v>2649</v>
      </c>
      <c r="C470" s="55">
        <v>1</v>
      </c>
      <c r="D470" s="55">
        <v>1</v>
      </c>
      <c r="E470" s="55">
        <v>1</v>
      </c>
      <c r="F470" s="18" t="str">
        <f t="shared" si="7"/>
        <v>высокий</v>
      </c>
    </row>
    <row r="471" spans="2:6" x14ac:dyDescent="0.25">
      <c r="B471" s="98" t="s">
        <v>2650</v>
      </c>
      <c r="C471" s="55">
        <v>1</v>
      </c>
      <c r="D471" s="55">
        <v>1</v>
      </c>
      <c r="E471" s="55"/>
      <c r="F471" s="18" t="str">
        <f t="shared" si="7"/>
        <v>высокий</v>
      </c>
    </row>
    <row r="472" spans="2:6" x14ac:dyDescent="0.25">
      <c r="B472" s="98" t="s">
        <v>2651</v>
      </c>
      <c r="C472" s="55"/>
      <c r="D472" s="55">
        <v>1</v>
      </c>
      <c r="E472" s="55"/>
      <c r="F472" s="18" t="str">
        <f t="shared" si="7"/>
        <v>высокий</v>
      </c>
    </row>
    <row r="473" spans="2:6" x14ac:dyDescent="0.25">
      <c r="B473" s="98" t="s">
        <v>2652</v>
      </c>
      <c r="C473" s="55">
        <v>2</v>
      </c>
      <c r="D473" s="55">
        <v>1</v>
      </c>
      <c r="E473" s="55"/>
      <c r="F473" s="18" t="str">
        <f t="shared" si="7"/>
        <v>высокий</v>
      </c>
    </row>
    <row r="474" spans="2:6" x14ac:dyDescent="0.25">
      <c r="B474" s="98" t="s">
        <v>2653</v>
      </c>
      <c r="C474" s="55"/>
      <c r="D474" s="55">
        <v>1</v>
      </c>
      <c r="E474" s="55">
        <v>2</v>
      </c>
      <c r="F474" s="18" t="str">
        <f t="shared" si="7"/>
        <v>высокий</v>
      </c>
    </row>
    <row r="475" spans="2:6" x14ac:dyDescent="0.25">
      <c r="B475" s="98" t="s">
        <v>2654</v>
      </c>
      <c r="C475" s="55"/>
      <c r="D475" s="55">
        <v>1</v>
      </c>
      <c r="E475" s="55">
        <v>1</v>
      </c>
      <c r="F475" s="18" t="str">
        <f t="shared" si="7"/>
        <v>высокий</v>
      </c>
    </row>
    <row r="476" spans="2:6" x14ac:dyDescent="0.25">
      <c r="B476" s="98" t="s">
        <v>2655</v>
      </c>
      <c r="C476" s="55">
        <v>2</v>
      </c>
      <c r="D476" s="55"/>
      <c r="E476" s="55"/>
      <c r="F476" s="18" t="str">
        <f t="shared" si="7"/>
        <v>средний</v>
      </c>
    </row>
    <row r="477" spans="2:6" x14ac:dyDescent="0.25">
      <c r="B477" s="98" t="s">
        <v>2656</v>
      </c>
      <c r="C477" s="55"/>
      <c r="D477" s="55">
        <v>1</v>
      </c>
      <c r="E477" s="55">
        <v>1</v>
      </c>
      <c r="F477" s="18" t="str">
        <f t="shared" si="7"/>
        <v>высокий</v>
      </c>
    </row>
    <row r="478" spans="2:6" x14ac:dyDescent="0.25">
      <c r="B478" s="98" t="s">
        <v>2657</v>
      </c>
      <c r="C478" s="55">
        <v>1</v>
      </c>
      <c r="D478" s="55"/>
      <c r="E478" s="55">
        <v>2</v>
      </c>
      <c r="F478" s="18" t="str">
        <f t="shared" si="7"/>
        <v>средний</v>
      </c>
    </row>
    <row r="479" spans="2:6" x14ac:dyDescent="0.25">
      <c r="B479" s="98" t="s">
        <v>2658</v>
      </c>
      <c r="C479" s="55">
        <v>1</v>
      </c>
      <c r="D479" s="55">
        <v>1</v>
      </c>
      <c r="E479" s="55"/>
      <c r="F479" s="18" t="str">
        <f t="shared" si="7"/>
        <v>высокий</v>
      </c>
    </row>
    <row r="480" spans="2:6" x14ac:dyDescent="0.25">
      <c r="B480" s="98" t="s">
        <v>2659</v>
      </c>
      <c r="C480" s="55"/>
      <c r="D480" s="55">
        <v>1</v>
      </c>
      <c r="E480" s="55">
        <v>1</v>
      </c>
      <c r="F480" s="18" t="str">
        <f t="shared" si="7"/>
        <v>высокий</v>
      </c>
    </row>
    <row r="481" spans="2:6" x14ac:dyDescent="0.25">
      <c r="B481" s="98" t="s">
        <v>2660</v>
      </c>
      <c r="C481" s="55">
        <v>1</v>
      </c>
      <c r="D481" s="55"/>
      <c r="E481" s="55"/>
      <c r="F481" s="18" t="str">
        <f t="shared" si="7"/>
        <v>средний</v>
      </c>
    </row>
    <row r="482" spans="2:6" x14ac:dyDescent="0.25">
      <c r="B482" s="98" t="s">
        <v>2661</v>
      </c>
      <c r="C482" s="55">
        <v>3</v>
      </c>
      <c r="D482" s="55"/>
      <c r="E482" s="55"/>
      <c r="F482" s="18" t="str">
        <f t="shared" si="7"/>
        <v>средний</v>
      </c>
    </row>
    <row r="483" spans="2:6" x14ac:dyDescent="0.25">
      <c r="B483" s="98" t="s">
        <v>2662</v>
      </c>
      <c r="C483" s="55"/>
      <c r="D483" s="55"/>
      <c r="E483" s="55">
        <v>3</v>
      </c>
      <c r="F483" s="18" t="str">
        <f t="shared" si="7"/>
        <v>низкий</v>
      </c>
    </row>
    <row r="484" spans="2:6" x14ac:dyDescent="0.25">
      <c r="B484" s="98" t="s">
        <v>2663</v>
      </c>
      <c r="C484" s="55"/>
      <c r="D484" s="55">
        <v>1</v>
      </c>
      <c r="E484" s="55"/>
      <c r="F484" s="18" t="str">
        <f t="shared" si="7"/>
        <v>высокий</v>
      </c>
    </row>
    <row r="485" spans="2:6" x14ac:dyDescent="0.25">
      <c r="B485" s="98" t="s">
        <v>2664</v>
      </c>
      <c r="C485" s="55">
        <v>1</v>
      </c>
      <c r="D485" s="55">
        <v>2</v>
      </c>
      <c r="E485" s="55">
        <v>2</v>
      </c>
      <c r="F485" s="18" t="str">
        <f t="shared" si="7"/>
        <v>высокий</v>
      </c>
    </row>
    <row r="486" spans="2:6" x14ac:dyDescent="0.25">
      <c r="B486" s="98" t="s">
        <v>2665</v>
      </c>
      <c r="C486" s="55"/>
      <c r="D486" s="55"/>
      <c r="E486" s="55">
        <v>1</v>
      </c>
      <c r="F486" s="18" t="str">
        <f t="shared" si="7"/>
        <v>низкий</v>
      </c>
    </row>
    <row r="487" spans="2:6" x14ac:dyDescent="0.25">
      <c r="B487" s="98" t="s">
        <v>2666</v>
      </c>
      <c r="C487" s="55"/>
      <c r="D487" s="55"/>
      <c r="E487" s="55">
        <v>1</v>
      </c>
      <c r="F487" s="18" t="str">
        <f t="shared" si="7"/>
        <v>низкий</v>
      </c>
    </row>
    <row r="488" spans="2:6" x14ac:dyDescent="0.25">
      <c r="B488" s="98" t="s">
        <v>2667</v>
      </c>
      <c r="C488" s="55"/>
      <c r="D488" s="55"/>
      <c r="E488" s="55">
        <v>2</v>
      </c>
      <c r="F488" s="18" t="str">
        <f t="shared" si="7"/>
        <v>низкий</v>
      </c>
    </row>
    <row r="489" spans="2:6" x14ac:dyDescent="0.25">
      <c r="B489" s="98" t="s">
        <v>2668</v>
      </c>
      <c r="C489" s="55"/>
      <c r="D489" s="55"/>
      <c r="E489" s="55">
        <v>1</v>
      </c>
      <c r="F489" s="18" t="str">
        <f t="shared" si="7"/>
        <v>низкий</v>
      </c>
    </row>
    <row r="490" spans="2:6" x14ac:dyDescent="0.25">
      <c r="B490" s="98" t="s">
        <v>2669</v>
      </c>
      <c r="C490" s="55"/>
      <c r="D490" s="55"/>
      <c r="E490" s="55">
        <v>1</v>
      </c>
      <c r="F490" s="18" t="str">
        <f t="shared" si="7"/>
        <v>низкий</v>
      </c>
    </row>
    <row r="491" spans="2:6" x14ac:dyDescent="0.25">
      <c r="B491" s="98" t="s">
        <v>2670</v>
      </c>
      <c r="C491" s="55">
        <v>1</v>
      </c>
      <c r="D491" s="55"/>
      <c r="E491" s="55">
        <v>1</v>
      </c>
      <c r="F491" s="18" t="str">
        <f t="shared" si="7"/>
        <v>средний</v>
      </c>
    </row>
    <row r="492" spans="2:6" x14ac:dyDescent="0.25">
      <c r="B492" s="98" t="s">
        <v>2671</v>
      </c>
      <c r="C492" s="55">
        <v>1</v>
      </c>
      <c r="D492" s="55"/>
      <c r="E492" s="55">
        <v>2</v>
      </c>
      <c r="F492" s="18" t="str">
        <f t="shared" si="7"/>
        <v>средний</v>
      </c>
    </row>
    <row r="493" spans="2:6" x14ac:dyDescent="0.25">
      <c r="B493" s="98" t="s">
        <v>2672</v>
      </c>
      <c r="C493" s="55">
        <v>1</v>
      </c>
      <c r="D493" s="55"/>
      <c r="E493" s="55"/>
      <c r="F493" s="18" t="str">
        <f t="shared" si="7"/>
        <v>средний</v>
      </c>
    </row>
    <row r="494" spans="2:6" x14ac:dyDescent="0.25">
      <c r="B494" s="98" t="s">
        <v>2673</v>
      </c>
      <c r="C494" s="55"/>
      <c r="D494" s="55"/>
      <c r="E494" s="55">
        <v>2</v>
      </c>
      <c r="F494" s="18" t="str">
        <f t="shared" si="7"/>
        <v>низкий</v>
      </c>
    </row>
    <row r="495" spans="2:6" x14ac:dyDescent="0.25">
      <c r="B495" s="98" t="s">
        <v>2674</v>
      </c>
      <c r="C495" s="55">
        <v>1</v>
      </c>
      <c r="D495" s="55"/>
      <c r="E495" s="55">
        <v>1</v>
      </c>
      <c r="F495" s="18" t="str">
        <f t="shared" si="7"/>
        <v>средний</v>
      </c>
    </row>
    <row r="496" spans="2:6" x14ac:dyDescent="0.25">
      <c r="B496" s="98" t="s">
        <v>2675</v>
      </c>
      <c r="C496" s="55">
        <v>1</v>
      </c>
      <c r="D496" s="55"/>
      <c r="E496" s="55"/>
      <c r="F496" s="18" t="str">
        <f t="shared" si="7"/>
        <v>средний</v>
      </c>
    </row>
    <row r="497" spans="2:6" x14ac:dyDescent="0.25">
      <c r="B497" s="98" t="s">
        <v>2676</v>
      </c>
      <c r="C497" s="55">
        <v>1</v>
      </c>
      <c r="D497" s="55"/>
      <c r="E497" s="55"/>
      <c r="F497" s="18" t="str">
        <f t="shared" si="7"/>
        <v>средний</v>
      </c>
    </row>
    <row r="498" spans="2:6" x14ac:dyDescent="0.25">
      <c r="B498" s="98" t="s">
        <v>2678</v>
      </c>
      <c r="C498" s="55">
        <v>2</v>
      </c>
      <c r="D498" s="55"/>
      <c r="E498" s="55"/>
      <c r="F498" s="18" t="str">
        <f t="shared" si="7"/>
        <v>средний</v>
      </c>
    </row>
    <row r="499" spans="2:6" x14ac:dyDescent="0.25">
      <c r="B499" s="98" t="s">
        <v>2680</v>
      </c>
      <c r="C499" s="55"/>
      <c r="D499" s="55"/>
      <c r="E499" s="55">
        <v>1</v>
      </c>
      <c r="F499" s="18" t="str">
        <f t="shared" si="7"/>
        <v>низкий</v>
      </c>
    </row>
    <row r="500" spans="2:6" x14ac:dyDescent="0.25">
      <c r="B500" s="98" t="s">
        <v>2681</v>
      </c>
      <c r="C500" s="55"/>
      <c r="D500" s="55"/>
      <c r="E500" s="55">
        <v>2</v>
      </c>
      <c r="F500" s="18" t="str">
        <f t="shared" si="7"/>
        <v>низкий</v>
      </c>
    </row>
    <row r="501" spans="2:6" x14ac:dyDescent="0.25">
      <c r="B501" s="98" t="s">
        <v>2682</v>
      </c>
      <c r="C501" s="55"/>
      <c r="D501" s="55"/>
      <c r="E501" s="55">
        <v>2</v>
      </c>
      <c r="F501" s="18" t="str">
        <f t="shared" si="7"/>
        <v>низкий</v>
      </c>
    </row>
    <row r="502" spans="2:6" x14ac:dyDescent="0.25">
      <c r="B502" s="98" t="s">
        <v>2683</v>
      </c>
      <c r="C502" s="55"/>
      <c r="D502" s="55"/>
      <c r="E502" s="55">
        <v>1</v>
      </c>
      <c r="F502" s="18" t="str">
        <f t="shared" si="7"/>
        <v>низкий</v>
      </c>
    </row>
    <row r="503" spans="2:6" x14ac:dyDescent="0.25">
      <c r="B503" s="98" t="s">
        <v>2684</v>
      </c>
      <c r="C503" s="55"/>
      <c r="D503" s="55"/>
      <c r="E503" s="55">
        <v>1</v>
      </c>
      <c r="F503" s="18" t="str">
        <f t="shared" si="7"/>
        <v>низкий</v>
      </c>
    </row>
    <row r="504" spans="2:6" x14ac:dyDescent="0.25">
      <c r="B504" s="98" t="s">
        <v>2685</v>
      </c>
      <c r="C504" s="55"/>
      <c r="D504" s="55"/>
      <c r="E504" s="55">
        <v>1</v>
      </c>
      <c r="F504" s="18" t="str">
        <f t="shared" si="7"/>
        <v>низкий</v>
      </c>
    </row>
    <row r="505" spans="2:6" x14ac:dyDescent="0.25">
      <c r="B505" s="98" t="s">
        <v>2686</v>
      </c>
      <c r="C505" s="55">
        <v>1</v>
      </c>
      <c r="D505" s="55"/>
      <c r="E505" s="55"/>
      <c r="F505" s="18" t="str">
        <f t="shared" si="7"/>
        <v>средний</v>
      </c>
    </row>
    <row r="506" spans="2:6" x14ac:dyDescent="0.25">
      <c r="B506" s="98" t="s">
        <v>2687</v>
      </c>
      <c r="C506" s="55"/>
      <c r="D506" s="55"/>
      <c r="E506" s="55">
        <v>1</v>
      </c>
      <c r="F506" s="18" t="str">
        <f t="shared" si="7"/>
        <v>низкий</v>
      </c>
    </row>
    <row r="507" spans="2:6" x14ac:dyDescent="0.25">
      <c r="B507" s="98" t="s">
        <v>2688</v>
      </c>
      <c r="C507" s="55"/>
      <c r="D507" s="55"/>
      <c r="E507" s="55">
        <v>1</v>
      </c>
      <c r="F507" s="18" t="str">
        <f t="shared" si="7"/>
        <v>низкий</v>
      </c>
    </row>
    <row r="508" spans="2:6" x14ac:dyDescent="0.25">
      <c r="B508" s="98" t="s">
        <v>2689</v>
      </c>
      <c r="C508" s="55"/>
      <c r="D508" s="55">
        <v>1</v>
      </c>
      <c r="E508" s="55"/>
      <c r="F508" s="18" t="str">
        <f t="shared" si="7"/>
        <v>высокий</v>
      </c>
    </row>
    <row r="509" spans="2:6" x14ac:dyDescent="0.25">
      <c r="B509" s="98" t="s">
        <v>2690</v>
      </c>
      <c r="C509" s="55">
        <v>1</v>
      </c>
      <c r="D509" s="55"/>
      <c r="E509" s="55"/>
      <c r="F509" s="18" t="str">
        <f t="shared" si="7"/>
        <v>средний</v>
      </c>
    </row>
    <row r="510" spans="2:6" x14ac:dyDescent="0.25">
      <c r="B510" s="98" t="s">
        <v>2691</v>
      </c>
      <c r="C510" s="55">
        <v>1</v>
      </c>
      <c r="D510" s="55"/>
      <c r="E510" s="55"/>
      <c r="F510" s="18" t="str">
        <f t="shared" si="7"/>
        <v>средний</v>
      </c>
    </row>
    <row r="511" spans="2:6" x14ac:dyDescent="0.25">
      <c r="B511" s="98" t="s">
        <v>2692</v>
      </c>
      <c r="C511" s="55">
        <v>1</v>
      </c>
      <c r="D511" s="55"/>
      <c r="E511" s="55"/>
      <c r="F511" s="18" t="str">
        <f t="shared" si="7"/>
        <v>средний</v>
      </c>
    </row>
    <row r="512" spans="2:6" x14ac:dyDescent="0.25">
      <c r="B512" s="98" t="s">
        <v>2693</v>
      </c>
      <c r="C512" s="55"/>
      <c r="D512" s="55">
        <v>1</v>
      </c>
      <c r="E512" s="55"/>
      <c r="F512" s="18" t="str">
        <f t="shared" si="7"/>
        <v>высокий</v>
      </c>
    </row>
    <row r="513" spans="2:6" x14ac:dyDescent="0.25">
      <c r="B513" s="98" t="s">
        <v>2694</v>
      </c>
      <c r="C513" s="55">
        <v>1</v>
      </c>
      <c r="D513" s="55"/>
      <c r="E513" s="55"/>
      <c r="F513" s="18" t="str">
        <f t="shared" si="7"/>
        <v>средний</v>
      </c>
    </row>
    <row r="514" spans="2:6" x14ac:dyDescent="0.25">
      <c r="B514" s="98" t="s">
        <v>2695</v>
      </c>
      <c r="C514" s="55">
        <v>1</v>
      </c>
      <c r="D514" s="55"/>
      <c r="E514" s="55"/>
      <c r="F514" s="18" t="str">
        <f t="shared" si="7"/>
        <v>средний</v>
      </c>
    </row>
    <row r="515" spans="2:6" x14ac:dyDescent="0.25">
      <c r="B515" s="98" t="s">
        <v>2696</v>
      </c>
      <c r="C515" s="55"/>
      <c r="D515" s="55">
        <v>1</v>
      </c>
      <c r="E515" s="55">
        <v>1</v>
      </c>
      <c r="F515" s="18" t="str">
        <f t="shared" si="7"/>
        <v>высокий</v>
      </c>
    </row>
    <row r="516" spans="2:6" x14ac:dyDescent="0.25">
      <c r="B516" s="98" t="s">
        <v>2697</v>
      </c>
      <c r="C516" s="55"/>
      <c r="D516" s="55">
        <v>1</v>
      </c>
      <c r="E516" s="55">
        <v>1</v>
      </c>
      <c r="F516" s="18" t="str">
        <f t="shared" si="7"/>
        <v>высокий</v>
      </c>
    </row>
    <row r="517" spans="2:6" x14ac:dyDescent="0.25">
      <c r="B517" s="98" t="s">
        <v>2698</v>
      </c>
      <c r="C517" s="55"/>
      <c r="D517" s="55">
        <v>1</v>
      </c>
      <c r="E517" s="55">
        <v>1</v>
      </c>
      <c r="F517" s="18" t="str">
        <f t="shared" si="7"/>
        <v>высокий</v>
      </c>
    </row>
    <row r="518" spans="2:6" x14ac:dyDescent="0.25">
      <c r="B518" s="98" t="s">
        <v>2699</v>
      </c>
      <c r="C518" s="55"/>
      <c r="D518" s="55">
        <v>1</v>
      </c>
      <c r="E518" s="55">
        <v>1</v>
      </c>
      <c r="F518" s="18" t="str">
        <f t="shared" si="7"/>
        <v>высокий</v>
      </c>
    </row>
    <row r="519" spans="2:6" x14ac:dyDescent="0.25">
      <c r="B519" s="98" t="s">
        <v>2700</v>
      </c>
      <c r="C519" s="55"/>
      <c r="D519" s="55">
        <v>1</v>
      </c>
      <c r="E519" s="55"/>
      <c r="F519" s="18" t="str">
        <f t="shared" si="7"/>
        <v>высокий</v>
      </c>
    </row>
    <row r="520" spans="2:6" x14ac:dyDescent="0.25">
      <c r="B520" s="98" t="s">
        <v>2701</v>
      </c>
      <c r="C520" s="55"/>
      <c r="D520" s="55"/>
      <c r="E520" s="55">
        <v>2</v>
      </c>
      <c r="F520" s="18" t="str">
        <f t="shared" ref="F520:F583" si="8">IF(D520&gt;0,"высокий",IF(C520&gt;0,"средний","низкий"))</f>
        <v>низкий</v>
      </c>
    </row>
    <row r="521" spans="2:6" x14ac:dyDescent="0.25">
      <c r="B521" s="98" t="s">
        <v>2702</v>
      </c>
      <c r="C521" s="55"/>
      <c r="D521" s="55"/>
      <c r="E521" s="55">
        <v>2</v>
      </c>
      <c r="F521" s="18" t="str">
        <f t="shared" si="8"/>
        <v>низкий</v>
      </c>
    </row>
    <row r="522" spans="2:6" x14ac:dyDescent="0.25">
      <c r="B522" s="98" t="s">
        <v>2703</v>
      </c>
      <c r="C522" s="55"/>
      <c r="D522" s="55">
        <v>1</v>
      </c>
      <c r="E522" s="55">
        <v>1</v>
      </c>
      <c r="F522" s="18" t="str">
        <f t="shared" si="8"/>
        <v>высокий</v>
      </c>
    </row>
    <row r="523" spans="2:6" x14ac:dyDescent="0.25">
      <c r="B523" s="98" t="s">
        <v>2704</v>
      </c>
      <c r="C523" s="55"/>
      <c r="D523" s="55">
        <v>1</v>
      </c>
      <c r="E523" s="55">
        <v>1</v>
      </c>
      <c r="F523" s="18" t="str">
        <f t="shared" si="8"/>
        <v>высокий</v>
      </c>
    </row>
    <row r="524" spans="2:6" x14ac:dyDescent="0.25">
      <c r="B524" s="98" t="s">
        <v>2705</v>
      </c>
      <c r="C524" s="55"/>
      <c r="D524" s="55">
        <v>1</v>
      </c>
      <c r="E524" s="55">
        <v>1</v>
      </c>
      <c r="F524" s="18" t="str">
        <f t="shared" si="8"/>
        <v>высокий</v>
      </c>
    </row>
    <row r="525" spans="2:6" x14ac:dyDescent="0.25">
      <c r="B525" s="98" t="s">
        <v>2706</v>
      </c>
      <c r="C525" s="55"/>
      <c r="D525" s="55">
        <v>1</v>
      </c>
      <c r="E525" s="55">
        <v>1</v>
      </c>
      <c r="F525" s="18" t="str">
        <f t="shared" si="8"/>
        <v>высокий</v>
      </c>
    </row>
    <row r="526" spans="2:6" x14ac:dyDescent="0.25">
      <c r="B526" s="98" t="s">
        <v>2707</v>
      </c>
      <c r="C526" s="55"/>
      <c r="D526" s="55"/>
      <c r="E526" s="55">
        <v>2</v>
      </c>
      <c r="F526" s="18" t="str">
        <f t="shared" si="8"/>
        <v>низкий</v>
      </c>
    </row>
    <row r="527" spans="2:6" x14ac:dyDescent="0.25">
      <c r="B527" s="98" t="s">
        <v>2708</v>
      </c>
      <c r="C527" s="55">
        <v>1</v>
      </c>
      <c r="D527" s="55">
        <v>1</v>
      </c>
      <c r="E527" s="55"/>
      <c r="F527" s="18" t="str">
        <f t="shared" si="8"/>
        <v>высокий</v>
      </c>
    </row>
    <row r="528" spans="2:6" x14ac:dyDescent="0.25">
      <c r="B528" s="98" t="s">
        <v>2709</v>
      </c>
      <c r="C528" s="55"/>
      <c r="D528" s="55"/>
      <c r="E528" s="55">
        <v>1</v>
      </c>
      <c r="F528" s="18" t="str">
        <f t="shared" si="8"/>
        <v>низкий</v>
      </c>
    </row>
    <row r="529" spans="2:6" x14ac:dyDescent="0.25">
      <c r="B529" s="98" t="s">
        <v>2710</v>
      </c>
      <c r="C529" s="55"/>
      <c r="D529" s="55">
        <v>2</v>
      </c>
      <c r="E529" s="55"/>
      <c r="F529" s="18" t="str">
        <f t="shared" si="8"/>
        <v>высокий</v>
      </c>
    </row>
    <row r="530" spans="2:6" x14ac:dyDescent="0.25">
      <c r="B530" s="98" t="s">
        <v>2711</v>
      </c>
      <c r="C530" s="55">
        <v>1</v>
      </c>
      <c r="D530" s="55"/>
      <c r="E530" s="55"/>
      <c r="F530" s="18" t="str">
        <f t="shared" si="8"/>
        <v>средний</v>
      </c>
    </row>
    <row r="531" spans="2:6" x14ac:dyDescent="0.25">
      <c r="B531" s="98" t="s">
        <v>2712</v>
      </c>
      <c r="C531" s="55">
        <v>1</v>
      </c>
      <c r="D531" s="55"/>
      <c r="E531" s="55">
        <v>2</v>
      </c>
      <c r="F531" s="18" t="str">
        <f t="shared" si="8"/>
        <v>средний</v>
      </c>
    </row>
    <row r="532" spans="2:6" x14ac:dyDescent="0.25">
      <c r="B532" s="98" t="s">
        <v>2713</v>
      </c>
      <c r="C532" s="55">
        <v>1</v>
      </c>
      <c r="D532" s="55"/>
      <c r="E532" s="55">
        <v>2</v>
      </c>
      <c r="F532" s="18" t="str">
        <f t="shared" si="8"/>
        <v>средний</v>
      </c>
    </row>
    <row r="533" spans="2:6" x14ac:dyDescent="0.25">
      <c r="B533" s="98" t="s">
        <v>2714</v>
      </c>
      <c r="C533" s="55">
        <v>1</v>
      </c>
      <c r="D533" s="55"/>
      <c r="E533" s="55">
        <v>3</v>
      </c>
      <c r="F533" s="18" t="str">
        <f t="shared" si="8"/>
        <v>средний</v>
      </c>
    </row>
    <row r="534" spans="2:6" x14ac:dyDescent="0.25">
      <c r="B534" s="98" t="s">
        <v>2715</v>
      </c>
      <c r="C534" s="55">
        <v>2</v>
      </c>
      <c r="D534" s="55"/>
      <c r="E534" s="55">
        <v>1</v>
      </c>
      <c r="F534" s="18" t="str">
        <f t="shared" si="8"/>
        <v>средний</v>
      </c>
    </row>
    <row r="535" spans="2:6" x14ac:dyDescent="0.25">
      <c r="B535" s="98" t="s">
        <v>2716</v>
      </c>
      <c r="C535" s="55">
        <v>1</v>
      </c>
      <c r="D535" s="55"/>
      <c r="E535" s="55">
        <v>1</v>
      </c>
      <c r="F535" s="18" t="str">
        <f t="shared" si="8"/>
        <v>средний</v>
      </c>
    </row>
    <row r="536" spans="2:6" x14ac:dyDescent="0.25">
      <c r="B536" s="98" t="s">
        <v>2717</v>
      </c>
      <c r="C536" s="55">
        <v>1</v>
      </c>
      <c r="D536" s="55">
        <v>1</v>
      </c>
      <c r="E536" s="55"/>
      <c r="F536" s="18" t="str">
        <f t="shared" si="8"/>
        <v>высокий</v>
      </c>
    </row>
    <row r="537" spans="2:6" x14ac:dyDescent="0.25">
      <c r="B537" s="98" t="s">
        <v>2718</v>
      </c>
      <c r="C537" s="55">
        <v>1</v>
      </c>
      <c r="D537" s="55">
        <v>1</v>
      </c>
      <c r="E537" s="55"/>
      <c r="F537" s="18" t="str">
        <f t="shared" si="8"/>
        <v>высокий</v>
      </c>
    </row>
    <row r="538" spans="2:6" x14ac:dyDescent="0.25">
      <c r="B538" s="98" t="s">
        <v>2719</v>
      </c>
      <c r="C538" s="55">
        <v>1</v>
      </c>
      <c r="D538" s="55">
        <v>1</v>
      </c>
      <c r="E538" s="55"/>
      <c r="F538" s="18" t="str">
        <f t="shared" si="8"/>
        <v>высокий</v>
      </c>
    </row>
    <row r="539" spans="2:6" x14ac:dyDescent="0.25">
      <c r="B539" s="98" t="s">
        <v>2720</v>
      </c>
      <c r="C539" s="55">
        <v>1</v>
      </c>
      <c r="D539" s="55">
        <v>1</v>
      </c>
      <c r="E539" s="55"/>
      <c r="F539" s="18" t="str">
        <f t="shared" si="8"/>
        <v>высокий</v>
      </c>
    </row>
    <row r="540" spans="2:6" x14ac:dyDescent="0.25">
      <c r="B540" s="98" t="s">
        <v>2721</v>
      </c>
      <c r="C540" s="55">
        <v>1</v>
      </c>
      <c r="D540" s="55"/>
      <c r="E540" s="55"/>
      <c r="F540" s="18" t="str">
        <f t="shared" si="8"/>
        <v>средний</v>
      </c>
    </row>
    <row r="541" spans="2:6" x14ac:dyDescent="0.25">
      <c r="B541" s="98" t="s">
        <v>2726</v>
      </c>
      <c r="C541" s="55"/>
      <c r="D541" s="55"/>
      <c r="E541" s="55">
        <v>2</v>
      </c>
      <c r="F541" s="18" t="str">
        <f t="shared" si="8"/>
        <v>низкий</v>
      </c>
    </row>
    <row r="542" spans="2:6" x14ac:dyDescent="0.25">
      <c r="B542" s="98" t="s">
        <v>2727</v>
      </c>
      <c r="C542" s="55">
        <v>1</v>
      </c>
      <c r="D542" s="55"/>
      <c r="E542" s="55">
        <v>1</v>
      </c>
      <c r="F542" s="18" t="str">
        <f t="shared" si="8"/>
        <v>средний</v>
      </c>
    </row>
    <row r="543" spans="2:6" x14ac:dyDescent="0.25">
      <c r="B543" s="98" t="s">
        <v>2728</v>
      </c>
      <c r="C543" s="55">
        <v>1</v>
      </c>
      <c r="D543" s="55"/>
      <c r="E543" s="55">
        <v>1</v>
      </c>
      <c r="F543" s="18" t="str">
        <f t="shared" si="8"/>
        <v>средний</v>
      </c>
    </row>
    <row r="544" spans="2:6" x14ac:dyDescent="0.25">
      <c r="B544" s="98" t="s">
        <v>2731</v>
      </c>
      <c r="C544" s="55">
        <v>1</v>
      </c>
      <c r="D544" s="55"/>
      <c r="E544" s="55"/>
      <c r="F544" s="18" t="str">
        <f t="shared" si="8"/>
        <v>средний</v>
      </c>
    </row>
    <row r="545" spans="2:6" x14ac:dyDescent="0.25">
      <c r="B545" s="98" t="s">
        <v>2733</v>
      </c>
      <c r="C545" s="55"/>
      <c r="D545" s="55"/>
      <c r="E545" s="55">
        <v>1</v>
      </c>
      <c r="F545" s="18" t="str">
        <f t="shared" si="8"/>
        <v>низкий</v>
      </c>
    </row>
    <row r="546" spans="2:6" x14ac:dyDescent="0.25">
      <c r="B546" s="98" t="s">
        <v>2734</v>
      </c>
      <c r="C546" s="55">
        <v>1</v>
      </c>
      <c r="D546" s="55"/>
      <c r="E546" s="55">
        <v>1</v>
      </c>
      <c r="F546" s="18" t="str">
        <f t="shared" si="8"/>
        <v>средний</v>
      </c>
    </row>
    <row r="547" spans="2:6" x14ac:dyDescent="0.25">
      <c r="B547" s="98" t="s">
        <v>2735</v>
      </c>
      <c r="C547" s="55"/>
      <c r="D547" s="55"/>
      <c r="E547" s="55">
        <v>3</v>
      </c>
      <c r="F547" s="18" t="str">
        <f t="shared" si="8"/>
        <v>низкий</v>
      </c>
    </row>
    <row r="548" spans="2:6" x14ac:dyDescent="0.25">
      <c r="B548" s="98" t="s">
        <v>2736</v>
      </c>
      <c r="C548" s="55"/>
      <c r="D548" s="55"/>
      <c r="E548" s="55">
        <v>3</v>
      </c>
      <c r="F548" s="18" t="str">
        <f t="shared" si="8"/>
        <v>низкий</v>
      </c>
    </row>
    <row r="549" spans="2:6" x14ac:dyDescent="0.25">
      <c r="B549" s="98" t="s">
        <v>2737</v>
      </c>
      <c r="C549" s="55"/>
      <c r="D549" s="55"/>
      <c r="E549" s="55">
        <v>1</v>
      </c>
      <c r="F549" s="18" t="str">
        <f t="shared" si="8"/>
        <v>низкий</v>
      </c>
    </row>
    <row r="550" spans="2:6" x14ac:dyDescent="0.25">
      <c r="B550" s="98" t="s">
        <v>2738</v>
      </c>
      <c r="C550" s="55"/>
      <c r="D550" s="55">
        <v>1</v>
      </c>
      <c r="E550" s="55">
        <v>1</v>
      </c>
      <c r="F550" s="18" t="str">
        <f t="shared" si="8"/>
        <v>высокий</v>
      </c>
    </row>
    <row r="551" spans="2:6" x14ac:dyDescent="0.25">
      <c r="B551" s="98" t="s">
        <v>2739</v>
      </c>
      <c r="C551" s="55">
        <v>1</v>
      </c>
      <c r="D551" s="55"/>
      <c r="E551" s="55"/>
      <c r="F551" s="18" t="str">
        <f t="shared" si="8"/>
        <v>средний</v>
      </c>
    </row>
    <row r="552" spans="2:6" x14ac:dyDescent="0.25">
      <c r="B552" s="98" t="s">
        <v>2740</v>
      </c>
      <c r="C552" s="55"/>
      <c r="D552" s="55"/>
      <c r="E552" s="55">
        <v>2</v>
      </c>
      <c r="F552" s="18" t="str">
        <f t="shared" si="8"/>
        <v>низкий</v>
      </c>
    </row>
    <row r="553" spans="2:6" x14ac:dyDescent="0.25">
      <c r="B553" s="98" t="s">
        <v>2741</v>
      </c>
      <c r="C553" s="55"/>
      <c r="D553" s="55"/>
      <c r="E553" s="55">
        <v>2</v>
      </c>
      <c r="F553" s="18" t="str">
        <f t="shared" si="8"/>
        <v>низкий</v>
      </c>
    </row>
    <row r="554" spans="2:6" x14ac:dyDescent="0.25">
      <c r="B554" s="98" t="s">
        <v>2742</v>
      </c>
      <c r="C554" s="55"/>
      <c r="D554" s="55"/>
      <c r="E554" s="55">
        <v>1</v>
      </c>
      <c r="F554" s="18" t="str">
        <f t="shared" si="8"/>
        <v>низкий</v>
      </c>
    </row>
    <row r="555" spans="2:6" x14ac:dyDescent="0.25">
      <c r="B555" s="98" t="s">
        <v>2743</v>
      </c>
      <c r="C555" s="55">
        <v>1</v>
      </c>
      <c r="D555" s="55"/>
      <c r="E555" s="55"/>
      <c r="F555" s="18" t="str">
        <f t="shared" si="8"/>
        <v>средний</v>
      </c>
    </row>
    <row r="556" spans="2:6" x14ac:dyDescent="0.25">
      <c r="B556" s="98" t="s">
        <v>2744</v>
      </c>
      <c r="C556" s="55"/>
      <c r="D556" s="55"/>
      <c r="E556" s="55">
        <v>3</v>
      </c>
      <c r="F556" s="18" t="str">
        <f t="shared" si="8"/>
        <v>низкий</v>
      </c>
    </row>
    <row r="557" spans="2:6" x14ac:dyDescent="0.25">
      <c r="B557" s="98" t="s">
        <v>2745</v>
      </c>
      <c r="C557" s="55">
        <v>1</v>
      </c>
      <c r="D557" s="55"/>
      <c r="E557" s="55"/>
      <c r="F557" s="18" t="str">
        <f t="shared" si="8"/>
        <v>средний</v>
      </c>
    </row>
    <row r="558" spans="2:6" x14ac:dyDescent="0.25">
      <c r="B558" s="98" t="s">
        <v>2746</v>
      </c>
      <c r="C558" s="55">
        <v>1</v>
      </c>
      <c r="D558" s="55"/>
      <c r="E558" s="55"/>
      <c r="F558" s="18" t="str">
        <f t="shared" si="8"/>
        <v>средний</v>
      </c>
    </row>
    <row r="559" spans="2:6" x14ac:dyDescent="0.25">
      <c r="B559" s="98" t="s">
        <v>2747</v>
      </c>
      <c r="C559" s="55"/>
      <c r="D559" s="55">
        <v>1</v>
      </c>
      <c r="E559" s="55"/>
      <c r="F559" s="18" t="str">
        <f t="shared" si="8"/>
        <v>высокий</v>
      </c>
    </row>
    <row r="560" spans="2:6" x14ac:dyDescent="0.25">
      <c r="B560" s="98" t="s">
        <v>2748</v>
      </c>
      <c r="C560" s="55">
        <v>1</v>
      </c>
      <c r="D560" s="55"/>
      <c r="E560" s="55"/>
      <c r="F560" s="18" t="str">
        <f t="shared" si="8"/>
        <v>средний</v>
      </c>
    </row>
    <row r="561" spans="2:6" x14ac:dyDescent="0.25">
      <c r="B561" s="98" t="s">
        <v>2749</v>
      </c>
      <c r="C561" s="55">
        <v>1</v>
      </c>
      <c r="D561" s="55"/>
      <c r="E561" s="55"/>
      <c r="F561" s="18" t="str">
        <f t="shared" si="8"/>
        <v>средний</v>
      </c>
    </row>
    <row r="562" spans="2:6" x14ac:dyDescent="0.25">
      <c r="B562" s="98" t="s">
        <v>2750</v>
      </c>
      <c r="C562" s="55">
        <v>1</v>
      </c>
      <c r="D562" s="55"/>
      <c r="E562" s="55">
        <v>1</v>
      </c>
      <c r="F562" s="18" t="str">
        <f t="shared" si="8"/>
        <v>средний</v>
      </c>
    </row>
    <row r="563" spans="2:6" x14ac:dyDescent="0.25">
      <c r="B563" s="98" t="s">
        <v>2751</v>
      </c>
      <c r="C563" s="55"/>
      <c r="D563" s="55"/>
      <c r="E563" s="55">
        <v>2</v>
      </c>
      <c r="F563" s="18" t="str">
        <f t="shared" si="8"/>
        <v>низкий</v>
      </c>
    </row>
    <row r="564" spans="2:6" x14ac:dyDescent="0.25">
      <c r="B564" s="98" t="s">
        <v>2752</v>
      </c>
      <c r="C564" s="55"/>
      <c r="D564" s="55">
        <v>1</v>
      </c>
      <c r="E564" s="55">
        <v>1</v>
      </c>
      <c r="F564" s="18" t="str">
        <f t="shared" si="8"/>
        <v>высокий</v>
      </c>
    </row>
    <row r="565" spans="2:6" x14ac:dyDescent="0.25">
      <c r="B565" s="98" t="s">
        <v>2753</v>
      </c>
      <c r="C565" s="55">
        <v>2</v>
      </c>
      <c r="D565" s="55"/>
      <c r="E565" s="55"/>
      <c r="F565" s="18" t="str">
        <f t="shared" si="8"/>
        <v>средний</v>
      </c>
    </row>
    <row r="566" spans="2:6" x14ac:dyDescent="0.25">
      <c r="B566" s="98" t="s">
        <v>2754</v>
      </c>
      <c r="C566" s="55">
        <v>2</v>
      </c>
      <c r="D566" s="55"/>
      <c r="E566" s="55"/>
      <c r="F566" s="18" t="str">
        <f t="shared" si="8"/>
        <v>средний</v>
      </c>
    </row>
    <row r="567" spans="2:6" x14ac:dyDescent="0.25">
      <c r="B567" s="98" t="s">
        <v>2755</v>
      </c>
      <c r="C567" s="55">
        <v>2</v>
      </c>
      <c r="D567" s="55"/>
      <c r="E567" s="55"/>
      <c r="F567" s="18" t="str">
        <f t="shared" si="8"/>
        <v>средний</v>
      </c>
    </row>
    <row r="568" spans="2:6" x14ac:dyDescent="0.25">
      <c r="B568" s="98" t="s">
        <v>2756</v>
      </c>
      <c r="C568" s="55">
        <v>2</v>
      </c>
      <c r="D568" s="55"/>
      <c r="E568" s="55"/>
      <c r="F568" s="18" t="str">
        <f t="shared" si="8"/>
        <v>средний</v>
      </c>
    </row>
    <row r="569" spans="2:6" x14ac:dyDescent="0.25">
      <c r="B569" s="98" t="s">
        <v>2757</v>
      </c>
      <c r="C569" s="55">
        <v>2</v>
      </c>
      <c r="D569" s="55"/>
      <c r="E569" s="55"/>
      <c r="F569" s="18" t="str">
        <f t="shared" si="8"/>
        <v>средний</v>
      </c>
    </row>
    <row r="570" spans="2:6" x14ac:dyDescent="0.25">
      <c r="B570" s="98" t="s">
        <v>2758</v>
      </c>
      <c r="C570" s="55">
        <v>2</v>
      </c>
      <c r="D570" s="55"/>
      <c r="E570" s="55"/>
      <c r="F570" s="18" t="str">
        <f t="shared" si="8"/>
        <v>средний</v>
      </c>
    </row>
    <row r="571" spans="2:6" x14ac:dyDescent="0.25">
      <c r="B571" s="98" t="s">
        <v>2759</v>
      </c>
      <c r="C571" s="55"/>
      <c r="D571" s="55"/>
      <c r="E571" s="55">
        <v>1</v>
      </c>
      <c r="F571" s="18" t="str">
        <f t="shared" si="8"/>
        <v>низкий</v>
      </c>
    </row>
    <row r="572" spans="2:6" x14ac:dyDescent="0.25">
      <c r="B572" s="98" t="s">
        <v>2760</v>
      </c>
      <c r="C572" s="55">
        <v>1</v>
      </c>
      <c r="D572" s="55"/>
      <c r="E572" s="55">
        <v>2</v>
      </c>
      <c r="F572" s="18" t="str">
        <f t="shared" si="8"/>
        <v>средний</v>
      </c>
    </row>
    <row r="573" spans="2:6" x14ac:dyDescent="0.25">
      <c r="B573" s="98" t="s">
        <v>2761</v>
      </c>
      <c r="C573" s="55">
        <v>1</v>
      </c>
      <c r="D573" s="55"/>
      <c r="E573" s="55"/>
      <c r="F573" s="18" t="str">
        <f t="shared" si="8"/>
        <v>средний</v>
      </c>
    </row>
    <row r="574" spans="2:6" x14ac:dyDescent="0.25">
      <c r="B574" s="98" t="s">
        <v>2762</v>
      </c>
      <c r="C574" s="55"/>
      <c r="D574" s="55"/>
      <c r="E574" s="55">
        <v>2</v>
      </c>
      <c r="F574" s="18" t="str">
        <f t="shared" si="8"/>
        <v>низкий</v>
      </c>
    </row>
    <row r="575" spans="2:6" x14ac:dyDescent="0.25">
      <c r="B575" s="98" t="s">
        <v>2763</v>
      </c>
      <c r="C575" s="55"/>
      <c r="D575" s="55"/>
      <c r="E575" s="55">
        <v>1</v>
      </c>
      <c r="F575" s="18" t="str">
        <f t="shared" si="8"/>
        <v>низкий</v>
      </c>
    </row>
    <row r="576" spans="2:6" x14ac:dyDescent="0.25">
      <c r="B576" s="98" t="s">
        <v>2764</v>
      </c>
      <c r="C576" s="55">
        <v>1</v>
      </c>
      <c r="D576" s="55"/>
      <c r="E576" s="55">
        <v>1</v>
      </c>
      <c r="F576" s="18" t="str">
        <f t="shared" si="8"/>
        <v>средний</v>
      </c>
    </row>
    <row r="577" spans="2:6" x14ac:dyDescent="0.25">
      <c r="B577" s="98" t="s">
        <v>2765</v>
      </c>
      <c r="C577" s="55">
        <v>1</v>
      </c>
      <c r="D577" s="55"/>
      <c r="E577" s="55">
        <v>1</v>
      </c>
      <c r="F577" s="18" t="str">
        <f t="shared" si="8"/>
        <v>средний</v>
      </c>
    </row>
    <row r="578" spans="2:6" x14ac:dyDescent="0.25">
      <c r="B578" s="98" t="s">
        <v>2766</v>
      </c>
      <c r="C578" s="55"/>
      <c r="D578" s="55"/>
      <c r="E578" s="55">
        <v>3</v>
      </c>
      <c r="F578" s="18" t="str">
        <f t="shared" si="8"/>
        <v>низкий</v>
      </c>
    </row>
    <row r="579" spans="2:6" x14ac:dyDescent="0.25">
      <c r="B579" s="98" t="s">
        <v>2767</v>
      </c>
      <c r="C579" s="55"/>
      <c r="D579" s="55"/>
      <c r="E579" s="55">
        <v>3</v>
      </c>
      <c r="F579" s="18" t="str">
        <f t="shared" si="8"/>
        <v>низкий</v>
      </c>
    </row>
    <row r="580" spans="2:6" x14ac:dyDescent="0.25">
      <c r="B580" s="98" t="s">
        <v>2768</v>
      </c>
      <c r="C580" s="55"/>
      <c r="D580" s="55"/>
      <c r="E580" s="55">
        <v>1</v>
      </c>
      <c r="F580" s="18" t="str">
        <f t="shared" si="8"/>
        <v>низкий</v>
      </c>
    </row>
    <row r="581" spans="2:6" x14ac:dyDescent="0.25">
      <c r="B581" s="98" t="s">
        <v>2769</v>
      </c>
      <c r="C581" s="55"/>
      <c r="D581" s="55"/>
      <c r="E581" s="55">
        <v>1</v>
      </c>
      <c r="F581" s="18" t="str">
        <f t="shared" si="8"/>
        <v>низкий</v>
      </c>
    </row>
    <row r="582" spans="2:6" x14ac:dyDescent="0.25">
      <c r="B582" s="98" t="s">
        <v>2770</v>
      </c>
      <c r="C582" s="55"/>
      <c r="D582" s="55"/>
      <c r="E582" s="55">
        <v>2</v>
      </c>
      <c r="F582" s="18" t="str">
        <f t="shared" si="8"/>
        <v>низкий</v>
      </c>
    </row>
    <row r="583" spans="2:6" x14ac:dyDescent="0.25">
      <c r="B583" s="98" t="s">
        <v>2771</v>
      </c>
      <c r="C583" s="55"/>
      <c r="D583" s="55"/>
      <c r="E583" s="55">
        <v>2</v>
      </c>
      <c r="F583" s="18" t="str">
        <f t="shared" si="8"/>
        <v>низкий</v>
      </c>
    </row>
    <row r="584" spans="2:6" x14ac:dyDescent="0.25">
      <c r="B584" s="98" t="s">
        <v>2772</v>
      </c>
      <c r="C584" s="55"/>
      <c r="D584" s="55"/>
      <c r="E584" s="55">
        <v>2</v>
      </c>
      <c r="F584" s="18" t="str">
        <f t="shared" ref="F584:F647" si="9">IF(D584&gt;0,"высокий",IF(C584&gt;0,"средний","низкий"))</f>
        <v>низкий</v>
      </c>
    </row>
    <row r="585" spans="2:6" x14ac:dyDescent="0.25">
      <c r="B585" s="98" t="s">
        <v>2773</v>
      </c>
      <c r="C585" s="55"/>
      <c r="D585" s="55"/>
      <c r="E585" s="55">
        <v>2</v>
      </c>
      <c r="F585" s="18" t="str">
        <f t="shared" si="9"/>
        <v>низкий</v>
      </c>
    </row>
    <row r="586" spans="2:6" x14ac:dyDescent="0.25">
      <c r="B586" s="98" t="s">
        <v>2774</v>
      </c>
      <c r="C586" s="55"/>
      <c r="D586" s="55"/>
      <c r="E586" s="55">
        <v>2</v>
      </c>
      <c r="F586" s="18" t="str">
        <f t="shared" si="9"/>
        <v>низкий</v>
      </c>
    </row>
    <row r="587" spans="2:6" x14ac:dyDescent="0.25">
      <c r="B587" s="98" t="s">
        <v>2775</v>
      </c>
      <c r="C587" s="55">
        <v>1</v>
      </c>
      <c r="D587" s="55"/>
      <c r="E587" s="55">
        <v>1</v>
      </c>
      <c r="F587" s="18" t="str">
        <f t="shared" si="9"/>
        <v>средний</v>
      </c>
    </row>
    <row r="588" spans="2:6" x14ac:dyDescent="0.25">
      <c r="B588" s="98" t="s">
        <v>2776</v>
      </c>
      <c r="C588" s="55"/>
      <c r="D588" s="55">
        <v>1</v>
      </c>
      <c r="E588" s="55"/>
      <c r="F588" s="18" t="str">
        <f t="shared" si="9"/>
        <v>высокий</v>
      </c>
    </row>
    <row r="589" spans="2:6" x14ac:dyDescent="0.25">
      <c r="B589" s="98" t="s">
        <v>2777</v>
      </c>
      <c r="C589" s="55">
        <v>1</v>
      </c>
      <c r="D589" s="55"/>
      <c r="E589" s="55">
        <v>2</v>
      </c>
      <c r="F589" s="18" t="str">
        <f t="shared" si="9"/>
        <v>средний</v>
      </c>
    </row>
    <row r="590" spans="2:6" x14ac:dyDescent="0.25">
      <c r="B590" s="98" t="s">
        <v>2778</v>
      </c>
      <c r="C590" s="55"/>
      <c r="D590" s="55"/>
      <c r="E590" s="55">
        <v>1</v>
      </c>
      <c r="F590" s="18" t="str">
        <f t="shared" si="9"/>
        <v>низкий</v>
      </c>
    </row>
    <row r="591" spans="2:6" x14ac:dyDescent="0.25">
      <c r="B591" s="98" t="s">
        <v>2779</v>
      </c>
      <c r="C591" s="55"/>
      <c r="D591" s="55">
        <v>1</v>
      </c>
      <c r="E591" s="55">
        <v>1</v>
      </c>
      <c r="F591" s="18" t="str">
        <f t="shared" si="9"/>
        <v>высокий</v>
      </c>
    </row>
    <row r="592" spans="2:6" x14ac:dyDescent="0.25">
      <c r="B592" s="98" t="s">
        <v>2780</v>
      </c>
      <c r="C592" s="55">
        <v>1</v>
      </c>
      <c r="D592" s="55"/>
      <c r="E592" s="55">
        <v>1</v>
      </c>
      <c r="F592" s="18" t="str">
        <f t="shared" si="9"/>
        <v>средний</v>
      </c>
    </row>
    <row r="593" spans="2:6" x14ac:dyDescent="0.25">
      <c r="B593" s="98" t="s">
        <v>2781</v>
      </c>
      <c r="C593" s="55"/>
      <c r="D593" s="55">
        <v>1</v>
      </c>
      <c r="E593" s="55"/>
      <c r="F593" s="18" t="str">
        <f t="shared" si="9"/>
        <v>высокий</v>
      </c>
    </row>
    <row r="594" spans="2:6" x14ac:dyDescent="0.25">
      <c r="B594" s="98" t="s">
        <v>2782</v>
      </c>
      <c r="C594" s="55">
        <v>1</v>
      </c>
      <c r="D594" s="55"/>
      <c r="E594" s="55">
        <v>1</v>
      </c>
      <c r="F594" s="18" t="str">
        <f t="shared" si="9"/>
        <v>средний</v>
      </c>
    </row>
    <row r="595" spans="2:6" x14ac:dyDescent="0.25">
      <c r="B595" s="98" t="s">
        <v>2783</v>
      </c>
      <c r="C595" s="55">
        <v>1</v>
      </c>
      <c r="D595" s="55"/>
      <c r="E595" s="55"/>
      <c r="F595" s="18" t="str">
        <f t="shared" si="9"/>
        <v>средний</v>
      </c>
    </row>
    <row r="596" spans="2:6" x14ac:dyDescent="0.25">
      <c r="B596" s="98" t="s">
        <v>2784</v>
      </c>
      <c r="C596" s="55"/>
      <c r="D596" s="55">
        <v>1</v>
      </c>
      <c r="E596" s="55">
        <v>1</v>
      </c>
      <c r="F596" s="18" t="str">
        <f t="shared" si="9"/>
        <v>высокий</v>
      </c>
    </row>
    <row r="597" spans="2:6" x14ac:dyDescent="0.25">
      <c r="B597" s="98" t="s">
        <v>2785</v>
      </c>
      <c r="C597" s="55"/>
      <c r="D597" s="55"/>
      <c r="E597" s="55">
        <v>1</v>
      </c>
      <c r="F597" s="18" t="str">
        <f t="shared" si="9"/>
        <v>низкий</v>
      </c>
    </row>
    <row r="598" spans="2:6" x14ac:dyDescent="0.25">
      <c r="B598" s="98" t="s">
        <v>2786</v>
      </c>
      <c r="C598" s="55"/>
      <c r="D598" s="55"/>
      <c r="E598" s="55">
        <v>1</v>
      </c>
      <c r="F598" s="18" t="str">
        <f t="shared" si="9"/>
        <v>низкий</v>
      </c>
    </row>
    <row r="599" spans="2:6" x14ac:dyDescent="0.25">
      <c r="B599" s="98" t="s">
        <v>2787</v>
      </c>
      <c r="C599" s="55">
        <v>1</v>
      </c>
      <c r="D599" s="55"/>
      <c r="E599" s="55"/>
      <c r="F599" s="18" t="str">
        <f t="shared" si="9"/>
        <v>средний</v>
      </c>
    </row>
    <row r="600" spans="2:6" x14ac:dyDescent="0.25">
      <c r="B600" s="98" t="s">
        <v>2788</v>
      </c>
      <c r="C600" s="55"/>
      <c r="D600" s="55"/>
      <c r="E600" s="55">
        <v>1</v>
      </c>
      <c r="F600" s="18" t="str">
        <f t="shared" si="9"/>
        <v>низкий</v>
      </c>
    </row>
    <row r="601" spans="2:6" x14ac:dyDescent="0.25">
      <c r="B601" s="98" t="s">
        <v>2789</v>
      </c>
      <c r="C601" s="55">
        <v>1</v>
      </c>
      <c r="D601" s="55"/>
      <c r="E601" s="55">
        <v>1</v>
      </c>
      <c r="F601" s="18" t="str">
        <f t="shared" si="9"/>
        <v>средний</v>
      </c>
    </row>
    <row r="602" spans="2:6" x14ac:dyDescent="0.25">
      <c r="B602" s="98" t="s">
        <v>2790</v>
      </c>
      <c r="C602" s="55">
        <v>1</v>
      </c>
      <c r="D602" s="55"/>
      <c r="E602" s="55">
        <v>1</v>
      </c>
      <c r="F602" s="18" t="str">
        <f t="shared" si="9"/>
        <v>средний</v>
      </c>
    </row>
    <row r="603" spans="2:6" x14ac:dyDescent="0.25">
      <c r="B603" s="98" t="s">
        <v>2791</v>
      </c>
      <c r="C603" s="55">
        <v>1</v>
      </c>
      <c r="D603" s="55"/>
      <c r="E603" s="55">
        <v>1</v>
      </c>
      <c r="F603" s="18" t="str">
        <f t="shared" si="9"/>
        <v>средний</v>
      </c>
    </row>
    <row r="604" spans="2:6" x14ac:dyDescent="0.25">
      <c r="B604" s="98" t="s">
        <v>2792</v>
      </c>
      <c r="C604" s="55">
        <v>1</v>
      </c>
      <c r="D604" s="55"/>
      <c r="E604" s="55">
        <v>1</v>
      </c>
      <c r="F604" s="18" t="str">
        <f t="shared" si="9"/>
        <v>средний</v>
      </c>
    </row>
    <row r="605" spans="2:6" x14ac:dyDescent="0.25">
      <c r="B605" s="98" t="s">
        <v>2793</v>
      </c>
      <c r="C605" s="55"/>
      <c r="D605" s="55"/>
      <c r="E605" s="55">
        <v>1</v>
      </c>
      <c r="F605" s="18" t="str">
        <f t="shared" si="9"/>
        <v>низкий</v>
      </c>
    </row>
    <row r="606" spans="2:6" x14ac:dyDescent="0.25">
      <c r="B606" s="98" t="s">
        <v>2794</v>
      </c>
      <c r="C606" s="55"/>
      <c r="D606" s="55"/>
      <c r="E606" s="55">
        <v>3</v>
      </c>
      <c r="F606" s="18" t="str">
        <f t="shared" si="9"/>
        <v>низкий</v>
      </c>
    </row>
    <row r="607" spans="2:6" x14ac:dyDescent="0.25">
      <c r="B607" s="98" t="s">
        <v>2795</v>
      </c>
      <c r="C607" s="55"/>
      <c r="D607" s="55"/>
      <c r="E607" s="55">
        <v>3</v>
      </c>
      <c r="F607" s="18" t="str">
        <f t="shared" si="9"/>
        <v>низкий</v>
      </c>
    </row>
    <row r="608" spans="2:6" x14ac:dyDescent="0.25">
      <c r="B608" s="98" t="s">
        <v>2796</v>
      </c>
      <c r="C608" s="55"/>
      <c r="D608" s="55"/>
      <c r="E608" s="55">
        <v>3</v>
      </c>
      <c r="F608" s="18" t="str">
        <f t="shared" si="9"/>
        <v>низкий</v>
      </c>
    </row>
    <row r="609" spans="2:6" x14ac:dyDescent="0.25">
      <c r="B609" s="98" t="s">
        <v>2797</v>
      </c>
      <c r="C609" s="55"/>
      <c r="D609" s="55"/>
      <c r="E609" s="55">
        <v>3</v>
      </c>
      <c r="F609" s="18" t="str">
        <f t="shared" si="9"/>
        <v>низкий</v>
      </c>
    </row>
    <row r="610" spans="2:6" x14ac:dyDescent="0.25">
      <c r="B610" s="98" t="s">
        <v>2798</v>
      </c>
      <c r="C610" s="55">
        <v>1</v>
      </c>
      <c r="D610" s="55"/>
      <c r="E610" s="55">
        <v>2</v>
      </c>
      <c r="F610" s="18" t="str">
        <f t="shared" si="9"/>
        <v>средний</v>
      </c>
    </row>
    <row r="611" spans="2:6" x14ac:dyDescent="0.25">
      <c r="B611" s="98" t="s">
        <v>2799</v>
      </c>
      <c r="C611" s="55"/>
      <c r="D611" s="55">
        <v>1</v>
      </c>
      <c r="E611" s="55">
        <v>1</v>
      </c>
      <c r="F611" s="18" t="str">
        <f t="shared" si="9"/>
        <v>высокий</v>
      </c>
    </row>
    <row r="612" spans="2:6" x14ac:dyDescent="0.25">
      <c r="B612" s="98" t="s">
        <v>2800</v>
      </c>
      <c r="C612" s="55"/>
      <c r="D612" s="55"/>
      <c r="E612" s="55">
        <v>1</v>
      </c>
      <c r="F612" s="18" t="str">
        <f t="shared" si="9"/>
        <v>низкий</v>
      </c>
    </row>
    <row r="613" spans="2:6" x14ac:dyDescent="0.25">
      <c r="B613" s="98" t="s">
        <v>2802</v>
      </c>
      <c r="C613" s="55"/>
      <c r="D613" s="55"/>
      <c r="E613" s="55">
        <v>1</v>
      </c>
      <c r="F613" s="18" t="str">
        <f t="shared" si="9"/>
        <v>низкий</v>
      </c>
    </row>
    <row r="614" spans="2:6" x14ac:dyDescent="0.25">
      <c r="B614" s="98" t="s">
        <v>2803</v>
      </c>
      <c r="C614" s="55"/>
      <c r="D614" s="55">
        <v>1</v>
      </c>
      <c r="E614" s="55">
        <v>1</v>
      </c>
      <c r="F614" s="18" t="str">
        <f t="shared" si="9"/>
        <v>высокий</v>
      </c>
    </row>
    <row r="615" spans="2:6" x14ac:dyDescent="0.25">
      <c r="B615" s="98" t="s">
        <v>2804</v>
      </c>
      <c r="C615" s="55"/>
      <c r="D615" s="55">
        <v>1</v>
      </c>
      <c r="E615" s="55">
        <v>1</v>
      </c>
      <c r="F615" s="18" t="str">
        <f t="shared" si="9"/>
        <v>высокий</v>
      </c>
    </row>
    <row r="616" spans="2:6" x14ac:dyDescent="0.25">
      <c r="B616" s="98" t="s">
        <v>2805</v>
      </c>
      <c r="C616" s="55"/>
      <c r="D616" s="55">
        <v>1</v>
      </c>
      <c r="E616" s="55">
        <v>1</v>
      </c>
      <c r="F616" s="18" t="str">
        <f t="shared" si="9"/>
        <v>высокий</v>
      </c>
    </row>
    <row r="617" spans="2:6" x14ac:dyDescent="0.25">
      <c r="B617" s="98" t="s">
        <v>2806</v>
      </c>
      <c r="C617" s="55"/>
      <c r="D617" s="55">
        <v>1</v>
      </c>
      <c r="E617" s="55"/>
      <c r="F617" s="18" t="str">
        <f t="shared" si="9"/>
        <v>высокий</v>
      </c>
    </row>
    <row r="618" spans="2:6" x14ac:dyDescent="0.25">
      <c r="B618" s="98" t="s">
        <v>2807</v>
      </c>
      <c r="C618" s="55"/>
      <c r="D618" s="55">
        <v>3</v>
      </c>
      <c r="E618" s="55"/>
      <c r="F618" s="18" t="str">
        <f t="shared" si="9"/>
        <v>высокий</v>
      </c>
    </row>
    <row r="619" spans="2:6" x14ac:dyDescent="0.25">
      <c r="B619" s="98" t="s">
        <v>2808</v>
      </c>
      <c r="C619" s="55"/>
      <c r="D619" s="55">
        <v>1</v>
      </c>
      <c r="E619" s="55">
        <v>1</v>
      </c>
      <c r="F619" s="18" t="str">
        <f t="shared" si="9"/>
        <v>высокий</v>
      </c>
    </row>
    <row r="620" spans="2:6" x14ac:dyDescent="0.25">
      <c r="B620" s="98" t="s">
        <v>2809</v>
      </c>
      <c r="C620" s="55">
        <v>1</v>
      </c>
      <c r="D620" s="55"/>
      <c r="E620" s="55"/>
      <c r="F620" s="18" t="str">
        <f t="shared" si="9"/>
        <v>средний</v>
      </c>
    </row>
    <row r="621" spans="2:6" x14ac:dyDescent="0.25">
      <c r="B621" s="98" t="s">
        <v>2810</v>
      </c>
      <c r="C621" s="55"/>
      <c r="D621" s="55">
        <v>1</v>
      </c>
      <c r="E621" s="55"/>
      <c r="F621" s="18" t="str">
        <f t="shared" si="9"/>
        <v>высокий</v>
      </c>
    </row>
    <row r="622" spans="2:6" x14ac:dyDescent="0.25">
      <c r="B622" s="98" t="s">
        <v>2811</v>
      </c>
      <c r="C622" s="55">
        <v>1</v>
      </c>
      <c r="D622" s="55">
        <v>1</v>
      </c>
      <c r="E622" s="55"/>
      <c r="F622" s="18" t="str">
        <f t="shared" si="9"/>
        <v>высокий</v>
      </c>
    </row>
    <row r="623" spans="2:6" x14ac:dyDescent="0.25">
      <c r="B623" s="98" t="s">
        <v>2812</v>
      </c>
      <c r="C623" s="55">
        <v>1</v>
      </c>
      <c r="D623" s="55"/>
      <c r="E623" s="55"/>
      <c r="F623" s="18" t="str">
        <f t="shared" si="9"/>
        <v>средний</v>
      </c>
    </row>
    <row r="624" spans="2:6" x14ac:dyDescent="0.25">
      <c r="B624" s="98" t="s">
        <v>2813</v>
      </c>
      <c r="C624" s="55">
        <v>2</v>
      </c>
      <c r="D624" s="55"/>
      <c r="E624" s="55">
        <v>2</v>
      </c>
      <c r="F624" s="18" t="str">
        <f t="shared" si="9"/>
        <v>средний</v>
      </c>
    </row>
    <row r="625" spans="2:6" x14ac:dyDescent="0.25">
      <c r="B625" s="98" t="s">
        <v>2814</v>
      </c>
      <c r="C625" s="55">
        <v>2</v>
      </c>
      <c r="D625" s="55"/>
      <c r="E625" s="55">
        <v>2</v>
      </c>
      <c r="F625" s="18" t="str">
        <f t="shared" si="9"/>
        <v>средний</v>
      </c>
    </row>
    <row r="626" spans="2:6" x14ac:dyDescent="0.25">
      <c r="B626" s="98" t="s">
        <v>2815</v>
      </c>
      <c r="C626" s="55">
        <v>2</v>
      </c>
      <c r="D626" s="55"/>
      <c r="E626" s="55">
        <v>2</v>
      </c>
      <c r="F626" s="18" t="str">
        <f t="shared" si="9"/>
        <v>средний</v>
      </c>
    </row>
    <row r="627" spans="2:6" x14ac:dyDescent="0.25">
      <c r="B627" s="98" t="s">
        <v>2816</v>
      </c>
      <c r="C627" s="55">
        <v>2</v>
      </c>
      <c r="D627" s="55"/>
      <c r="E627" s="55">
        <v>2</v>
      </c>
      <c r="F627" s="18" t="str">
        <f t="shared" si="9"/>
        <v>средний</v>
      </c>
    </row>
    <row r="628" spans="2:6" x14ac:dyDescent="0.25">
      <c r="B628" s="98" t="s">
        <v>2817</v>
      </c>
      <c r="C628" s="55">
        <v>2</v>
      </c>
      <c r="D628" s="55"/>
      <c r="E628" s="55"/>
      <c r="F628" s="18" t="str">
        <f t="shared" si="9"/>
        <v>средний</v>
      </c>
    </row>
    <row r="629" spans="2:6" x14ac:dyDescent="0.25">
      <c r="B629" s="98" t="s">
        <v>2818</v>
      </c>
      <c r="C629" s="55">
        <v>3</v>
      </c>
      <c r="D629" s="55">
        <v>1</v>
      </c>
      <c r="E629" s="55">
        <v>1</v>
      </c>
      <c r="F629" s="18" t="str">
        <f t="shared" si="9"/>
        <v>высокий</v>
      </c>
    </row>
    <row r="630" spans="2:6" x14ac:dyDescent="0.25">
      <c r="B630" s="98" t="s">
        <v>2819</v>
      </c>
      <c r="C630" s="55">
        <v>3</v>
      </c>
      <c r="D630" s="55">
        <v>1</v>
      </c>
      <c r="E630" s="55">
        <v>1</v>
      </c>
      <c r="F630" s="18" t="str">
        <f t="shared" si="9"/>
        <v>высокий</v>
      </c>
    </row>
    <row r="631" spans="2:6" x14ac:dyDescent="0.25">
      <c r="B631" s="98" t="s">
        <v>2820</v>
      </c>
      <c r="C631" s="55">
        <v>3</v>
      </c>
      <c r="D631" s="55">
        <v>1</v>
      </c>
      <c r="E631" s="55">
        <v>1</v>
      </c>
      <c r="F631" s="18" t="str">
        <f t="shared" si="9"/>
        <v>высокий</v>
      </c>
    </row>
    <row r="632" spans="2:6" x14ac:dyDescent="0.25">
      <c r="B632" s="98" t="s">
        <v>2821</v>
      </c>
      <c r="C632" s="55">
        <v>3</v>
      </c>
      <c r="D632" s="55">
        <v>1</v>
      </c>
      <c r="E632" s="55">
        <v>1</v>
      </c>
      <c r="F632" s="18" t="str">
        <f t="shared" si="9"/>
        <v>высокий</v>
      </c>
    </row>
    <row r="633" spans="2:6" x14ac:dyDescent="0.25">
      <c r="B633" s="98" t="s">
        <v>2822</v>
      </c>
      <c r="C633" s="55"/>
      <c r="D633" s="55">
        <v>1</v>
      </c>
      <c r="E633" s="55">
        <v>1</v>
      </c>
      <c r="F633" s="18" t="str">
        <f t="shared" si="9"/>
        <v>высокий</v>
      </c>
    </row>
    <row r="634" spans="2:6" x14ac:dyDescent="0.25">
      <c r="B634" s="98" t="s">
        <v>2823</v>
      </c>
      <c r="C634" s="55">
        <v>1</v>
      </c>
      <c r="D634" s="55"/>
      <c r="E634" s="55"/>
      <c r="F634" s="18" t="str">
        <f t="shared" si="9"/>
        <v>средний</v>
      </c>
    </row>
    <row r="635" spans="2:6" x14ac:dyDescent="0.25">
      <c r="B635" s="98" t="s">
        <v>2824</v>
      </c>
      <c r="C635" s="55">
        <v>1</v>
      </c>
      <c r="D635" s="55"/>
      <c r="E635" s="55"/>
      <c r="F635" s="18" t="str">
        <f t="shared" si="9"/>
        <v>средний</v>
      </c>
    </row>
    <row r="636" spans="2:6" x14ac:dyDescent="0.25">
      <c r="B636" s="98" t="s">
        <v>2825</v>
      </c>
      <c r="C636" s="55">
        <v>4</v>
      </c>
      <c r="D636" s="55"/>
      <c r="E636" s="55">
        <v>4</v>
      </c>
      <c r="F636" s="18" t="str">
        <f t="shared" si="9"/>
        <v>средний</v>
      </c>
    </row>
    <row r="637" spans="2:6" x14ac:dyDescent="0.25">
      <c r="B637" s="98" t="s">
        <v>2826</v>
      </c>
      <c r="C637" s="55">
        <v>4</v>
      </c>
      <c r="D637" s="55"/>
      <c r="E637" s="55">
        <v>4</v>
      </c>
      <c r="F637" s="18" t="str">
        <f t="shared" si="9"/>
        <v>средний</v>
      </c>
    </row>
    <row r="638" spans="2:6" x14ac:dyDescent="0.25">
      <c r="B638" s="98" t="s">
        <v>2827</v>
      </c>
      <c r="C638" s="55">
        <v>4</v>
      </c>
      <c r="D638" s="55"/>
      <c r="E638" s="55">
        <v>4</v>
      </c>
      <c r="F638" s="18" t="str">
        <f t="shared" si="9"/>
        <v>средний</v>
      </c>
    </row>
    <row r="639" spans="2:6" x14ac:dyDescent="0.25">
      <c r="B639" s="98" t="s">
        <v>2828</v>
      </c>
      <c r="C639" s="55">
        <v>4</v>
      </c>
      <c r="D639" s="55"/>
      <c r="E639" s="55">
        <v>4</v>
      </c>
      <c r="F639" s="18" t="str">
        <f t="shared" si="9"/>
        <v>средний</v>
      </c>
    </row>
    <row r="640" spans="2:6" x14ac:dyDescent="0.25">
      <c r="B640" s="98" t="s">
        <v>2829</v>
      </c>
      <c r="C640" s="55"/>
      <c r="D640" s="55">
        <v>3</v>
      </c>
      <c r="E640" s="55"/>
      <c r="F640" s="18" t="str">
        <f t="shared" si="9"/>
        <v>высокий</v>
      </c>
    </row>
    <row r="641" spans="2:6" x14ac:dyDescent="0.25">
      <c r="B641" s="98" t="s">
        <v>2830</v>
      </c>
      <c r="C641" s="55">
        <v>4</v>
      </c>
      <c r="D641" s="55"/>
      <c r="E641" s="55">
        <v>4</v>
      </c>
      <c r="F641" s="18" t="str">
        <f t="shared" si="9"/>
        <v>средний</v>
      </c>
    </row>
    <row r="642" spans="2:6" x14ac:dyDescent="0.25">
      <c r="B642" s="98" t="s">
        <v>2831</v>
      </c>
      <c r="C642" s="55">
        <v>4</v>
      </c>
      <c r="D642" s="55"/>
      <c r="E642" s="55">
        <v>4</v>
      </c>
      <c r="F642" s="18" t="str">
        <f t="shared" si="9"/>
        <v>средний</v>
      </c>
    </row>
    <row r="643" spans="2:6" x14ac:dyDescent="0.25">
      <c r="B643" s="98" t="s">
        <v>2832</v>
      </c>
      <c r="C643" s="55">
        <v>4</v>
      </c>
      <c r="D643" s="55"/>
      <c r="E643" s="55">
        <v>4</v>
      </c>
      <c r="F643" s="18" t="str">
        <f t="shared" si="9"/>
        <v>средний</v>
      </c>
    </row>
    <row r="644" spans="2:6" x14ac:dyDescent="0.25">
      <c r="B644" s="98" t="s">
        <v>2833</v>
      </c>
      <c r="C644" s="55">
        <v>4</v>
      </c>
      <c r="D644" s="55"/>
      <c r="E644" s="55">
        <v>4</v>
      </c>
      <c r="F644" s="18" t="str">
        <f t="shared" si="9"/>
        <v>средний</v>
      </c>
    </row>
    <row r="645" spans="2:6" x14ac:dyDescent="0.25">
      <c r="B645" s="98" t="s">
        <v>2834</v>
      </c>
      <c r="C645" s="55">
        <v>4</v>
      </c>
      <c r="D645" s="55">
        <v>3</v>
      </c>
      <c r="E645" s="55">
        <v>4</v>
      </c>
      <c r="F645" s="18" t="str">
        <f t="shared" si="9"/>
        <v>высокий</v>
      </c>
    </row>
    <row r="646" spans="2:6" x14ac:dyDescent="0.25">
      <c r="B646" s="98" t="s">
        <v>2835</v>
      </c>
      <c r="C646" s="55">
        <v>1</v>
      </c>
      <c r="D646" s="55"/>
      <c r="E646" s="55"/>
      <c r="F646" s="18" t="str">
        <f t="shared" si="9"/>
        <v>средний</v>
      </c>
    </row>
    <row r="647" spans="2:6" x14ac:dyDescent="0.25">
      <c r="B647" s="98" t="s">
        <v>2836</v>
      </c>
      <c r="C647" s="55">
        <v>1</v>
      </c>
      <c r="D647" s="55">
        <v>1</v>
      </c>
      <c r="E647" s="55"/>
      <c r="F647" s="18" t="str">
        <f t="shared" si="9"/>
        <v>высокий</v>
      </c>
    </row>
    <row r="648" spans="2:6" x14ac:dyDescent="0.25">
      <c r="B648" s="98" t="s">
        <v>2837</v>
      </c>
      <c r="C648" s="55"/>
      <c r="D648" s="55">
        <v>2</v>
      </c>
      <c r="E648" s="55"/>
      <c r="F648" s="18" t="str">
        <f t="shared" ref="F648:F711" si="10">IF(D648&gt;0,"высокий",IF(C648&gt;0,"средний","низкий"))</f>
        <v>высокий</v>
      </c>
    </row>
    <row r="649" spans="2:6" x14ac:dyDescent="0.25">
      <c r="B649" s="98" t="s">
        <v>2838</v>
      </c>
      <c r="C649" s="55"/>
      <c r="D649" s="55">
        <v>2</v>
      </c>
      <c r="E649" s="55"/>
      <c r="F649" s="18" t="str">
        <f t="shared" si="10"/>
        <v>высокий</v>
      </c>
    </row>
    <row r="650" spans="2:6" x14ac:dyDescent="0.25">
      <c r="B650" s="98" t="s">
        <v>2839</v>
      </c>
      <c r="C650" s="55"/>
      <c r="D650" s="55">
        <v>2</v>
      </c>
      <c r="E650" s="55"/>
      <c r="F650" s="18" t="str">
        <f t="shared" si="10"/>
        <v>высокий</v>
      </c>
    </row>
    <row r="651" spans="2:6" x14ac:dyDescent="0.25">
      <c r="B651" s="98" t="s">
        <v>2840</v>
      </c>
      <c r="C651" s="55"/>
      <c r="D651" s="55">
        <v>2</v>
      </c>
      <c r="E651" s="55"/>
      <c r="F651" s="18" t="str">
        <f t="shared" si="10"/>
        <v>высокий</v>
      </c>
    </row>
    <row r="652" spans="2:6" x14ac:dyDescent="0.25">
      <c r="B652" s="98" t="s">
        <v>2841</v>
      </c>
      <c r="C652" s="55">
        <v>1</v>
      </c>
      <c r="D652" s="55">
        <v>1</v>
      </c>
      <c r="E652" s="55"/>
      <c r="F652" s="18" t="str">
        <f t="shared" si="10"/>
        <v>высокий</v>
      </c>
    </row>
    <row r="653" spans="2:6" x14ac:dyDescent="0.25">
      <c r="B653" s="98" t="s">
        <v>2842</v>
      </c>
      <c r="C653" s="55"/>
      <c r="D653" s="55">
        <v>2</v>
      </c>
      <c r="E653" s="55"/>
      <c r="F653" s="18" t="str">
        <f t="shared" si="10"/>
        <v>высокий</v>
      </c>
    </row>
    <row r="654" spans="2:6" x14ac:dyDescent="0.25">
      <c r="B654" s="98" t="s">
        <v>2843</v>
      </c>
      <c r="C654" s="55"/>
      <c r="D654" s="55">
        <v>2</v>
      </c>
      <c r="E654" s="55"/>
      <c r="F654" s="18" t="str">
        <f t="shared" si="10"/>
        <v>высокий</v>
      </c>
    </row>
    <row r="655" spans="2:6" x14ac:dyDescent="0.25">
      <c r="B655" s="98" t="s">
        <v>2845</v>
      </c>
      <c r="C655" s="55">
        <v>1</v>
      </c>
      <c r="D655" s="55"/>
      <c r="E655" s="55">
        <v>1</v>
      </c>
      <c r="F655" s="18" t="str">
        <f t="shared" si="10"/>
        <v>средний</v>
      </c>
    </row>
    <row r="656" spans="2:6" x14ac:dyDescent="0.25">
      <c r="B656" s="98" t="s">
        <v>2846</v>
      </c>
      <c r="C656" s="55"/>
      <c r="D656" s="55">
        <v>1</v>
      </c>
      <c r="E656" s="55">
        <v>1</v>
      </c>
      <c r="F656" s="18" t="str">
        <f t="shared" si="10"/>
        <v>высокий</v>
      </c>
    </row>
    <row r="657" spans="2:6" x14ac:dyDescent="0.25">
      <c r="B657" s="98" t="s">
        <v>2848</v>
      </c>
      <c r="C657" s="55"/>
      <c r="D657" s="55">
        <v>1</v>
      </c>
      <c r="E657" s="55"/>
      <c r="F657" s="18" t="str">
        <f t="shared" si="10"/>
        <v>высокий</v>
      </c>
    </row>
    <row r="658" spans="2:6" x14ac:dyDescent="0.25">
      <c r="B658" s="98" t="s">
        <v>2849</v>
      </c>
      <c r="C658" s="55"/>
      <c r="D658" s="55">
        <v>1</v>
      </c>
      <c r="E658" s="55">
        <v>1</v>
      </c>
      <c r="F658" s="18" t="str">
        <f t="shared" si="10"/>
        <v>высокий</v>
      </c>
    </row>
    <row r="659" spans="2:6" x14ac:dyDescent="0.25">
      <c r="B659" s="98" t="s">
        <v>2850</v>
      </c>
      <c r="C659" s="55"/>
      <c r="D659" s="55">
        <v>1</v>
      </c>
      <c r="E659" s="55">
        <v>1</v>
      </c>
      <c r="F659" s="18" t="str">
        <f t="shared" si="10"/>
        <v>высокий</v>
      </c>
    </row>
    <row r="660" spans="2:6" x14ac:dyDescent="0.25">
      <c r="B660" s="98" t="s">
        <v>2851</v>
      </c>
      <c r="C660" s="55">
        <v>1</v>
      </c>
      <c r="D660" s="55">
        <v>1</v>
      </c>
      <c r="E660" s="55">
        <v>2</v>
      </c>
      <c r="F660" s="18" t="str">
        <f t="shared" si="10"/>
        <v>высокий</v>
      </c>
    </row>
    <row r="661" spans="2:6" x14ac:dyDescent="0.25">
      <c r="B661" s="98" t="s">
        <v>2852</v>
      </c>
      <c r="C661" s="55">
        <v>1</v>
      </c>
      <c r="D661" s="55">
        <v>1</v>
      </c>
      <c r="E661" s="55">
        <v>2</v>
      </c>
      <c r="F661" s="18" t="str">
        <f t="shared" si="10"/>
        <v>высокий</v>
      </c>
    </row>
    <row r="662" spans="2:6" x14ac:dyDescent="0.25">
      <c r="B662" s="98" t="s">
        <v>2853</v>
      </c>
      <c r="C662" s="55">
        <v>1</v>
      </c>
      <c r="D662" s="55">
        <v>1</v>
      </c>
      <c r="E662" s="55">
        <v>2</v>
      </c>
      <c r="F662" s="18" t="str">
        <f t="shared" si="10"/>
        <v>высокий</v>
      </c>
    </row>
    <row r="663" spans="2:6" x14ac:dyDescent="0.25">
      <c r="B663" s="98" t="s">
        <v>2854</v>
      </c>
      <c r="C663" s="55">
        <v>1</v>
      </c>
      <c r="D663" s="55">
        <v>1</v>
      </c>
      <c r="E663" s="55">
        <v>2</v>
      </c>
      <c r="F663" s="18" t="str">
        <f t="shared" si="10"/>
        <v>высокий</v>
      </c>
    </row>
    <row r="664" spans="2:6" x14ac:dyDescent="0.25">
      <c r="B664" s="98" t="s">
        <v>2855</v>
      </c>
      <c r="C664" s="55"/>
      <c r="D664" s="55">
        <v>1</v>
      </c>
      <c r="E664" s="55"/>
      <c r="F664" s="18" t="str">
        <f t="shared" si="10"/>
        <v>высокий</v>
      </c>
    </row>
    <row r="665" spans="2:6" x14ac:dyDescent="0.25">
      <c r="B665" s="98" t="s">
        <v>2856</v>
      </c>
      <c r="C665" s="55">
        <v>1</v>
      </c>
      <c r="D665" s="55">
        <v>1</v>
      </c>
      <c r="E665" s="55"/>
      <c r="F665" s="18" t="str">
        <f t="shared" si="10"/>
        <v>высокий</v>
      </c>
    </row>
    <row r="666" spans="2:6" x14ac:dyDescent="0.25">
      <c r="B666" s="98" t="s">
        <v>2857</v>
      </c>
      <c r="C666" s="55"/>
      <c r="D666" s="55">
        <v>1</v>
      </c>
      <c r="E666" s="55">
        <v>3</v>
      </c>
      <c r="F666" s="18" t="str">
        <f t="shared" si="10"/>
        <v>высокий</v>
      </c>
    </row>
    <row r="667" spans="2:6" x14ac:dyDescent="0.25">
      <c r="B667" s="98" t="s">
        <v>2858</v>
      </c>
      <c r="C667" s="55"/>
      <c r="D667" s="55">
        <v>1</v>
      </c>
      <c r="E667" s="55">
        <v>3</v>
      </c>
      <c r="F667" s="18" t="str">
        <f t="shared" si="10"/>
        <v>высокий</v>
      </c>
    </row>
    <row r="668" spans="2:6" x14ac:dyDescent="0.25">
      <c r="B668" s="98" t="s">
        <v>2859</v>
      </c>
      <c r="C668" s="55"/>
      <c r="D668" s="55">
        <v>1</v>
      </c>
      <c r="E668" s="55">
        <v>3</v>
      </c>
      <c r="F668" s="18" t="str">
        <f t="shared" si="10"/>
        <v>высокий</v>
      </c>
    </row>
    <row r="669" spans="2:6" x14ac:dyDescent="0.25">
      <c r="B669" s="98" t="s">
        <v>2860</v>
      </c>
      <c r="C669" s="55"/>
      <c r="D669" s="55">
        <v>1</v>
      </c>
      <c r="E669" s="55">
        <v>3</v>
      </c>
      <c r="F669" s="18" t="str">
        <f t="shared" si="10"/>
        <v>высокий</v>
      </c>
    </row>
    <row r="670" spans="2:6" x14ac:dyDescent="0.25">
      <c r="B670" s="98" t="s">
        <v>2861</v>
      </c>
      <c r="C670" s="55">
        <v>1</v>
      </c>
      <c r="D670" s="55">
        <v>2</v>
      </c>
      <c r="E670" s="55">
        <v>4</v>
      </c>
      <c r="F670" s="18" t="str">
        <f t="shared" si="10"/>
        <v>высокий</v>
      </c>
    </row>
    <row r="671" spans="2:6" x14ac:dyDescent="0.25">
      <c r="B671" s="98" t="s">
        <v>2862</v>
      </c>
      <c r="C671" s="55">
        <v>2</v>
      </c>
      <c r="D671" s="55">
        <v>2</v>
      </c>
      <c r="E671" s="55">
        <v>3</v>
      </c>
      <c r="F671" s="18" t="str">
        <f t="shared" si="10"/>
        <v>высокий</v>
      </c>
    </row>
    <row r="672" spans="2:6" x14ac:dyDescent="0.25">
      <c r="B672" s="98" t="s">
        <v>2863</v>
      </c>
      <c r="C672" s="55">
        <v>1</v>
      </c>
      <c r="D672" s="55">
        <v>2</v>
      </c>
      <c r="E672" s="55">
        <v>4</v>
      </c>
      <c r="F672" s="18" t="str">
        <f t="shared" si="10"/>
        <v>высокий</v>
      </c>
    </row>
    <row r="673" spans="2:6" x14ac:dyDescent="0.25">
      <c r="B673" s="98" t="s">
        <v>2864</v>
      </c>
      <c r="C673" s="55">
        <v>1</v>
      </c>
      <c r="D673" s="55">
        <v>2</v>
      </c>
      <c r="E673" s="55">
        <v>4</v>
      </c>
      <c r="F673" s="18" t="str">
        <f t="shared" si="10"/>
        <v>высокий</v>
      </c>
    </row>
    <row r="674" spans="2:6" x14ac:dyDescent="0.25">
      <c r="B674" s="98" t="s">
        <v>2865</v>
      </c>
      <c r="C674" s="55">
        <v>1</v>
      </c>
      <c r="D674" s="55"/>
      <c r="E674" s="55"/>
      <c r="F674" s="18" t="str">
        <f t="shared" si="10"/>
        <v>средний</v>
      </c>
    </row>
    <row r="675" spans="2:6" x14ac:dyDescent="0.25">
      <c r="B675" s="98" t="s">
        <v>2866</v>
      </c>
      <c r="C675" s="55"/>
      <c r="D675" s="55"/>
      <c r="E675" s="55">
        <v>1</v>
      </c>
      <c r="F675" s="18" t="str">
        <f t="shared" si="10"/>
        <v>низкий</v>
      </c>
    </row>
    <row r="676" spans="2:6" x14ac:dyDescent="0.25">
      <c r="B676" s="98" t="s">
        <v>2867</v>
      </c>
      <c r="C676" s="55"/>
      <c r="D676" s="55"/>
      <c r="E676" s="55">
        <v>1</v>
      </c>
      <c r="F676" s="18" t="str">
        <f t="shared" si="10"/>
        <v>низкий</v>
      </c>
    </row>
    <row r="677" spans="2:6" x14ac:dyDescent="0.25">
      <c r="B677" s="98" t="s">
        <v>2868</v>
      </c>
      <c r="C677" s="55"/>
      <c r="D677" s="55">
        <v>2</v>
      </c>
      <c r="E677" s="55">
        <v>4</v>
      </c>
      <c r="F677" s="18" t="str">
        <f t="shared" si="10"/>
        <v>высокий</v>
      </c>
    </row>
    <row r="678" spans="2:6" x14ac:dyDescent="0.25">
      <c r="B678" s="98" t="s">
        <v>2869</v>
      </c>
      <c r="C678" s="55"/>
      <c r="D678" s="55">
        <v>2</v>
      </c>
      <c r="E678" s="55">
        <v>4</v>
      </c>
      <c r="F678" s="18" t="str">
        <f t="shared" si="10"/>
        <v>высокий</v>
      </c>
    </row>
    <row r="679" spans="2:6" x14ac:dyDescent="0.25">
      <c r="B679" s="98" t="s">
        <v>2870</v>
      </c>
      <c r="C679" s="55"/>
      <c r="D679" s="55">
        <v>2</v>
      </c>
      <c r="E679" s="55">
        <v>4</v>
      </c>
      <c r="F679" s="18" t="str">
        <f t="shared" si="10"/>
        <v>высокий</v>
      </c>
    </row>
    <row r="680" spans="2:6" x14ac:dyDescent="0.25">
      <c r="B680" s="98" t="s">
        <v>2871</v>
      </c>
      <c r="C680" s="55"/>
      <c r="D680" s="55">
        <v>2</v>
      </c>
      <c r="E680" s="55">
        <v>4</v>
      </c>
      <c r="F680" s="18" t="str">
        <f t="shared" si="10"/>
        <v>высокий</v>
      </c>
    </row>
    <row r="681" spans="2:6" x14ac:dyDescent="0.25">
      <c r="B681" s="98" t="s">
        <v>2872</v>
      </c>
      <c r="C681" s="55">
        <v>1</v>
      </c>
      <c r="D681" s="55">
        <v>1</v>
      </c>
      <c r="E681" s="55"/>
      <c r="F681" s="18" t="str">
        <f t="shared" si="10"/>
        <v>высокий</v>
      </c>
    </row>
    <row r="682" spans="2:6" x14ac:dyDescent="0.25">
      <c r="B682" s="98" t="s">
        <v>2873</v>
      </c>
      <c r="C682" s="55"/>
      <c r="D682" s="55">
        <v>2</v>
      </c>
      <c r="E682" s="55">
        <v>3</v>
      </c>
      <c r="F682" s="18" t="str">
        <f t="shared" si="10"/>
        <v>высокий</v>
      </c>
    </row>
    <row r="683" spans="2:6" x14ac:dyDescent="0.25">
      <c r="B683" s="98" t="s">
        <v>2874</v>
      </c>
      <c r="C683" s="55"/>
      <c r="D683" s="55">
        <v>2</v>
      </c>
      <c r="E683" s="55">
        <v>3</v>
      </c>
      <c r="F683" s="18" t="str">
        <f t="shared" si="10"/>
        <v>высокий</v>
      </c>
    </row>
    <row r="684" spans="2:6" x14ac:dyDescent="0.25">
      <c r="B684" s="98" t="s">
        <v>2875</v>
      </c>
      <c r="C684" s="55"/>
      <c r="D684" s="55">
        <v>2</v>
      </c>
      <c r="E684" s="55">
        <v>3</v>
      </c>
      <c r="F684" s="18" t="str">
        <f t="shared" si="10"/>
        <v>высокий</v>
      </c>
    </row>
    <row r="685" spans="2:6" x14ac:dyDescent="0.25">
      <c r="B685" s="98" t="s">
        <v>2876</v>
      </c>
      <c r="C685" s="55"/>
      <c r="D685" s="55">
        <v>2</v>
      </c>
      <c r="E685" s="55">
        <v>3</v>
      </c>
      <c r="F685" s="18" t="str">
        <f t="shared" si="10"/>
        <v>высокий</v>
      </c>
    </row>
    <row r="686" spans="2:6" x14ac:dyDescent="0.25">
      <c r="B686" s="98" t="s">
        <v>2877</v>
      </c>
      <c r="C686" s="55">
        <v>2</v>
      </c>
      <c r="D686" s="55">
        <v>1</v>
      </c>
      <c r="E686" s="55"/>
      <c r="F686" s="18" t="str">
        <f t="shared" si="10"/>
        <v>высокий</v>
      </c>
    </row>
    <row r="687" spans="2:6" x14ac:dyDescent="0.25">
      <c r="B687" s="98" t="s">
        <v>2878</v>
      </c>
      <c r="C687" s="55">
        <v>1</v>
      </c>
      <c r="D687" s="55">
        <v>2</v>
      </c>
      <c r="E687" s="55">
        <v>1</v>
      </c>
      <c r="F687" s="18" t="str">
        <f t="shared" si="10"/>
        <v>высокий</v>
      </c>
    </row>
    <row r="688" spans="2:6" x14ac:dyDescent="0.25">
      <c r="B688" s="98" t="s">
        <v>2879</v>
      </c>
      <c r="C688" s="55">
        <v>1</v>
      </c>
      <c r="D688" s="55">
        <v>2</v>
      </c>
      <c r="E688" s="55">
        <v>1</v>
      </c>
      <c r="F688" s="18" t="str">
        <f t="shared" si="10"/>
        <v>высокий</v>
      </c>
    </row>
    <row r="689" spans="2:6" x14ac:dyDescent="0.25">
      <c r="B689" s="98" t="s">
        <v>2880</v>
      </c>
      <c r="C689" s="55">
        <v>1</v>
      </c>
      <c r="D689" s="55">
        <v>2</v>
      </c>
      <c r="E689" s="55">
        <v>1</v>
      </c>
      <c r="F689" s="18" t="str">
        <f t="shared" si="10"/>
        <v>высокий</v>
      </c>
    </row>
    <row r="690" spans="2:6" x14ac:dyDescent="0.25">
      <c r="B690" s="98" t="s">
        <v>2881</v>
      </c>
      <c r="C690" s="55"/>
      <c r="D690" s="55">
        <v>1</v>
      </c>
      <c r="E690" s="55">
        <v>1</v>
      </c>
      <c r="F690" s="18" t="str">
        <f t="shared" si="10"/>
        <v>высокий</v>
      </c>
    </row>
    <row r="691" spans="2:6" x14ac:dyDescent="0.25">
      <c r="B691" s="98" t="s">
        <v>2882</v>
      </c>
      <c r="C691" s="55"/>
      <c r="D691" s="55">
        <v>2</v>
      </c>
      <c r="E691" s="55"/>
      <c r="F691" s="18" t="str">
        <f t="shared" si="10"/>
        <v>высокий</v>
      </c>
    </row>
    <row r="692" spans="2:6" x14ac:dyDescent="0.25">
      <c r="B692" s="98" t="s">
        <v>2883</v>
      </c>
      <c r="C692" s="55"/>
      <c r="D692" s="55">
        <v>1</v>
      </c>
      <c r="E692" s="55"/>
      <c r="F692" s="18" t="str">
        <f t="shared" si="10"/>
        <v>высокий</v>
      </c>
    </row>
    <row r="693" spans="2:6" x14ac:dyDescent="0.25">
      <c r="B693" s="98" t="s">
        <v>2884</v>
      </c>
      <c r="C693" s="55"/>
      <c r="D693" s="55">
        <v>1</v>
      </c>
      <c r="E693" s="55"/>
      <c r="F693" s="18" t="str">
        <f t="shared" si="10"/>
        <v>высокий</v>
      </c>
    </row>
    <row r="694" spans="2:6" x14ac:dyDescent="0.25">
      <c r="B694" s="98" t="s">
        <v>2885</v>
      </c>
      <c r="C694" s="55"/>
      <c r="D694" s="55">
        <v>1</v>
      </c>
      <c r="E694" s="55"/>
      <c r="F694" s="18" t="str">
        <f t="shared" si="10"/>
        <v>высокий</v>
      </c>
    </row>
    <row r="695" spans="2:6" x14ac:dyDescent="0.25">
      <c r="B695" s="98" t="s">
        <v>2886</v>
      </c>
      <c r="C695" s="55"/>
      <c r="D695" s="55">
        <v>1</v>
      </c>
      <c r="E695" s="55"/>
      <c r="F695" s="18" t="str">
        <f t="shared" si="10"/>
        <v>высокий</v>
      </c>
    </row>
    <row r="696" spans="2:6" x14ac:dyDescent="0.25">
      <c r="B696" s="98" t="s">
        <v>2887</v>
      </c>
      <c r="C696" s="55"/>
      <c r="D696" s="55">
        <v>3</v>
      </c>
      <c r="E696" s="55"/>
      <c r="F696" s="18" t="str">
        <f t="shared" si="10"/>
        <v>высокий</v>
      </c>
    </row>
    <row r="697" spans="2:6" x14ac:dyDescent="0.25">
      <c r="B697" s="98" t="s">
        <v>2888</v>
      </c>
      <c r="C697" s="55"/>
      <c r="D697" s="55">
        <v>3</v>
      </c>
      <c r="E697" s="55"/>
      <c r="F697" s="18" t="str">
        <f t="shared" si="10"/>
        <v>высокий</v>
      </c>
    </row>
    <row r="698" spans="2:6" x14ac:dyDescent="0.25">
      <c r="B698" s="98" t="s">
        <v>2889</v>
      </c>
      <c r="C698" s="55"/>
      <c r="D698" s="55">
        <v>3</v>
      </c>
      <c r="E698" s="55"/>
      <c r="F698" s="18" t="str">
        <f t="shared" si="10"/>
        <v>высокий</v>
      </c>
    </row>
    <row r="699" spans="2:6" x14ac:dyDescent="0.25">
      <c r="B699" s="98" t="s">
        <v>2890</v>
      </c>
      <c r="C699" s="55"/>
      <c r="D699" s="55">
        <v>3</v>
      </c>
      <c r="E699" s="55"/>
      <c r="F699" s="18" t="str">
        <f t="shared" si="10"/>
        <v>высокий</v>
      </c>
    </row>
    <row r="700" spans="2:6" x14ac:dyDescent="0.25">
      <c r="B700" s="98" t="s">
        <v>2891</v>
      </c>
      <c r="C700" s="55"/>
      <c r="D700" s="55"/>
      <c r="E700" s="55">
        <v>1</v>
      </c>
      <c r="F700" s="18" t="str">
        <f t="shared" si="10"/>
        <v>низкий</v>
      </c>
    </row>
    <row r="701" spans="2:6" x14ac:dyDescent="0.25">
      <c r="B701" s="98" t="s">
        <v>2892</v>
      </c>
      <c r="C701" s="55">
        <v>1</v>
      </c>
      <c r="D701" s="55">
        <v>1</v>
      </c>
      <c r="E701" s="55"/>
      <c r="F701" s="18" t="str">
        <f t="shared" si="10"/>
        <v>высокий</v>
      </c>
    </row>
    <row r="702" spans="2:6" x14ac:dyDescent="0.25">
      <c r="B702" s="98" t="s">
        <v>2893</v>
      </c>
      <c r="C702" s="55">
        <v>1</v>
      </c>
      <c r="D702" s="55">
        <v>1</v>
      </c>
      <c r="E702" s="55">
        <v>1</v>
      </c>
      <c r="F702" s="18" t="str">
        <f t="shared" si="10"/>
        <v>высокий</v>
      </c>
    </row>
    <row r="703" spans="2:6" x14ac:dyDescent="0.25">
      <c r="B703" s="98" t="s">
        <v>2894</v>
      </c>
      <c r="C703" s="55">
        <v>1</v>
      </c>
      <c r="D703" s="55">
        <v>1</v>
      </c>
      <c r="E703" s="55"/>
      <c r="F703" s="18" t="str">
        <f t="shared" si="10"/>
        <v>высокий</v>
      </c>
    </row>
    <row r="704" spans="2:6" x14ac:dyDescent="0.25">
      <c r="B704" s="98" t="s">
        <v>2895</v>
      </c>
      <c r="C704" s="55"/>
      <c r="D704" s="55"/>
      <c r="E704" s="55">
        <v>2</v>
      </c>
      <c r="F704" s="18" t="str">
        <f t="shared" si="10"/>
        <v>низкий</v>
      </c>
    </row>
    <row r="705" spans="2:6" x14ac:dyDescent="0.25">
      <c r="B705" s="98" t="s">
        <v>2896</v>
      </c>
      <c r="C705" s="55"/>
      <c r="D705" s="55"/>
      <c r="E705" s="55">
        <v>2</v>
      </c>
      <c r="F705" s="18" t="str">
        <f t="shared" si="10"/>
        <v>низкий</v>
      </c>
    </row>
    <row r="706" spans="2:6" x14ac:dyDescent="0.25">
      <c r="B706" s="98" t="s">
        <v>2897</v>
      </c>
      <c r="C706" s="55"/>
      <c r="D706" s="55"/>
      <c r="E706" s="55">
        <v>2</v>
      </c>
      <c r="F706" s="18" t="str">
        <f t="shared" si="10"/>
        <v>низкий</v>
      </c>
    </row>
    <row r="707" spans="2:6" x14ac:dyDescent="0.25">
      <c r="B707" s="98" t="s">
        <v>2898</v>
      </c>
      <c r="C707" s="55"/>
      <c r="D707" s="55"/>
      <c r="E707" s="55">
        <v>2</v>
      </c>
      <c r="F707" s="18" t="str">
        <f t="shared" si="10"/>
        <v>низкий</v>
      </c>
    </row>
    <row r="708" spans="2:6" x14ac:dyDescent="0.25">
      <c r="B708" s="98" t="s">
        <v>2899</v>
      </c>
      <c r="C708" s="55">
        <v>2</v>
      </c>
      <c r="D708" s="55"/>
      <c r="E708" s="55">
        <v>1</v>
      </c>
      <c r="F708" s="18" t="str">
        <f t="shared" si="10"/>
        <v>средний</v>
      </c>
    </row>
    <row r="709" spans="2:6" x14ac:dyDescent="0.25">
      <c r="B709" s="98" t="s">
        <v>2900</v>
      </c>
      <c r="C709" s="55">
        <v>2</v>
      </c>
      <c r="D709" s="55"/>
      <c r="E709" s="55">
        <v>1</v>
      </c>
      <c r="F709" s="18" t="str">
        <f t="shared" si="10"/>
        <v>средний</v>
      </c>
    </row>
    <row r="710" spans="2:6" x14ac:dyDescent="0.25">
      <c r="B710" s="98" t="s">
        <v>2901</v>
      </c>
      <c r="C710" s="55">
        <v>2</v>
      </c>
      <c r="D710" s="55"/>
      <c r="E710" s="55">
        <v>1</v>
      </c>
      <c r="F710" s="18" t="str">
        <f t="shared" si="10"/>
        <v>средний</v>
      </c>
    </row>
    <row r="711" spans="2:6" x14ac:dyDescent="0.25">
      <c r="B711" s="98" t="s">
        <v>2902</v>
      </c>
      <c r="C711" s="55">
        <v>2</v>
      </c>
      <c r="D711" s="55"/>
      <c r="E711" s="55">
        <v>1</v>
      </c>
      <c r="F711" s="18" t="str">
        <f t="shared" si="10"/>
        <v>средний</v>
      </c>
    </row>
    <row r="712" spans="2:6" x14ac:dyDescent="0.25">
      <c r="B712" s="98" t="s">
        <v>2903</v>
      </c>
      <c r="C712" s="55">
        <v>2</v>
      </c>
      <c r="D712" s="55"/>
      <c r="E712" s="55">
        <v>1</v>
      </c>
      <c r="F712" s="18" t="str">
        <f t="shared" ref="F712:F775" si="11">IF(D712&gt;0,"высокий",IF(C712&gt;0,"средний","низкий"))</f>
        <v>средний</v>
      </c>
    </row>
    <row r="713" spans="2:6" x14ac:dyDescent="0.25">
      <c r="B713" s="98" t="s">
        <v>2904</v>
      </c>
      <c r="C713" s="55">
        <v>2</v>
      </c>
      <c r="D713" s="55"/>
      <c r="E713" s="55">
        <v>1</v>
      </c>
      <c r="F713" s="18" t="str">
        <f t="shared" si="11"/>
        <v>средний</v>
      </c>
    </row>
    <row r="714" spans="2:6" x14ac:dyDescent="0.25">
      <c r="B714" s="98" t="s">
        <v>2905</v>
      </c>
      <c r="C714" s="55">
        <v>2</v>
      </c>
      <c r="D714" s="55"/>
      <c r="E714" s="55">
        <v>1</v>
      </c>
      <c r="F714" s="18" t="str">
        <f t="shared" si="11"/>
        <v>средний</v>
      </c>
    </row>
    <row r="715" spans="2:6" x14ac:dyDescent="0.25">
      <c r="B715" s="98" t="s">
        <v>2906</v>
      </c>
      <c r="C715" s="55">
        <v>2</v>
      </c>
      <c r="D715" s="55"/>
      <c r="E715" s="55">
        <v>1</v>
      </c>
      <c r="F715" s="18" t="str">
        <f t="shared" si="11"/>
        <v>средний</v>
      </c>
    </row>
    <row r="716" spans="2:6" x14ac:dyDescent="0.25">
      <c r="B716" s="98" t="s">
        <v>2907</v>
      </c>
      <c r="C716" s="55"/>
      <c r="D716" s="55">
        <v>1</v>
      </c>
      <c r="E716" s="55"/>
      <c r="F716" s="18" t="str">
        <f t="shared" si="11"/>
        <v>высокий</v>
      </c>
    </row>
    <row r="717" spans="2:6" x14ac:dyDescent="0.25">
      <c r="B717" s="98" t="s">
        <v>2908</v>
      </c>
      <c r="C717" s="55"/>
      <c r="D717" s="55">
        <v>1</v>
      </c>
      <c r="E717" s="55"/>
      <c r="F717" s="18" t="str">
        <f t="shared" si="11"/>
        <v>высокий</v>
      </c>
    </row>
    <row r="718" spans="2:6" x14ac:dyDescent="0.25">
      <c r="B718" s="98" t="s">
        <v>2909</v>
      </c>
      <c r="C718" s="55"/>
      <c r="D718" s="55">
        <v>1</v>
      </c>
      <c r="E718" s="55"/>
      <c r="F718" s="18" t="str">
        <f t="shared" si="11"/>
        <v>высокий</v>
      </c>
    </row>
    <row r="719" spans="2:6" x14ac:dyDescent="0.25">
      <c r="B719" s="98" t="s">
        <v>2910</v>
      </c>
      <c r="C719" s="55">
        <v>1</v>
      </c>
      <c r="D719" s="55"/>
      <c r="E719" s="55"/>
      <c r="F719" s="18" t="str">
        <f t="shared" si="11"/>
        <v>средний</v>
      </c>
    </row>
    <row r="720" spans="2:6" x14ac:dyDescent="0.25">
      <c r="B720" s="98" t="s">
        <v>2911</v>
      </c>
      <c r="C720" s="55">
        <v>2</v>
      </c>
      <c r="D720" s="55">
        <v>1</v>
      </c>
      <c r="E720" s="55"/>
      <c r="F720" s="18" t="str">
        <f t="shared" si="11"/>
        <v>высокий</v>
      </c>
    </row>
    <row r="721" spans="2:6" x14ac:dyDescent="0.25">
      <c r="B721" s="98" t="s">
        <v>2912</v>
      </c>
      <c r="C721" s="55"/>
      <c r="D721" s="55"/>
      <c r="E721" s="55">
        <v>1</v>
      </c>
      <c r="F721" s="18" t="str">
        <f t="shared" si="11"/>
        <v>низкий</v>
      </c>
    </row>
    <row r="722" spans="2:6" x14ac:dyDescent="0.25">
      <c r="B722" s="98" t="s">
        <v>2913</v>
      </c>
      <c r="C722" s="55"/>
      <c r="D722" s="55">
        <v>1</v>
      </c>
      <c r="E722" s="55"/>
      <c r="F722" s="18" t="str">
        <f t="shared" si="11"/>
        <v>высокий</v>
      </c>
    </row>
    <row r="723" spans="2:6" x14ac:dyDescent="0.25">
      <c r="B723" s="98" t="s">
        <v>2914</v>
      </c>
      <c r="C723" s="55"/>
      <c r="D723" s="55">
        <v>1</v>
      </c>
      <c r="E723" s="55"/>
      <c r="F723" s="18" t="str">
        <f t="shared" si="11"/>
        <v>высокий</v>
      </c>
    </row>
    <row r="724" spans="2:6" x14ac:dyDescent="0.25">
      <c r="B724" s="98" t="s">
        <v>2915</v>
      </c>
      <c r="C724" s="55">
        <v>3</v>
      </c>
      <c r="D724" s="55">
        <v>1</v>
      </c>
      <c r="E724" s="55">
        <v>1</v>
      </c>
      <c r="F724" s="18" t="str">
        <f t="shared" si="11"/>
        <v>высокий</v>
      </c>
    </row>
    <row r="725" spans="2:6" x14ac:dyDescent="0.25">
      <c r="B725" s="98" t="s">
        <v>2916</v>
      </c>
      <c r="C725" s="55">
        <v>3</v>
      </c>
      <c r="D725" s="55">
        <v>1</v>
      </c>
      <c r="E725" s="55">
        <v>1</v>
      </c>
      <c r="F725" s="18" t="str">
        <f t="shared" si="11"/>
        <v>высокий</v>
      </c>
    </row>
    <row r="726" spans="2:6" x14ac:dyDescent="0.25">
      <c r="B726" s="98" t="s">
        <v>2917</v>
      </c>
      <c r="C726" s="55">
        <v>3</v>
      </c>
      <c r="D726" s="55">
        <v>1</v>
      </c>
      <c r="E726" s="55">
        <v>1</v>
      </c>
      <c r="F726" s="18" t="str">
        <f t="shared" si="11"/>
        <v>высокий</v>
      </c>
    </row>
    <row r="727" spans="2:6" x14ac:dyDescent="0.25">
      <c r="B727" s="98" t="s">
        <v>2918</v>
      </c>
      <c r="C727" s="55">
        <v>3</v>
      </c>
      <c r="D727" s="55">
        <v>1</v>
      </c>
      <c r="E727" s="55">
        <v>1</v>
      </c>
      <c r="F727" s="18" t="str">
        <f t="shared" si="11"/>
        <v>высокий</v>
      </c>
    </row>
    <row r="728" spans="2:6" x14ac:dyDescent="0.25">
      <c r="B728" s="98" t="s">
        <v>2919</v>
      </c>
      <c r="C728" s="55">
        <v>1</v>
      </c>
      <c r="D728" s="55"/>
      <c r="E728" s="55"/>
      <c r="F728" s="18" t="str">
        <f t="shared" si="11"/>
        <v>средний</v>
      </c>
    </row>
    <row r="729" spans="2:6" x14ac:dyDescent="0.25">
      <c r="B729" s="98" t="s">
        <v>2920</v>
      </c>
      <c r="C729" s="55"/>
      <c r="D729" s="55">
        <v>1</v>
      </c>
      <c r="E729" s="55"/>
      <c r="F729" s="18" t="str">
        <f t="shared" si="11"/>
        <v>высокий</v>
      </c>
    </row>
    <row r="730" spans="2:6" x14ac:dyDescent="0.25">
      <c r="B730" s="98" t="s">
        <v>2922</v>
      </c>
      <c r="C730" s="55"/>
      <c r="D730" s="55">
        <v>1</v>
      </c>
      <c r="E730" s="55"/>
      <c r="F730" s="18" t="str">
        <f t="shared" si="11"/>
        <v>высокий</v>
      </c>
    </row>
    <row r="731" spans="2:6" x14ac:dyDescent="0.25">
      <c r="B731" s="98" t="s">
        <v>2923</v>
      </c>
      <c r="C731" s="55">
        <v>1</v>
      </c>
      <c r="D731" s="55"/>
      <c r="E731" s="55"/>
      <c r="F731" s="18" t="str">
        <f t="shared" si="11"/>
        <v>средний</v>
      </c>
    </row>
    <row r="732" spans="2:6" x14ac:dyDescent="0.25">
      <c r="B732" s="98" t="s">
        <v>2924</v>
      </c>
      <c r="C732" s="55"/>
      <c r="D732" s="55">
        <v>1</v>
      </c>
      <c r="E732" s="55"/>
      <c r="F732" s="18" t="str">
        <f t="shared" si="11"/>
        <v>высокий</v>
      </c>
    </row>
    <row r="733" spans="2:6" x14ac:dyDescent="0.25">
      <c r="B733" s="98" t="s">
        <v>2925</v>
      </c>
      <c r="C733" s="55">
        <v>4</v>
      </c>
      <c r="D733" s="55">
        <v>1</v>
      </c>
      <c r="E733" s="55">
        <v>4</v>
      </c>
      <c r="F733" s="18" t="str">
        <f t="shared" si="11"/>
        <v>высокий</v>
      </c>
    </row>
    <row r="734" spans="2:6" x14ac:dyDescent="0.25">
      <c r="B734" s="98" t="s">
        <v>2926</v>
      </c>
      <c r="C734" s="55">
        <v>4</v>
      </c>
      <c r="D734" s="55">
        <v>1</v>
      </c>
      <c r="E734" s="55">
        <v>4</v>
      </c>
      <c r="F734" s="18" t="str">
        <f t="shared" si="11"/>
        <v>высокий</v>
      </c>
    </row>
    <row r="735" spans="2:6" x14ac:dyDescent="0.25">
      <c r="B735" s="98" t="s">
        <v>2927</v>
      </c>
      <c r="C735" s="55">
        <v>4</v>
      </c>
      <c r="D735" s="55">
        <v>1</v>
      </c>
      <c r="E735" s="55">
        <v>4</v>
      </c>
      <c r="F735" s="18" t="str">
        <f t="shared" si="11"/>
        <v>высокий</v>
      </c>
    </row>
    <row r="736" spans="2:6" x14ac:dyDescent="0.25">
      <c r="B736" s="98" t="s">
        <v>2928</v>
      </c>
      <c r="C736" s="55">
        <v>4</v>
      </c>
      <c r="D736" s="55">
        <v>1</v>
      </c>
      <c r="E736" s="55">
        <v>4</v>
      </c>
      <c r="F736" s="18" t="str">
        <f t="shared" si="11"/>
        <v>высокий</v>
      </c>
    </row>
    <row r="737" spans="2:6" x14ac:dyDescent="0.25">
      <c r="B737" s="98" t="s">
        <v>2929</v>
      </c>
      <c r="C737" s="55">
        <v>4</v>
      </c>
      <c r="D737" s="55">
        <v>1</v>
      </c>
      <c r="E737" s="55">
        <v>4</v>
      </c>
      <c r="F737" s="18" t="str">
        <f t="shared" si="11"/>
        <v>высокий</v>
      </c>
    </row>
    <row r="738" spans="2:6" x14ac:dyDescent="0.25">
      <c r="B738" s="98" t="s">
        <v>2930</v>
      </c>
      <c r="C738" s="55">
        <v>4</v>
      </c>
      <c r="D738" s="55">
        <v>1</v>
      </c>
      <c r="E738" s="55">
        <v>4</v>
      </c>
      <c r="F738" s="18" t="str">
        <f t="shared" si="11"/>
        <v>высокий</v>
      </c>
    </row>
    <row r="739" spans="2:6" x14ac:dyDescent="0.25">
      <c r="B739" s="98" t="s">
        <v>2931</v>
      </c>
      <c r="C739" s="55">
        <v>4</v>
      </c>
      <c r="D739" s="55">
        <v>1</v>
      </c>
      <c r="E739" s="55">
        <v>4</v>
      </c>
      <c r="F739" s="18" t="str">
        <f t="shared" si="11"/>
        <v>высокий</v>
      </c>
    </row>
    <row r="740" spans="2:6" x14ac:dyDescent="0.25">
      <c r="B740" s="98" t="s">
        <v>2932</v>
      </c>
      <c r="C740" s="55">
        <v>4</v>
      </c>
      <c r="D740" s="55">
        <v>1</v>
      </c>
      <c r="E740" s="55">
        <v>4</v>
      </c>
      <c r="F740" s="18" t="str">
        <f t="shared" si="11"/>
        <v>высокий</v>
      </c>
    </row>
    <row r="741" spans="2:6" x14ac:dyDescent="0.25">
      <c r="B741" s="98" t="s">
        <v>2933</v>
      </c>
      <c r="C741" s="55">
        <v>4</v>
      </c>
      <c r="D741" s="55">
        <v>1</v>
      </c>
      <c r="E741" s="55">
        <v>4</v>
      </c>
      <c r="F741" s="18" t="str">
        <f t="shared" si="11"/>
        <v>высокий</v>
      </c>
    </row>
    <row r="742" spans="2:6" x14ac:dyDescent="0.25">
      <c r="B742" s="98" t="s">
        <v>2934</v>
      </c>
      <c r="C742" s="55">
        <v>4</v>
      </c>
      <c r="D742" s="55">
        <v>1</v>
      </c>
      <c r="E742" s="55">
        <v>4</v>
      </c>
      <c r="F742" s="18" t="str">
        <f t="shared" si="11"/>
        <v>высокий</v>
      </c>
    </row>
    <row r="743" spans="2:6" x14ac:dyDescent="0.25">
      <c r="B743" s="98" t="s">
        <v>2935</v>
      </c>
      <c r="C743" s="55">
        <v>4</v>
      </c>
      <c r="D743" s="55">
        <v>1</v>
      </c>
      <c r="E743" s="55">
        <v>4</v>
      </c>
      <c r="F743" s="18" t="str">
        <f t="shared" si="11"/>
        <v>высокий</v>
      </c>
    </row>
    <row r="744" spans="2:6" x14ac:dyDescent="0.25">
      <c r="B744" s="98" t="s">
        <v>2936</v>
      </c>
      <c r="C744" s="55">
        <v>2</v>
      </c>
      <c r="D744" s="55">
        <v>1</v>
      </c>
      <c r="E744" s="55">
        <v>2</v>
      </c>
      <c r="F744" s="18" t="str">
        <f t="shared" si="11"/>
        <v>высокий</v>
      </c>
    </row>
    <row r="745" spans="2:6" x14ac:dyDescent="0.25">
      <c r="B745" s="98" t="s">
        <v>2937</v>
      </c>
      <c r="C745" s="55">
        <v>1</v>
      </c>
      <c r="D745" s="55">
        <v>1</v>
      </c>
      <c r="E745" s="55">
        <v>2</v>
      </c>
      <c r="F745" s="18" t="str">
        <f t="shared" si="11"/>
        <v>высокий</v>
      </c>
    </row>
    <row r="746" spans="2:6" x14ac:dyDescent="0.25">
      <c r="B746" s="98" t="s">
        <v>2938</v>
      </c>
      <c r="C746" s="55">
        <v>1</v>
      </c>
      <c r="D746" s="55">
        <v>1</v>
      </c>
      <c r="E746" s="55">
        <v>2</v>
      </c>
      <c r="F746" s="18" t="str">
        <f t="shared" si="11"/>
        <v>высокий</v>
      </c>
    </row>
    <row r="747" spans="2:6" x14ac:dyDescent="0.25">
      <c r="B747" s="98" t="s">
        <v>2939</v>
      </c>
      <c r="C747" s="55">
        <v>1</v>
      </c>
      <c r="D747" s="55">
        <v>1</v>
      </c>
      <c r="E747" s="55">
        <v>2</v>
      </c>
      <c r="F747" s="18" t="str">
        <f t="shared" si="11"/>
        <v>высокий</v>
      </c>
    </row>
    <row r="748" spans="2:6" x14ac:dyDescent="0.25">
      <c r="B748" s="98" t="s">
        <v>2940</v>
      </c>
      <c r="C748" s="55">
        <v>1</v>
      </c>
      <c r="D748" s="55"/>
      <c r="E748" s="55"/>
      <c r="F748" s="18" t="str">
        <f t="shared" si="11"/>
        <v>средний</v>
      </c>
    </row>
    <row r="749" spans="2:6" x14ac:dyDescent="0.25">
      <c r="B749" s="98" t="s">
        <v>2941</v>
      </c>
      <c r="C749" s="55">
        <v>1</v>
      </c>
      <c r="D749" s="55"/>
      <c r="E749" s="55">
        <v>5</v>
      </c>
      <c r="F749" s="18" t="str">
        <f t="shared" si="11"/>
        <v>средний</v>
      </c>
    </row>
    <row r="750" spans="2:6" x14ac:dyDescent="0.25">
      <c r="B750" s="98" t="s">
        <v>2942</v>
      </c>
      <c r="C750" s="55">
        <v>1</v>
      </c>
      <c r="D750" s="55"/>
      <c r="E750" s="55">
        <v>5</v>
      </c>
      <c r="F750" s="18" t="str">
        <f t="shared" si="11"/>
        <v>средний</v>
      </c>
    </row>
    <row r="751" spans="2:6" x14ac:dyDescent="0.25">
      <c r="B751" s="98" t="s">
        <v>2943</v>
      </c>
      <c r="C751" s="55">
        <v>1</v>
      </c>
      <c r="D751" s="55"/>
      <c r="E751" s="55">
        <v>5</v>
      </c>
      <c r="F751" s="18" t="str">
        <f t="shared" si="11"/>
        <v>средний</v>
      </c>
    </row>
    <row r="752" spans="2:6" x14ac:dyDescent="0.25">
      <c r="B752" s="98" t="s">
        <v>2944</v>
      </c>
      <c r="C752" s="55">
        <v>1</v>
      </c>
      <c r="D752" s="55"/>
      <c r="E752" s="55">
        <v>5</v>
      </c>
      <c r="F752" s="18" t="str">
        <f t="shared" si="11"/>
        <v>средний</v>
      </c>
    </row>
    <row r="753" spans="2:6" x14ac:dyDescent="0.25">
      <c r="B753" s="98" t="s">
        <v>2945</v>
      </c>
      <c r="C753" s="55">
        <v>1</v>
      </c>
      <c r="D753" s="55"/>
      <c r="E753" s="55">
        <v>3</v>
      </c>
      <c r="F753" s="18" t="str">
        <f t="shared" si="11"/>
        <v>средний</v>
      </c>
    </row>
    <row r="754" spans="2:6" x14ac:dyDescent="0.25">
      <c r="B754" s="98" t="s">
        <v>2946</v>
      </c>
      <c r="C754" s="55">
        <v>1</v>
      </c>
      <c r="D754" s="55"/>
      <c r="E754" s="55">
        <v>3</v>
      </c>
      <c r="F754" s="18" t="str">
        <f t="shared" si="11"/>
        <v>средний</v>
      </c>
    </row>
    <row r="755" spans="2:6" x14ac:dyDescent="0.25">
      <c r="B755" s="98" t="s">
        <v>2947</v>
      </c>
      <c r="C755" s="55">
        <v>1</v>
      </c>
      <c r="D755" s="55"/>
      <c r="E755" s="55">
        <v>3</v>
      </c>
      <c r="F755" s="18" t="str">
        <f t="shared" si="11"/>
        <v>средний</v>
      </c>
    </row>
    <row r="756" spans="2:6" x14ac:dyDescent="0.25">
      <c r="B756" s="98" t="s">
        <v>2948</v>
      </c>
      <c r="C756" s="55">
        <v>1</v>
      </c>
      <c r="D756" s="55"/>
      <c r="E756" s="55">
        <v>3</v>
      </c>
      <c r="F756" s="18" t="str">
        <f t="shared" si="11"/>
        <v>средний</v>
      </c>
    </row>
    <row r="757" spans="2:6" x14ac:dyDescent="0.25">
      <c r="B757" s="98" t="s">
        <v>2949</v>
      </c>
      <c r="C757" s="55">
        <v>6</v>
      </c>
      <c r="D757" s="55">
        <v>1</v>
      </c>
      <c r="E757" s="55">
        <v>1</v>
      </c>
      <c r="F757" s="18" t="str">
        <f t="shared" si="11"/>
        <v>высокий</v>
      </c>
    </row>
    <row r="758" spans="2:6" x14ac:dyDescent="0.25">
      <c r="B758" s="98" t="s">
        <v>2950</v>
      </c>
      <c r="C758" s="55">
        <v>5</v>
      </c>
      <c r="D758" s="55">
        <v>1</v>
      </c>
      <c r="E758" s="55"/>
      <c r="F758" s="18" t="str">
        <f t="shared" si="11"/>
        <v>высокий</v>
      </c>
    </row>
    <row r="759" spans="2:6" x14ac:dyDescent="0.25">
      <c r="B759" s="98" t="s">
        <v>2951</v>
      </c>
      <c r="C759" s="55">
        <v>5</v>
      </c>
      <c r="D759" s="55">
        <v>1</v>
      </c>
      <c r="E759" s="55"/>
      <c r="F759" s="18" t="str">
        <f t="shared" si="11"/>
        <v>высокий</v>
      </c>
    </row>
    <row r="760" spans="2:6" x14ac:dyDescent="0.25">
      <c r="B760" s="98" t="s">
        <v>2952</v>
      </c>
      <c r="C760" s="55">
        <v>5</v>
      </c>
      <c r="D760" s="55">
        <v>1</v>
      </c>
      <c r="E760" s="55"/>
      <c r="F760" s="18" t="str">
        <f t="shared" si="11"/>
        <v>высокий</v>
      </c>
    </row>
    <row r="761" spans="2:6" x14ac:dyDescent="0.25">
      <c r="B761" s="98" t="s">
        <v>2953</v>
      </c>
      <c r="C761" s="55">
        <v>5</v>
      </c>
      <c r="D761" s="55">
        <v>1</v>
      </c>
      <c r="E761" s="55"/>
      <c r="F761" s="18" t="str">
        <f t="shared" si="11"/>
        <v>высокий</v>
      </c>
    </row>
    <row r="762" spans="2:6" x14ac:dyDescent="0.25">
      <c r="B762" s="98" t="s">
        <v>2954</v>
      </c>
      <c r="C762" s="55">
        <v>4</v>
      </c>
      <c r="D762" s="55">
        <v>1</v>
      </c>
      <c r="E762" s="55"/>
      <c r="F762" s="18" t="str">
        <f t="shared" si="11"/>
        <v>высокий</v>
      </c>
    </row>
    <row r="763" spans="2:6" x14ac:dyDescent="0.25">
      <c r="B763" s="98" t="s">
        <v>2955</v>
      </c>
      <c r="C763" s="55">
        <v>2</v>
      </c>
      <c r="D763" s="55">
        <v>2</v>
      </c>
      <c r="E763" s="55">
        <v>4</v>
      </c>
      <c r="F763" s="18" t="str">
        <f t="shared" si="11"/>
        <v>высокий</v>
      </c>
    </row>
    <row r="764" spans="2:6" x14ac:dyDescent="0.25">
      <c r="B764" s="98" t="s">
        <v>2956</v>
      </c>
      <c r="C764" s="55">
        <v>2</v>
      </c>
      <c r="D764" s="55">
        <v>2</v>
      </c>
      <c r="E764" s="55">
        <v>4</v>
      </c>
      <c r="F764" s="18" t="str">
        <f t="shared" si="11"/>
        <v>высокий</v>
      </c>
    </row>
    <row r="765" spans="2:6" x14ac:dyDescent="0.25">
      <c r="B765" s="98" t="s">
        <v>2957</v>
      </c>
      <c r="C765" s="55">
        <v>2</v>
      </c>
      <c r="D765" s="55">
        <v>2</v>
      </c>
      <c r="E765" s="55">
        <v>4</v>
      </c>
      <c r="F765" s="18" t="str">
        <f t="shared" si="11"/>
        <v>высокий</v>
      </c>
    </row>
    <row r="766" spans="2:6" x14ac:dyDescent="0.25">
      <c r="B766" s="98" t="s">
        <v>2958</v>
      </c>
      <c r="C766" s="55">
        <v>2</v>
      </c>
      <c r="D766" s="55">
        <v>2</v>
      </c>
      <c r="E766" s="55">
        <v>4</v>
      </c>
      <c r="F766" s="18" t="str">
        <f t="shared" si="11"/>
        <v>высокий</v>
      </c>
    </row>
    <row r="767" spans="2:6" x14ac:dyDescent="0.25">
      <c r="B767" s="98" t="s">
        <v>2959</v>
      </c>
      <c r="C767" s="55">
        <v>3</v>
      </c>
      <c r="D767" s="55">
        <v>4</v>
      </c>
      <c r="E767" s="55"/>
      <c r="F767" s="18" t="str">
        <f t="shared" si="11"/>
        <v>высокий</v>
      </c>
    </row>
    <row r="768" spans="2:6" x14ac:dyDescent="0.25">
      <c r="B768" s="98" t="s">
        <v>2960</v>
      </c>
      <c r="C768" s="55">
        <v>3</v>
      </c>
      <c r="D768" s="55">
        <v>4</v>
      </c>
      <c r="E768" s="55"/>
      <c r="F768" s="18" t="str">
        <f t="shared" si="11"/>
        <v>высокий</v>
      </c>
    </row>
    <row r="769" spans="2:6" x14ac:dyDescent="0.25">
      <c r="B769" s="98" t="s">
        <v>2961</v>
      </c>
      <c r="C769" s="55">
        <v>3</v>
      </c>
      <c r="D769" s="55">
        <v>4</v>
      </c>
      <c r="E769" s="55"/>
      <c r="F769" s="18" t="str">
        <f t="shared" si="11"/>
        <v>высокий</v>
      </c>
    </row>
    <row r="770" spans="2:6" x14ac:dyDescent="0.25">
      <c r="B770" s="98" t="s">
        <v>2962</v>
      </c>
      <c r="C770" s="55">
        <v>3</v>
      </c>
      <c r="D770" s="55">
        <v>4</v>
      </c>
      <c r="E770" s="55"/>
      <c r="F770" s="18" t="str">
        <f t="shared" si="11"/>
        <v>высокий</v>
      </c>
    </row>
    <row r="771" spans="2:6" x14ac:dyDescent="0.25">
      <c r="B771" s="98" t="s">
        <v>2963</v>
      </c>
      <c r="C771" s="55">
        <v>3</v>
      </c>
      <c r="D771" s="55">
        <v>4</v>
      </c>
      <c r="E771" s="55"/>
      <c r="F771" s="18" t="str">
        <f t="shared" si="11"/>
        <v>высокий</v>
      </c>
    </row>
    <row r="772" spans="2:6" x14ac:dyDescent="0.25">
      <c r="B772" s="98" t="s">
        <v>2964</v>
      </c>
      <c r="C772" s="55"/>
      <c r="D772" s="55"/>
      <c r="E772" s="55">
        <v>2</v>
      </c>
      <c r="F772" s="18" t="str">
        <f t="shared" si="11"/>
        <v>низкий</v>
      </c>
    </row>
    <row r="773" spans="2:6" x14ac:dyDescent="0.25">
      <c r="B773" s="98" t="s">
        <v>2965</v>
      </c>
      <c r="C773" s="55"/>
      <c r="D773" s="55">
        <v>1</v>
      </c>
      <c r="E773" s="55"/>
      <c r="F773" s="18" t="str">
        <f t="shared" si="11"/>
        <v>высокий</v>
      </c>
    </row>
    <row r="774" spans="2:6" x14ac:dyDescent="0.25">
      <c r="B774" s="98" t="s">
        <v>2966</v>
      </c>
      <c r="C774" s="55"/>
      <c r="D774" s="55">
        <v>1</v>
      </c>
      <c r="E774" s="55">
        <v>1</v>
      </c>
      <c r="F774" s="18" t="str">
        <f t="shared" si="11"/>
        <v>высокий</v>
      </c>
    </row>
    <row r="775" spans="2:6" x14ac:dyDescent="0.25">
      <c r="B775" s="98" t="s">
        <v>2967</v>
      </c>
      <c r="C775" s="55"/>
      <c r="D775" s="55">
        <v>1</v>
      </c>
      <c r="E775" s="55">
        <v>1</v>
      </c>
      <c r="F775" s="18" t="str">
        <f t="shared" si="11"/>
        <v>высокий</v>
      </c>
    </row>
    <row r="776" spans="2:6" x14ac:dyDescent="0.25">
      <c r="B776" s="98" t="s">
        <v>2968</v>
      </c>
      <c r="C776" s="55"/>
      <c r="D776" s="55">
        <v>1</v>
      </c>
      <c r="E776" s="55">
        <v>1</v>
      </c>
      <c r="F776" s="18" t="str">
        <f t="shared" ref="F776:F839" si="12">IF(D776&gt;0,"высокий",IF(C776&gt;0,"средний","низкий"))</f>
        <v>высокий</v>
      </c>
    </row>
    <row r="777" spans="2:6" x14ac:dyDescent="0.25">
      <c r="B777" s="98" t="s">
        <v>2969</v>
      </c>
      <c r="C777" s="55"/>
      <c r="D777" s="55">
        <v>1</v>
      </c>
      <c r="E777" s="55">
        <v>1</v>
      </c>
      <c r="F777" s="18" t="str">
        <f t="shared" si="12"/>
        <v>высокий</v>
      </c>
    </row>
    <row r="778" spans="2:6" x14ac:dyDescent="0.25">
      <c r="B778" s="98" t="s">
        <v>2970</v>
      </c>
      <c r="C778" s="55"/>
      <c r="D778" s="55">
        <v>1</v>
      </c>
      <c r="E778" s="55"/>
      <c r="F778" s="18" t="str">
        <f t="shared" si="12"/>
        <v>высокий</v>
      </c>
    </row>
    <row r="779" spans="2:6" x14ac:dyDescent="0.25">
      <c r="B779" s="98" t="s">
        <v>2971</v>
      </c>
      <c r="C779" s="55">
        <v>2</v>
      </c>
      <c r="D779" s="55">
        <v>1</v>
      </c>
      <c r="E779" s="55">
        <v>1</v>
      </c>
      <c r="F779" s="18" t="str">
        <f t="shared" si="12"/>
        <v>высокий</v>
      </c>
    </row>
    <row r="780" spans="2:6" x14ac:dyDescent="0.25">
      <c r="B780" s="98" t="s">
        <v>2972</v>
      </c>
      <c r="C780" s="55">
        <v>1</v>
      </c>
      <c r="D780" s="55">
        <v>1</v>
      </c>
      <c r="E780" s="55">
        <v>1</v>
      </c>
      <c r="F780" s="18" t="str">
        <f t="shared" si="12"/>
        <v>высокий</v>
      </c>
    </row>
    <row r="781" spans="2:6" x14ac:dyDescent="0.25">
      <c r="B781" s="98" t="s">
        <v>2973</v>
      </c>
      <c r="C781" s="55">
        <v>1</v>
      </c>
      <c r="D781" s="55">
        <v>1</v>
      </c>
      <c r="E781" s="55">
        <v>1</v>
      </c>
      <c r="F781" s="18" t="str">
        <f t="shared" si="12"/>
        <v>высокий</v>
      </c>
    </row>
    <row r="782" spans="2:6" x14ac:dyDescent="0.25">
      <c r="B782" s="98" t="s">
        <v>2974</v>
      </c>
      <c r="C782" s="55">
        <v>1</v>
      </c>
      <c r="D782" s="55">
        <v>1</v>
      </c>
      <c r="E782" s="55">
        <v>1</v>
      </c>
      <c r="F782" s="18" t="str">
        <f t="shared" si="12"/>
        <v>высокий</v>
      </c>
    </row>
    <row r="783" spans="2:6" x14ac:dyDescent="0.25">
      <c r="B783" s="98" t="s">
        <v>2975</v>
      </c>
      <c r="C783" s="55">
        <v>1</v>
      </c>
      <c r="D783" s="55">
        <v>1</v>
      </c>
      <c r="E783" s="55">
        <v>1</v>
      </c>
      <c r="F783" s="18" t="str">
        <f t="shared" si="12"/>
        <v>высокий</v>
      </c>
    </row>
    <row r="784" spans="2:6" x14ac:dyDescent="0.25">
      <c r="B784" s="98" t="s">
        <v>2976</v>
      </c>
      <c r="C784" s="55">
        <v>1</v>
      </c>
      <c r="D784" s="55"/>
      <c r="E784" s="55"/>
      <c r="F784" s="18" t="str">
        <f t="shared" si="12"/>
        <v>средний</v>
      </c>
    </row>
    <row r="785" spans="2:6" x14ac:dyDescent="0.25">
      <c r="B785" s="98" t="s">
        <v>2977</v>
      </c>
      <c r="C785" s="55"/>
      <c r="D785" s="55">
        <v>1</v>
      </c>
      <c r="E785" s="55"/>
      <c r="F785" s="18" t="str">
        <f t="shared" si="12"/>
        <v>высокий</v>
      </c>
    </row>
    <row r="786" spans="2:6" x14ac:dyDescent="0.25">
      <c r="B786" s="98" t="s">
        <v>2978</v>
      </c>
      <c r="C786" s="55"/>
      <c r="D786" s="55">
        <v>1</v>
      </c>
      <c r="E786" s="55"/>
      <c r="F786" s="18" t="str">
        <f t="shared" si="12"/>
        <v>высокий</v>
      </c>
    </row>
    <row r="787" spans="2:6" x14ac:dyDescent="0.25">
      <c r="B787" s="98" t="s">
        <v>2979</v>
      </c>
      <c r="C787" s="55"/>
      <c r="D787" s="55">
        <v>1</v>
      </c>
      <c r="E787" s="55"/>
      <c r="F787" s="18" t="str">
        <f t="shared" si="12"/>
        <v>высокий</v>
      </c>
    </row>
    <row r="788" spans="2:6" x14ac:dyDescent="0.25">
      <c r="B788" s="98" t="s">
        <v>2980</v>
      </c>
      <c r="C788" s="55">
        <v>1</v>
      </c>
      <c r="D788" s="55"/>
      <c r="E788" s="55"/>
      <c r="F788" s="18" t="str">
        <f t="shared" si="12"/>
        <v>средний</v>
      </c>
    </row>
    <row r="789" spans="2:6" x14ac:dyDescent="0.25">
      <c r="B789" s="98" t="s">
        <v>2981</v>
      </c>
      <c r="C789" s="55">
        <v>1</v>
      </c>
      <c r="D789" s="55"/>
      <c r="E789" s="55"/>
      <c r="F789" s="18" t="str">
        <f t="shared" si="12"/>
        <v>средний</v>
      </c>
    </row>
    <row r="790" spans="2:6" x14ac:dyDescent="0.25">
      <c r="B790" s="98" t="s">
        <v>2982</v>
      </c>
      <c r="C790" s="55">
        <v>1</v>
      </c>
      <c r="D790" s="55"/>
      <c r="E790" s="55"/>
      <c r="F790" s="18" t="str">
        <f t="shared" si="12"/>
        <v>средний</v>
      </c>
    </row>
    <row r="791" spans="2:6" x14ac:dyDescent="0.25">
      <c r="B791" s="98" t="s">
        <v>2983</v>
      </c>
      <c r="C791" s="55"/>
      <c r="D791" s="55"/>
      <c r="E791" s="55">
        <v>1</v>
      </c>
      <c r="F791" s="18" t="str">
        <f t="shared" si="12"/>
        <v>низкий</v>
      </c>
    </row>
    <row r="792" spans="2:6" x14ac:dyDescent="0.25">
      <c r="B792" s="98" t="s">
        <v>2984</v>
      </c>
      <c r="C792" s="55"/>
      <c r="D792" s="55"/>
      <c r="E792" s="55">
        <v>4</v>
      </c>
      <c r="F792" s="18" t="str">
        <f t="shared" si="12"/>
        <v>низкий</v>
      </c>
    </row>
    <row r="793" spans="2:6" x14ac:dyDescent="0.25">
      <c r="B793" s="98" t="s">
        <v>2985</v>
      </c>
      <c r="C793" s="55"/>
      <c r="D793" s="55"/>
      <c r="E793" s="55">
        <v>4</v>
      </c>
      <c r="F793" s="18" t="str">
        <f t="shared" si="12"/>
        <v>низкий</v>
      </c>
    </row>
    <row r="794" spans="2:6" x14ac:dyDescent="0.25">
      <c r="B794" s="98" t="s">
        <v>2986</v>
      </c>
      <c r="C794" s="55"/>
      <c r="D794" s="55"/>
      <c r="E794" s="55">
        <v>4</v>
      </c>
      <c r="F794" s="18" t="str">
        <f t="shared" si="12"/>
        <v>низкий</v>
      </c>
    </row>
    <row r="795" spans="2:6" x14ac:dyDescent="0.25">
      <c r="B795" s="98" t="s">
        <v>2987</v>
      </c>
      <c r="C795" s="55"/>
      <c r="D795" s="55"/>
      <c r="E795" s="55">
        <v>4</v>
      </c>
      <c r="F795" s="18" t="str">
        <f t="shared" si="12"/>
        <v>низкий</v>
      </c>
    </row>
    <row r="796" spans="2:6" x14ac:dyDescent="0.25">
      <c r="B796" s="98" t="s">
        <v>2988</v>
      </c>
      <c r="C796" s="55"/>
      <c r="D796" s="55"/>
      <c r="E796" s="55">
        <v>4</v>
      </c>
      <c r="F796" s="18" t="str">
        <f t="shared" si="12"/>
        <v>низкий</v>
      </c>
    </row>
    <row r="797" spans="2:6" x14ac:dyDescent="0.25">
      <c r="B797" s="98" t="s">
        <v>2989</v>
      </c>
      <c r="C797" s="55"/>
      <c r="D797" s="55"/>
      <c r="E797" s="55">
        <v>4</v>
      </c>
      <c r="F797" s="18" t="str">
        <f t="shared" si="12"/>
        <v>низкий</v>
      </c>
    </row>
    <row r="798" spans="2:6" x14ac:dyDescent="0.25">
      <c r="B798" s="98" t="s">
        <v>2990</v>
      </c>
      <c r="C798" s="55"/>
      <c r="D798" s="55"/>
      <c r="E798" s="55">
        <v>4</v>
      </c>
      <c r="F798" s="18" t="str">
        <f t="shared" si="12"/>
        <v>низкий</v>
      </c>
    </row>
    <row r="799" spans="2:6" x14ac:dyDescent="0.25">
      <c r="B799" s="98" t="s">
        <v>2991</v>
      </c>
      <c r="C799" s="55"/>
      <c r="D799" s="55"/>
      <c r="E799" s="55">
        <v>4</v>
      </c>
      <c r="F799" s="18" t="str">
        <f t="shared" si="12"/>
        <v>низкий</v>
      </c>
    </row>
    <row r="800" spans="2:6" x14ac:dyDescent="0.25">
      <c r="B800" s="98" t="s">
        <v>2992</v>
      </c>
      <c r="C800" s="55"/>
      <c r="D800" s="55">
        <v>1</v>
      </c>
      <c r="E800" s="55"/>
      <c r="F800" s="18" t="str">
        <f t="shared" si="12"/>
        <v>высокий</v>
      </c>
    </row>
    <row r="801" spans="2:6" x14ac:dyDescent="0.25">
      <c r="B801" s="98" t="s">
        <v>2993</v>
      </c>
      <c r="C801" s="55">
        <v>1</v>
      </c>
      <c r="D801" s="55">
        <v>1</v>
      </c>
      <c r="E801" s="55"/>
      <c r="F801" s="18" t="str">
        <f t="shared" si="12"/>
        <v>высокий</v>
      </c>
    </row>
    <row r="802" spans="2:6" x14ac:dyDescent="0.25">
      <c r="B802" s="98" t="s">
        <v>2994</v>
      </c>
      <c r="C802" s="55"/>
      <c r="D802" s="55">
        <v>2</v>
      </c>
      <c r="E802" s="55"/>
      <c r="F802" s="18" t="str">
        <f t="shared" si="12"/>
        <v>высокий</v>
      </c>
    </row>
    <row r="803" spans="2:6" x14ac:dyDescent="0.25">
      <c r="B803" s="98" t="s">
        <v>2995</v>
      </c>
      <c r="C803" s="55">
        <v>1</v>
      </c>
      <c r="D803" s="55">
        <v>2</v>
      </c>
      <c r="E803" s="55">
        <v>1</v>
      </c>
      <c r="F803" s="18" t="str">
        <f t="shared" si="12"/>
        <v>высокий</v>
      </c>
    </row>
    <row r="804" spans="2:6" x14ac:dyDescent="0.25">
      <c r="B804" s="98" t="s">
        <v>2996</v>
      </c>
      <c r="C804" s="55">
        <v>1</v>
      </c>
      <c r="D804" s="55">
        <v>1</v>
      </c>
      <c r="E804" s="55">
        <v>2</v>
      </c>
      <c r="F804" s="18" t="str">
        <f t="shared" si="12"/>
        <v>высокий</v>
      </c>
    </row>
    <row r="805" spans="2:6" x14ac:dyDescent="0.25">
      <c r="B805" s="98" t="s">
        <v>2997</v>
      </c>
      <c r="C805" s="55"/>
      <c r="D805" s="55"/>
      <c r="E805" s="55">
        <v>1</v>
      </c>
      <c r="F805" s="18" t="str">
        <f t="shared" si="12"/>
        <v>низкий</v>
      </c>
    </row>
    <row r="806" spans="2:6" x14ac:dyDescent="0.25">
      <c r="B806" s="98" t="s">
        <v>2998</v>
      </c>
      <c r="C806" s="55"/>
      <c r="D806" s="55">
        <v>1</v>
      </c>
      <c r="E806" s="55">
        <v>1</v>
      </c>
      <c r="F806" s="18" t="str">
        <f t="shared" si="12"/>
        <v>высокий</v>
      </c>
    </row>
    <row r="807" spans="2:6" x14ac:dyDescent="0.25">
      <c r="B807" s="98" t="s">
        <v>2999</v>
      </c>
      <c r="C807" s="55">
        <v>1</v>
      </c>
      <c r="D807" s="55"/>
      <c r="E807" s="55">
        <v>1</v>
      </c>
      <c r="F807" s="18" t="str">
        <f t="shared" si="12"/>
        <v>средний</v>
      </c>
    </row>
    <row r="808" spans="2:6" x14ac:dyDescent="0.25">
      <c r="B808" s="98" t="s">
        <v>3000</v>
      </c>
      <c r="C808" s="55">
        <v>3</v>
      </c>
      <c r="D808" s="55"/>
      <c r="E808" s="55"/>
      <c r="F808" s="18" t="str">
        <f t="shared" si="12"/>
        <v>средний</v>
      </c>
    </row>
    <row r="809" spans="2:6" x14ac:dyDescent="0.25">
      <c r="B809" s="98" t="s">
        <v>3001</v>
      </c>
      <c r="C809" s="55">
        <v>1</v>
      </c>
      <c r="D809" s="55"/>
      <c r="E809" s="55">
        <v>2</v>
      </c>
      <c r="F809" s="18" t="str">
        <f t="shared" si="12"/>
        <v>средний</v>
      </c>
    </row>
    <row r="810" spans="2:6" x14ac:dyDescent="0.25">
      <c r="B810" s="98" t="s">
        <v>3002</v>
      </c>
      <c r="C810" s="55">
        <v>1</v>
      </c>
      <c r="D810" s="55">
        <v>1</v>
      </c>
      <c r="E810" s="55">
        <v>1</v>
      </c>
      <c r="F810" s="18" t="str">
        <f t="shared" si="12"/>
        <v>высокий</v>
      </c>
    </row>
    <row r="811" spans="2:6" x14ac:dyDescent="0.25">
      <c r="B811" s="98" t="s">
        <v>3003</v>
      </c>
      <c r="C811" s="55">
        <v>1</v>
      </c>
      <c r="D811" s="55">
        <v>1</v>
      </c>
      <c r="E811" s="55">
        <v>1</v>
      </c>
      <c r="F811" s="18" t="str">
        <f t="shared" si="12"/>
        <v>высокий</v>
      </c>
    </row>
    <row r="812" spans="2:6" x14ac:dyDescent="0.25">
      <c r="B812" s="98" t="s">
        <v>3004</v>
      </c>
      <c r="C812" s="55"/>
      <c r="D812" s="55">
        <v>1</v>
      </c>
      <c r="E812" s="55"/>
      <c r="F812" s="18" t="str">
        <f t="shared" si="12"/>
        <v>высокий</v>
      </c>
    </row>
    <row r="813" spans="2:6" x14ac:dyDescent="0.25">
      <c r="B813" s="98" t="s">
        <v>3005</v>
      </c>
      <c r="C813" s="55">
        <v>1</v>
      </c>
      <c r="D813" s="55">
        <v>1</v>
      </c>
      <c r="E813" s="55"/>
      <c r="F813" s="18" t="str">
        <f t="shared" si="12"/>
        <v>высокий</v>
      </c>
    </row>
    <row r="814" spans="2:6" x14ac:dyDescent="0.25">
      <c r="B814" s="98" t="s">
        <v>3006</v>
      </c>
      <c r="C814" s="55"/>
      <c r="D814" s="55"/>
      <c r="E814" s="55">
        <v>1</v>
      </c>
      <c r="F814" s="18" t="str">
        <f t="shared" si="12"/>
        <v>низкий</v>
      </c>
    </row>
    <row r="815" spans="2:6" x14ac:dyDescent="0.25">
      <c r="B815" s="98" t="s">
        <v>3008</v>
      </c>
      <c r="C815" s="55">
        <v>1</v>
      </c>
      <c r="D815" s="55">
        <v>1</v>
      </c>
      <c r="E815" s="55"/>
      <c r="F815" s="18" t="str">
        <f t="shared" si="12"/>
        <v>высокий</v>
      </c>
    </row>
    <row r="816" spans="2:6" x14ac:dyDescent="0.25">
      <c r="B816" s="98" t="s">
        <v>3009</v>
      </c>
      <c r="C816" s="55"/>
      <c r="D816" s="55">
        <v>1</v>
      </c>
      <c r="E816" s="55"/>
      <c r="F816" s="18" t="str">
        <f t="shared" si="12"/>
        <v>высокий</v>
      </c>
    </row>
    <row r="817" spans="2:6" x14ac:dyDescent="0.25">
      <c r="B817" s="98" t="s">
        <v>3010</v>
      </c>
      <c r="C817" s="55"/>
      <c r="D817" s="55">
        <v>2</v>
      </c>
      <c r="E817" s="55"/>
      <c r="F817" s="18" t="str">
        <f t="shared" si="12"/>
        <v>высокий</v>
      </c>
    </row>
    <row r="818" spans="2:6" x14ac:dyDescent="0.25">
      <c r="B818" s="98" t="s">
        <v>3011</v>
      </c>
      <c r="C818" s="55">
        <v>3</v>
      </c>
      <c r="D818" s="55"/>
      <c r="E818" s="55"/>
      <c r="F818" s="18" t="str">
        <f t="shared" si="12"/>
        <v>средний</v>
      </c>
    </row>
    <row r="819" spans="2:6" x14ac:dyDescent="0.25">
      <c r="B819" s="98" t="s">
        <v>3012</v>
      </c>
      <c r="C819" s="55"/>
      <c r="D819" s="55"/>
      <c r="E819" s="55">
        <v>1</v>
      </c>
      <c r="F819" s="18" t="str">
        <f t="shared" si="12"/>
        <v>низкий</v>
      </c>
    </row>
    <row r="820" spans="2:6" x14ac:dyDescent="0.25">
      <c r="B820" s="98" t="s">
        <v>3013</v>
      </c>
      <c r="C820" s="55">
        <v>1</v>
      </c>
      <c r="D820" s="55">
        <v>1</v>
      </c>
      <c r="E820" s="55">
        <v>2</v>
      </c>
      <c r="F820" s="18" t="str">
        <f t="shared" si="12"/>
        <v>высокий</v>
      </c>
    </row>
    <row r="821" spans="2:6" x14ac:dyDescent="0.25">
      <c r="B821" s="98" t="s">
        <v>3014</v>
      </c>
      <c r="C821" s="55">
        <v>1</v>
      </c>
      <c r="D821" s="55"/>
      <c r="E821" s="55">
        <v>1</v>
      </c>
      <c r="F821" s="18" t="str">
        <f t="shared" si="12"/>
        <v>средний</v>
      </c>
    </row>
    <row r="822" spans="2:6" x14ac:dyDescent="0.25">
      <c r="B822" s="98" t="s">
        <v>3015</v>
      </c>
      <c r="C822" s="55">
        <v>1</v>
      </c>
      <c r="D822" s="55"/>
      <c r="E822" s="55"/>
      <c r="F822" s="18" t="str">
        <f t="shared" si="12"/>
        <v>средний</v>
      </c>
    </row>
    <row r="823" spans="2:6" x14ac:dyDescent="0.25">
      <c r="B823" s="98" t="s">
        <v>3016</v>
      </c>
      <c r="C823" s="55">
        <v>1</v>
      </c>
      <c r="D823" s="55">
        <v>1</v>
      </c>
      <c r="E823" s="55">
        <v>1</v>
      </c>
      <c r="F823" s="18" t="str">
        <f t="shared" si="12"/>
        <v>высокий</v>
      </c>
    </row>
    <row r="824" spans="2:6" x14ac:dyDescent="0.25">
      <c r="B824" s="98" t="s">
        <v>3017</v>
      </c>
      <c r="C824" s="55">
        <v>1</v>
      </c>
      <c r="D824" s="55">
        <v>1</v>
      </c>
      <c r="E824" s="55"/>
      <c r="F824" s="18" t="str">
        <f t="shared" si="12"/>
        <v>высокий</v>
      </c>
    </row>
    <row r="825" spans="2:6" x14ac:dyDescent="0.25">
      <c r="B825" s="98" t="s">
        <v>3018</v>
      </c>
      <c r="C825" s="55"/>
      <c r="D825" s="55">
        <v>2</v>
      </c>
      <c r="E825" s="55">
        <v>1</v>
      </c>
      <c r="F825" s="18" t="str">
        <f t="shared" si="12"/>
        <v>высокий</v>
      </c>
    </row>
    <row r="826" spans="2:6" x14ac:dyDescent="0.25">
      <c r="B826" s="98" t="s">
        <v>3019</v>
      </c>
      <c r="C826" s="55">
        <v>1</v>
      </c>
      <c r="D826" s="55"/>
      <c r="E826" s="55">
        <v>1</v>
      </c>
      <c r="F826" s="18" t="str">
        <f t="shared" si="12"/>
        <v>средний</v>
      </c>
    </row>
    <row r="827" spans="2:6" x14ac:dyDescent="0.25">
      <c r="B827" s="98" t="s">
        <v>3020</v>
      </c>
      <c r="C827" s="55">
        <v>1</v>
      </c>
      <c r="D827" s="55"/>
      <c r="E827" s="55">
        <v>1</v>
      </c>
      <c r="F827" s="18" t="str">
        <f t="shared" si="12"/>
        <v>средний</v>
      </c>
    </row>
    <row r="828" spans="2:6" x14ac:dyDescent="0.25">
      <c r="B828" s="98" t="s">
        <v>3021</v>
      </c>
      <c r="C828" s="55"/>
      <c r="D828" s="55">
        <v>1</v>
      </c>
      <c r="E828" s="55">
        <v>2</v>
      </c>
      <c r="F828" s="18" t="str">
        <f t="shared" si="12"/>
        <v>высокий</v>
      </c>
    </row>
    <row r="829" spans="2:6" x14ac:dyDescent="0.25">
      <c r="B829" s="98" t="s">
        <v>3022</v>
      </c>
      <c r="C829" s="55"/>
      <c r="D829" s="55">
        <v>1</v>
      </c>
      <c r="E829" s="55">
        <v>1</v>
      </c>
      <c r="F829" s="18" t="str">
        <f t="shared" si="12"/>
        <v>высокий</v>
      </c>
    </row>
    <row r="830" spans="2:6" x14ac:dyDescent="0.25">
      <c r="B830" s="98" t="s">
        <v>3023</v>
      </c>
      <c r="C830" s="55">
        <v>1</v>
      </c>
      <c r="D830" s="55">
        <v>1</v>
      </c>
      <c r="E830" s="55">
        <v>1</v>
      </c>
      <c r="F830" s="18" t="str">
        <f t="shared" si="12"/>
        <v>высокий</v>
      </c>
    </row>
    <row r="831" spans="2:6" x14ac:dyDescent="0.25">
      <c r="B831" s="98" t="s">
        <v>3024</v>
      </c>
      <c r="C831" s="55"/>
      <c r="D831" s="55"/>
      <c r="E831" s="55">
        <v>4</v>
      </c>
      <c r="F831" s="18" t="str">
        <f t="shared" si="12"/>
        <v>низкий</v>
      </c>
    </row>
    <row r="832" spans="2:6" x14ac:dyDescent="0.25">
      <c r="B832" s="98" t="s">
        <v>3025</v>
      </c>
      <c r="C832" s="55">
        <v>1</v>
      </c>
      <c r="D832" s="55"/>
      <c r="E832" s="55">
        <v>1</v>
      </c>
      <c r="F832" s="18" t="str">
        <f t="shared" si="12"/>
        <v>средний</v>
      </c>
    </row>
    <row r="833" spans="2:6" x14ac:dyDescent="0.25">
      <c r="B833" s="98" t="s">
        <v>3026</v>
      </c>
      <c r="C833" s="55"/>
      <c r="D833" s="55"/>
      <c r="E833" s="55">
        <v>1</v>
      </c>
      <c r="F833" s="18" t="str">
        <f t="shared" si="12"/>
        <v>низкий</v>
      </c>
    </row>
    <row r="834" spans="2:6" x14ac:dyDescent="0.25">
      <c r="B834" s="98" t="s">
        <v>3027</v>
      </c>
      <c r="C834" s="55">
        <v>1</v>
      </c>
      <c r="D834" s="55"/>
      <c r="E834" s="55"/>
      <c r="F834" s="18" t="str">
        <f t="shared" si="12"/>
        <v>средний</v>
      </c>
    </row>
    <row r="835" spans="2:6" x14ac:dyDescent="0.25">
      <c r="B835" s="98" t="s">
        <v>3028</v>
      </c>
      <c r="C835" s="55"/>
      <c r="D835" s="55"/>
      <c r="E835" s="55">
        <v>2</v>
      </c>
      <c r="F835" s="18" t="str">
        <f t="shared" si="12"/>
        <v>низкий</v>
      </c>
    </row>
    <row r="836" spans="2:6" x14ac:dyDescent="0.25">
      <c r="B836" s="98" t="s">
        <v>3029</v>
      </c>
      <c r="C836" s="55">
        <v>1</v>
      </c>
      <c r="D836" s="55"/>
      <c r="E836" s="55"/>
      <c r="F836" s="18" t="str">
        <f t="shared" si="12"/>
        <v>средний</v>
      </c>
    </row>
    <row r="837" spans="2:6" x14ac:dyDescent="0.25">
      <c r="B837" s="98" t="s">
        <v>3030</v>
      </c>
      <c r="C837" s="55"/>
      <c r="D837" s="55"/>
      <c r="E837" s="55">
        <v>1</v>
      </c>
      <c r="F837" s="18" t="str">
        <f t="shared" si="12"/>
        <v>низкий</v>
      </c>
    </row>
    <row r="838" spans="2:6" x14ac:dyDescent="0.25">
      <c r="B838" s="98" t="s">
        <v>3031</v>
      </c>
      <c r="C838" s="55">
        <v>1</v>
      </c>
      <c r="D838" s="55">
        <v>1</v>
      </c>
      <c r="E838" s="55"/>
      <c r="F838" s="18" t="str">
        <f t="shared" si="12"/>
        <v>высокий</v>
      </c>
    </row>
    <row r="839" spans="2:6" x14ac:dyDescent="0.25">
      <c r="B839" s="98" t="s">
        <v>3032</v>
      </c>
      <c r="C839" s="55"/>
      <c r="D839" s="55">
        <v>1</v>
      </c>
      <c r="E839" s="55">
        <v>1</v>
      </c>
      <c r="F839" s="18" t="str">
        <f t="shared" si="12"/>
        <v>высокий</v>
      </c>
    </row>
    <row r="840" spans="2:6" x14ac:dyDescent="0.25">
      <c r="B840" s="98" t="s">
        <v>3033</v>
      </c>
      <c r="C840" s="55">
        <v>1</v>
      </c>
      <c r="D840" s="55"/>
      <c r="E840" s="55">
        <v>1</v>
      </c>
      <c r="F840" s="18" t="str">
        <f t="shared" ref="F840:F903" si="13">IF(D840&gt;0,"высокий",IF(C840&gt;0,"средний","низкий"))</f>
        <v>средний</v>
      </c>
    </row>
    <row r="841" spans="2:6" x14ac:dyDescent="0.25">
      <c r="B841" s="98" t="s">
        <v>3034</v>
      </c>
      <c r="C841" s="55"/>
      <c r="D841" s="55"/>
      <c r="E841" s="55">
        <v>3</v>
      </c>
      <c r="F841" s="18" t="str">
        <f t="shared" si="13"/>
        <v>низкий</v>
      </c>
    </row>
    <row r="842" spans="2:6" x14ac:dyDescent="0.25">
      <c r="B842" s="98" t="s">
        <v>3035</v>
      </c>
      <c r="C842" s="55"/>
      <c r="D842" s="55"/>
      <c r="E842" s="55">
        <v>1</v>
      </c>
      <c r="F842" s="18" t="str">
        <f t="shared" si="13"/>
        <v>низкий</v>
      </c>
    </row>
    <row r="843" spans="2:6" x14ac:dyDescent="0.25">
      <c r="B843" s="98" t="s">
        <v>3036</v>
      </c>
      <c r="C843" s="55">
        <v>1</v>
      </c>
      <c r="D843" s="55"/>
      <c r="E843" s="55">
        <v>1</v>
      </c>
      <c r="F843" s="18" t="str">
        <f t="shared" si="13"/>
        <v>средний</v>
      </c>
    </row>
    <row r="844" spans="2:6" x14ac:dyDescent="0.25">
      <c r="B844" s="98" t="s">
        <v>3037</v>
      </c>
      <c r="C844" s="55">
        <v>1</v>
      </c>
      <c r="D844" s="55"/>
      <c r="E844" s="55">
        <v>1</v>
      </c>
      <c r="F844" s="18" t="str">
        <f t="shared" si="13"/>
        <v>средний</v>
      </c>
    </row>
    <row r="845" spans="2:6" x14ac:dyDescent="0.25">
      <c r="B845" s="98" t="s">
        <v>3038</v>
      </c>
      <c r="C845" s="55"/>
      <c r="D845" s="55">
        <v>1</v>
      </c>
      <c r="E845" s="55">
        <v>1</v>
      </c>
      <c r="F845" s="18" t="str">
        <f t="shared" si="13"/>
        <v>высокий</v>
      </c>
    </row>
    <row r="846" spans="2:6" x14ac:dyDescent="0.25">
      <c r="B846" s="98" t="s">
        <v>3039</v>
      </c>
      <c r="C846" s="55"/>
      <c r="D846" s="55"/>
      <c r="E846" s="55">
        <v>2</v>
      </c>
      <c r="F846" s="18" t="str">
        <f t="shared" si="13"/>
        <v>низкий</v>
      </c>
    </row>
    <row r="847" spans="2:6" x14ac:dyDescent="0.25">
      <c r="B847" s="98" t="s">
        <v>3040</v>
      </c>
      <c r="C847" s="55"/>
      <c r="D847" s="55">
        <v>1</v>
      </c>
      <c r="E847" s="55"/>
      <c r="F847" s="18" t="str">
        <f t="shared" si="13"/>
        <v>высокий</v>
      </c>
    </row>
    <row r="848" spans="2:6" x14ac:dyDescent="0.25">
      <c r="B848" s="98" t="s">
        <v>3041</v>
      </c>
      <c r="C848" s="55">
        <v>1</v>
      </c>
      <c r="D848" s="55"/>
      <c r="E848" s="55"/>
      <c r="F848" s="18" t="str">
        <f t="shared" si="13"/>
        <v>средний</v>
      </c>
    </row>
    <row r="849" spans="2:6" x14ac:dyDescent="0.25">
      <c r="B849" s="98" t="s">
        <v>3042</v>
      </c>
      <c r="C849" s="55">
        <v>1</v>
      </c>
      <c r="D849" s="55"/>
      <c r="E849" s="55">
        <v>1</v>
      </c>
      <c r="F849" s="18" t="str">
        <f t="shared" si="13"/>
        <v>средний</v>
      </c>
    </row>
    <row r="850" spans="2:6" x14ac:dyDescent="0.25">
      <c r="B850" s="98" t="s">
        <v>3043</v>
      </c>
      <c r="C850" s="55"/>
      <c r="D850" s="55">
        <v>2</v>
      </c>
      <c r="E850" s="55"/>
      <c r="F850" s="18" t="str">
        <f t="shared" si="13"/>
        <v>высокий</v>
      </c>
    </row>
    <row r="851" spans="2:6" x14ac:dyDescent="0.25">
      <c r="B851" s="98" t="s">
        <v>3044</v>
      </c>
      <c r="C851" s="55">
        <v>1</v>
      </c>
      <c r="D851" s="55"/>
      <c r="E851" s="55">
        <v>2</v>
      </c>
      <c r="F851" s="18" t="str">
        <f t="shared" si="13"/>
        <v>средний</v>
      </c>
    </row>
    <row r="852" spans="2:6" x14ac:dyDescent="0.25">
      <c r="B852" s="98" t="s">
        <v>3045</v>
      </c>
      <c r="C852" s="55"/>
      <c r="D852" s="55">
        <v>1</v>
      </c>
      <c r="E852" s="55">
        <v>2</v>
      </c>
      <c r="F852" s="18" t="str">
        <f t="shared" si="13"/>
        <v>высокий</v>
      </c>
    </row>
    <row r="853" spans="2:6" x14ac:dyDescent="0.25">
      <c r="B853" s="98" t="s">
        <v>3046</v>
      </c>
      <c r="C853" s="55">
        <v>1</v>
      </c>
      <c r="D853" s="55"/>
      <c r="E853" s="55">
        <v>1</v>
      </c>
      <c r="F853" s="18" t="str">
        <f t="shared" si="13"/>
        <v>средний</v>
      </c>
    </row>
    <row r="854" spans="2:6" x14ac:dyDescent="0.25">
      <c r="B854" s="98" t="s">
        <v>3047</v>
      </c>
      <c r="C854" s="55">
        <v>1</v>
      </c>
      <c r="D854" s="55">
        <v>1</v>
      </c>
      <c r="E854" s="55">
        <v>1</v>
      </c>
      <c r="F854" s="18" t="str">
        <f t="shared" si="13"/>
        <v>высокий</v>
      </c>
    </row>
    <row r="855" spans="2:6" x14ac:dyDescent="0.25">
      <c r="B855" s="98" t="s">
        <v>3048</v>
      </c>
      <c r="C855" s="55">
        <v>1</v>
      </c>
      <c r="D855" s="55"/>
      <c r="E855" s="55"/>
      <c r="F855" s="18" t="str">
        <f t="shared" si="13"/>
        <v>средний</v>
      </c>
    </row>
    <row r="856" spans="2:6" x14ac:dyDescent="0.25">
      <c r="B856" s="98" t="s">
        <v>3049</v>
      </c>
      <c r="C856" s="55">
        <v>1</v>
      </c>
      <c r="D856" s="55">
        <v>1</v>
      </c>
      <c r="E856" s="55"/>
      <c r="F856" s="18" t="str">
        <f t="shared" si="13"/>
        <v>высокий</v>
      </c>
    </row>
    <row r="857" spans="2:6" x14ac:dyDescent="0.25">
      <c r="B857" s="98" t="s">
        <v>3050</v>
      </c>
      <c r="C857" s="55"/>
      <c r="D857" s="55"/>
      <c r="E857" s="55">
        <v>1</v>
      </c>
      <c r="F857" s="18" t="str">
        <f t="shared" si="13"/>
        <v>низкий</v>
      </c>
    </row>
    <row r="858" spans="2:6" x14ac:dyDescent="0.25">
      <c r="B858" s="98" t="s">
        <v>3051</v>
      </c>
      <c r="C858" s="55">
        <v>1</v>
      </c>
      <c r="D858" s="55"/>
      <c r="E858" s="55"/>
      <c r="F858" s="18" t="str">
        <f t="shared" si="13"/>
        <v>средний</v>
      </c>
    </row>
    <row r="859" spans="2:6" x14ac:dyDescent="0.25">
      <c r="B859" s="98" t="s">
        <v>3052</v>
      </c>
      <c r="C859" s="55">
        <v>1</v>
      </c>
      <c r="D859" s="55"/>
      <c r="E859" s="55">
        <v>2</v>
      </c>
      <c r="F859" s="18" t="str">
        <f t="shared" si="13"/>
        <v>средний</v>
      </c>
    </row>
    <row r="860" spans="2:6" x14ac:dyDescent="0.25">
      <c r="B860" s="98" t="s">
        <v>3053</v>
      </c>
      <c r="C860" s="55">
        <v>1</v>
      </c>
      <c r="D860" s="55"/>
      <c r="E860" s="55">
        <v>2</v>
      </c>
      <c r="F860" s="18" t="str">
        <f t="shared" si="13"/>
        <v>средний</v>
      </c>
    </row>
    <row r="861" spans="2:6" x14ac:dyDescent="0.25">
      <c r="B861" s="98" t="s">
        <v>3054</v>
      </c>
      <c r="C861" s="55">
        <v>1</v>
      </c>
      <c r="D861" s="55"/>
      <c r="E861" s="55">
        <v>2</v>
      </c>
      <c r="F861" s="18" t="str">
        <f t="shared" si="13"/>
        <v>средний</v>
      </c>
    </row>
    <row r="862" spans="2:6" x14ac:dyDescent="0.25">
      <c r="B862" s="98" t="s">
        <v>3055</v>
      </c>
      <c r="C862" s="55">
        <v>1</v>
      </c>
      <c r="D862" s="55"/>
      <c r="E862" s="55">
        <v>2</v>
      </c>
      <c r="F862" s="18" t="str">
        <f t="shared" si="13"/>
        <v>средний</v>
      </c>
    </row>
    <row r="863" spans="2:6" x14ac:dyDescent="0.25">
      <c r="B863" s="98" t="s">
        <v>3056</v>
      </c>
      <c r="C863" s="55"/>
      <c r="D863" s="55">
        <v>1</v>
      </c>
      <c r="E863" s="55"/>
      <c r="F863" s="18" t="str">
        <f t="shared" si="13"/>
        <v>высокий</v>
      </c>
    </row>
    <row r="864" spans="2:6" x14ac:dyDescent="0.25">
      <c r="B864" s="98" t="s">
        <v>3057</v>
      </c>
      <c r="C864" s="55"/>
      <c r="D864" s="55"/>
      <c r="E864" s="55">
        <v>1</v>
      </c>
      <c r="F864" s="18" t="str">
        <f t="shared" si="13"/>
        <v>низкий</v>
      </c>
    </row>
    <row r="865" spans="2:6" x14ac:dyDescent="0.25">
      <c r="B865" s="98" t="s">
        <v>3058</v>
      </c>
      <c r="C865" s="55">
        <v>2</v>
      </c>
      <c r="D865" s="55"/>
      <c r="E865" s="55"/>
      <c r="F865" s="18" t="str">
        <f t="shared" si="13"/>
        <v>средний</v>
      </c>
    </row>
    <row r="866" spans="2:6" x14ac:dyDescent="0.25">
      <c r="B866" s="98" t="s">
        <v>3059</v>
      </c>
      <c r="C866" s="55"/>
      <c r="D866" s="55"/>
      <c r="E866" s="55">
        <v>2</v>
      </c>
      <c r="F866" s="18" t="str">
        <f t="shared" si="13"/>
        <v>низкий</v>
      </c>
    </row>
    <row r="867" spans="2:6" x14ac:dyDescent="0.25">
      <c r="B867" s="98" t="s">
        <v>3060</v>
      </c>
      <c r="C867" s="55"/>
      <c r="D867" s="55"/>
      <c r="E867" s="55">
        <v>1</v>
      </c>
      <c r="F867" s="18" t="str">
        <f t="shared" si="13"/>
        <v>низкий</v>
      </c>
    </row>
    <row r="868" spans="2:6" x14ac:dyDescent="0.25">
      <c r="B868" s="98" t="s">
        <v>3062</v>
      </c>
      <c r="C868" s="55"/>
      <c r="D868" s="55">
        <v>1</v>
      </c>
      <c r="E868" s="55"/>
      <c r="F868" s="18" t="str">
        <f t="shared" si="13"/>
        <v>высокий</v>
      </c>
    </row>
    <row r="869" spans="2:6" x14ac:dyDescent="0.25">
      <c r="B869" s="98" t="s">
        <v>3063</v>
      </c>
      <c r="C869" s="55">
        <v>1</v>
      </c>
      <c r="D869" s="55"/>
      <c r="E869" s="55">
        <v>1</v>
      </c>
      <c r="F869" s="18" t="str">
        <f t="shared" si="13"/>
        <v>средний</v>
      </c>
    </row>
    <row r="870" spans="2:6" x14ac:dyDescent="0.25">
      <c r="B870" s="98" t="s">
        <v>3064</v>
      </c>
      <c r="C870" s="55">
        <v>1</v>
      </c>
      <c r="D870" s="55"/>
      <c r="E870" s="55"/>
      <c r="F870" s="18" t="str">
        <f t="shared" si="13"/>
        <v>средний</v>
      </c>
    </row>
    <row r="871" spans="2:6" x14ac:dyDescent="0.25">
      <c r="B871" s="98" t="s">
        <v>3065</v>
      </c>
      <c r="C871" s="55"/>
      <c r="D871" s="55"/>
      <c r="E871" s="55">
        <v>1</v>
      </c>
      <c r="F871" s="18" t="str">
        <f t="shared" si="13"/>
        <v>низкий</v>
      </c>
    </row>
    <row r="872" spans="2:6" x14ac:dyDescent="0.25">
      <c r="B872" s="98" t="s">
        <v>3066</v>
      </c>
      <c r="C872" s="55"/>
      <c r="D872" s="55">
        <v>2</v>
      </c>
      <c r="E872" s="55"/>
      <c r="F872" s="18" t="str">
        <f t="shared" si="13"/>
        <v>высокий</v>
      </c>
    </row>
    <row r="873" spans="2:6" x14ac:dyDescent="0.25">
      <c r="B873" s="98" t="s">
        <v>3067</v>
      </c>
      <c r="C873" s="55">
        <v>3</v>
      </c>
      <c r="D873" s="55"/>
      <c r="E873" s="55">
        <v>1</v>
      </c>
      <c r="F873" s="18" t="str">
        <f t="shared" si="13"/>
        <v>средний</v>
      </c>
    </row>
    <row r="874" spans="2:6" x14ac:dyDescent="0.25">
      <c r="B874" s="98" t="s">
        <v>3068</v>
      </c>
      <c r="C874" s="55">
        <v>3</v>
      </c>
      <c r="D874" s="55"/>
      <c r="E874" s="55">
        <v>1</v>
      </c>
      <c r="F874" s="18" t="str">
        <f t="shared" si="13"/>
        <v>средний</v>
      </c>
    </row>
    <row r="875" spans="2:6" x14ac:dyDescent="0.25">
      <c r="B875" s="98" t="s">
        <v>3069</v>
      </c>
      <c r="C875" s="55">
        <v>3</v>
      </c>
      <c r="D875" s="55"/>
      <c r="E875" s="55">
        <v>1</v>
      </c>
      <c r="F875" s="18" t="str">
        <f t="shared" si="13"/>
        <v>средний</v>
      </c>
    </row>
    <row r="876" spans="2:6" x14ac:dyDescent="0.25">
      <c r="B876" s="98" t="s">
        <v>3070</v>
      </c>
      <c r="C876" s="55">
        <v>1</v>
      </c>
      <c r="D876" s="55"/>
      <c r="E876" s="55">
        <v>2</v>
      </c>
      <c r="F876" s="18" t="str">
        <f t="shared" si="13"/>
        <v>средний</v>
      </c>
    </row>
    <row r="877" spans="2:6" x14ac:dyDescent="0.25">
      <c r="B877" s="98" t="s">
        <v>3071</v>
      </c>
      <c r="C877" s="55">
        <v>1</v>
      </c>
      <c r="D877" s="55"/>
      <c r="E877" s="55">
        <v>2</v>
      </c>
      <c r="F877" s="18" t="str">
        <f t="shared" si="13"/>
        <v>средний</v>
      </c>
    </row>
    <row r="878" spans="2:6" x14ac:dyDescent="0.25">
      <c r="B878" s="98" t="s">
        <v>3072</v>
      </c>
      <c r="C878" s="55"/>
      <c r="D878" s="55">
        <v>1</v>
      </c>
      <c r="E878" s="55">
        <v>1</v>
      </c>
      <c r="F878" s="18" t="str">
        <f t="shared" si="13"/>
        <v>высокий</v>
      </c>
    </row>
    <row r="879" spans="2:6" x14ac:dyDescent="0.25">
      <c r="B879" s="98" t="s">
        <v>3073</v>
      </c>
      <c r="C879" s="55"/>
      <c r="D879" s="55">
        <v>1</v>
      </c>
      <c r="E879" s="55"/>
      <c r="F879" s="18" t="str">
        <f t="shared" si="13"/>
        <v>высокий</v>
      </c>
    </row>
    <row r="880" spans="2:6" x14ac:dyDescent="0.25">
      <c r="B880" s="98" t="s">
        <v>3074</v>
      </c>
      <c r="C880" s="55">
        <v>1</v>
      </c>
      <c r="D880" s="55">
        <v>1</v>
      </c>
      <c r="E880" s="55"/>
      <c r="F880" s="18" t="str">
        <f t="shared" si="13"/>
        <v>высокий</v>
      </c>
    </row>
    <row r="881" spans="2:6" x14ac:dyDescent="0.25">
      <c r="B881" s="98" t="s">
        <v>3075</v>
      </c>
      <c r="C881" s="55">
        <v>1</v>
      </c>
      <c r="D881" s="55">
        <v>1</v>
      </c>
      <c r="E881" s="55"/>
      <c r="F881" s="18" t="str">
        <f t="shared" si="13"/>
        <v>высокий</v>
      </c>
    </row>
    <row r="882" spans="2:6" x14ac:dyDescent="0.25">
      <c r="B882" s="98" t="s">
        <v>3076</v>
      </c>
      <c r="C882" s="55">
        <v>1</v>
      </c>
      <c r="D882" s="55">
        <v>1</v>
      </c>
      <c r="E882" s="55"/>
      <c r="F882" s="18" t="str">
        <f t="shared" si="13"/>
        <v>высокий</v>
      </c>
    </row>
    <row r="883" spans="2:6" x14ac:dyDescent="0.25">
      <c r="B883" s="98" t="s">
        <v>3077</v>
      </c>
      <c r="C883" s="55">
        <v>1</v>
      </c>
      <c r="D883" s="55">
        <v>1</v>
      </c>
      <c r="E883" s="55"/>
      <c r="F883" s="18" t="str">
        <f t="shared" si="13"/>
        <v>высокий</v>
      </c>
    </row>
    <row r="884" spans="2:6" x14ac:dyDescent="0.25">
      <c r="B884" s="98" t="s">
        <v>3078</v>
      </c>
      <c r="C884" s="55">
        <v>1</v>
      </c>
      <c r="D884" s="55">
        <v>1</v>
      </c>
      <c r="E884" s="55"/>
      <c r="F884" s="18" t="str">
        <f t="shared" si="13"/>
        <v>высокий</v>
      </c>
    </row>
    <row r="885" spans="2:6" x14ac:dyDescent="0.25">
      <c r="B885" s="98" t="s">
        <v>3079</v>
      </c>
      <c r="C885" s="55">
        <v>1</v>
      </c>
      <c r="D885" s="55">
        <v>1</v>
      </c>
      <c r="E885" s="55"/>
      <c r="F885" s="18" t="str">
        <f t="shared" si="13"/>
        <v>высокий</v>
      </c>
    </row>
    <row r="886" spans="2:6" x14ac:dyDescent="0.25">
      <c r="B886" s="98" t="s">
        <v>3080</v>
      </c>
      <c r="C886" s="55">
        <v>1</v>
      </c>
      <c r="D886" s="55">
        <v>1</v>
      </c>
      <c r="E886" s="55"/>
      <c r="F886" s="18" t="str">
        <f t="shared" si="13"/>
        <v>высокий</v>
      </c>
    </row>
    <row r="887" spans="2:6" x14ac:dyDescent="0.25">
      <c r="B887" s="98" t="s">
        <v>3081</v>
      </c>
      <c r="C887" s="55">
        <v>1</v>
      </c>
      <c r="D887" s="55">
        <v>1</v>
      </c>
      <c r="E887" s="55"/>
      <c r="F887" s="18" t="str">
        <f t="shared" si="13"/>
        <v>высокий</v>
      </c>
    </row>
    <row r="888" spans="2:6" x14ac:dyDescent="0.25">
      <c r="B888" s="98" t="s">
        <v>3082</v>
      </c>
      <c r="C888" s="55"/>
      <c r="D888" s="55">
        <v>1</v>
      </c>
      <c r="E888" s="55"/>
      <c r="F888" s="18" t="str">
        <f t="shared" si="13"/>
        <v>высокий</v>
      </c>
    </row>
    <row r="889" spans="2:6" x14ac:dyDescent="0.25">
      <c r="B889" s="98" t="s">
        <v>3083</v>
      </c>
      <c r="C889" s="55"/>
      <c r="D889" s="55">
        <v>1</v>
      </c>
      <c r="E889" s="55"/>
      <c r="F889" s="18" t="str">
        <f t="shared" si="13"/>
        <v>высокий</v>
      </c>
    </row>
    <row r="890" spans="2:6" x14ac:dyDescent="0.25">
      <c r="B890" s="98" t="s">
        <v>3084</v>
      </c>
      <c r="C890" s="55"/>
      <c r="D890" s="55">
        <v>2</v>
      </c>
      <c r="E890" s="55">
        <v>1</v>
      </c>
      <c r="F890" s="18" t="str">
        <f t="shared" si="13"/>
        <v>высокий</v>
      </c>
    </row>
    <row r="891" spans="2:6" x14ac:dyDescent="0.25">
      <c r="B891" s="98" t="s">
        <v>3085</v>
      </c>
      <c r="C891" s="55"/>
      <c r="D891" s="55">
        <v>2</v>
      </c>
      <c r="E891" s="55">
        <v>1</v>
      </c>
      <c r="F891" s="18" t="str">
        <f t="shared" si="13"/>
        <v>высокий</v>
      </c>
    </row>
    <row r="892" spans="2:6" x14ac:dyDescent="0.25">
      <c r="B892" s="98" t="s">
        <v>3086</v>
      </c>
      <c r="C892" s="55"/>
      <c r="D892" s="55">
        <v>2</v>
      </c>
      <c r="E892" s="55"/>
      <c r="F892" s="18" t="str">
        <f t="shared" si="13"/>
        <v>высокий</v>
      </c>
    </row>
    <row r="893" spans="2:6" x14ac:dyDescent="0.25">
      <c r="B893" s="98" t="s">
        <v>3087</v>
      </c>
      <c r="C893" s="55"/>
      <c r="D893" s="55">
        <v>1</v>
      </c>
      <c r="E893" s="55"/>
      <c r="F893" s="18" t="str">
        <f t="shared" si="13"/>
        <v>высокий</v>
      </c>
    </row>
    <row r="894" spans="2:6" x14ac:dyDescent="0.25">
      <c r="B894" s="98" t="s">
        <v>3088</v>
      </c>
      <c r="C894" s="55">
        <v>1</v>
      </c>
      <c r="D894" s="55"/>
      <c r="E894" s="55"/>
      <c r="F894" s="18" t="str">
        <f t="shared" si="13"/>
        <v>средний</v>
      </c>
    </row>
    <row r="895" spans="2:6" x14ac:dyDescent="0.25">
      <c r="B895" s="98" t="s">
        <v>3089</v>
      </c>
      <c r="C895" s="55">
        <v>1</v>
      </c>
      <c r="D895" s="55"/>
      <c r="E895" s="55"/>
      <c r="F895" s="18" t="str">
        <f t="shared" si="13"/>
        <v>средний</v>
      </c>
    </row>
    <row r="896" spans="2:6" x14ac:dyDescent="0.25">
      <c r="B896" s="98" t="s">
        <v>3090</v>
      </c>
      <c r="C896" s="55">
        <v>1</v>
      </c>
      <c r="D896" s="55"/>
      <c r="E896" s="55">
        <v>2</v>
      </c>
      <c r="F896" s="18" t="str">
        <f t="shared" si="13"/>
        <v>средний</v>
      </c>
    </row>
    <row r="897" spans="2:6" x14ac:dyDescent="0.25">
      <c r="B897" s="98" t="s">
        <v>3091</v>
      </c>
      <c r="C897" s="55">
        <v>1</v>
      </c>
      <c r="D897" s="55"/>
      <c r="E897" s="55">
        <v>2</v>
      </c>
      <c r="F897" s="18" t="str">
        <f t="shared" si="13"/>
        <v>средний</v>
      </c>
    </row>
    <row r="898" spans="2:6" x14ac:dyDescent="0.25">
      <c r="B898" s="98" t="s">
        <v>3092</v>
      </c>
      <c r="C898" s="55"/>
      <c r="D898" s="55"/>
      <c r="E898" s="55">
        <v>1</v>
      </c>
      <c r="F898" s="18" t="str">
        <f t="shared" si="13"/>
        <v>низкий</v>
      </c>
    </row>
    <row r="899" spans="2:6" x14ac:dyDescent="0.25">
      <c r="B899" s="98" t="s">
        <v>3093</v>
      </c>
      <c r="C899" s="55"/>
      <c r="D899" s="55"/>
      <c r="E899" s="55">
        <v>1</v>
      </c>
      <c r="F899" s="18" t="str">
        <f t="shared" si="13"/>
        <v>низкий</v>
      </c>
    </row>
    <row r="900" spans="2:6" x14ac:dyDescent="0.25">
      <c r="B900" s="98" t="s">
        <v>3094</v>
      </c>
      <c r="C900" s="55"/>
      <c r="D900" s="55">
        <v>1</v>
      </c>
      <c r="E900" s="55"/>
      <c r="F900" s="18" t="str">
        <f t="shared" si="13"/>
        <v>высокий</v>
      </c>
    </row>
    <row r="901" spans="2:6" x14ac:dyDescent="0.25">
      <c r="B901" s="98" t="s">
        <v>3095</v>
      </c>
      <c r="C901" s="55"/>
      <c r="D901" s="55">
        <v>1</v>
      </c>
      <c r="E901" s="55"/>
      <c r="F901" s="18" t="str">
        <f t="shared" si="13"/>
        <v>высокий</v>
      </c>
    </row>
    <row r="902" spans="2:6" x14ac:dyDescent="0.25">
      <c r="B902" s="98" t="s">
        <v>3096</v>
      </c>
      <c r="C902" s="55"/>
      <c r="D902" s="55">
        <v>1</v>
      </c>
      <c r="E902" s="55"/>
      <c r="F902" s="18" t="str">
        <f t="shared" si="13"/>
        <v>высокий</v>
      </c>
    </row>
    <row r="903" spans="2:6" x14ac:dyDescent="0.25">
      <c r="B903" s="98" t="s">
        <v>3097</v>
      </c>
      <c r="C903" s="55"/>
      <c r="D903" s="55">
        <v>1</v>
      </c>
      <c r="E903" s="55">
        <v>1</v>
      </c>
      <c r="F903" s="18" t="str">
        <f t="shared" si="13"/>
        <v>высокий</v>
      </c>
    </row>
    <row r="904" spans="2:6" x14ac:dyDescent="0.25">
      <c r="B904" s="98" t="s">
        <v>3098</v>
      </c>
      <c r="C904" s="55"/>
      <c r="D904" s="55">
        <v>1</v>
      </c>
      <c r="E904" s="55"/>
      <c r="F904" s="18" t="str">
        <f t="shared" ref="F904:F967" si="14">IF(D904&gt;0,"высокий",IF(C904&gt;0,"средний","низкий"))</f>
        <v>высокий</v>
      </c>
    </row>
    <row r="905" spans="2:6" x14ac:dyDescent="0.25">
      <c r="B905" s="98" t="s">
        <v>3099</v>
      </c>
      <c r="C905" s="55"/>
      <c r="D905" s="55"/>
      <c r="E905" s="55">
        <v>2</v>
      </c>
      <c r="F905" s="18" t="str">
        <f t="shared" si="14"/>
        <v>низкий</v>
      </c>
    </row>
    <row r="906" spans="2:6" x14ac:dyDescent="0.25">
      <c r="B906" s="98" t="s">
        <v>3100</v>
      </c>
      <c r="C906" s="55"/>
      <c r="D906" s="55">
        <v>1</v>
      </c>
      <c r="E906" s="55"/>
      <c r="F906" s="18" t="str">
        <f t="shared" si="14"/>
        <v>высокий</v>
      </c>
    </row>
    <row r="907" spans="2:6" x14ac:dyDescent="0.25">
      <c r="B907" s="98" t="s">
        <v>3101</v>
      </c>
      <c r="C907" s="55">
        <v>1</v>
      </c>
      <c r="D907" s="55"/>
      <c r="E907" s="55"/>
      <c r="F907" s="18" t="str">
        <f t="shared" si="14"/>
        <v>средний</v>
      </c>
    </row>
    <row r="908" spans="2:6" x14ac:dyDescent="0.25">
      <c r="B908" s="98" t="s">
        <v>3102</v>
      </c>
      <c r="C908" s="55"/>
      <c r="D908" s="55">
        <v>1</v>
      </c>
      <c r="E908" s="55"/>
      <c r="F908" s="18" t="str">
        <f t="shared" si="14"/>
        <v>высокий</v>
      </c>
    </row>
    <row r="909" spans="2:6" x14ac:dyDescent="0.25">
      <c r="B909" s="98" t="s">
        <v>3103</v>
      </c>
      <c r="C909" s="55">
        <v>1</v>
      </c>
      <c r="D909" s="55">
        <v>1</v>
      </c>
      <c r="E909" s="55"/>
      <c r="F909" s="18" t="str">
        <f t="shared" si="14"/>
        <v>высокий</v>
      </c>
    </row>
    <row r="910" spans="2:6" x14ac:dyDescent="0.25">
      <c r="B910" s="98" t="s">
        <v>3104</v>
      </c>
      <c r="C910" s="55">
        <v>1</v>
      </c>
      <c r="D910" s="55">
        <v>1</v>
      </c>
      <c r="E910" s="55"/>
      <c r="F910" s="18" t="str">
        <f t="shared" si="14"/>
        <v>высокий</v>
      </c>
    </row>
    <row r="911" spans="2:6" x14ac:dyDescent="0.25">
      <c r="B911" s="98" t="s">
        <v>3105</v>
      </c>
      <c r="C911" s="55">
        <v>3</v>
      </c>
      <c r="D911" s="55"/>
      <c r="E911" s="55">
        <v>1</v>
      </c>
      <c r="F911" s="18" t="str">
        <f t="shared" si="14"/>
        <v>средний</v>
      </c>
    </row>
    <row r="912" spans="2:6" x14ac:dyDescent="0.25">
      <c r="B912" s="98" t="s">
        <v>3106</v>
      </c>
      <c r="C912" s="55">
        <v>3</v>
      </c>
      <c r="D912" s="55"/>
      <c r="E912" s="55">
        <v>1</v>
      </c>
      <c r="F912" s="18" t="str">
        <f t="shared" si="14"/>
        <v>средний</v>
      </c>
    </row>
    <row r="913" spans="2:6" x14ac:dyDescent="0.25">
      <c r="B913" s="98" t="s">
        <v>3107</v>
      </c>
      <c r="C913" s="55">
        <v>3</v>
      </c>
      <c r="D913" s="55"/>
      <c r="E913" s="55">
        <v>1</v>
      </c>
      <c r="F913" s="18" t="str">
        <f t="shared" si="14"/>
        <v>средний</v>
      </c>
    </row>
    <row r="914" spans="2:6" x14ac:dyDescent="0.25">
      <c r="B914" s="98" t="s">
        <v>3108</v>
      </c>
      <c r="C914" s="55">
        <v>3</v>
      </c>
      <c r="D914" s="55"/>
      <c r="E914" s="55">
        <v>1</v>
      </c>
      <c r="F914" s="18" t="str">
        <f t="shared" si="14"/>
        <v>средний</v>
      </c>
    </row>
    <row r="915" spans="2:6" x14ac:dyDescent="0.25">
      <c r="B915" s="98" t="s">
        <v>3109</v>
      </c>
      <c r="C915" s="55"/>
      <c r="D915" s="55"/>
      <c r="E915" s="55">
        <v>1</v>
      </c>
      <c r="F915" s="18" t="str">
        <f t="shared" si="14"/>
        <v>низкий</v>
      </c>
    </row>
    <row r="916" spans="2:6" x14ac:dyDescent="0.25">
      <c r="B916" s="98" t="s">
        <v>3110</v>
      </c>
      <c r="C916" s="55"/>
      <c r="D916" s="55"/>
      <c r="E916" s="55">
        <v>1</v>
      </c>
      <c r="F916" s="18" t="str">
        <f t="shared" si="14"/>
        <v>низкий</v>
      </c>
    </row>
    <row r="917" spans="2:6" x14ac:dyDescent="0.25">
      <c r="B917" s="98" t="s">
        <v>3111</v>
      </c>
      <c r="C917" s="55"/>
      <c r="D917" s="55"/>
      <c r="E917" s="55">
        <v>1</v>
      </c>
      <c r="F917" s="18" t="str">
        <f t="shared" si="14"/>
        <v>низкий</v>
      </c>
    </row>
    <row r="918" spans="2:6" x14ac:dyDescent="0.25">
      <c r="B918" s="98" t="s">
        <v>3112</v>
      </c>
      <c r="C918" s="55">
        <v>2</v>
      </c>
      <c r="D918" s="55">
        <v>1</v>
      </c>
      <c r="E918" s="55"/>
      <c r="F918" s="18" t="str">
        <f t="shared" si="14"/>
        <v>высокий</v>
      </c>
    </row>
    <row r="919" spans="2:6" x14ac:dyDescent="0.25">
      <c r="B919" s="98" t="s">
        <v>3113</v>
      </c>
      <c r="C919" s="55"/>
      <c r="D919" s="55"/>
      <c r="E919" s="55">
        <v>2</v>
      </c>
      <c r="F919" s="18" t="str">
        <f t="shared" si="14"/>
        <v>низкий</v>
      </c>
    </row>
    <row r="920" spans="2:6" x14ac:dyDescent="0.25">
      <c r="B920" s="98" t="s">
        <v>3114</v>
      </c>
      <c r="C920" s="55"/>
      <c r="D920" s="55"/>
      <c r="E920" s="55">
        <v>2</v>
      </c>
      <c r="F920" s="18" t="str">
        <f t="shared" si="14"/>
        <v>низкий</v>
      </c>
    </row>
    <row r="921" spans="2:6" x14ac:dyDescent="0.25">
      <c r="B921" s="98" t="s">
        <v>3115</v>
      </c>
      <c r="C921" s="55">
        <v>1</v>
      </c>
      <c r="D921" s="55"/>
      <c r="E921" s="55">
        <v>1</v>
      </c>
      <c r="F921" s="18" t="str">
        <f t="shared" si="14"/>
        <v>средний</v>
      </c>
    </row>
    <row r="922" spans="2:6" x14ac:dyDescent="0.25">
      <c r="B922" s="98" t="s">
        <v>3116</v>
      </c>
      <c r="C922" s="55">
        <v>1</v>
      </c>
      <c r="D922" s="55"/>
      <c r="E922" s="55">
        <v>2</v>
      </c>
      <c r="F922" s="18" t="str">
        <f t="shared" si="14"/>
        <v>средний</v>
      </c>
    </row>
    <row r="923" spans="2:6" x14ac:dyDescent="0.25">
      <c r="B923" s="98" t="s">
        <v>3117</v>
      </c>
      <c r="C923" s="55">
        <v>1</v>
      </c>
      <c r="D923" s="55"/>
      <c r="E923" s="55">
        <v>2</v>
      </c>
      <c r="F923" s="18" t="str">
        <f t="shared" si="14"/>
        <v>средний</v>
      </c>
    </row>
    <row r="924" spans="2:6" x14ac:dyDescent="0.25">
      <c r="B924" s="98" t="s">
        <v>3118</v>
      </c>
      <c r="C924" s="55"/>
      <c r="D924" s="55">
        <v>1</v>
      </c>
      <c r="E924" s="55"/>
      <c r="F924" s="18" t="str">
        <f t="shared" si="14"/>
        <v>высокий</v>
      </c>
    </row>
    <row r="925" spans="2:6" x14ac:dyDescent="0.25">
      <c r="B925" s="98" t="s">
        <v>3119</v>
      </c>
      <c r="C925" s="55"/>
      <c r="D925" s="55"/>
      <c r="E925" s="55">
        <v>2</v>
      </c>
      <c r="F925" s="18" t="str">
        <f t="shared" si="14"/>
        <v>низкий</v>
      </c>
    </row>
    <row r="926" spans="2:6" x14ac:dyDescent="0.25">
      <c r="B926" s="98" t="s">
        <v>3120</v>
      </c>
      <c r="C926" s="55"/>
      <c r="D926" s="55"/>
      <c r="E926" s="55">
        <v>1</v>
      </c>
      <c r="F926" s="18" t="str">
        <f t="shared" si="14"/>
        <v>низкий</v>
      </c>
    </row>
    <row r="927" spans="2:6" x14ac:dyDescent="0.25">
      <c r="B927" s="98" t="s">
        <v>3121</v>
      </c>
      <c r="C927" s="55"/>
      <c r="D927" s="55"/>
      <c r="E927" s="55">
        <v>1</v>
      </c>
      <c r="F927" s="18" t="str">
        <f t="shared" si="14"/>
        <v>низкий</v>
      </c>
    </row>
    <row r="928" spans="2:6" x14ac:dyDescent="0.25">
      <c r="B928" s="98" t="s">
        <v>3122</v>
      </c>
      <c r="C928" s="55"/>
      <c r="D928" s="55"/>
      <c r="E928" s="55">
        <v>1</v>
      </c>
      <c r="F928" s="18" t="str">
        <f t="shared" si="14"/>
        <v>низкий</v>
      </c>
    </row>
    <row r="929" spans="2:6" x14ac:dyDescent="0.25">
      <c r="B929" s="98" t="s">
        <v>3123</v>
      </c>
      <c r="C929" s="55">
        <v>3</v>
      </c>
      <c r="D929" s="55"/>
      <c r="E929" s="55"/>
      <c r="F929" s="18" t="str">
        <f t="shared" si="14"/>
        <v>средний</v>
      </c>
    </row>
    <row r="930" spans="2:6" x14ac:dyDescent="0.25">
      <c r="B930" s="98" t="s">
        <v>3124</v>
      </c>
      <c r="C930" s="55"/>
      <c r="D930" s="55">
        <v>2</v>
      </c>
      <c r="E930" s="55">
        <v>1</v>
      </c>
      <c r="F930" s="18" t="str">
        <f t="shared" si="14"/>
        <v>высокий</v>
      </c>
    </row>
    <row r="931" spans="2:6" x14ac:dyDescent="0.25">
      <c r="B931" s="98" t="s">
        <v>3125</v>
      </c>
      <c r="C931" s="55">
        <v>1</v>
      </c>
      <c r="D931" s="55">
        <v>1</v>
      </c>
      <c r="E931" s="55"/>
      <c r="F931" s="18" t="str">
        <f t="shared" si="14"/>
        <v>высокий</v>
      </c>
    </row>
    <row r="932" spans="2:6" x14ac:dyDescent="0.25">
      <c r="B932" s="98" t="s">
        <v>3126</v>
      </c>
      <c r="C932" s="55"/>
      <c r="D932" s="55">
        <v>1</v>
      </c>
      <c r="E932" s="55"/>
      <c r="F932" s="18" t="str">
        <f t="shared" si="14"/>
        <v>высокий</v>
      </c>
    </row>
    <row r="933" spans="2:6" x14ac:dyDescent="0.25">
      <c r="B933" s="98" t="s">
        <v>3127</v>
      </c>
      <c r="C933" s="55">
        <v>1</v>
      </c>
      <c r="D933" s="55">
        <v>1</v>
      </c>
      <c r="E933" s="55"/>
      <c r="F933" s="18" t="str">
        <f t="shared" si="14"/>
        <v>высокий</v>
      </c>
    </row>
    <row r="934" spans="2:6" x14ac:dyDescent="0.25">
      <c r="B934" s="98" t="s">
        <v>3128</v>
      </c>
      <c r="C934" s="55"/>
      <c r="D934" s="55"/>
      <c r="E934" s="55">
        <v>1</v>
      </c>
      <c r="F934" s="18" t="str">
        <f t="shared" si="14"/>
        <v>низкий</v>
      </c>
    </row>
    <row r="935" spans="2:6" x14ac:dyDescent="0.25">
      <c r="B935" s="98" t="s">
        <v>3129</v>
      </c>
      <c r="C935" s="55">
        <v>2</v>
      </c>
      <c r="D935" s="55">
        <v>1</v>
      </c>
      <c r="E935" s="55"/>
      <c r="F935" s="18" t="str">
        <f t="shared" si="14"/>
        <v>высокий</v>
      </c>
    </row>
    <row r="936" spans="2:6" x14ac:dyDescent="0.25">
      <c r="B936" s="98" t="s">
        <v>3130</v>
      </c>
      <c r="C936" s="55"/>
      <c r="D936" s="55"/>
      <c r="E936" s="55">
        <v>1</v>
      </c>
      <c r="F936" s="18" t="str">
        <f t="shared" si="14"/>
        <v>низкий</v>
      </c>
    </row>
    <row r="937" spans="2:6" x14ac:dyDescent="0.25">
      <c r="B937" s="98" t="s">
        <v>3131</v>
      </c>
      <c r="C937" s="55">
        <v>1</v>
      </c>
      <c r="D937" s="55"/>
      <c r="E937" s="55">
        <v>2</v>
      </c>
      <c r="F937" s="18" t="str">
        <f t="shared" si="14"/>
        <v>средний</v>
      </c>
    </row>
    <row r="938" spans="2:6" x14ac:dyDescent="0.25">
      <c r="B938" s="98" t="s">
        <v>3132</v>
      </c>
      <c r="C938" s="55">
        <v>1</v>
      </c>
      <c r="D938" s="55"/>
      <c r="E938" s="55">
        <v>2</v>
      </c>
      <c r="F938" s="18" t="str">
        <f t="shared" si="14"/>
        <v>средний</v>
      </c>
    </row>
    <row r="939" spans="2:6" x14ac:dyDescent="0.25">
      <c r="B939" s="98" t="s">
        <v>3133</v>
      </c>
      <c r="C939" s="55">
        <v>1</v>
      </c>
      <c r="D939" s="55"/>
      <c r="E939" s="55">
        <v>2</v>
      </c>
      <c r="F939" s="18" t="str">
        <f t="shared" si="14"/>
        <v>средний</v>
      </c>
    </row>
    <row r="940" spans="2:6" x14ac:dyDescent="0.25">
      <c r="B940" s="98" t="s">
        <v>3134</v>
      </c>
      <c r="C940" s="55">
        <v>1</v>
      </c>
      <c r="D940" s="55"/>
      <c r="E940" s="55">
        <v>2</v>
      </c>
      <c r="F940" s="18" t="str">
        <f t="shared" si="14"/>
        <v>средний</v>
      </c>
    </row>
    <row r="941" spans="2:6" x14ac:dyDescent="0.25">
      <c r="B941" s="98" t="s">
        <v>3135</v>
      </c>
      <c r="C941" s="55">
        <v>1</v>
      </c>
      <c r="D941" s="55"/>
      <c r="E941" s="55">
        <v>2</v>
      </c>
      <c r="F941" s="18" t="str">
        <f t="shared" si="14"/>
        <v>средний</v>
      </c>
    </row>
    <row r="942" spans="2:6" x14ac:dyDescent="0.25">
      <c r="B942" s="98" t="s">
        <v>3136</v>
      </c>
      <c r="C942" s="55"/>
      <c r="D942" s="55">
        <v>2</v>
      </c>
      <c r="E942" s="55"/>
      <c r="F942" s="18" t="str">
        <f t="shared" si="14"/>
        <v>высокий</v>
      </c>
    </row>
    <row r="943" spans="2:6" x14ac:dyDescent="0.25">
      <c r="B943" s="98" t="s">
        <v>3137</v>
      </c>
      <c r="C943" s="55">
        <v>2</v>
      </c>
      <c r="D943" s="55">
        <v>1</v>
      </c>
      <c r="E943" s="55"/>
      <c r="F943" s="18" t="str">
        <f t="shared" si="14"/>
        <v>высокий</v>
      </c>
    </row>
    <row r="944" spans="2:6" x14ac:dyDescent="0.25">
      <c r="B944" s="98" t="s">
        <v>3138</v>
      </c>
      <c r="C944" s="55">
        <v>2</v>
      </c>
      <c r="D944" s="55">
        <v>1</v>
      </c>
      <c r="E944" s="55"/>
      <c r="F944" s="18" t="str">
        <f t="shared" si="14"/>
        <v>высокий</v>
      </c>
    </row>
    <row r="945" spans="2:6" x14ac:dyDescent="0.25">
      <c r="B945" s="98" t="s">
        <v>3139</v>
      </c>
      <c r="C945" s="55"/>
      <c r="D945" s="55">
        <v>1</v>
      </c>
      <c r="E945" s="55"/>
      <c r="F945" s="18" t="str">
        <f t="shared" si="14"/>
        <v>высокий</v>
      </c>
    </row>
    <row r="946" spans="2:6" x14ac:dyDescent="0.25">
      <c r="B946" s="98" t="s">
        <v>3140</v>
      </c>
      <c r="C946" s="55">
        <v>1</v>
      </c>
      <c r="D946" s="55"/>
      <c r="E946" s="55"/>
      <c r="F946" s="18" t="str">
        <f t="shared" si="14"/>
        <v>средний</v>
      </c>
    </row>
    <row r="947" spans="2:6" x14ac:dyDescent="0.25">
      <c r="B947" s="98" t="s">
        <v>3141</v>
      </c>
      <c r="C947" s="55">
        <v>1</v>
      </c>
      <c r="D947" s="55">
        <v>1</v>
      </c>
      <c r="E947" s="55"/>
      <c r="F947" s="18" t="str">
        <f t="shared" si="14"/>
        <v>высокий</v>
      </c>
    </row>
    <row r="948" spans="2:6" x14ac:dyDescent="0.25">
      <c r="B948" s="98" t="s">
        <v>3142</v>
      </c>
      <c r="C948" s="55">
        <v>1</v>
      </c>
      <c r="D948" s="55"/>
      <c r="E948" s="55">
        <v>1</v>
      </c>
      <c r="F948" s="18" t="str">
        <f t="shared" si="14"/>
        <v>средний</v>
      </c>
    </row>
    <row r="949" spans="2:6" x14ac:dyDescent="0.25">
      <c r="B949" s="98" t="s">
        <v>3144</v>
      </c>
      <c r="C949" s="55">
        <v>1</v>
      </c>
      <c r="D949" s="55"/>
      <c r="E949" s="55"/>
      <c r="F949" s="18" t="str">
        <f t="shared" si="14"/>
        <v>средний</v>
      </c>
    </row>
    <row r="950" spans="2:6" x14ac:dyDescent="0.25">
      <c r="B950" s="98" t="s">
        <v>3145</v>
      </c>
      <c r="C950" s="55"/>
      <c r="D950" s="55">
        <v>1</v>
      </c>
      <c r="E950" s="55"/>
      <c r="F950" s="18" t="str">
        <f t="shared" si="14"/>
        <v>высокий</v>
      </c>
    </row>
    <row r="951" spans="2:6" x14ac:dyDescent="0.25">
      <c r="B951" s="98" t="s">
        <v>3146</v>
      </c>
      <c r="C951" s="55">
        <v>1</v>
      </c>
      <c r="D951" s="55"/>
      <c r="E951" s="55"/>
      <c r="F951" s="18" t="str">
        <f t="shared" si="14"/>
        <v>средний</v>
      </c>
    </row>
    <row r="952" spans="2:6" x14ac:dyDescent="0.25">
      <c r="B952" s="98" t="s">
        <v>3147</v>
      </c>
      <c r="C952" s="55">
        <v>1</v>
      </c>
      <c r="D952" s="55"/>
      <c r="E952" s="55"/>
      <c r="F952" s="18" t="str">
        <f t="shared" si="14"/>
        <v>средний</v>
      </c>
    </row>
    <row r="953" spans="2:6" x14ac:dyDescent="0.25">
      <c r="B953" s="98" t="s">
        <v>3148</v>
      </c>
      <c r="C953" s="55">
        <v>1</v>
      </c>
      <c r="D953" s="55"/>
      <c r="E953" s="55"/>
      <c r="F953" s="18" t="str">
        <f t="shared" si="14"/>
        <v>средний</v>
      </c>
    </row>
    <row r="954" spans="2:6" x14ac:dyDescent="0.25">
      <c r="B954" s="98" t="s">
        <v>3149</v>
      </c>
      <c r="C954" s="55">
        <v>1</v>
      </c>
      <c r="D954" s="55"/>
      <c r="E954" s="55"/>
      <c r="F954" s="18" t="str">
        <f t="shared" si="14"/>
        <v>средний</v>
      </c>
    </row>
    <row r="955" spans="2:6" x14ac:dyDescent="0.25">
      <c r="B955" s="98" t="s">
        <v>3150</v>
      </c>
      <c r="C955" s="55">
        <v>2</v>
      </c>
      <c r="D955" s="55"/>
      <c r="E955" s="55"/>
      <c r="F955" s="18" t="str">
        <f t="shared" si="14"/>
        <v>средний</v>
      </c>
    </row>
    <row r="956" spans="2:6" x14ac:dyDescent="0.25">
      <c r="B956" s="98" t="s">
        <v>3151</v>
      </c>
      <c r="C956" s="55">
        <v>2</v>
      </c>
      <c r="D956" s="55"/>
      <c r="E956" s="55"/>
      <c r="F956" s="18" t="str">
        <f t="shared" si="14"/>
        <v>средний</v>
      </c>
    </row>
    <row r="957" spans="2:6" x14ac:dyDescent="0.25">
      <c r="B957" s="98" t="s">
        <v>3152</v>
      </c>
      <c r="C957" s="55">
        <v>2</v>
      </c>
      <c r="D957" s="55"/>
      <c r="E957" s="55"/>
      <c r="F957" s="18" t="str">
        <f t="shared" si="14"/>
        <v>средний</v>
      </c>
    </row>
    <row r="958" spans="2:6" x14ac:dyDescent="0.25">
      <c r="B958" s="98" t="s">
        <v>3153</v>
      </c>
      <c r="C958" s="55">
        <v>2</v>
      </c>
      <c r="D958" s="55"/>
      <c r="E958" s="55"/>
      <c r="F958" s="18" t="str">
        <f t="shared" si="14"/>
        <v>средний</v>
      </c>
    </row>
    <row r="959" spans="2:6" x14ac:dyDescent="0.25">
      <c r="B959" s="98" t="s">
        <v>3154</v>
      </c>
      <c r="C959" s="55">
        <v>2</v>
      </c>
      <c r="D959" s="55"/>
      <c r="E959" s="55"/>
      <c r="F959" s="18" t="str">
        <f t="shared" si="14"/>
        <v>средний</v>
      </c>
    </row>
    <row r="960" spans="2:6" x14ac:dyDescent="0.25">
      <c r="B960" s="98" t="s">
        <v>3155</v>
      </c>
      <c r="C960" s="55"/>
      <c r="D960" s="55">
        <v>1</v>
      </c>
      <c r="E960" s="55"/>
      <c r="F960" s="18" t="str">
        <f t="shared" si="14"/>
        <v>высокий</v>
      </c>
    </row>
    <row r="961" spans="2:6" x14ac:dyDescent="0.25">
      <c r="B961" s="98" t="s">
        <v>3156</v>
      </c>
      <c r="C961" s="55"/>
      <c r="D961" s="55"/>
      <c r="E961" s="55">
        <v>4</v>
      </c>
      <c r="F961" s="18" t="str">
        <f t="shared" si="14"/>
        <v>низкий</v>
      </c>
    </row>
    <row r="962" spans="2:6" x14ac:dyDescent="0.25">
      <c r="B962" s="98" t="s">
        <v>3157</v>
      </c>
      <c r="C962" s="55"/>
      <c r="D962" s="55">
        <v>1</v>
      </c>
      <c r="E962" s="55"/>
      <c r="F962" s="18" t="str">
        <f t="shared" si="14"/>
        <v>высокий</v>
      </c>
    </row>
    <row r="963" spans="2:6" x14ac:dyDescent="0.25">
      <c r="B963" s="98" t="s">
        <v>3158</v>
      </c>
      <c r="C963" s="55"/>
      <c r="D963" s="55"/>
      <c r="E963" s="55">
        <v>1</v>
      </c>
      <c r="F963" s="18" t="str">
        <f t="shared" si="14"/>
        <v>низкий</v>
      </c>
    </row>
    <row r="964" spans="2:6" x14ac:dyDescent="0.25">
      <c r="B964" s="98" t="s">
        <v>3159</v>
      </c>
      <c r="C964" s="55"/>
      <c r="D964" s="55"/>
      <c r="E964" s="55">
        <v>1</v>
      </c>
      <c r="F964" s="18" t="str">
        <f t="shared" si="14"/>
        <v>низкий</v>
      </c>
    </row>
    <row r="965" spans="2:6" x14ac:dyDescent="0.25">
      <c r="B965" s="98" t="s">
        <v>3160</v>
      </c>
      <c r="C965" s="55"/>
      <c r="D965" s="55"/>
      <c r="E965" s="55">
        <v>1</v>
      </c>
      <c r="F965" s="18" t="str">
        <f t="shared" si="14"/>
        <v>низкий</v>
      </c>
    </row>
    <row r="966" spans="2:6" x14ac:dyDescent="0.25">
      <c r="B966" s="98" t="s">
        <v>3161</v>
      </c>
      <c r="C966" s="55"/>
      <c r="D966" s="55">
        <v>1</v>
      </c>
      <c r="E966" s="55"/>
      <c r="F966" s="18" t="str">
        <f t="shared" si="14"/>
        <v>высокий</v>
      </c>
    </row>
    <row r="967" spans="2:6" x14ac:dyDescent="0.25">
      <c r="B967" s="98" t="s">
        <v>3162</v>
      </c>
      <c r="C967" s="55"/>
      <c r="D967" s="55"/>
      <c r="E967" s="55">
        <v>1</v>
      </c>
      <c r="F967" s="18" t="str">
        <f t="shared" si="14"/>
        <v>низкий</v>
      </c>
    </row>
    <row r="968" spans="2:6" x14ac:dyDescent="0.25">
      <c r="B968" s="98" t="s">
        <v>3163</v>
      </c>
      <c r="C968" s="55"/>
      <c r="D968" s="55">
        <v>1</v>
      </c>
      <c r="E968" s="55"/>
      <c r="F968" s="18" t="str">
        <f t="shared" ref="F968:F1031" si="15">IF(D968&gt;0,"высокий",IF(C968&gt;0,"средний","низкий"))</f>
        <v>высокий</v>
      </c>
    </row>
    <row r="969" spans="2:6" x14ac:dyDescent="0.25">
      <c r="B969" s="98" t="s">
        <v>3164</v>
      </c>
      <c r="C969" s="55">
        <v>1</v>
      </c>
      <c r="D969" s="55"/>
      <c r="E969" s="55">
        <v>1</v>
      </c>
      <c r="F969" s="18" t="str">
        <f t="shared" si="15"/>
        <v>средний</v>
      </c>
    </row>
    <row r="970" spans="2:6" x14ac:dyDescent="0.25">
      <c r="B970" s="98" t="s">
        <v>3165</v>
      </c>
      <c r="C970" s="55"/>
      <c r="D970" s="55"/>
      <c r="E970" s="55">
        <v>1</v>
      </c>
      <c r="F970" s="18" t="str">
        <f t="shared" si="15"/>
        <v>низкий</v>
      </c>
    </row>
    <row r="971" spans="2:6" x14ac:dyDescent="0.25">
      <c r="B971" s="98" t="s">
        <v>3166</v>
      </c>
      <c r="C971" s="55"/>
      <c r="D971" s="55"/>
      <c r="E971" s="55">
        <v>1</v>
      </c>
      <c r="F971" s="18" t="str">
        <f t="shared" si="15"/>
        <v>низкий</v>
      </c>
    </row>
    <row r="972" spans="2:6" x14ac:dyDescent="0.25">
      <c r="B972" s="98" t="s">
        <v>3167</v>
      </c>
      <c r="C972" s="55">
        <v>1</v>
      </c>
      <c r="D972" s="55">
        <v>1</v>
      </c>
      <c r="E972" s="55"/>
      <c r="F972" s="18" t="str">
        <f t="shared" si="15"/>
        <v>высокий</v>
      </c>
    </row>
    <row r="973" spans="2:6" x14ac:dyDescent="0.25">
      <c r="B973" s="98" t="s">
        <v>3168</v>
      </c>
      <c r="C973" s="55"/>
      <c r="D973" s="55">
        <v>1</v>
      </c>
      <c r="E973" s="55"/>
      <c r="F973" s="18" t="str">
        <f t="shared" si="15"/>
        <v>высокий</v>
      </c>
    </row>
    <row r="974" spans="2:6" x14ac:dyDescent="0.25">
      <c r="B974" s="98" t="s">
        <v>3169</v>
      </c>
      <c r="C974" s="55"/>
      <c r="D974" s="55">
        <v>3</v>
      </c>
      <c r="E974" s="55"/>
      <c r="F974" s="18" t="str">
        <f t="shared" si="15"/>
        <v>высокий</v>
      </c>
    </row>
    <row r="975" spans="2:6" x14ac:dyDescent="0.25">
      <c r="B975" s="98" t="s">
        <v>3170</v>
      </c>
      <c r="C975" s="55"/>
      <c r="D975" s="55">
        <v>3</v>
      </c>
      <c r="E975" s="55"/>
      <c r="F975" s="18" t="str">
        <f t="shared" si="15"/>
        <v>высокий</v>
      </c>
    </row>
    <row r="976" spans="2:6" x14ac:dyDescent="0.25">
      <c r="B976" s="98" t="s">
        <v>3171</v>
      </c>
      <c r="C976" s="55"/>
      <c r="D976" s="55">
        <v>3</v>
      </c>
      <c r="E976" s="55"/>
      <c r="F976" s="18" t="str">
        <f t="shared" si="15"/>
        <v>высокий</v>
      </c>
    </row>
    <row r="977" spans="2:6" x14ac:dyDescent="0.25">
      <c r="B977" s="98" t="s">
        <v>3172</v>
      </c>
      <c r="C977" s="55"/>
      <c r="D977" s="55">
        <v>3</v>
      </c>
      <c r="E977" s="55"/>
      <c r="F977" s="18" t="str">
        <f t="shared" si="15"/>
        <v>высокий</v>
      </c>
    </row>
    <row r="978" spans="2:6" x14ac:dyDescent="0.25">
      <c r="B978" s="98" t="s">
        <v>3173</v>
      </c>
      <c r="C978" s="55"/>
      <c r="D978" s="55">
        <v>3</v>
      </c>
      <c r="E978" s="55"/>
      <c r="F978" s="18" t="str">
        <f t="shared" si="15"/>
        <v>высокий</v>
      </c>
    </row>
    <row r="979" spans="2:6" x14ac:dyDescent="0.25">
      <c r="B979" s="98" t="s">
        <v>3174</v>
      </c>
      <c r="C979" s="55"/>
      <c r="D979" s="55">
        <v>3</v>
      </c>
      <c r="E979" s="55"/>
      <c r="F979" s="18" t="str">
        <f t="shared" si="15"/>
        <v>высокий</v>
      </c>
    </row>
    <row r="980" spans="2:6" x14ac:dyDescent="0.25">
      <c r="B980" s="98" t="s">
        <v>3175</v>
      </c>
      <c r="C980" s="55"/>
      <c r="D980" s="55">
        <v>3</v>
      </c>
      <c r="E980" s="55"/>
      <c r="F980" s="18" t="str">
        <f t="shared" si="15"/>
        <v>высокий</v>
      </c>
    </row>
    <row r="981" spans="2:6" x14ac:dyDescent="0.25">
      <c r="B981" s="98" t="s">
        <v>3176</v>
      </c>
      <c r="C981" s="55"/>
      <c r="D981" s="55">
        <v>1</v>
      </c>
      <c r="E981" s="55"/>
      <c r="F981" s="18" t="str">
        <f t="shared" si="15"/>
        <v>высокий</v>
      </c>
    </row>
    <row r="982" spans="2:6" x14ac:dyDescent="0.25">
      <c r="B982" s="98" t="s">
        <v>3177</v>
      </c>
      <c r="C982" s="55">
        <v>1</v>
      </c>
      <c r="D982" s="55">
        <v>3</v>
      </c>
      <c r="E982" s="55">
        <v>3</v>
      </c>
      <c r="F982" s="18" t="str">
        <f t="shared" si="15"/>
        <v>высокий</v>
      </c>
    </row>
    <row r="983" spans="2:6" x14ac:dyDescent="0.25">
      <c r="B983" s="98" t="s">
        <v>3178</v>
      </c>
      <c r="C983" s="55">
        <v>1</v>
      </c>
      <c r="D983" s="55">
        <v>3</v>
      </c>
      <c r="E983" s="55">
        <v>3</v>
      </c>
      <c r="F983" s="18" t="str">
        <f t="shared" si="15"/>
        <v>высокий</v>
      </c>
    </row>
    <row r="984" spans="2:6" x14ac:dyDescent="0.25">
      <c r="B984" s="98" t="s">
        <v>3179</v>
      </c>
      <c r="C984" s="55">
        <v>1</v>
      </c>
      <c r="D984" s="55">
        <v>3</v>
      </c>
      <c r="E984" s="55">
        <v>3</v>
      </c>
      <c r="F984" s="18" t="str">
        <f t="shared" si="15"/>
        <v>высокий</v>
      </c>
    </row>
    <row r="985" spans="2:6" x14ac:dyDescent="0.25">
      <c r="B985" s="98" t="s">
        <v>3180</v>
      </c>
      <c r="C985" s="55">
        <v>1</v>
      </c>
      <c r="D985" s="55">
        <v>3</v>
      </c>
      <c r="E985" s="55">
        <v>3</v>
      </c>
      <c r="F985" s="18" t="str">
        <f t="shared" si="15"/>
        <v>высокий</v>
      </c>
    </row>
    <row r="986" spans="2:6" x14ac:dyDescent="0.25">
      <c r="B986" s="98" t="s">
        <v>3181</v>
      </c>
      <c r="C986" s="55">
        <v>1</v>
      </c>
      <c r="D986" s="55"/>
      <c r="E986" s="55"/>
      <c r="F986" s="18" t="str">
        <f t="shared" si="15"/>
        <v>средний</v>
      </c>
    </row>
    <row r="987" spans="2:6" x14ac:dyDescent="0.25">
      <c r="B987" s="98" t="s">
        <v>3182</v>
      </c>
      <c r="C987" s="55">
        <v>1</v>
      </c>
      <c r="D987" s="55"/>
      <c r="E987" s="55"/>
      <c r="F987" s="18" t="str">
        <f t="shared" si="15"/>
        <v>средний</v>
      </c>
    </row>
    <row r="988" spans="2:6" x14ac:dyDescent="0.25">
      <c r="B988" s="98" t="s">
        <v>3183</v>
      </c>
      <c r="C988" s="55">
        <v>1</v>
      </c>
      <c r="D988" s="55"/>
      <c r="E988" s="55"/>
      <c r="F988" s="18" t="str">
        <f t="shared" si="15"/>
        <v>средний</v>
      </c>
    </row>
    <row r="989" spans="2:6" x14ac:dyDescent="0.25">
      <c r="B989" s="98" t="s">
        <v>3184</v>
      </c>
      <c r="C989" s="55">
        <v>1</v>
      </c>
      <c r="D989" s="55">
        <v>3</v>
      </c>
      <c r="E989" s="55">
        <v>3</v>
      </c>
      <c r="F989" s="18" t="str">
        <f t="shared" si="15"/>
        <v>высокий</v>
      </c>
    </row>
    <row r="990" spans="2:6" x14ac:dyDescent="0.25">
      <c r="B990" s="98" t="s">
        <v>3185</v>
      </c>
      <c r="C990" s="55"/>
      <c r="D990" s="55"/>
      <c r="E990" s="55">
        <v>1</v>
      </c>
      <c r="F990" s="18" t="str">
        <f t="shared" si="15"/>
        <v>низкий</v>
      </c>
    </row>
    <row r="991" spans="2:6" x14ac:dyDescent="0.25">
      <c r="B991" s="98" t="s">
        <v>3186</v>
      </c>
      <c r="C991" s="55"/>
      <c r="D991" s="55"/>
      <c r="E991" s="55">
        <v>3</v>
      </c>
      <c r="F991" s="18" t="str">
        <f t="shared" si="15"/>
        <v>низкий</v>
      </c>
    </row>
    <row r="992" spans="2:6" x14ac:dyDescent="0.25">
      <c r="B992" s="98" t="s">
        <v>3187</v>
      </c>
      <c r="C992" s="55"/>
      <c r="D992" s="55"/>
      <c r="E992" s="55">
        <v>2</v>
      </c>
      <c r="F992" s="18" t="str">
        <f t="shared" si="15"/>
        <v>низкий</v>
      </c>
    </row>
    <row r="993" spans="2:6" x14ac:dyDescent="0.25">
      <c r="B993" s="98" t="s">
        <v>3188</v>
      </c>
      <c r="C993" s="55"/>
      <c r="D993" s="55"/>
      <c r="E993" s="55">
        <v>2</v>
      </c>
      <c r="F993" s="18" t="str">
        <f t="shared" si="15"/>
        <v>низкий</v>
      </c>
    </row>
    <row r="994" spans="2:6" x14ac:dyDescent="0.25">
      <c r="B994" s="98" t="s">
        <v>3189</v>
      </c>
      <c r="C994" s="55"/>
      <c r="D994" s="55"/>
      <c r="E994" s="55">
        <v>2</v>
      </c>
      <c r="F994" s="18" t="str">
        <f t="shared" si="15"/>
        <v>низкий</v>
      </c>
    </row>
    <row r="995" spans="2:6" x14ac:dyDescent="0.25">
      <c r="B995" s="98" t="s">
        <v>3190</v>
      </c>
      <c r="C995" s="55"/>
      <c r="D995" s="55"/>
      <c r="E995" s="55">
        <v>2</v>
      </c>
      <c r="F995" s="18" t="str">
        <f t="shared" si="15"/>
        <v>низкий</v>
      </c>
    </row>
    <row r="996" spans="2:6" x14ac:dyDescent="0.25">
      <c r="B996" s="98" t="s">
        <v>3191</v>
      </c>
      <c r="C996" s="55"/>
      <c r="D996" s="55"/>
      <c r="E996" s="55">
        <v>2</v>
      </c>
      <c r="F996" s="18" t="str">
        <f t="shared" si="15"/>
        <v>низкий</v>
      </c>
    </row>
    <row r="997" spans="2:6" x14ac:dyDescent="0.25">
      <c r="B997" s="98" t="s">
        <v>3192</v>
      </c>
      <c r="C997" s="55"/>
      <c r="D997" s="55">
        <v>1</v>
      </c>
      <c r="E997" s="55">
        <v>2</v>
      </c>
      <c r="F997" s="18" t="str">
        <f t="shared" si="15"/>
        <v>высокий</v>
      </c>
    </row>
    <row r="998" spans="2:6" x14ac:dyDescent="0.25">
      <c r="B998" s="98" t="s">
        <v>3193</v>
      </c>
      <c r="C998" s="55">
        <v>1</v>
      </c>
      <c r="D998" s="55"/>
      <c r="E998" s="55">
        <v>4</v>
      </c>
      <c r="F998" s="18" t="str">
        <f t="shared" si="15"/>
        <v>средний</v>
      </c>
    </row>
    <row r="999" spans="2:6" x14ac:dyDescent="0.25">
      <c r="B999" s="98" t="s">
        <v>3194</v>
      </c>
      <c r="C999" s="55">
        <v>1</v>
      </c>
      <c r="D999" s="55"/>
      <c r="E999" s="55">
        <v>3</v>
      </c>
      <c r="F999" s="18" t="str">
        <f t="shared" si="15"/>
        <v>средний</v>
      </c>
    </row>
    <row r="1000" spans="2:6" x14ac:dyDescent="0.25">
      <c r="B1000" s="98" t="s">
        <v>3195</v>
      </c>
      <c r="C1000" s="55">
        <v>1</v>
      </c>
      <c r="D1000" s="55"/>
      <c r="E1000" s="55">
        <v>4</v>
      </c>
      <c r="F1000" s="18" t="str">
        <f t="shared" si="15"/>
        <v>средний</v>
      </c>
    </row>
    <row r="1001" spans="2:6" x14ac:dyDescent="0.25">
      <c r="B1001" s="98" t="s">
        <v>3196</v>
      </c>
      <c r="C1001" s="55">
        <v>1</v>
      </c>
      <c r="D1001" s="55"/>
      <c r="E1001" s="55">
        <v>4</v>
      </c>
      <c r="F1001" s="18" t="str">
        <f t="shared" si="15"/>
        <v>средний</v>
      </c>
    </row>
    <row r="1002" spans="2:6" x14ac:dyDescent="0.25">
      <c r="B1002" s="98" t="s">
        <v>3197</v>
      </c>
      <c r="C1002" s="55">
        <v>1</v>
      </c>
      <c r="D1002" s="55"/>
      <c r="E1002" s="55">
        <v>4</v>
      </c>
      <c r="F1002" s="18" t="str">
        <f t="shared" si="15"/>
        <v>средний</v>
      </c>
    </row>
    <row r="1003" spans="2:6" x14ac:dyDescent="0.25">
      <c r="B1003" s="98" t="s">
        <v>3198</v>
      </c>
      <c r="C1003" s="55">
        <v>1</v>
      </c>
      <c r="D1003" s="55"/>
      <c r="E1003" s="55">
        <v>4</v>
      </c>
      <c r="F1003" s="18" t="str">
        <f t="shared" si="15"/>
        <v>средний</v>
      </c>
    </row>
    <row r="1004" spans="2:6" x14ac:dyDescent="0.25">
      <c r="B1004" s="98" t="s">
        <v>3199</v>
      </c>
      <c r="C1004" s="55">
        <v>1</v>
      </c>
      <c r="D1004" s="55"/>
      <c r="E1004" s="55">
        <v>3</v>
      </c>
      <c r="F1004" s="18" t="str">
        <f t="shared" si="15"/>
        <v>средний</v>
      </c>
    </row>
    <row r="1005" spans="2:6" x14ac:dyDescent="0.25">
      <c r="B1005" s="98" t="s">
        <v>3200</v>
      </c>
      <c r="C1005" s="55"/>
      <c r="D1005" s="55"/>
      <c r="E1005" s="55">
        <v>1</v>
      </c>
      <c r="F1005" s="18" t="str">
        <f t="shared" si="15"/>
        <v>низкий</v>
      </c>
    </row>
    <row r="1006" spans="2:6" x14ac:dyDescent="0.25">
      <c r="B1006" s="98" t="s">
        <v>3201</v>
      </c>
      <c r="C1006" s="55">
        <v>2</v>
      </c>
      <c r="D1006" s="55">
        <v>1</v>
      </c>
      <c r="E1006" s="55">
        <v>3</v>
      </c>
      <c r="F1006" s="18" t="str">
        <f t="shared" si="15"/>
        <v>высокий</v>
      </c>
    </row>
    <row r="1007" spans="2:6" x14ac:dyDescent="0.25">
      <c r="B1007" s="98" t="s">
        <v>3202</v>
      </c>
      <c r="C1007" s="55">
        <v>2</v>
      </c>
      <c r="D1007" s="55">
        <v>1</v>
      </c>
      <c r="E1007" s="55">
        <v>3</v>
      </c>
      <c r="F1007" s="18" t="str">
        <f t="shared" si="15"/>
        <v>высокий</v>
      </c>
    </row>
    <row r="1008" spans="2:6" x14ac:dyDescent="0.25">
      <c r="B1008" s="98" t="s">
        <v>3203</v>
      </c>
      <c r="C1008" s="55">
        <v>2</v>
      </c>
      <c r="D1008" s="55">
        <v>1</v>
      </c>
      <c r="E1008" s="55">
        <v>3</v>
      </c>
      <c r="F1008" s="18" t="str">
        <f t="shared" si="15"/>
        <v>высокий</v>
      </c>
    </row>
    <row r="1009" spans="2:6" x14ac:dyDescent="0.25">
      <c r="B1009" s="98" t="s">
        <v>3204</v>
      </c>
      <c r="C1009" s="55">
        <v>2</v>
      </c>
      <c r="D1009" s="55">
        <v>1</v>
      </c>
      <c r="E1009" s="55">
        <v>3</v>
      </c>
      <c r="F1009" s="18" t="str">
        <f t="shared" si="15"/>
        <v>высокий</v>
      </c>
    </row>
    <row r="1010" spans="2:6" x14ac:dyDescent="0.25">
      <c r="B1010" s="98" t="s">
        <v>3205</v>
      </c>
      <c r="C1010" s="55">
        <v>2</v>
      </c>
      <c r="D1010" s="55">
        <v>1</v>
      </c>
      <c r="E1010" s="55">
        <v>3</v>
      </c>
      <c r="F1010" s="18" t="str">
        <f t="shared" si="15"/>
        <v>высокий</v>
      </c>
    </row>
    <row r="1011" spans="2:6" x14ac:dyDescent="0.25">
      <c r="B1011" s="98" t="s">
        <v>3206</v>
      </c>
      <c r="C1011" s="55"/>
      <c r="D1011" s="55">
        <v>1</v>
      </c>
      <c r="E1011" s="55">
        <v>3</v>
      </c>
      <c r="F1011" s="18" t="str">
        <f t="shared" si="15"/>
        <v>высокий</v>
      </c>
    </row>
    <row r="1012" spans="2:6" x14ac:dyDescent="0.25">
      <c r="B1012" s="98" t="s">
        <v>3207</v>
      </c>
      <c r="C1012" s="55"/>
      <c r="D1012" s="55">
        <v>1</v>
      </c>
      <c r="E1012" s="55">
        <v>3</v>
      </c>
      <c r="F1012" s="18" t="str">
        <f t="shared" si="15"/>
        <v>высокий</v>
      </c>
    </row>
    <row r="1013" spans="2:6" x14ac:dyDescent="0.25">
      <c r="B1013" s="98" t="s">
        <v>3208</v>
      </c>
      <c r="C1013" s="55">
        <v>2</v>
      </c>
      <c r="D1013" s="55">
        <v>1</v>
      </c>
      <c r="E1013" s="55">
        <v>3</v>
      </c>
      <c r="F1013" s="18" t="str">
        <f t="shared" si="15"/>
        <v>высокий</v>
      </c>
    </row>
    <row r="1014" spans="2:6" x14ac:dyDescent="0.25">
      <c r="B1014" s="98" t="s">
        <v>3209</v>
      </c>
      <c r="C1014" s="55">
        <v>2</v>
      </c>
      <c r="D1014" s="55">
        <v>1</v>
      </c>
      <c r="E1014" s="55">
        <v>3</v>
      </c>
      <c r="F1014" s="18" t="str">
        <f t="shared" si="15"/>
        <v>высокий</v>
      </c>
    </row>
    <row r="1015" spans="2:6" x14ac:dyDescent="0.25">
      <c r="B1015" s="98" t="s">
        <v>3210</v>
      </c>
      <c r="C1015" s="55">
        <v>2</v>
      </c>
      <c r="D1015" s="55">
        <v>1</v>
      </c>
      <c r="E1015" s="55">
        <v>3</v>
      </c>
      <c r="F1015" s="18" t="str">
        <f t="shared" si="15"/>
        <v>высокий</v>
      </c>
    </row>
    <row r="1016" spans="2:6" x14ac:dyDescent="0.25">
      <c r="B1016" s="98" t="s">
        <v>3211</v>
      </c>
      <c r="C1016" s="55">
        <v>2</v>
      </c>
      <c r="D1016" s="55">
        <v>1</v>
      </c>
      <c r="E1016" s="55">
        <v>3</v>
      </c>
      <c r="F1016" s="18" t="str">
        <f t="shared" si="15"/>
        <v>высокий</v>
      </c>
    </row>
    <row r="1017" spans="2:6" x14ac:dyDescent="0.25">
      <c r="B1017" s="98" t="s">
        <v>3212</v>
      </c>
      <c r="C1017" s="55">
        <v>1</v>
      </c>
      <c r="D1017" s="55"/>
      <c r="E1017" s="55"/>
      <c r="F1017" s="18" t="str">
        <f t="shared" si="15"/>
        <v>средний</v>
      </c>
    </row>
    <row r="1018" spans="2:6" x14ac:dyDescent="0.25">
      <c r="B1018" s="98" t="s">
        <v>3213</v>
      </c>
      <c r="C1018" s="55"/>
      <c r="D1018" s="55"/>
      <c r="E1018" s="55">
        <v>2</v>
      </c>
      <c r="F1018" s="18" t="str">
        <f t="shared" si="15"/>
        <v>низкий</v>
      </c>
    </row>
    <row r="1019" spans="2:6" x14ac:dyDescent="0.25">
      <c r="B1019" s="98" t="s">
        <v>3214</v>
      </c>
      <c r="C1019" s="55">
        <v>2</v>
      </c>
      <c r="D1019" s="55">
        <v>1</v>
      </c>
      <c r="E1019" s="55">
        <v>4</v>
      </c>
      <c r="F1019" s="18" t="str">
        <f t="shared" si="15"/>
        <v>высокий</v>
      </c>
    </row>
    <row r="1020" spans="2:6" x14ac:dyDescent="0.25">
      <c r="B1020" s="98" t="s">
        <v>3215</v>
      </c>
      <c r="C1020" s="55">
        <v>2</v>
      </c>
      <c r="D1020" s="55">
        <v>1</v>
      </c>
      <c r="E1020" s="55">
        <v>4</v>
      </c>
      <c r="F1020" s="18" t="str">
        <f t="shared" si="15"/>
        <v>высокий</v>
      </c>
    </row>
    <row r="1021" spans="2:6" x14ac:dyDescent="0.25">
      <c r="B1021" s="98" t="s">
        <v>3216</v>
      </c>
      <c r="C1021" s="55">
        <v>2</v>
      </c>
      <c r="D1021" s="55">
        <v>1</v>
      </c>
      <c r="E1021" s="55">
        <v>4</v>
      </c>
      <c r="F1021" s="18" t="str">
        <f t="shared" si="15"/>
        <v>высокий</v>
      </c>
    </row>
    <row r="1022" spans="2:6" x14ac:dyDescent="0.25">
      <c r="B1022" s="98" t="s">
        <v>3217</v>
      </c>
      <c r="C1022" s="55">
        <v>2</v>
      </c>
      <c r="D1022" s="55">
        <v>1</v>
      </c>
      <c r="E1022" s="55">
        <v>4</v>
      </c>
      <c r="F1022" s="18" t="str">
        <f t="shared" si="15"/>
        <v>высокий</v>
      </c>
    </row>
    <row r="1023" spans="2:6" x14ac:dyDescent="0.25">
      <c r="B1023" s="98" t="s">
        <v>3218</v>
      </c>
      <c r="C1023" s="55">
        <v>2</v>
      </c>
      <c r="D1023" s="55">
        <v>1</v>
      </c>
      <c r="E1023" s="55">
        <v>5</v>
      </c>
      <c r="F1023" s="18" t="str">
        <f t="shared" si="15"/>
        <v>высокий</v>
      </c>
    </row>
    <row r="1024" spans="2:6" x14ac:dyDescent="0.25">
      <c r="B1024" s="98" t="s">
        <v>3219</v>
      </c>
      <c r="C1024" s="55"/>
      <c r="D1024" s="55"/>
      <c r="E1024" s="55">
        <v>1</v>
      </c>
      <c r="F1024" s="18" t="str">
        <f t="shared" si="15"/>
        <v>низкий</v>
      </c>
    </row>
    <row r="1025" spans="2:6" x14ac:dyDescent="0.25">
      <c r="B1025" s="98" t="s">
        <v>3220</v>
      </c>
      <c r="C1025" s="55">
        <v>2</v>
      </c>
      <c r="D1025" s="55">
        <v>1</v>
      </c>
      <c r="E1025" s="55">
        <v>4</v>
      </c>
      <c r="F1025" s="18" t="str">
        <f t="shared" si="15"/>
        <v>высокий</v>
      </c>
    </row>
    <row r="1026" spans="2:6" x14ac:dyDescent="0.25">
      <c r="B1026" s="98" t="s">
        <v>3221</v>
      </c>
      <c r="C1026" s="55">
        <v>2</v>
      </c>
      <c r="D1026" s="55">
        <v>1</v>
      </c>
      <c r="E1026" s="55">
        <v>4</v>
      </c>
      <c r="F1026" s="18" t="str">
        <f t="shared" si="15"/>
        <v>высокий</v>
      </c>
    </row>
    <row r="1027" spans="2:6" x14ac:dyDescent="0.25">
      <c r="B1027" s="98" t="s">
        <v>3222</v>
      </c>
      <c r="C1027" s="55"/>
      <c r="D1027" s="55">
        <v>1</v>
      </c>
      <c r="E1027" s="55">
        <v>1</v>
      </c>
      <c r="F1027" s="18" t="str">
        <f t="shared" si="15"/>
        <v>высокий</v>
      </c>
    </row>
    <row r="1028" spans="2:6" x14ac:dyDescent="0.25">
      <c r="B1028" s="98" t="s">
        <v>3223</v>
      </c>
      <c r="C1028" s="55"/>
      <c r="D1028" s="55">
        <v>2</v>
      </c>
      <c r="E1028" s="55"/>
      <c r="F1028" s="18" t="str">
        <f t="shared" si="15"/>
        <v>высокий</v>
      </c>
    </row>
    <row r="1029" spans="2:6" x14ac:dyDescent="0.25">
      <c r="B1029" s="98" t="s">
        <v>3224</v>
      </c>
      <c r="C1029" s="55"/>
      <c r="D1029" s="55"/>
      <c r="E1029" s="55">
        <v>2</v>
      </c>
      <c r="F1029" s="18" t="str">
        <f t="shared" si="15"/>
        <v>низкий</v>
      </c>
    </row>
    <row r="1030" spans="2:6" x14ac:dyDescent="0.25">
      <c r="B1030" s="98" t="s">
        <v>3225</v>
      </c>
      <c r="C1030" s="55"/>
      <c r="D1030" s="55">
        <v>1</v>
      </c>
      <c r="E1030" s="55">
        <v>1</v>
      </c>
      <c r="F1030" s="18" t="str">
        <f t="shared" si="15"/>
        <v>высокий</v>
      </c>
    </row>
    <row r="1031" spans="2:6" x14ac:dyDescent="0.25">
      <c r="B1031" s="98" t="s">
        <v>3226</v>
      </c>
      <c r="C1031" s="55"/>
      <c r="D1031" s="55"/>
      <c r="E1031" s="55">
        <v>1</v>
      </c>
      <c r="F1031" s="18" t="str">
        <f t="shared" si="15"/>
        <v>низкий</v>
      </c>
    </row>
    <row r="1032" spans="2:6" x14ac:dyDescent="0.25">
      <c r="B1032" s="98" t="s">
        <v>3227</v>
      </c>
      <c r="C1032" s="55"/>
      <c r="D1032" s="55"/>
      <c r="E1032" s="55">
        <v>3</v>
      </c>
      <c r="F1032" s="18" t="str">
        <f t="shared" ref="F1032:F1092" si="16">IF(D1032&gt;0,"высокий",IF(C1032&gt;0,"средний","низкий"))</f>
        <v>низкий</v>
      </c>
    </row>
    <row r="1033" spans="2:6" x14ac:dyDescent="0.25">
      <c r="B1033" s="98" t="s">
        <v>3228</v>
      </c>
      <c r="C1033" s="55"/>
      <c r="D1033" s="55"/>
      <c r="E1033" s="55">
        <v>3</v>
      </c>
      <c r="F1033" s="18" t="str">
        <f t="shared" si="16"/>
        <v>низкий</v>
      </c>
    </row>
    <row r="1034" spans="2:6" x14ac:dyDescent="0.25">
      <c r="B1034" s="98" t="s">
        <v>3229</v>
      </c>
      <c r="C1034" s="55"/>
      <c r="D1034" s="55"/>
      <c r="E1034" s="55">
        <v>3</v>
      </c>
      <c r="F1034" s="18" t="str">
        <f t="shared" si="16"/>
        <v>низкий</v>
      </c>
    </row>
    <row r="1035" spans="2:6" x14ac:dyDescent="0.25">
      <c r="B1035" s="98" t="s">
        <v>3230</v>
      </c>
      <c r="C1035" s="55"/>
      <c r="D1035" s="55"/>
      <c r="E1035" s="55">
        <v>1</v>
      </c>
      <c r="F1035" s="18" t="str">
        <f t="shared" si="16"/>
        <v>низкий</v>
      </c>
    </row>
    <row r="1036" spans="2:6" x14ac:dyDescent="0.25">
      <c r="B1036" s="98" t="s">
        <v>3231</v>
      </c>
      <c r="C1036" s="55"/>
      <c r="D1036" s="55"/>
      <c r="E1036" s="55">
        <v>1</v>
      </c>
      <c r="F1036" s="18" t="str">
        <f t="shared" si="16"/>
        <v>низкий</v>
      </c>
    </row>
    <row r="1037" spans="2:6" x14ac:dyDescent="0.25">
      <c r="B1037" s="98" t="s">
        <v>3232</v>
      </c>
      <c r="C1037" s="55"/>
      <c r="D1037" s="55">
        <v>1</v>
      </c>
      <c r="E1037" s="55">
        <v>1</v>
      </c>
      <c r="F1037" s="18" t="str">
        <f t="shared" si="16"/>
        <v>высокий</v>
      </c>
    </row>
    <row r="1038" spans="2:6" x14ac:dyDescent="0.25">
      <c r="B1038" s="98" t="s">
        <v>3233</v>
      </c>
      <c r="C1038" s="55"/>
      <c r="D1038" s="55">
        <v>1</v>
      </c>
      <c r="E1038" s="55"/>
      <c r="F1038" s="18" t="str">
        <f t="shared" si="16"/>
        <v>высокий</v>
      </c>
    </row>
    <row r="1039" spans="2:6" x14ac:dyDescent="0.25">
      <c r="B1039" s="98" t="s">
        <v>3234</v>
      </c>
      <c r="C1039" s="55"/>
      <c r="D1039" s="55">
        <v>1</v>
      </c>
      <c r="E1039" s="55"/>
      <c r="F1039" s="18" t="str">
        <f t="shared" si="16"/>
        <v>высокий</v>
      </c>
    </row>
    <row r="1040" spans="2:6" x14ac:dyDescent="0.25">
      <c r="B1040" s="98" t="s">
        <v>3235</v>
      </c>
      <c r="C1040" s="55"/>
      <c r="D1040" s="55">
        <v>1</v>
      </c>
      <c r="E1040" s="55"/>
      <c r="F1040" s="18" t="str">
        <f t="shared" si="16"/>
        <v>высокий</v>
      </c>
    </row>
    <row r="1041" spans="2:6" x14ac:dyDescent="0.25">
      <c r="B1041" s="98" t="s">
        <v>3236</v>
      </c>
      <c r="C1041" s="55"/>
      <c r="D1041" s="55">
        <v>1</v>
      </c>
      <c r="E1041" s="55"/>
      <c r="F1041" s="18" t="str">
        <f t="shared" si="16"/>
        <v>высокий</v>
      </c>
    </row>
    <row r="1042" spans="2:6" x14ac:dyDescent="0.25">
      <c r="B1042" s="98" t="s">
        <v>3237</v>
      </c>
      <c r="C1042" s="55">
        <v>1</v>
      </c>
      <c r="D1042" s="55"/>
      <c r="E1042" s="55"/>
      <c r="F1042" s="18" t="str">
        <f t="shared" si="16"/>
        <v>средний</v>
      </c>
    </row>
    <row r="1043" spans="2:6" x14ac:dyDescent="0.25">
      <c r="B1043" s="98" t="s">
        <v>3238</v>
      </c>
      <c r="C1043" s="55">
        <v>1</v>
      </c>
      <c r="D1043" s="55"/>
      <c r="E1043" s="55"/>
      <c r="F1043" s="18" t="str">
        <f t="shared" si="16"/>
        <v>средний</v>
      </c>
    </row>
    <row r="1044" spans="2:6" x14ac:dyDescent="0.25">
      <c r="B1044" s="98" t="s">
        <v>3240</v>
      </c>
      <c r="C1044" s="55">
        <v>1</v>
      </c>
      <c r="D1044" s="55"/>
      <c r="E1044" s="55">
        <v>1</v>
      </c>
      <c r="F1044" s="18" t="str">
        <f t="shared" si="16"/>
        <v>средний</v>
      </c>
    </row>
    <row r="1045" spans="2:6" x14ac:dyDescent="0.25">
      <c r="B1045" s="98" t="s">
        <v>3245</v>
      </c>
      <c r="C1045" s="55"/>
      <c r="D1045" s="55">
        <v>1</v>
      </c>
      <c r="E1045" s="55">
        <v>1</v>
      </c>
      <c r="F1045" s="18" t="str">
        <f t="shared" si="16"/>
        <v>высокий</v>
      </c>
    </row>
    <row r="1046" spans="2:6" x14ac:dyDescent="0.25">
      <c r="B1046" s="98" t="s">
        <v>3246</v>
      </c>
      <c r="C1046" s="55"/>
      <c r="D1046" s="55"/>
      <c r="E1046" s="55">
        <v>2</v>
      </c>
      <c r="F1046" s="18" t="str">
        <f t="shared" si="16"/>
        <v>низкий</v>
      </c>
    </row>
    <row r="1047" spans="2:6" x14ac:dyDescent="0.25">
      <c r="B1047" s="98" t="s">
        <v>3247</v>
      </c>
      <c r="C1047" s="55"/>
      <c r="D1047" s="55"/>
      <c r="E1047" s="55">
        <v>2</v>
      </c>
      <c r="F1047" s="18" t="str">
        <f t="shared" si="16"/>
        <v>низкий</v>
      </c>
    </row>
    <row r="1048" spans="2:6" x14ac:dyDescent="0.25">
      <c r="B1048" s="98" t="s">
        <v>3248</v>
      </c>
      <c r="C1048" s="55"/>
      <c r="D1048" s="55"/>
      <c r="E1048" s="55">
        <v>2</v>
      </c>
      <c r="F1048" s="18" t="str">
        <f t="shared" si="16"/>
        <v>низкий</v>
      </c>
    </row>
    <row r="1049" spans="2:6" x14ac:dyDescent="0.25">
      <c r="B1049" s="98" t="s">
        <v>3249</v>
      </c>
      <c r="C1049" s="55"/>
      <c r="D1049" s="55"/>
      <c r="E1049" s="55">
        <v>2</v>
      </c>
      <c r="F1049" s="18" t="str">
        <f t="shared" si="16"/>
        <v>низкий</v>
      </c>
    </row>
    <row r="1050" spans="2:6" x14ac:dyDescent="0.25">
      <c r="B1050" s="98" t="s">
        <v>3250</v>
      </c>
      <c r="C1050" s="55"/>
      <c r="D1050" s="55"/>
      <c r="E1050" s="55">
        <v>2</v>
      </c>
      <c r="F1050" s="18" t="str">
        <f t="shared" si="16"/>
        <v>низкий</v>
      </c>
    </row>
    <row r="1051" spans="2:6" x14ac:dyDescent="0.25">
      <c r="B1051" s="98" t="s">
        <v>3251</v>
      </c>
      <c r="C1051" s="55"/>
      <c r="D1051" s="55">
        <v>1</v>
      </c>
      <c r="E1051" s="55">
        <v>2</v>
      </c>
      <c r="F1051" s="18" t="str">
        <f t="shared" si="16"/>
        <v>высокий</v>
      </c>
    </row>
    <row r="1052" spans="2:6" x14ac:dyDescent="0.25">
      <c r="B1052" s="98" t="s">
        <v>3252</v>
      </c>
      <c r="C1052" s="55"/>
      <c r="D1052" s="55">
        <v>1</v>
      </c>
      <c r="E1052" s="55"/>
      <c r="F1052" s="18" t="str">
        <f t="shared" si="16"/>
        <v>высокий</v>
      </c>
    </row>
    <row r="1053" spans="2:6" x14ac:dyDescent="0.25">
      <c r="B1053" s="98" t="s">
        <v>3253</v>
      </c>
      <c r="C1053" s="55">
        <v>1</v>
      </c>
      <c r="D1053" s="55"/>
      <c r="E1053" s="55">
        <v>1</v>
      </c>
      <c r="F1053" s="18" t="str">
        <f t="shared" si="16"/>
        <v>средний</v>
      </c>
    </row>
    <row r="1054" spans="2:6" x14ac:dyDescent="0.25">
      <c r="B1054" s="98" t="s">
        <v>3254</v>
      </c>
      <c r="C1054" s="55">
        <v>1</v>
      </c>
      <c r="D1054" s="55"/>
      <c r="E1054" s="55">
        <v>1</v>
      </c>
      <c r="F1054" s="18" t="str">
        <f t="shared" si="16"/>
        <v>средний</v>
      </c>
    </row>
    <row r="1055" spans="2:6" x14ac:dyDescent="0.25">
      <c r="B1055" s="98" t="s">
        <v>3255</v>
      </c>
      <c r="C1055" s="55">
        <v>1</v>
      </c>
      <c r="D1055" s="55"/>
      <c r="E1055" s="55">
        <v>1</v>
      </c>
      <c r="F1055" s="18" t="str">
        <f t="shared" si="16"/>
        <v>средний</v>
      </c>
    </row>
    <row r="1056" spans="2:6" x14ac:dyDescent="0.25">
      <c r="B1056" s="98" t="s">
        <v>3256</v>
      </c>
      <c r="C1056" s="55">
        <v>1</v>
      </c>
      <c r="D1056" s="55"/>
      <c r="E1056" s="55">
        <v>1</v>
      </c>
      <c r="F1056" s="18" t="str">
        <f t="shared" si="16"/>
        <v>средний</v>
      </c>
    </row>
    <row r="1057" spans="2:6" x14ac:dyDescent="0.25">
      <c r="B1057" s="98" t="s">
        <v>3257</v>
      </c>
      <c r="C1057" s="55">
        <v>1</v>
      </c>
      <c r="D1057" s="55"/>
      <c r="E1057" s="55">
        <v>1</v>
      </c>
      <c r="F1057" s="18" t="str">
        <f t="shared" si="16"/>
        <v>средний</v>
      </c>
    </row>
    <row r="1058" spans="2:6" x14ac:dyDescent="0.25">
      <c r="B1058" s="98" t="s">
        <v>3258</v>
      </c>
      <c r="C1058" s="55"/>
      <c r="D1058" s="55"/>
      <c r="E1058" s="55">
        <v>1</v>
      </c>
      <c r="F1058" s="18" t="str">
        <f t="shared" si="16"/>
        <v>низкий</v>
      </c>
    </row>
    <row r="1059" spans="2:6" x14ac:dyDescent="0.25">
      <c r="B1059" s="98" t="s">
        <v>3260</v>
      </c>
      <c r="C1059" s="55"/>
      <c r="D1059" s="55"/>
      <c r="E1059" s="55">
        <v>1</v>
      </c>
      <c r="F1059" s="18" t="str">
        <f t="shared" si="16"/>
        <v>низкий</v>
      </c>
    </row>
    <row r="1060" spans="2:6" x14ac:dyDescent="0.25">
      <c r="B1060" s="98" t="s">
        <v>3261</v>
      </c>
      <c r="C1060" s="55"/>
      <c r="D1060" s="55"/>
      <c r="E1060" s="55">
        <v>1</v>
      </c>
      <c r="F1060" s="18" t="str">
        <f t="shared" si="16"/>
        <v>низкий</v>
      </c>
    </row>
    <row r="1061" spans="2:6" x14ac:dyDescent="0.25">
      <c r="B1061" s="98" t="s">
        <v>3262</v>
      </c>
      <c r="C1061" s="55"/>
      <c r="D1061" s="55"/>
      <c r="E1061" s="55">
        <v>1</v>
      </c>
      <c r="F1061" s="18" t="str">
        <f t="shared" si="16"/>
        <v>низкий</v>
      </c>
    </row>
    <row r="1062" spans="2:6" x14ac:dyDescent="0.25">
      <c r="B1062" s="98" t="s">
        <v>3263</v>
      </c>
      <c r="C1062" s="55"/>
      <c r="D1062" s="55"/>
      <c r="E1062" s="55">
        <v>1</v>
      </c>
      <c r="F1062" s="18" t="str">
        <f t="shared" si="16"/>
        <v>низкий</v>
      </c>
    </row>
    <row r="1063" spans="2:6" x14ac:dyDescent="0.25">
      <c r="B1063" s="98" t="s">
        <v>3264</v>
      </c>
      <c r="C1063" s="55"/>
      <c r="D1063" s="55"/>
      <c r="E1063" s="55">
        <v>2</v>
      </c>
      <c r="F1063" s="18" t="str">
        <f t="shared" si="16"/>
        <v>низкий</v>
      </c>
    </row>
    <row r="1064" spans="2:6" x14ac:dyDescent="0.25">
      <c r="B1064" s="98" t="s">
        <v>3265</v>
      </c>
      <c r="C1064" s="55"/>
      <c r="D1064" s="55"/>
      <c r="E1064" s="55">
        <v>1</v>
      </c>
      <c r="F1064" s="18" t="str">
        <f t="shared" si="16"/>
        <v>низкий</v>
      </c>
    </row>
    <row r="1065" spans="2:6" x14ac:dyDescent="0.25">
      <c r="B1065" s="98" t="s">
        <v>3266</v>
      </c>
      <c r="C1065" s="55"/>
      <c r="D1065" s="55"/>
      <c r="E1065" s="55">
        <v>1</v>
      </c>
      <c r="F1065" s="18" t="str">
        <f t="shared" si="16"/>
        <v>низкий</v>
      </c>
    </row>
    <row r="1066" spans="2:6" x14ac:dyDescent="0.25">
      <c r="B1066" s="98" t="s">
        <v>3267</v>
      </c>
      <c r="C1066" s="55"/>
      <c r="D1066" s="55"/>
      <c r="E1066" s="55">
        <v>2</v>
      </c>
      <c r="F1066" s="18" t="str">
        <f t="shared" si="16"/>
        <v>низкий</v>
      </c>
    </row>
    <row r="1067" spans="2:6" x14ac:dyDescent="0.25">
      <c r="B1067" s="98" t="s">
        <v>3268</v>
      </c>
      <c r="C1067" s="55"/>
      <c r="D1067" s="55"/>
      <c r="E1067" s="55">
        <v>2</v>
      </c>
      <c r="F1067" s="18" t="str">
        <f t="shared" si="16"/>
        <v>низкий</v>
      </c>
    </row>
    <row r="1068" spans="2:6" x14ac:dyDescent="0.25">
      <c r="B1068" s="98" t="s">
        <v>3269</v>
      </c>
      <c r="C1068" s="55">
        <v>1</v>
      </c>
      <c r="D1068" s="55">
        <v>1</v>
      </c>
      <c r="E1068" s="55"/>
      <c r="F1068" s="18" t="str">
        <f t="shared" si="16"/>
        <v>высокий</v>
      </c>
    </row>
    <row r="1069" spans="2:6" x14ac:dyDescent="0.25">
      <c r="B1069" s="98" t="s">
        <v>3270</v>
      </c>
      <c r="C1069" s="55"/>
      <c r="D1069" s="55"/>
      <c r="E1069" s="55">
        <v>4</v>
      </c>
      <c r="F1069" s="18" t="str">
        <f t="shared" si="16"/>
        <v>низкий</v>
      </c>
    </row>
    <row r="1070" spans="2:6" x14ac:dyDescent="0.25">
      <c r="B1070" s="98" t="s">
        <v>3271</v>
      </c>
      <c r="C1070" s="55">
        <v>3</v>
      </c>
      <c r="D1070" s="55"/>
      <c r="E1070" s="55">
        <v>1</v>
      </c>
      <c r="F1070" s="18" t="str">
        <f t="shared" si="16"/>
        <v>средний</v>
      </c>
    </row>
    <row r="1071" spans="2:6" x14ac:dyDescent="0.25">
      <c r="B1071" s="98" t="s">
        <v>3272</v>
      </c>
      <c r="C1071" s="55">
        <v>1</v>
      </c>
      <c r="D1071" s="55">
        <v>1</v>
      </c>
      <c r="E1071" s="55"/>
      <c r="F1071" s="18" t="str">
        <f t="shared" si="16"/>
        <v>высокий</v>
      </c>
    </row>
    <row r="1072" spans="2:6" x14ac:dyDescent="0.25">
      <c r="B1072" s="98" t="s">
        <v>3273</v>
      </c>
      <c r="C1072" s="55"/>
      <c r="D1072" s="55"/>
      <c r="E1072" s="55">
        <v>2</v>
      </c>
      <c r="F1072" s="18" t="str">
        <f t="shared" si="16"/>
        <v>низкий</v>
      </c>
    </row>
    <row r="1073" spans="2:6" x14ac:dyDescent="0.25">
      <c r="B1073" s="98" t="s">
        <v>3274</v>
      </c>
      <c r="C1073" s="55">
        <v>1</v>
      </c>
      <c r="D1073" s="55"/>
      <c r="E1073" s="55"/>
      <c r="F1073" s="18" t="str">
        <f t="shared" si="16"/>
        <v>средний</v>
      </c>
    </row>
    <row r="1074" spans="2:6" x14ac:dyDescent="0.25">
      <c r="B1074" s="98" t="s">
        <v>3275</v>
      </c>
      <c r="C1074" s="55"/>
      <c r="D1074" s="55">
        <v>1</v>
      </c>
      <c r="E1074" s="55">
        <v>3</v>
      </c>
      <c r="F1074" s="18" t="str">
        <f t="shared" si="16"/>
        <v>высокий</v>
      </c>
    </row>
    <row r="1075" spans="2:6" x14ac:dyDescent="0.25">
      <c r="B1075" s="98" t="s">
        <v>3277</v>
      </c>
      <c r="C1075" s="55"/>
      <c r="D1075" s="55">
        <v>1</v>
      </c>
      <c r="E1075" s="55">
        <v>1</v>
      </c>
      <c r="F1075" s="18" t="str">
        <f t="shared" si="16"/>
        <v>высокий</v>
      </c>
    </row>
    <row r="1076" spans="2:6" x14ac:dyDescent="0.25">
      <c r="B1076" s="98" t="s">
        <v>3278</v>
      </c>
      <c r="C1076" s="55">
        <v>1</v>
      </c>
      <c r="D1076" s="55"/>
      <c r="E1076" s="55"/>
      <c r="F1076" s="18" t="str">
        <f t="shared" si="16"/>
        <v>средний</v>
      </c>
    </row>
    <row r="1077" spans="2:6" x14ac:dyDescent="0.25">
      <c r="B1077" s="98" t="s">
        <v>3280</v>
      </c>
      <c r="C1077" s="55">
        <v>1</v>
      </c>
      <c r="D1077" s="55"/>
      <c r="E1077" s="55">
        <v>2</v>
      </c>
      <c r="F1077" s="18" t="str">
        <f t="shared" si="16"/>
        <v>средний</v>
      </c>
    </row>
    <row r="1078" spans="2:6" x14ac:dyDescent="0.25">
      <c r="B1078" s="98" t="s">
        <v>3281</v>
      </c>
      <c r="C1078" s="55"/>
      <c r="D1078" s="55">
        <v>1</v>
      </c>
      <c r="E1078" s="55"/>
      <c r="F1078" s="18" t="str">
        <f t="shared" si="16"/>
        <v>высокий</v>
      </c>
    </row>
    <row r="1079" spans="2:6" x14ac:dyDescent="0.25">
      <c r="B1079" s="98" t="s">
        <v>3282</v>
      </c>
      <c r="C1079" s="55"/>
      <c r="D1079" s="55">
        <v>1</v>
      </c>
      <c r="E1079" s="55">
        <v>2</v>
      </c>
      <c r="F1079" s="18" t="str">
        <f t="shared" si="16"/>
        <v>высокий</v>
      </c>
    </row>
    <row r="1080" spans="2:6" x14ac:dyDescent="0.25">
      <c r="B1080" s="98" t="s">
        <v>3284</v>
      </c>
      <c r="C1080" s="55">
        <v>1</v>
      </c>
      <c r="D1080" s="55"/>
      <c r="E1080" s="55"/>
      <c r="F1080" s="18" t="str">
        <f t="shared" si="16"/>
        <v>средний</v>
      </c>
    </row>
    <row r="1081" spans="2:6" x14ac:dyDescent="0.25">
      <c r="B1081" s="98" t="s">
        <v>3285</v>
      </c>
      <c r="C1081" s="55"/>
      <c r="D1081" s="55"/>
      <c r="E1081" s="55">
        <v>2</v>
      </c>
      <c r="F1081" s="18" t="str">
        <f t="shared" si="16"/>
        <v>низкий</v>
      </c>
    </row>
    <row r="1082" spans="2:6" x14ac:dyDescent="0.25">
      <c r="B1082" s="98" t="s">
        <v>3287</v>
      </c>
      <c r="C1082" s="55">
        <v>1</v>
      </c>
      <c r="D1082" s="55">
        <v>1</v>
      </c>
      <c r="E1082" s="55"/>
      <c r="F1082" s="18" t="str">
        <f t="shared" si="16"/>
        <v>высокий</v>
      </c>
    </row>
    <row r="1083" spans="2:6" x14ac:dyDescent="0.25">
      <c r="B1083" s="98" t="s">
        <v>3288</v>
      </c>
      <c r="C1083" s="55">
        <v>1</v>
      </c>
      <c r="D1083" s="55"/>
      <c r="E1083" s="55"/>
      <c r="F1083" s="18" t="str">
        <f t="shared" si="16"/>
        <v>средний</v>
      </c>
    </row>
    <row r="1084" spans="2:6" x14ac:dyDescent="0.25">
      <c r="B1084" s="98" t="s">
        <v>3289</v>
      </c>
      <c r="C1084" s="55">
        <v>1</v>
      </c>
      <c r="D1084" s="55"/>
      <c r="E1084" s="55"/>
      <c r="F1084" s="18" t="str">
        <f t="shared" si="16"/>
        <v>средний</v>
      </c>
    </row>
    <row r="1085" spans="2:6" x14ac:dyDescent="0.25">
      <c r="B1085" s="98" t="s">
        <v>3290</v>
      </c>
      <c r="C1085" s="55">
        <v>1</v>
      </c>
      <c r="D1085" s="55"/>
      <c r="E1085" s="55"/>
      <c r="F1085" s="18" t="str">
        <f t="shared" si="16"/>
        <v>средний</v>
      </c>
    </row>
    <row r="1086" spans="2:6" x14ac:dyDescent="0.25">
      <c r="B1086" s="98" t="s">
        <v>3292</v>
      </c>
      <c r="C1086" s="55">
        <v>1</v>
      </c>
      <c r="D1086" s="55"/>
      <c r="E1086" s="55">
        <v>1</v>
      </c>
      <c r="F1086" s="18" t="str">
        <f t="shared" si="16"/>
        <v>средний</v>
      </c>
    </row>
    <row r="1087" spans="2:6" x14ac:dyDescent="0.25">
      <c r="B1087" s="98" t="s">
        <v>3293</v>
      </c>
      <c r="C1087" s="55">
        <v>1</v>
      </c>
      <c r="D1087" s="55"/>
      <c r="E1087" s="55">
        <v>1</v>
      </c>
      <c r="F1087" s="18" t="str">
        <f t="shared" si="16"/>
        <v>средний</v>
      </c>
    </row>
    <row r="1088" spans="2:6" x14ac:dyDescent="0.25">
      <c r="B1088" s="98" t="s">
        <v>3294</v>
      </c>
      <c r="C1088" s="55">
        <v>1</v>
      </c>
      <c r="D1088" s="55"/>
      <c r="E1088" s="55"/>
      <c r="F1088" s="18" t="str">
        <f t="shared" si="16"/>
        <v>средний</v>
      </c>
    </row>
    <row r="1089" spans="2:6" x14ac:dyDescent="0.25">
      <c r="B1089" s="98" t="s">
        <v>3295</v>
      </c>
      <c r="C1089" s="55">
        <v>1</v>
      </c>
      <c r="D1089" s="55"/>
      <c r="E1089" s="55"/>
      <c r="F1089" s="18" t="str">
        <f t="shared" si="16"/>
        <v>средний</v>
      </c>
    </row>
    <row r="1090" spans="2:6" x14ac:dyDescent="0.25">
      <c r="C1090"/>
      <c r="D1090"/>
      <c r="E1090"/>
      <c r="F1090" s="18" t="str">
        <f t="shared" si="16"/>
        <v>низкий</v>
      </c>
    </row>
    <row r="1091" spans="2:6" x14ac:dyDescent="0.25">
      <c r="C1091"/>
      <c r="D1091"/>
      <c r="E1091"/>
      <c r="F1091" s="18" t="str">
        <f t="shared" si="16"/>
        <v>низкий</v>
      </c>
    </row>
    <row r="1092" spans="2:6" x14ac:dyDescent="0.25">
      <c r="C1092"/>
      <c r="D1092"/>
      <c r="E1092"/>
      <c r="F1092" s="18" t="str">
        <f t="shared" si="16"/>
        <v>низкий</v>
      </c>
    </row>
    <row r="1093" spans="2:6" x14ac:dyDescent="0.25">
      <c r="C1093"/>
      <c r="D1093"/>
      <c r="E1093"/>
      <c r="F1093" s="18"/>
    </row>
    <row r="1094" spans="2:6" x14ac:dyDescent="0.25">
      <c r="C1094" s="56"/>
      <c r="D1094" s="56"/>
      <c r="E1094" s="56"/>
    </row>
    <row r="1095" spans="2:6" x14ac:dyDescent="0.25">
      <c r="C1095" s="56"/>
      <c r="D1095" s="56"/>
      <c r="E1095" s="56"/>
    </row>
  </sheetData>
  <autoFilter ref="B6:F1093"/>
  <sortState ref="S1:S4">
    <sortCondition ref="S1"/>
  </sortState>
  <mergeCells count="1">
    <mergeCell ref="B1:F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F9CE5D6D63DBFE4CA13C55FCFA429308" ma:contentTypeVersion="0" ma:contentTypeDescription="Создание документа." ma:contentTypeScope="" ma:versionID="3334f08b7ef369925be0f73c50b4960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2f955febea7e716b4e91cddba17110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4A3C965-A57A-4E03-B9FA-D185E1BE68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7FD0227-BFB1-4515-9402-85A1D3AFD9B8}">
  <ds:schemaRefs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BC1D652-FF96-4354-8D38-6E50205ECB7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целевые показатели</vt:lpstr>
      <vt:lpstr>Пояснение</vt:lpstr>
      <vt:lpstr>База КР</vt:lpstr>
      <vt:lpstr>КПЭ</vt:lpstr>
      <vt:lpstr>Отчет по сотрудникам</vt:lpstr>
      <vt:lpstr>защищенность (расчет)</vt:lpstr>
      <vt:lpstr>назначаемость (расчет)</vt:lpstr>
      <vt:lpstr>текучесть (расчет)</vt:lpstr>
      <vt:lpstr>Списки данных</vt:lpstr>
      <vt:lpstr>уровень защищенности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Морозова Ольга Сергеевна</dc:creator>
  <cp:keywords/>
  <cp:lastModifiedBy>Подкопаева Дарья Максимовна</cp:lastModifiedBy>
  <dcterms:created xsi:type="dcterms:W3CDTF">2018-06-15T05:05:50Z</dcterms:created>
  <dcterms:modified xsi:type="dcterms:W3CDTF">2023-07-19T20:06:34Z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0x010100F9CE5D6D63DBFE4CA13C55FCFA429308</vt:lpwstr>
  </property>
  <property fmtid="{D5CDD505-2E9C-101B-9397-08002B2CF9AE}" pid="3" name="CofWorkbookId">
    <vt:lpwstr>b0b2791e-d71a-4bf3-bbe0-2465a27f1eb4</vt:lpwstr>
  </property>
</Properties>
</file>